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2.xml"/>
  <Override ContentType="application/vnd.openxmlformats-officedocument.spreadsheetml.table+xml" PartName="/xl/tables/table59.xml"/>
  <Override ContentType="application/vnd.openxmlformats-officedocument.spreadsheetml.table+xml" PartName="/xl/tables/table58.xml"/>
  <Override ContentType="application/vnd.openxmlformats-officedocument.spreadsheetml.table+xml" PartName="/xl/tables/table41.xml"/>
  <Override ContentType="application/vnd.openxmlformats-officedocument.spreadsheetml.table+xml" PartName="/xl/tables/table15.xml"/>
  <Override ContentType="application/vnd.openxmlformats-officedocument.spreadsheetml.table+xml" PartName="/xl/tables/table24.xml"/>
  <Override ContentType="application/vnd.openxmlformats-officedocument.spreadsheetml.table+xml" PartName="/xl/tables/table50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49.xml"/>
  <Override ContentType="application/vnd.openxmlformats-officedocument.spreadsheetml.table+xml" PartName="/xl/tables/table57.xml"/>
  <Override ContentType="application/vnd.openxmlformats-officedocument.spreadsheetml.table+xml" PartName="/xl/tables/table40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18.xml"/>
  <Override ContentType="application/vnd.openxmlformats-officedocument.spreadsheetml.table+xml" PartName="/xl/tables/table48.xml"/>
  <Override ContentType="application/vnd.openxmlformats-officedocument.spreadsheetml.table+xml" PartName="/xl/tables/table22.xml"/>
  <Override ContentType="application/vnd.openxmlformats-officedocument.spreadsheetml.table+xml" PartName="/xl/tables/table52.xml"/>
  <Override ContentType="application/vnd.openxmlformats-officedocument.spreadsheetml.table+xml" PartName="/xl/tables/table35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47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51.xml"/>
  <Override ContentType="application/vnd.openxmlformats-officedocument.spreadsheetml.table+xml" PartName="/xl/tables/table37.xml"/>
  <Override ContentType="application/vnd.openxmlformats-officedocument.spreadsheetml.table+xml" PartName="/xl/tables/table29.xml"/>
  <Override ContentType="application/vnd.openxmlformats-officedocument.spreadsheetml.table+xml" PartName="/xl/tables/table54.xml"/>
  <Override ContentType="application/vnd.openxmlformats-officedocument.spreadsheetml.table+xml" PartName="/xl/tables/table45.xml"/>
  <Override ContentType="application/vnd.openxmlformats-officedocument.spreadsheetml.table+xml" PartName="/xl/tables/table46.xml"/>
  <Override ContentType="application/vnd.openxmlformats-officedocument.spreadsheetml.table+xml" PartName="/xl/tables/table28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36.xml"/>
  <Override ContentType="application/vnd.openxmlformats-officedocument.spreadsheetml.table+xml" PartName="/xl/tables/table19.xml"/>
  <Override ContentType="application/vnd.openxmlformats-officedocument.spreadsheetml.table+xml" PartName="/xl/tables/table44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53.xml"/>
  <Override ContentType="application/vnd.openxmlformats-officedocument.spreadsheetml.table+xml" PartName="/xl/tables/table9.xml"/>
  <Override ContentType="application/vnd.openxmlformats-officedocument.spreadsheetml.table+xml" PartName="/xl/tables/table43.xml"/>
  <Override ContentType="application/vnd.openxmlformats-officedocument.spreadsheetml.table+xml" PartName="/xl/tables/table13.xml"/>
  <Override ContentType="application/vnd.openxmlformats-officedocument.spreadsheetml.table+xml" PartName="/xl/tables/table56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.xml"/>
  <Override ContentType="application/vnd.openxmlformats-officedocument.spreadsheetml.table+xml" PartName="/xl/tables/table26.xml"/>
  <Override ContentType="application/vnd.openxmlformats-officedocument.spreadsheetml.table+xml" PartName="/xl/tables/table39.xml"/>
  <Override ContentType="application/vnd.openxmlformats-officedocument.spreadsheetml.table+xml" PartName="/xl/tables/table55.xml"/>
  <Override ContentType="application/vnd.openxmlformats-officedocument.spreadsheetml.table+xml" PartName="/xl/tables/table3.xml"/>
  <Override ContentType="application/vnd.openxmlformats-officedocument.spreadsheetml.table+xml" PartName="/xl/tables/table42.xml"/>
  <Override ContentType="application/vnd.openxmlformats-officedocument.spreadsheetml.table+xml" PartName="/xl/tables/table38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vereiro25" sheetId="1" r:id="rId4"/>
    <sheet state="visible" name="Janeiro25" sheetId="2" r:id="rId5"/>
    <sheet state="visible" name="Dezembro24" sheetId="3" r:id="rId6"/>
    <sheet state="visible" name="Novembro24" sheetId="4" r:id="rId7"/>
    <sheet state="visible" name="Outubro24" sheetId="5" r:id="rId8"/>
    <sheet state="visible" name="Setembro24" sheetId="6" r:id="rId9"/>
    <sheet state="visible" name="Agosto24" sheetId="7" r:id="rId10"/>
    <sheet state="visible" name="Geral" sheetId="8" r:id="rId11"/>
    <sheet state="visible" name="Julho24" sheetId="9" r:id="rId12"/>
    <sheet state="visible" name="Junho24" sheetId="10" r:id="rId13"/>
    <sheet state="visible" name="Maio24" sheetId="11" r:id="rId14"/>
    <sheet state="visible" name="Abril24" sheetId="12" r:id="rId15"/>
    <sheet state="visible" name="Março24" sheetId="13" r:id="rId16"/>
    <sheet state="visible" name="Fevereiro24" sheetId="14" r:id="rId17"/>
    <sheet state="visible" name="Janeiro24" sheetId="15" r:id="rId18"/>
    <sheet state="visible" name="Dezembro23" sheetId="16" r:id="rId19"/>
    <sheet state="visible" name="Novembro23" sheetId="17" r:id="rId20"/>
    <sheet state="visible" name="Outubro23" sheetId="18" r:id="rId21"/>
    <sheet state="visible" name="Setembro23" sheetId="19" r:id="rId22"/>
    <sheet state="visible" name="Agosto23" sheetId="20" r:id="rId23"/>
    <sheet state="visible" name="Julho23" sheetId="21" r:id="rId24"/>
    <sheet state="visible" name="Junho23" sheetId="22" r:id="rId25"/>
    <sheet state="visible" name="Maio23" sheetId="23" r:id="rId26"/>
    <sheet state="visible" name="Desempenho" sheetId="24" r:id="rId27"/>
    <sheet state="visible" name="Análise" sheetId="25" r:id="rId28"/>
  </sheets>
  <definedNames>
    <definedName hidden="1" localSheetId="0" name="_xlnm._FilterDatabase">Fevereiro25!$A$1:$T$577</definedName>
    <definedName hidden="1" localSheetId="3" name="_xlnm._FilterDatabase">Novembro24!$A$1:$T$576</definedName>
    <definedName hidden="1" localSheetId="4" name="_xlnm._FilterDatabase">Outubro24!$A$1:$V$409</definedName>
    <definedName hidden="1" localSheetId="5" name="_xlnm._FilterDatabase">Setembro24!$A$1:$V$409</definedName>
    <definedName hidden="1" localSheetId="6" name="_xlnm._FilterDatabase">Agosto24!$A$1:$W$409</definedName>
    <definedName hidden="1" localSheetId="7" name="_xlnm._FilterDatabase">Geral!$A$1:$T$3640</definedName>
    <definedName hidden="1" localSheetId="8" name="_xlnm._FilterDatabase">Julho24!$A$1:$W$407</definedName>
    <definedName hidden="1" localSheetId="9" name="_xlnm._FilterDatabase">Junho24!$A$1:$W$406</definedName>
    <definedName hidden="1" localSheetId="10" name="_xlnm._FilterDatabase">Maio24!$A$1:$AB$406</definedName>
    <definedName hidden="1" localSheetId="11" name="_xlnm._FilterDatabase">Abril24!$A$1:$U$406</definedName>
    <definedName hidden="1" localSheetId="12" name="_xlnm._FilterDatabase">'Março24'!$A$1:$U$406</definedName>
    <definedName hidden="1" localSheetId="13" name="_xlnm._FilterDatabase">Fevereiro24!$A$1:$X$404</definedName>
    <definedName hidden="1" localSheetId="14" name="_xlnm._FilterDatabase">Janeiro24!$A$1:$X$405</definedName>
    <definedName hidden="1" localSheetId="15" name="_xlnm._FilterDatabase">Dezembro23!$A$1:$S$405</definedName>
    <definedName hidden="1" localSheetId="16" name="_xlnm._FilterDatabase">Novembro23!$A$1:$S$405</definedName>
    <definedName hidden="1" localSheetId="17" name="_xlnm._FilterDatabase">Outubro23!$A$1:$R$405</definedName>
    <definedName hidden="1" localSheetId="18" name="_xlnm._FilterDatabase">Setembro23!$A$1:$R$403</definedName>
    <definedName hidden="1" localSheetId="19" name="_xlnm._FilterDatabase">Agosto23!$A$1:$R$407</definedName>
    <definedName hidden="1" localSheetId="0" name="Z_978C25F2_69C0_4E3B_8EFC_6A6EC3E48DD3_.wvu.FilterData">Fevereiro25!$A$1:$T$488</definedName>
    <definedName hidden="1" localSheetId="1" name="Z_978C25F2_69C0_4E3B_8EFC_6A6EC3E48DD3_.wvu.FilterData">Janeiro25!$A$1:$T$487</definedName>
    <definedName hidden="1" localSheetId="2" name="Z_978C25F2_69C0_4E3B_8EFC_6A6EC3E48DD3_.wvu.FilterData">Dezembro24!$A$1:$T$484</definedName>
    <definedName hidden="1" localSheetId="3" name="Z_978C25F2_69C0_4E3B_8EFC_6A6EC3E48DD3_.wvu.FilterData">Novembro24!$A$1:$T$483</definedName>
    <definedName hidden="1" localSheetId="4" name="Z_978C25F2_69C0_4E3B_8EFC_6A6EC3E48DD3_.wvu.FilterData">Outubro24!$A$1:$AA$409</definedName>
    <definedName hidden="1" localSheetId="5" name="Z_978C25F2_69C0_4E3B_8EFC_6A6EC3E48DD3_.wvu.FilterData">Setembro24!$A$1:$AA$409</definedName>
    <definedName hidden="1" localSheetId="6" name="Z_978C25F2_69C0_4E3B_8EFC_6A6EC3E48DD3_.wvu.FilterData">Agosto24!$A$1:$AB$409</definedName>
    <definedName hidden="1" localSheetId="8" name="Z_978C25F2_69C0_4E3B_8EFC_6A6EC3E48DD3_.wvu.FilterData">Julho24!$A$1:$AB$407</definedName>
    <definedName hidden="1" localSheetId="9" name="Z_978C25F2_69C0_4E3B_8EFC_6A6EC3E48DD3_.wvu.FilterData">Junho24!$A$1:$AB$406</definedName>
    <definedName hidden="1" localSheetId="10" name="Z_978C25F2_69C0_4E3B_8EFC_6A6EC3E48DD3_.wvu.FilterData">Maio24!$A$1:$AB$406</definedName>
    <definedName hidden="1" localSheetId="11" name="Z_978C25F2_69C0_4E3B_8EFC_6A6EC3E48DD3_.wvu.FilterData">Abril24!$A$1:$Y$406</definedName>
    <definedName hidden="1" localSheetId="12" name="Z_978C25F2_69C0_4E3B_8EFC_6A6EC3E48DD3_.wvu.FilterData">'Março24'!$A$1:$Y$406</definedName>
    <definedName hidden="1" localSheetId="13" name="Z_978C25F2_69C0_4E3B_8EFC_6A6EC3E48DD3_.wvu.FilterData">Fevereiro24!$A$1:$X$404</definedName>
    <definedName hidden="1" localSheetId="0" name="Z_B1E9CC24_145D_4007_8A11_90FD9E435072_.wvu.FilterData">Fevereiro25!$A$1:$T$488</definedName>
    <definedName hidden="1" localSheetId="1" name="Z_B1E9CC24_145D_4007_8A11_90FD9E435072_.wvu.FilterData">Janeiro25!$A$1:$T$487</definedName>
    <definedName hidden="1" localSheetId="2" name="Z_B1E9CC24_145D_4007_8A11_90FD9E435072_.wvu.FilterData">Dezembro24!$A$1:$T$484</definedName>
    <definedName hidden="1" localSheetId="3" name="Z_B1E9CC24_145D_4007_8A11_90FD9E435072_.wvu.FilterData">Novembro24!$A$1:$T$483</definedName>
    <definedName hidden="1" localSheetId="4" name="Z_B1E9CC24_145D_4007_8A11_90FD9E435072_.wvu.FilterData">Outubro24!$A$1:$AA$409</definedName>
    <definedName hidden="1" localSheetId="5" name="Z_B1E9CC24_145D_4007_8A11_90FD9E435072_.wvu.FilterData">Setembro24!$A$1:$AA$409</definedName>
    <definedName hidden="1" localSheetId="6" name="Z_B1E9CC24_145D_4007_8A11_90FD9E435072_.wvu.FilterData">Agosto24!$A$1:$AB$409</definedName>
    <definedName hidden="1" localSheetId="8" name="Z_B1E9CC24_145D_4007_8A11_90FD9E435072_.wvu.FilterData">Julho24!$A$1:$AB$407</definedName>
    <definedName hidden="1" localSheetId="9" name="Z_B1E9CC24_145D_4007_8A11_90FD9E435072_.wvu.FilterData">Junho24!$A$1:$AB$406</definedName>
    <definedName hidden="1" localSheetId="10" name="Z_B1E9CC24_145D_4007_8A11_90FD9E435072_.wvu.FilterData">Maio24!$A$1:$AB$406</definedName>
    <definedName hidden="1" localSheetId="11" name="Z_B1E9CC24_145D_4007_8A11_90FD9E435072_.wvu.FilterData">Abril24!$A$1:$Y$406</definedName>
    <definedName hidden="1" localSheetId="12" name="Z_B1E9CC24_145D_4007_8A11_90FD9E435072_.wvu.FilterData">'Março24'!$A$1:$Y$406</definedName>
    <definedName hidden="1" localSheetId="13" name="Z_B1E9CC24_145D_4007_8A11_90FD9E435072_.wvu.FilterData">Fevereiro24!$A$1:$X$404</definedName>
    <definedName hidden="1" localSheetId="0" name="Z_BA551338_6311_4C02_9137_137E692B7D93_.wvu.FilterData">Fevereiro25!$A$1:$P$488</definedName>
    <definedName hidden="1" localSheetId="1" name="Z_BA551338_6311_4C02_9137_137E692B7D93_.wvu.FilterData">Janeiro25!$A$1:$P$487</definedName>
    <definedName hidden="1" localSheetId="2" name="Z_BA551338_6311_4C02_9137_137E692B7D93_.wvu.FilterData">Dezembro24!$A$1:$P$484</definedName>
    <definedName hidden="1" localSheetId="3" name="Z_BA551338_6311_4C02_9137_137E692B7D93_.wvu.FilterData">Novembro24!$A$1:$P$483</definedName>
    <definedName hidden="1" localSheetId="4" name="Z_BA551338_6311_4C02_9137_137E692B7D93_.wvu.FilterData">Outubro24!$A$1:$W$409</definedName>
    <definedName hidden="1" localSheetId="5" name="Z_BA551338_6311_4C02_9137_137E692B7D93_.wvu.FilterData">Setembro24!$A$1:$W$409</definedName>
    <definedName hidden="1" localSheetId="6" name="Z_BA551338_6311_4C02_9137_137E692B7D93_.wvu.FilterData">Agosto24!$A$1:$X$409</definedName>
    <definedName hidden="1" localSheetId="8" name="Z_BA551338_6311_4C02_9137_137E692B7D93_.wvu.FilterData">Julho24!$A$1:$X$407</definedName>
    <definedName hidden="1" localSheetId="9" name="Z_BA551338_6311_4C02_9137_137E692B7D93_.wvu.FilterData">Junho24!$A$1:$X$406</definedName>
    <definedName hidden="1" localSheetId="10" name="Z_BA551338_6311_4C02_9137_137E692B7D93_.wvu.FilterData">Maio24!$A$1:$X$406</definedName>
    <definedName hidden="1" localSheetId="11" name="Z_BA551338_6311_4C02_9137_137E692B7D93_.wvu.FilterData">Abril24!$A$1:$U$406</definedName>
    <definedName hidden="1" localSheetId="12" name="Z_BA551338_6311_4C02_9137_137E692B7D93_.wvu.FilterData">'Março24'!$A$1:$U$406</definedName>
    <definedName hidden="1" localSheetId="13" name="Z_BA551338_6311_4C02_9137_137E692B7D93_.wvu.FilterData">Fevereiro24!$A$1:$T$404</definedName>
    <definedName hidden="1" localSheetId="14" name="Z_BA551338_6311_4C02_9137_137E692B7D93_.wvu.FilterData">Janeiro24!$A$1:$T$405</definedName>
    <definedName hidden="1" localSheetId="15" name="Z_BA551338_6311_4C02_9137_137E692B7D93_.wvu.FilterData">Dezembro23!$A$1:$S$405</definedName>
    <definedName hidden="1" localSheetId="0" name="Z_F477B962_7F95_4B58_B796_7F91B20D0221_.wvu.FilterData">Fevereiro25!$A$1:$T$488</definedName>
    <definedName hidden="1" localSheetId="1" name="Z_F477B962_7F95_4B58_B796_7F91B20D0221_.wvu.FilterData">Janeiro25!$A$1:$T$487</definedName>
    <definedName hidden="1" localSheetId="2" name="Z_F477B962_7F95_4B58_B796_7F91B20D0221_.wvu.FilterData">Dezembro24!$A$1:$T$484</definedName>
    <definedName hidden="1" localSheetId="3" name="Z_F477B962_7F95_4B58_B796_7F91B20D0221_.wvu.FilterData">Novembro24!$A$1:$T$483</definedName>
    <definedName hidden="1" localSheetId="4" name="Z_F477B962_7F95_4B58_B796_7F91B20D0221_.wvu.FilterData">Outubro24!$A$1:$AA$409</definedName>
    <definedName hidden="1" localSheetId="5" name="Z_F477B962_7F95_4B58_B796_7F91B20D0221_.wvu.FilterData">Setembro24!$A$1:$AA$409</definedName>
    <definedName hidden="1" localSheetId="6" name="Z_F477B962_7F95_4B58_B796_7F91B20D0221_.wvu.FilterData">Agosto24!$A$1:$AB$409</definedName>
    <definedName hidden="1" localSheetId="8" name="Z_F477B962_7F95_4B58_B796_7F91B20D0221_.wvu.FilterData">Julho24!$A$1:$AB$407</definedName>
    <definedName hidden="1" localSheetId="9" name="Z_F477B962_7F95_4B58_B796_7F91B20D0221_.wvu.FilterData">Junho24!$A$1:$AB$406</definedName>
    <definedName hidden="1" localSheetId="10" name="Z_F477B962_7F95_4B58_B796_7F91B20D0221_.wvu.FilterData">Maio24!$A$1:$AB$406</definedName>
    <definedName hidden="1" localSheetId="11" name="Z_F477B962_7F95_4B58_B796_7F91B20D0221_.wvu.FilterData">Abril24!$A$1:$Y$406</definedName>
    <definedName hidden="1" localSheetId="0" name="Z_9BA04A38_02DA_4F02_BBBB_302FC15326E0_.wvu.FilterData">Fevereiro25!$A$1:$P$488</definedName>
    <definedName hidden="1" localSheetId="1" name="Z_9BA04A38_02DA_4F02_BBBB_302FC15326E0_.wvu.FilterData">Janeiro25!$A$1:$P$487</definedName>
    <definedName hidden="1" localSheetId="2" name="Z_9BA04A38_02DA_4F02_BBBB_302FC15326E0_.wvu.FilterData">Dezembro24!$A$1:$P$484</definedName>
    <definedName hidden="1" localSheetId="3" name="Z_9BA04A38_02DA_4F02_BBBB_302FC15326E0_.wvu.FilterData">Novembro24!$A$1:$P$483</definedName>
    <definedName hidden="1" localSheetId="4" name="Z_9BA04A38_02DA_4F02_BBBB_302FC15326E0_.wvu.FilterData">Outubro24!$A$1:$W$409</definedName>
    <definedName hidden="1" localSheetId="5" name="Z_9BA04A38_02DA_4F02_BBBB_302FC15326E0_.wvu.FilterData">Setembro24!$A$1:$W$409</definedName>
    <definedName hidden="1" localSheetId="6" name="Z_9BA04A38_02DA_4F02_BBBB_302FC15326E0_.wvu.FilterData">Agosto24!$A$1:$X$409</definedName>
    <definedName hidden="1" localSheetId="8" name="Z_9BA04A38_02DA_4F02_BBBB_302FC15326E0_.wvu.FilterData">Julho24!$A$1:$X$407</definedName>
    <definedName hidden="1" localSheetId="9" name="Z_9BA04A38_02DA_4F02_BBBB_302FC15326E0_.wvu.FilterData">Junho24!$A$1:$X$406</definedName>
    <definedName hidden="1" localSheetId="10" name="Z_9BA04A38_02DA_4F02_BBBB_302FC15326E0_.wvu.FilterData">Maio24!$A$1:$X$406</definedName>
    <definedName hidden="1" localSheetId="11" name="Z_9BA04A38_02DA_4F02_BBBB_302FC15326E0_.wvu.FilterData">Abril24!$A$1:$U$406</definedName>
    <definedName hidden="1" localSheetId="12" name="Z_9BA04A38_02DA_4F02_BBBB_302FC15326E0_.wvu.FilterData">'Março24'!$A$1:$U$406</definedName>
    <definedName hidden="1" localSheetId="13" name="Z_9BA04A38_02DA_4F02_BBBB_302FC15326E0_.wvu.FilterData">Fevereiro24!$A$1:$T$404</definedName>
    <definedName hidden="1" localSheetId="14" name="Z_9BA04A38_02DA_4F02_BBBB_302FC15326E0_.wvu.FilterData">Janeiro24!$A$1:$T$405</definedName>
    <definedName hidden="1" localSheetId="15" name="Z_9BA04A38_02DA_4F02_BBBB_302FC15326E0_.wvu.FilterData">Dezembro23!$A$1:$S$405</definedName>
    <definedName hidden="1" localSheetId="16" name="Z_9BA04A38_02DA_4F02_BBBB_302FC15326E0_.wvu.FilterData">Novembro23!$A$1:$S$405</definedName>
    <definedName hidden="1" localSheetId="0" name="Z_D9D1A42E_DDFC_4032_8664_60A2E47E0D40_.wvu.FilterData">Fevereiro25!$A$1:$O$292</definedName>
    <definedName hidden="1" localSheetId="1" name="Z_D9D1A42E_DDFC_4032_8664_60A2E47E0D40_.wvu.FilterData">Janeiro25!$A$1:$O$291</definedName>
    <definedName hidden="1" localSheetId="2" name="Z_D9D1A42E_DDFC_4032_8664_60A2E47E0D40_.wvu.FilterData">Dezembro24!$A$1:$O$287</definedName>
    <definedName hidden="1" localSheetId="3" name="Z_D9D1A42E_DDFC_4032_8664_60A2E47E0D40_.wvu.FilterData">Novembro24!$A$1:$O$286</definedName>
    <definedName hidden="1" localSheetId="4" name="Z_D9D1A42E_DDFC_4032_8664_60A2E47E0D40_.wvu.FilterData">Outubro24!$A$1:$V$286</definedName>
    <definedName hidden="1" localSheetId="5" name="Z_D9D1A42E_DDFC_4032_8664_60A2E47E0D40_.wvu.FilterData">Setembro24!$A$1:$V$286</definedName>
    <definedName hidden="1" localSheetId="6" name="Z_D9D1A42E_DDFC_4032_8664_60A2E47E0D40_.wvu.FilterData">Agosto24!$A$1:$W$286</definedName>
    <definedName hidden="1" localSheetId="8" name="Z_D9D1A42E_DDFC_4032_8664_60A2E47E0D40_.wvu.FilterData">Julho24!$A$1:$W$284</definedName>
    <definedName hidden="1" localSheetId="9" name="Z_D9D1A42E_DDFC_4032_8664_60A2E47E0D40_.wvu.FilterData">Junho24!$A$1:$W$284</definedName>
    <definedName hidden="1" localSheetId="10" name="Z_D9D1A42E_DDFC_4032_8664_60A2E47E0D40_.wvu.FilterData">Maio24!$A$1:$W$284</definedName>
    <definedName hidden="1" localSheetId="11" name="Z_D9D1A42E_DDFC_4032_8664_60A2E47E0D40_.wvu.FilterData">Abril24!$A$1:$T$284</definedName>
    <definedName hidden="1" localSheetId="12" name="Z_D9D1A42E_DDFC_4032_8664_60A2E47E0D40_.wvu.FilterData">'Março24'!$A$1:$T$284</definedName>
    <definedName hidden="1" localSheetId="13" name="Z_D9D1A42E_DDFC_4032_8664_60A2E47E0D40_.wvu.FilterData">Fevereiro24!$A$1:$S$282</definedName>
    <definedName hidden="1" localSheetId="14" name="Z_D9D1A42E_DDFC_4032_8664_60A2E47E0D40_.wvu.FilterData">Janeiro24!$A$1:$S$283</definedName>
    <definedName hidden="1" localSheetId="15" name="Z_D9D1A42E_DDFC_4032_8664_60A2E47E0D40_.wvu.FilterData">Dezembro23!$A$1:$R$283</definedName>
    <definedName hidden="1" localSheetId="16" name="Z_D9D1A42E_DDFC_4032_8664_60A2E47E0D40_.wvu.FilterData">Novembro23!$A$1:$R$283</definedName>
    <definedName hidden="1" localSheetId="0" name="Z_3D13BECD_F97B_4CC8_B9FC_728C2CBFEBF1_.wvu.FilterData">Fevereiro25!$A$1:$P$488</definedName>
    <definedName hidden="1" localSheetId="1" name="Z_3D13BECD_F97B_4CC8_B9FC_728C2CBFEBF1_.wvu.FilterData">Janeiro25!$A$1:$P$487</definedName>
    <definedName hidden="1" localSheetId="2" name="Z_3D13BECD_F97B_4CC8_B9FC_728C2CBFEBF1_.wvu.FilterData">Dezembro24!$A$1:$P$484</definedName>
    <definedName hidden="1" localSheetId="3" name="Z_3D13BECD_F97B_4CC8_B9FC_728C2CBFEBF1_.wvu.FilterData">Novembro24!$A$1:$P$483</definedName>
    <definedName hidden="1" localSheetId="4" name="Z_3D13BECD_F97B_4CC8_B9FC_728C2CBFEBF1_.wvu.FilterData">Outubro24!$A$1:$W$409</definedName>
    <definedName hidden="1" localSheetId="5" name="Z_3D13BECD_F97B_4CC8_B9FC_728C2CBFEBF1_.wvu.FilterData">Setembro24!$A$1:$W$409</definedName>
    <definedName hidden="1" localSheetId="6" name="Z_3D13BECD_F97B_4CC8_B9FC_728C2CBFEBF1_.wvu.FilterData">Agosto24!$A$1:$X$409</definedName>
    <definedName hidden="1" localSheetId="8" name="Z_3D13BECD_F97B_4CC8_B9FC_728C2CBFEBF1_.wvu.FilterData">Julho24!$A$1:$X$407</definedName>
    <definedName hidden="1" localSheetId="9" name="Z_3D13BECD_F97B_4CC8_B9FC_728C2CBFEBF1_.wvu.FilterData">Junho24!$A$1:$X$406</definedName>
    <definedName hidden="1" localSheetId="10" name="Z_3D13BECD_F97B_4CC8_B9FC_728C2CBFEBF1_.wvu.FilterData">Maio24!$A$1:$X$406</definedName>
    <definedName hidden="1" localSheetId="11" name="Z_3D13BECD_F97B_4CC8_B9FC_728C2CBFEBF1_.wvu.FilterData">Abril24!$A$1:$U$406</definedName>
    <definedName hidden="1" localSheetId="12" name="Z_3D13BECD_F97B_4CC8_B9FC_728C2CBFEBF1_.wvu.FilterData">'Março24'!$A$1:$U$406</definedName>
    <definedName hidden="1" localSheetId="13" name="Z_3D13BECD_F97B_4CC8_B9FC_728C2CBFEBF1_.wvu.FilterData">Fevereiro24!$A$1:$T$404</definedName>
    <definedName hidden="1" localSheetId="14" name="Z_3D13BECD_F97B_4CC8_B9FC_728C2CBFEBF1_.wvu.FilterData">Janeiro24!$A$1:$T$405</definedName>
    <definedName hidden="1" localSheetId="15" name="Z_3D13BECD_F97B_4CC8_B9FC_728C2CBFEBF1_.wvu.FilterData">Dezembro23!$A$1:$S$405</definedName>
    <definedName hidden="1" localSheetId="16" name="Z_3D13BECD_F97B_4CC8_B9FC_728C2CBFEBF1_.wvu.FilterData">Novembro23!$A$1:$S$405</definedName>
    <definedName hidden="1" localSheetId="0" name="Z_C0AB1544_F4B4_45C0_8975_97F745A006DC_.wvu.FilterData">Fevereiro25!$A$1:$T$488</definedName>
    <definedName hidden="1" localSheetId="1" name="Z_C0AB1544_F4B4_45C0_8975_97F745A006DC_.wvu.FilterData">Janeiro25!$A$1:$T$487</definedName>
    <definedName hidden="1" localSheetId="2" name="Z_C0AB1544_F4B4_45C0_8975_97F745A006DC_.wvu.FilterData">Dezembro24!$A$1:$T$484</definedName>
    <definedName hidden="1" localSheetId="3" name="Z_C0AB1544_F4B4_45C0_8975_97F745A006DC_.wvu.FilterData">Novembro24!$A$1:$T$483</definedName>
    <definedName hidden="1" localSheetId="4" name="Z_C0AB1544_F4B4_45C0_8975_97F745A006DC_.wvu.FilterData">Outubro24!$A$1:$AA$409</definedName>
    <definedName hidden="1" localSheetId="5" name="Z_C0AB1544_F4B4_45C0_8975_97F745A006DC_.wvu.FilterData">Setembro24!$A$1:$AA$409</definedName>
    <definedName hidden="1" localSheetId="6" name="Z_C0AB1544_F4B4_45C0_8975_97F745A006DC_.wvu.FilterData">Agosto24!$A$1:$AB$409</definedName>
    <definedName hidden="1" localSheetId="8" name="Z_C0AB1544_F4B4_45C0_8975_97F745A006DC_.wvu.FilterData">Julho24!$A$1:$AB$407</definedName>
    <definedName hidden="1" localSheetId="9" name="Z_C0AB1544_F4B4_45C0_8975_97F745A006DC_.wvu.FilterData">Junho24!$A$1:$AB$406</definedName>
    <definedName hidden="1" localSheetId="10" name="Z_C0AB1544_F4B4_45C0_8975_97F745A006DC_.wvu.FilterData">Maio24!$A$1:$AB$406</definedName>
    <definedName hidden="1" localSheetId="11" name="Z_C0AB1544_F4B4_45C0_8975_97F745A006DC_.wvu.FilterData">Abril24!$A$1:$Y$406</definedName>
    <definedName hidden="1" localSheetId="0" name="Z_9B5C888F_E11A_4842_8D0B_62F1614802A4_.wvu.FilterData">Fevereiro25!$A$1:$O$292</definedName>
    <definedName hidden="1" localSheetId="1" name="Z_9B5C888F_E11A_4842_8D0B_62F1614802A4_.wvu.FilterData">Janeiro25!$A$1:$O$291</definedName>
    <definedName hidden="1" localSheetId="2" name="Z_9B5C888F_E11A_4842_8D0B_62F1614802A4_.wvu.FilterData">Dezembro24!$A$1:$O$287</definedName>
    <definedName hidden="1" localSheetId="3" name="Z_9B5C888F_E11A_4842_8D0B_62F1614802A4_.wvu.FilterData">Novembro24!$A$1:$O$286</definedName>
    <definedName hidden="1" localSheetId="4" name="Z_9B5C888F_E11A_4842_8D0B_62F1614802A4_.wvu.FilterData">Outubro24!$A$1:$V$286</definedName>
    <definedName hidden="1" localSheetId="5" name="Z_9B5C888F_E11A_4842_8D0B_62F1614802A4_.wvu.FilterData">Setembro24!$A$1:$V$286</definedName>
    <definedName hidden="1" localSheetId="6" name="Z_9B5C888F_E11A_4842_8D0B_62F1614802A4_.wvu.FilterData">Agosto24!$A$1:$W$286</definedName>
    <definedName hidden="1" localSheetId="8" name="Z_9B5C888F_E11A_4842_8D0B_62F1614802A4_.wvu.FilterData">Julho24!$A$1:$W$284</definedName>
    <definedName hidden="1" localSheetId="9" name="Z_9B5C888F_E11A_4842_8D0B_62F1614802A4_.wvu.FilterData">Junho24!$A$1:$W$284</definedName>
    <definedName hidden="1" localSheetId="10" name="Z_9B5C888F_E11A_4842_8D0B_62F1614802A4_.wvu.FilterData">Maio24!$A$1:$W$284</definedName>
    <definedName hidden="1" localSheetId="11" name="Z_9B5C888F_E11A_4842_8D0B_62F1614802A4_.wvu.FilterData">Abril24!$A$1:$T$284</definedName>
    <definedName hidden="1" localSheetId="12" name="Z_9B5C888F_E11A_4842_8D0B_62F1614802A4_.wvu.FilterData">'Março24'!$A$1:$T$284</definedName>
    <definedName hidden="1" localSheetId="13" name="Z_9B5C888F_E11A_4842_8D0B_62F1614802A4_.wvu.FilterData">Fevereiro24!$A$1:$S$282</definedName>
    <definedName hidden="1" localSheetId="14" name="Z_9B5C888F_E11A_4842_8D0B_62F1614802A4_.wvu.FilterData">Janeiro24!$A$1:$S$283</definedName>
    <definedName hidden="1" localSheetId="15" name="Z_9B5C888F_E11A_4842_8D0B_62F1614802A4_.wvu.FilterData">Dezembro23!$A$1:$R$283</definedName>
    <definedName hidden="1" localSheetId="16" name="Z_9B5C888F_E11A_4842_8D0B_62F1614802A4_.wvu.FilterData">Novembro23!$A$1:$R$283</definedName>
    <definedName hidden="1" localSheetId="0" name="Z_8BE028A4_B37D_4082_AE82_07BBC89EBB11_.wvu.FilterData">Fevereiro25!$A$1:$P$488</definedName>
    <definedName hidden="1" localSheetId="1" name="Z_8BE028A4_B37D_4082_AE82_07BBC89EBB11_.wvu.FilterData">Janeiro25!$A$1:$P$487</definedName>
    <definedName hidden="1" localSheetId="2" name="Z_8BE028A4_B37D_4082_AE82_07BBC89EBB11_.wvu.FilterData">Dezembro24!$A$1:$P$484</definedName>
    <definedName hidden="1" localSheetId="3" name="Z_8BE028A4_B37D_4082_AE82_07BBC89EBB11_.wvu.FilterData">Novembro24!$A$1:$P$483</definedName>
    <definedName hidden="1" localSheetId="4" name="Z_8BE028A4_B37D_4082_AE82_07BBC89EBB11_.wvu.FilterData">Outubro24!$A$1:$W$409</definedName>
    <definedName hidden="1" localSheetId="5" name="Z_8BE028A4_B37D_4082_AE82_07BBC89EBB11_.wvu.FilterData">Setembro24!$A$1:$W$409</definedName>
    <definedName hidden="1" localSheetId="6" name="Z_8BE028A4_B37D_4082_AE82_07BBC89EBB11_.wvu.FilterData">Agosto24!$A$1:$X$409</definedName>
    <definedName hidden="1" localSheetId="8" name="Z_8BE028A4_B37D_4082_AE82_07BBC89EBB11_.wvu.FilterData">Julho24!$A$1:$X$407</definedName>
    <definedName hidden="1" localSheetId="9" name="Z_8BE028A4_B37D_4082_AE82_07BBC89EBB11_.wvu.FilterData">Junho24!$A$1:$X$406</definedName>
    <definedName hidden="1" localSheetId="10" name="Z_8BE028A4_B37D_4082_AE82_07BBC89EBB11_.wvu.FilterData">Maio24!$A$1:$X$406</definedName>
    <definedName hidden="1" localSheetId="11" name="Z_8BE028A4_B37D_4082_AE82_07BBC89EBB11_.wvu.FilterData">Abril24!$A$1:$U$406</definedName>
    <definedName hidden="1" localSheetId="12" name="Z_8BE028A4_B37D_4082_AE82_07BBC89EBB11_.wvu.FilterData">'Março24'!$A$1:$U$406</definedName>
    <definedName hidden="1" localSheetId="13" name="Z_8BE028A4_B37D_4082_AE82_07BBC89EBB11_.wvu.FilterData">Fevereiro24!$A$1:$T$404</definedName>
    <definedName hidden="1" localSheetId="14" name="Z_8BE028A4_B37D_4082_AE82_07BBC89EBB11_.wvu.FilterData">Janeiro24!$A$1:$T$405</definedName>
  </definedNames>
  <calcPr/>
  <customWorkbookViews>
    <customWorkbookView activeSheetId="0" maximized="1" windowHeight="0" windowWidth="0" guid="{978C25F2-69C0-4E3B-8EFC-6A6EC3E48DD3}" name="Filtro 8"/>
    <customWorkbookView activeSheetId="0" maximized="1" windowHeight="0" windowWidth="0" guid="{F477B962-7F95-4B58-B796-7F91B20D0221}" name="Filtro 9"/>
    <customWorkbookView activeSheetId="0" maximized="1" windowHeight="0" windowWidth="0" guid="{3D13BECD-F97B-4CC8-B9FC-728C2CBFEBF1}" name="Filtro 4"/>
    <customWorkbookView activeSheetId="0" maximized="1" windowHeight="0" windowWidth="0" guid="{BA551338-6311-4C02-9137-137E692B7D93}" name="Filtro 5"/>
    <customWorkbookView activeSheetId="0" maximized="1" windowHeight="0" windowWidth="0" guid="{C0AB1544-F4B4-45C0-8975-97F745A006DC}" name="Filtro 10"/>
    <customWorkbookView activeSheetId="0" maximized="1" windowHeight="0" windowWidth="0" guid="{8BE028A4-B37D-4082-AE82-07BBC89EBB11}" name="Filtro 6"/>
    <customWorkbookView activeSheetId="0" maximized="1" windowHeight="0" windowWidth="0" guid="{B1E9CC24-145D-4007-8A11-90FD9E435072}" name="Filtro 7"/>
    <customWorkbookView activeSheetId="0" maximized="1" windowHeight="0" windowWidth="0" guid="{D9D1A42E-DDFC-4032-8664-60A2E47E0D40}" name="Filtro 1"/>
    <customWorkbookView activeSheetId="0" maximized="1" windowHeight="0" windowWidth="0" guid="{9B5C888F-E11A-4842-8D0B-62F1614802A4}" name="Filtro 2"/>
    <customWorkbookView activeSheetId="0" maximized="1" windowHeight="0" windowWidth="0" guid="{9BA04A38-02DA-4F02-BBBB-302FC15326E0}" name="Filtro 3"/>
  </customWorkbookViews>
</workbook>
</file>

<file path=xl/sharedStrings.xml><?xml version="1.0" encoding="utf-8"?>
<sst xmlns="http://schemas.openxmlformats.org/spreadsheetml/2006/main" count="83132" uniqueCount="5963">
  <si>
    <t>Nº</t>
  </si>
  <si>
    <t>A</t>
  </si>
  <si>
    <t>M/F</t>
  </si>
  <si>
    <t>Entrada</t>
  </si>
  <si>
    <t>País</t>
  </si>
  <si>
    <t>Tipo</t>
  </si>
  <si>
    <t>Mercado</t>
  </si>
  <si>
    <t>Referência</t>
  </si>
  <si>
    <t>Linha</t>
  </si>
  <si>
    <t>Stake*</t>
  </si>
  <si>
    <t>Stake</t>
  </si>
  <si>
    <t>Data</t>
  </si>
  <si>
    <t>Odd</t>
  </si>
  <si>
    <t>Resultado</t>
  </si>
  <si>
    <t>L/P</t>
  </si>
  <si>
    <t>Saldo</t>
  </si>
  <si>
    <t>Dia</t>
  </si>
  <si>
    <t>Em aberto</t>
  </si>
  <si>
    <t>B</t>
  </si>
  <si>
    <t>m</t>
  </si>
  <si>
    <t>Under 11,5 - Tampines Rovers FC x DPMM FC</t>
  </si>
  <si>
    <t>Singapura</t>
  </si>
  <si>
    <t>Live</t>
  </si>
  <si>
    <t>Cantos-</t>
  </si>
  <si>
    <t>Sem</t>
  </si>
  <si>
    <t>Perdida</t>
  </si>
  <si>
    <t>J</t>
  </si>
  <si>
    <t>Under 3,25 - Molde x St Patricks</t>
  </si>
  <si>
    <t>Amistoso</t>
  </si>
  <si>
    <t>Under</t>
  </si>
  <si>
    <t>Ganha/devolvida</t>
  </si>
  <si>
    <t xml:space="preserve">Under 5,25 - Dagon Star United FC x Shan Utd </t>
  </si>
  <si>
    <t>Cambodia</t>
  </si>
  <si>
    <t>Ganha</t>
  </si>
  <si>
    <t>Investimento</t>
  </si>
  <si>
    <t>K</t>
  </si>
  <si>
    <t xml:space="preserve">Under 1 - FC Ajka x FC Nagykanizsa </t>
  </si>
  <si>
    <t>Under 3,5 - Cardiff U21 x Everton U21</t>
  </si>
  <si>
    <t>Inglaterra</t>
  </si>
  <si>
    <t>Pinnacle</t>
  </si>
  <si>
    <t>f</t>
  </si>
  <si>
    <t>Under 3,5 - Ita Mbong Women x Lekie Filles FC Women</t>
  </si>
  <si>
    <t>Camarões</t>
  </si>
  <si>
    <t>Under 11 - Borussia Dortmund II x Hansa Rostock</t>
  </si>
  <si>
    <t>Alemanha</t>
  </si>
  <si>
    <t>ROI</t>
  </si>
  <si>
    <t>Under 2,75 - Borussia Dortmund II x Hansa Rostock</t>
  </si>
  <si>
    <t>Under 1 - Kavala 0 x 0 Diagoras</t>
  </si>
  <si>
    <t>Grécia</t>
  </si>
  <si>
    <t>Under 2,25 - Red Star FC 93 0 x 1 Lorient</t>
  </si>
  <si>
    <t>França</t>
  </si>
  <si>
    <t>Invest. médio</t>
  </si>
  <si>
    <t>Under 3,5 - Ullensaker/Kisa x Honefoss</t>
  </si>
  <si>
    <t>Under 3 - Amazone FAP Women x Dja Sports Women</t>
  </si>
  <si>
    <t>Under 4 - Bryne x Lysekloster</t>
  </si>
  <si>
    <t>% un cheia</t>
  </si>
  <si>
    <t>Under 11 - Bournemouth x Liverpool</t>
  </si>
  <si>
    <t>Under 10 - Scotland Championship</t>
  </si>
  <si>
    <t>Escócia</t>
  </si>
  <si>
    <t>Under 9,5 - Anderlecht II x Club Brugge II</t>
  </si>
  <si>
    <t>Bélgica</t>
  </si>
  <si>
    <t>Odd média</t>
  </si>
  <si>
    <t>Under 1 -  Oman FC 0 x 0 Al Rustaq</t>
  </si>
  <si>
    <t>Oman</t>
  </si>
  <si>
    <t>Under 10 - Wolverhampton x Aston Villa</t>
  </si>
  <si>
    <t>Under 10,5 - Portimonense x CD Mafra</t>
  </si>
  <si>
    <t>Portugal</t>
  </si>
  <si>
    <t xml:space="preserve">Under 0,75 - US Goree x Casa Sport </t>
  </si>
  <si>
    <t>Senegal</t>
  </si>
  <si>
    <t xml:space="preserve">Under 1 - Vineuil SF x Vierzon Foot </t>
  </si>
  <si>
    <t>Devolvida</t>
  </si>
  <si>
    <t xml:space="preserve">Under 1 - Union Berlin x RB Leipzig </t>
  </si>
  <si>
    <t xml:space="preserve">Under 1 - Lierse Kempenzonen x RWD Molenbeek </t>
  </si>
  <si>
    <t>Under 2,5 - Real San Andres x Tigres FC</t>
  </si>
  <si>
    <t>Colômbia</t>
  </si>
  <si>
    <t>Under 11,5 - Point Fortin FC x Club Sando</t>
  </si>
  <si>
    <t>Trinidad e Tob</t>
  </si>
  <si>
    <t xml:space="preserve">Under 0,75 - Platense Women x San Luis FC Women </t>
  </si>
  <si>
    <t>Argentina</t>
  </si>
  <si>
    <t>Perdida/devolvida</t>
  </si>
  <si>
    <t xml:space="preserve">Under 3,5 - Point Fortin FC x Club Sando </t>
  </si>
  <si>
    <t>Under 11,5 - SE Gama x Paranoa EC</t>
  </si>
  <si>
    <t>Brasil</t>
  </si>
  <si>
    <t xml:space="preserve">Under 1 - Sportivo Trinidense x Sportivo Luqueno </t>
  </si>
  <si>
    <t>Paraguai</t>
  </si>
  <si>
    <t xml:space="preserve">Under 3 - Universidad de San Carlos x Nueva Santa Rosa CDF </t>
  </si>
  <si>
    <t>Guatemala</t>
  </si>
  <si>
    <t>Under 3 - Inter Bangkok x Prime Bangkok</t>
  </si>
  <si>
    <t>Tailândia</t>
  </si>
  <si>
    <t>TOTAL</t>
  </si>
  <si>
    <t>Under 10,5 - Dagon Port FC x Ayeyawady Utd</t>
  </si>
  <si>
    <t>Myanmar</t>
  </si>
  <si>
    <t>Under 3 - CD Valdefierro Women x Igualada Women</t>
  </si>
  <si>
    <t>Espanha</t>
  </si>
  <si>
    <t>Under 3,5 - Cerro Porteno Reserves x Nacional Asuncion Reserves</t>
  </si>
  <si>
    <t>Under 2,5 - Zimamoto SC x Mlandege FC</t>
  </si>
  <si>
    <t>Zanzibar</t>
  </si>
  <si>
    <t xml:space="preserve">Under 3,25 - Tanjong Pagar United x BG Pathum United </t>
  </si>
  <si>
    <t>Under 10 - Debreceni VSC x Nyiregyhaza Spartacus</t>
  </si>
  <si>
    <t>Hungria</t>
  </si>
  <si>
    <t>Under 10 - Slovacko x Sparta Prague</t>
  </si>
  <si>
    <t>Rep. Tcheca</t>
  </si>
  <si>
    <t>Under 2,5 - Panathinaikos Women x AEK Athens Women</t>
  </si>
  <si>
    <t>Under 2,25 - Rayo Majadahonda 0 x 0 Navalcarnero</t>
  </si>
  <si>
    <t xml:space="preserve">Under 1 - Alhaurino x UD San Pedro </t>
  </si>
  <si>
    <t>Under 3 - AS Kigali Women x Kamonyi FC Women</t>
  </si>
  <si>
    <t>Ruanda</t>
  </si>
  <si>
    <t>Under 1,25 - Panathinaikos Women 0 x 0 AEK Athens Women</t>
  </si>
  <si>
    <t>Under 11,5 - Pretoria University x Pretoria Callies</t>
  </si>
  <si>
    <t>África do Sul</t>
  </si>
  <si>
    <t xml:space="preserve">Under 1 - Panathinaikos Women x AEK Athens Women </t>
  </si>
  <si>
    <t>Under 3,75 - Rugby Borough Women x Wolverhampton Women</t>
  </si>
  <si>
    <t>Under 11,5 - Brentford x Tottenham</t>
  </si>
  <si>
    <t xml:space="preserve">Under 2,5 - Tampere Utd x FC Inter II </t>
  </si>
  <si>
    <t xml:space="preserve">Under 0,75 - Nairobi City Stars x AFC Leopards </t>
  </si>
  <si>
    <t>Quênia</t>
  </si>
  <si>
    <t>Under 3 - Huachipato x Rangers de Talca</t>
  </si>
  <si>
    <t>Chile</t>
  </si>
  <si>
    <t>Under 3,25 - Benfica Women B x Gil Vicente FC Women</t>
  </si>
  <si>
    <t>Under 10 - AD Machico x SC Coimbroes</t>
  </si>
  <si>
    <t>Under 1,25 - Audace Cerignola 0 x 0 Catania</t>
  </si>
  <si>
    <t>Itália</t>
  </si>
  <si>
    <t>Under 0,75 - Alcains 0 x 0 Arronches e Benfica</t>
  </si>
  <si>
    <t>Under 1 - Medeama SC 0 x 0 Legon Cities FC</t>
  </si>
  <si>
    <t>Gana</t>
  </si>
  <si>
    <t>Lucro</t>
  </si>
  <si>
    <t>Invest</t>
  </si>
  <si>
    <t xml:space="preserve">Under 0,75 - Berceo x Haro Deportivo </t>
  </si>
  <si>
    <t>Under 1 - Manzanares CF 0 x 0 CD Noblejas</t>
  </si>
  <si>
    <t>G</t>
  </si>
  <si>
    <t>Under 0,75 - Unionistas de Salamanca CF 0 x 0 Ponferradina</t>
  </si>
  <si>
    <t>H</t>
  </si>
  <si>
    <t>Under 1,25 - CF Benidorm 0 x 0 UD Castellonense</t>
  </si>
  <si>
    <t>Under 2,75 - Reus FC Reddis x CFJ Mollerussa</t>
  </si>
  <si>
    <t>Under 1,25 - Angers 0 x 0 Le Havre</t>
  </si>
  <si>
    <t>U</t>
  </si>
  <si>
    <t>Under 1,25 - Reus FC Reddis 0 x 0 CFJ Mollerussa</t>
  </si>
  <si>
    <t>Y</t>
  </si>
  <si>
    <t xml:space="preserve">Under 0,75 - Reus FC Reddis x CFJ Mollerussa </t>
  </si>
  <si>
    <t>Under 11,5 - America FC Propria x AA Guarany</t>
  </si>
  <si>
    <t>Under 11 - Independiente FSJ x Londrina</t>
  </si>
  <si>
    <t>Under 11 - Andraus Brasil x Athletico Paranaense</t>
  </si>
  <si>
    <t xml:space="preserve">Under 2,5 - TP-T x Tampere Utd II </t>
  </si>
  <si>
    <t>Under 3,5 - Cerro Porteno Women x Libertad Limpeno Women</t>
  </si>
  <si>
    <t xml:space="preserve">Under 3 - Marseille x Lyon </t>
  </si>
  <si>
    <t>Under 10 - Caravaggio SC x Hercilio Luz</t>
  </si>
  <si>
    <t>Under 1 - Once Deportivo de Ahuachapán x Municipal Limeno</t>
  </si>
  <si>
    <t>Honduras</t>
  </si>
  <si>
    <t>Under 1,5 - Cerro Porteno Women x Libertad Limpeno Women</t>
  </si>
  <si>
    <t xml:space="preserve">Under 1 - Deportes Copiapo x Deportes Iquique </t>
  </si>
  <si>
    <t xml:space="preserve">Under 1 - San Juan Huracan x San Juan FC </t>
  </si>
  <si>
    <t>Under 3,5 - 2 de Mayo Women x Nacional-Humaita Women</t>
  </si>
  <si>
    <t>Under 3 - Universidad de Chile x Magallanes</t>
  </si>
  <si>
    <t>Under 2,75 - Diriangen x Managua FC</t>
  </si>
  <si>
    <t>Nicarágua</t>
  </si>
  <si>
    <t>Under 3,0 - General Caballero Reserves x Sportivo Ameliano Reserves</t>
  </si>
  <si>
    <t>Under 3,0 - Churchill Brothers SC x SC Bengaluru</t>
  </si>
  <si>
    <t>Índia</t>
  </si>
  <si>
    <t>Under 3,25 - Sportivo Trinidense Reserves x Sportivo Luqueno Reserves</t>
  </si>
  <si>
    <t>Under 11,5 cantos - Odisha FC x Northeast United</t>
  </si>
  <si>
    <t>Under 1,0 - Odisha FC x Northeast United</t>
  </si>
  <si>
    <t>Under 1,0 - Al Safa x Al Adalh</t>
  </si>
  <si>
    <t>Arábia Saudita</t>
  </si>
  <si>
    <t>Under 1,25 - Al-Ittihad Bahrain U21 x East Riffa U21</t>
  </si>
  <si>
    <t>Bahrein</t>
  </si>
  <si>
    <t>Under 3,25 - Wolverhampton U21 x Sunderland U21</t>
  </si>
  <si>
    <t>Under 1,0 - Maccabi Tel Aviv x Beitar Jerusalem</t>
  </si>
  <si>
    <t>Israel</t>
  </si>
  <si>
    <t>Under 4,75 - Portadown Reserves x Dungannon Swifts Reserves</t>
  </si>
  <si>
    <t>Irlanda Norte</t>
  </si>
  <si>
    <t>Over 1,5 - Argentinos Jrs x Platense</t>
  </si>
  <si>
    <t>Under 4,25 - Pachuca Women x Club America Women</t>
  </si>
  <si>
    <t>México</t>
  </si>
  <si>
    <t>Under 0,75 - Kadhimiya SC x Mosul FC</t>
  </si>
  <si>
    <t>Iraque</t>
  </si>
  <si>
    <t>Under 0,75 - Peshmerga Sulaymaniya SC x Al Ramadi SC</t>
  </si>
  <si>
    <t>Under 3,0 - Hapoel Kfar Saba x Ironi Ramat Hasharon</t>
  </si>
  <si>
    <t>Under 1,0 - FC Schaffhausen x Stade Lausanne-Ouchy</t>
  </si>
  <si>
    <t>Suíça</t>
  </si>
  <si>
    <t>Under 1,0 - Real Tacoronte CF x CD Marino</t>
  </si>
  <si>
    <t>Under 2,75 - Inter de Limeira x Bragantino</t>
  </si>
  <si>
    <t>Under 3,0 - ESMTK x Ivancsa</t>
  </si>
  <si>
    <t>Europa</t>
  </si>
  <si>
    <t>Under 4,25 - ESMTK x Ivancsa</t>
  </si>
  <si>
    <t>Under 5,0 - ZFK TSC Women x ZFK Sloga Women</t>
  </si>
  <si>
    <t>Sérvia</t>
  </si>
  <si>
    <t>Under 4,25 - Ahli Bank Women x Maadi &amp; Yacht Club Women</t>
  </si>
  <si>
    <t>Egito</t>
  </si>
  <si>
    <t>Under 6,5 - Svay Rieng FC x Shan Utd</t>
  </si>
  <si>
    <t>Ásia</t>
  </si>
  <si>
    <t>Under 2,25 - Abia Angels FC Women x Confluense Queens Women</t>
  </si>
  <si>
    <t>Nigéria</t>
  </si>
  <si>
    <t>Under 0,75 - Ethiopian Insurance FC x Fasil Kenema</t>
  </si>
  <si>
    <t>Etiópia</t>
  </si>
  <si>
    <t>Under 3,5 - NK Posusje x HNK Tomislav</t>
  </si>
  <si>
    <t>Under 1,0 - Gzira United x Valletta</t>
  </si>
  <si>
    <t>Malta</t>
  </si>
  <si>
    <t>Under 5,5 - Hellas Kagran x SC Korneuburg</t>
  </si>
  <si>
    <t>Under 0,75 - Rio Preto x EC Sao Bernardo</t>
  </si>
  <si>
    <t>Under 4,75 - Mosta FC x Qrendi FC</t>
  </si>
  <si>
    <t>Under 11,0 cantos - Londrina x Azuriz FC</t>
  </si>
  <si>
    <t>Under 0,75 - Ferroviaria SP x Primavera SP</t>
  </si>
  <si>
    <t>Under 10,0 cantos - Vasco da Gama x Fluminense</t>
  </si>
  <si>
    <t>Under 3,75 - Mario Mendez FC Women x Inter Panama CF Women</t>
  </si>
  <si>
    <t>Panamá</t>
  </si>
  <si>
    <t>Under 0,75 - EC Juventude x Gremio</t>
  </si>
  <si>
    <t>Under 2,5 - Imisli x FK Karvan</t>
  </si>
  <si>
    <t>Azerbaijão</t>
  </si>
  <si>
    <t>Under 9,0 cantos - Vision Kigali x Gorilla FC</t>
  </si>
  <si>
    <t>Under 0,75 - Gomhoryet Shebin x Banha</t>
  </si>
  <si>
    <t>Under 10,0 cantos - Al Qadisiya Al Khubar x Al Raed</t>
  </si>
  <si>
    <t>Under 1,25 - SV Gloggnitz x SV Leithaprodersdorf</t>
  </si>
  <si>
    <t xml:space="preserve">  </t>
  </si>
  <si>
    <t>Under 2,75 - Newport City FC x Trethomas Bluebirds AFC</t>
  </si>
  <si>
    <t>País de Gales</t>
  </si>
  <si>
    <t>Under 3,5 - Point Fortin FC x Cunupia FC</t>
  </si>
  <si>
    <t>Trinidad e Tob.</t>
  </si>
  <si>
    <t>Under 3,5 - Cong An Ha Noi U19 x Song Lam Nghe An U19</t>
  </si>
  <si>
    <t>Vietnã</t>
  </si>
  <si>
    <t>Under 2,25 - Illescas x Toledo</t>
  </si>
  <si>
    <t>Under 3,25 - Shatin Women x Hong Kong FC Women</t>
  </si>
  <si>
    <t>Hong Kong</t>
  </si>
  <si>
    <t>Under 2,75 - FC Ebolowa Women x Amazone FAP Women</t>
  </si>
  <si>
    <t>FC Espoir AH +0,25 - Entente 2 x FC Espoir Tsevie</t>
  </si>
  <si>
    <t>Togo</t>
  </si>
  <si>
    <t>AH+</t>
  </si>
  <si>
    <t>Under 3,0 - Bochum x Heracles</t>
  </si>
  <si>
    <t>Paises Baixos</t>
  </si>
  <si>
    <t>Hatayspor AH +2,5 - Fenerbahce x Hatayspor</t>
  </si>
  <si>
    <t>Turquia</t>
  </si>
  <si>
    <t>Foolad AH +0,75 - Oghab Tehran x Foolad Khuzestan B</t>
  </si>
  <si>
    <t>Irã</t>
  </si>
  <si>
    <t>Under 0,75 - FC Diarra x Afrique Football Elite</t>
  </si>
  <si>
    <t>Mali</t>
  </si>
  <si>
    <t>Under 2,0 - Onze Créateurs x USFAS Bamako</t>
  </si>
  <si>
    <t>Under 1,25 - Crystal Palace U21 x Fulham U21</t>
  </si>
  <si>
    <t>Under 3,5 - Friends United x Vatika FC</t>
  </si>
  <si>
    <t>Under 4,0 - PAOK Salonika U19 x Athens Kallithea U19</t>
  </si>
  <si>
    <t>Under 3,75 - Hull U21 x Coventry U21</t>
  </si>
  <si>
    <t>Under 3,75 - Burnley U21 x Sheff Utd U21</t>
  </si>
  <si>
    <t>Under 3,0 - Valencia B Women x Orientacion Maritima Women</t>
  </si>
  <si>
    <t>Levante AH +2,25 - Real Madrid Women x Levante UD Women</t>
  </si>
  <si>
    <t>Under 0,75 - CD Santa Ursula x Estrella CF</t>
  </si>
  <si>
    <t>Under 1,0 - Cambrian United x Baglan Dragons</t>
  </si>
  <si>
    <t>Under 2,75 - NK Maribor x Istra 1961</t>
  </si>
  <si>
    <t>Croácia</t>
  </si>
  <si>
    <t>Under 1,75 - Naft Al-Basra x Newroz SC</t>
  </si>
  <si>
    <t>Under 1,0 - Serrekunda Utd x Suwo Kono</t>
  </si>
  <si>
    <t>Gâmbia</t>
  </si>
  <si>
    <t>Under 2,75 - Hapoel Kiryat Ono x Beitar Tel Aviv Bat Yam</t>
  </si>
  <si>
    <t>Under 3,25 - Ahali Tamra x Hapoel Bnei Bi'ina</t>
  </si>
  <si>
    <t>Under 3,25 - MS Bnei Jaffa Ortodoxim x Hapoel Hod Hasharon</t>
  </si>
  <si>
    <t>Under 3,0 - Hapoel Kfar Qasm Shuaa x Hakoah Amidar Ramat Gan</t>
  </si>
  <si>
    <t>Under 4,5 - NK Radomlje x NK Sesvete</t>
  </si>
  <si>
    <t>Under 1,0 - Madiba FC x Osun United</t>
  </si>
  <si>
    <t>Under 2,5 - Al-Riffa x Al-Muharraq</t>
  </si>
  <si>
    <t>Under 2,0 - AS Police x Binga FC</t>
  </si>
  <si>
    <t>Under 2,0 - Lazio x Como</t>
  </si>
  <si>
    <t>Under 1,0 - Auxerre x Lille</t>
  </si>
  <si>
    <t>Pendikspor AH +1,75 - Fatih Karagumruk U19 x Pendikspor U19</t>
  </si>
  <si>
    <t>Under 2,25 - Yaounde FC II x Racing de Bafoussam</t>
  </si>
  <si>
    <t>Under 0,75 - Shahin Tehran x Abiposhan Zeydon</t>
  </si>
  <si>
    <t>Under 1,0 - Dubai United x Al Dhafra SCC</t>
  </si>
  <si>
    <t>Em. Árabes</t>
  </si>
  <si>
    <t>Under 3,0 - SC Leira Marrazes U19 x Beira Mar U19</t>
  </si>
  <si>
    <t>Vilaverdense AH +2,25 - AD Limianos U19 x Vilaverdense U19</t>
  </si>
  <si>
    <t>Gil AH +1,0 - Rio Ave Women x Gil Vicente FC Women</t>
  </si>
  <si>
    <t>Real AH +1,75 - UD Leiria Sub-19 v Real SC Sub-19</t>
  </si>
  <si>
    <t>Under 3 - CD Valdefierro Women x CE Seagull Women</t>
  </si>
  <si>
    <t>Under 0,75 - ASD Caldiero Terme x Triestina</t>
  </si>
  <si>
    <t>Under 0,75 - Aigle Royal du Moungo x Dynamo de Douala</t>
  </si>
  <si>
    <t>Under 1,0 - Ammanford AFC x Cambrian United</t>
  </si>
  <si>
    <t>Under 0,75 - Aris Limassol x Pafos FC</t>
  </si>
  <si>
    <t>Chipre</t>
  </si>
  <si>
    <t>Under 2,75 - Sporting Women B x Benfica Women B</t>
  </si>
  <si>
    <t>Under 1,0 - UD San Pedro x Maracena</t>
  </si>
  <si>
    <t>Under 4,5 - Maccabi Ahva Fureidis x FC Tirat HaCarmel</t>
  </si>
  <si>
    <t>Under 0,75 - US Lege-Cap-Ferret x Aviron Bayonnais</t>
  </si>
  <si>
    <t>Under 1,0 - Santa Cruz RN x Potiguar de Mossoro</t>
  </si>
  <si>
    <t>Under 1,0 - Imperatriz x Sampaio Correa</t>
  </si>
  <si>
    <t>Under 3,5 - 1976 FC Phoenix x San Juan Jabloteh</t>
  </si>
  <si>
    <t>Under 3,75 - Illescas x Union Sur Yaiza</t>
  </si>
  <si>
    <t>Under 1 - Socuéllamos x CD Villacanas</t>
  </si>
  <si>
    <t>Under 0,75 - Rio Ave U19 x Guimaraes U19</t>
  </si>
  <si>
    <t>Under 2,75 - Ilisiakos x Agios Nikolaos</t>
  </si>
  <si>
    <t>Under 0,75 - Kisumu All Stars x Mombasa United</t>
  </si>
  <si>
    <t>Under 3,0 - Luanda Villa SC x Nairobi United</t>
  </si>
  <si>
    <t>Under 2,75 - Viktoria Plzen x Piast Gliwice</t>
  </si>
  <si>
    <t>Under 1,0 - Mathare United x Kariobangi Sharks</t>
  </si>
  <si>
    <t>Under 4 - AE Larissa U19 x Ethnikos Neou Keramidiou U19</t>
  </si>
  <si>
    <t>Under 2 - AS Douanes de Niamey x ASN Nigelec</t>
  </si>
  <si>
    <t>Niger</t>
  </si>
  <si>
    <t>Under 0,75 - Union Abong-Mbang x Djiko FC de Bandjoun</t>
  </si>
  <si>
    <t>Under 4,75 - Victoria Utd Limbe x AS Fortuna Mfou</t>
  </si>
  <si>
    <t>Under 0,75 - Aberdeen x Hearts</t>
  </si>
  <si>
    <t>Under 0,75 - FCV Denver EH x Gent</t>
  </si>
  <si>
    <t>Under 0,75 - Etoile Filante de Lomé x AS Binah</t>
  </si>
  <si>
    <t>Under 0,75 - Cerdanyola del Valles FC x UE Tona</t>
  </si>
  <si>
    <t>Estrela AH +2 - Louletano DC x Estrela de Vendas Novas</t>
  </si>
  <si>
    <t>Under 2,0 - Globo FC x CE Forca e Luz</t>
  </si>
  <si>
    <t>Under 3,75 - AC Port Of Spain x Point Fortin FC</t>
  </si>
  <si>
    <t>Under 2,0 - Juarez FC Women x Club Necaxa Women</t>
  </si>
  <si>
    <t>Under 4,0 - Cliftonville Reserves x Crusaders Reserves</t>
  </si>
  <si>
    <t xml:space="preserve">Under 2,25 - Linfield Reserves x Glentoran Reserves </t>
  </si>
  <si>
    <t>FC Wagadou AH +0,75 - Medina United FC x FC Wagadou</t>
  </si>
  <si>
    <t>Under 3,25 - Wolverhampton U21 x Sheff Utd U21</t>
  </si>
  <si>
    <t>Under 4,25 - PSV x Excelsior</t>
  </si>
  <si>
    <t>Under 1,0 - Noordwijk x Barendrecht</t>
  </si>
  <si>
    <t>Under 2,0 - Caernarfon Town x Flint Town Utd</t>
  </si>
  <si>
    <t>Under 2,75 - NK Dubrava Zagreb x NK Sesvete</t>
  </si>
  <si>
    <t>Under 3,5 - NK Osijek x Orijent</t>
  </si>
  <si>
    <t>Under 2,75 - Ferencvarosi TC x Piast Gliwice</t>
  </si>
  <si>
    <t>Under 2,0 - Bayelsa Queens FC Women x Delta Queens Women</t>
  </si>
  <si>
    <t>Under 2,5 - Delphi SC x Fleet Club</t>
  </si>
  <si>
    <t>Under 2,0 - Binga FC x Real Bamako</t>
  </si>
  <si>
    <t>Under 3,75 - SV Leobendorf x SV Schwechat</t>
  </si>
  <si>
    <t>Áustria</t>
  </si>
  <si>
    <t>Under 4,0 - Club Laguna SAF x CE Forca e Luz</t>
  </si>
  <si>
    <t>Under 4,5 - Valur Reykjavik Women x Fylkir Reykjavik Women</t>
  </si>
  <si>
    <t>Islândia</t>
  </si>
  <si>
    <t>Under 2 -  Aberystwyth Women x Cardiff Met Women</t>
  </si>
  <si>
    <t>Under 2,5 - Al Zulfi x Neom SC</t>
  </si>
  <si>
    <t>Under 0,75 - Al Majd x El Hammam</t>
  </si>
  <si>
    <t>Al Raed AH +1,75 - Al Ittihad Jeddah x Al Raed</t>
  </si>
  <si>
    <t>Under 0,75 - Kanifing United x Gunjur United</t>
  </si>
  <si>
    <t>Under 3,25 - Quick Boys x Heerenveen</t>
  </si>
  <si>
    <t>Under 2,0 - Parana x Operario PR</t>
  </si>
  <si>
    <t>Udelas AH +1,5 - CA Independiente de la Chorrera x Udelas FC</t>
  </si>
  <si>
    <t>Under 3,75 - CA Independiente de la Chorrera x Udelas FC</t>
  </si>
  <si>
    <t>Under 1,0 - United SC U21 x East Bengal Club U21</t>
  </si>
  <si>
    <t>Under 4,0 - MS Jerusalem x MS Hapoel Lod</t>
  </si>
  <si>
    <t>Under 4,0 - Kfar Saba 1928 x MS Bnei Jaffa Ortodoxim</t>
  </si>
  <si>
    <t>Under 2,75 - Trat FC x Kanchanaburi Power</t>
  </si>
  <si>
    <t>Under 2,0 - Maccabi Achi Nazareth x Tzeirei Kfar Kanna</t>
  </si>
  <si>
    <t>Under 1 - Trat FC x Kanchanaburi Power</t>
  </si>
  <si>
    <t>Under 3,25 - Louves Minproff Women x FC Ebolowa Women</t>
  </si>
  <si>
    <t>Under 0,75 - Gambian Dutch Lions x Falcon FC</t>
  </si>
  <si>
    <t>Under 2,25 - WSPG Wels x Sportunion Sankt Martin</t>
  </si>
  <si>
    <t>Under 4,5 - Oberwart x Wiener Neustadt</t>
  </si>
  <si>
    <t>Under 3,75 - Everton U21 x Leeds U21</t>
  </si>
  <si>
    <t>Under 4,5 - St Patricks CY FC x Ballymun United</t>
  </si>
  <si>
    <t>Irlanda</t>
  </si>
  <si>
    <t>Under 1,0 - Grenoble x Martigues</t>
  </si>
  <si>
    <t>Under 3,25 - Rakhine United x Yadanarbon FC</t>
  </si>
  <si>
    <t>Under 2,5 - Customs United x Saimit Kabin United</t>
  </si>
  <si>
    <t>Under 1 - Rahmatgonj MFS x Dhaka Abahani</t>
  </si>
  <si>
    <t>Blangadesh</t>
  </si>
  <si>
    <t>Under 6,25 - Rakhine United x Yadanarbon FC</t>
  </si>
  <si>
    <t>Under 4,25 - DPMM FC x Geylang International</t>
  </si>
  <si>
    <t>PAAEK +1 - Digenis Ypsonas x PAEEK</t>
  </si>
  <si>
    <t>Under 2,75 - Kazincbarcikai BSC x MFK Zemplin Michalovce</t>
  </si>
  <si>
    <t>Under 1,5 - Valur Reykjavik x Fram Reykjavik</t>
  </si>
  <si>
    <t>Under 0,75 - Kibera Black Stars x MOFA FC</t>
  </si>
  <si>
    <t>Under 2,75 - LLB Amasipiri FC x Olympic Star</t>
  </si>
  <si>
    <t>Burundi</t>
  </si>
  <si>
    <t>Under 1 - Spartakos Kitiou x Othellos Athienou</t>
  </si>
  <si>
    <t>Under 3,75 - Herrera FC Reserves x CD Bocas Junior</t>
  </si>
  <si>
    <t>Under 3,5 - Breidablik x IA Akranes</t>
  </si>
  <si>
    <t>Under 1 - Gazisehir Gaziantep FK x Bodrum FK</t>
  </si>
  <si>
    <t>Ossett AH +1,75 - England Northern League Division One</t>
  </si>
  <si>
    <t>Under 3 - Compostela U19 x Sporting Gijon U19</t>
  </si>
  <si>
    <t>Under 3,25 - Arosa U19 x Verina CF U19</t>
  </si>
  <si>
    <t>Under 3,5 - Union Adarve U19 x Atletico Madrid U19</t>
  </si>
  <si>
    <t>Under 3 - Hapoel Bnei Sakhnin x Maccabi Haifa</t>
  </si>
  <si>
    <t>Beti AH +1,75 - Mutilvera x Beti Kozkor KE</t>
  </si>
  <si>
    <t>Under 1 - Cliftonville x Loughgall</t>
  </si>
  <si>
    <t>Under 1 - Dijon Women x Strasbourg Women</t>
  </si>
  <si>
    <t>Under 0,75 - Rimini x Lucchese</t>
  </si>
  <si>
    <t>Under 5,25 - Inter Club d'Escaldes x FS La Massana</t>
  </si>
  <si>
    <t>Andorra</t>
  </si>
  <si>
    <t>Under 1 - EC Lemense x Comercial FC</t>
  </si>
  <si>
    <t>Under 3,25 - San Jose Interior x Canelones Capital</t>
  </si>
  <si>
    <t>Uruguai</t>
  </si>
  <si>
    <t>Under 2,75 - Inter San Carlos x AD Sarchi</t>
  </si>
  <si>
    <t>Costa Rica</t>
  </si>
  <si>
    <t>Under 5,25 - Rio Negro Capital x Soriano Interior</t>
  </si>
  <si>
    <t>Soma AH +2 - Giresun Sanayispor Women x Soma Zaferspor Women</t>
  </si>
  <si>
    <t>Under 3 - Richards Bay FC Reserves x Amazulu Reserves</t>
  </si>
  <si>
    <t>Africa do Sul</t>
  </si>
  <si>
    <t>Under 1,75 - Ispe FC x Myawady FC</t>
  </si>
  <si>
    <t>Under 2 - Asteras Stavrou x Rhodos</t>
  </si>
  <si>
    <t>Under 4,75 - Victoria FC Women x Deportivo La Coruna B Women</t>
  </si>
  <si>
    <t>Under 1 - Collado Villalba x AD Cala Pozuelo</t>
  </si>
  <si>
    <t>Under 0,75 - Aguilas x San Fernando CD</t>
  </si>
  <si>
    <t>Under 5,5 - Benfica Women x Estoril Praia Women</t>
  </si>
  <si>
    <t>Proxy AH +0,75 - Proxy SC x Sporting Alexandria</t>
  </si>
  <si>
    <t>Under 0,75 - CD San Roque de Lepe x UD Tomares</t>
  </si>
  <si>
    <t>Under 4,75 - Slavia Prague Women x Slask Wroclaw Women</t>
  </si>
  <si>
    <t>Yeni AH +3,25 - Pendikspor x Yeni Malatyaspor</t>
  </si>
  <si>
    <t>Under 2,25 - AO Giouchtas x Marko</t>
  </si>
  <si>
    <t>San Nicolo AH +2,25 - Sambenedettese x San Nicolo Notaresco</t>
  </si>
  <si>
    <t>Cardiff AH +2,5 - Barry Town Women x Cardiff Met Women</t>
  </si>
  <si>
    <t>Under 3 - Aguilas de la U x SD Atletico Nacional</t>
  </si>
  <si>
    <t>Under 3 - CD Castellon Women x CD Valdefierro Women</t>
  </si>
  <si>
    <t>Under 4,75 - Stourbridge Women x Wolverhampton Women</t>
  </si>
  <si>
    <t>Under 2,5 - Tampere Utd II x FC Haka Juniors</t>
  </si>
  <si>
    <t>Ibri AH +1,75 - Al Seeb x Ibri Club</t>
  </si>
  <si>
    <t>Omã</t>
  </si>
  <si>
    <t>Under 2,5 -  Ilioupoli x Panionios</t>
  </si>
  <si>
    <t>Under 0,75 - AA Francana x Sertaozinho FC</t>
  </si>
  <si>
    <t>Under 1,25 - HV &amp; CV Quick x TOGB</t>
  </si>
  <si>
    <t>Holanda</t>
  </si>
  <si>
    <t xml:space="preserve">Under 1,25 - Gulf United FC x Gulf Heroes FC </t>
  </si>
  <si>
    <t>UAE</t>
  </si>
  <si>
    <t>Under 3,5 - Zaragoza CFF II Women x Vic Riuprimer Refo Women</t>
  </si>
  <si>
    <t>Under 1,25 - Liverpool Feds Women x Rugby Borough Women</t>
  </si>
  <si>
    <t>Under 2,75 - Epila CF x CDJ Tamarite</t>
  </si>
  <si>
    <t>Under 0,75 - Oliveira Hospital x Sporting Covilha</t>
  </si>
  <si>
    <t>Under 0,75 - Atletico Tordesillas x Becerril</t>
  </si>
  <si>
    <t>Under 1,0 - CD Badajoz B x RCP Valverdeno</t>
  </si>
  <si>
    <t>Under 0,75 - Tropezon x Castro</t>
  </si>
  <si>
    <t>Under 1,5 - Adana Demirspor x Fenerbahce</t>
  </si>
  <si>
    <t>Under 1,0 - Omonia Nicosia x Aris Limassol</t>
  </si>
  <si>
    <t>Under 0,75 - Queretaro U19 x Unam Pumas U19</t>
  </si>
  <si>
    <t>Under 2,25 - CD Cacahuatique Reserves x CD Aguila Reserves</t>
  </si>
  <si>
    <t>El Salvador</t>
  </si>
  <si>
    <t>Under 3,25 - Matagalpa FC x Diriangen</t>
  </si>
  <si>
    <t>Under 2,75 - UMECIT Reserves x Panama City FC</t>
  </si>
  <si>
    <t>Ellerton AH +2,5 - Weymouth Wales x Elelrton FC</t>
  </si>
  <si>
    <t>Barbados</t>
  </si>
  <si>
    <t>Under 3,0 - Ayeyawady Utd x Thitsar Arman FC</t>
  </si>
  <si>
    <t>Under 1,25 - Hapoel Bikat Hayarden x Hakoah Amidar Ramat Gan</t>
  </si>
  <si>
    <t>Under 2,75 - Al Bidda SC x Al-Mu'aidar</t>
  </si>
  <si>
    <t>Catar</t>
  </si>
  <si>
    <t>Under 1,5 - Al Khaleej Saihat x Al-Nassr Riyadh</t>
  </si>
  <si>
    <t>Under 1,0 - Tzeirei Kfar Kanna x Ironi Nesher</t>
  </si>
  <si>
    <t>Under 0,75 - Omonia Aradippou x Omonia 29is Maiou</t>
  </si>
  <si>
    <t>Under 1,25 - Ebbsfleet United x Nottm Forest U21</t>
  </si>
  <si>
    <t>Under 5,25 - Ashford Town (Midxx) x Guernsey</t>
  </si>
  <si>
    <t>Under 1,0 - Salisbury FC x Farnborough</t>
  </si>
  <si>
    <t>Under 1,0 - Thanh Hoa x Svay Rieng FC</t>
  </si>
  <si>
    <t>Under 3,75 - Czarni Sosnowiec Women x Rekord Bielsko-Biala Women</t>
  </si>
  <si>
    <t>Polônia</t>
  </si>
  <si>
    <t>Under 2,0 - Afrique Football Elite x Binga FC</t>
  </si>
  <si>
    <t>CD Achuapa AH +2,25 - CSD Municipal Reserves x CD Achuapa Reserves</t>
  </si>
  <si>
    <t>Under 3,5 - Xelaju Reserves x Antigua GFC Reserves</t>
  </si>
  <si>
    <t xml:space="preserve">Under 2,75 - Man Utd Women x Man City Women </t>
  </si>
  <si>
    <t>Under 2,25 - RB Leipzig x Sporting</t>
  </si>
  <si>
    <t>Under 3,75 - SC Wiener Viktoria x Wiener Neustadt</t>
  </si>
  <si>
    <t>Over 2,0 - Deportivo Mixco x Marquense</t>
  </si>
  <si>
    <t>Over</t>
  </si>
  <si>
    <t>Over 2,0 - America RN x Juazeirense</t>
  </si>
  <si>
    <t>Over 1,75 - Barcelona BA x Jacobina EC</t>
  </si>
  <si>
    <t>Over 2,25 - Ferroviario x Sport Recife</t>
  </si>
  <si>
    <t>Over 2,0 - Sao Jose PA x EC Pelotas</t>
  </si>
  <si>
    <t>Under 3,5 - Nacional de Patos x Picuiense</t>
  </si>
  <si>
    <t>Under 2,0 - Mes Soongoun Varzaghan x Mes Kerman</t>
  </si>
  <si>
    <t>Under 2,25 - NSK Zilina x Riga FC</t>
  </si>
  <si>
    <t>Eslováquia</t>
  </si>
  <si>
    <t>Under 1,5 - Al Sadd x Qatar SC Doha</t>
  </si>
  <si>
    <t xml:space="preserve">Under 1,25 - Al-Rayyan SC x Al Duhail </t>
  </si>
  <si>
    <t>Under 1,0 - Kishronot Hadera Women x FC Ramat Hasharon Women</t>
  </si>
  <si>
    <t>Under 2,5 - Ludogorets Razgrad x Midtjylland</t>
  </si>
  <si>
    <t xml:space="preserve">Under 1 - Elfsborg x Nice </t>
  </si>
  <si>
    <t>Over 2,25 - Vila Nova x Goianesia</t>
  </si>
  <si>
    <t xml:space="preserve">Under 1,5 - Arnett Gardens x Molynes United FC </t>
  </si>
  <si>
    <t>Jamaica</t>
  </si>
  <si>
    <t>Under 3,25 - Hapoel Ironi Arraba x SC Kiryat Yam</t>
  </si>
  <si>
    <t>Under 2,75 - Haifa Yakov x Bnei Qalansawe</t>
  </si>
  <si>
    <t>Under 2,5 - SC Bengaluru x Sreenidi Deccan</t>
  </si>
  <si>
    <t>Under 3,5 - Hatta Dubai U21 x Al Nasr SC U21</t>
  </si>
  <si>
    <t>Under 6,5 - Hapoel Yafia x Hapoel Sandala Gilboa</t>
  </si>
  <si>
    <t>Under 3,75 - Stabaek x Jerv</t>
  </si>
  <si>
    <t>Noruega</t>
  </si>
  <si>
    <t>Under 3,5 - Al-Nassr Riyadh Women x Al Amal Women</t>
  </si>
  <si>
    <t>Árabia Saudita</t>
  </si>
  <si>
    <t>Under 3,5 - Shoban Moslemen Qena x Qus</t>
  </si>
  <si>
    <t xml:space="preserve">Under 2 - East Bengal Club x Kerala Blasters </t>
  </si>
  <si>
    <t>Under 4 - Wolfsberger AC x SKU Amstetten</t>
  </si>
  <si>
    <t xml:space="preserve">Under 2 - Eastern Flame Women x Al Qadisiyah Women </t>
  </si>
  <si>
    <t xml:space="preserve">Under 6,25 - Al-Wakrah SC x Al-Arabi Doha </t>
  </si>
  <si>
    <t xml:space="preserve">Under 3,25 - FC Volendam x Maastricht </t>
  </si>
  <si>
    <t xml:space="preserve">Under 4,5 - Central FC x Point Fortin FC </t>
  </si>
  <si>
    <t>Under 3,5 - Inter Panama CF Women x UMECIT Women</t>
  </si>
  <si>
    <t>Under 2,75 - UMECIT Reserves x CD Arabe Unido Reserves</t>
  </si>
  <si>
    <t xml:space="preserve">Under 1,75 - Monagas x Deportivo La Guaira </t>
  </si>
  <si>
    <t>Venezuela</t>
  </si>
  <si>
    <t>Under 3,25 - Royal Thai Army x Samutsakhon City</t>
  </si>
  <si>
    <t>Under 3,5 - SV Austria Salzburg x WSPG Wels</t>
  </si>
  <si>
    <t xml:space="preserve">Under 1 - Brothers Union x Dhaka Abahani </t>
  </si>
  <si>
    <t>Under 3 - Sportivo Trinidense Reserves x Sportivo Ameliano Reserves</t>
  </si>
  <si>
    <t xml:space="preserve">Under 3,75 - Ivancsa x Kelen SC </t>
  </si>
  <si>
    <t xml:space="preserve">Under 3,5 - FV Illertissen x FV Ravensburg </t>
  </si>
  <si>
    <t xml:space="preserve">Under 1 - Rajasthan United x Churchill Brothers SC </t>
  </si>
  <si>
    <t>Arosa AH +2 - Deportivo La Coruna U19 x Arosa U19</t>
  </si>
  <si>
    <t>Over 1,5 - Esteghlal Khuzestan x Gol Gohar</t>
  </si>
  <si>
    <t xml:space="preserve">Under 3,5 - Perth Glory NPL x Bayswater City </t>
  </si>
  <si>
    <t>Austrália</t>
  </si>
  <si>
    <t xml:space="preserve">Under 1 - Viven Bornova FK x Elaziz Belediyespor </t>
  </si>
  <si>
    <t>Under 2,75 - Anagennisi FC Deryneia x Halkanoras Idaliou</t>
  </si>
  <si>
    <t xml:space="preserve">Under 5,5 - Sport Viseu Benfica U19 x GD Pelariga U19 </t>
  </si>
  <si>
    <t>PAOK AH +1,75 - PAOK Salonika B AH +1.75 @2.0</t>
  </si>
  <si>
    <t>Under 2 - Bugesera Women x APR FC Women</t>
  </si>
  <si>
    <t xml:space="preserve">Under 1 - MFK Karvina x Dukla Banska Bystrica </t>
  </si>
  <si>
    <t>Under 2,75 - Strasbourg Koenigshoffen x Metz II</t>
  </si>
  <si>
    <t xml:space="preserve">Under 1 - Ethnikos Latsion x Iraklis Yerolakkou </t>
  </si>
  <si>
    <t>Under 3,25 - Holywell Town x Airbus UK</t>
  </si>
  <si>
    <t>Under 4,25 - Prestatyn Town x Caersws</t>
  </si>
  <si>
    <t xml:space="preserve">Under 0,75 - Antwerp II x KVV Thes Sport </t>
  </si>
  <si>
    <t xml:space="preserve">Under 3 - US Orleans II x Chauvigny </t>
  </si>
  <si>
    <t>Under 3 - 2 de Mayo Reserves x Nacional Asuncion Reserves</t>
  </si>
  <si>
    <t xml:space="preserve">Under 3,5 - Fylkir Reykjavik x Valur Reykjavik </t>
  </si>
  <si>
    <t xml:space="preserve">Under 0,75 - UNAM FC x Eeshoke Chulachula FC </t>
  </si>
  <si>
    <t>Namibia</t>
  </si>
  <si>
    <t xml:space="preserve">Under 0,75 - FC Groningen x Heerenveen </t>
  </si>
  <si>
    <t>Omônia AH +3,0 - Apollon Limassol Women x Omonia Nicosia Women</t>
  </si>
  <si>
    <t>Under 3,5 - Myawady FC x Shan Utd</t>
  </si>
  <si>
    <t>Under 2,75 - NK Primorje Ajdovscina x Siroki Brijeg</t>
  </si>
  <si>
    <t>Under 3,75 - Royal Navy x Samut Prakan FC</t>
  </si>
  <si>
    <t>Under 5 - Sevilla U19 x Rusadir CF U19</t>
  </si>
  <si>
    <t>Over 2 - Anguiano x CD Calahorra</t>
  </si>
  <si>
    <t xml:space="preserve">Under 4 - Karlovac x Hrvace </t>
  </si>
  <si>
    <t>Under 2,75 - FC Inter x IFK Mariehamn</t>
  </si>
  <si>
    <t>Finlândia</t>
  </si>
  <si>
    <t xml:space="preserve">Under 1 - Altinordu x Kepez Belediyespor </t>
  </si>
  <si>
    <t xml:space="preserve">Under 2 - Fenerbahce Women x Fomget GSK Women </t>
  </si>
  <si>
    <t xml:space="preserve">Under 2,25 - Tanjong Pagar United x DPMM FC </t>
  </si>
  <si>
    <t xml:space="preserve">Under 1 - Excelsior x ADO Den Haag </t>
  </si>
  <si>
    <t>Under 2,75 - Bordeaux II x Colomiers</t>
  </si>
  <si>
    <t>Over 2 - Uniao Barbarense x Nacional SP</t>
  </si>
  <si>
    <t>Chambly AH +1,75 - US Orleans U19 x FC Chambly Oise U19</t>
  </si>
  <si>
    <t>Under 3,25 - Dijon U19 x Metz U19</t>
  </si>
  <si>
    <t>Under 3,75 - US Quevilly U19 x Lens U19</t>
  </si>
  <si>
    <t xml:space="preserve">Under 3,5 - HJK Helsinki U20 x KoPSe U20 </t>
  </si>
  <si>
    <t xml:space="preserve">Under 3,5 - Safa Beirut x Reyady Abaseya </t>
  </si>
  <si>
    <t>Líbano</t>
  </si>
  <si>
    <t>Under 5,25 - Rugby Borough Women x Halifax Women</t>
  </si>
  <si>
    <t xml:space="preserve">Under 1 - Olympiakos Volou x Pas Amvrakikos </t>
  </si>
  <si>
    <t>´-1</t>
  </si>
  <si>
    <t xml:space="preserve">Under 2,25 - Spartans Women x Rangers Women </t>
  </si>
  <si>
    <t>Under 2,75 - Al-Arabi Doha U21 x Al-Wakrah SC U21</t>
  </si>
  <si>
    <t>Under 2,75 - Al-Rayyan SC U21 x Al Duhail U21</t>
  </si>
  <si>
    <t xml:space="preserve">Under 0,75 - Racing de Bafoussam x Unisport Bafang </t>
  </si>
  <si>
    <t>Under 2 - Utiel x Atzeneta</t>
  </si>
  <si>
    <t>Under 3,75 - PEC Zwolle Women x Ajax Women</t>
  </si>
  <si>
    <t>Under 2,75 - Oyonesa x UD Logrones B</t>
  </si>
  <si>
    <t xml:space="preserve">Under 1 - CF Oliveira Douro Women x SC Cruz Women </t>
  </si>
  <si>
    <t xml:space="preserve">Under 1 - ASD Caldiero Terme x Trento </t>
  </si>
  <si>
    <t xml:space="preserve">Under 2,25 - Marquense Reserves x Guastatoya Reserves </t>
  </si>
  <si>
    <t>Under 3 - Potiguar de Mossoro x Baraunas</t>
  </si>
  <si>
    <t>Under 3,5 - Celtic Women x Hearts Women</t>
  </si>
  <si>
    <t>Under 3,5 - Morvant Caledonia Utd x Police FC TT</t>
  </si>
  <si>
    <t>Over 2,25 - Vasco da Gama x Portuguesa RJ</t>
  </si>
  <si>
    <t>Under 3,25 - Brittons Hill x Weymouth Wales</t>
  </si>
  <si>
    <t>Under 3,75 - Sudeva Delhi FC x Friends United</t>
  </si>
  <si>
    <t>Under 1,0 - Nonthaburi United x Hua Hin Maraleina FC</t>
  </si>
  <si>
    <t xml:space="preserve">Over 1,75 - Al Kharaitiyat SC x Lusail </t>
  </si>
  <si>
    <t>Under 3,0 - Al Qadisiya Al Khubar x Al Hilal Riyadh</t>
  </si>
  <si>
    <t>Under 2,0 - Roma U20 x Lazio U20</t>
  </si>
  <si>
    <t>Under 0,75 - El Atesalat x Afak SC</t>
  </si>
  <si>
    <t>Under 3,0 - JK Nomme Kalju x JK Trans Narva</t>
  </si>
  <si>
    <t>Under 3,0 - Real Murcia x Silkeborg IF</t>
  </si>
  <si>
    <t>Under 1,0 - Bengal Club U21 x Mohun Bagan SG U21</t>
  </si>
  <si>
    <t>Under 2,5 - Amazones C5 Women x AS Mande Women</t>
  </si>
  <si>
    <t>Under 3,5 - Malacateco Reserves x Xelaxu Reserves</t>
  </si>
  <si>
    <t>Under 4,5 - Bjelovar x Pecsi MFC</t>
  </si>
  <si>
    <t>Under 1,0 - Oldham x Man Utd U21</t>
  </si>
  <si>
    <t>Under 0,75 - Dourados x Operario MS</t>
  </si>
  <si>
    <t>Under 4,0 - Dinamo Zagreb x AC Milan</t>
  </si>
  <si>
    <t>Zagreb</t>
  </si>
  <si>
    <t>Under 3,75 - Santa Fe FC Women x UMECIT Women</t>
  </si>
  <si>
    <t>Under 3,5 - Tigres del Jumay x Deportivo Palencia FC</t>
  </si>
  <si>
    <t>Under 3,0 - AS Real Women x USFAS Women</t>
  </si>
  <si>
    <t>Under 0,75 - Bosher Club x Muscat</t>
  </si>
  <si>
    <t>Under 0,75 - Kanifing United x Colley Stars</t>
  </si>
  <si>
    <t>Under 3,25 - Valur Reykjavik x KR Reykjavik</t>
  </si>
  <si>
    <t>Under 3,0 - Lobos UPNFM Reserves x CD Olimpia Reserves</t>
  </si>
  <si>
    <t>Under 5,5 - Tauro FC Reserves x Potros Del Este Reserves</t>
  </si>
  <si>
    <t>Under 0,75 - Cavalier x Tivoli Gardens</t>
  </si>
  <si>
    <t>Under 5,0 - Imperatriz x EC Viana</t>
  </si>
  <si>
    <t>Under 3,5 - Sportivo Ameliano Reserves x Olimpia Asuncion Reserves</t>
  </si>
  <si>
    <t>Under 3,25 - Ihud Bnei Shfaram x SC Kiryat Yam</t>
  </si>
  <si>
    <t>Under 1,0 - Maccabi Achi Nazareth x Hapoel Bueine</t>
  </si>
  <si>
    <t>Under 3,75 - Perth SC x Stirling Macedonia</t>
  </si>
  <si>
    <t>Under 1,0 - Shabab Baalbak x Racing Beirut</t>
  </si>
  <si>
    <t>Under 0,75 - AC Tripoli x Al-Mabarrah</t>
  </si>
  <si>
    <t>Under 3,5 - Ranheim x Levanger</t>
  </si>
  <si>
    <t>Under 2,75 - Authentic de Douala Women x Caiman Douala Women</t>
  </si>
  <si>
    <t>Under 0,75 - Malindi x Uhamiaji FC</t>
  </si>
  <si>
    <t>Under 3,0 - Ranheim x Levanger</t>
  </si>
  <si>
    <t>Under 0,75 - Yarmouk x Khaitan</t>
  </si>
  <si>
    <t>Kuwait</t>
  </si>
  <si>
    <t>Under 0,75 - AFC Hermannstadt x ACS UTA Batrana Doamna</t>
  </si>
  <si>
    <t>Romênia</t>
  </si>
  <si>
    <t>Under 0,75 - Alemannia Aachen x Cottbus</t>
  </si>
  <si>
    <t xml:space="preserve">Under 2 - Werder Bremen x Mainz </t>
  </si>
  <si>
    <t>Under 3,5 - CD Victoria La Ceiba Reserves x Olancho FC Reserves</t>
  </si>
  <si>
    <t xml:space="preserve">Under 2 - OH Leuven x KV Mechelen </t>
  </si>
  <si>
    <t>Under 3,75 - CD Victoria La Ceiba Reserves x Olancho FC Reserves</t>
  </si>
  <si>
    <t>Under 3,75 - La Horquetta Rangers FC x Cunupia FC</t>
  </si>
  <si>
    <t>Under 9,5 - Union La Calera x Everton de Vina</t>
  </si>
  <si>
    <t>Under 2,5 - CD Roda x Castellon B</t>
  </si>
  <si>
    <t>Under 3,75 - Angkor Tiger FC x Tiffy Army FC</t>
  </si>
  <si>
    <t>Camboja</t>
  </si>
  <si>
    <t>Lenense AH +1,0 - Lenense x Caudal</t>
  </si>
  <si>
    <t>Recreativo AH +3,0 - Sevilha Sub-19 x Recreativo de Huelva Sub-19</t>
  </si>
  <si>
    <t>Under 0,75 - CE Europa B x Peralada</t>
  </si>
  <si>
    <t>Seraing AH +1 - Seraing United x RWD Molenbeek</t>
  </si>
  <si>
    <t>Pré</t>
  </si>
  <si>
    <t>Under 2,0 - SP Villafranca x Olivenza</t>
  </si>
  <si>
    <t>Under 1,0 - BG Pathum United x United Banguecoque</t>
  </si>
  <si>
    <t>Under 3,0 - Louves Minproff (fem) x Eclair de Saa (fem)</t>
  </si>
  <si>
    <t>Sarrabus AH +0,75 - Sarrabus Ogliastra x AC Savoia 1908</t>
  </si>
  <si>
    <t>Vis Pesaro AH +0,75 - Vis Pesaro Sub-19 x Mantova Sub-19</t>
  </si>
  <si>
    <t>FC Chambly AH +1,0 - FC Chambly Oise Sub-19 x Amiens Sub-19</t>
  </si>
  <si>
    <t>Under 3,0 - FC Chambly Oise Sub-19 x Amiens Sub-19</t>
  </si>
  <si>
    <t>Cardiff AH +2,75 - Cardiff Met (fem) x The New Saints (fem)</t>
  </si>
  <si>
    <t>País Gales</t>
  </si>
  <si>
    <t>Under 1,0 - Inter Star x Vital'O FC</t>
  </si>
  <si>
    <t>Caiman AH +2,5 - Lekie Filles FC (fem) x Caiman Douala (fem)</t>
  </si>
  <si>
    <t>Under 4,75 - Las Palmas Sub-19 x CD Orientación Marítima Sub-19</t>
  </si>
  <si>
    <t>Under 1,0 - AS du Port x SDC Group/Hopital FC</t>
  </si>
  <si>
    <t>Djibouti</t>
  </si>
  <si>
    <t>Under 1,0 - Omonia Aradippou x Nea Salamis Famagusta</t>
  </si>
  <si>
    <t>Under 3,0 - Swiequi Utd x Lija Athletic</t>
  </si>
  <si>
    <t>AS Garde AH +0,75 - AS Garde Nationale x ASC Gendrim</t>
  </si>
  <si>
    <t>Mauritânia</t>
  </si>
  <si>
    <t>Under 3,0 - Águilas Doradas - Reservas x Sol de Oriente</t>
  </si>
  <si>
    <t>Under 0,75 - Zalaegerszegi TE x Fehervar FC</t>
  </si>
  <si>
    <t>Under 0,75 - Zakho x Al Karma</t>
  </si>
  <si>
    <t>Under 3,25 - Liverpool Montevideo (fem) x Defensor Sporting (fem)</t>
  </si>
  <si>
    <t>Under 2,75 - Vicenza x Virtus Verona</t>
  </si>
  <si>
    <t>Under 3,25 - CD Olimpia Reservas x Olancho FC Reservas</t>
  </si>
  <si>
    <t>FK Kom Podgorica AH +2,0 - FK Rudar Pljevlja x FK Kom Podgorica</t>
  </si>
  <si>
    <t>Montenegro</t>
  </si>
  <si>
    <t>Under 2,0 - Polônia Sub-19 (fem) x Inglaterra Sub-19 (fem)</t>
  </si>
  <si>
    <t>Under 4,25 - Sheff Utd Sub-21 x Coventry Sub-21</t>
  </si>
  <si>
    <t>Under 3,75 - Barnsley Sub-21 x Fleetwood Town Sub-21</t>
  </si>
  <si>
    <t>Under 1,0 - Torino Sub-20 x Parma Sub-19</t>
  </si>
  <si>
    <t>Under 3,0 - Ironi Nesher x Hapoel Migdal Haemeq</t>
  </si>
  <si>
    <t>Under 3,0 - CD Novillos Neza x Atlético Pachuca</t>
  </si>
  <si>
    <t>Under 2,0 - Hapoel Afula Sub-19 x Hapoel Acre Sub-19</t>
  </si>
  <si>
    <t>Under 4,25 - Burnley Sub-21 x Birmingham Sub-21</t>
  </si>
  <si>
    <t>Under 2,5 - Al Hilal Riyadh x Al Gharafa</t>
  </si>
  <si>
    <t>Under 4,0 - San Jose de Oruro x Universitario De Vinto</t>
  </si>
  <si>
    <t>Bolívia</t>
  </si>
  <si>
    <t>Under 2,25 - Hayes &amp; Yeading x Badshot Lea</t>
  </si>
  <si>
    <t>Under 1,0 - Heybridge Swifts x Brentwood Town</t>
  </si>
  <si>
    <t>Under 4,25 - Lowestoft Town x Biggleswade Town</t>
  </si>
  <si>
    <t>Under 1,0 - Cambridge City x Waltham Abbey</t>
  </si>
  <si>
    <t>Under 1,75 - Huddersfield x Wigan</t>
  </si>
  <si>
    <t>Under 3,0 - Kuching City FC x Sabah FC</t>
  </si>
  <si>
    <t>Malásia</t>
  </si>
  <si>
    <t>Under 2,0 - Invincible Eleven x Global Pharma</t>
  </si>
  <si>
    <t>Libéria</t>
  </si>
  <si>
    <t>Under 3,0 - Pirin Blagoevgrad x Sportist Svoge</t>
  </si>
  <si>
    <t>Bulgária</t>
  </si>
  <si>
    <t>Under 0,75 - Wallidan FC x Baalor Sarr FC</t>
  </si>
  <si>
    <t>Under 5,0 - Fram/Ulfarnir Sub-19 x Fjolnir/Vaengir Sub-19</t>
  </si>
  <si>
    <t>Under 1,0 - Maccabi Haifa x Hapoel Beer Sheva</t>
  </si>
  <si>
    <t>Under 6,25 - OH Leuven x Zulte-Waregem</t>
  </si>
  <si>
    <t>Under 3,75 - CD Estepona x Leganes</t>
  </si>
  <si>
    <t>Under 3,0 - Umraniyespor x Isparta 32 Spor</t>
  </si>
  <si>
    <t>Under 2,75 - Hal FC x Parikrma FC</t>
  </si>
  <si>
    <t>Under 3,0 - Beitar Kfar Saba x Hapoel Hod Hasharon</t>
  </si>
  <si>
    <t>Under 3,0 - Ironi Beit Shemesh x Hapoel Yeruham</t>
  </si>
  <si>
    <t>Under 2,25 - Bournemouth x Tottenham</t>
  </si>
  <si>
    <t>Under 2,5 - Hapoel Herzliya x Maccabi Yavne</t>
  </si>
  <si>
    <t>Under 1,0 - USM Annaba Sub-21 x AS Khroub Sub-21</t>
  </si>
  <si>
    <t>Algéria</t>
  </si>
  <si>
    <t>Under 0,75 - Maccabi Ashdod x Tzeirey Tira</t>
  </si>
  <si>
    <t>Vointa AH +2,25 - ACS Sepsi II x Vointa Limpezis</t>
  </si>
  <si>
    <t>CSM Flacara AH +1,75 - CS Blejoi x CSM Flacara Moreni</t>
  </si>
  <si>
    <t>Under 3 - NK Sesvete sub19 x NK Zagreb sub19</t>
  </si>
  <si>
    <t>Under 0,75 - AS du Port x CF Gendarmerie Nationale</t>
  </si>
  <si>
    <t>Under 2,0 - Dakar Université Club x Stade de Mbour</t>
  </si>
  <si>
    <t>Under 3,0 - Al Ittihad Jeddah x Al-Nassr Riyadh</t>
  </si>
  <si>
    <t>Under 3,75 - Everton Sub-21 x Ipswich Sub--21</t>
  </si>
  <si>
    <t>Under 1,25 - FC Arta x AS Arta Solar 7</t>
  </si>
  <si>
    <t>CA Estudiantes AH +1,25 - Gimnasia LP (fem) x CA Estudiantes Caseros (fem)</t>
  </si>
  <si>
    <t>Under 3,0 - Gimnasia LP (fem) x CA Estudiantes Caseros (fem)</t>
  </si>
  <si>
    <t>Under 1,25 - Everton Sub-21 x Ipswich Sub-21</t>
  </si>
  <si>
    <t>Under 3,5 - CSO Teleajenul Valeni de Munte x AFC Banesti Urleta</t>
  </si>
  <si>
    <t>Under 4,25 - Campobasso Sub-19 x Messina Sub-19</t>
  </si>
  <si>
    <t>Under 2,75 - KF Prishtina x KF Gjilani</t>
  </si>
  <si>
    <t>Kosovo</t>
  </si>
  <si>
    <t>Under 2,0 - Konyaspor x Antalyaspor</t>
  </si>
  <si>
    <t>Under 2,75 - CSO Plopeni x ACS Olimpic Cetate x Rasnov</t>
  </si>
  <si>
    <t>ACS Olimpic AH +1,25 - CSO Plopeni x ACS Olimpic Cetaet Rasnov</t>
  </si>
  <si>
    <t>Under 1,0 - Caiman Douala (fem) x Dja Sports (fem)</t>
  </si>
  <si>
    <t>Amora AH +1,25 - Vitória de Setúbal Sub-19 x Amora FC Sub-19</t>
  </si>
  <si>
    <t>Under 2,75 - Varzim Sub-19 x Marinhas FC Sub-19</t>
  </si>
  <si>
    <t>Under 0,75 - Casric Stars FC x University of Pretoria</t>
  </si>
  <si>
    <t>África Sul</t>
  </si>
  <si>
    <t>Fuenlabrada AH +1,5 - Union Adarve Sub-19 x Fuenlabrada Sub-19</t>
  </si>
  <si>
    <t>Verina AH +1,5 - ED Val Minor Nigran Sub-19 x Verina CF Sub-19</t>
  </si>
  <si>
    <t>Under 3,0 - CF Damm Sub-19 x Mercantil Sub-19</t>
  </si>
  <si>
    <t>Under 2,0 - Steve Biko FC x TMT FA</t>
  </si>
  <si>
    <t>Under 1,0 - Besiktas x Fenerbahce</t>
  </si>
  <si>
    <t>Under 0,75 - ASC HLM x Generation Foot</t>
  </si>
  <si>
    <t>Under 5,25 - Olympique Marcquois Sub-19 x Le Havre Sub-19</t>
  </si>
  <si>
    <t>Under 1,75 - Santa Clara x Rio Ave</t>
  </si>
  <si>
    <t>Under 2,0 - Gent x Sint-Truidense</t>
  </si>
  <si>
    <t>Under 5,25 - Academia Quintana x Puerto Rico Surf SC</t>
  </si>
  <si>
    <t>Porto Rico</t>
  </si>
  <si>
    <t>Kwong AH +2,0 - Tung Sing x Kwong Wah</t>
  </si>
  <si>
    <t>Under 3,5 - Troyes Sub-19 x Lyon Sub-19</t>
  </si>
  <si>
    <t>Under 2,75 - Malaga Sub-19 x CF Alhendin Balompie Sub-19</t>
  </si>
  <si>
    <t>Under 3,5 - Reims Sub-19 x Clermont Foot Sub-19</t>
  </si>
  <si>
    <t>Under 3,25 - CD Fontsanta Fatjo (fem) x CD Valdefierro (fem)</t>
  </si>
  <si>
    <t>Under 4,75 - Numaligarh Refinery x Sunrise AC</t>
  </si>
  <si>
    <t>Under 3,0 - Getafe B x CD Guadalajara S.A.D.</t>
  </si>
  <si>
    <t>NK Aluminij AH +2,25 - NK Domzale Sub-19 x NK Aluminij Sub-19</t>
  </si>
  <si>
    <t>Eslovênia</t>
  </si>
  <si>
    <t>Under 2,0 - Union Douala x Les Astres FC</t>
  </si>
  <si>
    <t>Under 4,0 - Man Utd (fem) x Liverpool (fem)</t>
  </si>
  <si>
    <t>Under 2,0 - AC Magenta 1945 x AC Chievo Verona</t>
  </si>
  <si>
    <t>Under 1,0 - FC 08 Homburg x Mainz II</t>
  </si>
  <si>
    <t>Under 3,25 - Newcastle (fem) x Middlesbrough (fem)</t>
  </si>
  <si>
    <t>Under 0,75 - Dire Dawa x Ethiopia Nigd Bank</t>
  </si>
  <si>
    <t>Under 1,0 - US Orleans Sub-19 x Racing Paris Sub-19</t>
  </si>
  <si>
    <t>Under 0,75 - Teramo x ASD Atletico Ascoli</t>
  </si>
  <si>
    <t>Under 2,0 - Cotonsport x Colombe du et Lobo</t>
  </si>
  <si>
    <t>Racing AH +1,0 - LYS Sassandra x Racing Club Adidjan</t>
  </si>
  <si>
    <t>Costa Marfim</t>
  </si>
  <si>
    <t>Under 0,75 - Blue Boys x Eeshoke Chulachula FC</t>
  </si>
  <si>
    <t>Nambia</t>
  </si>
  <si>
    <t>Under 1,0 - Cercle Brugge x Union Saint-Gilloise</t>
  </si>
  <si>
    <t>Under 1,0 - AC Nardo x Brindisi</t>
  </si>
  <si>
    <t>Under 0,75 - Dynamo de Douala x Fauve Azur Elite</t>
  </si>
  <si>
    <t>Under 2,0 - St Gallen x Basel</t>
  </si>
  <si>
    <t>Under 0,75 - LYS Sassandra x Racing Club Abidjan</t>
  </si>
  <si>
    <t>Under 0,75 - Estrasburgo x Reims</t>
  </si>
  <si>
    <t>Under 1,0 - Spartak Subotica x TSC</t>
  </si>
  <si>
    <t>Under 0,75 - UD Alzira x CE Europa</t>
  </si>
  <si>
    <t>Under 2,75 - Kodagu FC x Students Union</t>
  </si>
  <si>
    <t>Under 3,75 - Bristol City Sub-21 x Brentford Sub-21</t>
  </si>
  <si>
    <t>Under 1,0 - Esenler Erokspor x Umraniyespor</t>
  </si>
  <si>
    <t>Under 2,75 - Montevideo Wanderers - Reservas x Miramar Misiones - Reservas</t>
  </si>
  <si>
    <t>Under 0,75 - Korona Kielce x Pogon Szczecin</t>
  </si>
  <si>
    <t>Under 1,25 - Deportivo Maldonado - Reservas x Torque - Reservas</t>
  </si>
  <si>
    <t>Under 2,75 - Humble Lions x Mount Pleasant FA</t>
  </si>
  <si>
    <t>Under 6,5 - Harini KS FC x Gombak FC</t>
  </si>
  <si>
    <t>Under 4,0 - FC Salzburg Sub-19 x PSG Sub-19</t>
  </si>
  <si>
    <t>Under 3,0 - Sporting United x HW Welders</t>
  </si>
  <si>
    <t>Under 3,0 - Sporting Khalsa x Anstey Nomads</t>
  </si>
  <si>
    <t>Under 3,5 - Oriente Petrolero - Reservas x Jorge Wilstermann - Reservas</t>
  </si>
  <si>
    <t>Under 1,5 - Modern Sport FC x Projet</t>
  </si>
  <si>
    <t>Under 1,0 - Alianza FC - Reservas x AS Isidro Metapán - Reservas</t>
  </si>
  <si>
    <t>Under 1,25 - Shturmi x Merani Martvili</t>
  </si>
  <si>
    <t>Geórgia</t>
  </si>
  <si>
    <t>Under 1,0 - Kiryat Gat SC (fem) x Hapoel Petah Tikva (fem)</t>
  </si>
  <si>
    <t>Under 0,75 - Serrekunda Utd x Wagadu FC</t>
  </si>
  <si>
    <t>Under 1,0 - O'Higgins Sub-20 x Nova Iguaçu Sub-20</t>
  </si>
  <si>
    <t>Under 6,0 - Hapoel Kafr Qasim Shouaa x Hapoel Mahane Yehuda</t>
  </si>
  <si>
    <t>Under 1,0 - Energetik Mingechevir x Imisli</t>
  </si>
  <si>
    <t>Under 4,75 - Beitar Petah Tikva x Maccabi Givat Shmuel</t>
  </si>
  <si>
    <t>Under 4,0 - Kuala Lumpur City x Johor Darul Takzim</t>
  </si>
  <si>
    <t>Under 3,25 - Al Duhail x Al-Wakrah SC</t>
  </si>
  <si>
    <t>Under 0,75 - Fortune FC x TMT FA</t>
  </si>
  <si>
    <t>Under 1,25 - Ankaragucu x Manisa FK</t>
  </si>
  <si>
    <t>Under 3,0 - Royal Cappellen x KSK Heist</t>
  </si>
  <si>
    <t>Under 3,25 - SV La Fama x Racing Club Aruba</t>
  </si>
  <si>
    <t>Aruba</t>
  </si>
  <si>
    <t>Under 5,25 - Nacional Potosí x Oriente Petrolero</t>
  </si>
  <si>
    <t>Under 1,0 - Trinity Starlets (fem) x Bungoma Queens (fem)</t>
  </si>
  <si>
    <t>Under 1,0 - Beitar Tubruk Sub-19 x Hapoel Tel Aviv Sub-19</t>
  </si>
  <si>
    <t>Under 0,75 - Cankaya FK x Yozgat Bozokspor</t>
  </si>
  <si>
    <t>Under 2,5 - MEAP Nisou x PO Achyronas Onisilos</t>
  </si>
  <si>
    <t>Under 1,0 - Asil Lysis x Olympiakos Nicosia</t>
  </si>
  <si>
    <t>Under 2,25 - Aigle Royal Menoua x AS Fap</t>
  </si>
  <si>
    <t>Under 1,0 - Al Urooba x Ajman SCC</t>
  </si>
  <si>
    <t>Under 3,0 - CD Valdefierro (fem) x Zaragoza CFF II (fem)</t>
  </si>
  <si>
    <t>Leixões AH 0 - Padroense FC Sub-19 x Leixões Sub-19</t>
  </si>
  <si>
    <t>Under 3,5 - Benfica B (fem) x Braga B (fem)</t>
  </si>
  <si>
    <t>Burgos AH +0,25 - Athletic Bilbao C (fem) x Burgos (fem)</t>
  </si>
  <si>
    <t>Under 1,0 - Reims x Monaco</t>
  </si>
  <si>
    <t>Under 0,75 - Dallas Trinity (fem) x Brooklyn (fem)</t>
  </si>
  <si>
    <t>EUA</t>
  </si>
  <si>
    <t>Under 0,75 - Boca Juniors x CA Independiente</t>
  </si>
  <si>
    <t>Under 1,0 - Chonburi Sub-23 x Buriram United Sub-23</t>
  </si>
  <si>
    <t>Under 0,75 - Panserraikos Sub-19 x Aris Salonika Sub-19</t>
  </si>
  <si>
    <t>Under 1,0 - FB Redovan x Olímpic de Xativa</t>
  </si>
  <si>
    <t>Under 2,75 - Al-Saqer FC x Al Entesar Club</t>
  </si>
  <si>
    <t>Under 0,75 - SCR Pena Deportiva x UD Alzira</t>
  </si>
  <si>
    <t>Under 1,0 - Silivrispor x Amasyaspor FK</t>
  </si>
  <si>
    <t>Under 1,0 - Llosetense x Manacor</t>
  </si>
  <si>
    <t>Under 2,75 - Manjung City FC x KL Rovers</t>
  </si>
  <si>
    <t>Under 1,25 - CD Ebro (fem) x CE Seagull (fem)</t>
  </si>
  <si>
    <t>Under 1,0 - Larissa Sub-19 x Makedonikos Sub-19</t>
  </si>
  <si>
    <t>Under 0,75 - AO Neas Ironias x AO Chaidari</t>
  </si>
  <si>
    <t>Under 0,75 - Club Milano x A.C. Crema 1908</t>
  </si>
  <si>
    <t>Under 0,75 - Vibonese x US Siracusa</t>
  </si>
  <si>
    <t>Under 4,0 - Sarrabus Ogliastra x Gelbison</t>
  </si>
  <si>
    <t>Under 2,75 - Rayo Vallecano (fem) x Real Sociedad II (fem)</t>
  </si>
  <si>
    <t>Under 0,75 - Cercle Brugge II x Belisia Bilzen SV</t>
  </si>
  <si>
    <t>Under 0,75 - Panthere Sportive Du Nde x Fauve Azur Elite</t>
  </si>
  <si>
    <t>Under 1,0 - AS Arta Solar 7 x AS Djibouti Telecom</t>
  </si>
  <si>
    <t>Under 1,0 - Guarda Desportiva x Leça</t>
  </si>
  <si>
    <t>Under 1,0 - SD Sarriana x Betanzos</t>
  </si>
  <si>
    <t>Under 2,25 - Al Jazira SC x Al Ain SCC</t>
  </si>
  <si>
    <t>Under 1,0 - CD San Roque de Lepe x Atlético Espeleno</t>
  </si>
  <si>
    <t>Under 1,0 - Tarxien Rainbows FC x Mgarr United</t>
  </si>
  <si>
    <t>Under 1,0 - Avai Kindermann (fem) x Paraguai (fem)</t>
  </si>
  <si>
    <t>Internacional</t>
  </si>
  <si>
    <t>Under 2,0 - Damash Gilan x Mes Kerman</t>
  </si>
  <si>
    <t>Under 1,0 - Chiangrai City FC x Chattrakan City FC</t>
  </si>
  <si>
    <t>Under 2,5 - Dunkerque x Caen</t>
  </si>
  <si>
    <t>Under 3,25 - Maccabi Ironi Kiryat Ata Sub-19 x Hapoel Umm al-Fahm Sub-19</t>
  </si>
  <si>
    <t>Under 3,75 - Sri Pahang FC x Johor Darul Takzim</t>
  </si>
  <si>
    <t>Under 3,25 - Maccabi Herzliya Sub-19 x SC Neve Yosef Sub-19</t>
  </si>
  <si>
    <t>Under 3,75 - Prestatyn Town x Denbigh Town</t>
  </si>
  <si>
    <t>Under 2,5 - Myanmar x Laos</t>
  </si>
  <si>
    <t>Under 4,25 - Ethiopia Nigd Bank (fem) x Hambericho Durame (fem)</t>
  </si>
  <si>
    <t>Under 2,0 - Union Douala x Yong Sport Academy</t>
  </si>
  <si>
    <t>Under 1,75 - Atletico Lusaka x Zesco United</t>
  </si>
  <si>
    <t>Zâmbia</t>
  </si>
  <si>
    <t>Under 3,25 - Services x Telengana FA</t>
  </si>
  <si>
    <t>Under 0,75 - Fauve Azur Elite x Cotonsport</t>
  </si>
  <si>
    <t>Under 0,75 - CSM Politehnica Iasi x AFC Hermannstadt</t>
  </si>
  <si>
    <t>Under 2,75 - FK Karvan x Energetik Mingechevir</t>
  </si>
  <si>
    <t>Under 1,0 - Juventus Sub-20 x Cagliari Sub-20</t>
  </si>
  <si>
    <t>Under 1,0 - Kirklarelispor x Adana Demirspor</t>
  </si>
  <si>
    <t>Under 0,75 - Sululta Ketema x Boditi Ketema</t>
  </si>
  <si>
    <t>Under 4,75 - FC Beitar Yavne x Hapoel Bnei Kuseife</t>
  </si>
  <si>
    <t>Under 3,0 - FC Ramat Hasharon (fem) x ASA Tel Aviv (fem)</t>
  </si>
  <si>
    <t>Under 0,75 - Unique Global FC x WAA Banjul</t>
  </si>
  <si>
    <t>Under 3,0 - Hakoah Amidar Ramat Gan x Ironi Beit Dagan</t>
  </si>
  <si>
    <t>Under 1,0 - Jagiellonia Bialystok x Olimpija Ljubljana</t>
  </si>
  <si>
    <t>Under 2,75 - FRC Kouba Sub-21 x SKAF Khemis Miliana Sub-21</t>
  </si>
  <si>
    <t>Argélia</t>
  </si>
  <si>
    <t>Under 2,75 - WA Mostaganem Sub-21 x GC Mascara Sub-21</t>
  </si>
  <si>
    <t>Under 2,75 - Dibba Al Fujairah x Al Fujairah</t>
  </si>
  <si>
    <t>Under 2,0 - Marimoo x Fortune FC</t>
  </si>
  <si>
    <t>Under 2,75 - FC Porto Sub-19 x União Nogueirense Sub-19</t>
  </si>
  <si>
    <t xml:space="preserve">Under 2,0 - AS Port Of Spain x Club Sando </t>
  </si>
  <si>
    <t>Trinidad</t>
  </si>
  <si>
    <t>Under 3,25 - FC Ebolowa (fem) x Caiman Douala (fem)</t>
  </si>
  <si>
    <t>FC Cartagena AH +1,5 - Albacete Sub-19 x FC Cartagena Sub-19</t>
  </si>
  <si>
    <t>Under 2,5 - Ayia Napa x MEAP Nisou</t>
  </si>
  <si>
    <t xml:space="preserve">Under 2,0 - Ilisiakos x Marko </t>
  </si>
  <si>
    <t>Under 2,0 - Asteras Petriti x GAS Svoronou</t>
  </si>
  <si>
    <t>Under 1,25 - AO Rea (fem) x Trikala 2011 (fem)</t>
  </si>
  <si>
    <t>Under 0,75 - Kibera Black Stars x Migori Juniores</t>
  </si>
  <si>
    <t>Caersws AH +2,0 - Airbus UK x Caersws</t>
  </si>
  <si>
    <t>Under 3,0 - Pontevedra Sub-19 x ED Val Minor Nigran Sub-19</t>
  </si>
  <si>
    <t>Legon AH +1,5 - Nations FC x Legon Cities FC</t>
  </si>
  <si>
    <t>Under 3,0 - UCAM Murcia Sub-19 x Conquense Sub-19</t>
  </si>
  <si>
    <t>Conquense AH +1,0 - UCAM Murcia Sub-19 x Conquense Sub-19</t>
  </si>
  <si>
    <t>Under 1,0 - Real SC Sub-19 x CD Nacional Funchal Sub-19</t>
  </si>
  <si>
    <t>Under 3,5 - Deportivo Mixco - Reservas x Antigua GFC - Reservas</t>
  </si>
  <si>
    <t>Under 1,0 - AVS Sub-19 x GD Prado Sub-19</t>
  </si>
  <si>
    <t>Under 3,5 - Mislata CF (fem) x CD Riudoms (fem)</t>
  </si>
  <si>
    <t>Under 3,25 - Thaon x Amiens</t>
  </si>
  <si>
    <t>Under 2,75 - Bnei Sakhnin x Hapoel Beer Sheva</t>
  </si>
  <si>
    <t>Under 5,0 - Celta Vigo Sub-19 x Real Aviles CF Sub-19</t>
  </si>
  <si>
    <t>Under 2,0 - AZ x FC Twente</t>
  </si>
  <si>
    <t>Under 5,25 - Aris Limassol (fem) x Karmiotissa Chrisomilia (fem)</t>
  </si>
  <si>
    <t>Under 3,25 - Levadiakos Sub-19 x Volos NFC Sub-19</t>
  </si>
  <si>
    <t>Under 0,75 - Ayutthaya United x Phrae United</t>
  </si>
  <si>
    <t>Under 0,75 - CF Montanesa x Cerdanyola del Valles FC</t>
  </si>
  <si>
    <t>NAPSA AH +1,0 - Zesco United x NAPSA Stars</t>
  </si>
  <si>
    <t>Tanzania AH +2,25 - Young Africans FC x Tanzania Prisons</t>
  </si>
  <si>
    <t>Tanzânia</t>
  </si>
  <si>
    <t>Under 3,25 - UE Cornella Sub-19 x CF Damm Sub-19</t>
  </si>
  <si>
    <t>Under 2,0 - Yong Sport Academy x PWD de Bamenda</t>
  </si>
  <si>
    <t>Under 2,0 - Stade Renard de Melong x Cotonsport</t>
  </si>
  <si>
    <t>Under 0,75 - Dynamo de Douala x Bamboutos de Mbouda</t>
  </si>
  <si>
    <t>Under 1,0 - Teramo x L'Aquila</t>
  </si>
  <si>
    <t>Under 5,0 - Esposende (fem) x AD Paredes (fem)</t>
  </si>
  <si>
    <t>Under 1,25 - Trabzonspor x Bodrum FK</t>
  </si>
  <si>
    <t xml:space="preserve">Under 0,75 - General Paz Juniors x Defensores La Boca </t>
  </si>
  <si>
    <t xml:space="preserve">Under 1 - PSM Madiun x Persiba Bantul </t>
  </si>
  <si>
    <t>Indonésia</t>
  </si>
  <si>
    <t>Under 3,25 - Shabab Al Ahli Dubai x Al Nasr SC</t>
  </si>
  <si>
    <t>Glenavon AH +2,0 - Crusaders Reserves x Glenavon Reserves</t>
  </si>
  <si>
    <t>Under 2 - Sepidrood Rasht x Shahid Ghandi</t>
  </si>
  <si>
    <t>Under 5,5 - Hapoel Ironi Karmiel x Bnei Maghar</t>
  </si>
  <si>
    <t>Under 2,75 - Hapoel Kiryat Ono x Hakoah Amidar Ramat Gan</t>
  </si>
  <si>
    <t>Under 1 - C Hapoel Bnei Ashdod x Ironi Beit Shemesh</t>
  </si>
  <si>
    <t>Under 1,25 - Ironi Beit Dagan x Maccabi Givat Shmuel</t>
  </si>
  <si>
    <t xml:space="preserve">Under 1 - Al Sahel x Bisha FC </t>
  </si>
  <si>
    <t>Under 3,5 - ITFF Tangier Women x CS Hilal Temara Women</t>
  </si>
  <si>
    <t>Marrocos</t>
  </si>
  <si>
    <t>Under 0,75 - Hyderabad FC x East Bengal Club</t>
  </si>
  <si>
    <t>India</t>
  </si>
  <si>
    <t>Under 1 -  Al-Jalil x Al-Hussein SC II</t>
  </si>
  <si>
    <t>Jordânia</t>
  </si>
  <si>
    <t>Under 3 - Trethomas Bluebirds AFC x Carmarthen</t>
  </si>
  <si>
    <t>Under 1,25 - Portstewart x Knockbreda</t>
  </si>
  <si>
    <t>Under 5,25 - Dergview FC x Queens University</t>
  </si>
  <si>
    <t>Under 1,75 - Lazio x Atalanta</t>
  </si>
  <si>
    <t>Under 3 - MEG x South United</t>
  </si>
  <si>
    <t>La Viena AH +0,75 - Al Moqawloon Al Arab x La Viena FC</t>
  </si>
  <si>
    <t>Under 3,5 - Tottenham x Wolverhampton</t>
  </si>
  <si>
    <t>Under 3,25 - FC Espoir Tsevie x Unisport de Sokode</t>
  </si>
  <si>
    <t>Under 1 - Boavista U19 x Lusitania Lourosa U19</t>
  </si>
  <si>
    <t>Under 1 - SGC Ciamis x Sada Sumut FC</t>
  </si>
  <si>
    <t xml:space="preserve">Under 1,5 -  Tornado FC Pekanbaru x Perserang Serang </t>
  </si>
  <si>
    <t>Under 2 - Colombe du Dja et Lobo x Stade Renard de Melong</t>
  </si>
  <si>
    <t>Under 2 - USFAS Bamako x Stade Malien</t>
  </si>
  <si>
    <t>CS Viitorul AH 0 - ATCS Sparta Ramnicu Valcea x CS Viitorul Daesti</t>
  </si>
  <si>
    <t>AH</t>
  </si>
  <si>
    <t>Musongati AH -0,5 - Inter Stars x Musongati FC</t>
  </si>
  <si>
    <t>AH-</t>
  </si>
  <si>
    <t>Over 3,0 - Leeds Sub-21 x Newcastle Sub-21</t>
  </si>
  <si>
    <t>ACS LPS AH 0 - ACS LPS HD Clinceni x CS Sporting Rosiori</t>
  </si>
  <si>
    <t>Al Karma AH 0 - Al Karma x Al Qasim SC</t>
  </si>
  <si>
    <t>CS Sporting AH 0 - ACS LPS HD Clinceni x CS Sporting Rosiori</t>
  </si>
  <si>
    <t>Under 2,0 - HB Chelghoum Laid x AS Khroub</t>
  </si>
  <si>
    <t>Under 2,75 - Total Soccer FC x Politecnico J.I.C</t>
  </si>
  <si>
    <t>Under 3,5 - Al Nasr SC x Al Wahda Abu Dhabi</t>
  </si>
  <si>
    <t>Em. Árab Uni</t>
  </si>
  <si>
    <t>Under 3,0 - Olympiakos Nicosia x Akritas Chlorakas</t>
  </si>
  <si>
    <t>Bragantino AH 0 - Coimbra EC U19 x Bragantino Sub-19</t>
  </si>
  <si>
    <t>Angers AH +1,75 - Monaco x Angers</t>
  </si>
  <si>
    <t>SV Lafnitz AH +1,25 - SC Kalsdorf x SV Lafnitz II</t>
  </si>
  <si>
    <t>Kolding AH +1,25 - Kolding IF (fem) x Odense (fem)</t>
  </si>
  <si>
    <t>Dinamarca</t>
  </si>
  <si>
    <t xml:space="preserve">FCM Trainskirchen AH +0,5 - Oberwart x FCM Trainskirchen </t>
  </si>
  <si>
    <t>Atlético Goianiense AH -0,25 - Trindade Sub-20 x Atlético Goianiense Sub-20</t>
  </si>
  <si>
    <t>Under 2,75 - Trindade Sub-20 x Atlético Goianiense Sub-20</t>
  </si>
  <si>
    <t>Under 3,5 - De Graafschap x FC Dordrecht</t>
  </si>
  <si>
    <t>Países Baixos</t>
  </si>
  <si>
    <t>Waterford AH +2,0 - Shamrock Rovers x Waterford FC</t>
  </si>
  <si>
    <t>Estrela Amadora AH +2,75 - Sporting x Estrela Amadora</t>
  </si>
  <si>
    <t>Over 2,75 - Pachuca II x Huracanes Izcalli FC</t>
  </si>
  <si>
    <t>Under 2,0 - San Martín de Burzaco x Deportivo Liniers</t>
  </si>
  <si>
    <t>Over 2,25 - Cosenza Sub-19 x Bari Sub-19</t>
  </si>
  <si>
    <t>Viimsi AH +1,75 - Saku Sporting (fem) x Viimsi JK (fem)</t>
  </si>
  <si>
    <t>Estônia</t>
  </si>
  <si>
    <t>FC Brno AH 0 - FC Brno II x MFK Karvina B</t>
  </si>
  <si>
    <t>Under 1,75 - Tishreen x Al Wathba SC (cash)</t>
  </si>
  <si>
    <t>Síria</t>
  </si>
  <si>
    <t>Under 3,0 - SC Braga Sub-23 x Académico de Viseu Sub-23</t>
  </si>
  <si>
    <t>Tiffy AH +0,5 - Naga World FC x Tiffy Army FC</t>
  </si>
  <si>
    <t>Dukla AH +0,5 - Spartak Trnava (fem) x Dukla Banska Bystrica (fem)</t>
  </si>
  <si>
    <t>NK Zrinski AH +0,75 - NK Zrinski Osjecko 1664 x Vukovar 1991</t>
  </si>
  <si>
    <t>CR Temouchent AH 0 - CR Temouchent Sub-21 x ESM Koléa Sub-21</t>
  </si>
  <si>
    <t>Homeboyz AH 0 - Sofapaka FC x Homeboyz FC</t>
  </si>
  <si>
    <t>Lyngby AH +0,5 - AaB Sub-19 x Lyngby Sub-19</t>
  </si>
  <si>
    <t>Conil AH 0 - Conil CF x AD Ceuta FC B</t>
  </si>
  <si>
    <t>Under 2,5 - CS Dinamo Bucuresti x FC Progresul 1944 Spartac</t>
  </si>
  <si>
    <t>Progresul AH +0,25 - CS Dinamo Bucuresti x FC Progresul 1944 Spartac</t>
  </si>
  <si>
    <t>Over 2,25 - CA San Miguel Sub-20 x Estudiantes de Buenos Aires Sub-20</t>
  </si>
  <si>
    <t>MCB Oued AH 0 - MCB Oued Sly Sub-21 x MC Saida Sub-21</t>
  </si>
  <si>
    <t>Cankaya AH 0 - Cankaya FK x Karabuk Idmanyurdu Spor</t>
  </si>
  <si>
    <t>Under 2,0 - Bahla x Ibri Club</t>
  </si>
  <si>
    <t>Slovan Duslo AH +0,5 - Slovan Duslo Sala x SKF Sered</t>
  </si>
  <si>
    <t>Djurgardens DNB - Kristianstads (fem) x Djugardens (fem)</t>
  </si>
  <si>
    <t>Suécia</t>
  </si>
  <si>
    <t>DNB</t>
  </si>
  <si>
    <t>Under 3,0 - MSK Breclav x TJ Sokol Lanzhot</t>
  </si>
  <si>
    <t>TJ Sokol AH 0 - MSK Breclav x TJ Sokol Lanzhot</t>
  </si>
  <si>
    <t>FC Gleisdorf AH +1,0 - Wolfsberger AC II x FC Gleisdorf 09</t>
  </si>
  <si>
    <t>Under 2,75 - Cartusia Kartuzy x Pogon Nowe Skalmierzyce</t>
  </si>
  <si>
    <t>APLG Gdansk AH +2,0 - Czarni Sosnowiec (fem) x APLG Gdansk (fem)</t>
  </si>
  <si>
    <t>Under 3,0 - KS Wiazownica x Podlasie Biala Podlaska</t>
  </si>
  <si>
    <t>Niki Volou AH 0 - Niki Volou x Iraklis 1908 FC</t>
  </si>
  <si>
    <t>ADO Den AH 0 - FC Twente/Heracles Academie Sub-21 x ADO Den Haag Sub-21</t>
  </si>
  <si>
    <t>TSG Hoffenheim AH 0 - FC 08 Homburg x TSG Hoffeinheim II</t>
  </si>
  <si>
    <t>Under 2,0 - CS M'saken x CS Korba</t>
  </si>
  <si>
    <t>Tunísia</t>
  </si>
  <si>
    <t>SGV Freiberg AH 0 - FC 08 Villingen x SGV Freiberg</t>
  </si>
  <si>
    <t>SSU Politehnica AH 0 - SSU Politehnica Timisoara x Minerul Lupeni</t>
  </si>
  <si>
    <t>ASDC Gozzano AH +1,0 - AC Bra x ASDC Gozzano</t>
  </si>
  <si>
    <t>Under 2,5 - Puteolana x USD Latte Dolce</t>
  </si>
  <si>
    <t>FSV Frankfurt AH 0 - FC Giessen x FSV Frankfurt</t>
  </si>
  <si>
    <t>Under 2,5 - Hamrun Spartans x Marsaxlokk FC</t>
  </si>
  <si>
    <t>Under 2,0 - USM Khenchela x NC Magra</t>
  </si>
  <si>
    <t>Estratégias</t>
  </si>
  <si>
    <t>Herrera AH +2,0 - CD Universitario - Reservas x Herrera FC - Reservas</t>
  </si>
  <si>
    <t>Invertida HT</t>
  </si>
  <si>
    <t>AC Libertas AH -0,25 - SC Faetano x AC Libertas</t>
  </si>
  <si>
    <t>San Marino</t>
  </si>
  <si>
    <t>Zebra jogando bem</t>
  </si>
  <si>
    <t>Doxa Katokopias AH 0 - Asil Lysis x Doxa Katokopias</t>
  </si>
  <si>
    <t>Times parelhos (AH0), um time dominando</t>
  </si>
  <si>
    <t>SC Schwaz AH 0 - SC Rothis x SC Schwaz</t>
  </si>
  <si>
    <t>Favorito jogando bem (HT)</t>
  </si>
  <si>
    <t>Flint AH +1,0 - Haverfordwest x Flint Town Utd</t>
  </si>
  <si>
    <t>Favorito amassando (AH-)</t>
  </si>
  <si>
    <t>Estoril AH -0,25 - Estoril (fem) x Famalicão (fem)</t>
  </si>
  <si>
    <t>Pinnacle EV</t>
  </si>
  <si>
    <t>Under 3,75 - Albion x Hearts B</t>
  </si>
  <si>
    <t>Linha esticada (AH+/Under)</t>
  </si>
  <si>
    <t>Lank AH +1,75 - Varzim Sub-19 x Lank Vilaverdense Sub-19</t>
  </si>
  <si>
    <t>Pinn drop pré</t>
  </si>
  <si>
    <t>SC Mirandela AH +1,75 - Moreirense Sub-19 x SC Mirandela Sub-19</t>
  </si>
  <si>
    <t>Over - vendo live</t>
  </si>
  <si>
    <t>Stirling AH +0,5 - East Fife x Stirling</t>
  </si>
  <si>
    <t>Contra aposta</t>
  </si>
  <si>
    <t>Under 2,0 - Operario Desportivo Lagoa x Fabril Barreiro</t>
  </si>
  <si>
    <t>Pré - Under</t>
  </si>
  <si>
    <t>Hapoel Ironi AH +1,75 - Maccabi Tel Aviv x Hapoel Ironi Kiryat Shmona</t>
  </si>
  <si>
    <t>Pré - Over</t>
  </si>
  <si>
    <t>Over 3,25 - Young Boys (fem) x Baseleia (fem)</t>
  </si>
  <si>
    <t>AH+ - Pré</t>
  </si>
  <si>
    <t>Alcantarilla AH +1,75 - Alcantarilla FC x Cieza</t>
  </si>
  <si>
    <t>SD Beasain AH +0,75 - Basconia x SD Beasain</t>
  </si>
  <si>
    <t>True AH 0 - True Democracy FC x Kings Palace FC</t>
  </si>
  <si>
    <t>Estoril Praia AH -0,75 - Comércio e Indústria Sub-19 x Estoril Praia Sub-19</t>
  </si>
  <si>
    <t>SC Kiyovu AH +1,5 - Rayon Sports x SC Kiyovu</t>
  </si>
  <si>
    <t>Under 2,75 - Vázquez Cultural Sub-19 x Almeria Sub-19</t>
  </si>
  <si>
    <t>Under 2,75 - Ramtha SC x Al Faisaly Amman</t>
  </si>
  <si>
    <t>Under 2,25 - Hyeres FC x Andrezieux</t>
  </si>
  <si>
    <t>Ganha/Devolvida</t>
  </si>
  <si>
    <t>Under 2,0 - Frejus x Sporting Club Toulon</t>
  </si>
  <si>
    <t>Under 2,25 - Real Zaragoza x Granada</t>
  </si>
  <si>
    <t>Under 2,0 - Defensores de Cambaceres x Yupanqui</t>
  </si>
  <si>
    <t>Under 2,0 - Canuelas FC x Los Andes</t>
  </si>
  <si>
    <t>Under 2,0 - Pérolas Negras x Paduano EC</t>
  </si>
  <si>
    <t>Under 2,5 - Detroit City FC x Tampa Bay Rowdies</t>
  </si>
  <si>
    <t>USA</t>
  </si>
  <si>
    <t>SV Ada AH 0 - SV Pischelsdorf x SV Ada Anger</t>
  </si>
  <si>
    <t>Metta AH +2,5 - Riga FC x Metta/LU</t>
  </si>
  <si>
    <t>Letônia</t>
  </si>
  <si>
    <t>Fatih AH +0,5 - Trabzonspor (fem) x Fatih Vatan Spor (fem)</t>
  </si>
  <si>
    <t>Amed AH +2,25 - Galatasaray (fem) x Amed SK (fem)</t>
  </si>
  <si>
    <t>Arnavutkoy AH +0,75 - 68 Aksaray Belediyespor x Arnavutkoy Belediyesi</t>
  </si>
  <si>
    <t>Under 2,25 - Juventud Torremolinos CF x Villanovense</t>
  </si>
  <si>
    <t>Under 2,25 - CD El Ejido x Arenas</t>
  </si>
  <si>
    <t>Under 3,5 - Kustosija Sub-19 x NK Rudes Sub-19</t>
  </si>
  <si>
    <t>UC Ceares AH 0 - Aviles Stadium CF x UC Ceares</t>
  </si>
  <si>
    <t>ADO Den AH +2,25 - ADO Den Haag (fem) x Ajax (fem)</t>
  </si>
  <si>
    <t>Nápoles AH +2,25 - Nápoles (fem) x Juventus (fem)</t>
  </si>
  <si>
    <t>Over 2,75 - Fiorentina (fem) x Inter de Milão (fem)</t>
  </si>
  <si>
    <t>Gamo AH 0 - Ambo Ketema x Gamo Chencha</t>
  </si>
  <si>
    <t>Kickstart AH 0 - Kickstart Karnataka FC x FC Agniputhra</t>
  </si>
  <si>
    <t>Under 3,0 - Nong Bua Pitchaya x Khonkaen United</t>
  </si>
  <si>
    <t>Under 3,0 - FTC Filakovo x MFK Vranov nad Toplou</t>
  </si>
  <si>
    <t>Under 2,5 - Costa Adeje Tenerife B (fem) x Fundación CD Tenerife (fem)</t>
  </si>
  <si>
    <t>Tj Druzstevnik DC - Tj Druzstevnik Velke Ludince x OFK Banik Lehota</t>
  </si>
  <si>
    <t>DC</t>
  </si>
  <si>
    <t>Under 2,0 - Nyva Ternopil x FK Prykarpattya Ivano-Frankivsk</t>
  </si>
  <si>
    <t>Ucrânia</t>
  </si>
  <si>
    <t>Under 3,0 - Bicskei TC x Mosonmagyarovari</t>
  </si>
  <si>
    <t>Mosonmagyarovari AH +0,75 - Bicskei TC x Mosonmagyarovari</t>
  </si>
  <si>
    <t>Las Rozas AH 0 - Las Rozas x Trival Valderas</t>
  </si>
  <si>
    <t>Under 3,25 - Genk x Antwerp</t>
  </si>
  <si>
    <t>Kigezi AH +0,25 - Kigezi Homeboyz FC x Booma FC</t>
  </si>
  <si>
    <t>Uganda</t>
  </si>
  <si>
    <t>FK Grbalj AH +1,0 - OFK Igalo x FK Grbalj Radanovici</t>
  </si>
  <si>
    <t>Sevilla AH 0 - Atlético Onubense x Sevilla C</t>
  </si>
  <si>
    <t>Under 2,75 - São Paulo (fem) x Corinthians (fem)</t>
  </si>
  <si>
    <t>Under 3,25 - Esbjerg x Hobro IK</t>
  </si>
  <si>
    <t>APR AH -0,5 - Gorilla FC x APR FC</t>
  </si>
  <si>
    <t>Under 2,0 - Mukura x AS Kigali</t>
  </si>
  <si>
    <t>AS Kigali AH 0 - Mukura x AS Kigali</t>
  </si>
  <si>
    <t>ND Ilirija AH +1,0 - ND Beltinci x ND Ilirija Ljubljana</t>
  </si>
  <si>
    <t>Under 2,25 - AO Giouchtas x Aris Petroupolis</t>
  </si>
  <si>
    <t>NK Krka AH -0,5 - FC Drava Ptuj x NK Krka</t>
  </si>
  <si>
    <t xml:space="preserve">Dynamos AH 0 - Dynamos FC x FC Platinum </t>
  </si>
  <si>
    <t>Zimbabue</t>
  </si>
  <si>
    <t>Over 2,25 - Sava Strmec x NK Kurilovec</t>
  </si>
  <si>
    <t>Abu Qair AH 0 - Abu Qair Semad x La Viena FC</t>
  </si>
  <si>
    <t>AO Chaidari AH 0 - AO Chaidari x AO Mikrasiatikos</t>
  </si>
  <si>
    <t>FC Volendam AH 0 - Telstar x FC Volendam</t>
  </si>
  <si>
    <t>NK Podvinci AH +0,25 - Carda Martjanci x NK Podvinci</t>
  </si>
  <si>
    <t>Under 2,75 - ASD Flaminia Civita Castellana x ASD Seravezza Calcio</t>
  </si>
  <si>
    <t>Over 2,25 - Forli x Prato</t>
  </si>
  <si>
    <t>Pistoiese AH +0,25 - Imolese x Pistoiese</t>
  </si>
  <si>
    <t>Over 2,0 - ASD Tau Calcio Altopscio x Lentigione</t>
  </si>
  <si>
    <t>Under 2,25 - ASD Atletico Ascoli x Avezzano</t>
  </si>
  <si>
    <t>Avezzano AH +0,75 - ASD Atletico Ascoli x Avezzano</t>
  </si>
  <si>
    <t>Over 2,25 - Caravaggio x Montecchio Maggiore</t>
  </si>
  <si>
    <t>FC 93 Bobigny AH +0,75 - FC 93 Bobigny Sub-19 x Metz Sub-19</t>
  </si>
  <si>
    <t>Montfermeil AH +0,5 - Montfermeil FC Sub-19 x Caen Sub-19</t>
  </si>
  <si>
    <t>3K FC AH 0 - SamWest Balckboots FC x 3K FC</t>
  </si>
  <si>
    <t>Under 2,75 - NK Triglav Kranj x Jadran Dekani</t>
  </si>
  <si>
    <t>Under 2,0 - Borac Cack x FK Mladost Novi Sad</t>
  </si>
  <si>
    <t>Taranto AH +2,25 - Avellino x Taranto</t>
  </si>
  <si>
    <t>Sampdoria AH +2,25 - Sampdoria (fem) x Roma (fem)</t>
  </si>
  <si>
    <t>Barry AH +2,25 - Cardiff City (fem) x Barry Town (fem)</t>
  </si>
  <si>
    <t>Over 2,25 - Al Safa x Al Batin</t>
  </si>
  <si>
    <t>AO Mikrasiatikos AH 0 - AO Chaidari x AO Mikrasiatikos</t>
  </si>
  <si>
    <t>Maritimo AH +0,75 - Maritimo B x Leça</t>
  </si>
  <si>
    <t>Roma AH 0 - San Nicolo Notaresco x Roma City</t>
  </si>
  <si>
    <t>Benfica AH 0 - Alcains x Benfica Castelo Branco</t>
  </si>
  <si>
    <t>Os Sandinenses AH 0 - Os Sandinenses x Bragança</t>
  </si>
  <si>
    <t>ASD Seravezza AH 0 - ASD Flaminia Civita Castellana x ASD Seravezza Calcio</t>
  </si>
  <si>
    <t>Under 2,5 - Halmstad x Djurgarden</t>
  </si>
  <si>
    <t>Al-Hussein AH 0 - Al-Hussein SC II x Jerash SC</t>
  </si>
  <si>
    <t>Al Naser AH +0,75 - Al Fahaheel SC x Al Naser SC</t>
  </si>
  <si>
    <t>Montpellier AH +0,25 - Le Havre x Montpellier</t>
  </si>
  <si>
    <t>Sokol AH +2,0 - Unia Skierniewice x Sokol Aleksandrow</t>
  </si>
  <si>
    <t>Under 2,25 - Alondras x SD Sarriana</t>
  </si>
  <si>
    <t>Brescia AH +0,5 - Sampdoria x Brescia</t>
  </si>
  <si>
    <t>Motherwell AH +2,25 - Motherwell (fem) x Celtic (fem)</t>
  </si>
  <si>
    <t>Deportivo Iztapa AH -1,0 - Deportivo Iztapa x Aurora</t>
  </si>
  <si>
    <t>JK Tallinna AH 0 - Parnu JK Vaprus x JK Tallinna Kalev</t>
  </si>
  <si>
    <t>Under 2,0 - Juventud Unida San Miguel x Club Mercedes</t>
  </si>
  <si>
    <t>NGB Dakar AH 0 - NGB Dakar x CNEPS</t>
  </si>
  <si>
    <t>Chicago AH +1,0 - Chicago Red Stars (fem) x Kansas City Current (fem)</t>
  </si>
  <si>
    <t>Cusco AH +2,25 - Alianza Lima x Cusco FC</t>
  </si>
  <si>
    <t>Peru</t>
  </si>
  <si>
    <t>Dunbeholden AH -0,5 - Dunbeholden FC x Chapelton Maroons FC</t>
  </si>
  <si>
    <t>Fortaleza AH 0 - Clube de Regatas Brasil Sub-19 x Fortaleza Sub-19</t>
  </si>
  <si>
    <t>Clube AH 0 - Clube de Reagtas Brasil Sub-19 x Fortaleza Sub-19</t>
  </si>
  <si>
    <t>Under 3,0 - FC Cremas (fem) x CSD Municipal (fem)</t>
  </si>
  <si>
    <t>Tigres AH -0,75 - Tigres UANL (fem) x Pachuca (fem)</t>
  </si>
  <si>
    <t>Under 1,75 - CSD Flandria x Villa Dalmine</t>
  </si>
  <si>
    <t>Under 2,75 - Kidsgrove Ath x City of Liverpool FC</t>
  </si>
  <si>
    <t>Nacional Asunción AH 0 - Sol de América - Reservas x Nacional Asunción - Res</t>
  </si>
  <si>
    <t>Ararat AH +0,5 - FC Van x Ararat Yerevan</t>
  </si>
  <si>
    <t>Armênia</t>
  </si>
  <si>
    <t>Under 4,0 - Excursionistas - Reservas x Canuelas FC - Reservas</t>
  </si>
  <si>
    <t>FC Kafr AH 0 - FC Kafr Qasim x Hapoel Nof HaGalil</t>
  </si>
  <si>
    <t>Under 3,0 - Morpeth Town x Mickleover FC</t>
  </si>
  <si>
    <t>Under 2,25 - Amazonas x Amércia Mineiro</t>
  </si>
  <si>
    <t>Santos Laguna AH +1,0 - Santos Laguna x Chivas Guadalajara</t>
  </si>
  <si>
    <t>Pardubice AH +1,0 - Pardubice Sub-19 x Banik Ostrava Sub-19</t>
  </si>
  <si>
    <t>NK Krka AH +0,75 - NK Brinje Grosuplje x NK Krka</t>
  </si>
  <si>
    <t>Sambenedettese AH 0 - Sambenedettese x Vigor Senigallia</t>
  </si>
  <si>
    <t>Al Quwa AH 0 - Al Kkalidiyah x Al Quwa Al Jawiya</t>
  </si>
  <si>
    <t>Al Kuwait AH +0,25 - Al Kuwait SC x Shabab Al Ahli Dubai</t>
  </si>
  <si>
    <t>Under  2,0 - Serrano x Pérolas Negras</t>
  </si>
  <si>
    <t>Coimbra AH 0 - CRB Sub-19 x Coimbra EC Sub-19</t>
  </si>
  <si>
    <t>Al Talaba AH 0 - Al Zawra'a x Al Talaba</t>
  </si>
  <si>
    <t>Friburguense AH 0 - Friburguense x São Gonçalo EC</t>
  </si>
  <si>
    <t>Lokomotiv AH +0,5 - Dinamo Samarqand x Lokomotiv Tashkent</t>
  </si>
  <si>
    <t>Uzbequistão</t>
  </si>
  <si>
    <t>Lujan AH +1,0 - Real Pilar - Reservas x Lujan - Reservas</t>
  </si>
  <si>
    <t>Under 3,0 - Al Bidda SC x Al Markhiya</t>
  </si>
  <si>
    <t>Under 3,0 - Lusail x Muaither SC</t>
  </si>
  <si>
    <t>Al Najma AH 0 - Al Najma Sub-19 x Al-Muharraq Sub-19</t>
  </si>
  <si>
    <t>Under 2,75 - Hapoel Kfar Qasm Shuaa x Hapoel Kiryat Ono</t>
  </si>
  <si>
    <t>Fortaleza CEIF AH 0 - Fortaleza CEIF Sub-19 x Cortuluá Sub-19</t>
  </si>
  <si>
    <t>Petrolul AH 0 - Petrolul Ploiesti II x ACS FC Dinamo Bucuresti</t>
  </si>
  <si>
    <t>UiTM AH +0,25 - UiTM x Armed Forces FC</t>
  </si>
  <si>
    <t>Express AH 0 - Express FC x SC Villa</t>
  </si>
  <si>
    <t>Under 3,25 - Waasland-Beveren - Reservas x Union Saint-Gilloise - Reservas</t>
  </si>
  <si>
    <t>Under 2,75 - Atlético Goianiense Sub-20 x Trindade Sub-20</t>
  </si>
  <si>
    <t>Freiburg AH +1,0 - Freiburg (fem) x Bayern de Munique (fem)</t>
  </si>
  <si>
    <t>Under 2,5 - Elche x Almería</t>
  </si>
  <si>
    <t>Under 2,5 - SS Folgore/Falciano x SS Murata</t>
  </si>
  <si>
    <t>Luton AH +0,75 - Brighton Sub-21 x Luton Sub-21</t>
  </si>
  <si>
    <t>Deportivo Cali AH 0 - Deportivo Cali Sub-19 x Atletico Huila Sub-19</t>
  </si>
  <si>
    <t>Under 2,75 - Cacereño B (fem) x Costa Adeje Tenerife B (fem)</t>
  </si>
  <si>
    <t>Under 2,5 - Cacereño B (fem) x Costa Adeje Tenerife B (fem)</t>
  </si>
  <si>
    <t>Córdoba AH +1,75 - Elche (fem) x Córdoba (fem)</t>
  </si>
  <si>
    <t>Padriew AH 0 - ACDC FC x Padriew City</t>
  </si>
  <si>
    <t>RFG AH +1,0 - CS Carcea x RFG Melinesti</t>
  </si>
  <si>
    <t>Under 2,0 - Kedah II x Penang Sub-23</t>
  </si>
  <si>
    <t>Under 2,75 - FS Jelgava x SC Grobinas</t>
  </si>
  <si>
    <t>Under 2,0 - Hua Hin City x Assumption United</t>
  </si>
  <si>
    <t>Unia Tarnow AH +2,0 - Podhale Nowy Targ x Unia Tarnow</t>
  </si>
  <si>
    <t>Over 2,0 - Hoang Anh Gia Lai x Cong Am Ha Noi</t>
  </si>
  <si>
    <t>CD Femarguin AH +1,25 - Fundación CD Tenerife (fem) x CD Femarguin (fem)</t>
  </si>
  <si>
    <t>Tembisa AH 0 - Tembisa Hollywood Thunder FC x OPOPO FC</t>
  </si>
  <si>
    <t>Over 2,75 - Padova Sub-19 x Renate Sub-19</t>
  </si>
  <si>
    <t>Under 2,25 - KF Dukagjini x KF Feronikeli</t>
  </si>
  <si>
    <t>Under 1,0 - Coritiba Sub-19 x Coimbra Sub-19</t>
  </si>
  <si>
    <t>Over 4,25 - Podhale Nowy Targ x Unia Tarnow</t>
  </si>
  <si>
    <t>Under 2,25 - ISI Dangkor Senchey FC x Life FC Sihanoukville</t>
  </si>
  <si>
    <t>Under 2,0 - Hutnik Krakow x Podbeskidzie Bielsko Biala</t>
  </si>
  <si>
    <t>Under 2,25 - Asil Lysis x Peyia 2014</t>
  </si>
  <si>
    <t>Under 2,75 - Othellos Athienou x PO Achyronas Onisilos</t>
  </si>
  <si>
    <t>Under 2,75 - FK Lovcen x FK Podgorica</t>
  </si>
  <si>
    <t>CS Urban Titu AH 0 HT - CS Urban Titu x CS Blejoi</t>
  </si>
  <si>
    <t>AH HT</t>
  </si>
  <si>
    <t>SSU Politehnica AH 0 - ACS Progresul Pecica x SSU Politehnica Timisoara</t>
  </si>
  <si>
    <t>Bench AH 0 - Debre Birhan Ketema x Bench Maji Buna FC</t>
  </si>
  <si>
    <t>Under 1,5 - FV St Andra/Hoch x FC St. Nikolai</t>
  </si>
  <si>
    <t>Over 2,5 - Besiktas (fem) x Galatasaray (fem)</t>
  </si>
  <si>
    <t>Ermis AH 0 - AEP Polemidion x Ermis Aradippou</t>
  </si>
  <si>
    <t>Rayo Vallecano AH +0,25 - Las Rozas Sub-19 x Rayo Vallecano Sub-19</t>
  </si>
  <si>
    <t>CS Urban AH 0 - CS Urban Titu x CS Blejoi</t>
  </si>
  <si>
    <t>Over 1,75 - Panaderia Pulido x CD Buzanada</t>
  </si>
  <si>
    <t>Under 1,25 - Koln x Greuther Furth</t>
  </si>
  <si>
    <t>Under 4,0 - Kazincbarcikai BSC (fem) x Tigre HFC Vasad Women</t>
  </si>
  <si>
    <t>Under 3,0 - Swit Nowy Dwor Mazowiecki x Wisla Plock II</t>
  </si>
  <si>
    <t>Under 2,0 - Tataouine x Club Africain</t>
  </si>
  <si>
    <t>Under 2,0 - CS Korba x CS Hammam Lif</t>
  </si>
  <si>
    <t>Para ACS marcar 2º gol - Oltul Curtisoara x ACS LPS HD Clinceni</t>
  </si>
  <si>
    <t>NG</t>
  </si>
  <si>
    <t>ACS AH +0,25 - Oltul Curtisoara x ACS LPS HD Clinceni</t>
  </si>
  <si>
    <t>VSK AH 0 - VSK Aarhus x Sundby</t>
  </si>
  <si>
    <t>Under 3,0 - AE Zakakiou x Digenis Ypsonas</t>
  </si>
  <si>
    <t>Over 2,5 - Haladas Viktoria (fem) x Szent Mihaly SE (fem)</t>
  </si>
  <si>
    <t>Under 3,5 - Varbergs BolS FC x Sandvikens IF</t>
  </si>
  <si>
    <t>Under 2,0 - Masfout CSC x Hatta Dubai</t>
  </si>
  <si>
    <t>EAU</t>
  </si>
  <si>
    <t>Under 3,25 - Jadran Dekani x NK Bistrica</t>
  </si>
  <si>
    <t>Over 4,75 - Costa do Sol x Vilankulo FC</t>
  </si>
  <si>
    <t>Moçambique</t>
  </si>
  <si>
    <t>DNS Zavrc AH +0,25 - DNS Zavrc x SD Hajdina</t>
  </si>
  <si>
    <t>Under 3,0 - SC Air Bel Sub-19 x Marignane Gignac Sub-19</t>
  </si>
  <si>
    <t>Under 2,0 - Buducnost Podgorica x FK Jezero</t>
  </si>
  <si>
    <t>Over 1,5 - KVZ SC x New City FC</t>
  </si>
  <si>
    <t>Under 2,5 - Toluca Sub-23 x Club América Sub-23</t>
  </si>
  <si>
    <t>TP Mazembe AH 0 - TP Mazembe (fem) x University of Western Cape (fem)</t>
  </si>
  <si>
    <t>CAF</t>
  </si>
  <si>
    <t>Under 2,0 - Bendel Insurance x Kano Pillars</t>
  </si>
  <si>
    <t>Under 1,0 - NK Ponikve x NK Dinamo Odranski Obrez</t>
  </si>
  <si>
    <t>Besiktas AH +0,25 - Besiktas (fem) x Galatasaray (fem)</t>
  </si>
  <si>
    <t>Kustosija AH 0 - NK Uljanik x Kustosija</t>
  </si>
  <si>
    <t>Under 2,75 - Huesca Sub-19 x Real Zaragoza Sub-19</t>
  </si>
  <si>
    <t>Over 2,0 - Albinoleffe Sub-19 x AC Feralpisalo Sub-19</t>
  </si>
  <si>
    <t>Tranent AH +1,25 - East Kilbride x Tranent Juniors</t>
  </si>
  <si>
    <t>Under 3,5 - Louletano Sub-19 x FC Barreirense Sub-19</t>
  </si>
  <si>
    <t>FC Barreirense AH +0,75 - Louletano Sub-19 x FC Barreirense Sub-19</t>
  </si>
  <si>
    <t>Under 1,0 - Lucchese x Legnano Salus</t>
  </si>
  <si>
    <t>Over 1,75 - Recreativo do Libolo x Petro Luanda</t>
  </si>
  <si>
    <t>Angola</t>
  </si>
  <si>
    <t>Over 5,0 - Paris Saint-Germain (fem) x Strasbourg (fem)</t>
  </si>
  <si>
    <t>RC Arba AH 0 - RC Arba x CR Temouchent</t>
  </si>
  <si>
    <t>Under 2,5 - Pachuca Sub-23 x Juárez FC Sub-23</t>
  </si>
  <si>
    <t>Over 1,5 - MC Saida x JSM Tiaret</t>
  </si>
  <si>
    <t>Maritimo AH +0,25 - CD Nacional Funchal Sub-19 x Maritimo Sub-19</t>
  </si>
  <si>
    <t>Over 1,75 - FK Sarajevo x FK Sloga Doboj</t>
  </si>
  <si>
    <t>Bósnia e Herz</t>
  </si>
  <si>
    <t>Over 2,0 - Cheltenham x Bromley</t>
  </si>
  <si>
    <t>Over 2,0 - Kidderminster x Farsley Celtic</t>
  </si>
  <si>
    <t>Under 0,5 - National Bank of Egypt x Pharco FC</t>
  </si>
  <si>
    <t>Casa Sport AH +0,75 - AS Dakar Sacre Coeur x Casa Sport</t>
  </si>
  <si>
    <t>Under 1,0 - Shepshed Dynamo x Lye Town</t>
  </si>
  <si>
    <t>Under 2,0 - Farnborough x Slough</t>
  </si>
  <si>
    <t>Under 1,0 - Wingate &amp; Finchley x Hastings United</t>
  </si>
  <si>
    <t>Under 3,0 - Warrington Rylands x Blyth Spartans</t>
  </si>
  <si>
    <t>Mes Rafsanjan AH +0,25 - Esteghlal Tehran x Mes Rafsanjan</t>
  </si>
  <si>
    <t>SF Damaiense AH 0 - SF Damaiense (fem) x SCU Torreense (fem)</t>
  </si>
  <si>
    <t>Under 3,75 - Lank Vileverdense Sub-19 x Merelinense Sub-19</t>
  </si>
  <si>
    <t>Over 6,0 - CF Lorca Deportiva x Plus Ultra</t>
  </si>
  <si>
    <t>Under 3,25 - Monopoli Sub-19 x Napoli Sub-19</t>
  </si>
  <si>
    <t>Over 1,5 - Imigresen FC x Bunga Raya</t>
  </si>
  <si>
    <t>Under 4,0 - Lechia Gdansk Sub-19 x Arka Gdynia Sub-19</t>
  </si>
  <si>
    <t>Over 2,25 - Famalicão (fem) x Marítimo (fem)</t>
  </si>
  <si>
    <t>Under 2,25 - Recreativo Granada x CD Estepona</t>
  </si>
  <si>
    <t>Under 2,0 - Cacereño (fem) x SE AEM (fem)</t>
  </si>
  <si>
    <t>Atlético de Madrid AH +1,0 - Fundación Albacete (fem) x Atlético de Madrid B (fem)</t>
  </si>
  <si>
    <t>CD Castellon AH +0,25 - CE Seagull (fem) x CD Castellon (fem)</t>
  </si>
  <si>
    <t>First Vienna AH +1,0 - FK Austria Vienna (fem) x First Vienna FC 1894 (fem)</t>
  </si>
  <si>
    <t>Under 3,0 - Avarta x Holstebro</t>
  </si>
  <si>
    <t>Saipa AH 0 - Damash Gilan x Saipa Karadj</t>
  </si>
  <si>
    <t>Under 4,5 - Astra Hungary (fem) x MTK Budapest (fem)</t>
  </si>
  <si>
    <t>Under 2,0 - El Mansoura x El Daklyeh</t>
  </si>
  <si>
    <t>Almansa AH 0 - Almansa x Atletico Tomelloso</t>
  </si>
  <si>
    <t>Real Sociedad AH 0 - Aurrera de Vitoria U19 x Real Sociedad Sub-19</t>
  </si>
  <si>
    <t>Under 1,75 - Bulawayo Chiefs FC x ZPC Kariba FC</t>
  </si>
  <si>
    <t>CD Huetor AH 0 - CP Mijas x CD Huetor Tajar</t>
  </si>
  <si>
    <t>Kleinmunchen AH +2,25 - SK Sturm Graz (fem) x Kleinmunchen/Blau-Weiss Linz (f)</t>
  </si>
  <si>
    <t>Thyella AH +0,75 - Agios Nikolaos x Thyella Rafinas</t>
  </si>
  <si>
    <t>Over 2,0 - Tuilla x Lealtad</t>
  </si>
  <si>
    <t>CD Naval AH +0,75 - CD Guarnizo x CD Naval</t>
  </si>
  <si>
    <t>Over 2,0 - Almeria Sub-19 x Cordoba Sub-19</t>
  </si>
  <si>
    <t>Under 2,0 - Lusitano GC Moncarapachense x Lusitano Ginásio Clube</t>
  </si>
  <si>
    <t>Under 2,0 - Palencia x Burgos Promesas</t>
  </si>
  <si>
    <t>Under 1,0 - FC Pas de la Casa x FC Santa Coloma</t>
  </si>
  <si>
    <t>Under 2,25 - Zamora CF x Real Sociedad B</t>
  </si>
  <si>
    <t>FK Kom AH +1,75 - OFK Mladost DG x FK Kom Podgorica</t>
  </si>
  <si>
    <t>Atletico Fenix AH +0,5 - Defensor Sporting x Atletico Fenix Montevideo</t>
  </si>
  <si>
    <t>Vere AH +1,5 - Cavalier x Vere United</t>
  </si>
  <si>
    <t>Under 2,0 - Coritiba x Santos</t>
  </si>
  <si>
    <t>Under 2,0 - São Gonçalo EC x Artsul</t>
  </si>
  <si>
    <t>Under 2,75 - Mossley x City of Liverpool FC</t>
  </si>
  <si>
    <t>Ethad AH +0,5 - Amman FC x Ethad Al-Ramtha</t>
  </si>
  <si>
    <t>Under 5,75 - Sarpsborg 08 Sub-19 x KFUM Sub-19</t>
  </si>
  <si>
    <t>Wil AH +0,75 - SCR Altach x Wil 1900</t>
  </si>
  <si>
    <t>St Pauli AH 0 HT - Eintracht Braunschweig x St Pauli</t>
  </si>
  <si>
    <t>Under 2,5 - JKU FC x Mafunzo FC</t>
  </si>
  <si>
    <t>Under 2,25 - Mlandege FC x Uhamiaji FC</t>
  </si>
  <si>
    <t>Under 3,0 - Los Andes - Reservas x CSD Flandria - Reservas</t>
  </si>
  <si>
    <t>Under 2,25 - GC Mascara Sub-21 x NA Hussein Dey Sub-21</t>
  </si>
  <si>
    <t>Over 2,0 - Phu Dong FC x CLB Bong da Hue</t>
  </si>
  <si>
    <t>KF Rilindja AH 0 - KF Rilindja 1995 x KF Dukagjini Gjakove</t>
  </si>
  <si>
    <t>CS Metalurgistul AH +1,5 - CS Metalurgistul Cugir x CS Gloria 2018 Bistrita-Nasaud</t>
  </si>
  <si>
    <t>Under 4,0 - Birmingham Sub-21 x Sheff Utd Sub-21</t>
  </si>
  <si>
    <t>Under 0,75 - Pele Pele x Dube Continental FC</t>
  </si>
  <si>
    <t>Under 4,0 - Ilhas Cayman x Guadalupe</t>
  </si>
  <si>
    <t>América Norte</t>
  </si>
  <si>
    <t>Under 2,25 - Spad Alvand x Pas Hamedan</t>
  </si>
  <si>
    <t>Over 2,0 - Sol de América - Reservas x Sportivo Trinidense - Reservas</t>
  </si>
  <si>
    <t>Klagenfurt AH +1,5 - ATUS Velden v SAK Klagenfurt</t>
  </si>
  <si>
    <t>Under 2 - Lovech v Dobrudzha 1919 Dobrich</t>
  </si>
  <si>
    <t xml:space="preserve">Under 2,5 - Botev Plovdiv II v Ludogorets Razgrad II </t>
  </si>
  <si>
    <t>Under 2,0 - ES Rades v CS Korba</t>
  </si>
  <si>
    <t>Somuz AH 0 -  Somuz Falticeni v FC Ceahlaul Piatra Neamt II</t>
  </si>
  <si>
    <t>Under 1 - TSV Steinbach v Kickers Offenbach</t>
  </si>
  <si>
    <t>Under 0,75 - JBM FC v University of Johannesburg FC</t>
  </si>
  <si>
    <t>Dolni AH + 0,5 - SK Dolni Chabry v TJ Spoje Praha</t>
  </si>
  <si>
    <t>Dupla - Under 3,75 + Dolni AH +0,5</t>
  </si>
  <si>
    <t>Dupla</t>
  </si>
  <si>
    <t>Under 3,75 - Ballyclare Comrades v Ballinamallard Utd</t>
  </si>
  <si>
    <t xml:space="preserve">Under 3,25 - Real SC Sub-19 v UD Leiria Sub-19 </t>
  </si>
  <si>
    <t>Badalona AH +1,5 - Real Zaragoza Sub-19 v Badalona Sub-19</t>
  </si>
  <si>
    <t>Newington AH +1,5 - Dundela v Newington FC</t>
  </si>
  <si>
    <t>Under 6 - Airbus UK v Goytre Utd</t>
  </si>
  <si>
    <t xml:space="preserve">Guingamp AH +2,25 - Dijon - Feminino v Guingamp - Feminino </t>
  </si>
  <si>
    <t>Under 3,5 - D Alzira Sub-19 v Elche Sub-19</t>
  </si>
  <si>
    <t>Beasain AH 0 - Pasaia KE v SD Beasain</t>
  </si>
  <si>
    <t xml:space="preserve">Under 1,25 - Ardoi Sub-19 v Athletic Bilbao Sub-19 </t>
  </si>
  <si>
    <t xml:space="preserve">Under 2,25 - Amazonas x Goiás </t>
  </si>
  <si>
    <t>Under 2,75 - FC Mayaguez v Metropolitan FA</t>
  </si>
  <si>
    <t>Under 3 - Ujpest II x III Keruleti</t>
  </si>
  <si>
    <t>Under 3,25 - MTK II v Paksi II</t>
  </si>
  <si>
    <t>Colt AH +0,75 - CS Tineretul Gura Vitioarei v CS Unirea Cocorastii Colt</t>
  </si>
  <si>
    <t>Under 2,25 - Aviles Stadium CF v Condal</t>
  </si>
  <si>
    <t>Under 2,5 - Juventud Torremolinos CF v Recreativo Granada</t>
  </si>
  <si>
    <t xml:space="preserve">Under 2,25 - Lee Man FC v Southern District </t>
  </si>
  <si>
    <t>Under 1,25 - Bornova Hitabspor - Feminino v Hakkarigucu SK - Feminino</t>
  </si>
  <si>
    <t>Under 3 - CD Diocesano v Olivenza</t>
  </si>
  <si>
    <t>Under 2 - El Mansoura v Telecom Egypt</t>
  </si>
  <si>
    <t>Kia AH 0 - KIA Football Academy v Chooka Talesh</t>
  </si>
  <si>
    <t>Under 0,75 - Al Nasiriyah v Al Hussein Baghdad</t>
  </si>
  <si>
    <t>Under 5,0 - Dudullu SK - Feminino v Horozkent SK - Feminino</t>
  </si>
  <si>
    <t>Under 0,75 - Penzugyor SE v BKV Elore SC</t>
  </si>
  <si>
    <t>Under 2,5 - Pro Palazzo v USD Casatese</t>
  </si>
  <si>
    <t>Francavilla AH +1 - FBC Gravina v FC Francavilla</t>
  </si>
  <si>
    <t>Under 3,5 - KRC Harelbeke v SC Dikkelvenne</t>
  </si>
  <si>
    <t>Brno II AH +0,25 - SC Znojmo v FC Brno II</t>
  </si>
  <si>
    <t>Under 1 - Doxa Dramas - Feminino v Kastoria GPO - Feminino</t>
  </si>
  <si>
    <t>Under 0,75 - Kigezi Homeboyz FC v Kataka FC</t>
  </si>
  <si>
    <t>Under 2 - Levante B v Ontinyent</t>
  </si>
  <si>
    <t>Under 0,75 - Chipukizi FC v Zimamoto SC</t>
  </si>
  <si>
    <t>Under 2 - Burgos Promesas v Atletico Astorga</t>
  </si>
  <si>
    <t>Under 2 - FC Malaga City v CD Torreperogil</t>
  </si>
  <si>
    <t>Under 0,75 - Alondras v CF Noia</t>
  </si>
  <si>
    <t>Montevideo AH +0,5 - Liverpool Montevideo (fem) x Montevideo Wanderers (fem)</t>
  </si>
  <si>
    <t>Oriente AH +1,5 - Soccer Law v Sol de Oriente</t>
  </si>
  <si>
    <t>Under 3 - Al Bidda SC v Muaither SC</t>
  </si>
  <si>
    <t>Under 2,75 - Vila Nova Sub-20 x Goiás Sub-20</t>
  </si>
  <si>
    <t>Under 2,25 - Club Atlético Progreso x Atletico Fenix Montevideo</t>
  </si>
  <si>
    <t>Under 1,0 - Guarani de Divinópolis x Paracatu FC</t>
  </si>
  <si>
    <t>Under 1,75 - CLB Hoa Binh x Sanna Khanh Hoa</t>
  </si>
  <si>
    <t>Over 1,75 - RC Kouba Sub-21 x ASM Oran Sub-21</t>
  </si>
  <si>
    <t>Under 4,0 - Peterborough Sub-21 x Sheff Utd Sub-21</t>
  </si>
  <si>
    <t>Under 1,0 - Chennaiyin II x Church Boys United</t>
  </si>
  <si>
    <t>Under 2,5 - África do Sul Sub-20 (fem) x Moçambique Sub-20 (fem)</t>
  </si>
  <si>
    <t>COSAFA</t>
  </si>
  <si>
    <t>Under 3,75 - SC Union Triester x A XIII Auhof Center</t>
  </si>
  <si>
    <t>Under 2,75 - Posidonas Neas Michanionas x Thermaikos Thermis</t>
  </si>
  <si>
    <t>Under 0,75 - Shashemene Kenema FC x Axum Ketema</t>
  </si>
  <si>
    <t>Welkite AH 0 - Welkite Ketema x Dedebit FC</t>
  </si>
  <si>
    <t>AO Giouchtas AH 0 - Thyella Rafinas x AO Giouchtas</t>
  </si>
  <si>
    <t>Under 2,25 - Yupanqui x Deportivo Paraguayo</t>
  </si>
  <si>
    <t>Under 2,25 - CA Lugano x Juventud Unida San Miguel</t>
  </si>
  <si>
    <t>Under 0,75 - Nib FC x Boditi Ketema</t>
  </si>
  <si>
    <t>Over 2,25 - Al Nasr Cairo x Nejmet Sinai FC</t>
  </si>
  <si>
    <t>Under 3,0 - Clube de Albergaria (fem) x Racing Power (fem)</t>
  </si>
  <si>
    <t>Under 1,0 - AS du Port x Garde-Cotes FC</t>
  </si>
  <si>
    <t>Under 2,75 - Sacachispas - Reservas x Club Comunicaciones - Reservas</t>
  </si>
  <si>
    <t>Under 2,75 - Hapoel Hod Hasharon x Hapoel Mahane Yehuda</t>
  </si>
  <si>
    <t>Under 2,75 - Hapoel Kafr Kanna x Maccabi Nujeidat Ahmed</t>
  </si>
  <si>
    <t>Under 2,0 - Hutteen x Al Wathba SC</t>
  </si>
  <si>
    <t>Al Wathba AH +0,5 - Hutteen x Al Wathba SC</t>
  </si>
  <si>
    <t>Under 2,75 - ACSO Filiasi x Unirea Bascov</t>
  </si>
  <si>
    <t>Under 3,75 - Midtjylland Sub-19 x Sonderjyske Sub-19</t>
  </si>
  <si>
    <t>Under 1,0 - Rionegro Aguilas - Reservas x Medellin City FC</t>
  </si>
  <si>
    <t>Under 0,75 - Académica Lobito x FC Bravos do Maquis</t>
  </si>
  <si>
    <t>Under  1,5 - Viking FK Sub-19 x Brann Sub-19</t>
  </si>
  <si>
    <t>Under 2,0 - FC Kosice x Slovan Bratislava</t>
  </si>
  <si>
    <t>Under 1,0 - Chateauroux x Nancy</t>
  </si>
  <si>
    <t>Under 0,75 - Troyes x Grenoble</t>
  </si>
  <si>
    <t>Under 4,25 - United FC x SV Jong Aruba</t>
  </si>
  <si>
    <t>Under 1,0 - Athens Kallithea Sub-19 x Panserraikos Sub-19</t>
  </si>
  <si>
    <t>Under 4,75 - Kirkos FC (fem) x Hambericho Durame (fem)</t>
  </si>
  <si>
    <t>Under 1,25 - Campobasso U19 x Trapani U19</t>
  </si>
  <si>
    <t>Under 1,0 - Samgurali x FC Samtredia</t>
  </si>
  <si>
    <t xml:space="preserve">Under 1,5 - Young Lions x Albirex Niigata Singapore </t>
  </si>
  <si>
    <t>Under 3 - KS Wiazownica x Lewart Lubartow</t>
  </si>
  <si>
    <t>Under 1,75 - Union Viera CF x Lanzarote</t>
  </si>
  <si>
    <t>Under 0,75 - Grimsby x Colchester</t>
  </si>
  <si>
    <t xml:space="preserve">Under 0,75 - Uhamiaji FC x KVZ SC </t>
  </si>
  <si>
    <t>Under 1,0 - MTK Budapest (fem) x Ferencvarosi TC (fem)</t>
  </si>
  <si>
    <t>Under 0,75 - Chesterfield x Barrow</t>
  </si>
  <si>
    <t>Under 1 - Lancaster City x Worksop</t>
  </si>
  <si>
    <t>Under 2,75 - AFC Hermannstadt x Universitatea Cluj</t>
  </si>
  <si>
    <t>Under 0,75 - Granada x Cadiz</t>
  </si>
  <si>
    <t>Under 0,75 - Dire Dawa x Hawassa City FC</t>
  </si>
  <si>
    <t>Under 3,75 - Mainz Women x Wolfsburg Women</t>
  </si>
  <si>
    <t xml:space="preserve">Under 1 - Sable FC x Nantes II </t>
  </si>
  <si>
    <t>Under 1,25 - CF Aranbizkarra x AD Colegio San Prudencio</t>
  </si>
  <si>
    <t>Under 1,25 - D-Gardens United x Laval United FC</t>
  </si>
  <si>
    <t xml:space="preserve">Gimnasia AH 0 - Velez x Gimnasia </t>
  </si>
  <si>
    <t xml:space="preserve">Under 1 - AD San Carlos x Deportivo Saprissa </t>
  </si>
  <si>
    <t>Under 1,75 - Calamonte x CD Badajoz</t>
  </si>
  <si>
    <t>Under 1,0 - Davao Aguilas FC x Manila Digger FC</t>
  </si>
  <si>
    <t>Filipinas</t>
  </si>
  <si>
    <t>Under 3,75 - ZNK Agram (fem) x ZNK Osijek (fem)</t>
  </si>
  <si>
    <t>Under 4,0 - Astra Hungary (fem) x Haladas Viktoria (fem)</t>
  </si>
  <si>
    <t>Under 3,75 - ZNK Agram Women x ZNK Osijek Women</t>
  </si>
  <si>
    <t>Under 5,5 - Sevilha B (fem) x CFF Albacete (fem)</t>
  </si>
  <si>
    <t>Under 2,5 - NK Dinamo Predavac x NK Virovitica</t>
  </si>
  <si>
    <t>Under 3,0 - Gzira Utd x Saint Patrick FC Zabbar</t>
  </si>
  <si>
    <t>Under 1,0 - Eintracht Frankfurt II x Stuttgarter Kickers</t>
  </si>
  <si>
    <t>Under 1,0 - Muhazi United WFC (fem) x APR FC (fem)</t>
  </si>
  <si>
    <t>Under 1,0 - Teramo x Recanatese</t>
  </si>
  <si>
    <t>Under 2,25 - Marseille Sub-19 (fem) x Toulouse Sub-19 (fem)</t>
  </si>
  <si>
    <t>Under 1,0 - Garde Republicaine SIAF x FC Dikhil</t>
  </si>
  <si>
    <t>Várzea AH 0 - FC São Romão (fem) x Várzea (fem)</t>
  </si>
  <si>
    <t>Under 0,75 - CD Fuentes x Brea</t>
  </si>
  <si>
    <t>Under 0,75 - Dreams FC x Karela United FC</t>
  </si>
  <si>
    <t>Under 0,75 - Haro Deportivo x Yague</t>
  </si>
  <si>
    <t>Under 1,0 - Atletico Huila Sub-19 x Fortaleza CEIF Sub-19</t>
  </si>
  <si>
    <t>Under 3,25 - FC Cremas (fem) x Xelaju (fem)</t>
  </si>
  <si>
    <t>Under 4,5 - Elche x Real Oviedo</t>
  </si>
  <si>
    <t>Under 3,5 - Victoriano Arenas x Club Mercedes</t>
  </si>
  <si>
    <t>Under 1,0 - CS Guzman x Atlético Concepción</t>
  </si>
  <si>
    <t>Under 0,75 - El Atesalat x Amanat Baghdad</t>
  </si>
  <si>
    <t>Under 0,75 - Mwembe Makumbi City FC x Mafunzo FC</t>
  </si>
  <si>
    <t>Under 2,75 - Hapoel Ironi Karmiel x Bnei Hagolan VeHaGalil</t>
  </si>
  <si>
    <t>Under 4,0 - FC Emmen x De Graafschap</t>
  </si>
  <si>
    <t>Under 1,0 - Genesis de Comayagua - Reservas x Olancho FC - Reservas</t>
  </si>
  <si>
    <t>Under 4,25 - Molynes United FC x Racing United FC</t>
  </si>
  <si>
    <t>Under 1,0 - Buriram United x Kawasaki Frontale</t>
  </si>
  <si>
    <t>Under 1,0 - NK Krka Sub-19 x NS Mura Sub-19</t>
  </si>
  <si>
    <t>Under 1,75 - Egipto Sub-20 x Tunísia Sub-20</t>
  </si>
  <si>
    <t>Under 2,75 - Austria Lustenau x SV Stripfing/Weiden</t>
  </si>
  <si>
    <t>Under 1,75 - Leamington x Needham Market</t>
  </si>
  <si>
    <t>Under 3,25 - FK Mornar Bar x FK Bokelj</t>
  </si>
  <si>
    <t>Under 2,75 - Mawlai SC x Nongrim Hills</t>
  </si>
  <si>
    <t>Under 1,25 - NK Dugopolje x NK Lokomotiva Zagreb</t>
  </si>
  <si>
    <t>Under 2,75 - Sabah FC x PT Athletic FC</t>
  </si>
  <si>
    <t>Under 4,0 - FC Twente/Heracles Academie Sub-21 x NAC Sub-21</t>
  </si>
  <si>
    <t>Under 2,25 - NK IB 1975 Ljubljana Sub-19 x NK Maribor Sub-19</t>
  </si>
  <si>
    <t>Under 1,0 - Makedonikos U19 x Iraklis 1908 FC U19</t>
  </si>
  <si>
    <t>Under 0,75 - MUZA FC x Zesco United</t>
  </si>
  <si>
    <t>Under 2,75 - UE Castelldefels x CE Europa</t>
  </si>
  <si>
    <t>Under 1,0 - Retro FC Brasil U20 x Nautico Capiberibe U20</t>
  </si>
  <si>
    <t>Under 5,25 - Kelantan Darul Naim U23 x Kedah II</t>
  </si>
  <si>
    <t>Under 1,0 - Tzeirey Umm al-Fahm</t>
  </si>
  <si>
    <t>Albion AH 0 - Albion FC - Reservas x Defensor Sporting - Reservas</t>
  </si>
  <si>
    <t>Under 0,75 - Forest Rangers x Green Eagles</t>
  </si>
  <si>
    <t>Under 0,75 - Al Feiha x Al Orubah</t>
  </si>
  <si>
    <t>Under 3,75 - Al Markhiya x Al Mesaimeer SC</t>
  </si>
  <si>
    <t>Under 0,75 - Dire Dawa x EEPCO FC</t>
  </si>
  <si>
    <t>Under 5,5 - Always Ready Sub-19 x San Antonio Bulo Bulo Sub-19</t>
  </si>
  <si>
    <t>Under 2,5 - MS Tira x Hapoel Kafr Kanna</t>
  </si>
  <si>
    <t>Under 2,25 - Hapoel Ashkelon x AS Ashdod</t>
  </si>
  <si>
    <t>Under 2,75 - Deportivo Maldonado - Reservas x Miramar Misiones - Reservas</t>
  </si>
  <si>
    <t>Under 1,0 - Remo (fem) x Tuna Luso (fem)</t>
  </si>
  <si>
    <t>Under 1,5 - Vatika FC x Royal Rangers FC</t>
  </si>
  <si>
    <t>FC Pucioasa AH +1,75 - CS Blejoi x FC Pucioasa</t>
  </si>
  <si>
    <t>ACS Viitorul AH +3,25 - ACS Viitorul Cluj x SCM Zalau</t>
  </si>
  <si>
    <t>Under 3,5 - Sokol Kleczew x Wisla Plock II</t>
  </si>
  <si>
    <t>Under 4,25 - Huddersfield - Reservas x Bolton - Reservas</t>
  </si>
  <si>
    <t>Under 3,0 - East Bengal Club x Northeast United</t>
  </si>
  <si>
    <t>Under 2,25 - East Bengal Club x Northeast United</t>
  </si>
  <si>
    <t>Under 1,0 - USM Blida x RC Arba</t>
  </si>
  <si>
    <t>Under 0,75 - Moghayer Al Sarhan x Al Salt</t>
  </si>
  <si>
    <t>Under 0,75 - CF Gendarmerie Nationalde x Garde-Cotes FC</t>
  </si>
  <si>
    <t>Under 6,25 - Atherton Collieries x Vauxhall Motors</t>
  </si>
  <si>
    <t>Under 1,5 - Club Mercedes x Centro Espanyol</t>
  </si>
  <si>
    <t>Under 3,5 - Panathinaikos U19 x Atromitos U19</t>
  </si>
  <si>
    <t>Under 1,5 - Fakirapool Young Men's Club x Dhaka Abahani</t>
  </si>
  <si>
    <t>Bangladesh</t>
  </si>
  <si>
    <t>Under 2,75 - General Caballero Reserves x 2 de Mayo Reserves</t>
  </si>
  <si>
    <t>Under 2,75 - Sol de America Reserves x Sportivo Ameliano Reserves</t>
  </si>
  <si>
    <t>Vilaverdense AH +0,5 - Vilaverdense x Trofense</t>
  </si>
  <si>
    <t>UD Alzira AH +1,5 - UD Alzira Sub-19 x Alboraya Sub-19</t>
  </si>
  <si>
    <t>Under 4,25 - Sunderland Sub-21 x Man City Sub-21</t>
  </si>
  <si>
    <t>Under 1,0 - 1922 Konyaspor x Ayvalikgucu Belediyespor</t>
  </si>
  <si>
    <t>Under 3,75 - NK Rudes Sub-19 x HNK Sibenik Sub-19</t>
  </si>
  <si>
    <t>Under 2,0 - Diósgyori VTK Sub-19 x Ferencvarosi TC Sub-19</t>
  </si>
  <si>
    <t>Under 2,0 - UD Alzira Sub-19 x Alboraya Sub-19</t>
  </si>
  <si>
    <t>Under 4,25 - Colwyn Bay x Gresford Athletic</t>
  </si>
  <si>
    <t>Under 2,25 - Knockbreda x Banbridge Town</t>
  </si>
  <si>
    <t>Under 5,25 - Bari U19 x Perugia U19</t>
  </si>
  <si>
    <t>Pero AH +1,5 - O Elvas x Pero Pinheiro</t>
  </si>
  <si>
    <t>Ossett AH +1,5 - Ossett United x Cleethorpes Town</t>
  </si>
  <si>
    <t>UD Oliveirense AH +2,5 - FC Porto Sub-19 x UD Oliveirense Sub-19</t>
  </si>
  <si>
    <t>Under 4,0 - Villaviciosa Odon (fem) x Torrelodones (fem)</t>
  </si>
  <si>
    <t>Under 1,5 - Ruthin Town x Airbus UK</t>
  </si>
  <si>
    <t>Hawks AH +0,25 - Hawks FC x Steve Biko FC</t>
  </si>
  <si>
    <t>Under 4,25 - Real Oviedo B (fem) x Deportivo La Coruña B (fem)</t>
  </si>
  <si>
    <t>Real AH 3,25 - Real Oviedo B (fem) x Deportivo La Coruña B (fem)</t>
  </si>
  <si>
    <t>Under 0,75 - Onze Créateurs x AS Police</t>
  </si>
  <si>
    <t>Under 0,75 - UD Castellonense x Patacona CF</t>
  </si>
  <si>
    <t>Under 1,0 - Mochudi Central Chiefs x Tafic FC</t>
  </si>
  <si>
    <t>Botsuana</t>
  </si>
  <si>
    <t>Under 1,75 - Athletic Bilbao B x Real Sociedad B</t>
  </si>
  <si>
    <t>T</t>
  </si>
  <si>
    <t>Pos. M</t>
  </si>
  <si>
    <t>Pos. V</t>
  </si>
  <si>
    <t>% rod</t>
  </si>
  <si>
    <t>Mando</t>
  </si>
  <si>
    <t>Força</t>
  </si>
  <si>
    <t>Situação</t>
  </si>
  <si>
    <t>Under 2,25 - Bangwe All Stars x Silver Strikers</t>
  </si>
  <si>
    <t>Malaui</t>
  </si>
  <si>
    <t xml:space="preserve">Under </t>
  </si>
  <si>
    <t>ASDC Gozzano AH +0,75 - FC Vado x ASDC Gozzano</t>
  </si>
  <si>
    <t>V</t>
  </si>
  <si>
    <t>Z</t>
  </si>
  <si>
    <t>ASDC Gozzano AH +0,5 - FC Vado x ASDC Gozzano</t>
  </si>
  <si>
    <t>Tishreen AH -0,25 - Al Shouleh x Tishreen</t>
  </si>
  <si>
    <t>F</t>
  </si>
  <si>
    <t>AC Magenta AH 0 - AC Magenta 1945 x Club Milano</t>
  </si>
  <si>
    <t>M</t>
  </si>
  <si>
    <t>E</t>
  </si>
  <si>
    <t>Admira AH 0 - Admira Praga II x FK Ostrov</t>
  </si>
  <si>
    <t>Under 13,5 cantos - Vilaverdense Futebol Clube (fem) x Braga (fem)</t>
  </si>
  <si>
    <t>Under 2,25 - Pro Palazzo x US Folgore Caratese</t>
  </si>
  <si>
    <t>US Folgore AH +0,25 - Pro Palazzo x US Folgore Caratese</t>
  </si>
  <si>
    <t>Hvidovre AH 0 - Hvidovre IF x Kolding IF</t>
  </si>
  <si>
    <t>Kolding AH 0 - Hvidovre IF x Kolding IF</t>
  </si>
  <si>
    <t>Tiller AH 0 - Tiller Sub-19 x Charlottelund Sub-19</t>
  </si>
  <si>
    <t>Al-Nahda AH 0 - Al-Nahda x Sohar Club</t>
  </si>
  <si>
    <t>Ahrobiznes AH 0 - FC Metalist Kharkiv x Ahrobiznes Volochysk</t>
  </si>
  <si>
    <t>CS Viitorul DNB - ACS Speed Academy Pitesti x CS Viitorul Daesti</t>
  </si>
  <si>
    <t>KF Dukagjini AH 0 - FC Ferizaj x KF Dukagjini</t>
  </si>
  <si>
    <t>PTL Bazar AH 0 - PTL Bazar Brothers FC x St Michel United</t>
  </si>
  <si>
    <t>Seychelles</t>
  </si>
  <si>
    <t>Over 0,5 - Kheybar Khorramabad x Gol Gohar</t>
  </si>
  <si>
    <t>Kheybar AH 0 - Kheybar Khorramabad x Gol Gohar</t>
  </si>
  <si>
    <t>Othellos AH 0 - Othellos Athienou x Anagennisi FC Deryneia</t>
  </si>
  <si>
    <t>Hope AH -0,25 - Hope Internacional FC x Iraty</t>
  </si>
  <si>
    <t>UFC Siezenheim AH 0 HT - TSV Neumarkt x UFC Siezenheim</t>
  </si>
  <si>
    <t>Al Minaa AH 0 - Al Minaa x Al Karkh</t>
  </si>
  <si>
    <t>FK Dainava AH 0 - Banga Gargzdai x FK Dainava Alytus</t>
  </si>
  <si>
    <t>Lituânia</t>
  </si>
  <si>
    <t>Club Olimpia AH -0,5 - Sportivo Trinidense - Reservas x Club Olimpia - Reservas</t>
  </si>
  <si>
    <t>CS Tricolorul AH 0 - CSO Baicoi x CS Tricolorul Breaza</t>
  </si>
  <si>
    <t>Junguni DNB - Junguni United FC x Malindi (cash)</t>
  </si>
  <si>
    <t>Junguni AH 0 - Junguni United FC x Malindi</t>
  </si>
  <si>
    <t>Warrington DNB - Stocksbridge P S x Warrington Rylands</t>
  </si>
  <si>
    <t>Monopoli AH 0 - Salernitana Sub-19 x Monopoli Sub-19</t>
  </si>
  <si>
    <t>Académica AH 0 - Académica Sub-19 x Beira-Mar Sub-19</t>
  </si>
  <si>
    <t>FC Koper AH 0 - FC Koper Sub-19 x NK Aluminij Sub-19</t>
  </si>
  <si>
    <t>AVS AH 0 - GD Prado Sub-19 x AVS Sub-19</t>
  </si>
  <si>
    <t>TSV AH 0 - TSV St. Johann x Hohenems</t>
  </si>
  <si>
    <t>Clube Oriental AH 0 - Clube Oriental Lisboa Sub-19 x SU 1º de Dezembro Sub-19</t>
  </si>
  <si>
    <t>12 de Junio AH 0 - 12 de Junio de Villa Hayes x Sportivo Carapeguá</t>
  </si>
  <si>
    <t>Kolos AH 0 - Kolos Kovalivka x FC Livyi Bereh</t>
  </si>
  <si>
    <t>Molino DNB - Molino Veijo x Real Santuario</t>
  </si>
  <si>
    <t>Over 0,5 - Kolos Kovalivka x FC Livyi Bereh</t>
  </si>
  <si>
    <t>Berriozar AH +0,25 - Oberena (fem) x Berriozar CF (fem)</t>
  </si>
  <si>
    <t>Al Qasim AH 0 - Diyala FC x Al Qasim SC</t>
  </si>
  <si>
    <t>Taguatinga AH +0,25 - Taguatinga x Legião FC</t>
  </si>
  <si>
    <t>Union Omaha AH 0 - Richmond Kickers x Union Omaha</t>
  </si>
  <si>
    <t>UD San Pedro AH +0,25 - Alhaurin Torre x UD San Pedro</t>
  </si>
  <si>
    <t>Pinn EV</t>
  </si>
  <si>
    <t>Uganda AH 0 - She Maroons (fem) x Uganda Martyrs (fem)</t>
  </si>
  <si>
    <t>Tiszafured AH 0 - Diosgyori VTK II x Tiszafured VSE</t>
  </si>
  <si>
    <t>UD San Pedro DNB - Alhaurin Torre x UD San Pedro</t>
  </si>
  <si>
    <t>Budapest AH 0 - BKV Elore SC x Budapest Honved II</t>
  </si>
  <si>
    <t>CD San Roque AH 0 - CD San Roque de Lepe x CD Utrera</t>
  </si>
  <si>
    <t>Thermaikos AH -0,25 - Thermaikos Thermis x Kilkisiakos</t>
  </si>
  <si>
    <t>C'Chartres AH 0 - Chateauroux II x C'Chartres</t>
  </si>
  <si>
    <t>Calvi AH 0 - Calvi Noale x Bassano</t>
  </si>
  <si>
    <t>Hlucin AH 0 - SC Znojmo x Hlucin</t>
  </si>
  <si>
    <t>Chateauroux AH 0 - Chateauroux II x C'Chartres</t>
  </si>
  <si>
    <t>Salgueiros AH 0 - Uniao Lamas x Salgueiros</t>
  </si>
  <si>
    <t>Salgueiros DNB - Uniao Lamas x Salgueiros</t>
  </si>
  <si>
    <t>CF Talavera AH 0 - CF Talavera x Cacereño</t>
  </si>
  <si>
    <t>Al Safa AH 0 - Al Safa x Al Jandal</t>
  </si>
  <si>
    <t>Atlas AH 0 - Atlas Sub-19 (fem) x Tijuana Sub-19 (fem)</t>
  </si>
  <si>
    <t>Racing AH 0 - Racing Club Abidjan x Stade d'Abidjan</t>
  </si>
  <si>
    <t>Red Star AH 0 - Red Star Penzing x SV Schwechat</t>
  </si>
  <si>
    <t>SV Langenrohr AH 0 - SV Langenrohr x SCU Kilb</t>
  </si>
  <si>
    <t>Under 2,25 - Kfar Saba 1928 x Maccabi Amishav Petah Tikva</t>
  </si>
  <si>
    <t>Difaa AH +0,25 - Difaa El Jadida x Club Jeunesse Ben Guerir</t>
  </si>
  <si>
    <t>Deportivo Capiatá AH +0,25 - 3 de Noviembre x Deportivo Capiatá</t>
  </si>
  <si>
    <t>Cha Grande AH 0 - Cha Grande FC x Pesqueira FC</t>
  </si>
  <si>
    <t>Vilavelhense AH 0 - Vilavelhense Sub-20 x Rio Branco ES U20</t>
  </si>
  <si>
    <t xml:space="preserve">St Kevins AH 0 - St Kevins Boys x St Pauls Artane FC </t>
  </si>
  <si>
    <t>Club Sportivo AH 0 - Silvio Pettirossi x Club Sportivo Limpeno</t>
  </si>
  <si>
    <t>Chacaritas AH 0 - Chacaritas SC x Guayaquil City</t>
  </si>
  <si>
    <t>Equador</t>
  </si>
  <si>
    <t>CA Estudiantes AH 0 - CA Estudiantes Caseros - Res x CA San Telmo - Res</t>
  </si>
  <si>
    <t>Renaissance AH 0 - Youssoufia Berrechid x Renaissance Ezzmamra</t>
  </si>
  <si>
    <t>CA Ituzaingó AH 0 - CA Ituzaingó - Res x Club Leandro N. Alem - Res</t>
  </si>
  <si>
    <t>Club Leandro AH 0 - CA Ituzaingó - Res x Club Leandro N. Alem - Res</t>
  </si>
  <si>
    <t>Leones AH 0 - Leones x Barranquilla FC</t>
  </si>
  <si>
    <t>Under 2,5 - CS Vulturii Farcasesti x ACS Speed Academy Pitesti</t>
  </si>
  <si>
    <t>ACS FC Dinamo Bucuresti AH 0 - FC Pucioasa x ACS FC Dinamo Bucuresti</t>
  </si>
  <si>
    <t>Sonabel AH 0 - US Forces Armees x Sonabel</t>
  </si>
  <si>
    <t>Burkina Faso</t>
  </si>
  <si>
    <t>Longuera AH 0 - CF Juventud Laguna Sub-19 x Longuera Toscal Sub-19</t>
  </si>
  <si>
    <t xml:space="preserve">Sportivo San Lorenzo AH 0 - Sportivo San Lorenzo x Encarnacion FC </t>
  </si>
  <si>
    <t>US Chaouia AH 0 - US Chaouia Sub-21 x AS Khroub Sub-21</t>
  </si>
  <si>
    <t>FC Progresul AH 0 - CSO Petrolul Potcoava x FC Progresul 1944 Spartac</t>
  </si>
  <si>
    <t xml:space="preserve">Viktoria AH 0 - Viktoria Marianske Lazne x Cesky Brod </t>
  </si>
  <si>
    <t>CSO Petrolul AH 0 - CSO Petrolul Potcoava x FC Progresul 1944 Spartac</t>
  </si>
  <si>
    <t>Merelinense AH 0 - Merelinense Sub-19 x Marinhas FC Sub-19</t>
  </si>
  <si>
    <t>Blacks AH 0 - Booma FC x Blacks Power</t>
  </si>
  <si>
    <t>Under 1,75 - RC Kadiogo x Étoile Filante Ouagadougou</t>
  </si>
  <si>
    <t>Army AH +0,5 - Hasaacas (fem) x Army Ladies FC Women</t>
  </si>
  <si>
    <t>Under 3,0 - First Touch Academy (fem) x City Lads FC (fem)</t>
  </si>
  <si>
    <t>Under 2,25 - Fraga x CDJ Tamarite</t>
  </si>
  <si>
    <t>Under 2,5 - Cacereño B (fem) x CD Guiniguada Apolinario (fem)</t>
  </si>
  <si>
    <t xml:space="preserve">CD Villa AH 0 - CD Villa de Simancas x CF Salamanca UDS II </t>
  </si>
  <si>
    <t>Cannes AH 0 - Cannes x Villefranche</t>
  </si>
  <si>
    <t xml:space="preserve">Fraga AH 0 - Fraga x CDJ Tamarite </t>
  </si>
  <si>
    <t>Gyulai AH 0 - Budapest Honved II x Gyulai Termal</t>
  </si>
  <si>
    <t>Castuera AH 0 - Calamonte x Castuera</t>
  </si>
  <si>
    <t>UE Tona AH 0 - UE Tona x Peralada</t>
  </si>
  <si>
    <t>Under 3,0 - Marselha (fem) x Metz (fem)</t>
  </si>
  <si>
    <t>Supersport AH +0,25 - Amazulu Reservas x Supersport United - Reservas</t>
  </si>
  <si>
    <t>Kodagu AH +0,25 - Kodagu FC x FC Agniputhra</t>
  </si>
  <si>
    <t>Cayelispor DNB - Cayelispor x Etimesgut Belediyespor</t>
  </si>
  <si>
    <t>Cayelispor AH +0,25 - Cayelispor x Etimesgut Belediyespor</t>
  </si>
  <si>
    <t>Under 3,0 - Le Havre Sub-19 x FC Chambly Oise Sub-19</t>
  </si>
  <si>
    <t>Under 3,0 - Lens Sub-19 x PSG Sub-19</t>
  </si>
  <si>
    <t>Under 3,5 - Marselha Sub-19 x US Colomiers Sub-19</t>
  </si>
  <si>
    <t>Under 2,75 - Marko x Agios Nikolaos</t>
  </si>
  <si>
    <t>Under 2,25 - ASD Atletico Ascoli x L'Aquila</t>
  </si>
  <si>
    <t>Under 3,0 - Livorno x AS Ostia Mare</t>
  </si>
  <si>
    <t>Under 2,5 - Este x Luparense FC</t>
  </si>
  <si>
    <t>Nissa AH 0 - Nissa FC x FC Pompei</t>
  </si>
  <si>
    <t>Husqvarna AH 0 - Husqvarna FF x Varbergs GIF FK</t>
  </si>
  <si>
    <t>Puteolana AH 0 - Puteolana x Gelbison</t>
  </si>
  <si>
    <t>AO Chaidari AH +0,25 - AO Tympakiou x AO Chaidari</t>
  </si>
  <si>
    <t>Under 2,75 - CD San Felix Sub-19 x Sevilha Sub-19</t>
  </si>
  <si>
    <t>Zonguldak AH 0 - Edirnespor x Zonguldak Komurspor</t>
  </si>
  <si>
    <t>Racing Paris AH 0 - Amiens Sub-19 x Racing Paris Sub-19</t>
  </si>
  <si>
    <t>Under 1,75 - Shahrdari Mahshahr x Foolad Khuzestan B</t>
  </si>
  <si>
    <t>Hutteen AH 0 - Hutteen Sub-23 x Tishreen Sub-23</t>
  </si>
  <si>
    <t>FK Tuzla AH 0 - Gradina Srebrenik x FK Tuzla City</t>
  </si>
  <si>
    <t>Bosnia e Herz.</t>
  </si>
  <si>
    <t>Enegu AH -0,25 - Enugu Rangers Intl FC x Kano Pillars</t>
  </si>
  <si>
    <t>CD Lunda AH +0,25 - GD Interclube x CD Lunda-Sul</t>
  </si>
  <si>
    <t>SK Batov AH 0 - SK Batov x FK Nove Sady</t>
  </si>
  <si>
    <t>Under 1,75 - Bendel Insurance x Bayelsa United</t>
  </si>
  <si>
    <t xml:space="preserve">LPRC AH 0 - LPRC Oilers FC x Invincible Eleven </t>
  </si>
  <si>
    <t>Club Comunicaciones AH 0 - Atlético Fênix - Res x Club Comunicaciones - Res</t>
  </si>
  <si>
    <t>Under 2,25 - Gualaceo SC x Independiente Juniors</t>
  </si>
  <si>
    <t>Boca Juniors AH 0 - Boca Juniors de Cali x Atlético Cali FC</t>
  </si>
  <si>
    <t>Real Apodaca AH +0,5 - Tritones Vallarta MFC x Real Apodaca FC</t>
  </si>
  <si>
    <t xml:space="preserve">Under 1,75 - Esteghlal Khuzestan x Mes Rafsanjan </t>
  </si>
  <si>
    <t>MC Alger AH 0 - USM Khenchela Sub-21 x MC Alger Sub-21</t>
  </si>
  <si>
    <t>Salitas AH +0,5 - Salitas FC x AS Douanes Ouagadougou</t>
  </si>
  <si>
    <t>Ferrocarril AH 0 - Ferrocarril Midland - Reservas x Deportivo Merlo - Reservas</t>
  </si>
  <si>
    <t xml:space="preserve">CS Gilortul AH 0 - CS Gilortul Targu Carbunesti x Unirea Bascov </t>
  </si>
  <si>
    <t>Lokomotiv AH 0 - Botev Vratsa x Lokomotiv Plovdiv</t>
  </si>
  <si>
    <t>Under 3,25 - Vila Nova Sub-20 x Atlético Goianiense Sub-20</t>
  </si>
  <si>
    <t>Tatran Rousinov AH 0 - Tatran Kohoutovice x Tatran Rousinov</t>
  </si>
  <si>
    <t>Under 2,25 - KF Feronikeli x KF Drita</t>
  </si>
  <si>
    <t>Under 3,0 - Pisa Sub-19 x Palermo Sub-19</t>
  </si>
  <si>
    <t>Ascoli AH 0 - AS Avellino 1912 Sub-19 x Ascoli Sub-19</t>
  </si>
  <si>
    <t>Under 2,5 - Anagennisi FC Deryneia x Akritas Chlorakas</t>
  </si>
  <si>
    <t>Under 3,0 - FC Chambly Oise Sub-19 x Dunkerque Sub-19</t>
  </si>
  <si>
    <t xml:space="preserve">Under 2,25 - Club Milano x US Breno </t>
  </si>
  <si>
    <t>Benevento AH -1,0 - Benevento Sub-19 x Ternana Sub-19</t>
  </si>
  <si>
    <t>MAFCO AH -0,5 - MAFCO x Dedza Dynamos</t>
  </si>
  <si>
    <t>Under 3,25 - Latina Sub-19 x Gubbio Sub-19</t>
  </si>
  <si>
    <t>Empate ou NK Brezice - SD Hajdina x NK Brezice</t>
  </si>
  <si>
    <t>FK Jedinstvo AH 0 - FK Jedinstvo Bijelo Polje x FK Mornar Bar</t>
  </si>
  <si>
    <t>Nkwazi AH 0 - Nkwazi x Mufulira Wanderers</t>
  </si>
  <si>
    <t>Under 1,75 - AS Dakar Sacre Couer x AS Pikine</t>
  </si>
  <si>
    <t xml:space="preserve">Nantes AH 0 - Nantes II x FC Chauray </t>
  </si>
  <si>
    <t>FC Chauray AH 0 - Nantes II x FC Chauray</t>
  </si>
  <si>
    <t>-</t>
  </si>
  <si>
    <t>RFC Tournai AH 0 - RFC Tournai x Union Rochefortoise</t>
  </si>
  <si>
    <t>Union Omaha AH 0 - South Georgia Tormenta FC x Union Omaha</t>
  </si>
  <si>
    <t>UC Ceares AH 0 - Praviano x UC Ceares</t>
  </si>
  <si>
    <t>CD Valdefierro AH 0 - CD Ebro (fem ) x CD Valdefierro (fem)</t>
  </si>
  <si>
    <t>Under 3,0 - Troyes Sub-19 x Auxerre Sub-19</t>
  </si>
  <si>
    <t>Under 3,25 - Kwong Wah x Sun Hei</t>
  </si>
  <si>
    <t>FC Nagykanizsa AH -0,5 - Fonix Gold FC x FC Nagykanizsa</t>
  </si>
  <si>
    <t>Ujpest AH +0,5 - Balatonfuredi FC x Ujpest II</t>
  </si>
  <si>
    <t>Aalesunds AH 0 - Aalesunds FK 2 x Kristiansund 2</t>
  </si>
  <si>
    <t>Ujpest AH +0,25 - Balatonfuredi FC x Ujpest II</t>
  </si>
  <si>
    <t>Under 2,0 - Egaleo x Chania FC</t>
  </si>
  <si>
    <t>Under 2,5 - Roma City x L'Aquila</t>
  </si>
  <si>
    <t>Under 3,0 - Strasbourg Sub-19 x FC 93 Bobigny Sub-19</t>
  </si>
  <si>
    <t>PO Achyronas AH 0 - PAEEK x PO Achyronas Onisilos</t>
  </si>
  <si>
    <t>Dijon AH 0 - Dijon Sub-19 (fem) x Metz Sub-19 (fem)</t>
  </si>
  <si>
    <t>Under 2,5 - Citta di Fasano x Martina</t>
  </si>
  <si>
    <t>Under 3,0 - Covadonga Sub-19 x CF Bansander Sub-19</t>
  </si>
  <si>
    <t>AE Evosmou AH 0 - AE Evosmou x AO Chaniotis</t>
  </si>
  <si>
    <t>Agios DNB - Agios Nikolaos x AO Neas Ionias</t>
  </si>
  <si>
    <t xml:space="preserve">Thermaikos DNB - Thermaikos Thermis x Nestos Chrisoupolis </t>
  </si>
  <si>
    <t>Zimamoto AH 0 - Uhamiaji FC x Zimamoto SC</t>
  </si>
  <si>
    <t>Under 2,0 - Medeama SC x Nations FC</t>
  </si>
  <si>
    <t>Under 2,0 - Asante Kotoko x Samartex</t>
  </si>
  <si>
    <t>Under 1,75 - ASC Jaraaf x Generation Foot</t>
  </si>
  <si>
    <t>Under 2,0 - FC Inter Nouakchott x AS Garde Nationale</t>
  </si>
  <si>
    <t>CS Guzman AH +0,25 - Club Atletico San Pablo x CS Guzman</t>
  </si>
  <si>
    <t>Under 2,0 - AS Douanes Ouagadougou x Étoile Filante Ouagadougou</t>
  </si>
  <si>
    <t>Pinheirense AH 0 - Pinheirense EC Sub-20 x Maracanã Sub-20 (cash)</t>
  </si>
  <si>
    <t>Township AH 0 - Township Rollers x Jwaneng Galaxy FC</t>
  </si>
  <si>
    <t>FC Suhareka AH +0,5 - FC Suhareka Sub-21 x KF Drita Sub-21</t>
  </si>
  <si>
    <t>Under 2,5 - ASD Atletico Ascoli x Roma City</t>
  </si>
  <si>
    <t>Hutteen AH 0 - Jableh SC Sub-23 x Hutteen Sub-23</t>
  </si>
  <si>
    <t>Siria</t>
  </si>
  <si>
    <t>Ario AH 0 - Damash Gilan x Ario Eslamshahr</t>
  </si>
  <si>
    <t>Calvi AH 0 - Portogruaro x Calvi Noale</t>
  </si>
  <si>
    <t>Marquense AH +0,5 - Marquense (fem) x Xinabajul (fem)</t>
  </si>
  <si>
    <t>Under 2,25 - Maroons x SC Villa</t>
  </si>
  <si>
    <t>Under 2,0 - UPDF FC x URA</t>
  </si>
  <si>
    <t>Under 1,75 - Sportist Svoge x Marek Dupnitsa</t>
  </si>
  <si>
    <t>Under 2,0 - Kitara FC x BUL FC</t>
  </si>
  <si>
    <t>Under 2,25 - Hapoel Ramat Gan x FC Kafr Qasim</t>
  </si>
  <si>
    <t>Pele AH 0 - Pele Pele x University of Johannesburg FC</t>
  </si>
  <si>
    <t>Foresters AH 0 - Foresters FC x Anse Reunion FC</t>
  </si>
  <si>
    <t xml:space="preserve">Under 3,5 - SK Batov x Slavicin </t>
  </si>
  <si>
    <t>Al Minaa AH 0 - Karbalaa FC x Al Minaa</t>
  </si>
  <si>
    <t>Under 2,5 - Vipers SC x Uganda Police FC</t>
  </si>
  <si>
    <t>Anse AH 0 - Foresters FC x Anse Reunion FC</t>
  </si>
  <si>
    <t>Blackman AH +0,25 - Blackman Warriors x Freeport</t>
  </si>
  <si>
    <t>Under 2,0 - Al Zawra'a x Zakho</t>
  </si>
  <si>
    <t>Under 3,0 - Carmarthen x Llantwit Major</t>
  </si>
  <si>
    <t>Under 2,0 - Sliema Wanderers x Hamrun Spartans</t>
  </si>
  <si>
    <t>Under 2,5 - Waterford FC x Bohemians Dublin</t>
  </si>
  <si>
    <t>Under 3,5 - Wayside Celtic x Maynooth University Town FC</t>
  </si>
  <si>
    <t>Under 2,0 - Legon Cities FC x Accra Lions FC</t>
  </si>
  <si>
    <t>AFAD AH 0 - AFAD Djekanou x Olympique Sport d'Abobo</t>
  </si>
  <si>
    <t>Under 2,5 - Tre Fiori x Tre Penne</t>
  </si>
  <si>
    <t>TSV AH 0 - TSV St. Johann x SV Kuchl</t>
  </si>
  <si>
    <t>Under 2,5 - Reggiana Sub-19 x Renate Sub-19</t>
  </si>
  <si>
    <t>Under 3,0 - Real Betis Sub-19 x Sevilha Sub-19</t>
  </si>
  <si>
    <t>Under 3,5 - Slovacko Sub-19 x Ceske Budejovice Sub-19</t>
  </si>
  <si>
    <t>Under 2,0 - Tanzania Prisons x KMC FC</t>
  </si>
  <si>
    <t>Under 3,0 - Recreativo de Huelva Sub-19 x Vázquez Cultural Sub-19</t>
  </si>
  <si>
    <t>Trabzonspor AH 0 - Trabzonspor Sub-19 x Samsunspor Sub-19</t>
  </si>
  <si>
    <t>Under 2,75 - Real Murcia Sub-19 x UCAM Murcia Sub-19</t>
  </si>
  <si>
    <t>Under 2,25 - CSO Plopeni x Odorheiu Secuiesc</t>
  </si>
  <si>
    <t>Under 2,5 - MEAP Nisou x Peyia 2014</t>
  </si>
  <si>
    <t>Under 2,75 - AE Zakakiou x Asil Lysis</t>
  </si>
  <si>
    <t>Under 2,75 - Avia Swidnik x Siarka Tarnobrzeg</t>
  </si>
  <si>
    <t>Under 2,75 - Fundación CD Tenerife (fem) x Madrid CFF B (fem)</t>
  </si>
  <si>
    <t>Under 2,0 - KCB x Tusker</t>
  </si>
  <si>
    <t>Doxa AH 0 - Doxa Katokopias x PO Achyronas Onisilos</t>
  </si>
  <si>
    <t>KF Gjilani AH 0 - KF Gjilani x KF Llapi</t>
  </si>
  <si>
    <t>Mainz AH 0 - SG Barockstadt x Mainz II</t>
  </si>
  <si>
    <t>Under 2,0 - Mighty Wanderers x Nyasa Big Bullets FC</t>
  </si>
  <si>
    <t>Fortaleza AH +1,5 - Palmeiras x Fortaleza</t>
  </si>
  <si>
    <t>Under 2,0 - SC Kiyovu x Bugesera</t>
  </si>
  <si>
    <t>Chitipa AH 0 - Chitipa United x Dedza Dynamos</t>
  </si>
  <si>
    <t>Municipal Brasov AH 0 - Municipal Brasov x CSO Baicoi</t>
  </si>
  <si>
    <t>St Michel AH 0 - St Michel United x Côte d'Or FC</t>
  </si>
  <si>
    <t>Under 2,0 - CA Batna x IB Khemis El Khechna</t>
  </si>
  <si>
    <t>Under 3,0 - CD Alavés Sub-19 x UDC Txantrea Sub-19</t>
  </si>
  <si>
    <t>Frosinone AH 0 - Perugia Sub-19 x Frosinone Sub-19</t>
  </si>
  <si>
    <t>Alexandroupoli AH 0 - Alexandroupoli x Orestis Orestiadas</t>
  </si>
  <si>
    <t>Gama</t>
  </si>
  <si>
    <t>JKU AH 0 - KMKM x JKU FC</t>
  </si>
  <si>
    <t>Leganés AH 0 - Leganés Sub-19 x Las Rozas Sub-19</t>
  </si>
  <si>
    <t>Maritimo AH 0 - Clube Oriental Lisboa Sub-19 x Maritimo Sub-19</t>
  </si>
  <si>
    <t>Under 3,0 - Odra Bytom Odrzanski x Gornik Polkowice</t>
  </si>
  <si>
    <t>Sligo AH 0 - Dundalk Sub-20 x Sligo Rovers Sub-20</t>
  </si>
  <si>
    <t>Vierzon DNB - Blois Foot 41 x Vierzon Foot</t>
  </si>
  <si>
    <t>Gondomar AH 0 - AD Machico x Gondomar</t>
  </si>
  <si>
    <t>Under 2,0 - AD Machico x Gondomar</t>
  </si>
  <si>
    <t>JK Viljandi AH +0,25 - Johvi FC Phoenix x JK Viljandi Tulevik</t>
  </si>
  <si>
    <t>RC Arba AH 0 - RC Arba Sub-21 x WA Mostaganem Sub-21</t>
  </si>
  <si>
    <t>Under 2,5 - Kelen SC x Balatonfuredi FC</t>
  </si>
  <si>
    <t>Under 2,5 - KF Malisheva x KF Drita</t>
  </si>
  <si>
    <t>Tamale AH +0,25 - Supreme (fem) x Tamale Super Ladies Women</t>
  </si>
  <si>
    <t>Sola AH +0,5 - Sola x Pors Grenland</t>
  </si>
  <si>
    <t>Under 2,75 - Magdeburg x Hannover 96</t>
  </si>
  <si>
    <t>UCAM AH 0 - Linares Deportivo x UCAM Murcia CF</t>
  </si>
  <si>
    <t>Under 2,75 - Eintracht Trier x Stuttgarter Kickers</t>
  </si>
  <si>
    <t>Under 3,5 - NK Smartno x NK Ljutomer</t>
  </si>
  <si>
    <t>Under 1,75 - Posta Rangers x Ulinzi Stars</t>
  </si>
  <si>
    <t>Kenia</t>
  </si>
  <si>
    <t>Under 2,25 - Matera x Martina</t>
  </si>
  <si>
    <t>Under 1,75 - AS Soliman x US Ben Guerdane</t>
  </si>
  <si>
    <t>Under 2,75 - AS Ostia Mare x Follonica Gavorrano</t>
  </si>
  <si>
    <t>Under 1,75 - CS Sfaxien x ES Zarzis</t>
  </si>
  <si>
    <t>Darajani AH 0 - Darajani Gogo x Fortune Sacco</t>
  </si>
  <si>
    <t>Under 2,0 - Suduva Marijampole x Banga Gargzdai</t>
  </si>
  <si>
    <t>Atletico Goianiense AH 0 - Aliança FC (fem) x Atletico Goianiense (fem)</t>
  </si>
  <si>
    <t>FK Jedinstvo AH 0 - FK Jedinstvo Bijelo Polje x FK Jezero</t>
  </si>
  <si>
    <t>Nib AH 0 - Yeka Sub City FC x Nib FC</t>
  </si>
  <si>
    <t>Under 2,0 - Hearts of Oak x Bibiani x Gold Stars</t>
  </si>
  <si>
    <t>Under 2,25 - Futebol Clube Barreirense x Operario Desportivo Lagoa</t>
  </si>
  <si>
    <t>Under 2,25 - CD Torreperogil x CD Huetor Tajar</t>
  </si>
  <si>
    <t>Under 2,0 - Caudal x Lealtad</t>
  </si>
  <si>
    <t>Under 1,75 - Generation Foot x Teungueth FC</t>
  </si>
  <si>
    <t>CD Galapagar AH 0 - CD Galapagar x Alcorcon B</t>
  </si>
  <si>
    <t>CD Valladares AH 0 - UD Ourense x CD Valladares</t>
  </si>
  <si>
    <t>Santutxu AH 0 - Sodupe x Santutxu</t>
  </si>
  <si>
    <t>Crevillente AH 0 - Crevillente x Atzeneta</t>
  </si>
  <si>
    <t>St. Louis AH 0 - St. Louis City SC II x The Town</t>
  </si>
  <si>
    <t>FK Trebetice AH 0 - FK Trebetice x TJ Drazice</t>
  </si>
  <si>
    <t>Under 2,0 - ACS Ksar x ASC Snim</t>
  </si>
  <si>
    <t>Under 1,75 - Mbarara City x Vipers SC</t>
  </si>
  <si>
    <t>Shahin AH 0 - FC Fard x Shahin Tehran</t>
  </si>
  <si>
    <t>Ario AH 0 - Ario Eslamshahr x Pars Jonoubi Jam</t>
  </si>
  <si>
    <t>Over 0,5 - Panserraikos x Panionios</t>
  </si>
  <si>
    <t>Panserraikos AH -0,25 - Panserraikos x Panionios</t>
  </si>
  <si>
    <t>Pro Vercelli AH +0,75 - Atalanta Sub-23 x Pro Vercelli</t>
  </si>
  <si>
    <t>Under 3,0 - Argentino Quilmes - Reservas x CSD Flandria - Reservas</t>
  </si>
  <si>
    <t>Over 2,0 - Novara x Vicenza</t>
  </si>
  <si>
    <t>Fatsa AH +0,5 - Fatsa Belediyespor x Karaman</t>
  </si>
  <si>
    <t>Under 2,0 - Mzuzu City Hammers x Silver Strikers</t>
  </si>
  <si>
    <t>Dorogi AH -0,25 - Godolloi SK x Dorogi FC</t>
  </si>
  <si>
    <t>Estrela AH 0 - Santa Clara Sub-23 x Estrela Amadora Sub-23</t>
  </si>
  <si>
    <t>Under 2,0 - Chitipa United x Mighty Wanderers</t>
  </si>
  <si>
    <t>Under 1,75 - Kabwe Warriors x Red Arrows FC</t>
  </si>
  <si>
    <t>Under 2,25 - Torres x Perugia</t>
  </si>
  <si>
    <t>Under 2,0 - Royal AM FC x Polokwane City</t>
  </si>
  <si>
    <t>Over 2,25 - Internacional x Flamengo</t>
  </si>
  <si>
    <t>Under 2,0 - Legon Cities FC x Asante Kotoko</t>
  </si>
  <si>
    <t>Sete Setembro AH +0,5 - Sete de Setembro EC Sub-20 x Nautico Capibaribe U20</t>
  </si>
  <si>
    <t>Union Saint AH -0,5 - Eupen x Union Saint-Gilloise</t>
  </si>
  <si>
    <t>Under 2,25 - KF Drita x KF Prishtina</t>
  </si>
  <si>
    <t>Bright AH +1,0 - BUL FC x Bright Stars</t>
  </si>
  <si>
    <t>Under 2,5 - Kustosija x Jadran LP</t>
  </si>
  <si>
    <t>Ethiopia AH 0 - Mekelakeya x Ethiopia Nigd Bank</t>
  </si>
  <si>
    <t>Under 3,0 - Deportivo Espanol - Reservas x General Lamadrid - Reservas</t>
  </si>
  <si>
    <t>CS Constantine AH 0 - MC Oran Sub-21 x CS Constantine Sub-21</t>
  </si>
  <si>
    <t>Under 3,5 - Real Pilas - Reservas x Sportivo Barracas - Reservas</t>
  </si>
  <si>
    <t>Under 2,0 - Esteghlal Tehran x Tractor Sazi</t>
  </si>
  <si>
    <t>Margibi AH 0 - Junior Pro FC x Margibi</t>
  </si>
  <si>
    <t>Turgutluspor AH +3,25 - Bursaspor x Turgutluspor</t>
  </si>
  <si>
    <t>Over 2,0 - SS Turris Calcio x Catania</t>
  </si>
  <si>
    <t>Valladolid  AH 0 - Alcobendas CF Sub-19 x Valladolid Sub-19</t>
  </si>
  <si>
    <t>Guaraní  AH 0 - Guaraní Asunción - Reservas x Cerro Porteño - Reservas (cash)</t>
  </si>
  <si>
    <t>Thisted  AH 0 - Thisted FC x Naestved IF</t>
  </si>
  <si>
    <t>Atlantis AH 0 - Atlantis U20 x PPJ Sub-20</t>
  </si>
  <si>
    <t>Blansko AH +0,25 - FC Strani x FK Blansko</t>
  </si>
  <si>
    <t>AFK Tisnov AH 0 - AFK Tisnov x Bosonohy</t>
  </si>
  <si>
    <t>NK Brinje DNB - NK Bravo Sub-19 x NK Brinje Grosuplje Sub-19</t>
  </si>
  <si>
    <t>TJ Dobruska AH 0 - FK Jaromer v TJ Dobruska</t>
  </si>
  <si>
    <t>Monterrey AH 0 - Atlas Sub-19 (fem) x Monterrey Sub-19 (fem)</t>
  </si>
  <si>
    <t>Silvio AH 0 - Silvio Pettirossi x River Plate Asuncion</t>
  </si>
  <si>
    <t>Under 2,25 - Mirassol x América Mineiro</t>
  </si>
  <si>
    <t>Wigan AH 0 - Wigan Sub-21 x Brentford Sub-21</t>
  </si>
  <si>
    <t>FC Roskilde AH -0,5 - Vanlose x FC Roskilde</t>
  </si>
  <si>
    <t>Sbo</t>
  </si>
  <si>
    <t>Over 2,0 - Vila Nova x CRB</t>
  </si>
  <si>
    <t>Breidablik AH 0 HT - Breidablik/Augnablik/Smari U19 x Vikingur Reykjavik U19</t>
  </si>
  <si>
    <t>Tiller AH +0,5 - Strindheim Sub-19 x Tiller Sub-19</t>
  </si>
  <si>
    <r>
      <rPr>
        <rFont val="&quot;docs-Proxima Nova&quot;"/>
        <color rgb="FF000000"/>
      </rPr>
      <t>Club Sportivo AH 0 - Club General Diaz x Club Sportivo Limpeno</t>
    </r>
  </si>
  <si>
    <t>Defensores Unidos AH 0 - Def. Unidos - Reservas x CD Moron - Reservas</t>
  </si>
  <si>
    <t xml:space="preserve">TUT AH +0,25 - UP Tuks - Estudantes x TUT - Estudantes </t>
  </si>
  <si>
    <t xml:space="preserve">TUT AH 0 - UP Tuks - Estudantes x TUT - Estudantes </t>
  </si>
  <si>
    <t xml:space="preserve">Over 1,5 - UP Tuks - Estudantes x TUT - Estudantes </t>
  </si>
  <si>
    <t>Maccabi AH -0,5 - Maccabi Umm al-Fahm x Hapoel Kafr Kanna</t>
  </si>
  <si>
    <t>Geórgia AH 0 - Eslováquia Sub-19 x Geórgia Sub-19</t>
  </si>
  <si>
    <t>Al-Shorta AH 0 - Al-Jedah z Al-Shorta Damascus</t>
  </si>
  <si>
    <t>Eslováquia DNB - Eslováquia Sub-19 x Geórgia Sub-19</t>
  </si>
  <si>
    <t>Turquia AH +0,25 - Turquia Sub-20 x Inglaterra Sub-20</t>
  </si>
  <si>
    <t>Banik AH +0,25 - SK Viktorie Ledvice x Banik Modlany</t>
  </si>
  <si>
    <t>Turquia AH -0,25 - Turquia Sub-21 x República da Irlanda Sub-21</t>
  </si>
  <si>
    <t>Banik AH 0 - SK Viktorie Ledvice x Banik Modlany</t>
  </si>
  <si>
    <t>Oberwart AH +0,25 - Kremser SC x Oberwart</t>
  </si>
  <si>
    <t>US Quevilly AH 0 - US Quevilly x Bourg-Peronnas</t>
  </si>
  <si>
    <t>Colmar AH 0 - Colmar x Strasbourg II</t>
  </si>
  <si>
    <t>Kremser AH -0,25 - Kremser SC x Oberwart</t>
  </si>
  <si>
    <t>Landvetter AH 0 - Jonsereds IF x Landvetter IS</t>
  </si>
  <si>
    <t>La Roche AH 0 - La Roche VF x Stade Briochin</t>
  </si>
  <si>
    <t>UFC Hallein AH 0 - TSV Neumarkt x UFC Hallein</t>
  </si>
  <si>
    <t>Tecza AH 0 - Tecza Biskupiec x DKS Dobre Miasto</t>
  </si>
  <si>
    <t>CD Laguna AH 0 - Unión Guímar (fem) x CD Laguna (fem)</t>
  </si>
  <si>
    <t>White Star AH 0 - White Star (fem) x Standard Liege II (fem)</t>
  </si>
  <si>
    <t>Ledoje AH 0 - Ledoje-Smorum Fodbold x Hvidovre IF 2</t>
  </si>
  <si>
    <t>Karabuk AH +0,25 - 1922 Konyaspor x Karabuk Idmanyurdu Spor</t>
  </si>
  <si>
    <t>FC Germania AH 0 - Germania Egestorf-Langreder x BSV Schwarz-Weiss Rehden</t>
  </si>
  <si>
    <t>Brabrand AH 0 - Brabrand x IF Lyseng</t>
  </si>
  <si>
    <t>Karabuk AH 0 - 1922 Konyaspor x Karabuk Idmanyurdu Spor</t>
  </si>
  <si>
    <t>Hermanice AH +0,5 - Hermanice x Slavia Orlova</t>
  </si>
  <si>
    <t>Universitatea AH +0,5 - Universitatea Alba Iulia x CS Gloria 2018 Bistrita-Nasaud</t>
  </si>
  <si>
    <t>Lokomotiv AH 0 - Lokomotiv Oslo x Skjetten</t>
  </si>
  <si>
    <t>CS Gloria AH +2,0 - Universitatea Alba Iulia x CS Gloria 2018 Bistrita-Nasaud</t>
  </si>
  <si>
    <t>Unia AH 0 - LKS Lomza x Unia Skierniewice</t>
  </si>
  <si>
    <t>LKS Lomza AH -0,75 - LKS Lomza x Unia Skierniewice</t>
  </si>
  <si>
    <t>Nantes AH -0,25 - Nantes II x Challans</t>
  </si>
  <si>
    <t>NK Ljutomer AH 0 - NK Dobrovce x NK Ljutomer</t>
  </si>
  <si>
    <t>Haguenau AH 0 - Haguenau x Bieshiem</t>
  </si>
  <si>
    <t>CD Guarnizo AH 0 - CD Monte x CD Guarnizo</t>
  </si>
  <si>
    <t>Excelsior AH 0 - Union Saint Gilloise II x Excelsior Virton</t>
  </si>
  <si>
    <t>Union Saint ML - Union Saint Gilloise II x Excelsior Virton</t>
  </si>
  <si>
    <t>ML</t>
  </si>
  <si>
    <t>CD Galapagar AH 0 - CD El Alamo x CD Galapagar</t>
  </si>
  <si>
    <t>UCAM AH 0 - UCAM Murcia Sub-19 x Hercules Sub-19</t>
  </si>
  <si>
    <t>Levante AH 0 - Levante UD (fem) x Athletic Bilbao (fem)</t>
  </si>
  <si>
    <t>Pinn drop</t>
  </si>
  <si>
    <t>Hercules AH 0 - UCAM Murcia Sub-19 x Hercules Sub-19</t>
  </si>
  <si>
    <t>Cankaya AH +0,5 - Bursa Yildirimspor x Cankaya FK</t>
  </si>
  <si>
    <t>Olympique AH +0,75 - Montpellier Sub-19 x Olympique Rovenain Sub-19</t>
  </si>
  <si>
    <t>Paganese AH 0 - Paganese x FC Guidonia Montecelio 1937</t>
  </si>
  <si>
    <t>FC Guidonia AH 0 - Paganese x FC Guidonia Montecelio 1937</t>
  </si>
  <si>
    <t>EPS Reservi AH 0 - EPS Reservi x EIF Academy</t>
  </si>
  <si>
    <t>Sk Sokol Brozany AH 0 - SK Sokol Brozany x SK Sokol Zapy</t>
  </si>
  <si>
    <t>Real Acerrana AH 0 - US Palmese x Real Acerrana</t>
  </si>
  <si>
    <t>Senyo AH 0 - FC Hatvan x Senyo Carnifex</t>
  </si>
  <si>
    <t>TJ Nova Ves AH 0 - TJ Nova Ves x FC Zdas Zdar Nad Sazavou B</t>
  </si>
  <si>
    <t>FC Hatvan AH 0 - FC Hatvan x Senyo Carnifex</t>
  </si>
  <si>
    <t>CD Valdepenas AH 0 - CD Valdepenas x Manzanares CF</t>
  </si>
  <si>
    <t>Real Avila AH 0 - Real Avila x UP Langreo</t>
  </si>
  <si>
    <t>CA San Miguel AH 0 - CA San Miguel - Reservas x CA San Miguel - Reservas</t>
  </si>
  <si>
    <t>Nykobing AH 0 - Nykobing x Fremad Amager</t>
  </si>
  <si>
    <t>Spartak AH +0,25 - Slovan Bratislava Sub-19 x Spartak Trnava Sub-19</t>
  </si>
  <si>
    <t>Fortaleza AH +0,5 - Internacional x Fortaleza</t>
  </si>
  <si>
    <t>Slovan DNB - Slovan Bratislava Sub-19 x Spartak Trnava Sub-19</t>
  </si>
  <si>
    <t>SK Unicov AH 0 - Hlucin x SK Unicov</t>
  </si>
  <si>
    <t>Bonsucesso DNB - Bonsucesso FC x Zinzane FC</t>
  </si>
  <si>
    <t>Malaga AH 0 - Córdoba (fem) x Malaga (fem)</t>
  </si>
  <si>
    <t>Córdoba AH 0 - Córdoba (fem) x Malaga (fem)</t>
  </si>
  <si>
    <t>Bela Vista AH 0 - Bela Vista x Guanabara City FC</t>
  </si>
  <si>
    <t>Central Ballester AH 0 - Central Ballester x Deportivo Paraguayo</t>
  </si>
  <si>
    <t>Deportivo Muniz AH 0 - Deportivo Muniz x CA Ituzaingo</t>
  </si>
  <si>
    <t>Guanabara AH 0 - Bela Vista x Guanabara City FC</t>
  </si>
  <si>
    <t>AD Guanacasteca AH 0 - AD Guanacasteca x Santa Ana</t>
  </si>
  <si>
    <t>Sol de América AH 0 - Sol de América - Reservas x Club Libertad - Reservas</t>
  </si>
  <si>
    <t>Al Istiqlal AH 0 - Al Istiqlal (fem) x Al Naser (fem)</t>
  </si>
  <si>
    <t>Al Naser DNB - Al Istiqlal (fem) x Al Naser (fem)</t>
  </si>
  <si>
    <t>Olympique de Geneve AH 0 - FC Concordia Lausanne x Olympique de Geneve FC</t>
  </si>
  <si>
    <t>Tolka AH 0 - Wayside Celtic x Tolka Rovers</t>
  </si>
  <si>
    <t>Club Comunicaciones AH 0 - Argentino Quilmes - Res x Club Comunic - Res</t>
  </si>
  <si>
    <t>Lorenskog AH 0 - Lorenskog Sub-19 x Grorud Sub-19</t>
  </si>
  <si>
    <t>Maccabi Ashdod AH 0 - Maccabi Shaaraim x Maccabi Ashdod</t>
  </si>
  <si>
    <t>Al Lewaa AH -0,25 - Al Sahel x Al Lewaa</t>
  </si>
  <si>
    <t>ACS Olimpic AH 0 - ACS Kids Tampa Brasov x ACS Olimpic Cetate Rasnov</t>
  </si>
  <si>
    <t>ACS Vedita AH 0 - ACS Vedita Colonesti MS x Cetatea Turnu Magurele</t>
  </si>
  <si>
    <t>Nacional Potosi AH 0 - Nacional Potosi Sub-19 x Blooming Sub-19</t>
  </si>
  <si>
    <t>Al Lewaa AH -0,5 - Al Sahel x Al Lewaa</t>
  </si>
  <si>
    <t>Univ de Concepcion AH 0 - Univ de Concepcion (fem) x Unión Española (fem)</t>
  </si>
  <si>
    <t>Shams AH 0 - Shams Azar Qazim x Esteghlal Khuzestan</t>
  </si>
  <si>
    <t>Pachuca AH 0 - Atlas Sub-19 x Pachuca Sub-19</t>
  </si>
  <si>
    <t>Jorge AH 0 - Jorge Wilstermann Sub-19 x The Strongest Sub-19</t>
  </si>
  <si>
    <t>Fjolnir AH +0,5 - Fjolnir/Vaengir Sub-19 x Keflavik/Vidir Sub-19</t>
  </si>
  <si>
    <t>SV Wilhelmshaven AH 0 - SV Wilhelmshaven x VFL Oldenburg</t>
  </si>
  <si>
    <t>Sakaryaspor AH 0 - Sakaryaspor Sub-19 x Giresunspor Sub-19</t>
  </si>
  <si>
    <t>FOC Farsta AH 0 - Osteraker United x FOC Farsta</t>
  </si>
  <si>
    <t>Pinheirense AH 0 - Pinheirense EC x Capitão Poço EC</t>
  </si>
  <si>
    <t>SGV Freiberg AH 0 - SGV Freiberg x SG Barockstadt</t>
  </si>
  <si>
    <t>SVU AH 0 - SVU Kapfenstein x SV Muhldorf</t>
  </si>
  <si>
    <t>NK Slaven AH 0 - NK Slaven Belupo Sub-19 x NK Osijek Sub-19</t>
  </si>
  <si>
    <t>Legon Cities AH 0 - Legon Cities FC x Medeama SC</t>
  </si>
  <si>
    <t>Chateaubriant AH 0 - Chateaubriant x La Roche VF</t>
  </si>
  <si>
    <t>US Orleans AH 0 - Saint Malo Women x US Orleans (fem)</t>
  </si>
  <si>
    <t>Sporting AH 0 - Real Oviedo B (fem) x Sporting Gijón II (fem)</t>
  </si>
  <si>
    <t>Kusadasispor AH 0 - Kusadasispor x Artvin Hopaspor</t>
  </si>
  <si>
    <t>Club América AH 0 - Club América Sub-19 x Chivas Guadalajara Sub-19</t>
  </si>
  <si>
    <t>Hutten AH 0 - Tishreen x Hutten</t>
  </si>
  <si>
    <t>Plantation AH 0 - Plantation FC x Florida Soccer Soldiers</t>
  </si>
  <si>
    <t>Muang AH +0,25 - Muang Loei United v Udon United</t>
  </si>
  <si>
    <t>Thailândia</t>
  </si>
  <si>
    <t>Ellenburg AH 0 - Zwickau x Eilenburg</t>
  </si>
  <si>
    <t>P</t>
  </si>
  <si>
    <t>Wakiso AH 0 - Wakiso Giants FC x Bright Stars</t>
  </si>
  <si>
    <t>Las Rozas AH +0,5 - Las Rozas Sub-19 v Valladolid Sub-19</t>
  </si>
  <si>
    <t>Quevilly AH +0,5 - US Quevilly Sub-19 x FC Chambly Oise Sub-19</t>
  </si>
  <si>
    <t>Pretoria AH +0,5 - University of Pretoria (fem) x University of Western Cape (fem)</t>
  </si>
  <si>
    <t>Cape AH 0 - University of Pretoria - (fem) x University of Western Cape (fem)</t>
  </si>
  <si>
    <t>Colombia AH +0,25 - 3 de Noviembre x Club Sport Colombia</t>
  </si>
  <si>
    <t>Utiel AH +0,5 - Atzeneta x Utiel (cash)</t>
  </si>
  <si>
    <t>12 de Octubre AH 0 - 12 De Octubre San Domingo x 29 de Septiembre FBC</t>
  </si>
  <si>
    <t>Envigado AH 0 - Envigado Sub-19 x Atlético Nacional Sub-19</t>
  </si>
  <si>
    <t>Colombia</t>
  </si>
  <si>
    <t>Over 0,5 - Niger Tornadoes v Nasarawa United</t>
  </si>
  <si>
    <t>Zamora AH 0 - Zamora CF v Cultural Leonesa</t>
  </si>
  <si>
    <t>Gernika AH 0 - Gernika x CD Alavés B</t>
  </si>
  <si>
    <t>Cordoba AH 0 - CD San Felix Sub-19 v Cordoba Sub-19</t>
  </si>
  <si>
    <t>Maurinense ML HT - Flamengo SE x CS Maruinense</t>
  </si>
  <si>
    <t>ML HT</t>
  </si>
  <si>
    <t>Jaraiiz AH 0 - Santa Amalia x CF Jaraiz</t>
  </si>
  <si>
    <t>Atlantida AH 0 - Silvio Pettirossi x Atlantida SC</t>
  </si>
  <si>
    <t>Under 4,0 - Wrexham - Reservas x Derby - Reservas</t>
  </si>
  <si>
    <t>Namungo AH 0 - Coastal Union x Namungo FC</t>
  </si>
  <si>
    <t>KFUM AH -0,5 - KFUM 2 x Mjondalen 2</t>
  </si>
  <si>
    <t>Under 2,75 - Tzeirey Tira x Maccabi Yavne</t>
  </si>
  <si>
    <t>Ranheim AH +0,25 - Ranheim Sub-19 x Baerum SK Sub-19</t>
  </si>
  <si>
    <t>Ramla AH 0 - Ramla x MS Shikun Hamizrah</t>
  </si>
  <si>
    <t>MS Shikun AH 0 - Ramla x MS Shikun Hamizrah</t>
  </si>
  <si>
    <t>Queretaro AH +0,5 - Queretaro Sub-19 x Tigres UANL Sub-19</t>
  </si>
  <si>
    <t>Victoria AH -0,25 - TuRa Harksheide x Victoria Hamburg</t>
  </si>
  <si>
    <t>Maccabi Kiryat AH 0 - Maccabi Ashdod x Maccabi Kiryat Malakhi</t>
  </si>
  <si>
    <t>Brusque AH 0 - Brusque Sub-21 x Caravaggio SC Sub-21</t>
  </si>
  <si>
    <t xml:space="preserve">Under 2,25 - Vila Nova x Chapecoense </t>
  </si>
  <si>
    <t>Sol de América AH 0 - Sportivo Ameliano - Reservas x Sol de América - Reservas</t>
  </si>
  <si>
    <t>Persebaya AH 0 - Persebaya Surabaya x Persis Solo</t>
  </si>
  <si>
    <t>Under 2,75 - Drina HE Visegrad x FK Borac Kozarska</t>
  </si>
  <si>
    <t>AVC Vogherese AH 0 - AVC Vogherese 1919 x ASD Borgaro Nobis</t>
  </si>
  <si>
    <t>Livorno AH 0 - Follonica Gavorrano x Livorno</t>
  </si>
  <si>
    <t>CA San Telmo AH 0 - Defensores de Belgrano - Res x CA San Telmo - Reservas</t>
  </si>
  <si>
    <t>MFK Chrudim AH 0 - Varnsdorf x MFK Chrudim</t>
  </si>
  <si>
    <t>Wurzburger AH -0,25 - Wurzburger FV x Jahn Regensburg II</t>
  </si>
  <si>
    <t>Sama AH 0 - Al Yarmouk x Sama Al Sarhan</t>
  </si>
  <si>
    <t>Jeddah AH 0 - Al Batin x Jeddah Club</t>
  </si>
  <si>
    <t>Tractor AH 0 - Al-Wakrah SC x Tractor Sazi</t>
  </si>
  <si>
    <t>AFC</t>
  </si>
  <si>
    <t>Nasaf AH 0 - Al Kuwait SC x Nasaf Qarshi</t>
  </si>
  <si>
    <t>Under 3,0 - SV Hongg x YF Juventus</t>
  </si>
  <si>
    <t>Benfica AH 0 - Hammarby (fem) x Benfica (fem)</t>
  </si>
  <si>
    <t>UEFA</t>
  </si>
  <si>
    <t>FC Iberia AH 0 - Torpedo Kutaisi x FC Iberia 1999</t>
  </si>
  <si>
    <t>Sandvikens AH 0 - Orebro SK x Sandvikens IF</t>
  </si>
  <si>
    <t>CD Riudoms AH 0 - CD Riudoms (fem) x CD Fontsanta Fatjo (fem)</t>
  </si>
  <si>
    <t>Tupynambás AH -0,5 - Tupynambás FC x AC Tres Corações</t>
  </si>
  <si>
    <t>Club América AH 0 - Club América Salcajá x Deportivo Colomba</t>
  </si>
  <si>
    <t>KF Balkani AH 0 - KF Drita U21 x KF Balkani U21</t>
  </si>
  <si>
    <t>Zhejiang AH 0 - Lion City Sailors FC x Zhejiang</t>
  </si>
  <si>
    <t>Atalanta AH 0 - Atalanta Sub-19 x Arsenal Sub-19</t>
  </si>
  <si>
    <t>CA Claypole AH 0 - Club Leandro N. Alem - Reservas x CA Claypole - Reservas</t>
  </si>
  <si>
    <t>Deportivo Liniers AH 0 - Dep Liniers - Reservas x Ferrocarril Midland - Reservas</t>
  </si>
  <si>
    <t>Amman AH 0 - Amman FC (fem) x Al Naser (fem)</t>
  </si>
  <si>
    <t>Lahti AH 0 - Lahti x IFK Mariehamn</t>
  </si>
  <si>
    <t>Under 3,75 - Fortuna Dusseldorf Sub-19 x Schalke Sub-19</t>
  </si>
  <si>
    <t>Klofta AH 0 - Klofta Sub-19 x Lillehammer Sub-19</t>
  </si>
  <si>
    <t>Hapoel Raanana AH 0 - Hapoel Raanana x FC Kafr Qasim</t>
  </si>
  <si>
    <t>Oman AH 0 - Oman FC x Al Shabab Seeb</t>
  </si>
  <si>
    <t>Busaiteen AH 0 - Busaiteen x Budaiya</t>
  </si>
  <si>
    <t>Budaiya AH 0 - Busaiteen x Budaiya</t>
  </si>
  <si>
    <t>Villa San Carlos AH 0 - Villa San Carlos - Reservas x CSD Flandria - Reservas</t>
  </si>
  <si>
    <t>Hapoel Afula AH 0 - Hapoel Afula x Hapoel Ramat Gan</t>
  </si>
  <si>
    <t>Nouakchott AH -0,25 - AS Pompier x Nouakchott Kings</t>
  </si>
  <si>
    <t>Lusail AH 0 - Al Markhiya x Lusail</t>
  </si>
  <si>
    <t>Al-Sailiya AH 0 - Al-Kharitiyath SC x Al-Sailiya</t>
  </si>
  <si>
    <t>Benfica AH 0 - Crvena Zvezda x Benfica</t>
  </si>
  <si>
    <t>Orgryte AH 0,25 - Orgryte IS x Landskrona</t>
  </si>
  <si>
    <t>Elfsborg AH 0 - Elfsborg x IFK Norrkoping</t>
  </si>
  <si>
    <t>Newell's AH 0 - Newell's - Reservas x CA Talleres de Córdoba - Reservas</t>
  </si>
  <si>
    <t>Under 2,25 - BUL FC x KCCA</t>
  </si>
  <si>
    <t>Charlton AH 0 - Watford Sub-21 x Charlton Sub-21</t>
  </si>
  <si>
    <t>Maccabi Shaaraim AH 0 - FC Holon Yermiyahu x Maccabi Shaaraim</t>
  </si>
  <si>
    <t>Ironi AH +0,5 - Kfar Saba 1928 x Ironi Beit Dagan</t>
  </si>
  <si>
    <t>Hapoel Marmorek AH 0 - AS Ashdod x Hapoel Marmorek</t>
  </si>
  <si>
    <t>Al Taqdom AH +0,5 - Al Draih x Al Taqdom</t>
  </si>
  <si>
    <t>Under 3,25 - CS Metalurgistul Cugir x ACS CIL Blaj</t>
  </si>
  <si>
    <t>Under 3,75 - Ghiroda SI Giarmata VII x ACS Progresul Pecica</t>
  </si>
  <si>
    <t>Under 3,25 - ACS LPS HD Clinceni x Dunarea Giurgiu</t>
  </si>
  <si>
    <t>Under 3,5 - CS Gilortul Targu Carbunesti x CS Viitorul Daesti</t>
  </si>
  <si>
    <t>URA AH 0 - Bright Stars x URA</t>
  </si>
  <si>
    <t>Hapoel Ironi AH 0 - Hapoel Bnei Musmus x Hapoel Ironi Arraba</t>
  </si>
  <si>
    <t xml:space="preserve">ACS Centrul AH +0,25 - Metaloglobus Bucuresti II x ACS Centrul German </t>
  </si>
  <si>
    <t>Al Najoom AH +0,25 - Al Ansar x Al Najoom</t>
  </si>
  <si>
    <t>Baniyas AH 0 - Baniyas SC x Ajman SCC</t>
  </si>
  <si>
    <t>Emir Árabes</t>
  </si>
  <si>
    <t>Slovan AH +0,25 - Hlucin x Slovan Rosice</t>
  </si>
  <si>
    <t>ASK Voitsberg AH +0,25 - ASK Voitsberg x St Polten</t>
  </si>
  <si>
    <t>SV Stripfing AH 0 - SV Stripfing/Weiden x SW Bregenz</t>
  </si>
  <si>
    <t>SV Lafnitz AH +0,25 - SV Lafnitz x SV Kapfenberg</t>
  </si>
  <si>
    <t>KPV AH 0 - OLS x KPV</t>
  </si>
  <si>
    <t>FK Sloga AH +0,5 - Velez Mostar x FK Sloga Doboj</t>
  </si>
  <si>
    <t>Dibba AH 0 - Velez Mostar x FK Sloga Doboj</t>
  </si>
  <si>
    <t>Istra AH +0,25 - NK Varazdin x Istra 1961</t>
  </si>
  <si>
    <t>Damac AH +0,25 - Al Ahli Jeddah x Damac FC</t>
  </si>
  <si>
    <t>CA Huracán AH +0,25 - CA Huracán Sub-20 x Boca Juniors Sub-20</t>
  </si>
  <si>
    <t>SK Batov AH 0 - SK Batov x TJ Skastice</t>
  </si>
  <si>
    <t>Hobro AH 0 - Hobro IK x Kolding IF</t>
  </si>
  <si>
    <t>Empoli AH +0,25 - Cagliari x Empoli</t>
  </si>
  <si>
    <t>Aluminium AH +0,25 - Persepolis x Aluminium Arak</t>
  </si>
  <si>
    <t>Al Naser AH 0 - Al Tadamon SC x Al Naser SC</t>
  </si>
  <si>
    <t>HIK AH +0,5 - FC Helsingor x HIK</t>
  </si>
  <si>
    <t>UVB Vocklamarkt AH 0 - UVB Vocklamarkt x LASK Linz II</t>
  </si>
  <si>
    <t>UFC Fehring AH +0,25 - UFC Fehring x FSC Eggendorf Hartberg II</t>
  </si>
  <si>
    <t>Bodrumspor AH +0,25 - Hatayspor x Bodrumspor</t>
  </si>
  <si>
    <t>Viborg AH +0,25 - Viborg x FC Nordsjaelland</t>
  </si>
  <si>
    <t>Eskilsminne AH +0,5 - Ariana FC x Eskilsminne IF</t>
  </si>
  <si>
    <t>Norwich AH +0,5 - Southampton Sub-21 x Norwich Sub-21</t>
  </si>
  <si>
    <t>Rotxapea AH +0,25 - Beti Kozkor KE x Rotxapea CD</t>
  </si>
  <si>
    <t>Rodez AH 0 - Troyes x Rodez</t>
  </si>
  <si>
    <t>Amiens AH 0 - Amiens x Clermont Foot</t>
  </si>
  <si>
    <t>AC Ajaccio AH +0,25 - Caen x AC Ajaccio</t>
  </si>
  <si>
    <t>MTK Budapest AH +0,5 - MTK Budapest x Ferencvarosi TC</t>
  </si>
  <si>
    <t>Anderlecht AH +0,25 - Lommel x Anderlecht II</t>
  </si>
  <si>
    <t>Social Atlético AH 0 - Social Atlético Televisión (fem) x CA Estudiantes Caseros (fem)</t>
  </si>
  <si>
    <t>Under 3,0 - CS Maruinense x Flamengo SE</t>
  </si>
  <si>
    <t>Army AH 0 - Army Red x Kalighat MS</t>
  </si>
  <si>
    <t>Drogheda DNB - Drogheda United Sub-20 x Bohemians Dublin Sub-20</t>
  </si>
  <si>
    <t>Under 3,0 - Virtus Verona Sub-19 x Mantova Sub-19</t>
  </si>
  <si>
    <t>FC Kilia AH +0,25 - Union Neumunster x FC Kilia Kiel</t>
  </si>
  <si>
    <t>Under 2,25 - Moyale Barracks x Creck SC</t>
  </si>
  <si>
    <t>Fortaleza AH 0 - Fortaleza x Bahia</t>
  </si>
  <si>
    <t>Under 3,0 - Rimini Sub-19 x Lecco Sub-19</t>
  </si>
  <si>
    <t>Under 3,25 - Rosinone Sub-19 x Benevento Sub-19</t>
  </si>
  <si>
    <t>Under 3,75 - MTK Budapest (fem) x Gyor Eto FC (fem)</t>
  </si>
  <si>
    <t>FC Giessen AH 0 - FC 08 Villingen x FC Giessen</t>
  </si>
  <si>
    <t>FC Suhareka AH -0,5 - FC Suhareka x KF Feronikeli</t>
  </si>
  <si>
    <t xml:space="preserve">Eik Tonsberg AH 0 - Flekkeroy x Eik Tonsberg </t>
  </si>
  <si>
    <t>Johannesburg AH -0,25 - Johannesburg Uni (fem) x University of Pretoria (fem)</t>
  </si>
  <si>
    <t>Ajaccio AH 0 - Montpellier Sub-19 x Ajaccio Sub-19</t>
  </si>
  <si>
    <t>Prochowiczanka AH 0 - Prochowiczanka Prochowice x Luzyce Luban</t>
  </si>
  <si>
    <t>Rayners AH +0,25 - Met Police x Rayners Lane</t>
  </si>
  <si>
    <t>SU 1º de Dezembro AH 0 - SU 1º de Dezembro Sub-19 x SU Sintrense Sub-19</t>
  </si>
  <si>
    <t>Eibar AH 0 - Real Oviedo (fem) x Eibar B (fem)</t>
  </si>
  <si>
    <t>Catanzaro AH 0 - SS Turris Calcio Sub-19 x Catanzaro Sub-19</t>
  </si>
  <si>
    <t>Kustosija AH 0 - Radnik Krizevci x Kustosija</t>
  </si>
  <si>
    <t>Académica AH 0 - Académica Lobito x GD Interclube</t>
  </si>
  <si>
    <t>Pozuelo Alarcón DNB - Valência B Fem x Pozuleo Alarcón Fem</t>
  </si>
  <si>
    <t>Dnb</t>
  </si>
  <si>
    <t>Havadar SC AH 0 - Havadar Sc x Foolad Khuzestan</t>
  </si>
  <si>
    <t>GKS Wikielec AH 0 - Victoria Sulejówek x GKS Wikielec</t>
  </si>
  <si>
    <t>Tatran AH 0 - Tatran Liptovsky Mikulas x FC Tatran Presov</t>
  </si>
  <si>
    <t>Ghana AH 0 - Ghana Police Women x Berry FC Women</t>
  </si>
  <si>
    <t>Rousset AH 0 - Marseille II x Rousset-Ste Victorie</t>
  </si>
  <si>
    <t>Prat DNB - CE Manresa x Prat</t>
  </si>
  <si>
    <t>Rush AH 0 - Florida Soccer Soldiers x Rush Select Academy</t>
  </si>
  <si>
    <t>Vasas AH 0 - Kecskemeti AH 0 - Kecskemeti TE II x Vasas SC II</t>
  </si>
  <si>
    <t>CD Atlético AH +0,25 - UD Santa Marta x CD Atlético Mansilles</t>
  </si>
  <si>
    <t>Egeas AH +0,75 - Asteras Stavrou x Egeas Plomariou</t>
  </si>
  <si>
    <t>Egeas AH +0,5 - Asteras Stavrou x Egeas Plomariou</t>
  </si>
  <si>
    <t>Para Egeas marcar 2º gol - Asteras Stavrou x Egeas Plomariou</t>
  </si>
  <si>
    <t>Egeas AH +0,25 - Asteras Stavrou x Egeas Plomariou</t>
  </si>
  <si>
    <t>Don Benito AH +0,25 - Don Benito x Aguilas</t>
  </si>
  <si>
    <t>Unterhaching AH 0 - Unterhaching Sub-19 x SSV Ulm 1846 Sub-19</t>
  </si>
  <si>
    <t>Under 2,75 - Al Shabab Riyadh Sub-19 x Al Hilal Riyadh Sub-19</t>
  </si>
  <si>
    <t>Under 2,25 - Mzuzu City Hammers x Mighty Tigers</t>
  </si>
  <si>
    <t>Under 3,25 - Nyasa Big Bullets FC x Chitipa United</t>
  </si>
  <si>
    <t>Guarani ML - Acauã FC (fem) x Guarani de Paripueira (fem)</t>
  </si>
  <si>
    <t>Brattvag AH 0 - Arendal x Brattvag</t>
  </si>
  <si>
    <t>Under 3,0 - Empoli Sub-20 x Verona Sub-20</t>
  </si>
  <si>
    <t>Under 2,5 - Luparense FC x Treviso</t>
  </si>
  <si>
    <t>Nacional Asunción AH 0 - Sportivo Trinidense - Res x Nacional Asunción - Res</t>
  </si>
  <si>
    <t>Vibonese AH +0,25 - AC Locri x Vibonese</t>
  </si>
  <si>
    <t>Vibonese DNB - AC Locri x Vibonese</t>
  </si>
  <si>
    <t>Apollon AH +0,5 - Panthrakikos x Apollon Kalamarias</t>
  </si>
  <si>
    <t>Under 2,25 - Luparense FC x Treviso</t>
  </si>
  <si>
    <t>Under 3,0 - Erdi VSE x III Keruleti TVE (cash)</t>
  </si>
  <si>
    <t>Under 3,25 - Penzugyor SE x Hodmezovasarhelyi</t>
  </si>
  <si>
    <t>Under 2,5 - Matera x Fidelis Andria</t>
  </si>
  <si>
    <t>ASDC AH 0 - Asti x ASDC Gozzano</t>
  </si>
  <si>
    <t>Orbit AH 0 - Orbit College x Black Leopards</t>
  </si>
  <si>
    <t>Real Monterotondo AH +0,25 - Paganese x Real Monterotondo</t>
  </si>
  <si>
    <t>Aris AH 0 - Aris Avatou x AO Chaniotis</t>
  </si>
  <si>
    <t>Under 2,25 - Saipa Karadj x Mes Soongoun Varzaghan</t>
  </si>
  <si>
    <t>Niroye AH +0,25 - Paykan x Niroye Zamini</t>
  </si>
  <si>
    <t>Under 4,25 - Harju JK Laagri x JK Tallinna Kalev II</t>
  </si>
  <si>
    <t>Under 2,0 - Barrancas FC x Club Náutico Hacoaj</t>
  </si>
  <si>
    <t>Taguatinga AH 0 - Taguatinga x SESP/Samambaense</t>
  </si>
  <si>
    <t>Al Wathba AH 0 - Al Wathba SC x Al Karamah</t>
  </si>
  <si>
    <t>Under 3,5 - Feyenoord Sub-19 x PSV Sub-19</t>
  </si>
  <si>
    <t>Under 2,25 - Uganda Police FC x Bright Stars</t>
  </si>
  <si>
    <t>General AH 0 - CA Atlas - Reservas x General Lamadrid - Reservas</t>
  </si>
  <si>
    <t>Under 3,0 - Shepshed Dynamo x Walsall Wood</t>
  </si>
  <si>
    <t>Loughgall AH +1,25 - Larne x Loughgall</t>
  </si>
  <si>
    <t>Hungerford AH -0,25 - Hungerford Town x Frome Town</t>
  </si>
  <si>
    <t>Flamengo AH 0 - Flamengo SE x Rosario Central Sergipe</t>
  </si>
  <si>
    <t>Under 3,0 - AC Port Of Spain x Cibao FC</t>
  </si>
  <si>
    <t>Kasimpasa AH 0 - Kayserispor Sub-19 x Kasimpasa Sub-19</t>
  </si>
  <si>
    <t>Ilch AH 0 - Ilch x Hunters FC</t>
  </si>
  <si>
    <t>Mongólia</t>
  </si>
  <si>
    <t>Under 2,25 - Nyasa Big Bullets FC x Creck SC</t>
  </si>
  <si>
    <t>Svay AH +0,75 - BG Pathum United x Svay Rieng FC</t>
  </si>
  <si>
    <t>ASEAN</t>
  </si>
  <si>
    <t>KF Flamurtari AH +0,75 - KF 2 Korriku x KF Flamurtari Pristina</t>
  </si>
  <si>
    <t>TJ Jasenov AH +0,75 - TJ Jasenov x Partizan Bardejov</t>
  </si>
  <si>
    <t>Adana AH 0 - Adana Demirspor Sub-19 x Samsunspor Sub-19</t>
  </si>
  <si>
    <t>Herentals AH 0 - Yedah FC x Herentals FC</t>
  </si>
  <si>
    <t>Zimbábue</t>
  </si>
  <si>
    <t>Samsunspor AH 0 - Adana Demirspor Sub-19 x Samsunspor Sub-19</t>
  </si>
  <si>
    <t>GrIFK AH +0,5 - GrIFK Reservi x ToTe (cash)</t>
  </si>
  <si>
    <t>Varea AH +0,5 - Varea x Lugo</t>
  </si>
  <si>
    <t>AFAD AH +0,25 - Racing Club Abidjan x AFAD Djekanou</t>
  </si>
  <si>
    <t>Juventud AH 0 - Juventud De Las Piedras x Albion FC</t>
  </si>
  <si>
    <t>BUL AH 0 - SC Villa x BUL FC</t>
  </si>
  <si>
    <t>Trento AH 0 - Clodiense x Trento</t>
  </si>
  <si>
    <t>Azam AH 0 - Azam FC x Simba Sports Club</t>
  </si>
  <si>
    <t>Under 2,75 - Tzeirey Tira x AS Ashdod</t>
  </si>
  <si>
    <t>Al Karamah AH -0,25 - Al Karamah x Al Wahda Damascus</t>
  </si>
  <si>
    <t>Under 2,5 - FC Pucioasa x CS Blejoi</t>
  </si>
  <si>
    <t>Under 3,0 - ACS Vedita Colonesti MS x CSM Alexandria</t>
  </si>
  <si>
    <t>Under 3,25 - CS Sanatatea Cluj x CS Minaur Baia Mare</t>
  </si>
  <si>
    <t>Mbale AH +0,25 - Wakiso Giants FC x Mbale Heroes</t>
  </si>
  <si>
    <t>Malásia AH 0 - Malásia Sub-20 x Tajiquistão Sub-20</t>
  </si>
  <si>
    <t>Under 2,5 - Dijon x Aubagne</t>
  </si>
  <si>
    <t>Under 2,0 - Cliftonville x Larne</t>
  </si>
  <si>
    <t>Admira AH +0,25 - Stockerau x Admira Wacker Modling II</t>
  </si>
  <si>
    <t>Over 0,5 - Coritiba x Goiás</t>
  </si>
  <si>
    <t>Atlantis AH +0,25 - FC Honka Sub-20 x Atlantis U20</t>
  </si>
  <si>
    <t>TJ Postrelmov AH 0 - TJ Postrelmov x FC Olesnice u Bouzova</t>
  </si>
  <si>
    <t>Velje AH 0 - Sonderjyske Sub-19 x Velje Sub-19</t>
  </si>
  <si>
    <t>Westerlo AH +0,5 - Westelo (fem) x Standard Liege (fem)</t>
  </si>
  <si>
    <t>Young Boys AH 0 - Young Boys FD x Sundby</t>
  </si>
  <si>
    <t>Alanya AH 0 - Alanya Kestelspor x Kucukcekmece Sinopspor</t>
  </si>
  <si>
    <t>Sternberk AH 0 - Sternberk x Slavicin</t>
  </si>
  <si>
    <t>Hohenems AH 0 - SCR Altach II x Hohenems</t>
  </si>
  <si>
    <t>SC Farense AH 0 - SC Farense B Sub-19 x Louletano Sub-19</t>
  </si>
  <si>
    <t>Clube Oriental AH 0 - UD Leiria Sub-19 x Clube Oriental Lisboa Sub-19</t>
  </si>
  <si>
    <t>GNK Sveta AH 0 - HASK Zagreb x GNK Sveta Nedelja</t>
  </si>
  <si>
    <t>NK Zagorec AH 0 - NK Maksimir x NK Zagorec Krapina</t>
  </si>
  <si>
    <t>Shelbourne AH +0,25 - Galway (fem) x Shelbourne (fem)</t>
  </si>
  <si>
    <t>USM El Harrach AH -0,5 - USM El Harrach x MO Constantine</t>
  </si>
  <si>
    <t>CD Marino AH 0 - CD Santa Úrsula x CD Marino</t>
  </si>
  <si>
    <t>Stella AH 0 - Stella Club d'Adjame x Racing Club Abidjan</t>
  </si>
  <si>
    <t>Racing Club AH 0 - Stella Club d'Adjame x Racing Club Abidjan</t>
  </si>
  <si>
    <t xml:space="preserve">Digenis AH +0,25 - AE Zakakiou x Digenis Morphou </t>
  </si>
  <si>
    <t>Express AH 0 - Express FC x Maroons</t>
  </si>
  <si>
    <t>Mostoles AH +0,25 - Mostoles Sub-19 x Alcorcón Sub-19</t>
  </si>
  <si>
    <t>Osasuna AH +0,25 - Osasuna Sub-19 x Athletic Bilbao Sub-19</t>
  </si>
  <si>
    <t>Customs DNB - Customs United x Padriew City</t>
  </si>
  <si>
    <t>Osasuna DNB - Osasuna Sub-19 x Athletic Bilbao Sub-19</t>
  </si>
  <si>
    <t>Gimnastica AH 0 - Gimnastica de Torrelavega Sub-19 x Covadonga Sub-19</t>
  </si>
  <si>
    <t>Under 3,25 - FK Admira Praha B x FK Usti nad Labem B</t>
  </si>
  <si>
    <t>Under 2,75 - Podhale Nowy Targ x Sandecja Nowy Sacz</t>
  </si>
  <si>
    <t xml:space="preserve">Under 2,75 - Roi-Et PB United x Ubon Krua Napat FC </t>
  </si>
  <si>
    <t>FC Jarfalla AH 0 - FC Jarfalla x Enkoping</t>
  </si>
  <si>
    <t>Pogon AH -0,25 - Rekord Bielsko-Biala x Pogon Grodzisk Mazowiecki</t>
  </si>
  <si>
    <t>Under 2,5 - Sambenedettese x L'Aquila</t>
  </si>
  <si>
    <t>Under 2,5 - Ferroviario Maputo x Black Bulls</t>
  </si>
  <si>
    <t>University AH 0 - University of Pretoria x Baroca FC</t>
  </si>
  <si>
    <t>Olbia AH +0,25 - Anzio Calcio 1924 x Olbia</t>
  </si>
  <si>
    <t>Under 2,5 - Bragança x Dumiense</t>
  </si>
  <si>
    <t>NK Celik AH 0 - FK Gornji Rahic x NK Celik Zenica</t>
  </si>
  <si>
    <t>Tatran AH 0 - Tatran Vsechovice x FC Vsetin</t>
  </si>
  <si>
    <t>Sokol Tasovice AH 0 - Sokol Tasovice x Velke Mezirici</t>
  </si>
  <si>
    <t>Nardo AH 0 - AC Nardo x Nocerina</t>
  </si>
  <si>
    <t>KF Vushtrria AH +0,25 - KF Vjosa x KF Vushtrria</t>
  </si>
  <si>
    <t>Al Naser AH +0,25 - Al Naser (fem) x Al Istiqlal (fem)</t>
  </si>
  <si>
    <t>SK Hrachovec AH 0 - Luhacovice x SK Hrachovec</t>
  </si>
  <si>
    <t>VSK Aarhus AH 0 - VSK Aarhus x IF Lyseng</t>
  </si>
  <si>
    <t>Santo André AH +0,5 - Santo André Sub-20 x Mirassol Sub-20</t>
  </si>
  <si>
    <t>Camp. Paulista</t>
  </si>
  <si>
    <t>Caerau AH 0 HT - Goytre Utd x Caerau Ely</t>
  </si>
  <si>
    <t>Baglan AH 0 - Trethomas Bluebirds x Baglan Dragons</t>
  </si>
  <si>
    <t>Basake AH 0 - Basake Holy Stars FC x Vision FC</t>
  </si>
  <si>
    <t>HJK AH -0,75 - HPS (fem) x HJK (fem)</t>
  </si>
  <si>
    <t>AB AH 0 - AB x Naestved IF</t>
  </si>
  <si>
    <t>SV Kirchanschoring AH +0,25 - FC Deisenhofen x SV Kirchanschoring</t>
  </si>
  <si>
    <t>Skjetten AH 0 - IF Ready x Skjetten</t>
  </si>
  <si>
    <t>Werder AH 0 - Werder Bremen II x Eintracht Norderstedt</t>
  </si>
  <si>
    <t>Carlisle AH 0 HT - Carlisle x Stockport</t>
  </si>
  <si>
    <t>Sundby AH +0,25 - FA 2000 x Sundby</t>
  </si>
  <si>
    <t>FC Predni AH 0 - FC Predni Kopanina x TJ Milin</t>
  </si>
  <si>
    <t>Millonarios AH 0 - La Equidad Sub-19 x Millonarios Sub-19</t>
  </si>
  <si>
    <t>Jorge AH 0 - Club Aurora FCF (fem) x Jorge Wilsterman (fem)</t>
  </si>
  <si>
    <t>Club Aurora AH 0 - Club Aurora FCF (fem) x Jorge Wilsterman (fem)</t>
  </si>
  <si>
    <t>FC Cascavel AH 0 - FC Cascavel Sub-20 x Operário PR Sub-20</t>
  </si>
  <si>
    <t>Náutico AH +0,5 - Náutico Sub-20 x GA Sampaio Sub-20</t>
  </si>
  <si>
    <t xml:space="preserve">ADJG Jaguar AH 0 - Vera Cruz x ADJG Jaguar </t>
  </si>
  <si>
    <t>Pernambuco</t>
  </si>
  <si>
    <t>GA Sampaio AH -0,5 - Náutico Sub-20 x GA Sampaio Sub-20</t>
  </si>
  <si>
    <t>BSG Wismut AH +0,5 - BSG Wismut Gera x RSV Eintracht</t>
  </si>
  <si>
    <t>Vastra AH 0 - Vastra Frolunda IF x Landvetter IS</t>
  </si>
  <si>
    <t>Pinn Drop</t>
  </si>
  <si>
    <t>Hudiksvalls AH 0 - Hudiksvalls FF x Osteraker United</t>
  </si>
  <si>
    <t>RSV Eintracht AH 0 - BSG Wismut Gera x RSV Eintracht</t>
  </si>
  <si>
    <t>FC 08 Villingen AH 0 - FC 08 Villingen II x TSV Essingen</t>
  </si>
  <si>
    <t>Aalesunds AH +0,25 - Spjelkavik x Aalesunds FK 2</t>
  </si>
  <si>
    <t>SK Borsice AH +0,5 - SK Borsice x TJ Osvetimany</t>
  </si>
  <si>
    <t>SD Sarriana AH 0 - SD Sarriana x Betanzos</t>
  </si>
  <si>
    <t>Neom AH 0 HT - Al Khalidiyah x Neom SC</t>
  </si>
  <si>
    <t>SU Straden AH +0,25 - SU Straden x FC Gamlitz</t>
  </si>
  <si>
    <t>Sport Lagoa AH +0,5 - Auto Esporte Sub-20 x Sport Lagoa Seca Sub-20</t>
  </si>
  <si>
    <t>BUL ML - BUL FC x Maroons</t>
  </si>
  <si>
    <t>Szombathelyi AH 0 HT - Szombathelyi Haladas x Balatonfuredi FC</t>
  </si>
  <si>
    <t>FC Malacky AH -0,25 - FC Rohoznik x FC Malacky</t>
  </si>
  <si>
    <t>Csepel AH -0,25 - Csepel x FC Dabas</t>
  </si>
  <si>
    <t>Techiman AH 0 - Techiman Heroes SC x Okwawu United</t>
  </si>
  <si>
    <t>AH0</t>
  </si>
  <si>
    <t>FC Metalist AH 0 - FSC Mariupol x FC Metalist 1925</t>
  </si>
  <si>
    <t>Simba AH +0,25 - Young Africans FC x Simba Sport Club</t>
  </si>
  <si>
    <t>Sevilha AH 0 - Sporting (fem) x Sevilha (fem)</t>
  </si>
  <si>
    <t>Under 2,25 - Ferroviario Maputo x Ferroviario Lichinga</t>
  </si>
  <si>
    <t>Velke Mezirici AH +1,25 - SFK Vrchovina x Velke Mezirici</t>
  </si>
  <si>
    <t>Ismaning AH +0,25 - Ismaning x TSV Kottern</t>
  </si>
  <si>
    <t>SFK Vrchovina AH -0,25 - SFK Vrchovina x Velke Mezirici</t>
  </si>
  <si>
    <t>SK Biscofshofen AH +1,0 - SK Bischofshofen x SV Austria Salzburg</t>
  </si>
  <si>
    <t>SK Biscofshofen AH +0,75 - SK Bischofshofen x SV Austria Salzburg</t>
  </si>
  <si>
    <t>SC Schwaz AH 0 - SV Wals-Grunau x SC Schwaz</t>
  </si>
  <si>
    <t>SV Austria AH 0 -  SK Bischofshofen x SV Austria Salzburg</t>
  </si>
  <si>
    <t>Alta AH 0 - Alta x Tromsdalen</t>
  </si>
  <si>
    <t>IF Lyseng AH +0,25 - IF Lyseng x FA 2000</t>
  </si>
  <si>
    <t>Odense AH +0,25 - AGF (fem) x Odense (fem)</t>
  </si>
  <si>
    <t>Odense AH 0 - AGF (fem) x Odense (fem)</t>
  </si>
  <si>
    <t>Elversberg AH 0 - Sandhausen Sub-19 x Elversberg Sub-19</t>
  </si>
  <si>
    <t>Pogon Grodzisk AH 0 - Pogon Grodzisk Mazowiechi x Swit Szczecin</t>
  </si>
  <si>
    <t xml:space="preserve">Litomericko AH 0 - TJ Probostov x FK Litomericko </t>
  </si>
  <si>
    <t>Osterbro IF AH 0 - Osterbro IF (fem) x Naestved HG (fem)</t>
  </si>
  <si>
    <t>Askollen AH 0 - Askollen x Assiden</t>
  </si>
  <si>
    <t>FOC Farsta AH 0 - FOC Farsta x Hudikvalls FF</t>
  </si>
  <si>
    <t>Limavady United AH 0 - Limavady United x Ards</t>
  </si>
  <si>
    <t>Cristobal Colon AH 0 - CS Colombia x Cristobal Colon Nemby</t>
  </si>
  <si>
    <t>Dungannon AH 0 - Dungannon Swifts x Coleraine</t>
  </si>
  <si>
    <t>Over 0,75 - Brasil (fem) x EUA (fem)</t>
  </si>
  <si>
    <t>Tiendas Margos AH +0,25 - Tiendas Margos Sub-19 x Envigado Sub-19</t>
  </si>
  <si>
    <t>Cesar Vallejo AH 0 - Cesar Vallejo (fem) x Biavo FC (fem)</t>
  </si>
  <si>
    <t>Bul FC AH 0 - Kitara FC x Bul FC</t>
  </si>
  <si>
    <t xml:space="preserve">m </t>
  </si>
  <si>
    <t>Prat DNB - Prat x CE Manresa</t>
  </si>
  <si>
    <t>Club 24 de Septiembre AH 0 - Club 24 de Septiembre x 3 de Noviembre</t>
  </si>
  <si>
    <t>Estudiantes AH 0 - Estudiantes de Tacuarembo x Ferro Carril de Salto</t>
  </si>
  <si>
    <t>KoPSe AH 0 - KoPSe Sub-20 x Valtii Sub-20</t>
  </si>
  <si>
    <t>FSV Fernwald ML - TuS Hornau x FSV Fernwald</t>
  </si>
  <si>
    <t>TuS Bersenbruck AH 0 - VFL Oldenburg x TuS Bersenbruck</t>
  </si>
  <si>
    <t>MTK AH +0,5 - BFC Siofok x MTK II</t>
  </si>
  <si>
    <t>NK Bravo AH 0 - NS Mura Sub-19 x NK Bravo Sub-19</t>
  </si>
  <si>
    <t>NS Mura AH 0 - NS Mura Sub-19 x NK Bravo Sub-19</t>
  </si>
  <si>
    <t>St. Anna AH -0,5 - TUS Heiligenkreuz x St. Anna am Aigen</t>
  </si>
  <si>
    <t>TUS Heiligenkreuz ML - TUS Heiligenkreuz x St. Anna am Aigen</t>
  </si>
  <si>
    <t>Over 2,75 - Goiás Sub-20 x Palmeiras Sub-20</t>
  </si>
  <si>
    <t>CA San Miguel AH 0 - CA San Miguel - Reservas x Tristán Suárez - Reservas</t>
  </si>
  <si>
    <t>USV Scheiblingkirchen AH 0 - SC Langenrohr x USV Scheiblingkirchen</t>
  </si>
  <si>
    <t>Persepolis AH -0,5 - Persepolis x Zob Ahan</t>
  </si>
  <si>
    <t>Desportivo Brasil AH -0,25 - São Bento Sub-20 x Desp. Brasil Sub-20</t>
  </si>
  <si>
    <t>Ceará AH 0 - Ceará Sub-20 x América Mineiro Sub-20</t>
  </si>
  <si>
    <t>São Bento AH 0 - São Bento Sub-20 x Desportivo Brasil Sub-20</t>
  </si>
  <si>
    <t>FH Hafnarfjordur AH 0 - Keflavik (fem) x FH Hafnarfjordur (fem)</t>
  </si>
  <si>
    <t>FC Zlin AH 0 - Mlada Boleslav Sub-19 x FC Zlin Sub-19</t>
  </si>
  <si>
    <t>Boyaca AH 0 - Alberto Zamora Sub-19 x Boyaca Chico U19</t>
  </si>
  <si>
    <t>FC Rokycany AH +0,25 - SK Senco Doubravka x FC Rokycany</t>
  </si>
  <si>
    <t>Augsburg AH +0,5 - Wacker Burghausen x Augsburg II</t>
  </si>
  <si>
    <t>Augsburg ML - Wacker Burghausen x Augsburg II</t>
  </si>
  <si>
    <t xml:space="preserve">Atletico Baleares AH 0 - UD San Sebastian Reyes x Atletico Baleares </t>
  </si>
  <si>
    <t xml:space="preserve">SK Senco AH -1,0 - SK Senco Doubravka x FC Rokycany </t>
  </si>
  <si>
    <t>Wacker ou Empate - Wacker Burghausen x Augsburg II</t>
  </si>
  <si>
    <t>UD San Sebastian AH 0 - UD San Sebastian Reyes x Atletico Baleares</t>
  </si>
  <si>
    <t>Favoritner AH 0 - FC Marchfeld Donauauen x Favoritner AC</t>
  </si>
  <si>
    <t>Brunswick AH 0 - Brunswick Juventus (fem) x Boroondara Eagles (fem)</t>
  </si>
  <si>
    <t>Rot-Weiss AH 0 - Rot-Weiss Koblenz x SV Gonsenheim</t>
  </si>
  <si>
    <t>Rot-Weiss AH 0 HT - Rot-Weiss Koblenz x SV Gonsenheim</t>
  </si>
  <si>
    <t>Berliner AH +0,5 - Hamburger SV Sub-19 x Berliner AK 07 Sub-19</t>
  </si>
  <si>
    <t>Wda AH 0 - Wda Swiecie x Flota Swinoujscie</t>
  </si>
  <si>
    <t>NG Hamburger 6º gol - Hamburger SV Sub-19 x Berliner AK 07 Sub-19</t>
  </si>
  <si>
    <t>Wasquehal AH 0 - Wasquehal x AS Villers Houlgate</t>
  </si>
  <si>
    <t>Flamengo AH 0 - Flamengo SP Sub-23 x Paulista Sub-23</t>
  </si>
  <si>
    <t>FC Bergheim AH 0 HT - FC Bergheim (fem) x FC Lustenau/Dornbirn (fem)</t>
  </si>
  <si>
    <t>TuPS/KP AH +0,25 - TuPS/KP-75 Sub-20 x MPS Sub-20</t>
  </si>
  <si>
    <t>TuPS/KP AH 0 - TuPS/KP-75 Sub-20 x MPS Sub-20</t>
  </si>
  <si>
    <t>Sol de América AH 0 - Sol de América - Reservas x Tacuary FBC - Reservas</t>
  </si>
  <si>
    <t>Sol de América AH 0 HT - Sol de América - Reservas x Tacuary FBC - Reservas</t>
  </si>
  <si>
    <t>Atlantida AH -0,5 - Atlantida SC x 3 de Febrero FBC</t>
  </si>
  <si>
    <t>Lupo-Martini AH 0 - Lupo-Martini Wolfsburg x FSV Schoningen</t>
  </si>
  <si>
    <t>St Veit AH 0 - St Veit am Vogau x ATUS Barnbach</t>
  </si>
  <si>
    <t>DEAC AH -0,5 - DEAC x Salgotarjani BTC</t>
  </si>
  <si>
    <t>FK Nove AH +0,25 - Tj Druzstevnik Velke Ludince x FK Nove Zamky</t>
  </si>
  <si>
    <t>FC Nagykanizsa AH 0 - FC Nagykanizsa x Kaposvari Rakoczi</t>
  </si>
  <si>
    <t>Louletano AH -0,25 - Estrela FC de Vendas Novas x Louletano DC</t>
  </si>
  <si>
    <t>Salgueiros AH 0 - Salgueiros x AD Marco 09</t>
  </si>
  <si>
    <t xml:space="preserve">Honved AH 0 - Budapest Honved x FC Ajka </t>
  </si>
  <si>
    <t>12 de Octubre AH 0 HT - Silvio Pettirossi x 12 de Octubre Itaugua</t>
  </si>
  <si>
    <t>12 de Octubre AH 0 - Silvio Pettirossi x 12 de Octubre Itaugua</t>
  </si>
  <si>
    <t>Goiás AH +1,25 - Santos Sub-20 x Goiás Sub-20 (cash)</t>
  </si>
  <si>
    <t>Slovan Galanta AH -0,25 - Slovan Galanta x Tatran Krasno</t>
  </si>
  <si>
    <t>Podlasie AH 0 - Chelmianka Chelm x Podlasie Biala Podlaska</t>
  </si>
  <si>
    <t>AC Barracuda AH +0,25 - AC Barracuda (fem) x AS OTR (fem)</t>
  </si>
  <si>
    <t>AC Barracuda DNB - AC Barracuda (fem) x AS OTR (fem)</t>
  </si>
  <si>
    <t>Athletico Paranaense AH -1,0 - Athletico Paranaense Sub-20 x Corinthians Sub-20</t>
  </si>
  <si>
    <t>Under 2,25 - Mzuzu City Hammers x Bangwe All Stars</t>
  </si>
  <si>
    <t>Aluminium AH 0 - Aluminium Arak x Nassaji Mazandaran</t>
  </si>
  <si>
    <t>TUT - Estudantes AH 0 - TUT - Estudantes x DUT Students (cash)</t>
  </si>
  <si>
    <t>The Strongest AH 0 - The Strongest (fem) x CD Bustillos Presto (fem)</t>
  </si>
  <si>
    <t>Nordstrand AH +0,5 - Nordstrand Sub-19 x Lyn 1896 Sub-19</t>
  </si>
  <si>
    <t>Under 4,75 - Nordstrand Sub-19 x Lyn 1896 Sub-19</t>
  </si>
  <si>
    <t>Under 5,5 - Nordstrand Sub-19 x Lyn 1896 Sub-19</t>
  </si>
  <si>
    <t>Holstein AH 0 - Holstein Kiel Sub-19 x Hansa Rostock Sub-19</t>
  </si>
  <si>
    <t>MPS AH 0 - MPS x Ponnistajat</t>
  </si>
  <si>
    <t>Esteghlal AH -0,5 - Esteghlal Tehran x Malavan</t>
  </si>
  <si>
    <t>Ilzer DNB - FC Gamlitz x Ilzer SV</t>
  </si>
  <si>
    <t>SV Kirchanschoring AH 0 - Unterhaching II x SV Kirchanschoring</t>
  </si>
  <si>
    <t>St. Anna AH +0,25 - UVB Vocklamarkt x St. Anna am Aigen</t>
  </si>
  <si>
    <t>FC Marchfeld AH 0 - FC Marchfeld Donauauen x Kremser SC</t>
  </si>
  <si>
    <t>FC Gamlitz AH 0 - FC Gamlitz x Ilzer SV</t>
  </si>
  <si>
    <t>UVB Vocklamarkt AH 0 - UVB Vocklamarkt x St. Anna am Aigen</t>
  </si>
  <si>
    <t>Derry AH +1,0 - Crusaders Strikers (fem) x Derry City (fem)</t>
  </si>
  <si>
    <t>Holbaek AH 0 - Holbaek x VSK Aarhus</t>
  </si>
  <si>
    <t>Visao Celeste DNB - Visao Celeste U20 x Fabrica de Craques Sub-20</t>
  </si>
  <si>
    <t>Dukla Praha AH 0 - Prague Raptors (fem) x Dukla Praha (fem)</t>
  </si>
  <si>
    <t>SC Freital AH +0,25 - SC Freital x VfB Auerbach</t>
  </si>
  <si>
    <t>Roa AH -0,5 - Roa (fem) x Asane (fem)</t>
  </si>
  <si>
    <t>SC Freital AH 0 - SC Freital x VfB Auerbach</t>
  </si>
  <si>
    <t>Barendrecht AH 0 - Excelsior Maassluis x Barendrecht</t>
  </si>
  <si>
    <t>Richmond AH 0 - TUT FC (fem) x Richmond (fem)</t>
  </si>
  <si>
    <t>FK Inter AH 0 HT - FK Inter Bratislava x Tj Druzstevnik Velke Ludince</t>
  </si>
  <si>
    <t>FK Nove AH 0 HT - FK Nove Zamky x RSC Hamsik Academy</t>
  </si>
  <si>
    <t>Istanbul AH 0 - Kayserispor Sub-19 x Istanbul Basaksehir Sub-19</t>
  </si>
  <si>
    <t>Lupo AH 0 - Arminia Hannover x Lupo-Martini Wolfsburg</t>
  </si>
  <si>
    <t>DNS AH +0,5 - DNS Zavrc x NK Krsko</t>
  </si>
  <si>
    <t>DNS AH +0,25 - DNS Zavrc x NK Krsko</t>
  </si>
  <si>
    <t>Istres AH +0,25 - Istres x Marignane Gignac</t>
  </si>
  <si>
    <t>Istres DNB - Istres x Marignane Gignac</t>
  </si>
  <si>
    <t>Atletico Madrid AH -0,25 - Atletico Madrid B x Atletico Sanluqueno</t>
  </si>
  <si>
    <t>Under 4,5 - SC Preussen Munster Sub-19 x MSV Druisburg Sub-19</t>
  </si>
  <si>
    <t>CD Puerto AH 0 - CD Puerto Cruz x Realejos</t>
  </si>
  <si>
    <t>FC Lok AH 0 - FC Lok Leipzig x Hallescher FC</t>
  </si>
  <si>
    <t>HB Koge AH 0 - Brondby IF (fem) x HB Koge (fem)</t>
  </si>
  <si>
    <t>Over 0,5 - Brondby IF (fem) x HB Koge (fem)</t>
  </si>
  <si>
    <t>Eintracht AH 0 - Eintracht Rheine x TSV Victoria Clarholz</t>
  </si>
  <si>
    <t>Pardubicky AH +0,5 - Pardubicky x TJ Lanskroun</t>
  </si>
  <si>
    <t>Atlético San Luis AH 0 - Atlético San Luis Sub-19 (fem) x Atlas Sub-19 (fem)</t>
  </si>
  <si>
    <t>Atlas AH 0 - Atlético San Luis Sub-19 (fem) x Atlas Sub-19 (fem)</t>
  </si>
  <si>
    <t>UE Cornella AH +0,25 - Sabadell x UE Cornella</t>
  </si>
  <si>
    <t>ASA AH -0,5 - FC Ramat Hasharon (fem) x ASA Tel Aviv (fem)</t>
  </si>
  <si>
    <t>Colegiales AH 0 Sportivo Italiano - Reservas x CA Colegiales - Reservas</t>
  </si>
  <si>
    <t>Limanovia AH -0,25 - Wieczysta Krakow II x Limanovia Limanowa</t>
  </si>
  <si>
    <t>Jabalain AH 0 - Ohod Madinah x Al Jabalain</t>
  </si>
  <si>
    <t>Nacional Asunción AH 0 - Cerro Porteño - Reservas x Nac. Asunción - Reservas</t>
  </si>
  <si>
    <t>MTE AH 0 - Kelen SC x MTE 1904</t>
  </si>
  <si>
    <t>Valerenga AH -0,5 - Kolbotn (fem) x Valerenga (fem)</t>
  </si>
  <si>
    <t>Union Rochefortoise AH +0,75 - RAEC Mons x Union Rochefortoise</t>
  </si>
  <si>
    <t>Bournemouth AH +0,25 - West Ham x Bournemouth</t>
  </si>
  <si>
    <t>Over 2,0 - Chitipa United x Silver Strikers</t>
  </si>
  <si>
    <t>Juventude AH 0 - Juventude x Corinthians</t>
  </si>
  <si>
    <t>Tristán AH 0 - Tristán Suarez - Reservas x Defensores de Belgrano - Reservas</t>
  </si>
  <si>
    <t>London Bees AH 0 - London Bees (fem) x Actonians (fem)</t>
  </si>
  <si>
    <t>Passo Fundo AH 0 - Grêmio B x Passo Fundo</t>
  </si>
  <si>
    <t>Dibba AH +0,25 - Dibba Al Hisn Sub-23 x Al Wasl SC U23</t>
  </si>
  <si>
    <t>TuRa AH 0 - TuRa Bremen x KSV Vatan Bremen</t>
  </si>
  <si>
    <t>Kongsvinger AH +0,25 - Baerum SK Sub-19 x Kongsvinger Sub-19</t>
  </si>
  <si>
    <t>Kongsvinger AH 0 - Baerum SK Sub-19 x Kongsvinger Sub-19</t>
  </si>
  <si>
    <t>Naesby AH 0 - Odder IGF x Naesby</t>
  </si>
  <si>
    <t>Lausanne AH +0,25 - FC Thun Sub-19 x Lausanne Sports Sub-19</t>
  </si>
  <si>
    <t>CF Juventud AH +0,25 - CD Sobradillo Sub-19 x CF Juventud Laguna Sub-19</t>
  </si>
  <si>
    <t>CF Juventud DNB - CD Sobradillo Sub-19 x CF Juventud Laguna Sub-19</t>
  </si>
  <si>
    <t>Atlético GO AH +0,25 - Atlético GO (fem) x Aliança FC (fem) (cash)</t>
  </si>
  <si>
    <t>Lucro/Perda</t>
  </si>
  <si>
    <t>Red-red</t>
  </si>
  <si>
    <t>Green-red</t>
  </si>
  <si>
    <t>Green-green</t>
  </si>
  <si>
    <t>Red-green</t>
  </si>
  <si>
    <t>Khumaltar AH +0,25 - Khumaltar Youth Club x Manang Marshyangdi Club</t>
  </si>
  <si>
    <t>Nepal</t>
  </si>
  <si>
    <t>Akademia AH +1,25 - Akademia Ontustyk x Turan Turkistan</t>
  </si>
  <si>
    <t>Cazaquistão</t>
  </si>
  <si>
    <t>FS Jelgava AH +1,0 - FK Auda x FS Jelgava</t>
  </si>
  <si>
    <t>Sotra AH +0,5 - Sotra x Sandnes Ulf</t>
  </si>
  <si>
    <t>Kjelsas AH +0,5 - Kjelsas x Stabaek (cash)</t>
  </si>
  <si>
    <t>Esse AH +0,5 - Esse IK x SIF (cash)</t>
  </si>
  <si>
    <t>Over 1,0 - Gâmbia Sub-20 x Uruguai Sub-20</t>
  </si>
  <si>
    <t>FIFA</t>
  </si>
  <si>
    <t>Bragantino AH +0,25 - Portuguesa Sub-20 x Bragantino Sub-20</t>
  </si>
  <si>
    <t>Concórdia AH +0,5 - Criciúma Sub-20 x Concórdia Sub-20</t>
  </si>
  <si>
    <t>FH Hafnarfjordur AH +0,25 - Thor/KA Akureyri (fem) x FH Hafnarfjordur (fem)</t>
  </si>
  <si>
    <t>Jas Qyran AH +0,75 -Kairat Almaraty x Jas Qyran</t>
  </si>
  <si>
    <t>FC Kufstein +0,75 - SK Bischofshofen x FC Kufstein (cash)</t>
  </si>
  <si>
    <t>Fenerbahce +0,25 - Fomget GSK (fem) x Fenerbahce (fem) (cash)</t>
  </si>
  <si>
    <t>SK Lazne +0,5 - FK Horni Redice x SK Lazne Bohdanec</t>
  </si>
  <si>
    <t>STPS +0,75 - Komeetat x STPS</t>
  </si>
  <si>
    <t>STPS +0,5 - Komeetat x STPS</t>
  </si>
  <si>
    <t>B 1908 +0,25 - Tarnby FF x B 1908</t>
  </si>
  <si>
    <t>Ferro Carrol +0,5 - Ferro Carril Oeste (fem) x CA Platense (fem)</t>
  </si>
  <si>
    <t>Huragan AH +0,25 - Tecza Biskupiec x Huragan Morag</t>
  </si>
  <si>
    <t>NK Lokomotiva AH +0,25 - HNK Rijeka Sub-19 x NK Lokomotiva Zagreb Sub-19</t>
  </si>
  <si>
    <t>SV Grodig ML - SC Golling x SV Grodig</t>
  </si>
  <si>
    <t>Kungsangens AH +0,75 - Kungsangens IF x FC Jarfalla</t>
  </si>
  <si>
    <t>Kungsangens AH +0,5 - Kungsangens IF x FC Jarfalla</t>
  </si>
  <si>
    <t>Kungsangens AH +0,25 - Kungsangens IF x FC Jarfalla</t>
  </si>
  <si>
    <t>Berlin AH +0,5 - TSV Rudow x Berlin Turkspor</t>
  </si>
  <si>
    <t>Firts Vienna AH +0,75 - First Vienna FC 1894 (fem) x SK Sturm Graz (fem)</t>
  </si>
  <si>
    <t>Under 1,75 - Sundby BK (fem) x Odense Q (fem)</t>
  </si>
  <si>
    <t>Sundby AH +1,25 - Sundby BK (fem) x Odense Q (fem)</t>
  </si>
  <si>
    <t>Tampere AH +1,5 - Tampere Utd II x NoPS</t>
  </si>
  <si>
    <t>Troyes ML - Troyes II x Bieshiem (cash)</t>
  </si>
  <si>
    <t>Palmeiras - Over 2,5 - Palmeiras x Coritiba</t>
  </si>
  <si>
    <t>Aigle AH +0,25 - Avion Academy x Aigle du Moungo</t>
  </si>
  <si>
    <t>APEJES AH +0,75 - Cotonsport x APEJES Academy</t>
  </si>
  <si>
    <t>SKF Sered AH +0,25 - OFK Malzenice x SKF Sered</t>
  </si>
  <si>
    <t>Israel AH +5,5 cantos - Israel Sub-20 x Brasil Sub-20</t>
  </si>
  <si>
    <t>Cantos+</t>
  </si>
  <si>
    <t>Nusta ML - Quito FC (fem) x Nusta (fem) (cash)</t>
  </si>
  <si>
    <t>Hart AH +0,25 - Medical FC x Hart Academy FC</t>
  </si>
  <si>
    <t>Eintracht AH +0,5 - RB Leipzig x Eintracht Frankfurt</t>
  </si>
  <si>
    <t>Sansinena AH +1,0 - Club Olimpo x Sansinena</t>
  </si>
  <si>
    <t>CD Los Almendros AH +0,5 - San Lorenzo FC x CD Los Almendros</t>
  </si>
  <si>
    <t>Hai Nam AH +0,5 - Hai Nam Vinh Phuc x Dak Lak</t>
  </si>
  <si>
    <t>Sonderjyske AH +0,5 - Sonderjyske Sub-19 x Lyngby Sub-19</t>
  </si>
  <si>
    <t>Coritiba AH +4,5 cantos - Palmeiras x Coritiba</t>
  </si>
  <si>
    <t>Ba Ria AH +0,5 - Ba Ria Vung Tau FC x Tuan Tu Phu Tho (cash)</t>
  </si>
  <si>
    <t>First Vienna ML - First Vienna FC 1894 x SV Lafnitz</t>
  </si>
  <si>
    <t>Lumezzane AH +0,25 - Sorrento x Lumezzane</t>
  </si>
  <si>
    <t>Ba Ria ML - Ba Ria Vung Tau FC x Tuan Tu Phu Tho</t>
  </si>
  <si>
    <t>CE União AH +0,5 - CE União Sub-20 x AE Tiradentes Sub-20</t>
  </si>
  <si>
    <t>Under 2,0 - CE União Sub-20 x AE Tiradentes Sub-20</t>
  </si>
  <si>
    <t>Baerum AH +0,25 - Stojordals/Blink x Baerum</t>
  </si>
  <si>
    <t>JC Futebol AH +0,5 - Fluminense RJ (fem) x JC Futebol Clube (fem)</t>
  </si>
  <si>
    <t>América AH +0,5 - Francana x América Futebol Clube (cash)</t>
  </si>
  <si>
    <t>Ljungskile AH +0,5 - Ljungskile SK x IK Oddevold (cash)</t>
  </si>
  <si>
    <t>Moss DNB - Ranheim x Moss</t>
  </si>
  <si>
    <t>Sestri AH +0,5 - ASD Pineto Calcio x Sestri Levante (cash)</t>
  </si>
  <si>
    <t>Real Madrid AH -0,75 - Real Madrid x Athletic Bilbao</t>
  </si>
  <si>
    <t>Costa Rica AH +1,25 - Canadá Sub-20 (fem) x Costa Rica Sub-20 (fem)</t>
  </si>
  <si>
    <t>Saprissa AH +0,5 - Saprissa de Corazon Sub-20 x Alajuelense Sub-20</t>
  </si>
  <si>
    <t>Manthiqueira AH +2,75 - São José SP Sub-20 x Manthiqueira Sub-20</t>
  </si>
  <si>
    <t>Manthiqueira AH +2,5 - São José SP Sub-20 x Manthiqueira Sub-20</t>
  </si>
  <si>
    <t>Under 1,5 - Qatar Youth x Australia Youth</t>
  </si>
  <si>
    <t>Kagera AH +0,5 - Mtibwa Sugar x Kagera Sugar</t>
  </si>
  <si>
    <t>KMC AH +0,25 - Tanzania Prisons x KMC FC</t>
  </si>
  <si>
    <t>Ngadeu AH +0,5 - Louves Minproff Women x Ngadeu FFA (fem)</t>
  </si>
  <si>
    <t>Puszcza AH +0,5 - Wisla Cracóvia x Puszcza Niepolomice (cash)</t>
  </si>
  <si>
    <t>Over 17,5 cantos - Wisla Cracóvia x Puszcza Niepolomice</t>
  </si>
  <si>
    <t>Dodoma AH +0,25 - Namungo FC x Dodoma Jiji FC</t>
  </si>
  <si>
    <t>Santos AH -0,5  canto - Santos x Newell's</t>
  </si>
  <si>
    <t>Sul Americana</t>
  </si>
  <si>
    <t>AH- canto</t>
  </si>
  <si>
    <t>Taubaté AH +0,5 - Taubaté (fem) x São Paulo (fem)</t>
  </si>
  <si>
    <t>Athletico Paranaense ML - Athletico Paranaense x Club Libertad</t>
  </si>
  <si>
    <t>Libertadores</t>
  </si>
  <si>
    <t>Grindavik ML - KA Akureyri x Grindavik</t>
  </si>
  <si>
    <t>Japão AH +0,25 - Japão - Juniores x Marrocos Juniores</t>
  </si>
  <si>
    <t>África</t>
  </si>
  <si>
    <t>Vietnam AH +1,5 - Vietnam Sub-20 (fem) x Austrália Sub-20 (fem)</t>
  </si>
  <si>
    <t>Vietnam AH +1,25 - Vietnam Sub-20 (fem) x Austrália Sub-20 (fem)</t>
  </si>
  <si>
    <t>SS Assad AH +0,5 - Mombasa Elite x SS Assad (cash)</t>
  </si>
  <si>
    <t>Independiente del Valle ML - Indep. del Valle x Corinthians</t>
  </si>
  <si>
    <t>Over 3,0 - Bendel Insurance x Enyimba</t>
  </si>
  <si>
    <t>Shakhter AH +0,5 - Shakhter Karagandy x Tobol Kostanay</t>
  </si>
  <si>
    <t>Defensores Unidos AH 0 - Def. Unidos Sub-20 x Dep. Riestra Sub-20</t>
  </si>
  <si>
    <t>Stjordals AH +0,5 - Stjordals/Blink x Ullensaker/Kisa</t>
  </si>
  <si>
    <t>Over 2,0 cantos - Social Atlético Televisión (fem) x Boca Juniors (fem)</t>
  </si>
  <si>
    <t>Under 4,25 - JVW FC (fem) x Copper Belts FC (fem)</t>
  </si>
  <si>
    <t>Árabia Saudita AH 0 - Árabia Saudita - Juniores x Venezuela Juniores</t>
  </si>
  <si>
    <t>América Sul</t>
  </si>
  <si>
    <t>Jas Qyran AH +0,5 - Jas Qyran x Akzhayik Uralsk</t>
  </si>
  <si>
    <t>Venezuela AH 0 - Arábia Saudita - Juniores x Venezuela Juniores</t>
  </si>
  <si>
    <t>Over 1,0 - KPV x SaIPa</t>
  </si>
  <si>
    <t>Banjul AH +0,25 - Gamtel FC x Banjul United</t>
  </si>
  <si>
    <t>Gnistan AH 0 - Ponnistajat x Gnistan/Ogeli</t>
  </si>
  <si>
    <t>Flora DNB - Levadia Tallinn II x FC Flora Tallinn II</t>
  </si>
  <si>
    <t>Israel AH +0,5 - Uruguai Sub-20 x Israel Sub-20</t>
  </si>
  <si>
    <t>Ekibastuz AH +1,75 - Ekibastuz x Khan Tengri FC</t>
  </si>
  <si>
    <t>Ekibastuz AH +1,5 - Ekibastuz x Khan Tengri FC</t>
  </si>
  <si>
    <t>Para Ekibastuz marcar 4º gol - Ekibastuz x Khan Tengri FC</t>
  </si>
  <si>
    <t>Tarumã ML HT - Tarumã Sub-20 x Tabosão EC AM Sub-20</t>
  </si>
  <si>
    <t>Orbit AH 0 - Umsinga United x Orbit College</t>
  </si>
  <si>
    <t>Al Taliya AH 0 - Al Majd x Al Taliya SC</t>
  </si>
  <si>
    <t>México AH -0,5 - México Juniores x Qatar Youth</t>
  </si>
  <si>
    <t>Remo AH +0,5 - Lobi Stars FC x Remo Stars</t>
  </si>
  <si>
    <t>Madla AH 0 - Staal Jorpeland x Madla</t>
  </si>
  <si>
    <t>Unia AH +0,5 - KSZO Ostrowiec x Unia Tarnow</t>
  </si>
  <si>
    <t>FC Vista AH 0 - FC Vista Turbine x Kian Sam Babol</t>
  </si>
  <si>
    <t>Polva AH +2,25 - JK Tammeka Tartu (fem) x Polva FC Lootos (fem)</t>
  </si>
  <si>
    <t>Edustus AH -0,25 - Edustus IPS x KoPa</t>
  </si>
  <si>
    <t>Burnley AH +2,75 - UCT (fem) x Burnley SA (fem) (cash)</t>
  </si>
  <si>
    <t>Mauaense AH +0,25 - Barcelona EC SP x Mauaense</t>
  </si>
  <si>
    <t>Luxemburgo ML - Luxemburgo x Malta</t>
  </si>
  <si>
    <t>Coritiba AH 0 - Coritiba x Santos</t>
  </si>
  <si>
    <t>Landvetter AH +0,5 - Onsala BK x Landvetter IS</t>
  </si>
  <si>
    <t>Honefoss AH +0,5 - Ovrevoll Hosle (fem) x Honefoss (fem)</t>
  </si>
  <si>
    <t>Tolo AH +0,25 - Savedalens IF x Tolo IF</t>
  </si>
  <si>
    <t>ONS AH +0,25 - PK-35 RY (fem) x ONS (fem)</t>
  </si>
  <si>
    <t>Brondby AH +0,5 - HB Koge (fem) x Brondby IF (fem)</t>
  </si>
  <si>
    <t>Bischofswerdaer AH +0,5 - VfB 1921 Krieschow x Bischofswerdaer</t>
  </si>
  <si>
    <t>Stjordals AH +0,5 - Strommen x Stjordals/Blink (cash)</t>
  </si>
  <si>
    <t>Tronder AH +0,5 - Verdal x Tronder-Lyn</t>
  </si>
  <si>
    <t>Ekwendeni AH +0,5 - Big Bullets x Ekwendeni Hammers</t>
  </si>
  <si>
    <t>Bahir AH +0,25 - Saint George SC x Bahir Dar Kenema FC</t>
  </si>
  <si>
    <t>Al Mohafza AH +0,5 - Al Mohafza x Hutteen</t>
  </si>
  <si>
    <t>Richmond AH +0,25 - JVW FC (fem) x Richmond (fem)</t>
  </si>
  <si>
    <t>Baltyk AH +0,5 - Baltyk Gdynia x Jarota Jarocin</t>
  </si>
  <si>
    <t>Gwarek AH 0 - Gwarek Tarnowskie Gory x Sleza Wroclaw</t>
  </si>
  <si>
    <t>Criada - Man City x Inter Milan</t>
  </si>
  <si>
    <t>Criada</t>
  </si>
  <si>
    <t>DUT Coastal AH +0,25 - UKZN FC (fem) x DUT Coastal Women</t>
  </si>
  <si>
    <t>Westville AH 0 - Westville United (fem) x Makhansi FC (fem)</t>
  </si>
  <si>
    <t>Under 7,0 cartões - São Paulo x Palmeiras</t>
  </si>
  <si>
    <t>Cartões-</t>
  </si>
  <si>
    <t>Dedza AH +0,5 - Moyale Barracks x Dedza Dynamos</t>
  </si>
  <si>
    <t>Tikka AH +2,0 - HooGee/EsPa YJ Sub-20 x Tikka U20</t>
  </si>
  <si>
    <t>Under 4,5 - Lun Lok x CPK</t>
  </si>
  <si>
    <t>Macau</t>
  </si>
  <si>
    <t>Under 4,5 - Siegburger SV 04 x VfL Vichttal</t>
  </si>
  <si>
    <t>Bangwe AH +0,25 - Kamuzu Barracks x Bangwe All Stars</t>
  </si>
  <si>
    <t>Vaxjo AH +0,25 - Vaxjo (fem) x Pitea IF (fem) (cash)</t>
  </si>
  <si>
    <t>JS Hercules AH 0 - Narpes Kraft x JS Hercules</t>
  </si>
  <si>
    <t>Under 11,0 cantos - América Mineiro x Athletico Paranaense</t>
  </si>
  <si>
    <t>Provincial AH +0,25 - Deportes Union Companias x Provincial Ovalle</t>
  </si>
  <si>
    <t>Narpes AH -0,75 - Narpes Kraft x JS Hercules</t>
  </si>
  <si>
    <t>Boston AH +0,25 - Danubio (fem) x Boston River (fem)</t>
  </si>
  <si>
    <t>L'Olleria AH +0,25 - CD Burriana x L'Olleria CF</t>
  </si>
  <si>
    <t>Iskenderunspor AH +0,25 - Bucaspor x Iskenderunspor</t>
  </si>
  <si>
    <t>Kelantan AH +0,25 - Kelantan United Sub-23 x Sabah FC Sub-23</t>
  </si>
  <si>
    <t>Ferro Carril AH -0,5 - Ferro Carril Oeste (fem) x Defensores de Belgrano (fem)</t>
  </si>
  <si>
    <t>Under 7,5 - Asker x Skeid 2</t>
  </si>
  <si>
    <t>Dupla - Países Baixos x Croácia</t>
  </si>
  <si>
    <t>Japão AH +0,25 - Países Baixos Sub-21 x Japão Sub-22</t>
  </si>
  <si>
    <t>Malásia ML - Malásia x Ilhas Salomão</t>
  </si>
  <si>
    <t>7 de Abril AH +0,5 - 7 de Abril sub20 x Nova Cidade sub20</t>
  </si>
  <si>
    <t>Under 2,5 - Rakow Czestochowa II x Gornik Zabrze II</t>
  </si>
  <si>
    <t>Uganda AH +0,25 - RD Congo x Uganda</t>
  </si>
  <si>
    <t>Under 3,5 - Univ. de Gintra (fem) x FK Saned (fem)</t>
  </si>
  <si>
    <t>Under 9,0 cantos - Uruguai x Nicarágua</t>
  </si>
  <si>
    <t>Star AH +0,5 - Star Starachowice x KSZO Ostrowiec</t>
  </si>
  <si>
    <t>Over 14,5 cantos - Uzbequistão x Turquemenistão</t>
  </si>
  <si>
    <t>CAFA</t>
  </si>
  <si>
    <t>Galicia AH +0,5 - Bavária x Galicia</t>
  </si>
  <si>
    <t>Parnahyba AH +0,25 - Caucaia x Parnahyba</t>
  </si>
  <si>
    <t>Guiné AH 0 - Guiné x Egito</t>
  </si>
  <si>
    <t>Over 7,0 cantos HT - El Porvenir (fem) x River Plate (fem)</t>
  </si>
  <si>
    <t>Cantos+ HT</t>
  </si>
  <si>
    <t>Don Orione AH 0 - C.U.N.E. x Don Orione</t>
  </si>
  <si>
    <t>Operário AH 0 HT - Apucarana Sub-20 x Operário PR Sub-20</t>
  </si>
  <si>
    <t>Over 1,75 - El Porvenir (fem) x River Plate (fem)</t>
  </si>
  <si>
    <t>Soc. Ação AH 0 - Soc. Ação Sub-20 x União EC Sub-20</t>
  </si>
  <si>
    <t>Austrália AH +0,5 - Argentina x Austrália</t>
  </si>
  <si>
    <t>Líbano AH 0 - Índia x Líbano</t>
  </si>
  <si>
    <t>Bonsucesso AH +0,25 - Belford Roxo U20 x Bonsucesso FC Sub-20</t>
  </si>
  <si>
    <t>Campo Grande AH 0 - Campo Grande AC U20 x Rio de Janeiro Sub-20</t>
  </si>
  <si>
    <t>Jogando melhor</t>
  </si>
  <si>
    <t>Argentino Quilmes AH +0,25 - Villa San Carlos - Reservas x Arg. Quilmes - Res</t>
  </si>
  <si>
    <t>Zebra</t>
  </si>
  <si>
    <t>Tervakosken AH +1,5 - TP-T x Tervakosken Pato</t>
  </si>
  <si>
    <t>KFUM AH +1,25 - Lyn 1896 Sub-19 x KFUM Sub-19</t>
  </si>
  <si>
    <t>ACE AH +0,5 - ACE x TPV</t>
  </si>
  <si>
    <t>Ponnistajat AH +0,5 - PP/Ruoholahti x Ponnistajat</t>
  </si>
  <si>
    <t>Mageense AH +1,0 - Barra Mansa Sub-20 x Mageense Sub-20</t>
  </si>
  <si>
    <t>NouLa AH +0,5 - NouLa x MPS</t>
  </si>
  <si>
    <t>Buzios AH +0,25 - Buzios Sub-20 x AA Carapebus Sub-20</t>
  </si>
  <si>
    <t>Over 3,0 - Espanha x Itália</t>
  </si>
  <si>
    <t>Haryana AH +0,5 - Railways Women x Haryana (fem)</t>
  </si>
  <si>
    <t>Under 3,25 - Fortaleza Sub-20 x Juazeiro Empreendimentos Sub-20</t>
  </si>
  <si>
    <t>Jogo morno</t>
  </si>
  <si>
    <t>Under 3,0 - Fortaleza Sub-20 x Juazeiro Empreendimentos Sub-20</t>
  </si>
  <si>
    <t>Azerbaijão AH 0 - Azerbaijão Sub-19 x Geórgia Sub-19</t>
  </si>
  <si>
    <t>Criada - Polônia x Alemanha</t>
  </si>
  <si>
    <t>Mosjoen AH +0,5 - Rosenborg 2 x Mosjoen</t>
  </si>
  <si>
    <t>FCJ Blackbird AH -0,75 - FCJ Blackbird x Komeetat</t>
  </si>
  <si>
    <t>Favorito</t>
  </si>
  <si>
    <t>Over 10,0 cantos - Ilhas Faroé Sub-21 x Andorra Sub-21</t>
  </si>
  <si>
    <t xml:space="preserve"> Sem</t>
  </si>
  <si>
    <t>Dupla AH cantos - Malta + San Marino</t>
  </si>
  <si>
    <t>Dep. Garcilaso AH +1,0 - Carlos Manucci - Reservas x Dep. Garcilaso - Reservas</t>
  </si>
  <si>
    <t>Brumunddal AH +1,25 - Ullensaker/Kisa Sub-19 x Brumunddal U19</t>
  </si>
  <si>
    <t>Macedônia AH +0,25 - Macedônia do Norte x Ucrânia</t>
  </si>
  <si>
    <t>Richmond AH 0 - Durban Ladies FC (fem) x Richmond (fem)</t>
  </si>
  <si>
    <t>Under 3,5 - RV United (fem) x Azzurro Academy (fem)</t>
  </si>
  <si>
    <t>Dupla - Over + Under cantos - Rep. Centro-Africana + Luxemburgo</t>
  </si>
  <si>
    <t>Dupla com EV</t>
  </si>
  <si>
    <t>FC Buderich AH +1,0 - FC Buderich 02 x Borussia M'gladbach II</t>
  </si>
  <si>
    <t>SFB Oure AH -0,5 - SFB Oure FA x Dalum</t>
  </si>
  <si>
    <t>Grorud AH 0 - Grorud x Kjelsas</t>
  </si>
  <si>
    <t>PJK AH +0,5 - PJK x FC Haka Juniors</t>
  </si>
  <si>
    <t>KSR AH +0,5 - KSR Sains x KL Rovers</t>
  </si>
  <si>
    <t>Chrobry AH +0,25 - Sleza Wroclaw x Chrobry Glogow II</t>
  </si>
  <si>
    <t xml:space="preserve"> Polônia</t>
  </si>
  <si>
    <t>ZKS Olimpia AH +0,5 - ZKS Olimpia Zambrow x LKS Lodz II</t>
  </si>
  <si>
    <t>Under 4,0 - CS Gloria Geoagiu x CSC Peciu Nou</t>
  </si>
  <si>
    <t>Time com um jogador a mais</t>
  </si>
  <si>
    <t>Ganhando</t>
  </si>
  <si>
    <t>Estonia AH 0 - Azerbeijão x Estonia</t>
  </si>
  <si>
    <t>ACS LPS AH -0,75 - ACS LPD HD Clinceni x ACS Progresul Fundulea</t>
  </si>
  <si>
    <t>Cork City AH +0,5 - Cork City (fem) x DLR Waves (fem)</t>
  </si>
  <si>
    <t>Acad. Cantolao AH -0,75 - Atlético Trujillo (fem) x Ac. Dep. Cantolao (Fem)</t>
  </si>
  <si>
    <t>Sligo AH +0,5 - Sligo Rovers (fem) x Bohemians Dublin (fem)</t>
  </si>
  <si>
    <t>Amitie AH 0 - Dakar Université Club x Amitie FC</t>
  </si>
  <si>
    <t>Nivelado</t>
  </si>
  <si>
    <t>Uberlândia AH +0,25 - Boa Esporte x Uberlândia</t>
  </si>
  <si>
    <t>Cabofriense AH +0,5 - Gonçalense x Cabofriense</t>
  </si>
  <si>
    <t>Brusque AH +0,25 - Joinville Sub-20 x Brusque U20</t>
  </si>
  <si>
    <t>HNK Zadar AH +0,5 - Karlovac x HNK Zadar</t>
  </si>
  <si>
    <t>Under 1,5 - Barra da Tijuca Sub-20 x Pérolas Negras Sub-20</t>
  </si>
  <si>
    <t>Over 1,0 - River Plate (fem) x CA Estudiantes Caseros (fem)</t>
  </si>
  <si>
    <t>Jogo aberto</t>
  </si>
  <si>
    <t>Napa Valley AH +0,5 - SF Elite (fem) x Napa Valley 1839 (fem)</t>
  </si>
  <si>
    <t>CA San Miguel AH 0 - CA San Miguel (fem) x Dep. Espanol (fem)</t>
  </si>
  <si>
    <t xml:space="preserve">M </t>
  </si>
  <si>
    <t>Dupla Over + Cantos - Newell's + Croácia</t>
  </si>
  <si>
    <t>Sem descrição</t>
  </si>
  <si>
    <t>Under 4,5 - Himachal Pradesh (fem) x Railways (fem)</t>
  </si>
  <si>
    <t>Linha esticada</t>
  </si>
  <si>
    <t>Under 4,25 - Himachal Pradesh (fem) x Railways (fem)</t>
  </si>
  <si>
    <t>Over 2,5 - Pitea IF (fem) x IFK Kalmar (fem)</t>
  </si>
  <si>
    <t>Over fem 2º tempo</t>
  </si>
  <si>
    <t>Over 1,5 - BK Hacken II (fem) x Ifo Bromolla IF (fem)</t>
  </si>
  <si>
    <t>Itália AH +0,5 - Países Baixos x Itália</t>
  </si>
  <si>
    <t>EC Rio São Paulo AH +0,5 - Belford Roxo Sub-20 x EC Rio São Paulo Sub-20</t>
  </si>
  <si>
    <t>Botafogo AH +0,25 - Fluminense RJ (fem) x Botafogo (fem)</t>
  </si>
  <si>
    <t>Nordvarmland AH +0,5 - IFK Skovde FK x Nordvarmland FF</t>
  </si>
  <si>
    <t>Over 1,0 - SK Brann (fem) x Avaldsnes (fem)</t>
  </si>
  <si>
    <t>Over 0,5 - Fluminense RJ (fem) x Botafogo (fem)</t>
  </si>
  <si>
    <t>Coquimbo AH +0,25 - Palestino (fem) x Coquimbo Unido (fem)</t>
  </si>
  <si>
    <t>Congo AH +0,5 - Congo x Mali</t>
  </si>
  <si>
    <t>Univ. Católica AH -0,25 - Univ. Católica (fem) x O'Higgins (fem)</t>
  </si>
  <si>
    <t>Dupla - Over + AH- HT - Congo + Colo-Colo</t>
  </si>
  <si>
    <t>Over 4,5 - UNIFUT-Rosal (fem) x Suchitepequez (fem)</t>
  </si>
  <si>
    <t>Rocha AH 0 - Sportivo Huracán FC x Rocha</t>
  </si>
  <si>
    <t>Rio Branco AH +0,75 - Nova Venécia x Rio Branco VN</t>
  </si>
  <si>
    <t>BTTS - AS Pikine x ASC Jaraaf</t>
  </si>
  <si>
    <t>BTTS</t>
  </si>
  <si>
    <t>Grapiúna AH +0,25 - UNIRB FC x Grapiúna AC</t>
  </si>
  <si>
    <t>Bella Vista AH 0 - ID Boquita x Bella Vista Paysandu</t>
  </si>
  <si>
    <t>Israel Univ. ah +0,5 - Israel Univ. Cochabamba x Pasion Celeste</t>
  </si>
  <si>
    <t>Burundi AH +0,25 - Burundi x Namíbia</t>
  </si>
  <si>
    <t>Over 1,0 - Atlético Goianiense Sub-20 x Trindade Sub-20</t>
  </si>
  <si>
    <t>Jogo aberto 2º tempo</t>
  </si>
  <si>
    <t>Senegal AH +3,0 cantos - Brasil x Senegal</t>
  </si>
  <si>
    <t>Brasil AH -0,75 - Brasil x Senegal</t>
  </si>
  <si>
    <t>Over 8,5 cantos - Islândia x Portugal</t>
  </si>
  <si>
    <t>Uruguai -4,0 cantos - Uruguai x Cuba</t>
  </si>
  <si>
    <t>Albânia AH -1,5 cantos - Ilhas Faroé x Albânia</t>
  </si>
  <si>
    <t>Over 2,5 - Grêmio x América Mineiro</t>
  </si>
  <si>
    <t>Over 1,0 - Huracán (fem) x Estudiantes LP (fem)</t>
  </si>
  <si>
    <t>Ferroviária AH -1,25 - Ferroviária (fem) x Taubaté (fem)</t>
  </si>
  <si>
    <t>US Rail AH +0,5 - CNEPS x US Rail</t>
  </si>
  <si>
    <t>US Rail AH +0,25 - CNEPS x US Rail</t>
  </si>
  <si>
    <t>Ilves AH -0,25 - ONS (fem) x Ilves (fem)</t>
  </si>
  <si>
    <t>NS Mura AH +0,5 - NS Mura x Zrinjski Mostar (cash)</t>
  </si>
  <si>
    <t>Étoile AH +0,25 - ASC HLM x Étoile Lusitana</t>
  </si>
  <si>
    <t>Roa AH -0,5 - Roa (fem) x Honefoss (fem)</t>
  </si>
  <si>
    <t>Inter de Santa Maria AH +0,75 - São José RS x Inter de Santa Maria</t>
  </si>
  <si>
    <t>Hittarps AH +0,75 - Hittarps IK x Landvetter IS</t>
  </si>
  <si>
    <t>Palmeiras AH -1,5 - Pinda SC (fem) x Palmeiras (fem)</t>
  </si>
  <si>
    <t>Follo AH +0,5 - Follo Sub-19 x Skeid Sub-19</t>
  </si>
  <si>
    <t>Pontalinense AH 0 - CA Pontalinense Sub-20 x Aparecida EC Sub-20</t>
  </si>
  <si>
    <t>Equilibrado</t>
  </si>
  <si>
    <t>St. James AH 0 - Belfast Celtic (fem) x St. James Swifts (fem)</t>
  </si>
  <si>
    <t>EC Futgol AH -0,5 - America de Teofilo Otoni Sub-20 x EC Futgol Sub-20</t>
  </si>
  <si>
    <t>Scouter Jonathan Cordeiro</t>
  </si>
  <si>
    <t>Under 1,5 - Pague Menos Sub-20 x FC Atlético Cearense Sub-20</t>
  </si>
  <si>
    <t>CA Regional AH 0 - Nacional JM Paz x CA Regional</t>
  </si>
  <si>
    <t>KI Klaksvik AH +0,25 - B36 Torshavn II x KI Klaksvik II</t>
  </si>
  <si>
    <t>Ilhas Faroé</t>
  </si>
  <si>
    <t>San Martin AH +0,25 - Indep. Rivadavia Sub-20 x San Martin de San Juan Sub-20</t>
  </si>
  <si>
    <t>Under 4,75 - Ceará Sub-20 x Itarema EC Sub-20 (cash)</t>
  </si>
  <si>
    <t>Under 4,5 - Ceará Sub-20 x Itarema EC Sub-20 (cash)</t>
  </si>
  <si>
    <t>Linfield AH +1,75 - Shelbourne (fem) x Linfield (fem) (cash)</t>
  </si>
  <si>
    <t>Linfield AH +2,0 - Shelbourne (fem) x Linfield (fem) (cash)</t>
  </si>
  <si>
    <t>Brechin AH +0,5 - Brechin x Arbroath (cash)</t>
  </si>
  <si>
    <t>Reino Unido</t>
  </si>
  <si>
    <t>Over 2,0 - Rosario Central (fem) x Racing Club (fem)</t>
  </si>
  <si>
    <t>Hwaseong AH -0,25 - Gangneung City x Hwaseong FC</t>
  </si>
  <si>
    <t>Coreia do Sul</t>
  </si>
  <si>
    <t>Wekwendeni AH +0,25 - Extreme FC x Ekwendeni Hammers</t>
  </si>
  <si>
    <t>Fenix AH +0,5 - Lujan Sub-20 x Fenix Sub-20</t>
  </si>
  <si>
    <t>Coal City AH +0,75 - Coal City Wizards (fem) x Richmond (fem)</t>
  </si>
  <si>
    <t>CA Brown AH +0,25 - CA San Telmo Sub-20 x CA Brown de Adrogue Sub-20</t>
  </si>
  <si>
    <t>Over 95 cantos - River Plate x The Strongest</t>
  </si>
  <si>
    <t>Ullern AH 0 - Ullern 2 x Gjelleraasen</t>
  </si>
  <si>
    <t>Jogo equilibrado</t>
  </si>
  <si>
    <t>Novo Horizonte AH 0 - Novo Horizonte Sub-20 x Tupi RS U20</t>
  </si>
  <si>
    <t>Over 0,75 - FC Astana x Ordabasy Shymkent</t>
  </si>
  <si>
    <t>Slaven AH 0 - Dinamo Bucareste x Slaven Belupo</t>
  </si>
  <si>
    <t>Sing</t>
  </si>
  <si>
    <t>NK Lokomotiva AH 0 - NK Lokomotiva Zagreb x Zrinjski Mostar</t>
  </si>
  <si>
    <t>Under 5,25 - ROS 2 Sub-19 x Hokksund U19</t>
  </si>
  <si>
    <t>Under 5,0 - ROS 2 Sub-19 x Hokksund U19</t>
  </si>
  <si>
    <t>Pelotas AH 0 - Pelotas x Novo Hamburgo</t>
  </si>
  <si>
    <t>Over 4,75 - Realidade Jovem (fem) x São Bernardo (fem)</t>
  </si>
  <si>
    <t>Grêmio AH +0,75 - Grêmio Esportivo Nacional U20 x Sacuipense u20</t>
  </si>
  <si>
    <t>Over 2,0 - Ferroviária (fem) x Bragantino (fem)</t>
  </si>
  <si>
    <t>Over 1,75 - Ferroviária (fem) x Bragantino (fem)</t>
  </si>
  <si>
    <t>CA Trinidad AH 0 - Sportivo Rivadavia San Juan x CA Trinidad</t>
  </si>
  <si>
    <t>IBU Uppsveitir AH 0 - Hamar Hveragerdi x IBU Uppsveitir</t>
  </si>
  <si>
    <t>Under 3,0 - Palmeiras (fem) x São Paulo (fem)</t>
  </si>
  <si>
    <t>Estônia AH +0,25 - Lituânia Sub-19 (fem) x Estônia Sub-19 (fem)</t>
  </si>
  <si>
    <t>Estônia AH 0 - Lituânia Sub-19 (fem) x Estônia Sub-19 (fem)</t>
  </si>
  <si>
    <t xml:space="preserve">Equilibrado </t>
  </si>
  <si>
    <t>Estônia AH 0 HT - Lituânia Sub-19 (fem) x Estônia Sub-19 (fem)</t>
  </si>
  <si>
    <t>Zâmbia AH +1,25 - Suíça (fem) x Zâmbia (fem) (cash)</t>
  </si>
  <si>
    <t>PInnacle</t>
  </si>
  <si>
    <t>Pague Menos AH +0,75 - Pague Menos Sub-20 x Ceará Sub-20</t>
  </si>
  <si>
    <t>Juventud AH +0,25 - Uruguay Montevideo x Juventud De Las Piedras</t>
  </si>
  <si>
    <t>XV de Jau AH -0,25 - Mauaense x XV de Jau</t>
  </si>
  <si>
    <t>Boa Esporte DNB - Boa Esporte x URT</t>
  </si>
  <si>
    <t>Scouter Flávio</t>
  </si>
  <si>
    <t>Gamla AH +0,5 - Umea IK (fem) x Gamla Upsala SK (fem)</t>
  </si>
  <si>
    <t>Rainbow AH +0,25 - George Telegraph FC x Rainbow SC</t>
  </si>
  <si>
    <t xml:space="preserve">V </t>
  </si>
  <si>
    <t>Perdendo</t>
  </si>
  <si>
    <t>Under 2,25 - HW Welders x Glentoran</t>
  </si>
  <si>
    <t>FC Bocholt AH +0,5 - SV Meppen x 1. FC Bocholt</t>
  </si>
  <si>
    <t>Flamengo AH -0,75 - Flamengo Sub-20 x Fluminense Sub-20</t>
  </si>
  <si>
    <t>City Lads AH +0,25 - TUT FC (fem) x City Lads FC Women</t>
  </si>
  <si>
    <t xml:space="preserve">Washington AH -0,75 - Washington Dutch Lions (fem) x PHL Ukrainian Nationals </t>
  </si>
  <si>
    <t>Over 0,75 - Geórgia Sub-21 x Israel Sub-21</t>
  </si>
  <si>
    <t>Linha baixa</t>
  </si>
  <si>
    <t>AC Connecticut AH +0,25 - Boston Bolts x AC Connecticut</t>
  </si>
  <si>
    <t>Perdendo por 7</t>
  </si>
  <si>
    <t>Iraty AH +0,5 HT - Paraná Sub-20 x Iraty U20</t>
  </si>
  <si>
    <t>AH+ HT</t>
  </si>
  <si>
    <t>Inter De Minas AH +0,5 - Inter De Minas Sub-20 x Atlético Mineiro Sub-20</t>
  </si>
  <si>
    <t>Lemense AH +0,5 - Lemense Sub-20 x Bragantino Sub-20</t>
  </si>
  <si>
    <t>Gaúcho DNB - Brasil de Farroupilha x Gaúcho</t>
  </si>
  <si>
    <t>SK Traeff AH +1,0 - SK Traeff x Arendal</t>
  </si>
  <si>
    <t>Kamuzu DNB - Mighty Tigers x Kamuzu Barracks</t>
  </si>
  <si>
    <t>Beirut AH +0,5 - Eleven Football Pro (fem) x Beirut Academy (fem)</t>
  </si>
  <si>
    <t>Perdendo po1</t>
  </si>
  <si>
    <t>Athletico Paranaense AH +1,0 cantos - Athletico Paranaense x Palmeiras</t>
  </si>
  <si>
    <t>Legia Varsóvia AH 0 HT - FC Salzburgo x Legia Varsóvia</t>
  </si>
  <si>
    <t>US Biskra AH +1,0 - JS Kabylie x US Biskra</t>
  </si>
  <si>
    <t>Austria AH +0,5 - St Gallen x Austria Lustenau</t>
  </si>
  <si>
    <t>Tipster</t>
  </si>
  <si>
    <t>Nordvarmland AH +0,25 - Grebbestads IF x Nordvarmland FF</t>
  </si>
  <si>
    <t>Vestmannaeyjar (fem) x Stjarnan (fem)</t>
  </si>
  <si>
    <t>FK Zvijezda AH +0,25 - FK Novi Pazar x FK Zvijezda 09</t>
  </si>
  <si>
    <t>Newroz AH +0,25 - Naft Al-Wasat x Newroz SC</t>
  </si>
  <si>
    <t>Valerenga AH +2,25 - Valerenga 2 x Vard Haugesund</t>
  </si>
  <si>
    <t>Under 1,25 - Guediawaye FC x Casa Sport</t>
  </si>
  <si>
    <t>ASC Dortmund - Over 3,5 - ASC 09 Dortmund x Wuppertaler</t>
  </si>
  <si>
    <t>Al Safa AH +0,5 - Al Safa x Al Nejmeh</t>
  </si>
  <si>
    <t>Under 4,75 - Karlsruher SC x AE Zakakiou</t>
  </si>
  <si>
    <t>Under 5,0 - Karlsruher SC x AE Zakakiou</t>
  </si>
  <si>
    <t>NK Rudes AH 0 - FK Napredak x NK Rudes</t>
  </si>
  <si>
    <t>NIK AH +2,5 - NIK x Sporting Kristina</t>
  </si>
  <si>
    <t>NIK AH +2,25 - NIK x Sporting Kristina</t>
  </si>
  <si>
    <t>AS Douanes - Under - AS Douanes Dakar x US Goree</t>
  </si>
  <si>
    <t>TSV 1860 AH 0 HT - Buchbach x TSV 1860 Munique II</t>
  </si>
  <si>
    <t>Under 2,0 - Cong An Ha Noi x Nam Dinh</t>
  </si>
  <si>
    <t>Betim AH +0,25 - EC Futgol Sub-20 x Betim Sub-20</t>
  </si>
  <si>
    <t xml:space="preserve">Zebra </t>
  </si>
  <si>
    <t>Pacajus AH +0,5 - Pague Menos Sub-20 x Pacajus EC U20</t>
  </si>
  <si>
    <t>Ponnistajat AH +1,0 - LPS x Ponnistajat</t>
  </si>
  <si>
    <t>Necaxa AH -0,25 - Necaxa U23 x Tijuana Sub-23</t>
  </si>
  <si>
    <t>NK Radomlje AH +0,5 - NK Radomlje x Hajduk Split</t>
  </si>
  <si>
    <t>Under 4,0 - FC Loviisa x Puiu</t>
  </si>
  <si>
    <t>Under 4,25 - FC Loviisa x Puiu</t>
  </si>
  <si>
    <t>6 Yard AH -0,75 - Amman (fem) x 6 Yard Etihad (fem)</t>
  </si>
  <si>
    <t>Under 3,5 - O'Higgins Sub-20 x Penarol Sub-20</t>
  </si>
  <si>
    <t>São Caetano AH 0 - São Caetano x Portuguesa Santista</t>
  </si>
  <si>
    <t>Toledo AH +0,5 HT - Athletico Paranaense Sub-20 x Toledo EC Sub-20</t>
  </si>
  <si>
    <t>Annan AH +1,5 - Annan Athletic x Carlisle</t>
  </si>
  <si>
    <t>Under 1,5 - CA Vilar Alvear x Tiro Futbol Club</t>
  </si>
  <si>
    <t>Zâmbia AH +1,75 - Alemanha (fem) x Zâmbia (fem)</t>
  </si>
  <si>
    <t>Hertha AH +0,25 - FC Viktoria 1889 Berlin x Hertha 06 Chalottenburg</t>
  </si>
  <si>
    <t>FA Kalev Tartu AH +0,25 - JK Tammeka Tartu II x FA Kalev Tartu</t>
  </si>
  <si>
    <t>SaLpa AH 0 - SaLpa x SJK Akatemia</t>
  </si>
  <si>
    <t>MTK Budapest AH 0 - FK Cukaricki x MTK Budapest</t>
  </si>
  <si>
    <t>NK Posusje AH +0,25 - Siroki Brijeg x NK Posusje</t>
  </si>
  <si>
    <t>Quito AH +0,5 - Club Nanas (fem) x Quito FC (fem)</t>
  </si>
  <si>
    <t>Over 5,5 cartões - Vasco da Gama x Cruzeiro</t>
  </si>
  <si>
    <t>Cartões</t>
  </si>
  <si>
    <t>Mauritânia AH +0,25 - Mauritânia Sub-23 x Síria Sub-23</t>
  </si>
  <si>
    <t>Nusta AH 0 - Nusta (fem) x El Nacional (fem)</t>
  </si>
  <si>
    <t>AC Taverne AH +0,5 - FC Paradiso x AC Taverne</t>
  </si>
  <si>
    <t>BTTS não - Coritiba x América Mineiro</t>
  </si>
  <si>
    <t>SE Gama AH 0 - SE Gama Sub-20 x Real Brasília FC Sub-20</t>
  </si>
  <si>
    <t>Bage AH +0,5 - Santa Cruz x Bage</t>
  </si>
  <si>
    <t>Paraná AH +0,25 - Patriotas Sub-20 x Paraná Clube Sub-20</t>
  </si>
  <si>
    <t>Maranguape DNB - Cariri x Maranguape</t>
  </si>
  <si>
    <t>São Geraldo AH 0 - FC Atlético Cearense Sub-20 x São Geraldo Sub-20</t>
  </si>
  <si>
    <t>Under 4,75 - ESC Rellinghausen x TSG Sprockhovel</t>
  </si>
  <si>
    <t>Under 3,0 - Indonésia Women U19 x Cambodia Women U19</t>
  </si>
  <si>
    <t>Under 2,75 - Indonésia Women U19 x Cambodia Women U19</t>
  </si>
  <si>
    <t>Francana AH +0,5 - Francana x Penapolense</t>
  </si>
  <si>
    <t>Fortaleza AH -0,75 - Fortaleza z Athletico Paranaense</t>
  </si>
  <si>
    <t>Under 3,25 - Carlos Mannucci (fem) x Alianza Lima (fem)</t>
  </si>
  <si>
    <t>Under 3,5 - Carlos Mannucci (fem) x Alianza Lima (fem)</t>
  </si>
  <si>
    <t xml:space="preserve"> Bragantino ML - Bragantino x São Paulo</t>
  </si>
  <si>
    <t>CA San Miguel AH +0,5 - CA San Miguel (fem) x Deportivo Merlo (fem)</t>
  </si>
  <si>
    <t>Nacional de Patos AH +0,5 - Sousa x Nacional de Patos</t>
  </si>
  <si>
    <t>DPMM AH +0,5 - Lion City Sailors FC x DPMM FC</t>
  </si>
  <si>
    <t>FK Jedinstvo AH +0,25 - Sloboda Uzice x FK Jedinstvo Bijelo Polje</t>
  </si>
  <si>
    <t>Under 6,5 - SV Donau Klagenfurt x SV Eberstein</t>
  </si>
  <si>
    <t>Under 6,25 - SV Donau Klagenfurt x SV Eberstein</t>
  </si>
  <si>
    <t>Murdoch ML - Murdoch University Melville FC (fem) x Fremantle City FC (fem)</t>
  </si>
  <si>
    <t>Athletico Paranaense AH -0,5 cantos - Athletico Paranaense x Flamengo</t>
  </si>
  <si>
    <t>Nyíregyháza AH 0 - Kazincbarcikai BSC x Nyíregyháza FC</t>
  </si>
  <si>
    <t>Bordeaux AH 0 - Bordeaux x Pau</t>
  </si>
  <si>
    <t>MFK Karvina AH 0 - MFK Karvina B x Frydlant Nad Ostravici (0x2)</t>
  </si>
  <si>
    <t xml:space="preserve">AH </t>
  </si>
  <si>
    <t>MFK Karvina AH 0 - MFK Karvina B x Frydlant Nad Ostravici (1x2)</t>
  </si>
  <si>
    <t>Santa Cruz AH +0,25 - CA Porto Sub-20 x Santa Cruz Sub-20</t>
  </si>
  <si>
    <t>Under 0,5 - PPJ x Kiffen</t>
  </si>
  <si>
    <t>NS Mura AH 0 - NS Mura x Al Taee</t>
  </si>
  <si>
    <t>Under 3,25 - Central PE Sub-20 x Náutico Sub-20</t>
  </si>
  <si>
    <t>Under 1,5 - CRB B x Guarany AL</t>
  </si>
  <si>
    <t>Ferroviario AH +0,75 - Pague Menos Sub-20 x Ferroviario Sub-20</t>
  </si>
  <si>
    <t>Botafogo AH -0,25 - Botafogo x Bragantino</t>
  </si>
  <si>
    <t>Lausanne AH +0,25 HT - Lausanne Sports x Nice</t>
  </si>
  <si>
    <t>Mazatlan ML - Mazatlan FC Sub-23 x Monterrey Sub-23</t>
  </si>
  <si>
    <t>Feldkirchen AH 0 HT - St. Jakob/Rosental x Feldkirchen</t>
  </si>
  <si>
    <t>De Treffers AH +1,0 HT - De Treffers x Lyon</t>
  </si>
  <si>
    <t>De Treffers AH +0,75 HT - De Treffers x Lyon</t>
  </si>
  <si>
    <t>Tristan AH +0,75 - Tristan Suarez Sub-20 x Deportivo Camioneros Sub-20</t>
  </si>
  <si>
    <t>São Joseense AH +0,25 - São Joseense Sub-20 x Patriotas Sub-20</t>
  </si>
  <si>
    <t>Persis AH +0,5 - Persis Solo x Borneo FC</t>
  </si>
  <si>
    <t>CA Tigre AH +0,25 - Estudiantes LP Sub-20 x CA Tigre Sub-20</t>
  </si>
  <si>
    <t>Cianorte AH +0,25 - Cianorte Sub-20 x Foz do Iguaçu Sub-20</t>
  </si>
  <si>
    <t>Havant AH 0 - Havant and W x Portsmouth</t>
  </si>
  <si>
    <t>Over 0,5 - Vietnã Sub-19 (fem) x Tailândia Sub-19 (fem)</t>
  </si>
  <si>
    <t>Corinthians ML - Corinthians x América Mineiro</t>
  </si>
  <si>
    <t>FC Viktoria AH 0 HT - VVV x FC Viktoria Koln</t>
  </si>
  <si>
    <t>FK Macva Sabac AH 0 - NK Radomlje x FK Macva Sabac</t>
  </si>
  <si>
    <t>FK Sloga AH 0 - FK Indjija x FK Sloga Doboj</t>
  </si>
  <si>
    <t>Coimbra AH +0,5 - Cruzeiro Sub-20 x Coimbra EC Sub-20</t>
  </si>
  <si>
    <t>Nova Cidade AH +0,5 - Serrano Sub-20 x Nova Cidade Sub-20</t>
  </si>
  <si>
    <t>Zhetysu AH 0 - FK Kaspyi Aktau x Zhetysu</t>
  </si>
  <si>
    <t>Under 3,5 - Grêmio Sub-20 x São José RS Sub-20</t>
  </si>
  <si>
    <t>Under 3,25 - Grêmio Sub-20 x São José RS Sub-20</t>
  </si>
  <si>
    <t>Esse AH +0,75 - Esse IK x SJK Akatemis II</t>
  </si>
  <si>
    <t>ML Alger AH 0 - CR Belouizdad Sub-21 x MC Alger Sub-21</t>
  </si>
  <si>
    <t>FC Verden AH 0 HT - SV Blau Weiss Bornreihe x FC Verden 04</t>
  </si>
  <si>
    <t>Valmiera AH +0,75 - Valmiera FC x Olimpija Ljubljana</t>
  </si>
  <si>
    <t>Star AH 0 - Star Starachowice x Bron Radom</t>
  </si>
  <si>
    <t>TJ Sokol ML - TJ Sokol Lanzhot x FK Hodonin</t>
  </si>
  <si>
    <t>Warta AH +0,5 - MKS Kluczbork x Warta Sieradz</t>
  </si>
  <si>
    <t>ASK Klagenfurt AH +3,25 - ASK Klagenfurt x Udinese</t>
  </si>
  <si>
    <t>SFK Vrchovina AH 0 - SK Zdirec Nad Doubravou x SFK Vrchovina</t>
  </si>
  <si>
    <t>Osasuna AH +0,5 - Amorebieta x Osasuna B</t>
  </si>
  <si>
    <t>SC Rot Weiss AH 0 - BSV Schwarz-Weiss Rehden x SC Rot Weiss Maaslingen</t>
  </si>
  <si>
    <t>Lommel AH 0 HT - Borussia Dortmund II x Lommel</t>
  </si>
  <si>
    <t>Vojvodina AH 0 - Vojvodina x Borac Banja Luka</t>
  </si>
  <si>
    <t>Novo Horizonte AH +0,5 - Novo Horizonte Sub-20 x Real SC Sub-20</t>
  </si>
  <si>
    <t>Minas Boca AH +0,5 - Minas Boca Sub-20 x América Mineiro Sub-20</t>
  </si>
  <si>
    <t>São Paulo AH 0 - Cuiabá EC x São Paulo</t>
  </si>
  <si>
    <t>Zâmbia AH +1,75 - Zâmbia (fem) x Japão (fem)</t>
  </si>
  <si>
    <t>Copa Mundo</t>
  </si>
  <si>
    <t>Cesar Vallejo AH 0 - Unión Comercio x Cesar Vallejo</t>
  </si>
  <si>
    <t>Chateauroux AH 0 - Chateauroux x US Orleans</t>
  </si>
  <si>
    <t>Under 2,5 - Rosário Central Sergipe Sub-20 x Sport SE Sub-20</t>
  </si>
  <si>
    <t>Hang Sai AH +0,5 - KA I x Hang Sai</t>
  </si>
  <si>
    <t>Union Saint-Gilloise AH 0 - Union Saint-Gilloise x Valenciennes</t>
  </si>
  <si>
    <t>MP AH 0 - FF Jaro x MP</t>
  </si>
  <si>
    <t>FC Volendam DNB - KV Kortrijk c FC Volendam</t>
  </si>
  <si>
    <t>Grêmio Esportivo AH +1,0 - Brasiliense Sub-20 x GrÊmio Esp. Brazlândia Sub-20</t>
  </si>
  <si>
    <t>Albion AH +0,25 - Annan Athletic x Albion Rovers</t>
  </si>
  <si>
    <t>Ilves AH 0 - TPS (fem) x Ilves (fem)</t>
  </si>
  <si>
    <t>JFK Ventspils DC - JFK Ventspils x FK Beitar</t>
  </si>
  <si>
    <t>NK Zadar AH +0,5 - NK Zadar x NK Solin</t>
  </si>
  <si>
    <t>Pinzgau AH +0,25 - FC Pinzgau Saalfelden x SK Bischofshofen (cash)</t>
  </si>
  <si>
    <t>Stal DNB - GKS Jastrzebie x Stal Stalowa Wola</t>
  </si>
  <si>
    <t>Under 9,5 - SAK Klagenfurt x SK Sturm Graz</t>
  </si>
  <si>
    <t>Under limite</t>
  </si>
  <si>
    <t>Over 2,5 - Flamengo x América Mineiro</t>
  </si>
  <si>
    <t>Operário AH 0 - Confiança x Operário</t>
  </si>
  <si>
    <t>Man City AH -0,75 - Yokohama F-Marinos x Man City</t>
  </si>
  <si>
    <t>BFF Academy AH +1,25 - Druk Lhayul FC x BFF Academy Sub-19</t>
  </si>
  <si>
    <t>Butão</t>
  </si>
  <si>
    <t>FK Smiltene AH +0,5 - Valmiera FC II x FK Smiltene/BJSS</t>
  </si>
  <si>
    <t>Goiás AH +4,0 cantos - Cruzeiro x Goiás</t>
  </si>
  <si>
    <t>Botafogo AH 0 - Santos x Botafogo</t>
  </si>
  <si>
    <t>PSTC AH +0,75 - Andraus Brasil x PSTC (cash)</t>
  </si>
  <si>
    <t>VfB Homberg AH 0 - VfB Homberg x Wattenscheid 09</t>
  </si>
  <si>
    <t>Under 4,25 - Club Universitario de Deportes (fem) x Academia Cantolao (fem)</t>
  </si>
  <si>
    <t>Internacional AH +0,75 - Bragantino x Internacional</t>
  </si>
  <si>
    <t>Al Ittihad AH 0 - ND Beltinci x Al Ittihad Kalba</t>
  </si>
  <si>
    <t>CAAC Brasil AH +1,0 - Zinzane FC x CAAC Brasil FC</t>
  </si>
  <si>
    <t>Calouros AH +0,5 - Calouros do Ar x Maranguape</t>
  </si>
  <si>
    <t>Thor AH 0 - Thor Akureyri x Grotta Seltjarnarnes</t>
  </si>
  <si>
    <t>Lion City AH +3,0 - Lion City Sailors FC x Tottenham</t>
  </si>
  <si>
    <t>Tempete AH +0,5 - Athleta FC Togo (fem) x Tempete (fem)</t>
  </si>
  <si>
    <t>Under 3,5 - Novo Horizonte RS x Inter de Santa Maria</t>
  </si>
  <si>
    <t>Kota ML - Kota Ranger x Indera FC</t>
  </si>
  <si>
    <t>Brunei</t>
  </si>
  <si>
    <t>TSG Hoffenheim AH +0,5 - Freiburg II x TSG Hoffenheim II</t>
  </si>
  <si>
    <t>Real AH +0,5 HT - Real SC Sub-20 x Novo Horizonte Sub-20</t>
  </si>
  <si>
    <t>SPG Wallern AH +0,25 - TUS Bad Gleichenberg x SPG Wallern/ASV St. Marien</t>
  </si>
  <si>
    <t>FC Atlético Cearense AH +0,5 - Floresta Sub-20 x FC Atlético Cearense Sub-20</t>
  </si>
  <si>
    <t>FC Suderelbe AH 0 - Victoria Hamburg x FC Suderelbe (cash)</t>
  </si>
  <si>
    <t>Eckernforder AH +0,75 - TSB Flensburg x Eckernforder SV</t>
  </si>
  <si>
    <t>Ashton AH +0,25 - Ashton Utd x Halifax</t>
  </si>
  <si>
    <t>Guangxi AH +0,5 - Jinan Xingzhou x Guangxi Pingguo Haliao</t>
  </si>
  <si>
    <t>China</t>
  </si>
  <si>
    <t>Over 0,5 - Jinan Xingzhou x Guangxi Pingguo Haliao</t>
  </si>
  <si>
    <t>Turkspor AH +1,0 - TSV Landsberg x Turkspor Augsburg</t>
  </si>
  <si>
    <t>AZ AH 0 - Top Oss x AZ - Reservas</t>
  </si>
  <si>
    <t>Under 5,5 - Thimphu City x Namlha FC</t>
  </si>
  <si>
    <t xml:space="preserve">Kuopion AH +1,5 - VIFK x Kuopion Elo 1919 </t>
  </si>
  <si>
    <t>Halsen AH +0,5 - Halsen IF x Askollen</t>
  </si>
  <si>
    <t>Clodiense AH +0,75 - Vicenza x Clodiense</t>
  </si>
  <si>
    <t>SV Auersmacher AH 0 - FV Dudenhofen x SV Auersmacher</t>
  </si>
  <si>
    <t>FK Graficar AH 0 - OFK Vrsac x FK Graficar Beograd ( 2x0)</t>
  </si>
  <si>
    <t>Corinthians ML - Corinthians x Vasco da Gama</t>
  </si>
  <si>
    <t>NK Nafta AH +0,25 - NK Bravo Sub-19 x NK Nafta 1903 Sub-19</t>
  </si>
  <si>
    <t>Athletico Paranaense ML - Athletico Paranaense x Cruzeiro</t>
  </si>
  <si>
    <t>Weiche AH +0,5 - VfB Lubeck II x Weiche Flensburg 08 II</t>
  </si>
  <si>
    <t>Chernomorets AH +0,25 - LNZ Cherkasy x Chernomorets Odessa</t>
  </si>
  <si>
    <t>Eimsbutteler AH +0,5 - SC Spelle-Venhaus x Eimsbutteler TV</t>
  </si>
  <si>
    <t>Over 6,5 cartões - São Paulo x Bahia</t>
  </si>
  <si>
    <t>Stromsgodset AH 0 - Aalesund x Stromsgodset</t>
  </si>
  <si>
    <t>Carlos AH +0,25 - Universidad César Vallejo - Res x Carlos Mannucci - Res</t>
  </si>
  <si>
    <t>HerTo AH +0,75 - Ponnistajat x HerTo</t>
  </si>
  <si>
    <t>Total Soccer AH +0,5 - Politecnico J.I.C x Total Soccer FC</t>
  </si>
  <si>
    <t>Patro AH 0 - Vitesse x Patro Eisden Maasmechelen</t>
  </si>
  <si>
    <t>Under 14,0 cantos HT - Grosseto x Fiorentina</t>
  </si>
  <si>
    <t>Cantos -</t>
  </si>
  <si>
    <t>Envigado AH 0 - Envigado FC - Reservas x Club Deportivo La Chalaca</t>
  </si>
  <si>
    <t>Under 5,5 cantos HT - Atalanta x Pro Sesto</t>
  </si>
  <si>
    <t>CS Avantul AH +0,25 - CS Avantul Periam x ACS Progresul Pecica</t>
  </si>
  <si>
    <t>Kaposvari AH 0 - PEAC FC x Kaposvari Rakoczi</t>
  </si>
  <si>
    <t>Atromitos AH 0 - Panetolikos x Atromitos Athinon</t>
  </si>
  <si>
    <t>Panetolikos AH 0 - Panetolikos x Atromitos Athinon</t>
  </si>
  <si>
    <t>EC Taubaté AH +0,25 - Rio Claro Sub-20 x EC Taubaté Sub-20</t>
  </si>
  <si>
    <t>SV Auersmacher AH +0,5 - SV Auersmacher x Pirmasens</t>
  </si>
  <si>
    <t>SG Bornheim AH +1,0 - SG Bornheim 1945 Grun-Weiss x Turk Gucu Friedberg</t>
  </si>
  <si>
    <t>Buru Sports AH 0 - Super United Sports x Buru Sports Club</t>
  </si>
  <si>
    <t>Maldivas</t>
  </si>
  <si>
    <t>Penang AH +0,25 - Penang x Kuala Lumpur City</t>
  </si>
  <si>
    <t>São Paulo AH 0 - San Lorenzo x São Paulo</t>
  </si>
  <si>
    <t>América</t>
  </si>
  <si>
    <t>Urartu AH 0 HT - FC Urartu x Farul Constanta</t>
  </si>
  <si>
    <t>Botafogo AH +0,25 - Cruzeiro x Botafogo</t>
  </si>
  <si>
    <t>Under 2,5 - Serra Branca Sub-20 x Confiança Sape Sub-20</t>
  </si>
  <si>
    <t>Under L</t>
  </si>
  <si>
    <t>Lun Bawang AH +0,5 HT - Kota Ranger x Lun Bawang</t>
  </si>
  <si>
    <t>Shillong AH +1,0 - Northeast United x Shillong Lajong FC (cash)</t>
  </si>
  <si>
    <t>Ceske AH 0 - FC Trinity Zlin Sub-19 x Ceske Budejovice Sub-19</t>
  </si>
  <si>
    <t>Grêmio AH 0 - Vasco da Gama x Grêmio</t>
  </si>
  <si>
    <t>Ismaning AH +1,0 - Rain am Lech x Ismaning</t>
  </si>
  <si>
    <t>PJK AH +0,5 - PJK x ACE</t>
  </si>
  <si>
    <t>Coritiba Over 5,5 cantos - Coritiba x Bragantino</t>
  </si>
  <si>
    <t>Gnistan/Ogeli AH +0,25 - LPS x Gnistan/Ogeli</t>
  </si>
  <si>
    <t>FC Trinity AH +0,25 - SK Hranice x FC Trinity Zlin B</t>
  </si>
  <si>
    <t>Wil AH 0 HT - FC Schaffhausen x Wil 1900</t>
  </si>
  <si>
    <t>Greuther AH 0 HT - Holstein Kiel x Greuther Furth</t>
  </si>
  <si>
    <t>Kirivong AH +0,25 - Visakha FC x Kirivong Sok Sen Chey</t>
  </si>
  <si>
    <t>Bahlinger AH +0,25 - TSG Balingen x Bahlinger SC</t>
  </si>
  <si>
    <t>TSV Munique AH +0,5 - TSV 1860 Munique II x FC Pipinsried</t>
  </si>
  <si>
    <t>Baumholder AH +1,0 - Wormatia Worms x Baumholder</t>
  </si>
  <si>
    <t>FA Kalev AH +0,5 - FC Kuressaare II x FA Kalev Tartu</t>
  </si>
  <si>
    <t>Vineta AH +0,25 - Notec Czarnkow x Vineta Wolin</t>
  </si>
  <si>
    <t>Southend AH +0,25 - Southend x Oldham (cash)</t>
  </si>
  <si>
    <t>NK Dugopolje AH 0 - NK Dugopolje x NK Solin</t>
  </si>
  <si>
    <t>Under 11,0 cantos - Gornik Zabrze x Piast Gliwice</t>
  </si>
  <si>
    <t>Under canto limite</t>
  </si>
  <si>
    <t>Under 0,5  HT - Bahia (fem) x Jacuipense (fem)</t>
  </si>
  <si>
    <t>Under HT</t>
  </si>
  <si>
    <t xml:space="preserve">Under 3,5 cantos HT - Santos x Athletico Paranaense </t>
  </si>
  <si>
    <t>Under canto HT</t>
  </si>
  <si>
    <t xml:space="preserve">Cantos- </t>
  </si>
  <si>
    <t>VPS Vaasa AH +1,0 - VJS Vantaa Sub-20 x VPS Vaasa Sub-20</t>
  </si>
  <si>
    <t>Coritiba AH +0,25 - Coritiba x Bragantino</t>
  </si>
  <si>
    <t>Under 8,5 - Riachuelo AC Sub-20 x Parnamirim Sub-20</t>
  </si>
  <si>
    <t>Hamburg AH +1,0 - FC Teutonia 05 x Hamburg II</t>
  </si>
  <si>
    <t>Tristan AH +0,25 - CA San Telmo Sub-20 x Tristan Suarez Sub-20</t>
  </si>
  <si>
    <t>Druk AH +0,75 - Transport United FC x Druk Lhayul FC</t>
  </si>
  <si>
    <t>Wuhan AH +0,5 - Wuhan Jiangcheng x Qingdao Red Lions</t>
  </si>
  <si>
    <t>Hamburg AH +0,5 - FC Teutonia 05 x Hamburg II</t>
  </si>
  <si>
    <t>Arsenal AH +0,75 - Arsenal x Man City</t>
  </si>
  <si>
    <t>Al Ahli AH +0,75 - Al Ahli Nabatieh x Al Ansar Beirut</t>
  </si>
  <si>
    <t>Al Ahli AH +0,5 - Al Ahli Nabatieh x Al Ansar Beirut</t>
  </si>
  <si>
    <t>SK Lisen AH +0,5 - Sokol Tasovice x SK Lisen B</t>
  </si>
  <si>
    <t>Sporting Cristal AH 0 - Carlos Mannucci (fem) x Sporting Cristal (fem)</t>
  </si>
  <si>
    <t>Monsoon AH +0,5 - Guarany de Bage x Monsoon</t>
  </si>
  <si>
    <t>Bangwe AH 0 - Mighty Tigers x Bangwe All Stars</t>
  </si>
  <si>
    <t>UCAM AH 0 HT - Melilla x UCAM Murcia CF</t>
  </si>
  <si>
    <t>TSV Schott AH +0,5 - FSV Frankfurt x TSV Schott Mainz</t>
  </si>
  <si>
    <t>Tindastoll AH 0 - Tindastoll (fem) x Selfoss (fem)</t>
  </si>
  <si>
    <t>KFK Kopavogur AH +0,75 - KFK Kopavogur x Kari</t>
  </si>
  <si>
    <t>Butterfly AH +0,25 - OG Dynamite Ladies FC Women x Butterfly Ladies FC (fem)</t>
  </si>
  <si>
    <t>Pogon Siedlce AH +0,5 - Pogon Siedlce x Olimpia Elblag</t>
  </si>
  <si>
    <t>Under 5,0 - FC Paulesti x AFC Metalul Buzau</t>
  </si>
  <si>
    <t>MKS Trzebinia AH +0,75 - MKS Trzebinia x Termalica BB Nieciecza II</t>
  </si>
  <si>
    <t>TJ Unie AH +0,25 - MFK Havirov x TJ Unie Hlubina</t>
  </si>
  <si>
    <t>MKS Trzebinia AH +0,5 - MKS Trzebinia x Termalica BB Nieciecza II</t>
  </si>
  <si>
    <t>Under 7,5 - Slavoj Cesky Krumlov x FC Sellier &amp; Bellot Vlasim</t>
  </si>
  <si>
    <t>KV Mechelen AH +0,75 - Tienen x KV Mechelen II</t>
  </si>
  <si>
    <t>Boston AH +0,25 - Athletic Club MG Sub-20 x Boston City FC Brasil Sub-20</t>
  </si>
  <si>
    <t>FC Viersen AH 0 - Cronenberger SC x FC Viersen</t>
  </si>
  <si>
    <t>B36 Torshavn AH +3,25 - KL Klaksvik (fem) x B36 Torshavn (fem)</t>
  </si>
  <si>
    <t>St. James AH +0,5 - St. James Swifts (fem) x Bangor (fem)</t>
  </si>
  <si>
    <t>Pogon Szczecin AH +0,5 - Gent x Pogon Szczecin</t>
  </si>
  <si>
    <t>São  Paulo AH -2,5 cantos - São Paulo x San Lorenzo</t>
  </si>
  <si>
    <t>Under 2,5 - MyPa x LaPa</t>
  </si>
  <si>
    <t>Beirut AH 0 - Beirut Academy (fem) x Eleven Football Pro (fem)</t>
  </si>
  <si>
    <t>Valerenga AH 0 - Valerenga 2 Sub-19 x Ullensaker/Kisa Sub-19</t>
  </si>
  <si>
    <t>Coquimbo AH +1,25 - Deportes Temuco Sub-21 x Coquimbo Unido Sub-21</t>
  </si>
  <si>
    <t>Minas Boca AH 0 - EC Futgol Sub-20 x Minas Boca Sub-20</t>
  </si>
  <si>
    <t>Excelsior AH +0,5 - VV Alkmaar (fem) x Excelsior (fem)</t>
  </si>
  <si>
    <t>Excelsior DNB - VV Alkmaar (fem) x Excelsior (fem)</t>
  </si>
  <si>
    <t>Excelsior AH +0,25 - VV Alkmaar (fem) x Excelsior (fem)</t>
  </si>
  <si>
    <t>Excelsior AH 0 HT - VV Alkmaar (fem) x Excelsior (fem)</t>
  </si>
  <si>
    <t>SG Union Sandersdorf AH +0,25 - BSG Chemie Leipzig x SG Union Sandersdorf</t>
  </si>
  <si>
    <t>Under 3,5 - FCJ Blackbird x LehPa</t>
  </si>
  <si>
    <t>Sliema AH 0 - Sirens x Sliema Wanderers</t>
  </si>
  <si>
    <t>Vfb Fortuna Biesdorf AH +0,75 - Vfb Fortuna Biesdorf x SV Empor Berlin</t>
  </si>
  <si>
    <t>Deren AH 0 - Khoromkhon Club x Deren FC</t>
  </si>
  <si>
    <t>SV Neulengbach AH +0,5 - Slovacko (fem) x SV Neulengbach (fem)</t>
  </si>
  <si>
    <t>Deisenhofen AH +0,25 - FC Deisenhofen x TSV Landsberg</t>
  </si>
  <si>
    <t>Follo AH +0,25 - Lorenskog x Follo</t>
  </si>
  <si>
    <t>BSK Banja DNB - BSK Banja Luka x Leotar</t>
  </si>
  <si>
    <t>Bósnia e Herz.</t>
  </si>
  <si>
    <t>Chieti AH +0,25 - Giugliano x Chieti</t>
  </si>
  <si>
    <t>Igrejinha AH +0,5 - CF Com Vida SAF Sub-20 x Igrejinha Sub-20</t>
  </si>
  <si>
    <t>Propriá AH 0 - Coritiba SE Sub-20 x Propria Sub-20</t>
  </si>
  <si>
    <t>FC Thy AH +0,25 - FC Thy - ThistedQ II (fem) x Kolding IF II (fem)</t>
  </si>
  <si>
    <t>Under 4,25 - FC Thy - ThistedQ II (fem) x Kolding IF II (fem)</t>
  </si>
  <si>
    <t>Under 2,25 - VfL Bochum (fem) x Fortuna Koln (fem)</t>
  </si>
  <si>
    <t>FK Trebic AH 0 - FC Velke Mezirici B x FK Trebic</t>
  </si>
  <si>
    <t>UFC Hallein AH -0,25 - UFC HAllein x SV Burmoos</t>
  </si>
  <si>
    <t>Excelsior AH +0,75 - PEC Zwolle (fem) x Excelsior (fem)</t>
  </si>
  <si>
    <t>SV Allerheiligen AH +0,5 - St. Anna am Aigen x SV Allerheiligen</t>
  </si>
  <si>
    <t>Under 8,5 - FC Haka Juniors x NoPS</t>
  </si>
  <si>
    <t>Under 12,5 - Werder Bremen II x Brinkumer SV</t>
  </si>
  <si>
    <t>Nenhum Run 7 cantos - São Paulo x Corinthians</t>
  </si>
  <si>
    <t>Cantos</t>
  </si>
  <si>
    <t>Under 2,75 - Man City x Sevilha</t>
  </si>
  <si>
    <t xml:space="preserve">Over 3,0 HT cantos - Tiradentes PA x SC Paraense </t>
  </si>
  <si>
    <t>HT cantos</t>
  </si>
  <si>
    <t>Under 6,0 cantos - Tiradentes PA x SC Paraense</t>
  </si>
  <si>
    <t>SCM Zalau AH +0,25 - SCM Zalau x CS Minaur Baia Mare</t>
  </si>
  <si>
    <t xml:space="preserve">Muscelul AH +2,0 - Muscelul Campulung x CSC 1599 Selimbar </t>
  </si>
  <si>
    <t>SFK Vrchovina AH +1,5 - SFK Vrchovina x SK Lisen (cash)</t>
  </si>
  <si>
    <t>Olimpija AH 0 - FC Koper Sub-19  x Olimpija Ljubljana Sub-19</t>
  </si>
  <si>
    <t>América Futebol AH 0 - América Futebol Clube x Grêmio São-Carlense</t>
  </si>
  <si>
    <t>Belfast AH 0 - Belfast Celtic (fem) x Comber Recreation FC (fem)</t>
  </si>
  <si>
    <t>Botafogo ML - Botafogo x Bahia</t>
  </si>
  <si>
    <t>Aguardando</t>
  </si>
  <si>
    <t>Under 7,0 - Mtibwa Sugar x Simba Sports Club</t>
  </si>
  <si>
    <t>Mtibwa AH +1,25 - Mtibwa Sugar x Simba Sports Club</t>
  </si>
  <si>
    <t>Pinheirense AH +0,25 - Pinheirense EC x Sao Raimundo PA</t>
  </si>
  <si>
    <t>Under 0,5 HT - 6 Yard Etihad (fem) x Amann (fem)</t>
  </si>
  <si>
    <t>Under 9,5 - TP-T x TP-49</t>
  </si>
  <si>
    <t>Amann AH +1,25 - 6 Yard Etihad (fem) x Amman (fem)</t>
  </si>
  <si>
    <t>SD Sparta AH +2,75 - Clube do Remo Sub-20 x SD Sparta Sub-20</t>
  </si>
  <si>
    <t>Asker AH +0,5 - Lorenskog Sub-19 x Asker Sub-19</t>
  </si>
  <si>
    <t>Oppsal AH +1,75 - Lillehammer Sub-19 x Oppsal IF Sub-19</t>
  </si>
  <si>
    <t>Asker AH 0 HT - Lorenskog Sub-19 x Asker Sub-19</t>
  </si>
  <si>
    <t>Coritiba AH -0,5 cartões - Coritiba x Flamengo</t>
  </si>
  <si>
    <t>AH- cartão</t>
  </si>
  <si>
    <t>SV Fortuna AH +0,25 - SV Fortuna Regensburg x FC Coburg</t>
  </si>
  <si>
    <t>TJ Moravan AH +0,25 - Mutenice x TJ Moravan Lednice</t>
  </si>
  <si>
    <t>Unam Pumas AH 0 - Unam Pumas Sub-23 x Toluca Sub-23</t>
  </si>
  <si>
    <t>SV Wienerberg AH 0 - SV Wienerberg x Simmeringer SC</t>
  </si>
  <si>
    <t>FC Sonthofen AH 0 - Ismaning x 1. FC Sonthofen</t>
  </si>
  <si>
    <t>SV Meppen AH +0,5 - SV Meppen II x BSV Kickers Emden</t>
  </si>
  <si>
    <t>Hutteen AH +0,75 - Tishreen x Hutteen</t>
  </si>
  <si>
    <t>Eiger AH 0 - Eiger x Staal Jorpeland</t>
  </si>
  <si>
    <t>Rio Ave AH +0,25 - FC Porto Sub-19 x Rio Ave Sub-19</t>
  </si>
  <si>
    <t>Kungsangens IF x Karlbergs BK</t>
  </si>
  <si>
    <t>Saldus AH +0,75 - Saldus Ss/Leevon x Skanstes SK</t>
  </si>
  <si>
    <t>Saldus AH +0,5 - Saldus Ss/Leevon x Skanstes SK</t>
  </si>
  <si>
    <t>Djerv AH +0,75 - Vidar x Djerv 1919 (cash)</t>
  </si>
  <si>
    <t>TuRa AH 0 - FC Turkiye Wilhelmsburg x TuRa Harksheide</t>
  </si>
  <si>
    <t xml:space="preserve">Empate ou Fomat - RSC Hamsik Academy x Fomat Martin </t>
  </si>
  <si>
    <t>Fomat AH +0,5 - RSC Hamsik Academy x Fomat Martin</t>
  </si>
  <si>
    <t>Valencia B AH +0,5 - Valencia B x Barcelona B</t>
  </si>
  <si>
    <t>ZFK Radnicki ML - ZFK Radnicki 1923 (fem) x ZFK Masinac (fem)</t>
  </si>
  <si>
    <t>Botafogo AH +0,5 - São Paulo x Botafogo</t>
  </si>
  <si>
    <t>Medyk AH 0 - Rekord Bielsko-Biala (fem) x Medyk Konin (fem)</t>
  </si>
  <si>
    <t>JFK Ventspils AH +0,5 HT - JFK Ventspils x Riga FC II</t>
  </si>
  <si>
    <t>FC Metalist AH +0,5 - Nyva Ternopil x FC Metalist Kharkiv</t>
  </si>
  <si>
    <t>Bent Jbeil AH +0,5 - Al Akhaa Al Ahli x Bent Jbeil</t>
  </si>
  <si>
    <t>Shabab AH +0,5 - Shabab Al-Sahel x Al Ansar Beirut</t>
  </si>
  <si>
    <t>MKS Wladyslawowo AH +0,25 - Radunia Stezyca II x MKS Wladyslawowo</t>
  </si>
  <si>
    <t>Nations AH 0 - Nations FC x Eleven Wonders</t>
  </si>
  <si>
    <t>AFC Eskilstuna AH 0 - IFK Lulea x AFC Eskilstuna</t>
  </si>
  <si>
    <t>Under 7,0 cantos - KR/KV Sub-19 x HK/Ymir Sub-19</t>
  </si>
  <si>
    <t>KR/KV AH +0,25 - KR/KV Sub-19 x HK/Ymir Sub-19</t>
  </si>
  <si>
    <t>Brann AH +0,25 - Brann Sub-19 x HamKam Sub-19</t>
  </si>
  <si>
    <t>Hanoi AH 0 - Phong Phu Ha Nam Sub-19 (fem) x Hanoi Sub-19 (fem)</t>
  </si>
  <si>
    <t>Super United AH +0,5 - Maziya SRC x Super United Sports</t>
  </si>
  <si>
    <t>Lusaca AH +0,5 - Bahia (fem) x Lusaca BA (fem)</t>
  </si>
  <si>
    <t>Under 8,5 - Bahia (fem) x Lusaca BA (fem)</t>
  </si>
  <si>
    <t>MSV AH 0 HT - PSV (fem) x MSV Duisburg (fem)</t>
  </si>
  <si>
    <t>Under 1,5 HT - Renop Liptovska Tepla x MSK Zilina</t>
  </si>
  <si>
    <t>KF Ulpiana AH 0 - KF Ulpiana x KF Prishtina</t>
  </si>
  <si>
    <t>TSV Schott AH +0,5 - TSV Schott Mainz x VfB Stuttgart II</t>
  </si>
  <si>
    <t>SK 1923 AH +0,5 - SK 1923 Gabcikovo x Dunajska Streda</t>
  </si>
  <si>
    <t>TSV Schott ML - TSV Schott Mainz x VfB Stuttgart II</t>
  </si>
  <si>
    <t>Under 10,5 - Tj Tatran Cierny Balog x FK Zeleziarne Podbrezova</t>
  </si>
  <si>
    <t>Under 1,5 - AC Izabelense x Santos PA</t>
  </si>
  <si>
    <t>Canoense AH +0,25 - ASA Sub-20 x Canoense Sub-19</t>
  </si>
  <si>
    <t>Gaadiidka AH +0,5 - Gaadiidka x APR FC</t>
  </si>
  <si>
    <t>Wilpas AH 0 - TPK x Wilpas</t>
  </si>
  <si>
    <t>Sporting AH +0,5 - Real Sociedad (fem) x Sporting (fem)</t>
  </si>
  <si>
    <t>Valerenga AH 0 - Valerenga 2 Sub-19 x Ready Sub-19</t>
  </si>
  <si>
    <t>Barra Mansa AH +0,5 - Sampaio Correa Sub-20 x Barra Mansa Sub-20</t>
  </si>
  <si>
    <t>Barra Mansa AH +0,75 - Sampaio Correa Sub-20 x Barra Mansa Sub-20</t>
  </si>
  <si>
    <t>Serra Branca AH 0 - Serra Branca Sub-20 x CS Paraibano Sub-20</t>
  </si>
  <si>
    <t>Under 7,25 - Skeid Sub-19 x Brumunddal U19</t>
  </si>
  <si>
    <t>Brumunddal AH +0,75 - Skeid Sub-19 x Brumunddal U19</t>
  </si>
  <si>
    <t>Under 6,5 - Skeid Sub-19 x Brumunddal U19</t>
  </si>
  <si>
    <t>Tigre AH +0,5 - Magara Young Boys x Tigre Noir CS</t>
  </si>
  <si>
    <t>Tigre - sim - Magara Young Boys x Tigre Noir CS</t>
  </si>
  <si>
    <t>Under 8,0 cantos - Kelantan FC x Selangor</t>
  </si>
  <si>
    <t>Sportis AH +1,25 - Sportis KKP Bydgoszcz (fem) x Lech Poznan UAM (fem)</t>
  </si>
  <si>
    <t>Polonia DNB - Polonia Lidzbark x Znicz Biala Piska</t>
  </si>
  <si>
    <t>Polonia AH +0,25 - Polonia Lidzbark x Znicz Biala Piska</t>
  </si>
  <si>
    <t>FK Nestemice AH +0,25 - Banik Modlany x FK Nestemice</t>
  </si>
  <si>
    <t>Madla AH +0,25 - Eiger x Madla</t>
  </si>
  <si>
    <t>Charleroi (fem) AH +0,5 HT - Charleroi (fem) x Genk (fem)</t>
  </si>
  <si>
    <t>Clube Atlético AH +0,5 - Ibrachina Sub-20 x Clube Atlético Juventus Sub-20</t>
  </si>
  <si>
    <t>Mufulira AH +0,25 - Kansanshi Dynamos x Mufulira Wanderers</t>
  </si>
  <si>
    <t>Under 4,0 - KoiPS x FC Loviisa</t>
  </si>
  <si>
    <t>0x0</t>
  </si>
  <si>
    <t>Under 3,75 - KoiPS x FC Loviisa</t>
  </si>
  <si>
    <t>Under 3,5 - KoiPS x FC Loviisa</t>
  </si>
  <si>
    <t>SFB Oure AH +0,25 - SFB Oure FA x Naesby</t>
  </si>
  <si>
    <t>Laholms DNB - Laholms FK x Lindome GIF</t>
  </si>
  <si>
    <t>Soroksar AH 0 - Soroksar (fem) x Szekszardi (fem)</t>
  </si>
  <si>
    <t>Hapoel Beer AH +0,25 - Hapoel Beer Sheva Sub-19 - MS Ashdod Sub-19</t>
  </si>
  <si>
    <t>Spisska AH 0 HT - Spisska Nova Ves x Slovan Bratislava B</t>
  </si>
  <si>
    <t>Sloboda AH 0 - Buducnost Banovici x Sloboda Tuzla</t>
  </si>
  <si>
    <t>Marinhas AH +0,75 - Marinhas FC Sub-19 x Lank Vilaverdense Sub-19</t>
  </si>
  <si>
    <t>Marinhas AH +0,5 - Marinhas FC Sub-19 x Lank Vilaverdense Sub-19</t>
  </si>
  <si>
    <t>Marsa AH 0 HT - Marsa FC x Fgura United</t>
  </si>
  <si>
    <t>Paraná AH +0,25 - Paraná Sub-20 x Operário PR Sub-20</t>
  </si>
  <si>
    <t>FK Internacional AH +0,5 - FK Podgorica x FK Internacional</t>
  </si>
  <si>
    <t>Nkana AH 0 - Mutondo Stars x Nkana FC</t>
  </si>
  <si>
    <t>Kolos AH 0 - Kolos Kovalivka x Shakhtar Donetsk</t>
  </si>
  <si>
    <t>SV Morlautern AH +0,5 - FV Dudenhofen x SV Morlautern</t>
  </si>
  <si>
    <t>SV Morlautern DNB - FV Dudenhofen x SV Morlautern</t>
  </si>
  <si>
    <t>Guarany AH +0,5 - Guarany AL Sub-20 x Desportiva Aliança Sub-20</t>
  </si>
  <si>
    <t>Man City AH -1,0 - Sheff Utd x Man City</t>
  </si>
  <si>
    <t>Angri AH +0,5 - Angri x Gelbison</t>
  </si>
  <si>
    <t>Skyy AH 0 - Skyy FC x Heart of Lions</t>
  </si>
  <si>
    <t>Montevideo AH 0 HT - Defensor Sporting - Res x Montevideo Wanderers - Res</t>
  </si>
  <si>
    <t>NK Gospic AH +0,75 - NK Gospic 91 x NK Kutjevo</t>
  </si>
  <si>
    <t>NK Korotan AH +0,75 - SD Videm x NK Korotan Prevalje</t>
  </si>
  <si>
    <t>Maynooth AH +0,25 - Lucan United x Maynooth University Town FC</t>
  </si>
  <si>
    <t>CD Galapagar AH 0 - CD Galapagar x Las Rozas</t>
  </si>
  <si>
    <t>Breidablik AH +0,5 - Breidablik/Augnablik/Smari U19 x Stjarnan/KFG/Alfatnes U19</t>
  </si>
  <si>
    <t>Army AH +0,25 - Army Red x Mohammedan SC</t>
  </si>
  <si>
    <t>Korsnas AH 0 HT - Esse IK x Korsnas FF</t>
  </si>
  <si>
    <t>Valerenga AH +1,0 - Moss Sub-19 x Valerenga 2 Sub-19</t>
  </si>
  <si>
    <t>Hapoel Migdal AH +0,75 - Hapoel Migdal Haemeq x Hapoel Ironi Baqa Gharbiyye</t>
  </si>
  <si>
    <t>Under 2,25 - Hapoel Migdal Haemeq x Hapoel Ironi Baqa Al Gharbiyye</t>
  </si>
  <si>
    <t>1x0</t>
  </si>
  <si>
    <t>TSG Weinheim AH +0,5 - TSG Weinheim x Waldhof Mannheim II</t>
  </si>
  <si>
    <t>Red Star AH 0 - Red Star Penzing x Simmeringer SC</t>
  </si>
  <si>
    <t>Boulogne AH 0 - Boulogne x Stade Briochin</t>
  </si>
  <si>
    <t>Brumunddal AH +0,5 - Brumunddal U19 x Asker Sub-19</t>
  </si>
  <si>
    <t>CF Juventud AH 0 - CF Juventud Laguna Sub-19 x CD La Oliva Sub-19</t>
  </si>
  <si>
    <t>FC Metalist AH 0 - Bukovyna Chernivtsi x FC Metalist Kharkiv</t>
  </si>
  <si>
    <t>AaB AH +0,5 - Kolding IF (fem) x AaB (fem)</t>
  </si>
  <si>
    <t>Offenburger AH +0,25 - FV Ravensburg x Offenburger FV</t>
  </si>
  <si>
    <t>FC Giessen AH 0 - FC Giessen x Turk Gucu Friedberg</t>
  </si>
  <si>
    <t>Blekitni AH +0,5 - Blekitni Stargard x Pogon Szczecin II</t>
  </si>
  <si>
    <t>Verona AH 0 - Lazio Sub-19 x Verona Sub-19</t>
  </si>
  <si>
    <t>Fatih AH +0,5 HT - Fatih Vatan Spor (fem) x Galatasaray (fem/)</t>
  </si>
  <si>
    <t>Fatih AH +1,75 - Fatih Vatan Spor (fem) x Galatasaray (fem)</t>
  </si>
  <si>
    <t>Terre Sainte DNB - Terre Sainte x FC La Sarraz</t>
  </si>
  <si>
    <t>SSU Politehnica AH +0,5 - CS Soimii Lipova x SSU Politehnica Timisoara</t>
  </si>
  <si>
    <t>Mladost AH +1,0 - HNK Tomislav x Mladost Doboj Kakanj</t>
  </si>
  <si>
    <t>HNK Sibenik AH 0 HT - HNK Sibenik Sub-19 x NK Varazdin Sub-19</t>
  </si>
  <si>
    <t>MFK Karvina AH +0,25 - FK Hodonin x MFK Karvina B</t>
  </si>
  <si>
    <t>Marinhas AH 0 - AVS Sub-19 x Marinhas FC Sub-19</t>
  </si>
  <si>
    <t>Olympique AH +0,5 - Grasse x Olympique d'Ales</t>
  </si>
  <si>
    <t>Lucko AH +0,25 - Lucko x HASK Zagreb</t>
  </si>
  <si>
    <t>Unam AH +0,25 - Santos Laguna Sub-23 x Unam Pumas Sub-23</t>
  </si>
  <si>
    <t>Sport Viseu AH +0,5 - Tondela Sub-19 x Sport Viseu e Benfica Sub-19</t>
  </si>
  <si>
    <t>AD Ceuta AH 0 HT - Lynx FC x AD Ceuta FC B</t>
  </si>
  <si>
    <t>Picuiense AH +0,75 - Picuiense x Atletico Cajazeirense</t>
  </si>
  <si>
    <t>Under 4,25 - Picuiense x Atletico Cajazeirense</t>
  </si>
  <si>
    <t>2x0</t>
  </si>
  <si>
    <t>1. FC Wilmersdorf AH +0,25 - Frohnauer SC x 1. FC Wilmersdorf</t>
  </si>
  <si>
    <t>1. FC Wilmersdorf DNB - Frohnauer SC x 1. FC Wilmersdorf</t>
  </si>
  <si>
    <t>CF Gazte AH +0,25 - CD Alavés Sub-19 x CF Gazte Berriak Sub-19</t>
  </si>
  <si>
    <t>Kolding AH 0 - JAI (fem) x Kolding IF II (fem)</t>
  </si>
  <si>
    <t>Hal AH +0,5 - Hal FC x Kickstart x Karnataka FC</t>
  </si>
  <si>
    <t>Under 1,0 - Hal FC x Kickstart Karnataka FC</t>
  </si>
  <si>
    <t>Grosseto DNB - US Pianese x Grosseto</t>
  </si>
  <si>
    <t>Bassano AH +1,0 - Virtus Bolzano x Bassano</t>
  </si>
  <si>
    <t>US Adriese AH +0,25 - Campodarsego x US Adriese</t>
  </si>
  <si>
    <t>US Adriese AH 0 - Campodarsego x US Adriese</t>
  </si>
  <si>
    <t>Stourbridge AH +0,75 - Halifax (fem) x Stourbridge (fem)</t>
  </si>
  <si>
    <t>Chateauroux AH +0,75 - Chateauroux Sub-19 x Angers Sub-19</t>
  </si>
  <si>
    <t>Este AH +0,5 - Clodiense x Este</t>
  </si>
  <si>
    <t>Budaorsi AH +0,5 - Kelen SC x Budaorsi SC</t>
  </si>
  <si>
    <t>Under 3,5 - América Mineiro Sub-20 x EC Futgol Sub-20</t>
  </si>
  <si>
    <t>Marbella AH +1,0 - Granada Sub-19 x Marbella FC Sub-19</t>
  </si>
  <si>
    <t>Artsul AH 0 - Friburguense Sub-20 x Artsul Sub-20</t>
  </si>
  <si>
    <t>DSG Ledenitzen AH +1,5 - DSG Ledenitzen x St Jakob/Rosental</t>
  </si>
  <si>
    <t>Under 10,5 cantos - Ponte Preta x Sampaio Corrêa</t>
  </si>
  <si>
    <t>Under 4,5 HT - SK Kuhndorf x VST Volkermarkt</t>
  </si>
  <si>
    <t>ES Mostaganem AH +0,5 - ASO Chlef x ES Mostaganem</t>
  </si>
  <si>
    <t>Under 4,75 - Juventus (fem) x Okzhetpes (fem)</t>
  </si>
  <si>
    <t>4x0</t>
  </si>
  <si>
    <t>Under 4,5 - Juventus (fem) x Okzhetpes (fem)</t>
  </si>
  <si>
    <t>4X0</t>
  </si>
  <si>
    <t>São Gonçalo AH +1,5 - Botafogo Sub-20 x São Gonçalo Sub-20</t>
  </si>
  <si>
    <t>São Gonçalo AH +1,25 - Botafogo Sub-20 x São Gonçalo Sub-20</t>
  </si>
  <si>
    <t>SK Unicov AH +0,5 - SK Unicov x MFK Karvina</t>
  </si>
  <si>
    <t>Athleta AH +0,5 - Amis Du Monde (fem) x Athleta FC Togo (fem)</t>
  </si>
  <si>
    <t>Paynesville AH +0,75 - BEA Mountain FC x Paynesville</t>
  </si>
  <si>
    <t>Khad AH +0,5 - Khad (fem) x Kharaatsai (fem)</t>
  </si>
  <si>
    <t>Under 8,25 - Khad (fem) x Kharaatsai (fem)</t>
  </si>
  <si>
    <t>1x6</t>
  </si>
  <si>
    <t>Para São Domingos marcar 3º gol - Desp. Aliança Sub-20 x São Domingos Sub-20</t>
  </si>
  <si>
    <t>0x2</t>
  </si>
  <si>
    <t>FK Jaromer AH +0,25 - FK Jaromer x TJ Dobruska</t>
  </si>
  <si>
    <t>FK Jaromer DNB - FK Jaromer x TJ Dobruska (cash)</t>
  </si>
  <si>
    <t>SV Lebring AH +0,75 - SV Tillmitsch x SV Lebring</t>
  </si>
  <si>
    <t>FC Wilmersdorf AH +1,0 - SC Staaken x 1. FC Wilmersdorf</t>
  </si>
  <si>
    <t>Mendiola AH +1,0 - Stallion Laguna FC x Mendiola FC</t>
  </si>
  <si>
    <t>Ha Noi DNB - Phong Phu Ha Nam Sub-19 (fem) x Ha Noi Sub-19 (fem)</t>
  </si>
  <si>
    <t>Ha Noi AH +0,25 - Phong Phu Ha Nam Sub-19 (fem) x Ha Noi Sub-19 (fem)</t>
  </si>
  <si>
    <t>Herbania AH +0,5 - Panaderia Pulido x CD Herbania</t>
  </si>
  <si>
    <t>Under 3,25 - Apollon Limassol (fem) x FC Samegrelo (fem)</t>
  </si>
  <si>
    <t>Vitoria AH 0 - Vitoria SC (fem) x FC Romariz (fem)</t>
  </si>
  <si>
    <t>FC Baar AH +0,5 - AS Gambarogno Women x FC Baar Women</t>
  </si>
  <si>
    <t>Para AA São Mateus marcar 2º gol - AA São Mateus x Jaguares ES</t>
  </si>
  <si>
    <t>Under 0,5 - Luv Graz (fem) x Kleinmunchen/Blau-Weiss Linz (fem)</t>
  </si>
  <si>
    <t>TOGB AH -0,5 - Baronie x TOGB</t>
  </si>
  <si>
    <t>ALG Spor DNB - Trabzonspor (fem) x ALG Spor (fem)</t>
  </si>
  <si>
    <t>Under 12,0 cantos - Luv Graz (fem) x Kleinmunchen/Blau-Weiss Linz (fem)</t>
  </si>
  <si>
    <t>Under 6,5 - Luv Graz (fem) x Kleinmunchen/Blau-Weiss Linz (fem)</t>
  </si>
  <si>
    <t>0x6</t>
  </si>
  <si>
    <t>US Albenga ML - Borgosesia x US Albenga</t>
  </si>
  <si>
    <t>AS Cagnes - sim - AS Cagnes-Le Cros x ES Fosseenne</t>
  </si>
  <si>
    <t>Under 6,0 cantos - Uzbequistão Sub-23 x Irã Sub-23</t>
  </si>
  <si>
    <t>Uhlenhorster ML - Uhlenhorster SC Paloma x SV Rugenbergen</t>
  </si>
  <si>
    <t>Maldon AH +0,75 - Bowers Pitsea x Maldon &amp; Tiptree FC</t>
  </si>
  <si>
    <t>Hapoel Ironi DNB - Maccabi Ahi Nazareth x Hapoel Ironi Baqa Al Gharbiyye</t>
  </si>
  <si>
    <t>Under 1,5 HT - NK Omladinac Gornja Vrba x Hajduk Split</t>
  </si>
  <si>
    <t>0x1</t>
  </si>
  <si>
    <t>Tempete AH 0 - Tempete (fem) x US Amou (fem)</t>
  </si>
  <si>
    <t>Univ de Chile AH 0 - Univ de Concepcion Sub-21 x Univ de Chile Sub-21</t>
  </si>
  <si>
    <t>Over 11,0 cantos - Bragantino x Grêmio</t>
  </si>
  <si>
    <t>Over 11,0 cantos - Palmeiras x Goiás</t>
  </si>
  <si>
    <t>Dupla - Over 11 escanteios</t>
  </si>
  <si>
    <t xml:space="preserve">Cantos+ </t>
  </si>
  <si>
    <t>US Souf AH 0 - US Souf Sub-21 x CR Belouizdad Sub-21</t>
  </si>
  <si>
    <t>Epitsentr AH +0,25 - Prykarpattya Ivano-Frankivsk x Epitsentr Kamianets-Podilskyi</t>
  </si>
  <si>
    <t>Bayer Leverkusen AH +1,0 - Bayern Munchen x Bayer Leverkusen</t>
  </si>
  <si>
    <t>Ahrobiznes AH 0 - Bukovyna Chernivtsi x Ahrobiznes Volochysk</t>
  </si>
  <si>
    <t>Albion AH 0 - Rentistas Sub-19 x Albion FC Sub-19</t>
  </si>
  <si>
    <t>Umm Salal AH +0,25 - Al-Rayyan SC x Umm Salal</t>
  </si>
  <si>
    <t>NK Nafta AH +1,0 - NK Nafta 1903 Sub-19 x Olimpija Ljubljana Sub-19</t>
  </si>
  <si>
    <t>CS Lotus AH +0,25 - CS Minaur Baia Mare x CS Lotus Baile Felix</t>
  </si>
  <si>
    <t>Sutjeska AH +0,5 - BSK Banja Luka x Sutjeska Foca</t>
  </si>
  <si>
    <t>Para Sutjeska marcar 2º gol - BSK Banja Luka x Sutjeska Foca</t>
  </si>
  <si>
    <t>Omonia Aradippou DNB - Omonia Aradippou x Omonia 29is Maiou</t>
  </si>
  <si>
    <t>Global AH +0,5 - Global Pharma x Mighty Barrolle</t>
  </si>
  <si>
    <t>Global AH +0,25 - Global Pharma x Mighty Barrolle</t>
  </si>
  <si>
    <t>Para Global marcar 2º gol - Global Pharma x Mighty Barrolle</t>
  </si>
  <si>
    <t xml:space="preserve">AS Pompier AH +0,25 - AS Pompier x ACS Ksar </t>
  </si>
  <si>
    <t>Eintracht AH 0 - Eintracht Frankfurt II x Stuttgarter Kickers</t>
  </si>
  <si>
    <t>Ardagger DNB - Neusiedl x Ardagger/Viehdorf</t>
  </si>
  <si>
    <t>Young Boys AH 0 - FC Thun Sub-19 x Young Boys Sub-19</t>
  </si>
  <si>
    <t>Estoril AH +0,5 - Estoril (fem) x Amora (fem)</t>
  </si>
  <si>
    <t>Pattaya AH +0,5 - Chiang Mai FC x Pattaya Dolphins Utd</t>
  </si>
  <si>
    <t>TSV 1860 AH +0,25 - FC Deisenhofen x TSV 1860 Munique II</t>
  </si>
  <si>
    <t>Under 3,5 - FC Trinity Zlin Sub-19 x Slavia Praga Sub-19</t>
  </si>
  <si>
    <t>Under 10,5 cantos - IFK Gotemburgo x Brommapojkarna</t>
  </si>
  <si>
    <t>Manisa AH 0 - Manisa FK Sub-19 x Pendikspor Sub-19</t>
  </si>
  <si>
    <t>Darajani AH 0 - Rainbow FC x Darajani Gogo</t>
  </si>
  <si>
    <t>Para Cosmos marcar 1º gol - FC Karbach x Cosmos Koblenz</t>
  </si>
  <si>
    <t>AD Sanjoanense AH +0,25 - Valadares Gaia FC Sub-19 x AD Sanjoanense Sub-19</t>
  </si>
  <si>
    <t>St Gallen AH +0,25 - Breitenrain x St Gallen II</t>
  </si>
  <si>
    <t>Para St Gallen marcar 1º gol - Breitenrain x St Gallen II</t>
  </si>
  <si>
    <t>Under 1,5 - ESMTK x MOL Fehervar FC</t>
  </si>
  <si>
    <t>Gulf AH +0,5 - Gulf United FC x Dibba Al Hisn</t>
  </si>
  <si>
    <t>Para Gulf marcar 2º gol - Gulf United FC x Dibba Al Hisn</t>
  </si>
  <si>
    <t>Under 2,25 - Louletano Sub-19 x Amora FC U19</t>
  </si>
  <si>
    <t>Amarante AH +0,25 - União Nogueirense Sub-19 x Amarante U19</t>
  </si>
  <si>
    <t>Gwarek AH +0,25 - MKS Kluczbork x Gwarek Tarnowskie Gory</t>
  </si>
  <si>
    <t>Over 10,0 cantos - Djurgarden x IFK Varnamo</t>
  </si>
  <si>
    <t>Bofoakwa AH +0,5 - Great Olympics x Bofoakwa Tano</t>
  </si>
  <si>
    <t>Para Bofoakwa marcar o 1º gol - Great Olympics x Bofoakwa Tano</t>
  </si>
  <si>
    <t>Xerez AH +0,75 - Xerez CD Sub-19 x Marbella FC Sub-19</t>
  </si>
  <si>
    <t>Para Xerez marcar 1º gol - Xerez CD Sub-19 x Marbella FC Sub-19</t>
  </si>
  <si>
    <t xml:space="preserve"> Guiniguada AH +0,25 - CD Juan Grande (fem) x CD Guiniguada Apolinário (fem)</t>
  </si>
  <si>
    <t>Over 0,75 - Banfield (fem) x Lanus (fem)</t>
  </si>
  <si>
    <t>x</t>
  </si>
  <si>
    <t>UR Cadima AH 0 - Lusitânia Lourosa (fem) x UR Cadima (fem)</t>
  </si>
  <si>
    <t>Valtti AH +0,75 - Valtti Sub-20 x HIFK Sub-20</t>
  </si>
  <si>
    <t>Para Valtti marcar 5º gol - Valtti Sub-20 x HIFK Sub-20</t>
  </si>
  <si>
    <t>2x2</t>
  </si>
  <si>
    <t>CF Alhendin AH +0,5 - Calavera CF Sub-19 x CF Alhendin Balompie Sub-19</t>
  </si>
  <si>
    <t>CF Alhendin AH 0 - Calavera CF Sub-19 x CF Alhendin Balompie Sub-19</t>
  </si>
  <si>
    <t>CF Alhendin AH +0,25 - Calavera CF Sub-19 x CF Alhendin Balompie Sub-19</t>
  </si>
  <si>
    <t>UD Montijo AH 0 - UD Montijo x Navalcarnero</t>
  </si>
  <si>
    <t>Chanthaburi AH +0,25 - Suphanburi FC x Chanthaburi FC</t>
  </si>
  <si>
    <t>SV Halstenbek AH +0,75 - SV Halstenbek-Rellingen x TSV Sasel</t>
  </si>
  <si>
    <t>Amiens AH 0 - FC Chambly Oise Sub-19 x Amiens Sub-19</t>
  </si>
  <si>
    <t>Flamengo AH -1,5 cantos - Flamengo x São Paulo</t>
  </si>
  <si>
    <t>LA Rams ML - LA Rams x CIN Bengals</t>
  </si>
  <si>
    <t>Under 6,5 - Sheff Utd Sub-21 x Fleetwood Towm Sub-21</t>
  </si>
  <si>
    <t>6x0</t>
  </si>
  <si>
    <t>Porthmadog AH +1,75 HT - The New Saints x Porthmadog</t>
  </si>
  <si>
    <t xml:space="preserve">Felixstowe AH 0 - Felixstowe &amp; Walton Utd x Bowers &amp; Pitsea </t>
  </si>
  <si>
    <t>Over 1,0 HT - Man City x Crvena Zvezda</t>
  </si>
  <si>
    <t>Fortaleza AH +0,25 - São Paulo x Fortaleza</t>
  </si>
  <si>
    <t>Under 2,5 - CS Municipal Lugoj x Millenium Giarmata</t>
  </si>
  <si>
    <t>BTTS - AlbinoLeffe x Pro Patria</t>
  </si>
  <si>
    <t>Santa Tecla AH +0,5 - CD Platense - Reservas x Santa Tecla - Reservas</t>
  </si>
  <si>
    <t>Tiller AH 0 - Tiller Sub-19 x Ranheim TF Sub-19</t>
  </si>
  <si>
    <t>Under 4,5 - Líbano (fem) x Butão (fem)</t>
  </si>
  <si>
    <t>Inglaterra AH 0 HT - Noruega Sub-23 (fem) x Inglaterra Sub-23 (fem)</t>
  </si>
  <si>
    <t>SV Kuchl AH -0,75 - SV Kuchl x Seekirchen</t>
  </si>
  <si>
    <t xml:space="preserve">Dupla - SV Kuchl ML x Inglaterra DNB </t>
  </si>
  <si>
    <t>Inglaterra AH 0 - Noruega Sub-23 (fem) x Inglaterra Sub-23 (fem)</t>
  </si>
  <si>
    <t>Inglaterra 1º gol - Noruega Sub-23 (fem) x Inglaterra Sub-23 (fem)</t>
  </si>
  <si>
    <t>Grorud AH +0,5 - Grorud sub19 x Ready sub19</t>
  </si>
  <si>
    <t>Rudar AH 0 - NK Rudar Velenje sub19 x NK Krka sub19</t>
  </si>
  <si>
    <t>Over 2,25 - Vasco x Coritiba</t>
  </si>
  <si>
    <t xml:space="preserve">Over 3,5 Vasco - Vasco x Coritiba </t>
  </si>
  <si>
    <t>Under 10,5 cantos - Ponte Preta x Mirassol</t>
  </si>
  <si>
    <t>Bukovyna AH +0,25 - FC Podillya Khmelnytskyi x Bukovyna Chernivtsi</t>
  </si>
  <si>
    <t>Telaviv AH +0,5 - Rukinzo FC x Telaviv FC</t>
  </si>
  <si>
    <t xml:space="preserve">Para Telaviv marcar 1º gol - Rukinzo FC x Telaviv FC </t>
  </si>
  <si>
    <t>Obolon DNB - Obolon Kyiv x FC Veres Rivne</t>
  </si>
  <si>
    <t>Luxemburgo AH +0,5 - Lituânia (fem) x Luxemburgo (fem)</t>
  </si>
  <si>
    <t>Para Luxemburgo marcar 3º gol - Lituânia (fem) x Luxemburgo (fem)</t>
  </si>
  <si>
    <t>Atlético San Luis AH 0 - Atlético San Luis Sub-23 x Mazatlan FC Sub-23</t>
  </si>
  <si>
    <t>SC Bruck DNB - SC Bruck an der Mur x UFC Fehring</t>
  </si>
  <si>
    <t>Zulte AH 0 - Zulte-Waregem x Deinze</t>
  </si>
  <si>
    <t>Altona AH +0,75 - TuS Dassendorf x Altona 93</t>
  </si>
  <si>
    <t>Over 11,0 cantos - Sport Recife x Londrina</t>
  </si>
  <si>
    <t>TSV Bordesholm AH 0 - TSV Bordesholm x Weiche Flensburg 08 ll</t>
  </si>
  <si>
    <t>Macedônia - Over 1,5 - Macedônia do Norte U19 (f) x República Tcheca U19 (f)</t>
  </si>
  <si>
    <t>1x3</t>
  </si>
  <si>
    <t>Amasyaspor DNB - Amasyaspor FC x Anadolu Universitesi</t>
  </si>
  <si>
    <t>Turgutluspor AH +0,5 - Turgutluspor x Elazigspor</t>
  </si>
  <si>
    <t>Bent Jbeil AH +0,25 - Nahda Barelias x Bent Jbeil</t>
  </si>
  <si>
    <t>Para Bent marcar 1º gol - Nahda Barelias x Bent Jbeil</t>
  </si>
  <si>
    <t>Under 2,25 - Marines FC x APR FC</t>
  </si>
  <si>
    <t>Over 0,5 - Amasyaspor FK x Anadolu Universitesi</t>
  </si>
  <si>
    <t>Nevsehir AH 0 - Nevsehir Belediyespor x Balikesirspor</t>
  </si>
  <si>
    <t>Efeler AH 0 - Sapanca Genclikspor x Efeler 09</t>
  </si>
  <si>
    <t>Pau DNB - Pau II x Anglet Genets</t>
  </si>
  <si>
    <t>Dupla - CSO Plopeni + ACS Olimpic</t>
  </si>
  <si>
    <t>Empate ou Differdange - F91 Dudelange x FC 03 Differdange</t>
  </si>
  <si>
    <t>Luxemburgo</t>
  </si>
  <si>
    <t>CD Firgas AH +0,5 - CD Tarsa (fem) x CD Firgas (fem)</t>
  </si>
  <si>
    <t>Para Firgas marcar 3º gol - CD Tarsa (fem) x CD Firgas (fem)</t>
  </si>
  <si>
    <t>Cacereño AH +0,5 - Valencia B (fem) x Cacereño B (fem)</t>
  </si>
  <si>
    <t>Ortmann AH 0 - SC Ortmann x Wiener Neustadt</t>
  </si>
  <si>
    <t>Frejus DNB - Frejus x Cannes</t>
  </si>
  <si>
    <t>Over 1,5 - UT Petange x CS Fola Esch</t>
  </si>
  <si>
    <t>Jonnu Smith - Over 11,5 jardas de recepção - ATL Falcons x DET Lions</t>
  </si>
  <si>
    <t>Brian Robinson - Over 54,5 jardas de corrida - BUF Bills x WAS Commanders</t>
  </si>
  <si>
    <t>Marvin Harrison - marcar touchdown qlql momento - Ohio State x Notre Dame</t>
  </si>
  <si>
    <t>Criada - Jaylen Warren - PIT Steelers x LV Raiders</t>
  </si>
  <si>
    <t>Under 9,5 - Cimarrones de Sonora FC III x Tecate FC</t>
  </si>
  <si>
    <t>HB Koge AH +0,25 - HB Koge II (fem) x B73 Slagelse (fem)</t>
  </si>
  <si>
    <t>Coimbra AH +0,75 - Coimbra EC Sub-20 x América Mineiro Sub-20</t>
  </si>
  <si>
    <t>Bangladesh AH +0,5 - China Sub-23 x Bangladesh Sub-23</t>
  </si>
  <si>
    <t>SV Rugenbergen AH +0,25 - TSV Buchholz 08 x SV Rugenbergen</t>
  </si>
  <si>
    <t>Varese AH +0,75 - Varese x ASD Alcione</t>
  </si>
  <si>
    <t>Varese DNB - Varese x ASD Alcione</t>
  </si>
  <si>
    <t>Pars Neu AH 0 - JSK Rodgau x SV Neu-Isenburg</t>
  </si>
  <si>
    <t>América MG AH +2,0 - América MG (fem) x Cruzeiro (fem)</t>
  </si>
  <si>
    <t>Aris AH +0,25 - Thiella Sarakinon x Aris Avatou</t>
  </si>
  <si>
    <t>Ischia DNB - Sarrabus Ogliastra x Ischia</t>
  </si>
  <si>
    <t>Flamengo AH 0 cartões - São Paulo x Flamengo</t>
  </si>
  <si>
    <t>Utiel AH +0,25 - UD Castelonense x Utiel</t>
  </si>
  <si>
    <t>Under 26,5 finalizações - Sao Paulo x Flamengo</t>
  </si>
  <si>
    <t>Finaliz</t>
  </si>
  <si>
    <t>Para Utiel marcar 1º gol - UD Castellonense x Utiel</t>
  </si>
  <si>
    <t>FC Elva AH +0,75 - Viimsi JK (fem) x FC Elva (fem)</t>
  </si>
  <si>
    <t>Para Elva marcar 3º gol - Viimsi JK (fem) x FC Elva (fem)</t>
  </si>
  <si>
    <t>FC Elva AH +0,5 - Viimsi JK (fem) x FC Elva (fem)</t>
  </si>
  <si>
    <t>Para Bielorrússia marcar 4º gol - Rep. Tcheca (fem) x Bielorrússia (fem)</t>
  </si>
  <si>
    <t>2x1</t>
  </si>
  <si>
    <t>FC Monheim DNB - FC Monheim x VFB Homberg</t>
  </si>
  <si>
    <t>FC Monheim AH +0,25 - FC Monheim x VFB Homberg</t>
  </si>
  <si>
    <t>Uganda AH +1,0 - Argélia (fem) x Uganda (fem)</t>
  </si>
  <si>
    <t>HamKam AH +0,5 - HamKam Sub-19 x Fredrikstad FK Sub-19</t>
  </si>
  <si>
    <t>Corinthians AH -0,5 cantos - Corinthians x Fortaleza</t>
  </si>
  <si>
    <t>HC-</t>
  </si>
  <si>
    <t>Ngome AH 0 - Maendeleo FC x Ngome FC</t>
  </si>
  <si>
    <t xml:space="preserve">Coritiba AH +3,5 - cantos - São Paulo x Coritiba </t>
  </si>
  <si>
    <t>Hutteen AH +0,5 - Al Futowa x Hutteen</t>
  </si>
  <si>
    <t>Para Hutteen marcar 2º gol - Al Futowa x Hutteen</t>
  </si>
  <si>
    <t>Lokom. Devinska AH +0,25 - Lokom. Devinska Nova Ves x FC Rohoznik</t>
  </si>
  <si>
    <t>Lokom. Devinska DNB - Lokom. Devinska Nova Ves x FC Rohoznik</t>
  </si>
  <si>
    <t>SFK Holesov AH +0,25 - FC Vsetin x SFK Holesov</t>
  </si>
  <si>
    <t>Para SFK Holesov marcar 3º gol - FC Vsetin x SFK Holesov</t>
  </si>
  <si>
    <t>1x1</t>
  </si>
  <si>
    <t>Cagliari AH +0,5 - Cagliari x AC Milan</t>
  </si>
  <si>
    <t>Beitar Petah AH 0 - Beitar Petah Tikva x Hapoel Kiryat Ono</t>
  </si>
  <si>
    <t>América RJ AH 0 - América RJ x Olaria</t>
  </si>
  <si>
    <t xml:space="preserve">SE Penya AH 0 - AD San Juan x SE Penya Independent </t>
  </si>
  <si>
    <t>Under 5,5 - Tacuary (fem) x Cerro Porteño (fem)</t>
  </si>
  <si>
    <t>Paraguay</t>
  </si>
  <si>
    <t>FK Prelouc AH +0,5 - FK Prelouc x Ceska Trebova</t>
  </si>
  <si>
    <t>FK Prelouc DNB - FK Prelouc x Ceska Trebova</t>
  </si>
  <si>
    <t>JK Trans ML - JK Trans Narva II x JK Nomme Kalju II</t>
  </si>
  <si>
    <t>Cartaya AH +0,5 - Cartaya x Córdoba B</t>
  </si>
  <si>
    <t>Para Cartaya marcar 1º gol - Cartaya x Córdoba B</t>
  </si>
  <si>
    <t>Marvin Jones - Under 15,5 jardas de recepção - DET Lions x GB Packers</t>
  </si>
  <si>
    <t>Under 4,5 - ASKO Mittlern x St Veit</t>
  </si>
  <si>
    <t>FFV Sportfreunde AH +1,0 - Rot Weiss Walldorf II x FFV Sportfreunde 04 (cash)</t>
  </si>
  <si>
    <t>Giannina AH +0,5 - Giannina Sub-19 x Olympiakos Sub-19</t>
  </si>
  <si>
    <t>Valmiera AH +0,5 - Rigas FS II x Valmiera FC II</t>
  </si>
  <si>
    <t>NEC AH +0,5 - SC Villa x NEC FC Bugolobi</t>
  </si>
  <si>
    <t>Valmiera AH 0 - Rigas FS II x Valmiera FC II</t>
  </si>
  <si>
    <t>FC Zlinsko AH 0 - SC Znojmo x FC Zlinsko</t>
  </si>
  <si>
    <t>Hard Rock AH 0 - Hard Rock SC x Jamhuri</t>
  </si>
  <si>
    <t>CD Muxes DNB - Club Atlético San Juan de Aragón II x CD Muxes</t>
  </si>
  <si>
    <t>SV Oberachern AH +0,25 - FC Nottingen x SV Oberachern</t>
  </si>
  <si>
    <t>Para VfR Gommersdorf marcar 2º gol - FC Zuzenhausen x VfR Gommersdorf</t>
  </si>
  <si>
    <t>VfB Lubeck AH +1,75 - SV Todesfelde x VfB Lubeck II</t>
  </si>
  <si>
    <t>SSVg Velbert AH 0 - SSVg Velbert x Wuppertaler</t>
  </si>
  <si>
    <t>Mighty AH +0,5 - LISCR FC x Mighty Barrolle</t>
  </si>
  <si>
    <t>Para Mighty marcar 2º gol - LISCR FC x Mighty Barrolle</t>
  </si>
  <si>
    <t>Kids Sport AH +0,25 - Kids Sport Sub-19 x Grupul Scolar Agricol Sub-19</t>
  </si>
  <si>
    <t>PAOK AH 0 - Panathinaikos Sub-19 x PAOK Salonika Sub-19</t>
  </si>
  <si>
    <t>Under 3,25 - Platinum x Dynamos FC</t>
  </si>
  <si>
    <t>Under 2,5 - Platinum x Dynamos FC</t>
  </si>
  <si>
    <t>Under 0,5 - Platinum x Dynamos FC</t>
  </si>
  <si>
    <t>Apollon +0,25 - Apollon Smyrnis x Proodeftiki</t>
  </si>
  <si>
    <t>Apollon DNB - Apollon Smyrnis x Proodeftiki</t>
  </si>
  <si>
    <t>1º gol Apollon - Apollon Smyrnis x Proodeftiki</t>
  </si>
  <si>
    <t>Troyes DNB - Troyes sub-19 x US Orleans</t>
  </si>
  <si>
    <t>Hoogeveen DNB - VV Eemdijk x Hoogeveen</t>
  </si>
  <si>
    <t>Hoogeveen AH 0 - VV Eemdijk x Hoogeveen</t>
  </si>
  <si>
    <t>Akhaa  AH +0,25 - Shabab Baalbak x Al Akhaa Al Ahli</t>
  </si>
  <si>
    <t>Otrant AH 0 -  Otrant Ulcinj x OFK Igalo</t>
  </si>
  <si>
    <t>Odessa DNB - Chernomorets Odessa x Zorya</t>
  </si>
  <si>
    <t>Ejido AH +0,75 - Torre del Mar x El Ejido</t>
  </si>
  <si>
    <t>Over 0,5 - Yeclano x CD San Roque de Lepe</t>
  </si>
  <si>
    <t>Sant Gabriel AH 0 - Sant Gabriel - Feminino x Stadium Casablanca</t>
  </si>
  <si>
    <t>Over 0,5 - Chernomorets Odessa x Zorya</t>
  </si>
  <si>
    <t>PAEEK AH 0 - Ayia Napa x PAEEK</t>
  </si>
  <si>
    <t>Under 11,0 cantos - Coritiba x Athletico Paranaense</t>
  </si>
  <si>
    <t>Over 10,5 cantos - Cruzeiro x América Mineiro</t>
  </si>
  <si>
    <t>Khalil Herbert (DEN)  - Over 8,5 jardas recepção - BEN Broncos x Chi Bears</t>
  </si>
  <si>
    <t>Dupla - Devon Over 36,5 + Raheem Over 50,5 MIA Dolphins x BUF Bills</t>
  </si>
  <si>
    <t>Chris Olave - Over 73,5 jardas recepção - TB Buccaneers x NO Saints</t>
  </si>
  <si>
    <t>D'Andre Swift - Over 66,5 jardas corrida - WAS Commanders x PHI Eagles</t>
  </si>
  <si>
    <t>Adam Thielen - Over 4,5 recepções - MIN Vikings x CAR Panthers</t>
  </si>
  <si>
    <t>Santutxu ML - UDC Txantrea Sub-19 x Santutxu Sub19</t>
  </si>
  <si>
    <t>Ranero AH +0,25 - UCAM Murcia Sub-19 x Ranero Sub-19</t>
  </si>
  <si>
    <t>Hellas AH +0,25 - Marko x Hellas Syrou</t>
  </si>
  <si>
    <t>Para Hellas marcar 1º gol - Marko x Hellas Syrou</t>
  </si>
  <si>
    <t>Amasyaspor DNB - 1954 Kelkit Belediyespor x Amasyaspor FK</t>
  </si>
  <si>
    <t>FK Qabala DNB - FK Kapaz x FK Qabala</t>
  </si>
  <si>
    <t>Ethiopia AH +0,5 - Adama City x Ethiopia Nigd Bank</t>
  </si>
  <si>
    <t>Para Ethiopia marcar 1º gol - Adama City x Ethiopia Nigd Bank</t>
  </si>
  <si>
    <t>Batman DNB - Elazigspor x Batman Petrolspor</t>
  </si>
  <si>
    <t>Pinn Ev</t>
  </si>
  <si>
    <t>Panionios DNB - Aris Petroupolis x Panionios</t>
  </si>
  <si>
    <t>Para Luanda marcar 2º gol - Rainbow FC x Luanda Villa SC</t>
  </si>
  <si>
    <t>Tut Ankh AH +1,0 - Wadi Degla (fem) x Tut Ankh Amun (fem)</t>
  </si>
  <si>
    <t>Empate ou Tut Ankh - Wadi Degla (fem) x Tut Ankh Amun (fem)</t>
  </si>
  <si>
    <t>Diegem AH 0 HT - Diegem Sport x K Lyra-Lierse Berlaar</t>
  </si>
  <si>
    <t>Dupla - Wolverhampton AH +0,25 + Liverpool Feds AH +0,5</t>
  </si>
  <si>
    <t>Coritiba AH 0 - Londrina Sub-20 x Coritiba Sub-20</t>
  </si>
  <si>
    <t>AFC Fylde AH -0,25 - Notts County (fem) x AFC Fylde (fem)</t>
  </si>
  <si>
    <t>Beyoglu AH 0 - Beyoglu Yeni Carsi FK x Bursaspor</t>
  </si>
  <si>
    <t>Para Beyoglu marcar 2º gol - Beyoglu Yeni Carsi FK x Bursaspor</t>
  </si>
  <si>
    <t>Over 2,0 - Coritiba x Athletico Paranaense</t>
  </si>
  <si>
    <t>Nacional Sucre AH +0,5 - Hiska Nacional x Nacional Sucre</t>
  </si>
  <si>
    <t>Renate AH 0 - Lumezzane x Renate</t>
  </si>
  <si>
    <t>Arsenal ML - Lens x Arsenal</t>
  </si>
  <si>
    <t>Simba Bhora AH 0 - Cranborne Bullets FC x FC Simba Bhora</t>
  </si>
  <si>
    <t>Zimbabué</t>
  </si>
  <si>
    <t>NK Krsko AH +0,5 - NK Sampion Celje x NK Krsko</t>
  </si>
  <si>
    <t>NK Krsko AH +0,25 - NK Sampion Celje x NK Krsko</t>
  </si>
  <si>
    <t>Union Berlin AH -1,5 cantos - Union Berlin x SC Braga</t>
  </si>
  <si>
    <t>Under 0,5 - Hakoah Amidar Ramat Gan x Sporting Club Tel Aviv</t>
  </si>
  <si>
    <t>Sektzia AH 0 HT - Hapoel Kfar Shalem U19 x Sektzia Nes Tziona Sub-19</t>
  </si>
  <si>
    <t>Rionegro AH +0,5 - E.D.P IND. Medellin x Rionegro Aguilas - Reservas</t>
  </si>
  <si>
    <t>Triestina DNB - Virtus Verona x Triestina</t>
  </si>
  <si>
    <t>Para Rionegro marcar 1º gol - E.D.P IND. Medellin x Rionegro Aguilas - Reservas</t>
  </si>
  <si>
    <t>Over 10,5 cantos - Mirassol x Londrina</t>
  </si>
  <si>
    <t>Malawi AH 0 - África do Sul (fem) x Malawi (fem)</t>
  </si>
  <si>
    <t>AO Chaidari AH +0,25 - Almyros Gaziou x AO Chaidari</t>
  </si>
  <si>
    <t>Veria AH +0,5 - Thiella Sarakinon x Veria NFC</t>
  </si>
  <si>
    <t>Aris AH 0 - Aris Avatou x Thermaikos Thermis</t>
  </si>
  <si>
    <t>FK Laktasi AH 0 - FK Laktasi x FK Zvijezda 09</t>
  </si>
  <si>
    <t>APEJES AH +0,5 - Fovu de Baham x APEJES Academy</t>
  </si>
  <si>
    <t>Under 2,75 - Coimbra EC Sub-20 x Cruzeiro Sub-20</t>
  </si>
  <si>
    <t>Young Boys AH +0,5 - Servette FC Chenois Women x Young Boys (fem)</t>
  </si>
  <si>
    <t>Under 9,5 cantos - RB Leipzig x Man City</t>
  </si>
  <si>
    <t>Union Adarve AH +0,25 - CF Talavera x Union Adarve</t>
  </si>
  <si>
    <t>Bodo/Glimt AH 0 cantos - Bodo/Glimt x Club Brugge</t>
  </si>
  <si>
    <t>Mtibwa AH 0 - Mtibwa Sugar x Singida Big Stars FC</t>
  </si>
  <si>
    <t>MC Oran ou empate - MC Oran Sub-21 x NC Magra Sub-21</t>
  </si>
  <si>
    <t>Hapoel Raanana AH +0,25 - Hapoel Raanana (fem) x Hapoel Jerusalem (fem)</t>
  </si>
  <si>
    <t>Under 3,5 - Grorud Sub-19 x Skeid Sub-19</t>
  </si>
  <si>
    <t>Para Oppsal marcar 3º gol - Oppsal IF Sub-19 x Asker Sub-19</t>
  </si>
  <si>
    <t>Palmeiras ML - Palmeiras x Boca Juniors</t>
  </si>
  <si>
    <t>Liverpool AH 0 - Liverpool Montevideo Sub-19 x Albion FC Sub-19</t>
  </si>
  <si>
    <t>Perak AH 0 - Perak II x Kedah II</t>
  </si>
  <si>
    <t>Mafunzo AH +0,25 - JKU FC x Mafunzo FC</t>
  </si>
  <si>
    <t>Empoli AH 0 cantos - Empoli x Udinese</t>
  </si>
  <si>
    <t>Pitea AH +0,25 - Linkopings FC (fem) x Pitea IF (fem)</t>
  </si>
  <si>
    <t>AS Pompier AH +0,5 - AS Pompier x AS Garde Nationale</t>
  </si>
  <si>
    <t>AS Pompier AH +0,25 - AS Pompier x AS Garde Nationale</t>
  </si>
  <si>
    <t>Para AS Pompier marcar 2º gol - AS Pompier x AS Garde Nationale</t>
  </si>
  <si>
    <t>Arsenal DNB - Man Utd (fem) x Arsenal (fem)</t>
  </si>
  <si>
    <t>Kecskemeti AH +0,5 - Szombathelyi Haladas Sub-19 x Kecskemeti TE Sub-19</t>
  </si>
  <si>
    <t>Para Kecskemeti marcar 1º gol -  Szombathelyi Haladas U19 x Kecskemeti TE U19</t>
  </si>
  <si>
    <t>Over 0,75 HT - Luton x Tottenham</t>
  </si>
  <si>
    <t>Over HT</t>
  </si>
  <si>
    <t>UD Logrones AH 0 - Leioa Sub-19 x UD Logrones Sub-19</t>
  </si>
  <si>
    <t xml:space="preserve">Para Ilisiakos marcar 2º gol - Panionios x Ilisiakos </t>
  </si>
  <si>
    <t xml:space="preserve">Ilisiakos AH +1,5 - Panionios x Ilisiakos </t>
  </si>
  <si>
    <t>Over 9,0 cantos - Inter Milan x Bolonha</t>
  </si>
  <si>
    <t>Over 2,0 - Luton x Tottenham</t>
  </si>
  <si>
    <t>Wormatia AH 0 - Wormatia Worms x Pirmasens</t>
  </si>
  <si>
    <t>STK Samorin AH +0,25 - MSK Zilina B x STK Samorin</t>
  </si>
  <si>
    <t>Bastia AH +0,5 - US Lusitanos Saint-Maur x Bastia II</t>
  </si>
  <si>
    <t>Para Bastia marcar 1º gol - US Lusitanos Saint-Maur x Bastia II</t>
  </si>
  <si>
    <t>MC El Eulma AH +1,5 - AS Khroub x MC El Eulma</t>
  </si>
  <si>
    <t xml:space="preserve">Over 10,0 cantos - Sampaio Corrêa x Novorizontino </t>
  </si>
  <si>
    <t>Adam Thielen (CAR) - Over 4,5 recepções - CAR Panthers x DET Lions</t>
  </si>
  <si>
    <t>Devon Achane (MIA) - Over 50,5 jardas de corrida - NY Giants x MIA Dolphins</t>
  </si>
  <si>
    <t>Under 2,5 - Coritiba Sub-20 x Londrina Sub-20</t>
  </si>
  <si>
    <t>AC Milan AH -0,5 cantos - Genoa x AC Milan</t>
  </si>
  <si>
    <t>Anderlecht AH +0,25 - Anderlecht II (fem) x Moldavo (fem)</t>
  </si>
  <si>
    <t>Over 10,5 cantos - Athletico Paranaense x Bragantino</t>
  </si>
  <si>
    <t>Brighton AH 0 cantos - Brighton (fem) x West Ham (fem)</t>
  </si>
  <si>
    <t>UDG Tenerife AH +0,25 - Levante B (fem) x UDG Tenerife Sur II (fem)</t>
  </si>
  <si>
    <t>Casertana ML - Monterosi Tuscia x Casertana</t>
  </si>
  <si>
    <t>FK Teplice ML - FK Teplice (fem) x Dukla Praha (fem)</t>
  </si>
  <si>
    <t>AC d'Escaldes AH +0,25 - Inter Club d'Escaldes x AC d'Escaldes</t>
  </si>
  <si>
    <t>Para AC d'Escaldes marcar 2º gol - Inter Club d'Escaldes x AC d'Escaldes</t>
  </si>
  <si>
    <t>IPM WFC AH +0,5 - Apaer WFC (fem) x IPM WFC (fem)</t>
  </si>
  <si>
    <t>SC Grobinas AH 0 - SC Grobinas x Skanstes SK</t>
  </si>
  <si>
    <t>Rainbow AH +0,25 - Mombasa Elite x Rainbow FC</t>
  </si>
  <si>
    <t>Express AH +0,25 - KCCA x Express FC</t>
  </si>
  <si>
    <t>Over 4,25 - Brighton x Liverpool</t>
  </si>
  <si>
    <t>SC Schwaz DNB - SC Schwaz x SCR Altach II</t>
  </si>
  <si>
    <t>Salgotarjani AH 0 - Salgotarjani BTC x Karcagi SE</t>
  </si>
  <si>
    <t>Arsenal - Over 2,5 chutes ao gol - Arsenal x Man City</t>
  </si>
  <si>
    <t>New City AH 0 - Jamhuri x New City FC</t>
  </si>
  <si>
    <t>Molino AH 0 HT - Rionegro Aguilas - Reservas x Molino Veijo</t>
  </si>
  <si>
    <t>Al Rustaq AH 0 - Al Rustaq x Al-Nasr Salalah</t>
  </si>
  <si>
    <t>Under 6,5 - TJ Spissky Stiavnik x FC Kosice</t>
  </si>
  <si>
    <t>Under 6,25 - TJ Spissky Stiavnik x FC Kosice</t>
  </si>
  <si>
    <t>ASD Pomigliano AH 0 - ASD Pomigliano (fem) x Sampdoria (fem)</t>
  </si>
  <si>
    <t>Under 5,5 - TJ Spissky Stiavnik x FC Kosice</t>
  </si>
  <si>
    <t>Marbella AH +0,5 - Real Betis Sub-19 x Marbella FC Sub-19</t>
  </si>
  <si>
    <t>Itália AH -0,25 - Sérvia Sub-19 x Itália Sub-19</t>
  </si>
  <si>
    <t>Etoile AH 0 - Rayon Sports x Etoile de L'Est</t>
  </si>
  <si>
    <t>SK Brann AH 0 - Glasgow City (fem) SK Brann (fem)</t>
  </si>
  <si>
    <t>York AH +0,25 - Doncaster Rovers (fem) x York (fem)</t>
  </si>
  <si>
    <t>Vila Rica AH +2,75 - Vila Rica PA Sub-20 x Paysandú Sub-20</t>
  </si>
  <si>
    <t>Young Elephant AH +0,5 - Young Elephant FC x Blacks Power</t>
  </si>
  <si>
    <t>Brasil AH -2,25 - Brasil x Venezuela</t>
  </si>
  <si>
    <t>Uganda AH 0 - Lugazi Municipal FC x Uganda Police FC</t>
  </si>
  <si>
    <t>Under 2,75 - Países Baixos Sub-19 x Suíça Sub-19</t>
  </si>
  <si>
    <t xml:space="preserve">Quirguistão AH +0,5 - Bahrain x Quirguistão </t>
  </si>
  <si>
    <t>DJK Adler AH 0 - DJK Adler Union Frintrop x VfB Speldorf</t>
  </si>
  <si>
    <t>CA Colegiales AH 0 HT - Acassuso Sub-20 x CA Colegiales Sub-20</t>
  </si>
  <si>
    <t>FC Pucioasa AH +1,25 - FC Pucioasa x SC Popesti Leordeni</t>
  </si>
  <si>
    <t>Para FC Pucioasa marcar 1º gol - FC Pucioasa x SC Popesti Leordeni</t>
  </si>
  <si>
    <t>Under 10,0 cantos - Escócia Sub-21 x Hungria Sub-21</t>
  </si>
  <si>
    <t>Kima AH 0 - Shoban Moslemen Qena x Kima Aswan</t>
  </si>
  <si>
    <t>HB Chelghoum AH +0,5 - JS Bordj Menaiel x HB Chelghoum Laid</t>
  </si>
  <si>
    <t>JSM Tiaret AH 0 - ESM Kolea x JSM Tiaret</t>
  </si>
  <si>
    <t>Gendarmerie AH +1,0 - AS Djibouti Telecom x CF Gendarmerie Nationale</t>
  </si>
  <si>
    <t>Julian Love (SEA) - Over 5,5 assistência - SEA Seahawks x CIN Bengals</t>
  </si>
  <si>
    <t xml:space="preserve">Over 10 -,0 cantos - Criciúma x Chapecoense </t>
  </si>
  <si>
    <t>Western Sydney AH +0,25 - Sydney FC (fem) x Western Sydney Wanderers (fem)</t>
  </si>
  <si>
    <t>Elpides AH +0,5 - Elpides Karditsas (fem) x AO Rea (fem)</t>
  </si>
  <si>
    <t>Para Sundby marcar 4º gol - Sundby BK (fem) x Naestved HG (fem)</t>
  </si>
  <si>
    <t>NK Osijek AH 0 - Vukovar 1991 x NK Osijek</t>
  </si>
  <si>
    <t>CSJ Stiinta AH -0,25 - CSJ Stiinta U Craiova Sub-19 x CSS Craiova Sub-19</t>
  </si>
  <si>
    <t>CSJ Stiinta AH -0,5 - CSJ Stiinta U Craiova Sub-19 x CSS Craiova Sub-19</t>
  </si>
  <si>
    <t>Over 11,0 cantos - Irlanda do Norte x San Marino</t>
  </si>
  <si>
    <t>EURO</t>
  </si>
  <si>
    <t>Over 8,5 cantos - Rosenborg (fem) x Stabaek (fem)</t>
  </si>
  <si>
    <t>Fluminense AH 0 - Botafogo Sub-20 x Fluminense Sub-20</t>
  </si>
  <si>
    <t>Under 2,5 - Sparta Praga (fem) x Slovacko (fem)</t>
  </si>
  <si>
    <t>ASD Sporting AH +1,5 - Fano Sub-19 x ASD Sporting Trestina U19</t>
  </si>
  <si>
    <t>Para ASD Sporting marcar 1º gol - Fano Sub-19 x ASD Sporting Trestina U19</t>
  </si>
  <si>
    <t>UMS de Loum AH 0 - UMS de Loum x Fovu de Baham</t>
  </si>
  <si>
    <t>Young Boys AH 0 HT - Young Boys II x FC Paradiso</t>
  </si>
  <si>
    <t>Siroki AH +0,25 - NK Varazdin x Siroki Brijeg</t>
  </si>
  <si>
    <t>Real Sociedad AH 0 - Real Sociedad II (fem) x Balears FC (fem)</t>
  </si>
  <si>
    <t>UD Santa Marta AH +0,5 - Atletico Astorga x UD Santa Marta</t>
  </si>
  <si>
    <t>Para KOZAF marcar 1º gol - KOZAF x ASEC Koudougou</t>
  </si>
  <si>
    <t>Aliaga AH 0 - 52 Orduspor FK x Aliaga Futbol AS</t>
  </si>
  <si>
    <t>BUF Bills - Over 3,5 sacks - NY Giants x BUF Bills</t>
  </si>
  <si>
    <t>Over 1,75 - Cuiabá EC x Cruzeiro</t>
  </si>
  <si>
    <t>Puerto Nuevo AH +0,75 - Defensa y Justicia (fem) x Puerto Nuevo (fem)</t>
  </si>
  <si>
    <t>Para Puerto marcar 3º gol - Defensa y Justicia (fem) x Puerto Nuevo (fem)</t>
  </si>
  <si>
    <t>Gwarek AH +0,25 - Rakow Czestochowa II x Gwarek Tarnowskie Gory</t>
  </si>
  <si>
    <t>Gwarek AH 0 - Rakow Czestochowa II x Gwarek Tarnowskie Gory</t>
  </si>
  <si>
    <t>BTTS - Debreceni VSC II x REAC</t>
  </si>
  <si>
    <t>Sebat AH 0 - Sebat Genclikspor x Cankaya FK</t>
  </si>
  <si>
    <t>Under 1,5 - Orlando Pirates SC x Eeshoke Chulachula FC</t>
  </si>
  <si>
    <t>Namíbia</t>
  </si>
  <si>
    <t>NS Mura AH +0,5 - NS Mura Sub-19 x NK Maribor Sub-19</t>
  </si>
  <si>
    <t>Para Skanland marcar 6º gol - KFUM 2 x Skanland</t>
  </si>
  <si>
    <t>FK Bokelj AH 0 - FK Iskra Danilovgrad x FK Bokelj</t>
  </si>
  <si>
    <t>San Marcos AH 0 - CD Juventud La Joya x San Marcos FC</t>
  </si>
  <si>
    <t>Al Tall AH 0 - Al Tall x Al Mohafza</t>
  </si>
  <si>
    <t>Butão AH +0,5 - Butão x Hong Kong</t>
  </si>
  <si>
    <t>Para Butão marcar 3º gol - Butão x Hong Kong</t>
  </si>
  <si>
    <t>Peterborough AH 0 - Peterborough Sub-21 x Burnley Sub-21</t>
  </si>
  <si>
    <t>Finlândia AH +0,75 - Romênia Sub-21 x Finlândia Sub-21</t>
  </si>
  <si>
    <t>Under 5,25 - Gibraltar Sub-21 x Países Baixos Sub-21</t>
  </si>
  <si>
    <t>Sportunion AH +0,75 - Sportunion Schonbrunn x SC Mannsworth</t>
  </si>
  <si>
    <t>Under 4,5 - Roma (fem) x Vorskla Poltava (fem)</t>
  </si>
  <si>
    <t>Cynthialbalonga AH 0 - Real Monterotondo x Cynthialbalonga</t>
  </si>
  <si>
    <t>Ngezi AH 0 - Dynamos FC x Ngezi Platinum FC</t>
  </si>
  <si>
    <t>Under 14,0 cantos - Vera Cruz x 1 de Maio FC</t>
  </si>
  <si>
    <t>Internacional AH +2,0 cantos - Bahia x Internacional</t>
  </si>
  <si>
    <t>Botafogo DNB - América Mineiro x Botafogo</t>
  </si>
  <si>
    <t>Mamelodi AH 0 - TS Galaxy x Mamelodi Sundowns</t>
  </si>
  <si>
    <t>Over 7,5 cantos - Bahia x Internacional</t>
  </si>
  <si>
    <t>Over 11,0 cantos - Cruzeiro x Flamengo</t>
  </si>
  <si>
    <t>Calvin Ridley (JAX) - Under 53,5 jardas de recepção - JAX Jaguars x NO Saints</t>
  </si>
  <si>
    <t>Bulawayo AH 0 - Cranborne Bullets FC x Bulawayo Chiefs FC</t>
  </si>
  <si>
    <t>FC Bahnhof AH +0,75 - FC Bahnhof Favoriten x LAC Inter</t>
  </si>
  <si>
    <t>FC Bahnhof AH +0,5 - FC Bahnhof Favoriten x LAC Inter</t>
  </si>
  <si>
    <t>SV Eilendorf AH +0,5 - SV Eilendorf x Teutonia Weiden</t>
  </si>
  <si>
    <t>Skeid AH 0 - Lillehammer Sub-19 x Skeid Sub-19</t>
  </si>
  <si>
    <t>CS Phoenix AH 0 - CS Phoenix Buzias x CS Soimii Lipova</t>
  </si>
  <si>
    <t>AFC Vointa AH +0,5 - Ghiroda SI Giarmata VII x AFC Vointa Lupac</t>
  </si>
  <si>
    <t>Under 5,5 - Ghiroda SI Giarmata VII x AFC Vointa Lupac</t>
  </si>
  <si>
    <t>Obolon AH +0,5 - Obolon Kyiv x Zorya</t>
  </si>
  <si>
    <t>KCCA AH 0 - Kitara FC x KCCA</t>
  </si>
  <si>
    <t>Havadar AH +1,75 - Esteghlal Tehran x Havadar SC</t>
  </si>
  <si>
    <t>NS Mura AH 0 HT - FC Koper Sub-19 x NS Mura Sub-19</t>
  </si>
  <si>
    <t>NS Mura AH 0 - FC Koper Sub-19 x NS Mura Sub-19</t>
  </si>
  <si>
    <t>Omonia Aradippou AH 0 - Asil Lysis x Omonia Aradippou</t>
  </si>
  <si>
    <t>BTTS - ASAC Concorde x ASC Entou</t>
  </si>
  <si>
    <t>Telstar AH 0 - Telstar (fem) x Excelsior (fem)</t>
  </si>
  <si>
    <t>1860 Munique AH 0 HT - Greuther Furth Sub-19 x 1860 Munique Sub-19</t>
  </si>
  <si>
    <t>OFI Crete AH 0 - AE Kifisias Sub-19 x OFI Crete Sub-19</t>
  </si>
  <si>
    <t>Konkola AH +0,25 - Zanaco FC x Konkola Blades</t>
  </si>
  <si>
    <t>B36 Torshavn AH +0,25 - FC Hoyvik x B36 Torshavn II</t>
  </si>
  <si>
    <t>Greuther AH 0 - Greuther Furth Sub-19 x 1860 Munique Sub-19</t>
  </si>
  <si>
    <t>FC Brno AH 0 - Sparta de Praga Sub-19 x FC Brno Sub-19</t>
  </si>
  <si>
    <t>PO Achyronas AH 0 - PO Xylotympou 2006 x PO Achyronas Onisilos</t>
  </si>
  <si>
    <t>Lidkopings AH 0 HT - Lidkopings FC (fem) x Gamla Upsala SK (fem)</t>
  </si>
  <si>
    <t>Renate AH 0 HT - Renate Sub-19 x Sudtirol Sub-19</t>
  </si>
  <si>
    <t>NK Tosk AH +0,25 - Bratstvo Gracanica x NK Tosk Tesanj</t>
  </si>
  <si>
    <t>Para NK Tosk marcar 5º gol - Bratstvo Gracanica x NK Tosk Tesanj</t>
  </si>
  <si>
    <t>Akritas AH 0 - Ermis Aradippou x Akritas Chlorakas</t>
  </si>
  <si>
    <t xml:space="preserve">St Philbert DNB - St Philbert de Grandlieu x Ussa Vertou </t>
  </si>
  <si>
    <t>NK Bravo AH 0 - Tabor Sezana Sub-19 x NK Bravo Sub-19</t>
  </si>
  <si>
    <t>SC Leiria AH +0,5 - SC Leiria e Marrazes Sub-19 x Tondela Sub-19</t>
  </si>
  <si>
    <t>Marske AH 0 - Atherton Collieres x Marske United</t>
  </si>
  <si>
    <t>Marske AH 0 - Atherton Collieries x Marske United</t>
  </si>
  <si>
    <t>SC Espinho +0,75 - União Nogueirense sub19 x SC Espinho sub19</t>
  </si>
  <si>
    <t>Under 3,5 - União Nogueirense sub19 x SC Espinho sub19</t>
  </si>
  <si>
    <t>Strasbourg AH 0 - Strasbourg Koenigshoffen x Reims II</t>
  </si>
  <si>
    <t>Sporting Club DNB - Sporting Club Toulon x Grasse</t>
  </si>
  <si>
    <t>Plaza AH +0,75 - Fundación Albacete B (fem) x Plaza Argel (fem)</t>
  </si>
  <si>
    <t>Union Sur DNB - CD Buzanada x Union Sur Yaiza</t>
  </si>
  <si>
    <t>Adana AH 0 - Cankaya FK x Adana 1954 FK</t>
  </si>
  <si>
    <t>Over 10,5 cantos - Botafogo de Ribeirão Preto x Novorizontino</t>
  </si>
  <si>
    <t>Over 11,0 cantos - Bragantino x Fluminense</t>
  </si>
  <si>
    <t>Nakhon AH 0 - Nakhon Ratchasima x Chiang Mai FC</t>
  </si>
  <si>
    <t>Tiffy DNB - Naga World FC x Tiffy Army FC</t>
  </si>
  <si>
    <t>AC Bobigny AH 0 - AC Bobigny U19 x US Orleans Sub-19</t>
  </si>
  <si>
    <t>Thyella AH 0 - Thyella Katsikas x AE Kileler</t>
  </si>
  <si>
    <t>Union Neumunster AH +0,5 - SV Todesfelde x Union Neumunster</t>
  </si>
  <si>
    <t>Olimpija AH 0 - Olimpija Ljubljana Sub-19 x NK Brinje Grosuplje Sub-19</t>
  </si>
  <si>
    <t>Anadolu AH 0 - Ergene Velimese Spor x Anadolu Universitesi</t>
  </si>
  <si>
    <t>SV Meppen AH +0,25 - Eintracht Celle x SV Meppen II</t>
  </si>
  <si>
    <t>SG Finnentrop AH +0,25 - Eintracht Rheine x SG Finnentrop/Bamenohl</t>
  </si>
  <si>
    <t>Boroughmuir AH 0 - Glasgow Girls (fem) x Boroughmuir Thistle (fem)</t>
  </si>
  <si>
    <t>Aston Villa AH -1,5 cantos - Aston Villa x West Ham</t>
  </si>
  <si>
    <t>Katsina AH +0,25 - Heartland FC x Katsina Utd</t>
  </si>
  <si>
    <t>U.S. Ancona AH +0,25 - Rimini x U.S. Ancona</t>
  </si>
  <si>
    <t>Union Douala AH +0,25 - Canon de Yaounde x Union Douala</t>
  </si>
  <si>
    <t>Para Union Douala marcar 1º gol - Canon de Yaounde x Union Douala</t>
  </si>
  <si>
    <t>Tarnovia AH +0,25 - Wiara Lecha Poznan x Tarnovia Tarnowo Podgorne</t>
  </si>
  <si>
    <t>Over 1,75 - Coritiba x Palmeiras</t>
  </si>
  <si>
    <t>Under 10,5 cantos - Ponte Preta x Ituano</t>
  </si>
  <si>
    <t>BUL AH 0 HT - SC Villa x BUL FC</t>
  </si>
  <si>
    <t>Jamhuri AH 0 - Jamhuri x Zimamoto SC</t>
  </si>
  <si>
    <t xml:space="preserve">Perdendo por 1 </t>
  </si>
  <si>
    <t>Al-Bukayriyah AH 0 - Al-Bukayriyah FC x Al Qaisoma</t>
  </si>
  <si>
    <t>Zurrieq AH 0 HT - Melita FC Saint Julian x Zurrieq FC</t>
  </si>
  <si>
    <t>Zurrieq AH 0 - Melita FC Saint Julian x Zurrieq FC</t>
  </si>
  <si>
    <t>Deutschlandsberger AH 0 HT - Deutschlandsberger SC x SV Allerheiligen</t>
  </si>
  <si>
    <t>SC Kalksburg AH +1,5 HT - SC Ostbahn XI x SC Kalksburg/Rodaun</t>
  </si>
  <si>
    <t>SC Kalksburg AH +3,25 - SC Ostbahn XI x SC Kalksburg/Rodaun</t>
  </si>
  <si>
    <t>Under 11,0 cantos - Dundee x Ross County</t>
  </si>
  <si>
    <t>Pinn ev</t>
  </si>
  <si>
    <t xml:space="preserve">Under 10,5 - Elite Wien x Red Star Penzing </t>
  </si>
  <si>
    <t>Under 10,5 cantos - Elite Wien x Red Star Penzing</t>
  </si>
  <si>
    <t>Under 10,5 cantos - SC Ostbahn XI x SC Kalksburg/Rodaun</t>
  </si>
  <si>
    <t>AaB AH +0,5 - FC Nordsjaelland Sub-19 x AaB Sub-19</t>
  </si>
  <si>
    <t>Para AaB marcar 4º gol - FC Nordsjaelland Sub-19 x AaB Sub-19</t>
  </si>
  <si>
    <t>Over 2,5 - Wakiso Giants FC x Kitara FC</t>
  </si>
  <si>
    <t>CO Korhogo AH + 0,25 - AFAD Djekanou x CO Korhogo</t>
  </si>
  <si>
    <t>Over 11,0 cantos - Cruzeiro x Bahia</t>
  </si>
  <si>
    <t>Palmeiras AH -1,5 cantos - Palmeiras x São Paulo</t>
  </si>
  <si>
    <t>Over 10,5 cantos - Bragantino x Atlético Mineiro</t>
  </si>
  <si>
    <t>Malmo AH +0,5 - HJK Helsinki Sub-19 x Malmo FF Sub-19</t>
  </si>
  <si>
    <t>NK Maribor AH +1,5 - Mainz Sub-19 x NK Maribor Sub-19</t>
  </si>
  <si>
    <t>CSD Comunicaciones AH +0,5 - CSD Municipal - Reservas x CSD Comunic. - Res</t>
  </si>
  <si>
    <t>Para CSD Comunicaciones 5º gol - CSD Municipal x CSD Comunicaciones</t>
  </si>
  <si>
    <t>CSD Comunicaciones AH +0,25 - CSD Municipal - Reservas x CSD Comunic. - Res</t>
  </si>
  <si>
    <t>Nussdorfer AH -0,25 HT - RSV Marianum x Nussdorfer AC</t>
  </si>
  <si>
    <t>AH- HT</t>
  </si>
  <si>
    <t>Schwarz Weiss AH +1,5 - Schwarz Weiss Alstaden x SSVg Velbert</t>
  </si>
  <si>
    <t>Schwarz Weiss AH +1,5 - Schwarz Weiss Alstaden x SSVg Velbert (cash)</t>
  </si>
  <si>
    <t>RSV Marianum AH +0,5 - RSV Marianum x Nussdorfer AC</t>
  </si>
  <si>
    <t>Uganda AH +0,75 - Uganda (fem) x Camarões (fem)</t>
  </si>
  <si>
    <t>Under 16,0 cantos - Austrália (fem) x Irã (fem)</t>
  </si>
  <si>
    <t>Amanat AH 0 - Amanat Baghdad x Al Qasim SC</t>
  </si>
  <si>
    <t>El Shams AH 0 - El Shams x Mustaqbal Sport</t>
  </si>
  <si>
    <t>Under 3,5 - ASV St. Martin an der Raab x SPG Edelserpentin</t>
  </si>
  <si>
    <t>Para Wacker marcar 6º gol - SC Wacker Vienna x FC Stadlau</t>
  </si>
  <si>
    <t>Wacker AH +1,0 - SC Wacker Vienna x FC Stadlau</t>
  </si>
  <si>
    <t>Rakow AH 0 - Rakow Czestochowa x Sporting</t>
  </si>
  <si>
    <t>Under 10,5 cantos - Santos x Coritiba</t>
  </si>
  <si>
    <t>Under 3,5 - Attard x Pieta Hotspurs</t>
  </si>
  <si>
    <t>Over 3,0 - Santos x Curitiba</t>
  </si>
  <si>
    <t>Tanzania Prisons AH +0,25 - KMC FC x Tanzania Prisons</t>
  </si>
  <si>
    <t>Para Tanzania Prisons marcar 2º gol  - KMC FC x Tanzania Prisons</t>
  </si>
  <si>
    <t>Sem Gol EC Futgol sub 20 x CA Serranense sub 20</t>
  </si>
  <si>
    <t>SG</t>
  </si>
  <si>
    <t xml:space="preserve">Red Star Defence Force AH +0,25 - St. Louis Suns Utd x Red Star Defence Force </t>
  </si>
  <si>
    <t xml:space="preserve">Para Red Star marcar 3º gol  - St. Louis Suns Utd x Red Star Defence Force </t>
  </si>
  <si>
    <t>Portugal AH 0 HT - Áustria (fem) x Portugal (fem)</t>
  </si>
  <si>
    <t>Sporting San Jose ML - Muncipal Liberia Sub-21 x Sporting San Jose Sub-21</t>
  </si>
  <si>
    <t>FS Napajedla AH +0,25 - Luhacovice x FS Napajedla</t>
  </si>
  <si>
    <t>Omonia 29is Maiou AH 0 - Omonia 29is Maiou x Enosis Paralimni</t>
  </si>
  <si>
    <t>Under 11,5 cantos - Greuther Furth x VfL Osnabruck</t>
  </si>
  <si>
    <t>SV Bad Leonfelden AH +0,25 - Union Edelweiss x SV Bad Leonfelden</t>
  </si>
  <si>
    <t>Para SV Bad marcar 2º gol - Union Edelweiss x SV Bad Leonfelden</t>
  </si>
  <si>
    <t>Over 10,5 cantos - Ceará x Sport</t>
  </si>
  <si>
    <t>Ita AH +0,5 - Ita Mbong - (fem) x Louves Minproff W</t>
  </si>
  <si>
    <t xml:space="preserve"> Malisheva AH 0 - Fushe Kosova v KF Malisheva</t>
  </si>
  <si>
    <t>Ita AH +0,25 - Ita Mbong - Feminino x Louves Minproff W</t>
  </si>
  <si>
    <t>Ita 2º gol - Ita Mbong - Feminino x Louves Minproff W</t>
  </si>
  <si>
    <t>Epitsentr AH 0 - Nyva Ternopil v Epitsentr Kamianets-Podilskyi</t>
  </si>
  <si>
    <t>Khonkaen AH +0,5 -Mahasarakham SBT FC x Khonkaen</t>
  </si>
  <si>
    <t>Khonkaen NG -Mahasarakham SBT FC x Khonkaen</t>
  </si>
  <si>
    <t>Zurique  DNB -Team Ticino Sub-19 x FC Zurique Sub-19</t>
  </si>
  <si>
    <t>Alanya AH 0 - Catalca Spor v Alanya Kestelspor</t>
  </si>
  <si>
    <t>Brno AH +0,25 - Dosta Bystrc-Kninicky v MS Brno</t>
  </si>
  <si>
    <t>AS Stiinta AH 0 - AS Stiinta Miroslava v Bucovina Radauti</t>
  </si>
  <si>
    <t>Stuttgart AH 0 - VfR Aalen x VfB Stuttgart II</t>
  </si>
  <si>
    <t>Paredes AH 0 - USC Paredes x SC São João de Ver</t>
  </si>
  <si>
    <t>Zorya AH 0 - Zorya x Polissya Zhytomyr</t>
  </si>
  <si>
    <t>Hannover AH 0 - Arminia Hannover x Eintracht Celle</t>
  </si>
  <si>
    <t>Ceuta AH +0,5 - CD Utrera x AD Ceuta FC B</t>
  </si>
  <si>
    <t>Paraguai NG - México - Feminino v Paraguai - Feminino</t>
  </si>
  <si>
    <t>Paraguai ML - México - Feminino v Paraguai - Feminino</t>
  </si>
  <si>
    <t>Bechern AH 0 HT - Bechem Sport x K Lyra-Lierse Berlaar</t>
  </si>
  <si>
    <t>Atlético Mineiro DNB - Atlético Mineiro (fem) x América MG (fem)</t>
  </si>
  <si>
    <t>Atlético Mineiro AH 0 - Atlético Mineiro (fem) x América MG (fem)</t>
  </si>
  <si>
    <t>Eqilibrado</t>
  </si>
  <si>
    <t>Thyella AH +0,5 - Hellas Syrou x Thyella Rafinas</t>
  </si>
  <si>
    <t>Ayamonte AH 0 - Coria CF x Ayamonte</t>
  </si>
  <si>
    <t>Ayamonte DNB - Coria CF x Ayamonte</t>
  </si>
  <si>
    <t>Coria - não - sem sofrer gol - Coria CF x Ayamonte</t>
  </si>
  <si>
    <t>Real Union AH 0 - Cacereño B (fem) x Real Union de Tenerife (fem)</t>
  </si>
  <si>
    <t>UD San Fernando DNB - Gimnastica Segoviana x UD San Fernando</t>
  </si>
  <si>
    <t>Gimnastiva - não - sem sofrer gol - Gimnastica Segoviana x UD San Fernando</t>
  </si>
  <si>
    <t>Over 2,75 - Kibera Black Stars x Luanda Villa SC</t>
  </si>
  <si>
    <t>Santutxu AH 0 - AD San Juan Sub-19 x Santutxu Sub-19</t>
  </si>
  <si>
    <t>Dunaújváros AH +0,5 - Erdi VSE x Dunaújváros PASE</t>
  </si>
  <si>
    <t>Under 2,5 - Las Palmas Sub-19 x CD Julio Suarez Sub-19</t>
  </si>
  <si>
    <t>III Keruleti AH 0 - III Keruleti TVE x Veszprem FC</t>
  </si>
  <si>
    <t>Apollon AH 0 - Thiella Sarakinon x Apollon Paralimnou</t>
  </si>
  <si>
    <t>Kaaro AH +0,5 - Kaaro Karungi FC x Blacks Power</t>
  </si>
  <si>
    <t>Josh Downs (IND) Jardas de corrida e recepção - NO Saints x IND Colts</t>
  </si>
  <si>
    <t>ESC Geestemunde AH 0 - Union 60 Bremen x ESC Geestemunde</t>
  </si>
  <si>
    <t>Viistante</t>
  </si>
  <si>
    <t xml:space="preserve">Over 2,25 - Goiás x Vasco da Gama </t>
  </si>
  <si>
    <t>TuS Ennepetal AH 0 - Wattenscheid 09 x TuS Ennepetal</t>
  </si>
  <si>
    <t>TuS Ennepetal DNB - Wattenscheid 09 x TuS Ennepetal</t>
  </si>
  <si>
    <t>Kaaro AH 0 - Kaaro Karungi FC x Blacks Power</t>
  </si>
  <si>
    <t>Over 4,0 - Internacional x Coritiba</t>
  </si>
  <si>
    <t>Under 4,5 - Genclerbirligi x Burdur MAKU</t>
  </si>
  <si>
    <t>Under 12,0 cantos -  Genclerbirligi x Burdur MAKU</t>
  </si>
  <si>
    <t>Mbarara AH 0 - Mbarara City x Bright Stars</t>
  </si>
  <si>
    <t>Áustria AH +0,25 - Áustria Sub-19 (fem) x Dinamarca Sub-19 (fem)</t>
  </si>
  <si>
    <t>FC Oberneuland AH +0,75 - FC Oberneuland x SV Hemelingen</t>
  </si>
  <si>
    <t>ASM Oran AH 0 - ASM Oran Sub-21 x WA Mostaganem Sub-21</t>
  </si>
  <si>
    <t>Tatran AH 0 - TJ Novy Jicin x Tatran Vsechovice</t>
  </si>
  <si>
    <t>NG Persekat 3º gol - Deltras Sidoarjo x Persekat Kabupaten Tegal</t>
  </si>
  <si>
    <t>Bahla AH +0,5 - Bahla x Ibri Club</t>
  </si>
  <si>
    <t>Kastoria AH +0,25 - AE Kileler x Kastoria</t>
  </si>
  <si>
    <t>Ilisiakos AH +0,25 - Ilisiakos x Ethnikos Piraeus</t>
  </si>
  <si>
    <t>Rupel Boom AH 0 HT - Rupel Boom FC x KFC Wezel</t>
  </si>
  <si>
    <t>Ranheim AH +0,5 - Ranheim x Hodd</t>
  </si>
  <si>
    <t>Durham AH +0,5 - AFC Fylde (fem) x Durham Cestria (fem)</t>
  </si>
  <si>
    <t>Hodd ML - Ranheim x Hodd</t>
  </si>
  <si>
    <t>Namlha AH +2,25 - Namlha FC x BFF Academy Sub-19</t>
  </si>
  <si>
    <t>Namlha AH +2,0 - Namlha FC x BFF Academy Sub-19</t>
  </si>
  <si>
    <t>Namlha ML - Namlha FC x BFF Academy Sub-19</t>
  </si>
  <si>
    <t>Mafunzo AH 0 HT - Mafunzo FC x Jamhuri</t>
  </si>
  <si>
    <t>Zimbabué DNB - Ruanda x Zimbabué</t>
  </si>
  <si>
    <t>University of Pretoria AH +0,25 - Univ of Petoria (fem) x Univ of Western Cape (fem)</t>
  </si>
  <si>
    <t>Under 11,5 cantos - Inglaterra Sub-19 x Romênia Sub-19</t>
  </si>
  <si>
    <t xml:space="preserve">Lorentzweiler AH 0 HT - FC Mamer 32 x Lorentzweiler </t>
  </si>
  <si>
    <t>FK Zeleziarne AH 0 - FK Zeleziarne Podbrezova Sub-19 x FC Petrzalka Sub-19</t>
  </si>
  <si>
    <t>Booma AH +0,25 - Blacks Power x Booma FC</t>
  </si>
  <si>
    <t>MC Khenchela AH 0 - MC Oran Sub-21 x USM Khenchela Sub-21</t>
  </si>
  <si>
    <t>Lugazi AH 0 - Kiyinda Boys x Lugazi Municipal FC</t>
  </si>
  <si>
    <t>Under 8,5 - ZFK Zora Spuz (fem) x ZFK Ekonomist (fem)</t>
  </si>
  <si>
    <t>Under 2,5 - SK Hranice x Slovacko B</t>
  </si>
  <si>
    <t>Paquistão AH +3,5 - Arábia Saudita x Paquistão</t>
  </si>
  <si>
    <t>Brasil DNB - Colômbia x Brasil</t>
  </si>
  <si>
    <t>FC Vresina AH +0,5 - FC IRP Cesky Tesin x FC Vresina</t>
  </si>
  <si>
    <t>Al-Masry AH +0,25 - Maadi &amp; Yacht Club (fem) x Al-Masry Women</t>
  </si>
  <si>
    <t>Al-Masry AH 0 HT - Maadi &amp; Yacht Club (fem) x Al-Masry Women</t>
  </si>
  <si>
    <t>ACS Medias DNB - ACS Targu Mures 1898 x ACS Medias 2022</t>
  </si>
  <si>
    <t>ACS Medias AH 0 - ACS Targu Mures 1898 x ACS Medias 2022</t>
  </si>
  <si>
    <t>FC Wacker AH +4,25 - St Gallen x FC Wacker Innsbruck</t>
  </si>
  <si>
    <t>FC Wacker AH +3,75 - St Gallen x FC Wacker Innsbruck</t>
  </si>
  <si>
    <t>Sektzia AH 0 - Hapoel Rishon Lezion x Sektzia Nes Tziona</t>
  </si>
  <si>
    <t>Zimamoto AH 0 - KVZ SC x Zimamoto SC</t>
  </si>
  <si>
    <t>Bombada AH +0,5 - Fortune FC x Bombada FC</t>
  </si>
  <si>
    <t>NG Bombada 2º gol - Fortune FC x Bombada FC</t>
  </si>
  <si>
    <t>Aparecidense AH 0 - Aragoiania Sub-20 x Aparecidense Sub-20</t>
  </si>
  <si>
    <t>Over 0,75 - Wacker Burghausen x Ansbach</t>
  </si>
  <si>
    <t>CS Sinandrei AH +0,5 - CS Sinandrei Carani x CS Timisul Sag</t>
  </si>
  <si>
    <t>Ranong AH +0,25 - MH Nakhonsi x Ranong United</t>
  </si>
  <si>
    <t>Under 7,5 - CS Victoria Zabrani x ACS Victoria Felnac</t>
  </si>
  <si>
    <t>Gao AH +0,5 - Vikings-Paly One x Gao Da Guoguang</t>
  </si>
  <si>
    <t>Taiwan</t>
  </si>
  <si>
    <t>Barcelona AH 0 - Dep La Coruna (fem) x Barcelona B (fem)</t>
  </si>
  <si>
    <t>Sacavenense AH +1,0 - Nacional Sub-19 x Sacavenense Sub-19</t>
  </si>
  <si>
    <t>BE1 NFA AH +0,25 - BE1 NFA x FK Dziugas Telsiai</t>
  </si>
  <si>
    <t>MFK Ruzomberok AH 0 - Spartak Trnava (fem) x MFK Ruzomberok (fem)</t>
  </si>
  <si>
    <t>1954 Kelkit AH +0,25 - Karsiyaka x 1954 Kelkit Belediyespor</t>
  </si>
  <si>
    <t>1954 Kelkit AH 0 - Karsiyaka x 1954 Kelkit Belediyespor</t>
  </si>
  <si>
    <t>LKS 1926 AH 0 HT - Pilica Bialobrzegi x LKS 1926 Lomza</t>
  </si>
  <si>
    <t>LASK AH 0 HT - LASK Crvena Zvezda (fem) x ZFK Spartak Subotica (fem)</t>
  </si>
  <si>
    <t>CA Vila AH 0 HT - Independente PA Sub-20 x CA Vila Rica Sub-20</t>
  </si>
  <si>
    <t>CSO Plopeni AH 0 - CSO Plopeni x CS Dinamo Bucuresti</t>
  </si>
  <si>
    <t>Under 11,5 - Independente PA Sub-20 x CA Vila Rica Sub-20</t>
  </si>
  <si>
    <t>Primeiro AH 0 - GD Interclube x Primeiro de Agosto</t>
  </si>
  <si>
    <t>Biel Bienne AH +0,5 - Yverdon (fem) x Biel Bienne (fem)</t>
  </si>
  <si>
    <t>NG Juventude 2º gol - Clube Oriental Lisboa Sub-19 x Juventude Evora U19</t>
  </si>
  <si>
    <t>Racing Club AH +0,5 - ASEC Mimosas x Racing Club Abidjan</t>
  </si>
  <si>
    <t>HW Welders AH 0 - HW Welders x Ards</t>
  </si>
  <si>
    <t>RS Yoff AH +0,25 - Oslo FA x RS Yoff</t>
  </si>
  <si>
    <t>Barycz AH +0,5 - Barycz Sulow x Miedz Legnica II</t>
  </si>
  <si>
    <t>Under 10,5 - Wandsbeker TSV Concordia x TuS Dassendorf</t>
  </si>
  <si>
    <t>Under 12,5 cantos - Widzew Lodz x Ruch Chorzow</t>
  </si>
  <si>
    <t>Aviron AH 0 - Blagnac x Aviron Bayonnais</t>
  </si>
  <si>
    <t>Giresun AH +0,5 - Bagcilar Evrenspor (fem) x Giresun Sanayispor (fem)</t>
  </si>
  <si>
    <t>NG Giresun 2º gol - Bagcilar Evrenspor (fem) x Giresun Sanayispor (fem)</t>
  </si>
  <si>
    <t>Under 7,5 - Omonia Nicosia (fem) x Apollon Limassol (fem)</t>
  </si>
  <si>
    <t xml:space="preserve">Over 0,5 - Samut Sakhon City x Thonburi United FC </t>
  </si>
  <si>
    <t>Bizkerre AH 0 - Espanyol B (fem) x Bizkerre Women</t>
  </si>
  <si>
    <t>Metalurh AH 0 - Metalurh Zaporizhya x FSC Mariupol</t>
  </si>
  <si>
    <t>Tepecikspor AH +0,5 - Kusadasispor x Tepecikspor</t>
  </si>
  <si>
    <t>Castellon AH 0 - Athletic Torrellano x Castellon B</t>
  </si>
  <si>
    <t>Over 2,5 e sim ambos times - TSV Schott Mainz x FSV Frankfurt</t>
  </si>
  <si>
    <t>Silva AH 0 - Silva SD x Alondras</t>
  </si>
  <si>
    <t>Fortuna Hjorring AH 0 - Fortuna Hjorring (fem) x Brondby IF (fem)</t>
  </si>
  <si>
    <t>Agia AH +0,5 - Agia Paraskevi x Almyros Gaziou</t>
  </si>
  <si>
    <t>FC Schlieren AH +0,75 - FC Sion (fem) x FC Schlieren (fem)</t>
  </si>
  <si>
    <t>FC Schlieren AH +0,5 - FC Sion (fem) x FC Schlieren (fem)</t>
  </si>
  <si>
    <t>Thyella AH +0,75 - Korinthos x Thyella Rafinas</t>
  </si>
  <si>
    <t>Sohar AH 0 - Sohar Club x Al-Nahda</t>
  </si>
  <si>
    <t>Le Poire AH 0 - St Philbert de Grandlieu x Le Poire SV</t>
  </si>
  <si>
    <t>Le Mans AH 0 HT - Bordeaux Sub19 (fem) x Le Mans Sub-19 (fem)</t>
  </si>
  <si>
    <t>Aigle DNB - Bumamuru x Aigle Noir</t>
  </si>
  <si>
    <t>Finglas AH 0 - Finglas United x Carrigaline United</t>
  </si>
  <si>
    <t>ASV Schrems AH -0,5 - Kottingbrunn x ASV Schrems</t>
  </si>
  <si>
    <t>Samger AH 0 - Samger FC x Brikama United</t>
  </si>
  <si>
    <t>Rimini ML - Rimini x Trieste</t>
  </si>
  <si>
    <t>Over 0,5 - Motril x Almeria B</t>
  </si>
  <si>
    <t>Under 9,5 - Maziya SRC x United Victory</t>
  </si>
  <si>
    <t>Keur AH 0 - Keur Madior x ASC Wally Daan</t>
  </si>
  <si>
    <t>Arenas Armilla AH 0 - Arenas Armilla x Juventud Torremolinos CF</t>
  </si>
  <si>
    <t>Univ de Vinto AH +1,0 - The Strongest - Reservas x Universit de Vinto - Reservas</t>
  </si>
  <si>
    <t>Trindade AH +0,25 - Atlético Goianiense Sub-20 x Trindade Sub-20</t>
  </si>
  <si>
    <t>Jubilee AH +0,5 - Jubilee FC x Shaita FC</t>
  </si>
  <si>
    <t>Marquinhos - Over 0,5 faltas - Brasil x Argentina</t>
  </si>
  <si>
    <t>Falta+</t>
  </si>
  <si>
    <t>Global Pharma DNB - NPA Anchors x Global Pharma</t>
  </si>
  <si>
    <t>Global Pharma AH 0 - NPA Anchors x Global Pharma</t>
  </si>
  <si>
    <t>Paynesville AH 0 - Paynesville x Freeport</t>
  </si>
  <si>
    <t>Lamia AH +0,25 - Levadiakos x Lamia</t>
  </si>
  <si>
    <t>Zimamoto AH -0,25 - Zimamoto SC x Kundemba FC</t>
  </si>
  <si>
    <t>Villarreal AH -1,5 - Zamora FC x Villarreal</t>
  </si>
  <si>
    <t>Elite United AH 0 HT - Jarra West FC x Elite United</t>
  </si>
  <si>
    <t>Elite United AH 0 - Jarra West FC x Elite United</t>
  </si>
  <si>
    <t>Cordoba AH 0 - Xerez Deportivo FC Sub-19 x Cordoba Sub-19</t>
  </si>
  <si>
    <t>Dardania AH +0,25 - Dardania Lausanne x FC Chatel St Denis</t>
  </si>
  <si>
    <t>SV Rojava AH 0 HT - SV Rojava x SV Hirschstetten</t>
  </si>
  <si>
    <t>ZNK Radomlje AH +2,25 - ZNK Radomlje (fem) x Olimpija Ljubljana (fem)</t>
  </si>
  <si>
    <t>Al Dhaid AH +0,25 - Al Dhafra SCC x Al Dhaid</t>
  </si>
  <si>
    <t>David Montgomery (DET) Over 5,5 Jardas de Recepção - GB Packers x DET Lions</t>
  </si>
  <si>
    <t>ES Ben AH 0 - USM Khenchela Sub-21 x ES Ben Aknoun Sub-21</t>
  </si>
  <si>
    <t>URA AH 0 - Vipers x URA</t>
  </si>
  <si>
    <t>AS Denguele AH 0 - Stade d'Abidjan x AS Denguele</t>
  </si>
  <si>
    <t>Delphi AH +1,5 - Haras El Hedoud x Delphi SC</t>
  </si>
  <si>
    <t>Delphi AH +1,25 - Haras El Hedoud x Delphi SC</t>
  </si>
  <si>
    <t>CSO Plopeni AH -0,25 - FC Pucioasa x CSO Plopeni</t>
  </si>
  <si>
    <t>UPDF AH +0,25 - Arua Hill SC x UPDF FC</t>
  </si>
  <si>
    <t xml:space="preserve">Albion AH 0 - Albion FC x Uruguay Montevideo </t>
  </si>
  <si>
    <t>Uruguay</t>
  </si>
  <si>
    <t>Banjul DNB - Banjul United x Fortune FC</t>
  </si>
  <si>
    <t>AC Barracuda AH 0 - AC Barracuda x FC Espoir Tsevie</t>
  </si>
  <si>
    <t>Polissya AH +1,25 - Shakhtar Donetsk x Polissya Zhytomyr</t>
  </si>
  <si>
    <t>Bombada AH 0 - Bombada FC x Greater Tomorrow FC</t>
  </si>
  <si>
    <t>Zaglebie AH 0 - LKS Lodz x Zaglebie Lubin</t>
  </si>
  <si>
    <t>Under 3,5 HT - Werder Bremen II x BTS Neustadt</t>
  </si>
  <si>
    <t>Verl AH 0 - Waldhof Mannheim x Verl</t>
  </si>
  <si>
    <t>Hannover AH 0 HT - Hannover 96 Sub-19 x Union Berlin Sub-19</t>
  </si>
  <si>
    <t>Metalurh AH 0 HT - Dinaz Vyshgorod x Metalurh Zaporizhya</t>
  </si>
  <si>
    <t>Metalurh AH 0 - Dinaz Vyshgorod x Metalurh Zaporizhya</t>
  </si>
  <si>
    <t>Union Berlin AH +0,5 - Hannover 96 Sub-19 x Union Berlin Sub-19</t>
  </si>
  <si>
    <t>Union Berlin AH +0,25 - Hannover 96 Sub-19 x Union Berlin Sub-19</t>
  </si>
  <si>
    <t>AGF Aarhus AH 0 HT - Velje Sub-19 x AGF Aarhus Sub-19</t>
  </si>
  <si>
    <t>Oranienburger AH 0 HT - Oranienburger FC Eintracht x 1. FC Frankfurt</t>
  </si>
  <si>
    <t>Amazone AH +0,5 - Authentic de Douala (fem) x Amazone FAP (fem)</t>
  </si>
  <si>
    <t>Universitatea AH 0 - ACS Medias 2022 x Universitatea Alba Iulia</t>
  </si>
  <si>
    <t>AS Ariana AH +0,5 - AS Oued Ellil x AS Ariana</t>
  </si>
  <si>
    <t>Ita Mbong AH 0 - Eding Sport (fem) x Ita Mbong (fem)</t>
  </si>
  <si>
    <t>Grasshoppers AH +0,5 - FC Zurique Sub-19 x Grasshoppers Sub-19</t>
  </si>
  <si>
    <t>NG Grasshoppers 3º gol - FC Zurique Sub-19 x Grasshoppers Sub-19</t>
  </si>
  <si>
    <t>First AH +0,25 - University of Pretoria (fem) x First Touch Academy (fem)</t>
  </si>
  <si>
    <t>Real Montenegro DNB - Real Montenegro U19 x ASD Trastevere U19</t>
  </si>
  <si>
    <t>Over 5,5 - Dijon (fem) x Saint-Étienne (fem)</t>
  </si>
  <si>
    <t>Sacavanense AH +0,25 - Alcanenense Sub-19 x Sacavanense Sub-19</t>
  </si>
  <si>
    <t>SC Espinho AH +0,5 - Feirense Sub-19 x SC Espinho Sub-19</t>
  </si>
  <si>
    <t>Alhama AH +0,75 - Almería (fem) x Alhama CF B (fem)</t>
  </si>
  <si>
    <t>Marbella AH 0 - Cordoba Sub-19 x Marbella FC Sub-19</t>
  </si>
  <si>
    <t>Wallidan DNB - Team Rhino FC x Wallidan FC</t>
  </si>
  <si>
    <t>FC Thun AH +0,5 - Basileia Sub-19 x FC Thun Sub-19</t>
  </si>
  <si>
    <t>Al Shabab AH 0 - Bahla x Al Shabab Seeb</t>
  </si>
  <si>
    <t>Vic Riuprimer AH +0,25 - SE AEM B (fem) x Vic Riuprimer Refo (fem)</t>
  </si>
  <si>
    <t>Vasco da Gama AH +0,5 - Athletico Paranaense x Vasco da Gama</t>
  </si>
  <si>
    <t>Over 2,75 - Ceará x Juventude</t>
  </si>
  <si>
    <t>Chateauroux AH +0,5 - Chateauroux Sub-19 x Brest Sub-19</t>
  </si>
  <si>
    <t>SSC Teutonia ML - SSC Teutonia 99 x SFC Stern 1900</t>
  </si>
  <si>
    <t>SSC Teutonia AH 0 HT - SSC Teutonia 99 x SFC Stern 1900</t>
  </si>
  <si>
    <t>Paksi ML - MTK II x Paksi II</t>
  </si>
  <si>
    <t>Cankaya DNB - Catalca Spor x Cankaya FK</t>
  </si>
  <si>
    <t>Ayutthaya AH 0 HT - Ayutthaya United x Nakhon Ratchasima</t>
  </si>
  <si>
    <t>SCR Altach AH +0,5 - FSK St Polten (fem) x SCR Altach/FFC Vorderland (fem)</t>
  </si>
  <si>
    <t>Platges AH 0 - Llosetense x Platges de Calvià</t>
  </si>
  <si>
    <t>Inter Amistad AH 0 - Rayo Vallecano Sub-19 x Inter Amistad Sub-19</t>
  </si>
  <si>
    <t>CE Carroi AH +0,5 - CF Esperança d'Andorra x CE Carroi</t>
  </si>
  <si>
    <t>Luanda AH 0 - MCF FC x Luanda Villa SC</t>
  </si>
  <si>
    <t>TIL AH +0,25 - Avaldsnes (fem) x TIL 2020 (fem)</t>
  </si>
  <si>
    <t>Under 7,5 cantos - Celtic (fem) x Aberdeen (fem)</t>
  </si>
  <si>
    <t>Mukura AH 0 - Mukura x Muhazi United</t>
  </si>
  <si>
    <t>Ngezi AH 0 - Highlanders FC x Ngezi Platinum FC</t>
  </si>
  <si>
    <t>Exeter AH +0,25 - Cheltenham Town (fem) x Exeter (fem)</t>
  </si>
  <si>
    <t>FC Clivense AH 0 - Caravaggio x FC Clivense</t>
  </si>
  <si>
    <t>Under 1,5 - Oxford Utd (fem) x Dartford (fem)</t>
  </si>
  <si>
    <t>Muleno AH +0,25 - Ciudad de Murcia x Muleno</t>
  </si>
  <si>
    <t>Palmeiras AH -0,25 - Fortaleza x Palmeiras</t>
  </si>
  <si>
    <t>Ommal AH +0,25 - Ommal Hama x Afrin SC</t>
  </si>
  <si>
    <t>Uhamiaji AH 0 HT - Uhamiaji FC x Chipukizi FC</t>
  </si>
  <si>
    <t>ND Ilirija AH 0 - ND Ilirija Sub-19 x NK Krka Sub-19</t>
  </si>
  <si>
    <t>Al Olympi AH 0 - Al Olympi x M S Koum Hamada</t>
  </si>
  <si>
    <t>FC Rukh AH -0,25 - Midtjylland Sub-19 x FC Rukh Lviv Sub-19</t>
  </si>
  <si>
    <t>Panathanaikos AH 0 - Panathanaikos B x Ilioupoli</t>
  </si>
  <si>
    <t>Under HT Sumgayit - Lerik PFK x Sumgayit</t>
  </si>
  <si>
    <t>Remo Stars AH +0,5 - Remo Stars (fem) x Bayelsa Queens FC (fem)</t>
  </si>
  <si>
    <t>Over 2,75 - Galatasaray SK x Man Utd</t>
  </si>
  <si>
    <t>Samartex AH 0 - Skyy FC x Samartex</t>
  </si>
  <si>
    <t>Serrekunda DNB - Serrekunda FC x Unique Global FC</t>
  </si>
  <si>
    <t>Skra Czestochowa AH 0 - Skra Czestochowa x Hutnik Krakow</t>
  </si>
  <si>
    <t>Juve AH +0,25 - Avellino x Juve Stabia</t>
  </si>
  <si>
    <t>FC Rodange AH 0 HT - FC Rodange x Residence Walferdange</t>
  </si>
  <si>
    <t>Rospak AH +0,25 - Bibiani Gold Stars x Rospak FC</t>
  </si>
  <si>
    <t>Buri AH 0 - Buri Cultural SC x Isa Town</t>
  </si>
  <si>
    <t>FC Dikhil AH 0 HT - FC Dikhil x Garde-Cotes FC</t>
  </si>
  <si>
    <t>NG Vointa 5º gol - CSM Ramnicu Sarat x Vointa Limpezis</t>
  </si>
  <si>
    <t>AFC Metalul AH 0 - CSM Focsani x AFC Metalul Buzau</t>
  </si>
  <si>
    <t>Sporting Club Beirut AH 0 - Sporting Club Beirut x Shabab Baalbak</t>
  </si>
  <si>
    <t>El Masry AH 0 - El Masry x Enppi</t>
  </si>
  <si>
    <t>Bombada AH +0,25 - Steve Biko FC x Bombada FC</t>
  </si>
  <si>
    <t>Bombada DNB - Steve Biko FC x Bombada FC</t>
  </si>
  <si>
    <t>Digenis AH 0 - PAEEK x Digenis Ypsonas</t>
  </si>
  <si>
    <t>Arietes AH 0 - Halcones Zuñiga SC x Arietes FC</t>
  </si>
  <si>
    <t>Aztecas AH 0 HT - Valle de Xico FC x Aztecas AMF Soccer</t>
  </si>
  <si>
    <t>Over 2,5 - Willem II x FC Emmen</t>
  </si>
  <si>
    <t>SV Essling AH -0,5 - FC Royal Persia x SV Essling</t>
  </si>
  <si>
    <t>Fortuna Koln AH 0 HT - Colónia II x Fortuna Koln</t>
  </si>
  <si>
    <t>Juventude Barcarenense AH 0 - Estrela Sub-20 x Juv Barcarenense Sub-20</t>
  </si>
  <si>
    <t>Juventude Barcarenense AH 0 HT - Estrela Sub-20 x Juv Barcarenense Sub-20</t>
  </si>
  <si>
    <t>Juventude Barcarenense DNB - Estrela Sub-20 x Juv Barcarenense Sub-20</t>
  </si>
  <si>
    <t>MC El Eulma Sub-21 x IB Khemis El Khechna Sub-21</t>
  </si>
  <si>
    <t>Dunajska AH +0,25 - Dunajska Streda Sub-19 x MFK Ruzomberok Sub-19</t>
  </si>
  <si>
    <t>Spartak Trnava AH 0 - FC Kosice Sub-19 x Spartak Trnava Sub-19</t>
  </si>
  <si>
    <t>Stadium Casablanca AH 0 HT - Stadium Casablanca (fem) x AD Son Sardina (fem)</t>
  </si>
  <si>
    <t>Luanda AH -0,25 - Luanda Villa SC x Coastal Heroes</t>
  </si>
  <si>
    <t>Vanspor AH 0 - Altinordu x Vanspor FK</t>
  </si>
  <si>
    <t>Sultanbeyli AH 0 - Sultanbeyli Belediyespor x 23 Elazig</t>
  </si>
  <si>
    <t>Al Ahli Nabatieh AH +0,25 - Al Ahli Nabatieh x Al Hikma Beirut</t>
  </si>
  <si>
    <t>Nkwazi AH 0 - Mufulira Wanderers x Nkwazi</t>
  </si>
  <si>
    <t>NEC FC AH +0,5 - Kitara FC x NEC FC Bugolobi</t>
  </si>
  <si>
    <t>Sutjeska AH +0,5 - FK Kom Podgorica U21 x Sutjeska Niksic U21</t>
  </si>
  <si>
    <t>Rimini AH 0 - Pro Sesto Sub-19 x Rimini Sub-19</t>
  </si>
  <si>
    <t>Mantova AH 0 - Virtus Verona Sub-19 x Mantova Sub-19</t>
  </si>
  <si>
    <t>Leixões AH 0 - Paços de Ferreira B Sub-19 x Leixões Sub-19</t>
  </si>
  <si>
    <t>UD Leiria AH +0,5 - UD Leiria Sub-19 x Real Sport Clube Sub-19</t>
  </si>
  <si>
    <t>Sacavenense AH +0,5 - Sacavenense Sub-19 x Nacional Sub-19</t>
  </si>
  <si>
    <t>CPM Friol AH +0,75 - Deportivo La Coruña B (fem) x CPM Friol (fem)</t>
  </si>
  <si>
    <t>Vizela AH 0 - Maritimo Sub-19 x Vizela Sub-19</t>
  </si>
  <si>
    <t>Parma AH 0 - Spezia x Parma</t>
  </si>
  <si>
    <t>BTTS sim - VfB Estugarda x Werder Bremen</t>
  </si>
  <si>
    <t>Virtus AH 0 - Virtus Entella x Pescara</t>
  </si>
  <si>
    <t>SU Sintrense AH 0 - SU Sintrense Sub-19 x CD Mafra Sub-19</t>
  </si>
  <si>
    <t>Oviedo AH +0,5 - Oviedo II (fem) x Olímpico de León (fem)</t>
  </si>
  <si>
    <t>Andrezieux AH -0,25 - Toulouse II x Andrezieux</t>
  </si>
  <si>
    <t>Hyeres AH 0 - Grasse x Hyeres FC</t>
  </si>
  <si>
    <t>Udon AH 0 - Rasi Salai United x Udon United</t>
  </si>
  <si>
    <t>Volos AH +0,75 - Volos NFC Sub-19 x Olympiakos Sub-19</t>
  </si>
  <si>
    <t>Nairobi AH 0 - Nairobi United x Darajani Gogo</t>
  </si>
  <si>
    <t>Nevsehir AH +0,75 - Cankaya FK x Nevsehir Belediyespor</t>
  </si>
  <si>
    <t>BTTS sim - FK Kapaz x Sabah</t>
  </si>
  <si>
    <t>CD Galapagar AH 0 - CD Paracuellos Antamira x CD Galapagar</t>
  </si>
  <si>
    <t>Vilafranca AH 0 - Vilafranca x UE Castelldefels</t>
  </si>
  <si>
    <t>FC 1 Decembrie AH -0,25 - FC 1 Decembrie x ACS Viitorul Vidra</t>
  </si>
  <si>
    <t xml:space="preserve">Alcorcon AH 0 - Alcorcon B x Torrejon </t>
  </si>
  <si>
    <t>FC Pas de la Casa AH +0,5 - FC Pas de la Casa x FC Ordino</t>
  </si>
  <si>
    <t>BTTS sim - FK Cukaricki x FK Radnicki 1923</t>
  </si>
  <si>
    <t>Over 1,5 BC Viktoria - TuS BW Koningsdorf x BC Viktoria Glesch Paffendorf</t>
  </si>
  <si>
    <t>ASD Atletico AH 0 - ASD Atletico Ascoli x FC Forsempronese</t>
  </si>
  <si>
    <t>Mulier AH +0,5 - CD Parquesol CF (fem) x Mulier FCN (fem)</t>
  </si>
  <si>
    <t>Mulier AH +0,25 - CD Parquesol CF (fem) x Mulier FCN (fem)</t>
  </si>
  <si>
    <t>Nations AH +0,25 - Accra Lions FC x Nations FC</t>
  </si>
  <si>
    <t>CG Vitoria AH 0 - CG Vitoria Sernache x Grupo Desportivo de Peniche</t>
  </si>
  <si>
    <t>NG Cheltenham 1º gol - Hashtag United (fem) x Cheltenham Town (fem)</t>
  </si>
  <si>
    <t>Over 1,5 San Jose - CD Torre Fuerte x San Jose de Oruro</t>
  </si>
  <si>
    <t>Al-Yarmouk AH +0,5 - Ethad Al-Ramtha x Al Yarmouk</t>
  </si>
  <si>
    <t>Karbalaa FC AH 0 - Karbalaa FC X Al Naft SC</t>
  </si>
  <si>
    <t>Yaounde AH +0,25 - Aigle Royal du Moungo x Yaounde FC II</t>
  </si>
  <si>
    <t>Yaounde AH 0 - Aigle Royal du Moungo x Yaounde FC II</t>
  </si>
  <si>
    <t>Unisport Bafang AH 0 HT - Unisport Bafang x Racing de Bafoussam</t>
  </si>
  <si>
    <t>Under 2,5 - Express FC x BUL FC</t>
  </si>
  <si>
    <t>KFCO AH -0,5 - Standard Liege II x KFCO Beerschot Wilrijk</t>
  </si>
  <si>
    <t>Serrekunda AH +0,25 - RS Tallinding x Serrekunda Utd</t>
  </si>
  <si>
    <t>Adanaspor AH 0 - Adanaspor x Esenler Erokspor</t>
  </si>
  <si>
    <t>Marselha ML - Marselha x Lyon</t>
  </si>
  <si>
    <t>Palmeiras AH 0 - Cruzeiro x Palmeiras</t>
  </si>
  <si>
    <t>Ferroviária AH -1,5 - Paraguai (fem) x Ferroviária (fem)</t>
  </si>
  <si>
    <t>Canon de Yaounde DNB - Colombe du Dja et Lobo x Canon de Yaounde</t>
  </si>
  <si>
    <t>FC Den Bosch AH 0 HT - FC Den Bosch U21 x Koninklijke HFC Sub-21</t>
  </si>
  <si>
    <t>Latrikunda AH 0 - Latrikunda Utd x Gunjur United</t>
  </si>
  <si>
    <t>Grêmio AH +0,5 - Fluminense x Grêmio</t>
  </si>
  <si>
    <t>NEC AH 0 HT - NEC FC Bugolobi x URA</t>
  </si>
  <si>
    <t>AS Korofina AH 0 - AS Korofina x USC Kita</t>
  </si>
  <si>
    <t>Jam City AH +0,5 - Hart Academy x Jam City</t>
  </si>
  <si>
    <t>DC Jam City - Hart Academy FC x Jam City</t>
  </si>
  <si>
    <t>Port Fouad AH +0,25 - Kahraba Ismailia x Port Fouad</t>
  </si>
  <si>
    <t>FK Podgorica AH 0 - FK Podgorica Sub-21 x FK Decic Tuzi Sub-21</t>
  </si>
  <si>
    <t>Under 7,5 - Vitória Sub-20 (fem) x Internacional Sub-20 (fem)</t>
  </si>
  <si>
    <t>Muthoot AH +0,5 - KSEB FC x Muthoot FA</t>
  </si>
  <si>
    <t>Al Sahel AH 0 - Al Karamah x Al Sahel Tartous</t>
  </si>
  <si>
    <t>Hapoel Afula AH +0,5 - Hapoel Nir Ramat Hasharon x Hapoel Afula</t>
  </si>
  <si>
    <t>Hannover ML - Hannover 96 x Karlsruher SC</t>
  </si>
  <si>
    <t>Attram AH 0 - Attram De Visser x Na God FC</t>
  </si>
  <si>
    <t>Peyia AH 0 - Digenis Morphou x Peyia 2014</t>
  </si>
  <si>
    <t>CDC Dominguez AH 0 - CD Novillos Neza x CDC Dominguez Osos</t>
  </si>
  <si>
    <t>Duhok AH +0,5 - Al Zawra'a x Duhok</t>
  </si>
  <si>
    <t>Santutxu AH 0 - Santutxu Sub-19 x Athletic Bilbao Sub-19</t>
  </si>
  <si>
    <t>Thanh AH 0 - Binh Dinh x Thanh Hoa</t>
  </si>
  <si>
    <t>CD Orientación AH 0 HT - CD Orientación Marítima Sub-19 x CD Sobradillo Sub-19</t>
  </si>
  <si>
    <t>Garde AH 0 - Garde-Cotes FC x ACS Hayabley/CNSS</t>
  </si>
  <si>
    <t>CD Sobradillo AH +0,25 - CD Orientación Marítima Sub-19 x CD Sobradillo Sub-19</t>
  </si>
  <si>
    <t>Atlético Madrid ML - Atlético Madrid (fem) B x Madrid CFF B (fem)</t>
  </si>
  <si>
    <t>Rainbow AH 0 - MCF FC x Rainbow FC</t>
  </si>
  <si>
    <t>Aris AH 0 - OFI Crete Sub-19 x Aris Salonika Sub-19</t>
  </si>
  <si>
    <t>Noordwijk AH 0 - Scheveningen x Noordwijk</t>
  </si>
  <si>
    <t>Al Salt AH 0 - Al Salt x Al Ahli Amman</t>
  </si>
  <si>
    <t>Sandhausen AH 0 - Sandhausen x Waldhof Mannheim</t>
  </si>
  <si>
    <t>Vis Pesaro AH 0 - Latina Sub-19 x Vis Pesaro U19</t>
  </si>
  <si>
    <t>NG Bragança 1º gol - AD Fafe Sub-19 x Bragança Sub-19</t>
  </si>
  <si>
    <t>Real Oviedo AH 0 - Real Oviedo Sub-19 x Deportivo La Coruña Sub-19</t>
  </si>
  <si>
    <t>União Nogueirense AH 0 HT - União Nogueirense Sub-19 x Feirense Sub-19</t>
  </si>
  <si>
    <t>Ita Mbong AH +0,25 - Ita Mbong (fem) x Eclair de Saa Women</t>
  </si>
  <si>
    <t>Atasehir AH 0 - Adana Idman (fem) x Atasehir Bld Spor (fem)</t>
  </si>
  <si>
    <t>Kirikkale AH +0,25 - Gumushanespor x Kirikkale Buyuk Anadoluspor</t>
  </si>
  <si>
    <t>Darica AH 0 - Darica Genclerbirligi x Agri 1970 Spor</t>
  </si>
  <si>
    <t>Hacettepe AH +0,5 - Hacettepe SK x Karsiyaka</t>
  </si>
  <si>
    <t>La Solana AH +0,25 - La Solana (fem) x Elche (fem)</t>
  </si>
  <si>
    <t>Nkana AH 0 - Kansanshi Dynamos x Nkana FC</t>
  </si>
  <si>
    <t>BTTS sim - Monza x Genoa</t>
  </si>
  <si>
    <t>Yaounde AH +0,5 - Bafmeng United x Yaounde FC II</t>
  </si>
  <si>
    <t>SC Casablanca AH 0 HT - WAC Casablanca (fem) x SC Casablanca (fem)</t>
  </si>
  <si>
    <t>Jamaal (NO Saints) Under 6,5 tentativa corrida - CAR Panthers x NO Saints</t>
  </si>
  <si>
    <t>AS Ariana AH +0,5  SC Ben Arous x AS Ariana</t>
  </si>
  <si>
    <t>IPM WFC AH +0,5 - Rayon Sports (fem) x IPM WFC (fem)</t>
  </si>
  <si>
    <t>NG IPM WFC 4º gol - Rayon Sports (fem) x IPM WFC (fem)</t>
  </si>
  <si>
    <t>Berriozar AH +1,0 - Berriozar CF (fem) x CD Parquesol CF (fem)</t>
  </si>
  <si>
    <t>Maccabi Ahi AH 0 - Maccabi Ahi Nazareth Sub-19 x Maccabi Herzliya Sub-19</t>
  </si>
  <si>
    <t>Express AH +0,75 - Kitara FC x Express FC</t>
  </si>
  <si>
    <t>Perdida/Devolvida</t>
  </si>
  <si>
    <t>Express AH 0 HT - Kitara FC x Express FC</t>
  </si>
  <si>
    <t>Muhazi AH 0 HT - Muhazi United x AS Kigali</t>
  </si>
  <si>
    <t>Muhazi AH 0 - Muhazi United x AS Kigali</t>
  </si>
  <si>
    <t>Over 2,75 - FC Copenhagen x Galatasaray SK</t>
  </si>
  <si>
    <t>Serrekunda AH 0 - Serrekunda FC x Gambian Dutch Lions</t>
  </si>
  <si>
    <t>Eding AH +0,5 - Eclair de Saa Women x Eding Sport (fem)</t>
  </si>
  <si>
    <t>Eding AH +0,25 - Eclair de Saa Women x Eding Sport (fem)</t>
  </si>
  <si>
    <t>Msida AH -0,25 - Msida St Joseph x Xaghra United</t>
  </si>
  <si>
    <t>RSB Berkane AH 0 - MAT Tetouan x RSB Berkane</t>
  </si>
  <si>
    <t>Dannaz AH 0 - Dannaz FC (fem) x Royal Queens FC (fem)</t>
  </si>
  <si>
    <t>Botafogo AH +0,5 - Internacional Sub-20 (fem) x Botafogo Sub-20 (fem)</t>
  </si>
  <si>
    <t>Gaborone AH 0 - Township Rollers x Gaborone United</t>
  </si>
  <si>
    <t>Blacks AH 0 - Kiyinda Boys FC x Blacks Power</t>
  </si>
  <si>
    <t>Etoile AH +0,25 - Club Africain x Etoile Sportive Sahel</t>
  </si>
  <si>
    <t>Molde AH +1,5 - Bayer Leverkusen x Molde</t>
  </si>
  <si>
    <t>Over 0,5 - Hawks FC x RS Tallinding</t>
  </si>
  <si>
    <t>Cambuur AH -0,5 HT - Cambuur Leeuwarden x AZ - Reservas</t>
  </si>
  <si>
    <t>AS Arta AH -0,5 - AS Arta Solar 7 x SDC Group/Hopital FC</t>
  </si>
  <si>
    <t>Sheff AH +0,5 - Peterborough Sub-21 x Sheff Wed Sub-21</t>
  </si>
  <si>
    <t>Hapoel Rishon AH 0 - Hapoel Rishon Lezion x Hapoel Afula</t>
  </si>
  <si>
    <t>Over 0,5 - Hapoel Rishon Lezion x Hapoel Afula</t>
  </si>
  <si>
    <t>Kaaro AH 0 - Kaaro Karungi FC x Lugazi FC</t>
  </si>
  <si>
    <t>Urawa AH 0 - Club León x Urawa Red Diamonds</t>
  </si>
  <si>
    <t>Aduana AH 0 - Aduana Stars x Bechem FC</t>
  </si>
  <si>
    <t>Al Ahly Cairo AH +0,25 - Al Ahly Cairo x Al Ittihad Jeddah</t>
  </si>
  <si>
    <t>Mundial</t>
  </si>
  <si>
    <t>Sydney AH 0 - Melbourne Victory x Sydney FC</t>
  </si>
  <si>
    <t>Giugliano AH +0,25 - Giugliano Sub-19 x Catania Sub-19</t>
  </si>
  <si>
    <t>Pathumthani AH 0 - Saraburi x Pathumthani University</t>
  </si>
  <si>
    <t>Osasuna AH 0 - Osasuna (fem) x Deportivo La Coruna (fem)</t>
  </si>
  <si>
    <t>Nairobi AH 0 - Nairobi United x Mara Sugar FC</t>
  </si>
  <si>
    <t>Napoli AH +0,5 - Perugia Sub-19 x Napoli Sub-19</t>
  </si>
  <si>
    <t>UD Leiria AH 0 - Penafiel x UD Leiria</t>
  </si>
  <si>
    <t>WAF Widad AH 0 - ASS Sale x WAF Widad Fes</t>
  </si>
  <si>
    <t>Drancy AH 0 - Valenciennes II x Drancy</t>
  </si>
  <si>
    <t>Leixões AH 0 - SC Espinho Sub-19 x Leixões Sub-19</t>
  </si>
  <si>
    <t>Caldas AH 0 - CD Fátima Sub-19 x Caldas SC Sub-19</t>
  </si>
  <si>
    <t>FC Espoir AH 0 - Dynamic Togolais x FC Espoir Tsevie</t>
  </si>
  <si>
    <t>Nations AH 0 - Nations FC x Hearts of Oak</t>
  </si>
  <si>
    <t>Gâmbia AH 0 - Brikama United x Gâmbia - Armed Force</t>
  </si>
  <si>
    <t>Hua Hin AH 0 - Hua Hin Maralena x Raj Pracha</t>
  </si>
  <si>
    <t>CF Montanesa AH +0,25 - UE Castelldefels x CF Montanesa</t>
  </si>
  <si>
    <t>Lamia AH 0 HT - Lamia Sub-19 x Aris Salonika Sub-19</t>
  </si>
  <si>
    <t>Chelsea AH 0 HT - Liverpool Sub-21 x Chelsea Sub-21</t>
  </si>
  <si>
    <t>AS Soliman AH 0 HT - AS Soliman x Bizertin</t>
  </si>
  <si>
    <t>Episkopi AH 0 - Episkopi FC x Atsalenios</t>
  </si>
  <si>
    <t>Asteras AH 0 - Asteras Petriti x Kastoria</t>
  </si>
  <si>
    <t>CD El Ejido AH +0,5 - CD El Ejido x Motril</t>
  </si>
  <si>
    <t>NB La Masia AH 0 - NB La Masia FC x Venda Football Academy</t>
  </si>
  <si>
    <t>Latrikunda AH 0 - Unique Global FC x Latrikunda Utd</t>
  </si>
  <si>
    <t>Latrikunda DNB - Unique Global FC x Latrikunda Utd</t>
  </si>
  <si>
    <t>Urawa Under 0,5 - Urawa Red Diamonds x Man City</t>
  </si>
  <si>
    <t>Man City AH -1,25 - Man City x Fluminense</t>
  </si>
  <si>
    <t>KF Drita AH 0 HT - KF Drita x KF Ballkani</t>
  </si>
  <si>
    <t>Thyella AH +0,25 - Thyella Katsikas x Trikala</t>
  </si>
  <si>
    <t>Thyella AH 0 HT - Thyella Katsikas x Trikala</t>
  </si>
  <si>
    <t>Almyros AH +0,25 - Atsalenios x Almyros Gaziou</t>
  </si>
  <si>
    <t>Kayserispor AH +1,0 - Kayserispor x Fenerbahce</t>
  </si>
  <si>
    <t>Over 3,75 - Kyanos Astir Varis x Ialysos</t>
  </si>
  <si>
    <t>Thyella AH 0 - Thyella Katsikas x Trikala</t>
  </si>
  <si>
    <t>JS Omrane AH 0 - JS Kairouanaise x JS Omrane</t>
  </si>
  <si>
    <t>Bafmeng AH 0 - Bafmeng United x Aigle Royal du Moungo</t>
  </si>
  <si>
    <t>Dja Sports AH +0,5 - Amazone FAP (fem) x Dja Sports (fem)</t>
  </si>
  <si>
    <t>Rasi Salai AH +0,5 - Khonkaen x Rasi Salai United</t>
  </si>
  <si>
    <t>Bafmeng AH +0,5 - Racing de Bafoussam x Bafmeng United</t>
  </si>
  <si>
    <t>Nyasa AH 0 - MAFCO x Nyasa Big Bullets FC</t>
  </si>
  <si>
    <t>Wikki AH 0 - NAF FC x Wikki Tourists</t>
  </si>
  <si>
    <t>Under 3,5 - Moreirense Sub-19 x Bragança Sub-19</t>
  </si>
  <si>
    <t>ASPTT AH 0 - ASPTT Dijon x Union Cosnoise</t>
  </si>
  <si>
    <t>SE AEM AH 0 - SE AEM (fem) x Alhama CF (fem)</t>
  </si>
  <si>
    <t>NG Asteras - OFI FC (fem) x Asteras Tripolis (fem)</t>
  </si>
  <si>
    <t>Malut AH 0 HT - Malut United FC x Persela Lamongan</t>
  </si>
  <si>
    <t>Muhazi AH +0,5 - Muhazi United WFC Women x Apaer WFC (fem)</t>
  </si>
  <si>
    <t>Al Urooba AH +1,5 - Al Urooba U21 x Dibba Al Fujairah Sub-21</t>
  </si>
  <si>
    <t>Atromitos AH +1,25 - Atromitos x PAOK</t>
  </si>
  <si>
    <t>Pro Palazzo AH 0 - Pro Palazzo x Desenzano Calvina</t>
  </si>
  <si>
    <t>FC Gazelle AH 0 - FC Gazelle x Aigle Royal Menoua</t>
  </si>
  <si>
    <t>Generation AH 0 HT - Generation Foot x AS Dakar Sacre Coeur</t>
  </si>
  <si>
    <t xml:space="preserve">PIT Steelers AH +10,0 - PIT Steelers x BUF Bills </t>
  </si>
  <si>
    <t>Avaí AH 0 - Nacional SP Sub-20 x Avaí Sub-20</t>
  </si>
  <si>
    <t>Sports Academy AH 0 - Sports Academy Tirur x FC Areekode</t>
  </si>
  <si>
    <t>FC Robo AH 0 - FC Robo (fem) x Rivers Angels (fem)</t>
  </si>
  <si>
    <t>NG KSEB 1º gol - Kerala Police x KSEB FC</t>
  </si>
  <si>
    <t>Wagadu AH 0 - Gâmbia - Ports Authority x Wagadu FC</t>
  </si>
  <si>
    <t>Cuiabá AH 0 - EC Taubaté Sub-20 x Cuiabá Sub-20</t>
  </si>
  <si>
    <t>SBFA Poovar AH +0,5 - St Joseph College (fem) x SBFA Poovar (fem)</t>
  </si>
  <si>
    <t>MC Alger AH 0 - CR Belouizdad Sub-21 x MC Alger Sub-21</t>
  </si>
  <si>
    <t>IR Reykjavik ML - IR Reykjavik (fem) x Fram Reykjavik (fem)</t>
  </si>
  <si>
    <t>FC Kerala AH +0,5 - Kerala United x FC Kerala</t>
  </si>
  <si>
    <t>Luxor AH +0,25 - Luxor SC x Asyut Cement</t>
  </si>
  <si>
    <t>Kima AH 0 - Kima Aswan x Shoban Moslemen Qena</t>
  </si>
  <si>
    <t>Steve Biko AH 0 - TMT FA x Steve Biko FC</t>
  </si>
  <si>
    <t>Over 3,0 - Fortaleza Sub-20 x Internacional Sub-20</t>
  </si>
  <si>
    <t>Dimba AH +0,25 - Coastal Heroes x Dimba Patriots FC</t>
  </si>
  <si>
    <t>FC Paradiso AH +0,5 - AC Bellinzona x FC Paradiso</t>
  </si>
  <si>
    <t>Slavia AH 0 - Slavia Praga B x Slovan Velvary</t>
  </si>
  <si>
    <t>SC Lusitania AH 0 - Acadêmica Sub-19 x SC Lusitania Sub-19</t>
  </si>
  <si>
    <t>UKS SMS AH 0 - GKS Katowice (fem) x UKS SMS Lodz (fem)</t>
  </si>
  <si>
    <t>UKS SMS AH 0 HT - GKS Katowice (fem) x UKS SMS Lodz (fem)</t>
  </si>
  <si>
    <t>Ayutthaya DNB - Chanthaburi FC x Ayutthaya United</t>
  </si>
  <si>
    <t>FC Famalicão AH 0 - FC Famalicão Sub-19 x FC Porto Sub-19</t>
  </si>
  <si>
    <t>Everton AH +0,75 - Aston Villa (fem) x Everton (fem)</t>
  </si>
  <si>
    <t>NG Everton 1º gol - Aston Villa (fem) x Everton (fem)</t>
  </si>
  <si>
    <t>Pro Sesto AH +0,5 - Triestina Sub-19 x Pro Sesto Sub-19</t>
  </si>
  <si>
    <t>Reims AH +0,5 - Reims II x Thionville FC</t>
  </si>
  <si>
    <t>HW Welders AH 0 - HW Welders x Portadown</t>
  </si>
  <si>
    <t>Etiópia AH 0 - Marrocos Sub-20 (fem) x Etiópia Sub-20 (fem)</t>
  </si>
  <si>
    <t>Falcons AH 0 - Brikama United x Falcons FC</t>
  </si>
  <si>
    <t>Hapoel Marmorek AH 0 HT - Sektzia Nes Tziona Sub-19 x Hapoel Marmorek U19</t>
  </si>
  <si>
    <t>MFK Karvina AH -0,25 - MFK Karvina Sub-19 x MFK Ruzomberok Sub-19</t>
  </si>
  <si>
    <t>Osasuna AH 0 HT - Osasuna (fem) x Barcelona B (fem)</t>
  </si>
  <si>
    <t>Barcelona AH 0 - Osasuna (fem) x Barcelona B (fem)</t>
  </si>
  <si>
    <t>Apollon AH 0 - Apollon Paralimniou x Posidonas Neas Michanionas</t>
  </si>
  <si>
    <t>Al Egtmaaey DNB - Al Egtmaaey Trablos x Nahda Barelias</t>
  </si>
  <si>
    <t>AO Chaidari AH 0 - AO Chaidari x Almyros Gaziou</t>
  </si>
  <si>
    <t>CR Ain Harrouda AH 0 - CS Hilal Temara (fem) x CR Ain Harrouda (fem)</t>
  </si>
  <si>
    <t>Wolverhampton AH 0 HT - Reading (fem) x Wolverhampton (fem)</t>
  </si>
  <si>
    <t>EDF Logrono AH +0,5 - Alhama CF (fem) x EDF Logrono (fem)</t>
  </si>
  <si>
    <t>Wallidan AH 0 - Wallidan FC x Greater Tomorrow FC</t>
  </si>
  <si>
    <t>Gâmbia AH 0 - Samger FC x Gâmbia - Armed Force</t>
  </si>
  <si>
    <t>D</t>
  </si>
  <si>
    <t>ZED AH -0,25 - Pharco FC x ZED FC</t>
  </si>
  <si>
    <t>Serrekunda AH +0,25 - Wagadu FC x Serrekunda FC</t>
  </si>
  <si>
    <t>Serrekunda DNB - Wagadu FC x Serrekunda FC</t>
  </si>
  <si>
    <t>Serrekunda AH 0 - Wagadu FC x Serrekunda FC</t>
  </si>
  <si>
    <t>Kanifing AH 0 - Kanifing East FC x Hawks FC</t>
  </si>
  <si>
    <t>Crystal AH -0,5 - Crystal Palace Sub-21 x Feyenoord Sub-21</t>
  </si>
  <si>
    <t>Crystal AH -0,25 - Crystal Palace Sub-21 x Feyenoord Sub-21</t>
  </si>
  <si>
    <t>HNK Gorica AH 0 HT - NK Varazdin x HNK Gorica</t>
  </si>
  <si>
    <t>Makerere DNB - UCU Lady Cardinals (fem) x Makerere University (fem)</t>
  </si>
  <si>
    <t>Rines AH +0,5 - Rines SS WFC (fem) x She Maroons (fem)</t>
  </si>
  <si>
    <t>Gorilla AH 0 - Gorilla FC x SC Kiyovu</t>
  </si>
  <si>
    <t>Latrikunda AH 0 - Hart Academy FC x Latrikunda Utd</t>
  </si>
  <si>
    <t>Coritiba ML - Ibrachina Sub-20 x Coritiba Sub-20</t>
  </si>
  <si>
    <t>Under 10,0 cantos - Independiente FSJ x Cianorte</t>
  </si>
  <si>
    <t>Al-Jihad AH 0 - Al Nerab x Al-Jihad</t>
  </si>
  <si>
    <t>FC Oasis AH +0,5 - Etoile Nouakchott x FC Oasis</t>
  </si>
  <si>
    <t>FC Oasis AH +0,25 - Etoile Nouakchott x FC Oasis</t>
  </si>
  <si>
    <t>NG FC Oasis 1º gol - Etoile Nouakchott x FC Oasis</t>
  </si>
  <si>
    <t>Unique AH 0 - Jarra West FC x Unique Global FC</t>
  </si>
  <si>
    <t>Ethad Besion AH +2 - Ethad Besion (fem) x ZED FC (fem)</t>
  </si>
  <si>
    <t>Ethad Besion AH +1,75 - Ethad Besion (fem) x ZED FC (fem)</t>
  </si>
  <si>
    <t>Ethad Besion DNB - Ethad Besion (fem) x ZED FC (fem)</t>
  </si>
  <si>
    <t>TMT FA AH 0 - TMT FA X Samger FC</t>
  </si>
  <si>
    <t>Samger AH 0 - TMT FA X Samger FC</t>
  </si>
  <si>
    <t>Diosgyori AH 0 HT - Diosgyori VTK x Vancouver Whitecaps</t>
  </si>
  <si>
    <t>SK Sturm AH +0,5 - SK Sturm Graz II x ASK Voitsberg</t>
  </si>
  <si>
    <t>HB Chelghoum AH +0,5 - AS Khroub x HB Chelghoum Laid</t>
  </si>
  <si>
    <t>Vihiga DNB - Vihiga Bullets x MCF FC</t>
  </si>
  <si>
    <t>Tenerife sub 19 AH -0,25 - Tenerife sub 19 x La Oliva sub 19</t>
  </si>
  <si>
    <t>MEAP Nisou AH 0 - MEAP Nisou x Akritas Chlorakas</t>
  </si>
  <si>
    <t>Sonacos AH +0,25 - Diambars x Sonacos</t>
  </si>
  <si>
    <t>Sonacos DNB - Diambars x Sonacos</t>
  </si>
  <si>
    <t>Kajiado AH +2,0 - Migori Juniores x Kajiado</t>
  </si>
  <si>
    <t>Atletico Malagueno AH 0 HT - Almeria B x Atletico Malagueno</t>
  </si>
  <si>
    <t>Bursa AH +0,25 - Balikesirepor x Bursa Yildirimspor</t>
  </si>
  <si>
    <t xml:space="preserve">AO Chaidari AH 0 HT - Peramaikos x AO Chaidari </t>
  </si>
  <si>
    <t>Etiópia sub20 AH 0 - Etiópia sub20 x Marrocos sub20</t>
  </si>
  <si>
    <t>Vencendo por 1</t>
  </si>
  <si>
    <t>SS Assad AH 0 - Mombasa Elite x SS Assad</t>
  </si>
  <si>
    <t>Korofina AH 0 - USFAS Bamako x Korofina</t>
  </si>
  <si>
    <t xml:space="preserve">Mali </t>
  </si>
  <si>
    <t>Maccabi Ironi AH +0,5 - Maccabi Ironi Kiryat Ata Sub-19 x SC Neve Yosef Sub-19</t>
  </si>
  <si>
    <t>FK Kolubara AH +0,5 - NK Triglav Kranj x FK Kolubara</t>
  </si>
  <si>
    <t>Garde AH 0 HT - Garde Republicaine SIAF x SDC Group/Hopital FC</t>
  </si>
  <si>
    <t>Irã AH -1,0 - Irã x Emirados Árabes Unidos</t>
  </si>
  <si>
    <t>Senegal ML - Guiné x Senegal</t>
  </si>
  <si>
    <t>Neutro</t>
  </si>
  <si>
    <t>Al Majd AH 0 - Al-Nabek x Al Majd</t>
  </si>
  <si>
    <t>Under 3,5 - ND Gorica x FK Radnicki Novi Belgrad</t>
  </si>
  <si>
    <t>Al Olympi AH 0 - Al Olympi x Alexandria Petroleum</t>
  </si>
  <si>
    <t>BK Milan AH -0,5 - BK Milan x Jam City</t>
  </si>
  <si>
    <t>Almere AH 0 - Almere City FC x Fortuna Sittard</t>
  </si>
  <si>
    <t>Wiener AH +3,0 - FK Austria Vienna (fem) x Wiener Sportclub Women</t>
  </si>
  <si>
    <t>Unia AH 0 - Unia Turza Slaska x Fortuna Glogowek</t>
  </si>
  <si>
    <t>Velo AH 0 - CA Juventus x Velo Clube</t>
  </si>
  <si>
    <t>Paulista</t>
  </si>
  <si>
    <t>The New Saints AH +0,5 - The New Saints (fem) x Wrexham (fem)</t>
  </si>
  <si>
    <t>Al-Ahli AH +1,5 - Al-Ahli Manama x Busaiteen</t>
  </si>
  <si>
    <t>Al-Ahli DNB - Al-Ahli Manama x Busaiteen</t>
  </si>
  <si>
    <t>Al-Ahli AH +1,0 - Al-Ahli Manama x Busaiteen</t>
  </si>
  <si>
    <t>Kiryat AH -0,75 HT - Kiryat Gat SC (fem) x Bnot Netanya (fem)</t>
  </si>
  <si>
    <t>RS Tallinding AH 0 - RS Tallinding x Jarra West FC</t>
  </si>
  <si>
    <t>Neom AH +0,5 - Al Nors (fem) x Neom SC Women</t>
  </si>
  <si>
    <t>Coritiba AH 0 HT - Londrina x Coritiba</t>
  </si>
  <si>
    <t>Ghaz AH +0,25 - Al Hudod x Ghaz Al Shamal</t>
  </si>
  <si>
    <t xml:space="preserve">Paradou AH +0,5 - USM Khenchela x Paradou AC </t>
  </si>
  <si>
    <t>Wilberforce AH 0 - Wilberforce Strikers x Real Republicans SL</t>
  </si>
  <si>
    <t>Serra Leoa</t>
  </si>
  <si>
    <t>US Goree AH +0,25 - AS Dakar Sacre Coeur x US Goree</t>
  </si>
  <si>
    <t>US Goree DNB - AS Dakar Sacre Couer x US Goree</t>
  </si>
  <si>
    <t>FK Teplice AH 0 HT - FK Teplice B x Kraluv Dvur</t>
  </si>
  <si>
    <t>Falcons AH 0 - Marimoo x Falcons FC</t>
  </si>
  <si>
    <t>Coventry AH -0,5 - Sheff Wed x Coventry</t>
  </si>
  <si>
    <t>TUS Heiligenkreuz AH +0,75 - TUS Heiligenkreuz x SV Allerheiligen</t>
  </si>
  <si>
    <t>St Pauli AH 0 HT - St Pauli Sub-19 x Hamburger SV Sub-19</t>
  </si>
  <si>
    <t>Bnei Yehuda AH 0 - Bnei Yehuda Tel Aviv Sub-19 x Hapoel Haifa Sub-19</t>
  </si>
  <si>
    <t>St Pauli AH 0 - St Pauli Sub-19 x Hamburger SV Sub-19</t>
  </si>
  <si>
    <t>FC Turkiye AH 0 - FC Turkiye Wilhelmsburg x SV Rugenbergen</t>
  </si>
  <si>
    <t>Moso AH 0 - BS Dynamik x Moso Sugar Company</t>
  </si>
  <si>
    <t>Gornik AH +0,25 - Chrobry Glogow x Gornik Polkowice</t>
  </si>
  <si>
    <t>Gornik DNB - Chrobry Glogow x Gornik Polkowice</t>
  </si>
  <si>
    <t>Soccer AH +0,25 - Stages Queens FC (fem) x Soccer Ambassadors FC (fem)</t>
  </si>
  <si>
    <t>Soccer DNB - Stages Queens FC (fem) x Soccer Ambassadors FC (fem)</t>
  </si>
  <si>
    <t>Omonia AH 0 - Asil Lysis x Omonia Aradippou</t>
  </si>
  <si>
    <t>Abeokuta AH +1,0 - Smart City FC x Abeokuta Stormers</t>
  </si>
  <si>
    <t>Valmiera AH +0,25 - Valmiera FC x FC Flora Tallinn</t>
  </si>
  <si>
    <t>Valmiera AH 0 - Valmiera FC x FC Flora Tallinn</t>
  </si>
  <si>
    <t>Laval AH 0 HT - Laval Sub-19 x Angers Sub-19</t>
  </si>
  <si>
    <t xml:space="preserve">Freeport AH +0,5 - Freeport x BEA Mountain FC </t>
  </si>
  <si>
    <t xml:space="preserve">Bahia -0,75 - Bahia de Feira x Bahia </t>
  </si>
  <si>
    <t>Brest ML - Brest (fem) x Montauban (fem)</t>
  </si>
  <si>
    <t>Brest AH +0,25 - Brest (fem) x Montauban (fem)</t>
  </si>
  <si>
    <t>Verona AH 0 - Lecce Sub-19 x Verona Sub-19</t>
  </si>
  <si>
    <t>Ajaccio AH +0,25 - Toulouse Sub-19 x Ajaccio Sub-19</t>
  </si>
  <si>
    <t>Ajaccio AH 0 - Toulouse Sub-19 x Ajaccio Sub-19</t>
  </si>
  <si>
    <t>Ganahndo por 1</t>
  </si>
  <si>
    <t>Villanueva AH 0,25 - CD Paracuellos Antamira x Villanueva del Pardillo</t>
  </si>
  <si>
    <t>Racing AH 0 - Racing Cartagena Mar Menor x Real Betis B</t>
  </si>
  <si>
    <t>UE Tona AH 0 - Girona B x UE Tona</t>
  </si>
  <si>
    <t>Catalca AH 0 - Catalca Spor x Balikesirspor</t>
  </si>
  <si>
    <t>Al Hikma AH +0,5 - Al Ahed x Al Hikma Beirut</t>
  </si>
  <si>
    <t>Doxa AH +0,25 - Niki Efkarpias x Doxa Drama</t>
  </si>
  <si>
    <t>Over 0,5 - Club Olympique Medenine x CS Chebba</t>
  </si>
  <si>
    <t>Digenis DNB - PO Achyronas Onisilos x Digenis Morphou</t>
  </si>
  <si>
    <t>Digenis AH 0 - PO Achyronas Onisilos x Digenis Morphou</t>
  </si>
  <si>
    <t>Kouris AH 0 - Ethnikos Assias x Kouris Erimi</t>
  </si>
  <si>
    <t>Volos AH 0 - Panserraikos Sub-19 x Volos NFC Sub-19</t>
  </si>
  <si>
    <t>Atletico Perines AH +0,5 - Atletico Perines Sub-19 x Real Oviedo Sub-19</t>
  </si>
  <si>
    <t>FC Binga AH 0 - USC Kita x FC Binga</t>
  </si>
  <si>
    <t>Atletico Perines DNB - Atletico Perines Sub-19 x Real Oviedo Sub-19</t>
  </si>
  <si>
    <t>Gil Vicente AH 0 - Gil Vicente FC (fem) x Vitoria SC (fem)</t>
  </si>
  <si>
    <t>Serrekunda AH +0,5 - Elite United x Serrekunda</t>
  </si>
  <si>
    <t>Serrekunda DNB - Elite United x Serrekunda</t>
  </si>
  <si>
    <t>Enyimba DNB - Rivers United x Enyimba</t>
  </si>
  <si>
    <t>ASC Jaraaf AH 0 - ASC Linguere x ASC Jaraaf</t>
  </si>
  <si>
    <t>ASC Entente AH +0,5 - ASC Entente Sebkha x C. Moulaye M'Barek</t>
  </si>
  <si>
    <t>Paksi AH +0,5 - Kaposvari Rakoczi x Paksi II</t>
  </si>
  <si>
    <t>Paksi AH +0,25 - Kaposvari Rakoczi x Paksi II</t>
  </si>
  <si>
    <t xml:space="preserve">AS Megrine DNB - AS Megrine x STIR Zarzouna </t>
  </si>
  <si>
    <t xml:space="preserve">AS Megrine AH 0 - AS Megrine x STIR Zarzouna </t>
  </si>
  <si>
    <t>Gunjur AH 0 HT - Wagadu FC x Gunjur United</t>
  </si>
  <si>
    <t>Síria Prorrogação AH +0,25 - Irã x Síria</t>
  </si>
  <si>
    <t>Sabikhan AH 0 - Sabikhan FC x Efrin</t>
  </si>
  <si>
    <t>AS Kigali AH 0 HT - AS Kigali (fem) x Rayon Sports (fem)</t>
  </si>
  <si>
    <t>AS Kigali AH 0 - AS Kigali (fem) x Rayon Sports (fem)</t>
  </si>
  <si>
    <t>Coritiba DNB - Azuriz x Coritiba</t>
  </si>
  <si>
    <t xml:space="preserve">DNB </t>
  </si>
  <si>
    <t>USGN AH 0 - USGN x Liberte FC</t>
  </si>
  <si>
    <t>Níger</t>
  </si>
  <si>
    <t>Union Gurten AH 0 HT - Askoe Oedt x Union Gurten</t>
  </si>
  <si>
    <t>Under 4,0 - SV Donau x SV Leobendorf</t>
  </si>
  <si>
    <t>TUS Bad AH +0,25 - TUS Heiligenkreuz x TUS Bad Gleichenberg</t>
  </si>
  <si>
    <t>TUS Bad AH 0 - TUS Heiligenkreuz x TUS Bad Gleichenberg</t>
  </si>
  <si>
    <t>Saipa AH 0 - FC Darya Babol x Saipa Karadj</t>
  </si>
  <si>
    <t>Jadran AH 0 HT - GOSK Gabela x Jadran LP</t>
  </si>
  <si>
    <t>Express AH +0,25 - Mbarara City x Express FC</t>
  </si>
  <si>
    <t>Express AH 0 - Mbarara City x Express FC</t>
  </si>
  <si>
    <t>Ravia AH +1,5 - Ravia Angels FC (fem) x Shaita Angels FC (fem)</t>
  </si>
  <si>
    <t>NG Ravia 4º gol - Ravia Angels FC (fem) x Shaita Angels FC (fem)</t>
  </si>
  <si>
    <t>Tecos AH +0,75 - Tecos II x Universidad Guadalajara III</t>
  </si>
  <si>
    <t>Tecos AH +0,5 - Tecos II x Universidad Guadalajara III</t>
  </si>
  <si>
    <t>BUL AH 0 - KCCA x BUL FC</t>
  </si>
  <si>
    <t>Al Shabab DNB - Al Ittihad Jeddah (fem) x Al Shabab Riyadh (fem)</t>
  </si>
  <si>
    <t>Lysekloster AH 0 HT - Sotra x Lysekloster</t>
  </si>
  <si>
    <t>Sotra AH 0 HT - Sotra x Lysekloster</t>
  </si>
  <si>
    <t>SV Pachern AH +0,75 - SV Pachern x SV Tillmitsch</t>
  </si>
  <si>
    <t>SV Pachern DNB - SV Pachern x SV Tillmitsch</t>
  </si>
  <si>
    <t>Maastricht AH -0,25 - Maastricht x Telstar</t>
  </si>
  <si>
    <t>Muangnon AH 0 - Muangnon x Royal Thai Air Force</t>
  </si>
  <si>
    <t>Middelfart AH 0 - Brabrand x Middelfart</t>
  </si>
  <si>
    <t>Lugano II AH 0 - Lugano II x Mendrisio</t>
  </si>
  <si>
    <t>Maccabi Bnei Abu Snan AH +0,5 - Maccabi Bnei Abu Snan x Hapoel Shfaram</t>
  </si>
  <si>
    <t>Muhazi United ML - Muhazi United x Kamonyi</t>
  </si>
  <si>
    <t>Asteras Tripolis AH 0 - AEK Athems x Asteras Tripolis</t>
  </si>
  <si>
    <t>St. Louis Suns United AH 0 - St Louis Suns United x La Passe</t>
  </si>
  <si>
    <t xml:space="preserve">Ganhando por 1 </t>
  </si>
  <si>
    <t>Vercelli AH +0,25 - Pro Sesto Sub-19 v Pro Vercelli Sub-19</t>
  </si>
  <si>
    <t>Renaissance CB AH 0 - Olympic FC x Renaissance CB</t>
  </si>
  <si>
    <t>Como AH 0 - Ternana x Como</t>
  </si>
  <si>
    <t>Trans Narva AH 0 - Trans Narva x SC Grobinas</t>
  </si>
  <si>
    <t>Omonia Nicosia AH +0,25 - Omonia Nicosia (fem) x Lefkothea Latsion (fem)</t>
  </si>
  <si>
    <t>Kenkre AH +0,25 - Maharashtra Oranje FC x Kenkre FC</t>
  </si>
  <si>
    <t>CD Alaves AH 0 - CD Alaves (fem) x Barcelona B (fem)</t>
  </si>
  <si>
    <t>Al Karma AH +0,5 - Amanat Bagdad x Al Karma</t>
  </si>
  <si>
    <t xml:space="preserve">Atletico Arteixo AH 0 - Atletico Arteixo x UD Ourense </t>
  </si>
  <si>
    <t>Indahangarwa DNB - Indahangarwa WFC (fem) x AS Kigali (fem)</t>
  </si>
  <si>
    <t>Indahangarwa DC - Indahangarwa WFC (fem) x AS Kigali (fem)</t>
  </si>
  <si>
    <t>UE Vilassar AH 0 - UE Vilassar de Mar x Girona B</t>
  </si>
  <si>
    <t>Keur AH 0 - Keur Madior x Oslo FA</t>
  </si>
  <si>
    <t>Bank Ahli AH +0,75 - Bank Ahli (fem) x El Masry (fem)</t>
  </si>
  <si>
    <t>Maadi AH +0,25 - Al Tayaran (fem) x Maadi &amp; Yacht Club (fem)</t>
  </si>
  <si>
    <t>Tzeirei AH +0,25 - Tzeirei Kfar Kanna x MS Tira</t>
  </si>
  <si>
    <t>Maadi AH 0 - Al Tayaran (fem) x Maadi &amp; Yacht Club (fem)</t>
  </si>
  <si>
    <t>Rosenborg AH +0,5 HT - Rosenborg 2 x Nardo</t>
  </si>
  <si>
    <t>Sbo EV</t>
  </si>
  <si>
    <t>SC Kiryat AH 0 - SC Kiryat Yam x Hapoel Bnei Zalafa</t>
  </si>
  <si>
    <t>Puskas AH +0,25 - First Vienna FC 1894 (fem) x Puskas FC (fem)</t>
  </si>
  <si>
    <t>Maendeleo AH 0 HT - Maendeleo FC x Kundemba FC</t>
  </si>
  <si>
    <t>Kundemba AH 0 - Maendeleo FC x Kundemba FC</t>
  </si>
  <si>
    <t>Maccabi Haifa AH 0 - Maccabi Haifa Sub-19 x Maccabi Netanya Sub-19</t>
  </si>
  <si>
    <t>FC Haka AH +0,25 - SJK x FC Haka</t>
  </si>
  <si>
    <t>Jamhuri AH 0 - Jamhuri x Mafunzo FC</t>
  </si>
  <si>
    <t>Muthoot AH +0,5 - Kerala United x Muthoot FA</t>
  </si>
  <si>
    <t>Ngome AH +0,5 - Malindi x Ngome FC</t>
  </si>
  <si>
    <t>Al Nors AH +0,5 - Najmat Jeddah x Al Nors</t>
  </si>
  <si>
    <t>Muthoot AH 0 - Kerala United x Muthoot FA</t>
  </si>
  <si>
    <t>Real Sociedad AH 0 - Levante UD (fem) x Real Sociedad (fem)</t>
  </si>
  <si>
    <t>Flamengo de Arcoverde AH 0 - Flemengo de Arcoverde x Afogados</t>
  </si>
  <si>
    <t>Al Taliya DNB - Al Wathba SC x Al Taliya SC</t>
  </si>
  <si>
    <t>SC Villa AH +0,25 - Kitara FC x SC Villa</t>
  </si>
  <si>
    <t>KVZ AH 0 - KVZ SC x Chipukizi FC</t>
  </si>
  <si>
    <t>SV Ried AH +0,5 - SV Ried x Wacker Burghausen</t>
  </si>
  <si>
    <t>Hapoel Acre AH 0 - Hapoel Acre x Hapoel Ramat Gan</t>
  </si>
  <si>
    <t>SV Ried DNB - SV Ried x Wacker Burghausen</t>
  </si>
  <si>
    <t>ASC Entente AH +0,75 - AS Armee x ASC Entente Sebkha</t>
  </si>
  <si>
    <t>ASC Entente AH DNB - AS Armee x ASC Entente Sebkha</t>
  </si>
  <si>
    <t>Over 2,25 - Corum FK x Umraniyespor</t>
  </si>
  <si>
    <t>TSG Sprockhovel AH +0,25 - TSG Sprockhovel x Westfalia Rhynern</t>
  </si>
  <si>
    <t>Aris Salonika AH 0 - Giannina Sub-19 x Aris Salonika Sub-19</t>
  </si>
  <si>
    <t>Aris Salonika AH 0 HT - Giannina Sub-19 x Aris Salonika Sub-19</t>
  </si>
  <si>
    <t>Arezzo AH +0,25 - Trento Sub-19 x Arezzo Sub-19</t>
  </si>
  <si>
    <t>Ravia ML - Real Muja FC (fem) x Ravia Angels FC (fem)</t>
  </si>
  <si>
    <t>ES Mutunda AH +0,75 - Bugesera (fem) x ES Mutunda (fem)</t>
  </si>
  <si>
    <t>NG Mutunda 1º gol - ES Bugesera (fem) x ES Mutunda (fem)</t>
  </si>
  <si>
    <t>Harju AH 0 - Harju JK Laagri x JDFS Alberts</t>
  </si>
  <si>
    <t>Tallinna FC Ararat DNB - JK Tallinna Kalev (fem) x Tallinna FC Ararat (fem)</t>
  </si>
  <si>
    <t>Tallinna FC Ararat AH +0,5 - JK Tallinna Kalev (fem) x Tallinna FC Ararat (fem)</t>
  </si>
  <si>
    <t>Virtus Entella AH +0,5 - Pisa Sub-19 x Virtus Entella Sub-19</t>
  </si>
  <si>
    <t>Senior Pros DNB - Soccer Ambassadors FC (fem) x Senior Pros FC (fem)</t>
  </si>
  <si>
    <t>Marinhas AH 0 - União Nogueirense Sub-19 x Marinhas FC Sub-19</t>
  </si>
  <si>
    <t>Ilkeston AH 0 - Ilkeston Town x Lancaster City</t>
  </si>
  <si>
    <t xml:space="preserve">Harrogate AH 0 - Harrogate Town x Colchester </t>
  </si>
  <si>
    <t>Atletico Astorga AH 0 - Atletico Astorga x Cristo Atlético</t>
  </si>
  <si>
    <t>Tigres AH 0 - Santos Laguna Sub-23 x Tigres UANL Sub-23</t>
  </si>
  <si>
    <t>Avranches AH 0 - Chateauroux Sub-19 x Avranches Sub-19</t>
  </si>
  <si>
    <t>NG Amed 1º gol - Beylerbeyi SK (fem) x Amed SK (fem)</t>
  </si>
  <si>
    <t>Al Karkh AH +0,5 - Al Karkh x Naft Maysan</t>
  </si>
  <si>
    <t>CD Fontsanta AH +0,5 - CE Seagull (fem) x CD Fontsanta Fatjo (fem)</t>
  </si>
  <si>
    <t>Mulier AH 0 - Mulier FCN (fem) x Salamanca (fem)</t>
  </si>
  <si>
    <t>Namungo AH 0 - Tabora United FC x Namungo FC</t>
  </si>
  <si>
    <t>Asteras Petriti AH +0,25 - AE Kileler x Asteras Petriti</t>
  </si>
  <si>
    <t>Duneberg AH +0,25 - SV Rugenbergen x Duneberg</t>
  </si>
  <si>
    <t>Discoveries AH 0 - Phil Lonestar x Discoveries SA</t>
  </si>
  <si>
    <t>Holstein AH 0 - Holstein Kiel x Schalke</t>
  </si>
  <si>
    <t>Uttaradit AH +0,5 - Phattalung FC x Uttaradit FC</t>
  </si>
  <si>
    <t>Enppi AH 0 - Al Moqawloon Al Arab x Enppi</t>
  </si>
  <si>
    <t>Etoile AH +0,75 - FC Brakna x Etoile Nouakchott</t>
  </si>
  <si>
    <t>Etoile AH +0,5 - FC Brakna x Etoile Nouakchott</t>
  </si>
  <si>
    <t>Latrikunda AH 0 - Serrekunda FC x Latrikunda Utd</t>
  </si>
  <si>
    <t>Sestri AH 0 - Juventus Sub-23 x Sestri Levante</t>
  </si>
  <si>
    <t>Mes Rafsanjan AH 0 - Mes Rafsanjan x Havadar SC</t>
  </si>
  <si>
    <t>Shahrdari AH 0 - Foolad Khuzestan B x Shahrdari Mahshahr</t>
  </si>
  <si>
    <t>Rugarama AH +1,5 - Rugarama FC x Vipers SC</t>
  </si>
  <si>
    <t>FC Oasis AH +0,25 - AS Armee x FC Oasis</t>
  </si>
  <si>
    <t>Al Karamah AH 0 - Al Karamah x Jableh SC</t>
  </si>
  <si>
    <t>Maghagha AH 0 - Tamiya Youth Center x Maghagha SC</t>
  </si>
  <si>
    <t>Al Wehda AH 0 - Akhaa Ahli Aley z Al Wehda Saadnayel</t>
  </si>
  <si>
    <t>Pyramids AH 0 - Pyramids FC (fem) x Wadi Degla (fem)</t>
  </si>
  <si>
    <t>SV Sankt AH +0,5 - FK Austria Vienna II x SV Sankt Margarethen</t>
  </si>
  <si>
    <t>PEC Zwolle AH +0,5 - PEC Zwolle (fem) x Fortuna Sittard (fem)</t>
  </si>
  <si>
    <t>PEC Zwolle AH +0,25 - PEC Zwolle (fem) x Fortuna Sittard (fem)</t>
  </si>
  <si>
    <t>Sydney AH 0 - NWS Spirit FC x Sydney FC NPL</t>
  </si>
  <si>
    <t>Atasehir AH +0,25 - Atasehir Bld Spor (fem) x Fatih Vatan Spor (fem)</t>
  </si>
  <si>
    <t>Batman AH 0 - Karsiyaka x Batman Petrolspor</t>
  </si>
  <si>
    <t>Virtus Entella AH 0 - Virtus Entella Sub-19 x Napoli Sub-19</t>
  </si>
  <si>
    <t>AaB AH +1,5 - AaB Sub-19 x Midtjylland Sub-19</t>
  </si>
  <si>
    <t>OFI AH 0 - OFI FC (fem) x Panathinaikos (fem)</t>
  </si>
  <si>
    <t>Neuchatel AH 0 - Team Ticino Sub-19 x Neuchatel Xamax Sub-19</t>
  </si>
  <si>
    <t>SC Kalsdorf  AH 0 - USV Draxler Mooskirchen x SC Kalsdorf</t>
  </si>
  <si>
    <t>Enad Polis DNB - Akritas Chlorakas x Enad Polis Chrysochous</t>
  </si>
  <si>
    <t>Ciudad Alcalá AH 0 HT - Cadiz (fem) x Ciudad Alcalá CF (fem)</t>
  </si>
  <si>
    <t>Spakenburg AH 0 - Spakenburg x Katwijk</t>
  </si>
  <si>
    <t>Tigres AH 0 - Cruz Azul Sub-23 x Tigres UANL Sub-23</t>
  </si>
  <si>
    <t>Atlético San Luis AH 0 - Atlético San Luis Sub-23 x Tijuana Sub-23</t>
  </si>
  <si>
    <t>CD Paracuellos AH +0,25 - Rayo Vallecano B x CD Paracuellos Antamira</t>
  </si>
  <si>
    <t>Nania AH +0,5 - Legon Cities FC x Nania FC</t>
  </si>
  <si>
    <t>Slovacko AH +0,25 - SK Sturm Graz (fem) x Slovacko (fem)</t>
  </si>
  <si>
    <t>Union Viera DNB - Union Viera CF B (fem) x CD Firgas (fem)</t>
  </si>
  <si>
    <t>Sporting Gijon AH 0 HT - Athletic Bilbao C (fem) x Sporting Gijon (fem)</t>
  </si>
  <si>
    <t>Chainat AH 0 HT - Chainat FC x Chiangmai United</t>
  </si>
  <si>
    <t>Sochaux AH 0 - Montferrand Sub-19 x Sochaux Sub-19</t>
  </si>
  <si>
    <t>San Francisco AH 0 - Racing Club Zaragoza Sub-19 x CD San Francisco Sub-19</t>
  </si>
  <si>
    <t>Fatsa AH 0 - Fatsa Belediyespor x Bornova 1877</t>
  </si>
  <si>
    <t>Alhama AH 0 - Aldaia (fem) x Alhama CF B (fem)</t>
  </si>
  <si>
    <t>Digenis AH 0 - PO Xylotympou 2006 x Digenis Morphou</t>
  </si>
  <si>
    <t>Pro Vercelli ML - Pro Vercelli Sub-19 x Pro Patria Sub-19</t>
  </si>
  <si>
    <t>New City AH +0,25 - Mlandege FC x New City FC</t>
  </si>
  <si>
    <t>Sparta Lichtenberg AH 0 - Sparta Lichtenberg x Tennis Borussia Berlin</t>
  </si>
  <si>
    <t>Asteras Petriti AH 0 - Asteras Petriti x Trikala</t>
  </si>
  <si>
    <t>Skyy AH +0,25 - Elmina Sharks x Skyy FC (cash)</t>
  </si>
  <si>
    <t>Bamboutos AH 0 - Aigle Royal Menoua x Bamboutos de Mbouda</t>
  </si>
  <si>
    <t>ASC Snim AH 0 - ASC Entou x ASC Snim</t>
  </si>
  <si>
    <t>Under 11,5 - SK Maria Saal x SV Kraig</t>
  </si>
  <si>
    <t>Al Karkh AH 0 - Al Karkh x Naft Al-Wasat</t>
  </si>
  <si>
    <t>Over 3,5 - Hapoel Haifa Sub-19 x Hapoel Rishon LeZion Sub-19</t>
  </si>
  <si>
    <t>Young AH 0 - Dove FC x Young Elephants FC</t>
  </si>
  <si>
    <t>RS Tallinding AH 0 - RS Tallinding x Wagadu FC</t>
  </si>
  <si>
    <t>Elite United DNB - Latrikunda Utd x Elite United</t>
  </si>
  <si>
    <t>Elite United AH 0 - Latrikunda Utd x Elite United</t>
  </si>
  <si>
    <t>Newroz AH 0 - Al Qasim SC x Newroz SC</t>
  </si>
  <si>
    <t>Shohada AH 0 - Shohada Razakan x Pas Hamedan</t>
  </si>
  <si>
    <t>Naft Mased AH 0 - Ario Eslamshahr x Naft Mased Soleiman</t>
  </si>
  <si>
    <t>Chooka AH 0 - Shohada Babolsar x Chooka Talesh</t>
  </si>
  <si>
    <t>Naft Gachsaran AH 0 - FC Darya Babol x Naft Gachsaran</t>
  </si>
  <si>
    <t xml:space="preserve">KF Prishtina AH 0 - KF Prishtina x KF Malisheva </t>
  </si>
  <si>
    <t>Al Minaa AH 0 HT - Al Minaa x Zakho</t>
  </si>
  <si>
    <t>Gorilla AH 0 - Rwanda Police FC x Gorilla FC</t>
  </si>
  <si>
    <t>Lorient AH 0 - Guingamp Sub-19 x Lorient Sub-19</t>
  </si>
  <si>
    <t>Zakho AH 0 - Al Minaa x Zakho</t>
  </si>
  <si>
    <t>Immigration NÃO - terminar sem sofrer gol - Hart Academy FC x Immigration FC</t>
  </si>
  <si>
    <t>Sonabel AH 0 - Sonabel x Étoile Filante Ouagadougou</t>
  </si>
  <si>
    <t>Treze AH 0 HT - Treze x ABC</t>
  </si>
  <si>
    <t>Ferroviária AH 0 - Noroeste x Ferroviária</t>
  </si>
  <si>
    <t>Shenavar AH 0 - Shahrdari Noshahr x Shenavar Sazi Qeshm</t>
  </si>
  <si>
    <t>Al Najaf AH 0 - Al Najaf x Erbil SC</t>
  </si>
  <si>
    <t>Medina AH 0 HT - Jarra West FC x Medina United FC</t>
  </si>
  <si>
    <t>Under 5,5 cantos HT - Zumbi x CRB B</t>
  </si>
  <si>
    <t>Cantos HT</t>
  </si>
  <si>
    <t xml:space="preserve">Zumbi AH 0 - Zumbi x CRB B </t>
  </si>
  <si>
    <t>Over 3,75 - Águia de Marabá x Coritiba</t>
  </si>
  <si>
    <t>ALS Batna AH 0 - ALS Batna (fem) x CEA Setif (fem)</t>
  </si>
  <si>
    <t>Balestier - Over 2,5 - Albirex Niigata Singapore x Balestier Khalsa FC</t>
  </si>
  <si>
    <t>Balestier AH +1,0 - Albirex Niigata Singapore x Balestier Khalsa FC</t>
  </si>
  <si>
    <t>Hapoel Bnei AH 0 - MS Tzeirey Taibe x Hapoel Bnei Zalafa</t>
  </si>
  <si>
    <t>Over 2,5 - MS Tzeirey Taibe x Hapoel Bnei Zalafa</t>
  </si>
  <si>
    <t>BUL DNB - Maroons x BUL FC</t>
  </si>
  <si>
    <t>SC Mecheria AH 0 - ASM Oran x SC Mecheria</t>
  </si>
  <si>
    <t>ASN Nigelec AH 0 HT - ASN Nigelec x Sahel Niamey</t>
  </si>
  <si>
    <t>AS Bakaridjan AH +0,25 - Real Bamako x AS Bakaridjan</t>
  </si>
  <si>
    <t>AS Korofina AH 0 - AS Police x AS Korofina</t>
  </si>
  <si>
    <t>Compel AH +1,0 - Compel FC x Kajiado</t>
  </si>
  <si>
    <t>Compel DNB - Compel FC x Kajiado</t>
  </si>
  <si>
    <t>Lech Poznan AH 0 - Lech Poznan II x Olimpia Grudziadz</t>
  </si>
  <si>
    <t>Ternana AH 0 - Ternana Sub-19 x Virtus Entella Sub-19</t>
  </si>
  <si>
    <t>Olimpia AH 0 - Lech Poznan II x Olimpia Grudziadz</t>
  </si>
  <si>
    <t>Amazone AH 0 HT - Eding Sport (fem) x Amazone FAP (fem)</t>
  </si>
  <si>
    <t>Sporting Club Beirut AH 0 HT - Al Egtmaaey Trablos x Sporting Club Beirut</t>
  </si>
  <si>
    <t>Al-Jaish AH 0 - Al Wathba SC x Al-Jaish Damascus</t>
  </si>
  <si>
    <t>JK Nomme AH 0 - JK Nomme Kalju x FK Liepaja</t>
  </si>
  <si>
    <t>FK Mornar AH 0 - OFK Mladost DG x FK Mornar Bar</t>
  </si>
  <si>
    <t>Unam Pumas AH 0 - Chivas Guadalajara Sub-23 x Unam Pumas Sub-23</t>
  </si>
  <si>
    <t>AC Marinhense AH 0 - AC Marinhense Sub-19 x CD Gouveia Sub-19</t>
  </si>
  <si>
    <t>US Goree AH 0 - Diambars FC x US Goree</t>
  </si>
  <si>
    <t>Over 2,5 - Diambars FC x US Goree</t>
  </si>
  <si>
    <t>CP San Cristobal AH 0 HT - CP San Cristobal x Prat</t>
  </si>
  <si>
    <t>Over 2,75 - Turgutluspor x 1954 Kelkit Belediyespor</t>
  </si>
  <si>
    <t>Turgutluspor AH 0 - Turgutluspor x 1954 Kelkit Belediyespor</t>
  </si>
  <si>
    <t>Amasyaspor AH 0 - Amasyaspor FK x Kartal Bulvarspor</t>
  </si>
  <si>
    <t>Kedros AH +0,25 - Iraklis Yerolakkou x Kedros Ayia Marina Skylloura</t>
  </si>
  <si>
    <t>Kedros AH 0 HT - Iraklis Yerolakkou x Kedros Ayia Marina Skylloura</t>
  </si>
  <si>
    <t>Iraklis AH 0 HT - Iraklis Yerolakkou x Kedros Ayia Marina Skylloura</t>
  </si>
  <si>
    <t>Iraklis ML - Iraklis Yerolakkou x Kedros Ayia Marina Skylloura</t>
  </si>
  <si>
    <t>Iraklis AH 0 - Iraklis Yerolakkou x Kedros Ayia Marina Skylloura</t>
  </si>
  <si>
    <t>AE Lefkimmis AH 0 HT - AE Lefkimmis x Kastoria</t>
  </si>
  <si>
    <t>Ermis AH +0,5 - Aris Petroupolis x Ermis Zonianon</t>
  </si>
  <si>
    <t>NG Ermis 3º gol - Aris Petroipolis x Ermis Zonianon</t>
  </si>
  <si>
    <t>Vyzas AH 0 - Vyzas Megaron x Thyella Rafinas</t>
  </si>
  <si>
    <t>Eendracht AH 0 - Eendracht Aalst x SC Dikkelvenne</t>
  </si>
  <si>
    <t>JSM Massira AH 0 - AAS Sale x JSM Massira</t>
  </si>
  <si>
    <t>Granada AH 0 - Cordoba Sub-19 x Granada Sub-19</t>
  </si>
  <si>
    <t>Ihefu AH 0 - Kagera Sugar x Ihefu SC</t>
  </si>
  <si>
    <t>Foolad AH 0 - Foolad Khuzestan B x Shohada Babolsar</t>
  </si>
  <si>
    <t>Suriname AH -0,5 HT - Guiana Sub-20 x Suriname Sub-20</t>
  </si>
  <si>
    <t>CONCACAF</t>
  </si>
  <si>
    <t>BK Milan AH 0 - BK Milan x Gunjur United</t>
  </si>
  <si>
    <t>BK Milan AH 0 HT - BK Milan x Gunjur United</t>
  </si>
  <si>
    <t>Gâmbia AH 0 - Gâmbia - Ports Authority x Hawks FC</t>
  </si>
  <si>
    <t>Niroye AH 0 - Shohada Razakan x Niroye Zamini</t>
  </si>
  <si>
    <t>Ala'Ab AH 0 - Delphi SC x Ala'Ab Damanhour</t>
  </si>
  <si>
    <t>AS Police AH +1,25 - AS Police (fem) x AS Real (fem)</t>
  </si>
  <si>
    <t>NG 2º gol AS Police - AS Police (fem) x AS Real (fem)</t>
  </si>
  <si>
    <t>Under 3,0 - AS Mande (fem) x AS Momo Sikasso (fem)</t>
  </si>
  <si>
    <t>Over 9,0 cantos - Stal Mielec x LKS Lodz</t>
  </si>
  <si>
    <t>Alajuelense AH 0 - Alajuelense (fem) x Saprissa (fem)</t>
  </si>
  <si>
    <t>Over 0,5 - Kahraba Ismailia x Alo Egypt</t>
  </si>
  <si>
    <t>Abia AH 0 - Abia Warriors x Kwara United</t>
  </si>
  <si>
    <t>Over 1,5 Abia Warriors x Kwara United</t>
  </si>
  <si>
    <t>Sorrento AH 0 HT - Sorrento FC x Joondalup United</t>
  </si>
  <si>
    <t xml:space="preserve">AH HT </t>
  </si>
  <si>
    <t>BTTS  - Rukinzo FC x Moso Sugar Company</t>
  </si>
  <si>
    <t>Moso Sugar AH +0,25 - Rukinzo FC x Moso Sugar Company</t>
  </si>
  <si>
    <t>Al Karkh AH 0 - Al Karkh x Al Najaf</t>
  </si>
  <si>
    <t>Al-Jaish AH 0 - Al-Jaish Damascus x Hutteen</t>
  </si>
  <si>
    <t>AS Oran AH +0,25 - ASO Chlef (fem) x AS Oran Centre (fem)</t>
  </si>
  <si>
    <t>Atlético San Luis AH 0 - Atlético San Luis Sub-23 x Puebla Sub-23</t>
  </si>
  <si>
    <t>Omonia AH 0 - Digenis Ypsonas x Omonia Aradippou</t>
  </si>
  <si>
    <t>Salzburger AH +1,25 - Salzburger AK x TSV St. Johann</t>
  </si>
  <si>
    <t>Empate ou TSV St. Johann - Salzburger AK x TSV St. Johann</t>
  </si>
  <si>
    <t>Mount Gravatt AH +0,25 - Mount Gravatt Hawks x Centenary Stormers</t>
  </si>
  <si>
    <t>Kasimpasa AH +0,25 - Ankaragucu Sub-19 x Kasimpasa Sub-19</t>
  </si>
  <si>
    <t>Ipswich AH +0,25 - Grange Thistle x Ipswich Knights</t>
  </si>
  <si>
    <t>Kozani AH +0,25 - Iraklis 1908 FC Sub-19 x Kozani U19</t>
  </si>
  <si>
    <t>Banik AH 0 - Slavia Praga Sub-19 x Banik Ostrava Sub-19</t>
  </si>
  <si>
    <t>Jahn Regensburg AH +0,25 - Waldhof Mannheim x Jahn Regensburg</t>
  </si>
  <si>
    <t>Molde AH +0,5 - Rosenborg Sub-19 x Molde Sub-19</t>
  </si>
  <si>
    <t>VfR Aalen AH 0 HT - VfR Aalen x Mainz II</t>
  </si>
  <si>
    <t>NK Krka AH +0,25 - NK Bravo Sub-19 x NK Krka Sub-19</t>
  </si>
  <si>
    <t>Marumo AH +0,25 - Pretoria Callies x Marumo Gallants</t>
  </si>
  <si>
    <t>VfR Aalen AH 0 - VfR Aalen x Mainz II</t>
  </si>
  <si>
    <t>ATSV Mutschelbach AH 0 HT - ATSV Mutschelbach x VfR Mannheim</t>
  </si>
  <si>
    <t>Pretoria AH -0,25 - Pretoria Callies x Marumo Gallants</t>
  </si>
  <si>
    <t>Turbo AH +0,25 - Envigado Sub-19 x Turbo FC Sub-19</t>
  </si>
  <si>
    <t>CD Gouveia DNB - CD Gouveia Sub-19 x SC Leiria e Marrazes Sub-19</t>
  </si>
  <si>
    <t>FC Tatran AH 0 HT - FC Petrzalka (fem) x FC Tatran Presov (fem)</t>
  </si>
  <si>
    <t>EF Gava AH +0,5 - EF Gava Sub-19 x CF Damm Sub-19</t>
  </si>
  <si>
    <t>SD Sarriana AH +0,25 - Silva SD x SD Sarriana</t>
  </si>
  <si>
    <t>Slask Wroclaw AH 0 - Slask Wroclaw x Widzew Lodz</t>
  </si>
  <si>
    <t>Madureira AH 0 - Madureira Sub-20 x Volta Redonda Sub-20</t>
  </si>
  <si>
    <t>Fatih Vatan AH -0,25 - Fatih Vatan Spor (fem) x Adana Idman (fem)</t>
  </si>
  <si>
    <t>Efeler AH 0 HT - Efeler 09 x Turgutluspor</t>
  </si>
  <si>
    <t>Pazarspor AH +0,25 - Kartal Bulvarspor x Pazarspor</t>
  </si>
  <si>
    <t>Concordia AH +0,75 - Jagiellonia Bialystok II x Concordia Elblag</t>
  </si>
  <si>
    <t>SSU Politehnica AH 0 - SSU Politehnica Timisoara (fem) x Olimpia Cluj (fem)</t>
  </si>
  <si>
    <t>Balikesirspor AH 0 - Balikesirspor x Orduspor 1967</t>
  </si>
  <si>
    <t>NG Trabzonspor 1º gol - Galatasaray (fem) x Trabzonspor (fem)</t>
  </si>
  <si>
    <t>Union Sur AH 0 - CD Marino x Union Sur Yaiza</t>
  </si>
  <si>
    <t>SV Empor AH +0,25 - Berlin Hilalspor x SV Empor Berlin</t>
  </si>
  <si>
    <t>SC Villa AH 0 HT - Kitara FC x SC Villa</t>
  </si>
  <si>
    <t>Kitara DNB - Kitara FC x SC Villa</t>
  </si>
  <si>
    <t>Metz DNB - Le Mans (fem) x Metz (fem)</t>
  </si>
  <si>
    <t>AC Barracuda AH 0 HT - AC Barracuda x Doumbe FC</t>
  </si>
  <si>
    <t>CD Gouveia AH 0 - CD Gouveia x CG Vitoria Sernache</t>
  </si>
  <si>
    <t>Enugu - Over 2,5 - Niger Tornadoes x Enugu Rangers Intl FC</t>
  </si>
  <si>
    <t>Over 0,75 - Rayo Cantabria x Guijuelo</t>
  </si>
  <si>
    <t>CG Vitoria AH 0 - CD Gouveia x CG Vitoria Sernache</t>
  </si>
  <si>
    <t>Ursaria AH 0 - CF Talavera x Ursaria</t>
  </si>
  <si>
    <t>PWD de Bamenda DNB - FC Gazelle x PWD de Bamenda</t>
  </si>
  <si>
    <t>ND Gorica AH 0 - NK Nafta 1903 Sub-19 x ND Gorica Sub-19</t>
  </si>
  <si>
    <t>Neom AH +0,25 - Jeddah Club (fem) x Neom SC (fem)</t>
  </si>
  <si>
    <t>Sepidrood AH 0 HT - Sepidrood Rasht x Shohada Razakan</t>
  </si>
  <si>
    <t>RS Tallinding AH 0 HT - RS Tallinding x Elite United</t>
  </si>
  <si>
    <t>Bayer Leverkusen  (fem) x SGS Essen (fem)</t>
  </si>
  <si>
    <t>Bela Vista AH +0,25 - Araguaiana x Bela Vista-TO</t>
  </si>
  <si>
    <t>Araguaiana ML - Araguaiana x Bela Vista-TO</t>
  </si>
  <si>
    <t>Al Shouleh AH 0 - Al Majd x Al Shouleh</t>
  </si>
  <si>
    <t>JKT Tanzânia AH 0 - Mashujaa FC x JKT Tanzânia</t>
  </si>
  <si>
    <t xml:space="preserve">FAR Rabat AH 0 - RSB Berkane x FAR Rabat </t>
  </si>
  <si>
    <t>AS Real AH 0 - Santoro UFC (fem) x AS Real (fem)</t>
  </si>
  <si>
    <t>Máli</t>
  </si>
  <si>
    <t>FC Copenhagen AH +2,25 - Man City x FC Copenhagen</t>
  </si>
  <si>
    <t>Grêmio São-Carlense AH 0 - Nacional SP - Grêmio São-Carlense</t>
  </si>
  <si>
    <t>Man City AH -0,25 - Man City x FC Copenhagen</t>
  </si>
  <si>
    <t>FC Suhareka AH 0 - KF Vjosa x FC Suhareka</t>
  </si>
  <si>
    <t>Under 10,5 - Al Taraji (fem) x United Eagles (fem)</t>
  </si>
  <si>
    <t>ES Setif AH 0 - ASO Chlef Sub-21 x ES Setif Sub-21</t>
  </si>
  <si>
    <t>NG Pyramids 3º gol - Pyramids FC (fem) x Future SC (fem)</t>
  </si>
  <si>
    <t>Liverpool AH -1,0 - Sparta de Praga x Liverpool</t>
  </si>
  <si>
    <t xml:space="preserve">Favorito </t>
  </si>
  <si>
    <t>Musanze AH 0 - AS Kigali x Musanze FC</t>
  </si>
  <si>
    <t>Kitara DNB - Maroons x Kitara FC</t>
  </si>
  <si>
    <t>Berlin Turkspor AH 0 - Berlin Turkspor x Berliner SC</t>
  </si>
  <si>
    <t>Empate - El Zamalek x Al Ahly Cairo</t>
  </si>
  <si>
    <t>Draw</t>
  </si>
  <si>
    <t>Turkgucu AH +0,5 - Buchbach x Turkgucu Munchen</t>
  </si>
  <si>
    <t>Over 0,5 - El Zamalek x Al Ahly Cairo</t>
  </si>
  <si>
    <t>Ujpest AH 0 - Ujpest Sub-19 x III Keruleti TVE Sub-19</t>
  </si>
  <si>
    <t>Pine Hills AH 0 - Pine Hills x North Lakes United</t>
  </si>
  <si>
    <t>Bangkok AH +0,25 - Bangkok Sport School (fem) x Hinkhon United (fem)</t>
  </si>
  <si>
    <t>AS Trencin AH 0 - MSK Zilina Sub-19 x AS Trencin Sub-19</t>
  </si>
  <si>
    <t>MSK Zilina AH 0 - MSK Zilina Sub-19 x AS Trencin Sub-19</t>
  </si>
  <si>
    <t>University of AH 0 - University of Queensland x Virginia United</t>
  </si>
  <si>
    <t>Phoenix AH +0,5 - FUS Rabat (fem) x Phoenix Marrakech (fem)</t>
  </si>
  <si>
    <t>FUS Rabat AH -1,0 - FUS Rabat (fem) x Phoenix Marrakech (fem)</t>
  </si>
  <si>
    <t>Favotiro</t>
  </si>
  <si>
    <t>FK Pohronie ML - Sposska Nova Ves x FK Pohronie</t>
  </si>
  <si>
    <t>Sultanbeyli AH 0 - Sultanbeyli Belediyespor x Bergama Belediyespor</t>
  </si>
  <si>
    <t>Medyk AH +0,5 - AZS UJ Krakow (fem) x Medyk Konin (fem)</t>
  </si>
  <si>
    <t>NEC DNB - Gaddafi FC x NEC FC Bugolobi</t>
  </si>
  <si>
    <t>AZS UJ Krakow ou Empate - AZS UJ Krakow (fem) x Medyk Konin (fem)</t>
  </si>
  <si>
    <t>AZS UJ Krakow AH +1,0 - AZS UJ Krakow (fem) x Medyk Konin (fem)</t>
  </si>
  <si>
    <t>Deportes Iquique AH 0 - Coquimbo Unido (fem) x Deportes Iquique (fem)</t>
  </si>
  <si>
    <t>CF Oliveira AH 0 - AD Marco 09 x CF Oliveira do Douro</t>
  </si>
  <si>
    <t>NK Stupcanica AH 0 - NK Celik Zenica x NK Stupcanica Olovo</t>
  </si>
  <si>
    <t>NK Stupcanica AH 0 HT - NK Celik Zenica x NK Stupcanica Olovo</t>
  </si>
  <si>
    <t>Real de Banjul AH 0 - Steve Biko FC x Real de Banjul</t>
  </si>
  <si>
    <t>NK Celtic ou Empate - NK Celtic Zenica x NK Stupcanica Olovo</t>
  </si>
  <si>
    <t>Lions AH 0 - Brisbane U23 x Lions U23</t>
  </si>
  <si>
    <t>Velke AH 0 - Velke Mezirici x SK Zdirec Nad Doubravou</t>
  </si>
  <si>
    <t>Collado AH 0 HT - Collado Villalba x Rayo Vallecano B</t>
  </si>
  <si>
    <t>UDG Tenerife AH -0,75 - CFF A lbacete (fem) x UDG Tenerife Sur II (fem)</t>
  </si>
  <si>
    <t>Calvo Sotelo AH 0 HT - Calvo Sotelo x CD Cazalegas</t>
  </si>
  <si>
    <t>Mes Soongoun AH 0 - Mes Soongoun Varzaghan x Mes Shahr-e Babak</t>
  </si>
  <si>
    <t>Diosgyori AH 0 - Diosgyori VTK II x Salgotarjani BTC</t>
  </si>
  <si>
    <t>Kleinmunchen AH +0,5 - SCR Altach/FFC Vorderland (f) x Kleinm/Blau-Weiss Linz (f)</t>
  </si>
  <si>
    <t>Bicskei AH 0 - Gyirmot SE II x Bicskei TC</t>
  </si>
  <si>
    <t>Madureira AH +0,25 - Portuguesa RJ Sub-20 x Madureira Sub-20</t>
  </si>
  <si>
    <t>AO Chaidari AH 0 HT - Atsalenios x AO Chaidari</t>
  </si>
  <si>
    <t>FC Dabas AH 0 - FC Dabas x Martfui LSE</t>
  </si>
  <si>
    <t>Dynamos AH 0 - Highlanders FC x Dynamos FC</t>
  </si>
  <si>
    <t>Portuguesa AH 0 - Portuguesa RJ Sub-20 x Madureira Sub-20</t>
  </si>
  <si>
    <t>FK Podgorica AH 0 - FK Grbalj Radanovici x FK Podgorica</t>
  </si>
  <si>
    <t>Under 4,5 - Al Amiria (fem) x Wadi Degla (fem)</t>
  </si>
  <si>
    <t>Strasbourg AH 0 - Strasbourg Sub-19 x Metz Sub-19</t>
  </si>
  <si>
    <t>SE AEM AH 0 - Balears FC B (fem) x SE AEM B (fem)</t>
  </si>
  <si>
    <t>Athletic Bilbao AH +0,5 - DUX Logrono (fem) x Athletic Bilbao B (fem)</t>
  </si>
  <si>
    <t>Over 10,5 cantos - Athletico Paranaense x Londrina</t>
  </si>
  <si>
    <t>Metrostars AH 0 - Campbeltown - Reservas x Metrostars - Reservas</t>
  </si>
  <si>
    <t>Club Unión AH 0 - Club Canoneros Marina II x Club Unión FC</t>
  </si>
  <si>
    <t>USV Draxler AH 0 - SU Rebenland x USV Draxler Mooskirchen</t>
  </si>
  <si>
    <t>KF Llapi AH 0 - KF Malisheva x KF Llapi</t>
  </si>
  <si>
    <t>Al Ahed AH 0 - Al Ansar Beirut x Al Ahed</t>
  </si>
  <si>
    <t>Doma United AH -0,5 - Doma United x Shooting Stars</t>
  </si>
  <si>
    <t>FC 1980 Wien AH 0 - FC 1980 Wien x SV Donau</t>
  </si>
  <si>
    <t>CD Utrillas AH +0,25 - AD Almudévar x CD Utrillas</t>
  </si>
  <si>
    <t>Desportivo Brasil AH 0 - Desportivo Brasil x Votuporanguense</t>
  </si>
  <si>
    <t>Al-Ula AH 0 - Al Taraji (fem) x Al-Ula FC (fem)</t>
  </si>
  <si>
    <t>Borneo AH -0,5 - PSS Sleman x Borneo FC</t>
  </si>
  <si>
    <t>Al Karkh AH 0 - Al Karkh x Erbil SC</t>
  </si>
  <si>
    <t>Racing Beirut AH +0,25 - Racing Beirut x Safa Beirut</t>
  </si>
  <si>
    <t>Bengaluru AH +0,75 - FC Goa x Bengaluru</t>
  </si>
  <si>
    <t>FC Goa ML - FC Goa x Bengaluru</t>
  </si>
  <si>
    <t>PSS Sleman ou Empate - PSS Sleman x Borneo FC</t>
  </si>
  <si>
    <t>BST Galaxy AH -0,25 - BST Galaxy x Kanifing East FC</t>
  </si>
  <si>
    <t>Under 2,5 - TPV/2 x MuSa</t>
  </si>
  <si>
    <t>Ilch AH +0,25 - Khoromkhon Club x Ilch</t>
  </si>
  <si>
    <t>Dukla Praha AH 0 - Dukla Praha Sub-19 x FC Zlin Sub-19</t>
  </si>
  <si>
    <t>Al Sahel Tartus AH 0 - Al Sahel Tartus x Al Wahda Damascus</t>
  </si>
  <si>
    <t>Perth SC AH 0 - Perth SC (fem) x Perth Redstar FC (fem)</t>
  </si>
  <si>
    <t>Sighetu AH 0 - CS Sanatatea Cluj x Sighetu Marmatiei</t>
  </si>
  <si>
    <t>Perth Redstar AH 0 - Perth SC (fem) x Perth Redstar FC (fem)</t>
  </si>
  <si>
    <t>Bhantal AH +0,25 - East End Lions x Bhantal FC</t>
  </si>
  <si>
    <t>Team Rhino DNB - Team Rhino FC x Bombada FC</t>
  </si>
  <si>
    <t>Bombada DNB - Team Rhino FC x Bombada FC</t>
  </si>
  <si>
    <t>Peninsula Power AH 0 - Peninsula Power Sub-23 x Gold Coast United Sub-23</t>
  </si>
  <si>
    <t>Alexandria AH 0 HT - Alexandria '66 Sub-21 x Spartaan'20 Sub-21</t>
  </si>
  <si>
    <t>KF Llapi AH +0,25 - KF Ballkani x KF Llapi</t>
  </si>
  <si>
    <t>Louves AH -0,25 - Louves Minproff (fem) x AS Fortuna Mfou (fem)</t>
  </si>
  <si>
    <t>Servette AH +0,25 - Servette Sub-19 x Team Ticino Sub-19</t>
  </si>
  <si>
    <t>Gwarek AH 0 - LKS Goczalkowice Zdroj x Gwarek Tarnowskie Gory</t>
  </si>
  <si>
    <t>Over 0,5 - KF Ballkani x KF Llapi</t>
  </si>
  <si>
    <t>Over limite</t>
  </si>
  <si>
    <t>NS Mura AH 0 - NS Mura Sub-19 x NK Brinje Grosuplje Sub-19</t>
  </si>
  <si>
    <t>SD Hajdina AH 0 - NK Dobrovce x SD Hajdina</t>
  </si>
  <si>
    <t>Pogon Tczew AH 0 - AZS UJ Krakow (fem) x Pogon Tczew (fem)</t>
  </si>
  <si>
    <t>Enad Polis DNB - MEAP Nisou x Enad Polis Chrysochous</t>
  </si>
  <si>
    <t>FC Petrzalka AH 0 - FK Povazska Bystrica x FC Petrzalka</t>
  </si>
  <si>
    <t>Nacional AH 0 - SU Sintrense Sub-19 x Nacional Sub-19</t>
  </si>
  <si>
    <t>Mislata AH 0 - Torrelodones (fem) x Mislata CF (fem)</t>
  </si>
  <si>
    <t>Cruz Azul AH 0 - Cruz Azul Sub-23 x Necaxa Sub-23</t>
  </si>
  <si>
    <t>Saipa AH 0 - Ario Eslamshahr x Saipa Karadj</t>
  </si>
  <si>
    <t>Bahman AH 0 - Bahman Tehran x Shahrdari Bandar Abbas</t>
  </si>
  <si>
    <t>Caransebes AH 0 HT - Ghiroda SI Giarmata VII Sub-19 x CSS Caransebes Sub-19</t>
  </si>
  <si>
    <t>CSL Varbilau AH 0 - CSL Varbilau x AFC Banesti Urleta</t>
  </si>
  <si>
    <t>Vimenor AH 0 HT - Siete Villas x Vimenor</t>
  </si>
  <si>
    <t>CE L'Hospitalet AH 0 - Prat x CE L'Hospitalet</t>
  </si>
  <si>
    <t>CE L'Hospitalet DNB - Prat x CE L'Hospitalet</t>
  </si>
  <si>
    <t>FK Austria AH +0,5 - FSK St Polten (fem) x FK Austria Vienna (fem)</t>
  </si>
  <si>
    <t>Kigezi AH 0 HT - Kigezi Homeboys FC x Calvary FC Midigo</t>
  </si>
  <si>
    <t>Chernomorets AH 0 - Chernomorets Odessa x FC Veres Rivne</t>
  </si>
  <si>
    <t>Ucrania</t>
  </si>
  <si>
    <t>Ajaccio AH 0 HT - AS Beziers Sub-19 x Ajaccio Sub-19</t>
  </si>
  <si>
    <t>Komarom AH 0 - Komarom VSE x Szombathelyi Mav Haladas VSE</t>
  </si>
  <si>
    <t>Ajaccio AH 0 - AS Beziers Sub-19 x Ajaccio Sub-19</t>
  </si>
  <si>
    <t>AFC Humpolec AH 0 - Slavoj TZK Polna x AFC Humpolec</t>
  </si>
  <si>
    <t>Leganés AH 0 - Leganés Sub-19 x Rayo Majadahonda Sub-19</t>
  </si>
  <si>
    <t>Salgueiros DNB - Salgueiros x Rebordosa</t>
  </si>
  <si>
    <t>USC Paredes AH -0,5 - CF Oliveira do Douro x USC Paredes</t>
  </si>
  <si>
    <t>Bolton AH +0,5 HT - Bolton - Reservas x Barrow - Reservas</t>
  </si>
  <si>
    <t>Barrow ML intervalo - Bolton - Reservas x Barrow - Reservas</t>
  </si>
  <si>
    <t>Lincoln AH +0,25 - Lincoln City - Reservas x Mansfield - Reservas</t>
  </si>
  <si>
    <t>FC Amitié AH 0 HT - FC Amitié 2020 x Etoile Nouakchott</t>
  </si>
  <si>
    <t>FK Lovcen AH 0 - FK Lovcen x FK Internacional</t>
  </si>
  <si>
    <t>Over 1,0 - SSU Politehnica Timisoara (fem) x FK Csikszereda Miercurea Ciuc (fem)</t>
  </si>
  <si>
    <t>Over 0,75 - SSU Politehnica Timisoara (fem) x FK Csikszereda Miercurea Ciuc (fem)</t>
  </si>
  <si>
    <t>Heartland AH +0,25 - Heartland Queens (fem) x Nasarawa Amazons (fem)</t>
  </si>
  <si>
    <t>Remo Stars AH 0 - Remo Stars (fem) x Delta Queens (fem)</t>
  </si>
  <si>
    <t>Abia AH 0 - Abia Angels FC (fem) x Royal Queens FC (fem)</t>
  </si>
  <si>
    <t>Heartland AH 0 - Heartland Queens (fem) x Nasarawa Amazons (fem)</t>
  </si>
  <si>
    <t>Ferencvarosi AH -0,25 - MTK Budapest (fem) x Ferencvarosi TC (fem)</t>
  </si>
  <si>
    <t>Under 1,5 - Durban Ladies FC (fem) x JVW FC (fem)</t>
  </si>
  <si>
    <t>ADO Den Haag AH 0 HT - ADO Den Haag x FC Volendam</t>
  </si>
  <si>
    <t>FC Blau Weiss AH 0 HT - SK Sturm Graz x FC Blau Weiss Linz</t>
  </si>
  <si>
    <t>Latrikunda AH 0 - BK Milan x Latrikunda Utd</t>
  </si>
  <si>
    <t>MFK Vyskov AH 0 - Floridsdorfer AC x MFK Vyskov</t>
  </si>
  <si>
    <t>Steel City AH +0,75 - Steel City x Michigan Stars</t>
  </si>
  <si>
    <t>Michigan ML - Steel City x Michigan Stars</t>
  </si>
  <si>
    <t>Al Futowa AH -0,5 - Al Taliya SC x Al Futowa</t>
  </si>
  <si>
    <t>Shillong AH 0 HT - Inter Kashi FC x Shillong Lajong FC</t>
  </si>
  <si>
    <t>Under 4,5 - Aigle Royal Menoua x Les Astres FC</t>
  </si>
  <si>
    <t>Tiendas AH 0 - Tiendas Margos x Rojo FC</t>
  </si>
  <si>
    <t>Freetown AH 0 - Freetown City x Real Republicans SL</t>
  </si>
  <si>
    <t>Under 3,5 - Corinthians Sub-20 (fem) x Internacional Sub-20 (fem)</t>
  </si>
  <si>
    <t>St Jakob AH 0 HT - St Jakob/Rosental x ATSV Wolfsberg</t>
  </si>
  <si>
    <t>Brodd AH +0,25 - Brodd x Vidar</t>
  </si>
  <si>
    <t>SV Wallern AH 0 - Wolfsberger AC II x SV Wallern (2x0)</t>
  </si>
  <si>
    <t>SV Wallern AH 0 - Wolfsberger AC II x SV Wallern (2x1)</t>
  </si>
  <si>
    <t>Inyemera AH +0,25 - Inyemera WFC (fem) x Bugesera (fem)</t>
  </si>
  <si>
    <t>Karakopru AH 0 HT - Silivrispor x Karakopru Belediyespor</t>
  </si>
  <si>
    <t>Daco AH +0,75 - Daco-Getica Bucuresti Sub-19 x Dinamo Bucharest Sub-19</t>
  </si>
  <si>
    <t>Daco AH +0,5 - Daco-Getica Bucuresti Sub-19 x Dinamo Bucharest Sub-19</t>
  </si>
  <si>
    <t>NG Daco 2º gol - Daco-Getica Bucuresti Sub-19 x Dinamo Bucharest Sub-19</t>
  </si>
  <si>
    <t>Odra AH 0 - Odra Bytom Odrzanski x Gwarek Tarnowskie Gory</t>
  </si>
  <si>
    <t>Gwarek AH -0,75 - Odra Bytom Odrzanski x Gwarek Tarnowskie Gory</t>
  </si>
  <si>
    <t>Epitsentr AH 0 - Epitsentr Kamianets-Podilskyi x FSC Mariupol</t>
  </si>
  <si>
    <t>Under 2,5 - Nong Bua Pitchaya x Pattaya Dolphins Utd</t>
  </si>
  <si>
    <t>Sigma AH 0 - Sigma Olomouc (fem) x SK Lisen (fem)</t>
  </si>
  <si>
    <t>Odense ML - Odense Q (fem) x AaB (fem)</t>
  </si>
  <si>
    <t>Osterbro AH 0 HT - Osterbro IF (fem) x NIF HG (fem)</t>
  </si>
  <si>
    <t>Citizen AH +0,25 - Citizen AA (fem) x Kitchee Women</t>
  </si>
  <si>
    <t>NRB Teleghma AH +0,5 - ES El Ghozlane x NRB Teleghma</t>
  </si>
  <si>
    <t>APDC Chions AH 0 - APDC Chions x Montebelluna</t>
  </si>
  <si>
    <t>Under 5,5 - Ludogorets Razgrad x CSA Steaua Bucuresti</t>
  </si>
  <si>
    <t>PWD de Bamenda AH 0 - PWD de Bamenda x UMS de Loum</t>
  </si>
  <si>
    <t>Conquense AH 0 - Calvo Sotelo x Conquense</t>
  </si>
  <si>
    <t>Amora AH 0 - Amora (fem) x Braga B (fem)</t>
  </si>
  <si>
    <t>ACS LPS AH +0,5 - ACS LPS HD Clinceni x ACS Viitorul Dragomiresti-Vale</t>
  </si>
  <si>
    <t>SC Sopron AH 0 - Zalaegerszegi TE II x SC Sopron</t>
  </si>
  <si>
    <t>GFC Friends DNB - Fukien x GFC Friends</t>
  </si>
  <si>
    <t>ETO Akademia AH 0 - ETO Akademia x Komarom VSE</t>
  </si>
  <si>
    <t>Osmaniyespor AH +0,5 - Kutahyaspor x Osmaniyespor</t>
  </si>
  <si>
    <t>Diepkloof AH -0,25 - Diepkloof FC (fem) x Kempton Park FC (fem)</t>
  </si>
  <si>
    <t>Over 0,5 - Kutahyaspor x Osmaniyespor</t>
  </si>
  <si>
    <t>AO Giouchtas AH +0,25 - Panachaiki x AO Giouchtas</t>
  </si>
  <si>
    <t>Cjarlins AH 0 HT - Cjarlins Muzane x Campodarsego</t>
  </si>
  <si>
    <t>Over 2,0 - Panachaiki x AO Giouchtas</t>
  </si>
  <si>
    <t>Metz AH +0,5 - US Orleans (fem) x Metz (fem)</t>
  </si>
  <si>
    <t>Cobresal AH 0 - Everton de Vina (fem) x Cobresal (fem)</t>
  </si>
  <si>
    <t>UD Sámano AH 0 - UD Sámano x CD Naval</t>
  </si>
  <si>
    <t>Over 0,5 - Remo Stars x Bendel Insurance</t>
  </si>
  <si>
    <t>Naija AH 0 - Adamawa Queens (fem) x Naija Ratels (fem)</t>
  </si>
  <si>
    <t>Jam City AH +0,25 - Medina United FC x Jam City</t>
  </si>
  <si>
    <t>Damash AH 0 - Damash Gilan x Mes Shahr-e Babak</t>
  </si>
  <si>
    <t>Amitie AH 0 - CNEPS x Amitie FC</t>
  </si>
  <si>
    <t>Sabadell AH 0 - EF Gava Sub-19 x Sabadell Sub-19</t>
  </si>
  <si>
    <t>Sektzia AH 0 HT - Sektzia Nes Tziona Sub-19 x AS Nordia Jerusalem Sub-19</t>
  </si>
  <si>
    <t>A'ali AH 0 - A'ali Club x Bahrein SC</t>
  </si>
  <si>
    <t>Over 1,5 - A'ali Club x Bahrein SC</t>
  </si>
  <si>
    <t>Gladiator AH 0 HT - USD Latte Dolce x Gladiator</t>
  </si>
  <si>
    <t>Vastogirardi AH 0 - Vastogirardi x FC Matese</t>
  </si>
  <si>
    <t>Unisport AH 0 - Leopard Sportid de Douala x Unisport Bafang</t>
  </si>
  <si>
    <t>BK Milan AH 0 - BK Milan x RS Tallinding</t>
  </si>
  <si>
    <t>Vanersborgs AH 0 - Vanersborgs IF x IFK Skovde FK</t>
  </si>
  <si>
    <t>Under 0,5 - Zaqatala x Moik Baku</t>
  </si>
  <si>
    <t>AaB AH 0 HT - B93 Copenhagen (fem) x AaB (fem)</t>
  </si>
  <si>
    <t>Sepsi II AH 0 - ACS Sepsi II x AS Viitorul Curita</t>
  </si>
  <si>
    <t>Monopoli AH +0,25 - Salernitana Sub-19 x Monopoli Sub-19</t>
  </si>
  <si>
    <t>Monopoli NG - Salernitana Sub-19 x Monopoli Sub-19</t>
  </si>
  <si>
    <t>Potenza Calcio AH 0 - Audace Cerignola Sub-19 x Potenza Calcio Sub-19</t>
  </si>
  <si>
    <t>Csikszereda AH +0,5 - Csik. Miercurea Ciuc (f) x SSU Politehnica Timisoara (f)</t>
  </si>
  <si>
    <t>Besiktas AH 0 - Besiktas (fem) x Fenerbahce (fem)</t>
  </si>
  <si>
    <t>ZFK Ekonomist AH +0,25 - Buducnost Podgorica (fem) x ZFK Ekonomist (fem)</t>
  </si>
  <si>
    <t>Fenerbahce AH 0 - Besiktas (fem) x Fenerbahce (fem)</t>
  </si>
  <si>
    <t>Odense AH 0 HT - Brondby IF Sub-19 x Odense BK Sub-19</t>
  </si>
  <si>
    <t>Tusker AH 0 - Homeboyz FC x Tusker</t>
  </si>
  <si>
    <t>Astra AH 0 HT - Szekszardi (fem) x Astra Hungary (fem)</t>
  </si>
  <si>
    <t>Al-Jaish AH 0 - Jableh SC x Al-Jaish Damascus</t>
  </si>
  <si>
    <t>Al Hikma AH 0 - Shabab Al-Ghazieh x Al Hikma Beirut</t>
  </si>
  <si>
    <t>ACS Medias AH 0 - ACS Medias 2022 x CS Unirea Ungheni 2018</t>
  </si>
  <si>
    <t>ACSO Filiasi AH 0 - ACSO Filiasi x ACS Viitorul Simian</t>
  </si>
  <si>
    <t>FK Bokelj AH 0 HT - FK Bokelj x FK Podgorica</t>
  </si>
  <si>
    <t>FK Internacional AH 0 HT - FK Kom Podgorica x FK Internacional</t>
  </si>
  <si>
    <t>SC Preussen AH 0 - Wattenscheid 09 x SC Preussen Munster II</t>
  </si>
  <si>
    <t>Austria AH 0 - Austria Klagenfurt II x St Jakob/Rosental</t>
  </si>
  <si>
    <t>Over 2,0 - Wattenscheid 09 x SC Preussen Munster II</t>
  </si>
  <si>
    <t>Over 1,75 - Wattenscheid 09 x SC Preussen Munster II</t>
  </si>
  <si>
    <t>ITFF Tangier AH 0 HT - CS Hilal Temara (fem) x ITFF Tangier (fem)</t>
  </si>
  <si>
    <t>Alvechurch AH +0,25 - Alvechurch x Mickleover FC</t>
  </si>
  <si>
    <t>CS Hilal Temara AH 0 - CS Hilal Temara (fem) x ITFF Tangier (fem)</t>
  </si>
  <si>
    <t>Under 2,5 - SC Casablanca (fem) x WAC Casablanca (fem)</t>
  </si>
  <si>
    <t>Amarante AH +0,25 - Paços de Ferreira B Sub-19 x Amarante Sub-19</t>
  </si>
  <si>
    <t>Silva AH 0 HT - Silva SD x UD Ourense</t>
  </si>
  <si>
    <t>Al Wahda Damascus AH 0 HT - Al Wahda Damascus x Al Wathba SC</t>
  </si>
  <si>
    <t>Al Wathba AH 0 - Al Wahda Damascus x Al Wathba SC</t>
  </si>
  <si>
    <t>AS Kigali ML - Sunrise Rwamagana x AS Kigali</t>
  </si>
  <si>
    <t>Zeljeznicar Banja Luka AH 0 HT - Zeljeznicar Banja Luka x Lakatasi</t>
  </si>
  <si>
    <t>Stade Renard AH 0 - Colombe du Dja et Lobo x Stade Renard</t>
  </si>
  <si>
    <t>Sheger AH 0 - Debre Birhan Ketema x Sheger Ketema</t>
  </si>
  <si>
    <t>Under 3,5 - Brothers United FC x ASL FC</t>
  </si>
  <si>
    <t>Smart City AH 0 - Smart City FC x Madiba FC</t>
  </si>
  <si>
    <t>Al Talaba AH 0 - Al Karkh x Al Talaba</t>
  </si>
  <si>
    <t>Odd AH +0,5 - Odd 2 x Sandefjord 2</t>
  </si>
  <si>
    <t>Sandefjord ML - Odd 2 x Sandefjord 2</t>
  </si>
  <si>
    <t>Over 2,5 - Odd 2 x Sandefjord 2</t>
  </si>
  <si>
    <t>Beaconsfield AH 0 HT - Beaconsfield Town x Hanwell Town</t>
  </si>
  <si>
    <t>Over 0,75 - Karakopru Belediyespor x 1922 Konyaspor</t>
  </si>
  <si>
    <t>Forest AH 0 - Forest Rangers x Mufulira Wanderers</t>
  </si>
  <si>
    <t>She Maroons AH +0,75 - Kawempe Muslim FC (fem) x She Maroons (fem)</t>
  </si>
  <si>
    <t>Odysseas AH 0 - Odysseas Glyfadas (fem) x Olympiada Imitou (fem)</t>
  </si>
  <si>
    <t>Enugu AH -0,25 - Enugu Rangers Intl FC x Sunshine Stars FC</t>
  </si>
  <si>
    <t>Under 12,5 cantos - Uruguai Sub-20 (fem) x Chile Sub-20 (fem)</t>
  </si>
  <si>
    <t>Isohsa Limbe AH 0 HT - Leopard Sportif de Douala x Isohsa Limbe</t>
  </si>
  <si>
    <t>Union Douala AH 0 - Union Douala x APEJES Academy</t>
  </si>
  <si>
    <t>Kabwe AH 0 - Kabwe Warriors x Zesco United</t>
  </si>
  <si>
    <t>NEC AH 0 HT - NEC FC Bugolobi x Kitara FC</t>
  </si>
  <si>
    <t>Shohada Razakan DNB - Shohada Razakan x Shohada Babolsar</t>
  </si>
  <si>
    <t>FC Binga AH 0 - FC Binga x USFAS Bamako</t>
  </si>
  <si>
    <t>Deren AH +0,25 - Deren FC x SP Falcons FC</t>
  </si>
  <si>
    <t>Al Karamah AH 0 - Al Sahel Tartous x Al Karamah</t>
  </si>
  <si>
    <t>Avion Academy AH +0,25 - Avion Academy x PWD de Bamenda</t>
  </si>
  <si>
    <t>Avion Academy AH 0 - Avion Academy x PWD de Bamenda</t>
  </si>
  <si>
    <t>Over 0,75 - Favoritner AC x ASV Drassburg</t>
  </si>
  <si>
    <t>UD Leiria AH 0 HT - CD Fátima Sub-19 x UD Leiria Sub-19</t>
  </si>
  <si>
    <t>Westerlo AH 0 - RWDM Brussels - Reservas x Westerlo - Reservas</t>
  </si>
  <si>
    <t>Keciorengucu AH 0 - Bandirmaspor Sub-19 x Keciorengucu Sub-19</t>
  </si>
  <si>
    <t>Saimit AH +0,5 - Sisaket United x Saimit Kabin United</t>
  </si>
  <si>
    <t>Elana AH 0 HT - Notec Czarnkow x Elana Torun</t>
  </si>
  <si>
    <t xml:space="preserve">Tuloy AH +1,25 - Tuloy FC x Maharlika Manila FC </t>
  </si>
  <si>
    <t>VFB Marburg AH 0 - VFB Marburg x Waldgirmes</t>
  </si>
  <si>
    <t>URA AH +0,5 - Express FC x URA</t>
  </si>
  <si>
    <t>Al Hudod AH 0 - Al Hudod x Karbalaa FC</t>
  </si>
  <si>
    <t>Marek AH 0 HT - Spartak Pleven x Marek Dupnitsa</t>
  </si>
  <si>
    <t>FK Gorazde AH +0,5 - HNK Tomislav x FK Gorazde</t>
  </si>
  <si>
    <t>Vis Pesaro AH 0 - Vis Pesaro Sub-19 x Latina Sub-19</t>
  </si>
  <si>
    <t>AFC Brebu AH 0 - AFC Brebu x ACS Triumf Poiana Campina</t>
  </si>
  <si>
    <t>Vendee AH +0,25 - Ussa Vertou x Vendee Fontenay</t>
  </si>
  <si>
    <t>Pontivy AH +0,25 - Stade Plabennecois x Pontivy GSI</t>
  </si>
  <si>
    <t>Atletico Arteixo AH 0 - Atletico Arteixo x Polvorín</t>
  </si>
  <si>
    <t>Trival Valderas AH 0 - Trival Valderas x Rayo Vallecano B</t>
  </si>
  <si>
    <t>CD Colonia AH +0,25 - Las Rozas x CD Colonia Moscardo</t>
  </si>
  <si>
    <t>Caudal AH 0 - Real Titanico Laviana x Caudal</t>
  </si>
  <si>
    <t>CN Gib DNB - CSS Slatina Sub-19 x CN Gib Mihaescu Dragasani Sub-19</t>
  </si>
  <si>
    <t>Isohsa AH 0 HT - Isohsa Limbe x Foncha Street Bamenda</t>
  </si>
  <si>
    <t>SG Union Sandersdorf AH 0 - FSV Budissa Bautzen x SG Union Sandersdorf</t>
  </si>
  <si>
    <t>Nocerina AH 0 - Nocerina x Cassino</t>
  </si>
  <si>
    <t>Louves AH +0,5 - Louves Minproff (fem) x Eclair de Saa (fem)</t>
  </si>
  <si>
    <t>FK Bokelj AH 0 HT - FK Grbalj Radanovici x FK Bokelj</t>
  </si>
  <si>
    <t>Union Douala AH 0 - Bamboutos de Mbouda x Union Douala</t>
  </si>
  <si>
    <t xml:space="preserve">Over 0,75 - Lobi Stars FC x Enyimba </t>
  </si>
  <si>
    <t>SC Villa AH +0,25 - SC Villa x Vipers SC</t>
  </si>
  <si>
    <t>SC Villa AH 0 - SC Villa x Vipers SC</t>
  </si>
  <si>
    <t>Simba Sports AH -0,5 - Mashujaa FC x Simba Sports Club</t>
  </si>
  <si>
    <t>Dep. Maldonado AH 0 - Dep. Maldonado - Reservas x CA River Plate - Reservas</t>
  </si>
  <si>
    <t>Ario AH +0,25 - Ario Eslamshahr x Mes Soongoun Varzaghan</t>
  </si>
  <si>
    <t>Over 2,5 HT - Renaissance Ngoumou x Leopard Sportif de Douala</t>
  </si>
  <si>
    <t>AS Fap ML - Rangers FC of Bafut x AS Fap</t>
  </si>
  <si>
    <t>Under 3,5 - KS Carbo Gliwice x Tecza Wielowies</t>
  </si>
  <si>
    <t>DV Solingen AH 0 HT - TuRU Dusseldorf x DV Solingen</t>
  </si>
  <si>
    <t>Belper AH 0 - Cleethorpes Town x Belper Town</t>
  </si>
  <si>
    <t>Tonnerre Yaoundé AH +0,25 - Tonnerre Yaoundé x Eding Sport FC</t>
  </si>
  <si>
    <t>Over 0,5 - Bahman Tehran x Pas Hamedan</t>
  </si>
  <si>
    <t>Panthere AH +0,25 - Panthere Sportive Du Nde x Djiko FC de Bandjoun</t>
  </si>
  <si>
    <t>Ullensaker AH 0 HT - Moss Sub-19 x Ullensaker/Kisa Sub-19</t>
  </si>
  <si>
    <t>Fleetwood AH +0,5 - Peterborough Sub-21 x Fleetwood Town Sub-21</t>
  </si>
  <si>
    <t>Spad AH 0 - Spad Alvand x Shahid Ghandi</t>
  </si>
  <si>
    <t>Colombe AH 0 - FC Gazelle x Colombe du Dja et Lobo</t>
  </si>
  <si>
    <t>Mes Rafsanjan AH 0 HT - Mes Rafsanjan x Paykan</t>
  </si>
  <si>
    <t>Canon de Yaounde AH +0,25 - Yong Sport Academy x Canon de Yaounde</t>
  </si>
  <si>
    <t>Sandnes AH 0 HT - Stall Jorpeland x Sandnes Ulf 2</t>
  </si>
  <si>
    <t>Cotonsport AH 0 - Victoria Utd Limbe x Cotonsport</t>
  </si>
  <si>
    <t>Luban AH 0 - MKS Trzebinia x Luban Maniowy</t>
  </si>
  <si>
    <t>EC Taubaté AH 0 - São José SP Sub-20 x EC Taubaté Sub-20</t>
  </si>
  <si>
    <t>Grêmio Osasco AH +0,5 - Audax São Paulo Sub-20 x Grêmio Osasco Sub-20</t>
  </si>
  <si>
    <t>Rydalmere AH 0 - Rydalmere Lions FC x Macarthur Rams</t>
  </si>
  <si>
    <t>Kabwe AH -0,5 - Indeni FC x Kabwe Warriors</t>
  </si>
  <si>
    <t>FK Csikszereda AH +0,25 - Farul Constanta (f) x Csikszereda Miercurea Ciuc (f)</t>
  </si>
  <si>
    <t>Pisa AH 0 - Palermo Sub-19 x Pisa Sub-19</t>
  </si>
  <si>
    <t>Italia</t>
  </si>
  <si>
    <t>Tromso AH 0 - Ovrevoll Hosle (fem) x Tromso (fem)</t>
  </si>
  <si>
    <t>Naestved AH +0,5 - Naestved IF 2 x Ledoje-Smorum Fodbold</t>
  </si>
  <si>
    <t>Ovrevoll AH 0 - Ovrevoll Hosle (fem) x Tromso (fem)</t>
  </si>
  <si>
    <t>Haugesund AH 0 - Haugesund 2 x Froya</t>
  </si>
  <si>
    <t>TB Tvoroyri AH 0 - B71 Sandur x TB Tvoroyri</t>
  </si>
  <si>
    <t>B71 Sandur AH 0 - B71 Sandur x TB Tvoroyri</t>
  </si>
  <si>
    <t>TB Tvoroyri AH -0,25 - B71 Sandur x TB Tvoroyri</t>
  </si>
  <si>
    <t>Ghiroda AH 0 HT - ACS Viitorul Simian x Ghiroda SI Giarmata VII</t>
  </si>
  <si>
    <t>CS Dinamo AH 0 - CS Blejoi x CS Dinamo Bucuresti</t>
  </si>
  <si>
    <t>Vitoria AH 0 - FC Tirsense (fem) x Vitoria SC (fem)</t>
  </si>
  <si>
    <t>Sacavenense AH 0 - CD Fátima Sub-19 x Sacavenense Sub-19</t>
  </si>
  <si>
    <t>SC Dornach AH 0 - FC Concordia Lausanne x SC Dornach</t>
  </si>
  <si>
    <t>FC Barreirense AH 0 - Louletano Sub-19 x FC Barreirense Sub-19</t>
  </si>
  <si>
    <t>CD Fátima ou empate - CD Fátima Sub-19 x Sacavenense Sub-19</t>
  </si>
  <si>
    <t>AS Bakaridjan AH 0 - Club Olympique de Bamako x AS Bakaridjan</t>
  </si>
  <si>
    <t>EMF Fuensalida AH 0 - EMF Fuensalida (fem) x Villaviciosa Odon (fem)</t>
  </si>
  <si>
    <t>Drancy AH 0 - Drancy x US Vimy</t>
  </si>
  <si>
    <t>FK Raca AH 0 - FK Raca x Fomat Martin</t>
  </si>
  <si>
    <t>Zesco ML - Zesco United x Nchanga Rangers</t>
  </si>
  <si>
    <t>Under 7,5 - Mamelodi Sundowns (fem) x Lindelani FC (fem)</t>
  </si>
  <si>
    <t>Over 7,5 - Mamelodi Sundowns (fem) x Lindelani FC (fem)</t>
  </si>
  <si>
    <t>Over L</t>
  </si>
  <si>
    <t>Atletico Mancha AH 0 - FC Malaga City x Atletico Mancha Real</t>
  </si>
  <si>
    <t>CD Don Alvaro AH 0 - UD Fuente de Cantos x CD Don Alvaro</t>
  </si>
  <si>
    <t>Phonix AH 0 - Hamburg II x Phonix Lubeck</t>
  </si>
  <si>
    <t>Clermont AH +0,25 - Dijon Sub-19 x Clermont Foot Sub-19</t>
  </si>
  <si>
    <t>A.C.D. Sant'Angelo AH 0 - Borgo San Donnino x A.C.D. Sant'Angelo</t>
  </si>
  <si>
    <t>Usv Hengsberg AH +0,25 - St Veit am Vogau x Usv Hengsberg</t>
  </si>
  <si>
    <t>Widzew AH 0 - Sandecja Nowy Sacz Sub-19 x Widzew Lodz Sub-19</t>
  </si>
  <si>
    <t>Sandecja AH 0 - Sandecja Nowy Sacz Sub-19 x Widzew Lodz Sub-19</t>
  </si>
  <si>
    <t>NK Medimurje AH +0,25 - HNK Gorica (fem) x NK Medimurje Cakovec (fem)</t>
  </si>
  <si>
    <t>Lokomotiv Oslo AH 0 - Spjelkavik x Lokomotiv Oslo</t>
  </si>
  <si>
    <t>ZNK Agram AH +0,25 - ZNK Split (fem) x ZNK Agram (fem)</t>
  </si>
  <si>
    <t>Baroka AH 0 HT - NB La Masia FC x Baroka FC</t>
  </si>
  <si>
    <t>Baroka AH 0 - NB La Masia FC x Baroka FC</t>
  </si>
  <si>
    <t>Over 0,75 - NB La Masia FC x Baroka FC</t>
  </si>
  <si>
    <t xml:space="preserve">Star Arafat AH 0 - ASC Entente Sebkha x Star Arafat </t>
  </si>
  <si>
    <t xml:space="preserve">Star Arafat AH 0 HT - ASC Entente Sebkha x Star Arafat </t>
  </si>
  <si>
    <t>Under 7,5 - VIPA x MP</t>
  </si>
  <si>
    <t>Barnsley AH +0,5 - Portsmouth x Barnsley</t>
  </si>
  <si>
    <t>Santa Clara AH 0 - Tondela Sub-19 x Santa Clara Sub-19</t>
  </si>
  <si>
    <t>Geita AH 0 - Geita Gold x Tanzania Prisons</t>
  </si>
  <si>
    <t>Jwaneng AH -0,25 - BDF XI x Jwaneng Galaxy FC</t>
  </si>
  <si>
    <t>FC Strani AH 0 - FK Kozlovice x FC Strani</t>
  </si>
  <si>
    <t>ASC HLM AH 0 - ASC HLM x Oslo FA</t>
  </si>
  <si>
    <t>Santos AH 0 HT - Athletico Paranaense Sub-20 x Santos Sub-20</t>
  </si>
  <si>
    <t>Douane AH 0 - Douane x FC Nouadhibou</t>
  </si>
  <si>
    <t>Vega Real AH +0,5 - Vega Real x Universidad O&amp;M</t>
  </si>
  <si>
    <t>Rep. Dominicana</t>
  </si>
  <si>
    <t>Vega Real AH 0 - Vega Real x Universidad O&amp;M</t>
  </si>
  <si>
    <t>KIA Football AH 0 - KIA Football Academy x Foolad Hormozgan</t>
  </si>
  <si>
    <t>Falcons AH 0 - Banjul United x Falcons FC</t>
  </si>
  <si>
    <t>Northern AH 0 - Nepean FC x Northern Tigers</t>
  </si>
  <si>
    <t>KF Dinamo Ferizaj AH 0 HT - KF Ramiz Sadiku x KF Dinamo Ferizaj</t>
  </si>
  <si>
    <t>Fauve AH 0 - Avion Academy x Fauve Azur Elite</t>
  </si>
  <si>
    <t>AFA Olaine AH +0,25 - FK Tukums 2000/TSS II x AFA Olaine</t>
  </si>
  <si>
    <t>AFA Olaine AH 0 - FK Tukums 2000/TSS II x AFA Olaine</t>
  </si>
  <si>
    <t>Pogon Siedlce AH 0 - Skra Czestochowa x Pogon Siedlce</t>
  </si>
  <si>
    <t>Over 1,5 - Skra Czestochowa x Pogon Siedlce</t>
  </si>
  <si>
    <t>Joseense AH +0,5 - Joseense Sub-20 x São José SP Sub-20</t>
  </si>
  <si>
    <t>São José ML - Joseense Sub-20 x São José SP Sub-20</t>
  </si>
  <si>
    <t>Prospect AH 0 - Prospect United x Parramatta FC</t>
  </si>
  <si>
    <t>FC Kosice AH 0 - FK Pohronie Sub-19 x FC Kosice  Sub-19</t>
  </si>
  <si>
    <t>WA Boufarik AH +0,25 - JSM Tiare Sub-21 x WA Boufarik Sub-21</t>
  </si>
  <si>
    <t>UCD Canada AH 0 - Xerez Deportivo FC Sub-19 x UCD Canada Atletico Sub-19</t>
  </si>
  <si>
    <t>VfR Aalen AH 0 - Bahlinger SC x VfR Aalen</t>
  </si>
  <si>
    <t>VFB Marburg AH 0 - VFB Marburg x FC 1906 Erlensee</t>
  </si>
  <si>
    <t>B36 Torshavn AH 0 HT - AB Argir x B36 Torshavn II</t>
  </si>
  <si>
    <t>JDR Stars AH 0 - JDR Stars x Venda Football Academy</t>
  </si>
  <si>
    <t>CSM Flacara AH 0 HT - CSM Flacara Moreni x CSO Plopeni</t>
  </si>
  <si>
    <t>SC Popesti AH 0 - CS Blejoi x SC Popesti Leordeni</t>
  </si>
  <si>
    <t>FC Predni AH 0 - FC Predni Kopanina x CAFC</t>
  </si>
  <si>
    <t>SU Sintrense AH 0 - SU Sintrense Sub-19 x Sacavenense Sub-19</t>
  </si>
  <si>
    <t>Victoria AH 0 HT - Victoria CF Coruna (fem) x Sporting Gijón II (fem)</t>
  </si>
  <si>
    <t>FK Iskra AH +0,25 - FK Iskra Danilovgrad x FK Bokelj</t>
  </si>
  <si>
    <t>Over 2,5 - FK Iskra Danilovgrad x FK Bokelj</t>
  </si>
  <si>
    <t>Sisaket United AH +0,25 - Sisaket United x Bangkok FC</t>
  </si>
  <si>
    <t>IF Lyseng AH 0 - IF Lyseng x Vanlose</t>
  </si>
  <si>
    <t>OFI FC AH 0 - Asteras Tripolis (fem) x OFI FC (fem)</t>
  </si>
  <si>
    <t>Mus Spor AH 0 - Sultanbeyli Belediyespor x Mus Spor</t>
  </si>
  <si>
    <t>AH 0 - Niendorfer TSV x SV Halstenbek-Rellingen</t>
  </si>
  <si>
    <t>Al Hilal AH 0 - Al-Shorta Damascus x Al Hilal (SYR)</t>
  </si>
  <si>
    <t>Al Hilal AH 0 HT - Al-Shorta Damascus x Al Hilal (SYR)</t>
  </si>
  <si>
    <t>Al Shouleh AH 0 - Khattab x Al Shouleh</t>
  </si>
  <si>
    <t>RS Tallinding AH 0 HT - Jarra West FC x RS Tallinding</t>
  </si>
  <si>
    <t>ASFA-Yennenga AH 0 - Étoile Filante Ouagadougou x ASFA-Yennenga</t>
  </si>
  <si>
    <t>RS Tallinding AH 0 - Jarra West FC x RS Tallinding</t>
  </si>
  <si>
    <t>Latrikunda AH 0 - Gunjur United x Latrikunda Utd</t>
  </si>
  <si>
    <t>Migori AH +0,25 - Migori Juniors x Mara Sugar FC</t>
  </si>
  <si>
    <t>Ethnikos AH +0,25 - Nea Artaki x Ethnikos Neou Keramidiou</t>
  </si>
  <si>
    <t>Thyella AH 0 - Trikala x Thyella Katsikas</t>
  </si>
  <si>
    <t>Nkwazi AH +0,25 - MUZA FC x Nkwazi</t>
  </si>
  <si>
    <t>Vojvodina AH +0,25 - ZFK TSC (fem) x Vojvodina (fem)</t>
  </si>
  <si>
    <t>Villa Dalm AH +0,25 - San Martín de Burzaco - Reservas x Villa Dalmine - Reservas</t>
  </si>
  <si>
    <t>Harts AH 0 HT - Harts x BK Milan</t>
  </si>
  <si>
    <t>BUL AH 0 - NEC FC Bugolobi x BUL FC</t>
  </si>
  <si>
    <t>Harts AH 0 - Harts x BK Milan</t>
  </si>
  <si>
    <t>Orishas AH +0,25 - FC Politécnico x Orishas Tepeji FC</t>
  </si>
  <si>
    <t>Kampaniakos AH +0,5 - Iraklis 1908 FC Sub-19 x Kampaniakos Chalastras Sub-19</t>
  </si>
  <si>
    <t>Rines AH 0 HT - Asubo Gafford (fem) x Rines SS WFC (fem)</t>
  </si>
  <si>
    <t>Serrekunda AH 0 - Jam City x Serrekunda Utd</t>
  </si>
  <si>
    <t>FC Kafr AH +0,25 - Hapoel Acre x FC Kafr Qasim</t>
  </si>
  <si>
    <t>ACS Olimpic AH 0 HT - ACS Olimpic Cetate Rasnov x ACS Kids Tampa Brasov</t>
  </si>
  <si>
    <t>ASE Alger AH +0,25 - ASE Alger Centre (fem) x CR Belouizdad (fem)</t>
  </si>
  <si>
    <t>Tractor AH 0 - Tractor Sazi x Zob Ahan</t>
  </si>
  <si>
    <t>BSV Halle AH 0 HT - BSV Halle-Ammendorf x SV Dessau 05</t>
  </si>
  <si>
    <t>Gâmbia AH 0 - Falcons FC x Gâmbia - Armed Force</t>
  </si>
  <si>
    <t>União Suzano AH 0 HT - União Suzano Sub-20 x São José SP Sub-20</t>
  </si>
  <si>
    <t>TuRa AH 0 - Leher TS x TuRa Bremen</t>
  </si>
  <si>
    <t>Ballinamallard AH +0,25 - Ballinamallard Utd x Ballyclare Comrades</t>
  </si>
  <si>
    <t>Rio Branco AH +0,25 - XV de Piracicaba Sub-20 x Rio Branco SP Sub-20</t>
  </si>
  <si>
    <t>Tallinna FC Ararat AH 0 - Tallinna FC Ararat (fem) x Viimsi JK (fem)</t>
  </si>
  <si>
    <t>Bergnasets AH +0,5 - IFK Lulea x Bergnasets AIK</t>
  </si>
  <si>
    <t>SV Erlbach AH +0,25 - FC Deisenhofen x SV Erlbach</t>
  </si>
  <si>
    <t>Fram AH 0 - Vindbjart x Fram</t>
  </si>
  <si>
    <t>UD Santa Marta AH 0 - At. Bembibre x UD Santa Marta</t>
  </si>
  <si>
    <t>Al Hudod AH 0 - Amanat Baghdad x Al Hudod</t>
  </si>
  <si>
    <t>JDFS Alberts AH +0,5 - JDFS Alberts x SK Super Nova</t>
  </si>
  <si>
    <t>TSU Bramberg AH 0 HT - SC Golling x TSU Bramberg</t>
  </si>
  <si>
    <t>Mighty AH 0 - Bangwe All Stars x Mighty Wanderers</t>
  </si>
  <si>
    <t>FK Ostrov AH +0,25 - Admira Praga II x FK Ostrov</t>
  </si>
  <si>
    <t>Costa do Sol AH +0,25 - Ferroviario Maputo x Costa do Sol</t>
  </si>
  <si>
    <t>ASD Brusaporto AH 0 - ASD Brusaporto x ASD Varesina</t>
  </si>
  <si>
    <t>GD Ilha AH 0 HT - FC Tirsense (fem) x GD Ilha (fem)</t>
  </si>
  <si>
    <t>SK Zdirec AH 0 - SK Zdirec Nad Doubravou x Slavoj TKZ Polna</t>
  </si>
  <si>
    <t>CD FAS AH +0,25 - Once Dep. de Ahuachapán - Reservas x CD PAS - Reservas</t>
  </si>
  <si>
    <t>Drobak AH 0 HT - Drobak/Frogn Sub-19 x Lillehammer Sub-19</t>
  </si>
  <si>
    <t>FC Kallon AH 0 - FC Kallon x Bo Rangers FC</t>
  </si>
  <si>
    <t>São José AH 0 - São José dos Campos (fem) x Mixto (fem)</t>
  </si>
  <si>
    <t>Askoe AH -0,5 - SV Bad Ischl x Askoe Oedt</t>
  </si>
  <si>
    <t>Blumenthaler AH 0 - Blumenthaler SV x KSV Vatan Sport Bremen</t>
  </si>
  <si>
    <t>Kwong AH 0 HT - Wanchai x Kwong Wah</t>
  </si>
  <si>
    <t>Blau Weiss AH 0 - FC Bizau x Blau Weiss Feldkirch</t>
  </si>
  <si>
    <t>Mulheimer AH 0 - Mulheimer FC 97 x VFB Homberg</t>
  </si>
  <si>
    <t>Solares AH +1,0 - Tropezon x Solares</t>
  </si>
  <si>
    <t>SC Villa AH +0,25 - KCCA x SC Villa</t>
  </si>
  <si>
    <t>AS Momo AH 0 - AS Real (fem) x AS Momo Sikasso (fem)</t>
  </si>
  <si>
    <t>Dinamo Tbilisi AH 0 HT - Torpedo Kutaisi x Dinamo Tbilisi</t>
  </si>
  <si>
    <t>Real Madriz AH +0,25 - CD Junior de Managua x Real Madriz FC</t>
  </si>
  <si>
    <t>Nicaragua</t>
  </si>
  <si>
    <t>CFN Boumerdes AH 0 - ALS Batna (fem) x CFN Boumerdes (fem)</t>
  </si>
  <si>
    <t>Over 2,5 - Oberwart x FCM Traiskirchen</t>
  </si>
  <si>
    <t>Unirea AH +0,25 - Oltul Curtisoara x Unirea Bascov</t>
  </si>
  <si>
    <t>PK-35 AH +0,75 - PK-35 RY (fem) x KuPS (fem)</t>
  </si>
  <si>
    <t>PK-35 DNB - PK-35 RY (fem) x KuPS (fem)</t>
  </si>
  <si>
    <t>SpVgg Vreden AH +0,25 - 1. FC Gievenbeck x SpVgg Vreden 1921</t>
  </si>
  <si>
    <t>Independente AH +0,25 - Rio Branco SP Sub-20 x Independente SP Sub-20</t>
  </si>
  <si>
    <t>Darwin Hearts AH +0,25 - Darwin Hearts x Darwin Olympic</t>
  </si>
  <si>
    <t>Camden Tigers AH +0,25 - South Coast Flame FC x Camden Tigers SC</t>
  </si>
  <si>
    <t>Caldas AH +0,5 - CD Nacional Funchal Sub-19 x Caldas SC Sub-19</t>
  </si>
  <si>
    <t>Under 2,75 - Royal AM - Reservas x Amazulu - Reservas</t>
  </si>
  <si>
    <t>Wolfsburg AH -0,25 - St Pauli Sub-19 x Wolfsburg Sub-19</t>
  </si>
  <si>
    <t>Midleton AH +0,5 - College Corinthians FC x Midleton FC</t>
  </si>
  <si>
    <t>Saint Louis AH 0 - Saint Louis Suns United x Foresters FC</t>
  </si>
  <si>
    <t>Melhus AH 0 - Melhus x Orkla</t>
  </si>
  <si>
    <t>Troyes AH 0 - Nancy Sub-19 x Troyes Sub-19</t>
  </si>
  <si>
    <t>SFK Vrchovina AH 0 HT - SFK Vrchovina x SK Lisen B</t>
  </si>
  <si>
    <t>Egersunds AH 0 - Egersunds x Lyn 1896</t>
  </si>
  <si>
    <t>Sloboda AH -0,75 - Sloboda Tuzla x FK Gorazde</t>
  </si>
  <si>
    <t>Gent AH 0 - Anderlecht II (fem) x Gent II (fem)</t>
  </si>
  <si>
    <t>Famkes AH +0,25 - OH Leuven II (fem) x Famkes Merkem (fem)</t>
  </si>
  <si>
    <t>Rayo Vallecano AH 0 - Rayo Vallecano Sub-19 x Fuenlabrada Sub-19</t>
  </si>
  <si>
    <t>Atlético Faust. AH 0 HT - Atlético Faustino Asprilla S19 x Deportes Quindio S19</t>
  </si>
  <si>
    <t>CF Alhendin AH 0 - CD 26 de Febrero Sub-19 x CF Alhendim Balompie Sub-19</t>
  </si>
  <si>
    <t>Strommen AH 0 - Alta x Strommen</t>
  </si>
  <si>
    <t>Sprint AH 0 - Sprint/Jeloy x Mjolner</t>
  </si>
  <si>
    <t>Tampere AH +0,25 - Tampere Utd II x ACE</t>
  </si>
  <si>
    <t>Atlantis AH +1,25 - MPS Sub-20 x Atlantis II U20</t>
  </si>
  <si>
    <t>Attram de Visser AH +0,25 - Na God FC x Attram de Visser</t>
  </si>
  <si>
    <t>Wiara Lecha AH 0 HT - Wiara Lecha Poznan x Victoria Wrzesnia</t>
  </si>
  <si>
    <t>Kansas AH -0,5 - Houston Dash (fem) x Kansas City Current (fem)</t>
  </si>
  <si>
    <t>Calvo Sotelo AH 0 - Calvo Sotelo x Socuéllamos</t>
  </si>
  <si>
    <t>Victoria AH 0 - Wiara Lecha Poznan x Victoria Wrzesnia</t>
  </si>
  <si>
    <t>Freetonians AH 0 - Real Republicans SL x Freetonians SLIFA</t>
  </si>
  <si>
    <t>FC Dar El Barka AH +0,5 - AS Armee x FC Dar El Barka</t>
  </si>
  <si>
    <t>XV de Caraguatatuba AH +1,0 - ASX Intercâmbio Esportivo U20 x XV Carag. U20</t>
  </si>
  <si>
    <t>Erbil AH 0 HT - Al Karkh x Erbil SC</t>
  </si>
  <si>
    <t>Hutteen AH +0,25 - Hutteen Sub-23 x Al Horiyah Sub-23</t>
  </si>
  <si>
    <t>Osasuna AH 0 - Osasuna (fem) x Alhama CF (fem)</t>
  </si>
  <si>
    <t>Hart Academy DNB - Immigration FC x Hart Academy FC</t>
  </si>
  <si>
    <t>FV Preussen DNB - 1. FC Frankfurt x FV Preussen Eberswalde</t>
  </si>
  <si>
    <t>FV Preussen AH +1,25 - 1. FC Frankfurt x FV Preussen Eberswalde</t>
  </si>
  <si>
    <t>SK Bischofshofen AH 0 HT - SK Bischofshofen x FC Pinzgau Saalfelden</t>
  </si>
  <si>
    <t>Raufos DNB - Raufos (fem) x Sogndal (fem)</t>
  </si>
  <si>
    <t>Over 0,5 - Kwara United x Rivers United</t>
  </si>
  <si>
    <t>East End Lions AH 0 - Freetown City x East End Lions</t>
  </si>
  <si>
    <t>USV Fliesen AH 0 HT - USV Fliesen Klampfer Gabersdorf x SC Unterpremstatten</t>
  </si>
  <si>
    <t>Marimoo AH 0 - Marimoo x Fortune FC</t>
  </si>
  <si>
    <t>Kremser AH 0 - FCM Traiskirchen x Kremser SC</t>
  </si>
  <si>
    <t>Pendikspor AH 0 - Pendikspor Sub-19 x Umraniyespor Sub-19</t>
  </si>
  <si>
    <t>Stellenbosch AH -0,75 - Stellenbosch FC - Reservas x Golden Arrows - Reservas</t>
  </si>
  <si>
    <t>Ragdajied AH 0 - Rangdajied United FC x Mawlai SC</t>
  </si>
  <si>
    <t>Lank Vilaverdense AH 0 - AD Fafe Sub-19 x Lank Vilaverdense Sub-19</t>
  </si>
  <si>
    <t>VfB Stuttgart II AH 0 HT - Eintracht Frankfurt II x VfB Stuttgart II</t>
  </si>
  <si>
    <t>Pau AH 0 - Stade Bordelais x Pau II</t>
  </si>
  <si>
    <t>Salgueiros AH +0,25 - Paços de Ferreira B Sub-19 x Salgueiros Sub-19</t>
  </si>
  <si>
    <t>Under 2,5 - Flamengo SP Sus-23 x Paulista Sub-23</t>
  </si>
  <si>
    <t>Under 2,5 - Maua Sub-23 x ECUS Sub-23</t>
  </si>
  <si>
    <t>One Taguig AH +0,5 - Dynamic Herb Cebu FC x One Taguig FC</t>
  </si>
  <si>
    <t>Wanchai AH 0 HT - Wanchai x Kowloon Cricket Club</t>
  </si>
  <si>
    <t>SP Falcons AH 0 - FC Ulaanbaatar x SP Falcons FC</t>
  </si>
  <si>
    <t>Kamuzu AH 0 HT - Mzuzu City Hammers x Kamuzu Barracks</t>
  </si>
  <si>
    <t>Lens AH 0 - USM Saran Sub-19 x Lens Sub-19</t>
  </si>
  <si>
    <t>Kahraba AH 0 - Suez Montakhab x Kahraba Ismailia</t>
  </si>
  <si>
    <t>Al Naft AH 0 - Al Naft SC x Erbil SC</t>
  </si>
  <si>
    <t>Auxerre AH 0 - Paris FC Sub-19 x Auxerre Sub-19</t>
  </si>
  <si>
    <t>Under 1,5 - Al-Jalil x Shabab Al Ordon</t>
  </si>
  <si>
    <t xml:space="preserve">Rodrygo - para ser advertido - Real Madrid x CD Alavés </t>
  </si>
  <si>
    <t>Vinicius Jr - para ser advertido - Real Madrid x CD Alavés</t>
  </si>
  <si>
    <t>Al Zawra'a AH 0 HT - Al Talaba x Al Zawra'a</t>
  </si>
  <si>
    <t>Over 0,5 - Abia Warriors x Rivers United</t>
  </si>
  <si>
    <t>Pelikan AH 0 HT - Victoria Sulejówek x Pelikan Lowicz</t>
  </si>
  <si>
    <t>Under 2,5 - 52 Orduspor FK x Aliaga Futbol AS</t>
  </si>
  <si>
    <t>Pelikan AH 0 - Victoria Sulejówek x Pelikan Lowicz</t>
  </si>
  <si>
    <t>CD Platense AH 0 HT - CD Platense - Reservas x CS FAS - Reservas</t>
  </si>
  <si>
    <t>Kolbotn AH 0 - Asane (fem) x Kolbotn (fem)</t>
  </si>
  <si>
    <t>CD Platense AH - CD Platense - Reservas x CS FAS - Reservas</t>
  </si>
  <si>
    <t>Alianza AH 0 - CD Aguila - Reservas x Alianza FC - Reservas</t>
  </si>
  <si>
    <t>Qaradag AH 0 - Qaradag Lokbatan x Shamakhi FK</t>
  </si>
  <si>
    <t>Naft Mased AH 0 HT - Naft Gachsaran x Naft Mased Soleiman</t>
  </si>
  <si>
    <t>Al Kahrabaa AH 0 - Al Kahrabaa x Al Qasim SC</t>
  </si>
  <si>
    <t>Fram AH 0 - Fram x Pors Grenland</t>
  </si>
  <si>
    <t>BST Galaxy AH 0 - BST Galaxy x Marimoo</t>
  </si>
  <si>
    <t>Hamar ou empate - Hamar Hveragerdi x Aarborg</t>
  </si>
  <si>
    <t>Hamar AH +0,25 - Hamar Hveragerdi x Aarborg</t>
  </si>
  <si>
    <t>Shabab AH +0,25 - Shabab Al-Sahel x Tripoli SC</t>
  </si>
  <si>
    <t>CR Belouizdad AH 0 - CS Constantine Sub-21 x CR Belouizdad Sub-21</t>
  </si>
  <si>
    <t>NC Magra AH -0,75 - US Souf x NC Magra</t>
  </si>
  <si>
    <t>ATUS Ferlach AH +0,25 - ATUS Velden x ATUS Ferlach</t>
  </si>
  <si>
    <t>São José AH +0,5 - EC Taubaté Sub-20 x São José SP Sub-20</t>
  </si>
  <si>
    <t>Dalin Myslenice AH +0,5 - Wisla Krakow II x Dalin Myslenice</t>
  </si>
  <si>
    <t>Chateauroux AH 0 - Bourges Foot 18 II x Chateauroux II</t>
  </si>
  <si>
    <t>RC Kouba AH 0 HT - SKAF Khemis Miliana Sub-21 x RC Kouba Sub-21</t>
  </si>
  <si>
    <t>MKS Piaseczno AH 0 HT - KS Raszyn x MKS Piaseczno</t>
  </si>
  <si>
    <t>Napoli AH +0,5 - Napoli Sub-19 x Udinese Sub-19</t>
  </si>
  <si>
    <t>B71 Sandur AH 0 HT - B71 Sandur x TB Tvoroyri</t>
  </si>
  <si>
    <t>Skive AH 0 - Brabrand x Skive</t>
  </si>
  <si>
    <t>Bahlinger AH 0 - Bahlinger SC x TSV Schott Mainz</t>
  </si>
  <si>
    <t>KF Llapi AH 0 - KF Llapi x KF Ballkani</t>
  </si>
  <si>
    <t>Zeljeznicar DNB - Zeljeznicar Banja Luka x Romanija Pale</t>
  </si>
  <si>
    <t>Bos. e Herz</t>
  </si>
  <si>
    <t>Zeljeznicar AH +0,5 - Zeljeznicar Banja Luka x Romanija Pale</t>
  </si>
  <si>
    <t>Under 2,25 - Platges de Calviá x Poblense</t>
  </si>
  <si>
    <t>Virgen de Chijipata AH 0 - Virgen de Chijipata x ABB</t>
  </si>
  <si>
    <t>Gwarek AH 0 - Gwarek Tarnowskie Gory x Stilon Gorzow</t>
  </si>
  <si>
    <t>Salgueiros AH 0 - Salgueiros Sub-19 x SC Espinho Sub-19</t>
  </si>
  <si>
    <t>Seixal AH 0 - Seixal Clube 1925 Sub-19 x Portimonense Sub-19</t>
  </si>
  <si>
    <t>Guediawaye AH 0 - Diambars FC x Guediawaye FC</t>
  </si>
  <si>
    <t>West Ham AH +3,25 - Man City x West Ham</t>
  </si>
  <si>
    <t>DUT Midlands AH 0 HT - UKZN FC (fem) x DUT Midlands (fem)</t>
  </si>
  <si>
    <t>SP Falcons AH -1,0 - Tuv Azarganuud x SP Falcons FC</t>
  </si>
  <si>
    <t>Não - para ambos os times marcarem - Nantes Sub-19 x Montpellir Sub-19</t>
  </si>
  <si>
    <t>BTTS Não</t>
  </si>
  <si>
    <t>Simba AH +0,5 - Chicken Inn FC x Simba Bhora</t>
  </si>
  <si>
    <t>Bordeaux AH +0,75 - Bordeaux Sub-19 (fem) x St Etienne Sub-19 (fem)</t>
  </si>
  <si>
    <t>Reims AH 0 - Reims Sub-19 (fem) x Metz Sub-19 (fem)</t>
  </si>
  <si>
    <t>Under 2,25 - Utiel x Jove Espanol</t>
  </si>
  <si>
    <t>Swit AH 0 - Blekitni Stargard x Swit Szczecin</t>
  </si>
  <si>
    <t>Throttur AH -0,5 - Throttur Reykjavik (fem) x Fylkir Reykjavik (fem)</t>
  </si>
  <si>
    <t>Unique Global AH 0 HT - Unique Global FC x Jarra West FC</t>
  </si>
  <si>
    <t>Tennessee AH 0 - Tennessee SC x Birmingham Legion FC Futures</t>
  </si>
  <si>
    <t>Centro Espanyol AH 0 - Centro Espanyol - Reservas x Puerto Nuevo - Reservas</t>
  </si>
  <si>
    <t>Under 1,75 - Marimoo x Wallidan FC</t>
  </si>
  <si>
    <t>Al Shorta AH -0,75 - Al Shorta SC x Al Karkh</t>
  </si>
  <si>
    <t>AS Douanes AH 0 - AS Douanes de Niamey x Sahel Niamey</t>
  </si>
  <si>
    <t>Al Najaf AH -0,25 - Naft Al-Wasat x Al Najaf</t>
  </si>
  <si>
    <t>Edo Queens AH 0 HT - Heartland Queens (fem) x Edo Queens (fem)</t>
  </si>
  <si>
    <t>Tabora AH 0 - Tabora United FC x Ihefu SC</t>
  </si>
  <si>
    <t>Under 2,75 - FC Bacau x AFC Metalul Buzau</t>
  </si>
  <si>
    <t>Puskas AH 0 - Puskas FC (fem) x MTK Budapest (fem)</t>
  </si>
  <si>
    <t>Sighetu DNB - Sighetu Marmatiei x CS Gloria 2018 Bistrita-Nasaud</t>
  </si>
  <si>
    <t>Al Quwa AH -0,25 - Al Quwa Al Jawiya x Al Kahrabaa</t>
  </si>
  <si>
    <t>Bragantino AH 0 - Bragantino Sub-20 x São Paulo Sub-20</t>
  </si>
  <si>
    <t>Egersunds AH 0 - Egersunds x Levanger</t>
  </si>
  <si>
    <t>JKU AH -0,25 HT - JKU FC x Chipukizi FC</t>
  </si>
  <si>
    <t>Over 8,0 cantos - Borac Banja Luka x Zrinjski Mostar</t>
  </si>
  <si>
    <t>Eclair de Saa AH 0 HT - Amazone FAP (fem) x Eclair de Saa (fem)</t>
  </si>
  <si>
    <t>Over 3,75 - Hapoel Ramat Gan x Sektzia Nes Tziona</t>
  </si>
  <si>
    <t>Union Espanola AH 0 - Audax Italiano Sub-21 x Union Espanola Sub-21</t>
  </si>
  <si>
    <t>Itapirense AH +0,25 - Itapirense Sub-20 x Aguaí Sub-20</t>
  </si>
  <si>
    <t>SK Bischofshofen AH 0 - SK Bischofshofen x SC Schwarz</t>
  </si>
  <si>
    <t>B36 Torshavn AH 0 - AB Argir x B36 Torshavn II</t>
  </si>
  <si>
    <t>Notec AH 0 HT - Notec Czarnkow x Stolem Gniewino</t>
  </si>
  <si>
    <t>Hallescher AH -0,5 - Hallescher FC x Halberstadt</t>
  </si>
  <si>
    <t>Under 3,5 - Pardubice (fem) x Lokomotiva BH Herspice (fem)</t>
  </si>
  <si>
    <t>NK Osijek AH +0,25 HT - Dinamo Zagreb Sub-19 x NK Osijek Sub-19</t>
  </si>
  <si>
    <t>NEC FC AH 0 HT - NEC FC Bugolobi x Kitara FC</t>
  </si>
  <si>
    <t>Dundalk AH 0 - Dundalk Sub-20 x Finn Harps Sub-20</t>
  </si>
  <si>
    <t>Al Gharafa AH 0 - Al Sinaah x Al Gharafa</t>
  </si>
  <si>
    <t>Under 2,25 - A.D. Limianos x Amarante</t>
  </si>
  <si>
    <t>Man City AH -1,0 - Man City x Man Utd</t>
  </si>
  <si>
    <t>Ethiopia AH 0 - Ethiopia Nigd Bank (fem) x Hawassa City FC (fem)</t>
  </si>
  <si>
    <t>Etiopia</t>
  </si>
  <si>
    <t>Granica AH 0 HT - Olimpia Olsztynek x Granica Ketrzyn</t>
  </si>
  <si>
    <t>Sacavenense sub19 - Alcochetense sub19 x Sacavenense sub19</t>
  </si>
  <si>
    <t>Mighty Tigers AH 0 HT - Mighty Tigers x Kamuzu Barracks</t>
  </si>
  <si>
    <t>Dynamos AH +0,5 - FC Platinum x Dynamos</t>
  </si>
  <si>
    <t>FK Dainava AH 0 HT - Banga Gargzdai x FK Dainava Alytus</t>
  </si>
  <si>
    <t>Under 2,25 - Ciudad Lucena x AD Ceuta FC B</t>
  </si>
  <si>
    <t>KFS AH 0 - KA Asvellir x KFS</t>
  </si>
  <si>
    <t>ZNK Agram AH 0 HT - ZNK Agram (fem) x NK Medimurje Cakovec (fem)</t>
  </si>
  <si>
    <t>Debreceni AH 0 - Debreceni VSC II x Tiszafured VSE</t>
  </si>
  <si>
    <t>Esteghlal AH -0,5 - Esteghlal Tehran x Gol Gohar</t>
  </si>
  <si>
    <t>Ethio Electric AH 0 - Addis Ababa Ketema (fem) x Ethio Electric FC (fem)</t>
  </si>
  <si>
    <t>Ethio Electric AH 0 HT - Addis Ababa Ketema (fem) x Ethio Electric FC (fem)</t>
  </si>
  <si>
    <t>Shooting AH 0 - El Kanemi Warriors x Shooting Stars</t>
  </si>
  <si>
    <t>JKU AH 0 - JKU FC x Zimamoto SC</t>
  </si>
  <si>
    <t>Guiné AH 0 HT - Guiné Sub-20 (fem) x Libéria Sub-20 (fem)</t>
  </si>
  <si>
    <t>Under 2,5 - Turkspor Augsburg x Gundelfingen</t>
  </si>
  <si>
    <t>Dornbirner AH 0 HT - Dornbirner SV x Rot-Weiss Rankweil</t>
  </si>
  <si>
    <t>Old Edwardians AH +0,25 - FC Kallon x Old Edwardians</t>
  </si>
  <si>
    <t>Stromsgodset marcar 7º gol - Honefoss Sub-19 x Stromsgodset Sub-19</t>
  </si>
  <si>
    <t>SteDoco AH 0 - Harkemase Boys x SteDoco</t>
  </si>
  <si>
    <t>ASK Klagenfurt AH +0,5 - Deutschlandsberger SC x ASK Klagenfurt</t>
  </si>
  <si>
    <t>Aguaí AH 0 HT - Aguaí Sub-20 x Porto Ferreira Sub-20</t>
  </si>
  <si>
    <t>SV Allerheiligen AH 0 - SV Allerheiligen x UVB Vocklamarkt</t>
  </si>
  <si>
    <t>Over 0,5 - Al Zawra'a x Al Minaa</t>
  </si>
  <si>
    <t>Eibar AH 0 - Athletic Bilbao (fem) x Eibar (fem)</t>
  </si>
  <si>
    <t>SV Tasmania AH 0 - SV Tasmania Berlim x Sparta Lichtenberg</t>
  </si>
  <si>
    <t xml:space="preserve">Over 6,75 - Mendiola FC x One Taguig FC </t>
  </si>
  <si>
    <t>UD Norte AH +0,5 - Atletico Granadilla x UD Norte</t>
  </si>
  <si>
    <t>Over 2,75 - Remo Stars x Kano Pillars</t>
  </si>
  <si>
    <t>Team Rhino AH +0,5 - Banjul United x Team Rhino FC</t>
  </si>
  <si>
    <t>Over 0,75 - Persepolis x Mes Rafsanjan</t>
  </si>
  <si>
    <t>Millonarios AH +0,5 - Cala Cala x Millonarios FC</t>
  </si>
  <si>
    <t>VfB Bezau AH +0,25 - VfB Bezau x Blau Weiss Feldkirch</t>
  </si>
  <si>
    <t>Stade Renard AH 0 - Isohsa Limbe x Stade Renard de Melong</t>
  </si>
  <si>
    <t>Union Ostermiething AH 0 HT - SV Bad Ischl x Union Ostermiething</t>
  </si>
  <si>
    <t>Sapphire AH 0 - Sapphire FC (fem) x Shooting Stars (fem)</t>
  </si>
  <si>
    <t>Skjetten AH 0 HT - Skjetten x Aalesunds FK 2</t>
  </si>
  <si>
    <t>TSV Meerbusch AH 0 - TSV Meerbusch x VfB Hilden</t>
  </si>
  <si>
    <t>Anguiano AH 0 HT - Oyonesa x Anguiano</t>
  </si>
  <si>
    <t>Over 0,75 - Shooting Stars x Abia Warriors</t>
  </si>
  <si>
    <t>União Suzano AH 0 HT - São José SP Sub-20 x União Suzano Sub-20</t>
  </si>
  <si>
    <t>União Suzano AH 0 - São José SP Sub-20 x União Suzano Sub-20</t>
  </si>
  <si>
    <t>Omã AH +0,5 - Iraque Sub-20 x Omã Sub-20</t>
  </si>
  <si>
    <t>Bristol de Mercedes AH +0,5 - Bristol de Mercedes x Litoral de Paysandu</t>
  </si>
  <si>
    <t>Midwest AH 0 - AFC Ann Arbor (fem) x Midwest United (fem)</t>
  </si>
  <si>
    <t>Under 2,25 - Club Guaraní x 2 de Mayo</t>
  </si>
  <si>
    <t>Under 2,0 - Gambian Dutch Lions x Medina United FC</t>
  </si>
  <si>
    <t>Under 2,25 - Gambian Dutch Lions x Medina United FC</t>
  </si>
  <si>
    <t>TSV Grafenstein DNB - ASKO Kottmannsdorf x TSV Grafenstein</t>
  </si>
  <si>
    <t>TSV Grafenstein AH +0,25 HT - ASKO Kottmannsdorf x TSV Grafenstein</t>
  </si>
  <si>
    <t>ASKO Kottmannsdorf AH +0,25 - ASKO Kottmannsdorf x TSV Grafenstein</t>
  </si>
  <si>
    <t>Letônia AH 0 - Letônia Sub-21 x Lituânia Sub-21</t>
  </si>
  <si>
    <t>Cremonese AH 0 - Cremonese Sub-19 x Verona Sub-19</t>
  </si>
  <si>
    <t>Excursionistas AH 0 HT - Canuelas FC Sub-20 x Excursionistas Sub-20</t>
  </si>
  <si>
    <t>Malindi AH 0 - Malindi x Uhamiaji FC</t>
  </si>
  <si>
    <t>Star Starachowice AH +0,5 - Star Starachowice x Wieczysta Krakow</t>
  </si>
  <si>
    <t>JKU AH 0 - Kundemba FC x JKU FC</t>
  </si>
  <si>
    <t>JK Tabasalu AH -0,75 - JK Tabasalu (fem) x JK Tallinna Kalev (fem)</t>
  </si>
  <si>
    <t>Under 2,25 - HerTo x FC Loviisa</t>
  </si>
  <si>
    <t>FC Gamlitz AH +0,25 - SC Furstenfeld x FC Gamlitz</t>
  </si>
  <si>
    <t>Cosmopolitano AH 0 - Cosmopolitano Sub-20 x XV de Piracicaba Sub-20</t>
  </si>
  <si>
    <t>Over 4,25 - Coritiba x Ituano</t>
  </si>
  <si>
    <t>SG Union Sandersdorf AH 0 HT - SG Union Sandersdorf x SC Freital</t>
  </si>
  <si>
    <t>Under 3,25 - FC Hoyvik (fem) x TB/FCS/Royn (fem)</t>
  </si>
  <si>
    <t>TB/FCS/Royn AH 0 - FC Hoyvik (fem) x TB/FCS/Royn (fem)</t>
  </si>
  <si>
    <t>Kings AH +0,25 - LehPa x Kings SC</t>
  </si>
  <si>
    <t>Winterthur AH 0 - Neuchatel Xamax Sub-19 x Winterthur Sub-19</t>
  </si>
  <si>
    <t>Brondby AH 0 - Fortuna Hjorring (fem) x Brondby IF (fem)</t>
  </si>
  <si>
    <t>Under 2,25 - Ardoi x Huarte</t>
  </si>
  <si>
    <t>EBK AH +0,25 - EBK x I-Kissat</t>
  </si>
  <si>
    <t>SK Brann ML - SK Brann (fem) x Lillestrom SK (fem)</t>
  </si>
  <si>
    <t>Under 2,5 - Maua Sub-23 x GE Mauaense Sub-23</t>
  </si>
  <si>
    <t>Under 2,0 - Rio Branco ES x Vitória ES</t>
  </si>
  <si>
    <t>FC Zdas Zdas AH +0,25 - SFK Vrchovina B x FC Zdas Zdar Nad Sazavou B</t>
  </si>
  <si>
    <t>Under 2,0 - Gâmbia - Ports Authority x Jam City</t>
  </si>
  <si>
    <t>Under 2,5 - Letônia x Ilhas Faroé</t>
  </si>
  <si>
    <t>Chipre AH -0,75 - San Marino x Chipre</t>
  </si>
  <si>
    <t>Rondonópolis AH 0 HT - Rondonópolis Sub-20 x União Rondonópolis Sub-20</t>
  </si>
  <si>
    <t>Bavarian AH -0,5 - RKC Third Coast (fem) x Bavarian United (fem)</t>
  </si>
  <si>
    <t>Enyimba AH -0,75 - Enyimba x Bayelsa United</t>
  </si>
  <si>
    <t>Mjondalen AH +0,75 - Stabaek x Mjondalen</t>
  </si>
  <si>
    <t>Glasssverket DNB - Glassverket Sub-19 x Stromsgodset Sub-19</t>
  </si>
  <si>
    <t>Stromsgodset AH 0 - Glassverket Sub-19 x Stromsgodset Sub-19</t>
  </si>
  <si>
    <t>Uhamiaji AH +0,5 - Kundemba FC x Uhamiaji FC</t>
  </si>
  <si>
    <t>NG Uhamiaji 1ºgol - Kundemba FC x Uhamiaji FC</t>
  </si>
  <si>
    <t>Escócia AH +1,5 - Alemanha x Escócia</t>
  </si>
  <si>
    <t>Euro 2024</t>
  </si>
  <si>
    <t>Under 2,0 - BK Milan x Hawks FC</t>
  </si>
  <si>
    <t>CA San Telmo AH 0 - CA San Telmo - Reservas x Almirante Brown - Reservas</t>
  </si>
  <si>
    <t>Under 2,5 - Trindade Sub-20 x Vila Nova Sub-20</t>
  </si>
  <si>
    <t>Skeid AH 0 - Skeid Sub-19 x Hamarkameratene Sub-19</t>
  </si>
  <si>
    <t>Under 3,5 - Al-Istiqlal (fem) x Al-Hussein SC (fem)</t>
  </si>
  <si>
    <t>Lidkopings AH -0,25 - Lidkopings FK x BK Forward</t>
  </si>
  <si>
    <t>Under 0,5 - Al-Naser (fem) x Amman FC (fem)</t>
  </si>
  <si>
    <t>Alemanha AH -1,5 - Alemanha x Escócia</t>
  </si>
  <si>
    <t>Viking AH +0,25 - Arendal x Viking 2</t>
  </si>
  <si>
    <t>Esbjerg AH -0,75 - Esbjerg x Nykobing</t>
  </si>
  <si>
    <t>FA 2000 AH 0 - Brabrand x FA 2000</t>
  </si>
  <si>
    <t>HJK Helsinki AH +0,25 - FC Honka Sub-20 x HJK Helsinki Sub-20</t>
  </si>
  <si>
    <t>Under 2,0 - Entente 2 x ASC Kara</t>
  </si>
  <si>
    <t>Aluminium AH 0 - Aluminium Arak x Mes Rafsanjan</t>
  </si>
  <si>
    <t>Taquaritinga AH +0,25 - Taquaritinga x União São João</t>
  </si>
  <si>
    <t>Dalian AH - 0,5 - Xi'an Chongde x Dalian K'un City FC</t>
  </si>
  <si>
    <t>Blue Birds AH +0,25 - Blue Birds FC (fem) x Johannesburg Uni B (fem)</t>
  </si>
  <si>
    <t>SV Lassing AH 0 HT - ESV Murzzuschlag x SV Lassing</t>
  </si>
  <si>
    <t>Fredrikstad AH 0 - Fredrisktad 2 x Innstranden</t>
  </si>
  <si>
    <t>Cusco AH +0,25 - Cusco FC - Reservas x Cienciano - Reservas</t>
  </si>
  <si>
    <t>Over 2,5 - Goiás x Coritiba</t>
  </si>
  <si>
    <t>Hambericho AH -0,25 - Lideta Sub City (fem) x Hambericho Durame (fem)</t>
  </si>
  <si>
    <t>Under 2,0 - Al Najaf x Al Hudod</t>
  </si>
  <si>
    <t>Portugal AH -0,75 - Portugal x Rep. Tcheca</t>
  </si>
  <si>
    <t>Under 2,5 - Arba Minch (fem) x Sidama Bunna (fem) (cash)</t>
  </si>
  <si>
    <t>Under 2,5 - Arba Minch (fem) x Sidama Bunna (fem)</t>
  </si>
  <si>
    <t>Under 2,0 - Al-Masafi x Peshmerga Sulaymaniya SC (cash)</t>
  </si>
  <si>
    <t xml:space="preserve">Over 9,5 cantos - Botafogo x Athletico Paranaense </t>
  </si>
  <si>
    <t>Zakho AH +0,5 - Zakho x Al Shorta SC</t>
  </si>
  <si>
    <t>Under 10,0 cantos - Atlético GO x Criciúma</t>
  </si>
  <si>
    <t>Undre 2,25 - Atlético Vega Real x Delfines Del Este</t>
  </si>
  <si>
    <t>Rep. Dominic.</t>
  </si>
  <si>
    <t>Over 10,5 cantos - Palmeiras x Bragantino</t>
  </si>
  <si>
    <t>AFAD AH +0,25 - AFAD Djekanou x Racing Club Abidjan</t>
  </si>
  <si>
    <t>Eslováquia AH +0,25 - Eslováquia x Ucrânia</t>
  </si>
  <si>
    <t>N</t>
  </si>
  <si>
    <t>AS Pompier AH 0 - AS Pompier x ASC Snim</t>
  </si>
  <si>
    <t>ASC Snim AH 0 - AS Pompier x ASC Snim</t>
  </si>
  <si>
    <t>Santo André AH 0 - Santo André Sub-20 x Grêmio Prudente Sub-20</t>
  </si>
  <si>
    <t>Drobak AH -0,75 - Valerenga Sub-19 x Drobak/Frogn Sub-19</t>
  </si>
  <si>
    <t>Sem o 1º gol - Mamelodi Sundowns (fem) x University of Fort Hare (fem)</t>
  </si>
  <si>
    <t>República Tcheca AH -0,75 - Geórgia x República Tcheca</t>
  </si>
  <si>
    <t>Ngezi AH 0 - Herentals FC x Ngezi Platinum FC</t>
  </si>
  <si>
    <t>UD Playas AH +0,5 - CD Vera x UD Playas de Sotavento</t>
  </si>
  <si>
    <t>ZNK Osijek AH -0,5 - ZNK Osijek (fem) x Dinamo Maksimir (fem)</t>
  </si>
  <si>
    <t>Under 10,0 cantos - Operário PR x Botafogo de Ribeirão Preto</t>
  </si>
  <si>
    <t>Bragantino AH 0 - Bragantino II x São Bento</t>
  </si>
  <si>
    <t xml:space="preserve">Over 1,5 - Creck SC x Nyasa Big Bullets </t>
  </si>
  <si>
    <t xml:space="preserve">Rines AH 0 - She Corporate (fem) x Rines SS WFC (fem) </t>
  </si>
  <si>
    <t>Under 10,5 cantos - Bragantino x Vitória</t>
  </si>
  <si>
    <t>Villa Dalmine AH +0,25 - Villa Dalmine - Reservas x Argentino Merlo - Reservas</t>
  </si>
  <si>
    <t>Under 2,0 - Kanifing East FC x Immigration FC</t>
  </si>
  <si>
    <t>JJ Urquiza AH 0 - Dep. Muniz Reserves x JJ Urquiza - Reservas</t>
  </si>
  <si>
    <t>Under 10,0 cantos - América Mineiro x Avaí</t>
  </si>
  <si>
    <t>UD Songo AH +0,5 - Ferroviario Maputo x UD Songo</t>
  </si>
  <si>
    <t>Arna-Bjornar AH -0,5 - Arna-Bjornar (fem) x Viking FK (fem)</t>
  </si>
  <si>
    <t>Portland AH +1,0 - Minnesota United FC II x Portland Timbers II</t>
  </si>
  <si>
    <t>Over 10,5 cantos - Botafogo x Bragantino</t>
  </si>
  <si>
    <t xml:space="preserve">Under 11,0 cantos - Atlético GO x Grêmio </t>
  </si>
  <si>
    <t>Ballymena AH +0,25 - Belfast Celtic (fem) x Ballymena Utd (fem)</t>
  </si>
  <si>
    <t>Under 2,5 - Mechal FC (fem) x Hawassa City FC (fem)</t>
  </si>
  <si>
    <t>Ferroviária AH 0 - Internacional (fem) x Ferroviária (fem)</t>
  </si>
  <si>
    <t>Bonsucesso ML - Zinzane FC Sub-20 x Bonsucesso FC Sub-20</t>
  </si>
  <si>
    <t>KFUM AH +0,5 - Lillestrom x KFUM</t>
  </si>
  <si>
    <t>Internacional AH 0 -  Internacional (fem) x Ferroviária (fem)</t>
  </si>
  <si>
    <t>Under 2,5 - JS Omrane x ES Zarzis</t>
  </si>
  <si>
    <t>Under 2,75 - SV Ried x Universitatea Cluj</t>
  </si>
  <si>
    <t>HB Torshavn AH -0,75 - B68 Toftir x HB Torshavn</t>
  </si>
  <si>
    <t>CEFAT Tirol AH 0 - CEFAT Tirol Sub-20 x Ceará Sub-20</t>
  </si>
  <si>
    <t>Eik Tonsberg Ah 0,25 - Lysekloster x Eik Tonsberg</t>
  </si>
  <si>
    <t>AH +</t>
  </si>
  <si>
    <t>Under 2,0 gols - Baka City x Bangwe All Stars</t>
  </si>
  <si>
    <t>Highlanders FC AH 0 - Yadah x Highlanders</t>
  </si>
  <si>
    <t>Viking AH 0 - Ovrevoll Hosle (fem) x Viking FK (fem)</t>
  </si>
  <si>
    <t>MFK Karvina AH 0 - MFK Karvina x GKS Tychy</t>
  </si>
  <si>
    <t>Under 10,5 cantos - MFK Karvina x GKS Tychy</t>
  </si>
  <si>
    <t xml:space="preserve">Suíça AH 0 - Suíça x Itália </t>
  </si>
  <si>
    <t>Eurocopa</t>
  </si>
  <si>
    <t>Under 2,25 - Colorado Caieiras Sub-23 x Sao Carlos Sub-23</t>
  </si>
  <si>
    <t>Under 2,5 - Tampa Bay United x Miami AC</t>
  </si>
  <si>
    <t>Coquimbo AH 0 - Coquimbo Unido x CD Transandino de Los Andes</t>
  </si>
  <si>
    <t>Aliança AH +0,75 - Aliança CE Sub-20 x FC Atlético Cearense Sub-20</t>
  </si>
  <si>
    <t>Over 10,0 cantos - Ceará x Ituano</t>
  </si>
  <si>
    <t>Over 1,75 - CIVO United x Silver Strikers</t>
  </si>
  <si>
    <t>Fortaleza AH -0,75 - Ferroviario Sub-20 x Fortaleza Sub-20</t>
  </si>
  <si>
    <t>Karonga AH +0,5 - Dedza Dynamos x Karonga United</t>
  </si>
  <si>
    <t>Al Talaba AH 0 - Al Talaba x Al Qasim SC</t>
  </si>
  <si>
    <t>Costa Rica AH 0 - Costa Rica Sub-20 x El Salvador Sub-20</t>
  </si>
  <si>
    <t>Amist. Intern.</t>
  </si>
  <si>
    <t>Toledo AH 0 - Kings Hammer FC x Toledo Villa FC</t>
  </si>
  <si>
    <t>Municipal Salamanca ML - FC Puente Alto x Municipal Salamanca</t>
  </si>
  <si>
    <t>Than KSVN AH 0 - Than KSVN (fem) x Ha Noi (fem)</t>
  </si>
  <si>
    <t>Over 10,0 cantos - Sandefjord x Tromso</t>
  </si>
  <si>
    <t>Oakland AH 0 - Lansing City Football x Oakland County FC</t>
  </si>
  <si>
    <t>Under 2,75 - Arba Minch (fem) x Adama Ketema (fem)</t>
  </si>
  <si>
    <t>Over 2,0 - São Jose RS x Athletic Club MG</t>
  </si>
  <si>
    <t>Estudiantes AH 0 - Estud. de Buenos Aires - Reservas x Almirante Brown - Res</t>
  </si>
  <si>
    <t>Palmeiras AH -0,75 - Palmeiras Sub-20 x Santos Sub-20</t>
  </si>
  <si>
    <t>Ajax AH -0,5 - Ajax x PEC Zwolle</t>
  </si>
  <si>
    <t>Over 10,5 cantos - JaPS x KTP</t>
  </si>
  <si>
    <t>Sloboda AH 0 - Spartak Subotica x Sloboda Uzice</t>
  </si>
  <si>
    <t>Over 0,75 - Costa Rica Sub-20 x El Salvador Sub-20</t>
  </si>
  <si>
    <t>Al Talaba AH -0,25 - Al Minaa x Al Talaba</t>
  </si>
  <si>
    <t>Vindbjart AH 0 - Sandnes Ulf 2 x Vindbjart</t>
  </si>
  <si>
    <t>EBK ML - TPS (fem) x EBK (fem)</t>
  </si>
  <si>
    <t>Telstar AH -0,5 - Telstar x ADO'20</t>
  </si>
  <si>
    <t>Askollen AH 0 HT - Ullern x Askollen</t>
  </si>
  <si>
    <t>PK-37 AH +0,25 - LehPa x PK-37 (cash)</t>
  </si>
  <si>
    <t>FC Utrecht AH 0 - FC Utrecht x Silkeborg IF</t>
  </si>
  <si>
    <t>LehPa AH 0 - LehPa x PK-37</t>
  </si>
  <si>
    <t>Clube Ferroviário AH +0,25 - Costa do Sol x Clube Ferroviário da Beira</t>
  </si>
  <si>
    <t>Brommapojkarna AH 0 - Vaxjo (fem) x Brommapojkarna (fem)</t>
  </si>
  <si>
    <t>AS Mande AH 0 - USFAS (fem) x AS Mande (fem)</t>
  </si>
  <si>
    <t>Amazones AH 0 - Amazones C5 (fem) x AS Police (fem)</t>
  </si>
  <si>
    <t xml:space="preserve">Under 2,5 - Huracan Buceo x Deportivo Italiano </t>
  </si>
  <si>
    <t>Houston AH 0 - Chicago Red Stars (fem) x Houston Dash (fem)</t>
  </si>
  <si>
    <t>Under 2,5 - Canadian SC x Mar de Fondo</t>
  </si>
  <si>
    <t>Bodo/Glimt AH -0,25 - Viking FK (fem) x Bodo/Glimt (fem)</t>
  </si>
  <si>
    <t>Coritiba ML - Coritiba x Paysandu</t>
  </si>
  <si>
    <t>UD Songo AH 0 - Brera Tchumene x UD Songo</t>
  </si>
  <si>
    <t>Hottur AH 0 - Reynir Sandgerdi x Hottur/Huginn</t>
  </si>
  <si>
    <t>Pinn dorp</t>
  </si>
  <si>
    <t>12 de Octubre AH 0 - 12 de Octubre Itaugua x Club Dr Benjamin Aceval</t>
  </si>
  <si>
    <t>Shakhter AH 0 - Shakhter Karagandy x Zhetysu</t>
  </si>
  <si>
    <t>Al Shorta AH -0,5 - Al Shorta SC x Al Naft SC</t>
  </si>
  <si>
    <t>Gimnasia AH +0,25 - Gimnasia LP (fem) x Boca Juniors (fem)</t>
  </si>
  <si>
    <t>Sportivo Ameliano AH 0 - 2 de Mayo (fem) x Sportivo Ameliano (fem)</t>
  </si>
  <si>
    <t>Sportivo Trinidense AH +0,5 - Cerro Porteno (fem) x Sportivo Trinidense (fem)</t>
  </si>
  <si>
    <t>Sportivo Trinidense AH +0,25 - Cerro Porteno (fem) x Sportivo Trinidense (fem)</t>
  </si>
  <si>
    <t>SC Villa -0,5 - SC Villa x El Merrikh</t>
  </si>
  <si>
    <t>CECAFA</t>
  </si>
  <si>
    <t>St Polten +1 - St Polten x Puskas Akademia</t>
  </si>
  <si>
    <t>Clachnacuddin AH +4 - Clachnacuddin x Ross County</t>
  </si>
  <si>
    <t>Civil Service Strollers AH +1 - Civil Service Strollers x Spartans</t>
  </si>
  <si>
    <t>Ulinzi Starlets AH -0,25 - Ulinzi Starlets (fem) x Kibera (fem)</t>
  </si>
  <si>
    <t>Red Arrows AH 0 - Gor Mahia x Red Arrows</t>
  </si>
  <si>
    <t>Frigg AH -0,75 - Skeid 2 x Frigg</t>
  </si>
  <si>
    <t>Rosenborg AH +0,25 - Sarpsborg x Rosenborg</t>
  </si>
  <si>
    <t>Grobinas AH -0,25 - Leevon PPK x Grobinas</t>
  </si>
  <si>
    <t>Bonner SC AH +0,5 - Bonner SC x Duisburg</t>
  </si>
  <si>
    <t>River Plate sub20 AH -0,25 - Boca Juniors sub20 x River Plate sub20</t>
  </si>
  <si>
    <t>Lucerne AH +0,25 - Lucerne x Stuttgart</t>
  </si>
  <si>
    <t>CN Santa Cruz AH 0 - Torre Fuerte x CN Santa Cruz</t>
  </si>
  <si>
    <t>Cesar Vallejo (fem) AH 0 - Deportivo Municipal (fem)  x Cesar Vallejo (fem)</t>
  </si>
  <si>
    <t>Tanzânia (fem) AH -0,25 - Botsuana (fem) x Tanzânia (fem)</t>
  </si>
  <si>
    <t>Rigas AH -0,25 - Rigas x Daygavpils</t>
  </si>
  <si>
    <t>Inter de Bebedouro -0,5 - Manthiqueira x Inter de Bebedouro</t>
  </si>
  <si>
    <t>Inter de Bebedouro -0,25 - Manthiqueira x Inter de Bebedouro</t>
  </si>
  <si>
    <t>Colorado Storm DNB - Detroit City (fem) x Colorado Storm (fem)</t>
  </si>
  <si>
    <t>Garelli United AH +0,5 - Philippine Army x Garelli United</t>
  </si>
  <si>
    <t>Phuentsholing Heroes FC AH 0 - Phuentsholing Heroes FC x Thimphu City</t>
  </si>
  <si>
    <t>Al Hudod AH 0 - Al Hudod x Al Karkh</t>
  </si>
  <si>
    <t>La Equidad Sub-19 AH 0 - Bogotá FC Sub-19 x La Equidad u19</t>
  </si>
  <si>
    <t>Under 2,25 - Bangwe All Stars x Mighty Tigers</t>
  </si>
  <si>
    <t>Malauí</t>
  </si>
  <si>
    <t>Under 2 - Bangwe All Stars x Mighty Tigers</t>
  </si>
  <si>
    <t>Bad Sauerbrunn AH 0 - Bad Sauerbrunn x SC Ortmann</t>
  </si>
  <si>
    <t>Al Ahly ML - Future FC x Al Ahly</t>
  </si>
  <si>
    <t>Under 2 - Operário PR x Goiás</t>
  </si>
  <si>
    <t>Big Bullets AH -0,5 - Big Bullets x FOMO</t>
  </si>
  <si>
    <t>AS Police AH 0 - AS Police (fem) x USFAS (fem)</t>
  </si>
  <si>
    <t>Under 2,25 - Gambia Ports Authority x Gambian Dutch Lions</t>
  </si>
  <si>
    <t>Kari AH -0,5 - Kari x Magni Grenivik</t>
  </si>
  <si>
    <t>Cerro Porteño AH -0,25  - Cerro Porteño Reservas X Sportivos Ameliano</t>
  </si>
  <si>
    <t>Johor Darul Takzim AH -0,5  - Kedah x Johor Darul Takzim</t>
  </si>
  <si>
    <t>Al Ahly Cairo AH -0,5  - Al Ahly Cairo X El Alominiom</t>
  </si>
  <si>
    <t>FC Ingolstadt AH 0 - FC Bergheim (fem) x FC Ingolstadt (fem)</t>
  </si>
  <si>
    <t>Under 3 -  Lokomotiv Oslo x Hodd 2</t>
  </si>
  <si>
    <t>Chicken Inn FC AH 0  - Arenel Movers Fc x Chicken Inn FC</t>
  </si>
  <si>
    <t>Mauaense Sub-23 AH 0  - Mauaense Sub-23 x Colorado Caieiras Sub-23</t>
  </si>
  <si>
    <t>América MG Sub-20 AH -0,25  - Boston City Sub-20 x América MG Sub-20</t>
  </si>
  <si>
    <t>Jorge Wilstermann AH -0,25 - Univ. De Vinto (fem) x Jorge Wilstermann (fem)</t>
  </si>
  <si>
    <t>Taquaritinga AH 0 - União São João x Taquaritinga</t>
  </si>
  <si>
    <t>Duque de Caxias AH 0 - Duque de Caxias x Marica</t>
  </si>
  <si>
    <t>SJK AH -0,5 - Mariehamm x SJK</t>
  </si>
  <si>
    <t>Mighty Wanderers AH 0 - MAFCO x Mighty Wanderers</t>
  </si>
  <si>
    <t>Over 0,5 - MAFCO x Mighty Wanderers</t>
  </si>
  <si>
    <t>CAPS United AH 0 - CAPS United x Herentals</t>
  </si>
  <si>
    <t>Silver Strikers AH -0,5 - Silver Strikers x FOMO</t>
  </si>
  <si>
    <t>Ham Kam AH 0 - Ham Kam x Fredrisktad</t>
  </si>
  <si>
    <t>3 de Noviembre AH 0 - General Diaz x 3 de Noviembre</t>
  </si>
  <si>
    <t>Ciclos Sub-19 AH 0 - Ciclos sub19 x Uraba Soccer Sub-19</t>
  </si>
  <si>
    <t>Melgar AH +0,5 - Melgar (fem) x Sporting Cristal (fem)</t>
  </si>
  <si>
    <t>Vera Cruz AH 0 - Vera Cruz x Uni Souza</t>
  </si>
  <si>
    <t>América de Pedrinhas DNB - América de P. Sub-20 x Frei Paulistano Sub-20</t>
  </si>
  <si>
    <t>Fortaleza ML - Fortaleza x Atlético-GO</t>
  </si>
  <si>
    <t>Under 2,0 - Moyale Barracks x Bangwe All Stars</t>
  </si>
  <si>
    <t>Real Sociedad AH 0 - Gamba Osaka x Real Sociedad</t>
  </si>
  <si>
    <t>Japão</t>
  </si>
  <si>
    <t>Sport Lagoa AH 0 - Sport Lagoa Seca Sub-20 x Treze Sub-20</t>
  </si>
  <si>
    <t>SWA AH +0,25 - SWA Sharks FC x Paradise FC International</t>
  </si>
  <si>
    <t>Granada</t>
  </si>
  <si>
    <t>ND Beltinci AH 0 - ND Beltinci x NK Varazdin</t>
  </si>
  <si>
    <t>Ansbach AH +0,25 - Bayern Munchen II x Ansbach</t>
  </si>
  <si>
    <t>Torino AH +0,25 - Torino Sub-19 x Trento</t>
  </si>
  <si>
    <t>Santos Laguna AH +0,5 - Chivas Guadalajara U19 (fem) x Santos Laguna U19 (fem)</t>
  </si>
  <si>
    <t>Costa del Este AH 0 - Costa del Este x Udelas FC</t>
  </si>
  <si>
    <t>Tranmere AH 0 - AFC Fylde x Tranmere</t>
  </si>
  <si>
    <t>Sorrento AH 0 - Sorrento x Roma Sub-19</t>
  </si>
  <si>
    <t>TJ Partizan AH +0,5 - TJ Partizan Lubela x FC 34 Liptovsky Mikulas-Paludzka</t>
  </si>
  <si>
    <t>IL Ulfstind AH +0,5 - IL Ulsstind x Honefoss</t>
  </si>
  <si>
    <t>Under 6,5 - IL Ulsstind x Honefoss</t>
  </si>
  <si>
    <t>Inter de Minas AH +0,5 - Inter de Minas Sub-20 x Cruzeiro Sub-20</t>
  </si>
  <si>
    <t>Camp. Mineiro</t>
  </si>
  <si>
    <t>Basanez AH 0 - Huracan Buceo x Basanez</t>
  </si>
  <si>
    <t>Málaga AH 0 - Málaga x Almería</t>
  </si>
  <si>
    <t>Sacramento AH 0 - Detroit City FC x Sacramento Republic</t>
  </si>
  <si>
    <t>Under 3 - Mighty Wanderers x Big Bullets</t>
  </si>
  <si>
    <t>Darmstadt AH 0 - Darmstadt x Hunfelder SV</t>
  </si>
  <si>
    <t>Fintice AH +0,75 - OSK Fintice x Sokol Chiminianska</t>
  </si>
  <si>
    <t>Fintice AH +0,5 - OSK Fintice x Sokol Chiminianska</t>
  </si>
  <si>
    <t>Sokol DC - OSK Fintice x Sokol Chiminianska</t>
  </si>
  <si>
    <t>Sokol AH 0 - OSK Fintice x Sokol Chiminianska</t>
  </si>
  <si>
    <t>Penzugyor AH 0 - BKV Elore - Penzugyor</t>
  </si>
  <si>
    <t>Monterrey AH 0 - Mazatlan FC Sub-19 (fem) x Monterrey U19 Women</t>
  </si>
  <si>
    <t>West Adelaide AH 0 - West Adelaide - Res (fem) x West Torrens Birkalla - Res (fem)</t>
  </si>
  <si>
    <t>Recolta AH +0,75 - ACS Progresul Fundulea x Recolta Gheorghe Doja</t>
  </si>
  <si>
    <t>Recolta ML - ACS Progresul Fundulea x Recolta Gheorghe Doja</t>
  </si>
  <si>
    <r>
      <rPr>
        <rFont val="&quot;docs-Proxima Nova&quot;"/>
        <color rgb="FF000000"/>
      </rPr>
      <t>Club Sportivo AH 0 - Club General Diaz x Club Sportivo Limpeno</t>
    </r>
  </si>
  <si>
    <t xml:space="preserve">   </t>
  </si>
  <si>
    <t>S</t>
  </si>
  <si>
    <t>95%%</t>
  </si>
  <si>
    <t>Duque de Caxias AH 0 - Artsul x Duque de Caxias FC</t>
  </si>
  <si>
    <t>Camp. Carioca</t>
  </si>
  <si>
    <t>Over 0,5 - Artsul x Duque de Caxias FC</t>
  </si>
  <si>
    <t>Silva AH 0 - Atletico Arteixo x Silva SD</t>
  </si>
  <si>
    <t xml:space="preserve">         </t>
  </si>
  <si>
    <t xml:space="preserve"> </t>
  </si>
  <si>
    <t>Copa</t>
  </si>
  <si>
    <t>20%%</t>
  </si>
  <si>
    <t>POs</t>
  </si>
  <si>
    <t>Visitante</t>
  </si>
  <si>
    <t>Mandante</t>
  </si>
  <si>
    <t>Lusitânia AH 0 - Benfica Castelo Branco x Lusitânia</t>
  </si>
  <si>
    <t>Kusadasispor AH +0,25 - Duzcespor x Kusadasispor</t>
  </si>
  <si>
    <t>Dire Dawa AH 0 - Adama City x Dire Dawa</t>
  </si>
  <si>
    <t>Ekwendeni AH +0,25 - Red Lions x Ekwendeni Hammers</t>
  </si>
  <si>
    <t>Under 6,5 - Tuna Luso Sub-20 x Boca Juniors Sub-20</t>
  </si>
  <si>
    <t>Real Tamale AH +0,5 - Nations FC x Real Tamale United</t>
  </si>
  <si>
    <t>NG Real Tamale (3º gol) - Nations FC x Real Tamale United</t>
  </si>
  <si>
    <t>CF Alhendin AH 0 - CF Alhendin Balompie Sub-19 x Malaga Sub-19</t>
  </si>
  <si>
    <t>Real SC AH +0,25 - Nacional Sub-19 x Real SC U19</t>
  </si>
  <si>
    <t>Múltipla cantos - Inter x Am MG + CFC x Grêmio + Botaf x Pal + Atl GO x Nov</t>
  </si>
  <si>
    <t>Múltipla</t>
  </si>
  <si>
    <t>Over 10,5 cantos - Atlético GO x Novorizontino</t>
  </si>
  <si>
    <t>Bahia DNB - Retro FC Brasil Sub-19 x Bahia Sub-19</t>
  </si>
  <si>
    <t>Under 1,5 - Clube de Regatas Brasil Sub-19 x Jacuipense Sub-19</t>
  </si>
  <si>
    <t>Over 2,75 - Coritiba x Grêmio</t>
  </si>
  <si>
    <t>CA Porto AH +0,25 - CA Porto Sub-19 x Flamengo Sub-19</t>
  </si>
  <si>
    <t>Khalij AH 0 HT - Khalij Fars Mahshahr x FC Darya Babol</t>
  </si>
  <si>
    <t>Flamengo AH 0 HT - Flamengo Sub-19 x EC Vitoria Sub-19</t>
  </si>
  <si>
    <t>FC Suhareka DNB - KF Ferizaj x FC Suhareka</t>
  </si>
  <si>
    <t>Flamengo AH 0 - Flamengo Sub-19 x EC Vitoria Sub-19</t>
  </si>
  <si>
    <t>Tarpa AH +0,5 - Kisvarda FC Sub-19 x Tarpa SC Sub-19</t>
  </si>
  <si>
    <t>Mlandege AH 0 - Mlandege FC x Malindi</t>
  </si>
  <si>
    <t>Mlandege DNB - Mlandege FC x Malindi</t>
  </si>
  <si>
    <t>Under 2,5 - SC Znojmo x Frydek Mistek</t>
  </si>
  <si>
    <t>Margibi AH 0 HT - Margibi x Mighty Enforcers</t>
  </si>
  <si>
    <t>Margibi AH 0 - Margibi x Mighty Enforces</t>
  </si>
  <si>
    <t>Chelmianka AH +0,25 - KS Wiazownica x Chelmianka Chelm</t>
  </si>
  <si>
    <t>Erbil AH 0 - Erbil SC x Al Kahrabaa</t>
  </si>
  <si>
    <t>Fgura AH 0 - Fgura United x Saint Patrick FC Zabbar</t>
  </si>
  <si>
    <t>Hertha AH 0 - Wolfsburg Sub-19 x Hertha Berlin Sub-19</t>
  </si>
  <si>
    <t xml:space="preserve">Perdendo por 2 </t>
  </si>
  <si>
    <t>BSV Halle AH 0 - BSV Halle-Ammendorf x VfB Sangerhausen</t>
  </si>
  <si>
    <t>CS Campina AH 0 - CS Campina x ASCS Petrolul 95</t>
  </si>
  <si>
    <t>FC Metalist AH 0 HT - FC Metalist Kharkiv x Bukovyna Chernivtsi</t>
  </si>
  <si>
    <t>FC Svratka AH +0,25 - TJ Sokol Pohorelice x FC Svratka Brno</t>
  </si>
  <si>
    <t>FC Svratka AH 0 - TJ Sokol Pohorelice x FC Svratka Brno</t>
  </si>
  <si>
    <t>Ghiroda AH +0,25 - FC Drobeta Turnu Severin U19 x Ghiroda SI Giarmata VIII U19</t>
  </si>
  <si>
    <t>FC Player AH 0 - FC Player Bucuresti Sub-19 x CS CFR Constanta U19</t>
  </si>
  <si>
    <t>Vysocina AH 0 - Slovacko Sub-19 x Vysocina Jihlava Sub-19</t>
  </si>
  <si>
    <t>Kariobangi AH 0 - Nzoia Sugar x Kariobangi Sharks</t>
  </si>
  <si>
    <t>Kariobangi DNB - Nzoia Sugar x Kariobangi Sharks</t>
  </si>
  <si>
    <t>BVSC Zuglo AH 0 - Nyiregyhaza Spartacus U19 x BVSC Zuglo Sub-19</t>
  </si>
  <si>
    <t>Lucerne AH +0,5 - Lausanne Sports Sub-19 x Lucerne Sub-19</t>
  </si>
  <si>
    <t>Fortuna Dusseldorf AH +0,5 - Borussia M'gladbach II x Fortuna Dusseldorf II</t>
  </si>
  <si>
    <t>Fortuna Aalesund AH +0,75 - Kolbotn (fem) x Fortuna Aalesund (fem)</t>
  </si>
  <si>
    <t>Virtus Entella AH +0,25 - Napoli Sub-19 x Virtus Entella Sub-19</t>
  </si>
  <si>
    <t>NK Gosk AH +0,25 - NK Zagora x NK Gosk Kastel Gomilica</t>
  </si>
  <si>
    <t>Karonga AH +0,25 - Mighty Tigers x Karonga United</t>
  </si>
  <si>
    <t>Under 11,5 cantos - Real Madrid Sub-19 x Inter Amistad Sub-19</t>
  </si>
  <si>
    <t>Mlada AH +0,25 - MFK Karvina Sub-19 x Mlada Boleslav Sub-19</t>
  </si>
  <si>
    <t>Mlada DNB - MFK Karvina Sub-19 x Mlada Boleslav Sub-19</t>
  </si>
  <si>
    <t>AC Marinhense AH +1,5 - Tondela Sub-19 x AC Marinhense Sub-19</t>
  </si>
  <si>
    <t>Karlsruher AH 0 - VfB Stuttgart Sub-19 x Karlsruher Sub-19</t>
  </si>
  <si>
    <t>Garbania AH 0 - Podlasie Biala Podlaska x Garbania Krakow</t>
  </si>
  <si>
    <t>Feirense AH 0 - Feirense Sub-19 x Gondomar Sub-19</t>
  </si>
  <si>
    <t>Bragança AH +0,25 - AVS Sub-19 x Bragança Sub-19</t>
  </si>
  <si>
    <t>Pogon Siedlce AH 0 - Chojniczanka Chojnice x Pogon Siedlce</t>
  </si>
  <si>
    <t>Pogon Siedlce DNB - Chojniczanka Chojnice x Pogon Siedlce</t>
  </si>
  <si>
    <t>Bergerac AH +0,5 - Romorantin x Bergerac Perigord</t>
  </si>
  <si>
    <t>Fluminense AH -0,5 cantos - Fluminense x Boca Juniors</t>
  </si>
  <si>
    <t>AH-cantos</t>
  </si>
  <si>
    <t>Marquise (ARZ) Under 53,5 jardas recepção - ARZ Cardinals x CLE Browns</t>
  </si>
  <si>
    <t>Under 10,5 cantos - Ponte Preta x Avaí</t>
  </si>
  <si>
    <t>Chabab AH 0 - Chabab Atlas Khénifra x OC Khouribga</t>
  </si>
  <si>
    <t>Prachinburi City AH 0 - Prachinburi City x Chachoengsao</t>
  </si>
  <si>
    <t>SV Strass AH +0,5 - SV Strass x TUS Rein</t>
  </si>
  <si>
    <t>Real Oviedo AH +0,75 - Real Oviedo (fem) x Alhama CF (fem)</t>
  </si>
  <si>
    <t>Ahrweiler AH +0,5 - Ahrweiler BC x FC Karbach</t>
  </si>
  <si>
    <t>Kian Sam AH +0,25 - Shohada Babolsar x Kian Sam Babol</t>
  </si>
  <si>
    <t>Al Magd DNB - Al Magd x Sporting Alexandria</t>
  </si>
  <si>
    <t>MUZA AH 0 - Nkwazi x MUZA FC</t>
  </si>
  <si>
    <t>MUZA DNB - Nkwazi x MUZA FC</t>
  </si>
  <si>
    <t>Pags AH 0 - Pags FC x Samira FC</t>
  </si>
  <si>
    <t>NK Rudar AH +0,25 - NK Rudar Velenje Sub-19 x NK Maribor Sub-19</t>
  </si>
  <si>
    <t>Osasuna AH +0,5 - Osasuna (fem) x Real Bétis (fem)</t>
  </si>
  <si>
    <t>El Mazateco DNB - El Mazateco x Barillas FC</t>
  </si>
  <si>
    <t>Jocoro AH +0,5 - Once Dep. de Ahuachapán - Reservas x Jocoro FC - Reservas</t>
  </si>
  <si>
    <t>Zabkovia AH +0,5 - MKS Myszkow Women x Zabkovia Zabki (fem)</t>
  </si>
  <si>
    <t>FC Schifflange AH 0 HT - UN Kaerjeng x FC Schifflange 95</t>
  </si>
  <si>
    <t>Team FC Cairo AH 0 - Team FC Cairo x Kahraba Ismailia</t>
  </si>
  <si>
    <t>Al Horiyah AH +0,25 - Al-Jaish Damascus x Al Horiyah</t>
  </si>
  <si>
    <t>Maadi AH 0 HT - Future SC (fem) x Maadi &amp; Yacht Club (fem)</t>
  </si>
  <si>
    <t>CSM Deva AH 0 - Ghiroda SI Giarmata VII x CSM Deva</t>
  </si>
  <si>
    <t>Oued AH +1,0 - CA Batna x Oued Magrane</t>
  </si>
  <si>
    <t>Bombada AH +0,25 - Bombada FC x Falcons FC</t>
  </si>
  <si>
    <t>Bombada AH 0 - Bombada FC x Falcons FC</t>
  </si>
  <si>
    <t>FC Gamlitz AH 0 HT - FC Gamlitz x SK Furstenfeld</t>
  </si>
  <si>
    <t>SK Krumvir AH 0 - TJ Sokol Pohorelice x SK Krumvir</t>
  </si>
  <si>
    <t>Sebat AH 0 - Bergama Belediyespor x Sebat Genclikspor</t>
  </si>
  <si>
    <t>Elche AH 0 - Villarreal C x Elche Ilicitano</t>
  </si>
  <si>
    <t>Darajani DNB - Darajani Gogo x Kajiado</t>
  </si>
  <si>
    <t>Gedania AH 0 - Gedania Gdansk x Zawisza Bydgoszcz</t>
  </si>
  <si>
    <t>Eintracht Braunchweig AH +0,5 - Eintracht Braunschweig U19 x Werder Bremen U19</t>
  </si>
  <si>
    <t>Mensajero AH +0,25 - SD San José Sub-19 x Mensajero Sub-19</t>
  </si>
  <si>
    <t>Over  1,75 HT - Wolverhampton x Tottenham</t>
  </si>
  <si>
    <t>Al Ansar AH 0 - Al Noor x Al Ansar</t>
  </si>
  <si>
    <t>Kajiado DNB - Darajani Gogo x Kajiado</t>
  </si>
  <si>
    <t>Under 13,0 cantos - Lyn 1896 x Fram</t>
  </si>
  <si>
    <t>FK Hodonin AH 0 - FK Hodonin x SC Znojmo</t>
  </si>
  <si>
    <t>NG Kansanshi 2º gol - Zanaco FC x Kansanshi Dynamos</t>
  </si>
  <si>
    <t>Kansanshi AH 0 - Zanaco FC x Kansanshi Dynamos</t>
  </si>
  <si>
    <t>Ravensburg DNB - FSV 08 Bissingen x FV Ragensburg</t>
  </si>
  <si>
    <t>Nordsjaelland (fem) AH +0,25 - HB Koge F x Nordsjaelland (fem)</t>
  </si>
  <si>
    <t>Annagh United AH +0,25 - HW Welders x Annagh United</t>
  </si>
  <si>
    <t>SR Donaufeld AH 0 HT - SV Leobendorf x SR Donaufeld</t>
  </si>
  <si>
    <t>AD Fafe AH +0,5 - Merelinense Sub-19 x AD Fafe Sub-19</t>
  </si>
  <si>
    <t>NG AD Fafe 2º gol - Merelinense Sub-19 x AD Fafe Sub-19</t>
  </si>
  <si>
    <t>Villarrobledo AH 0 HT - CD Tarancón x Villarrobledo</t>
  </si>
  <si>
    <t>CD Vasconia AH +0,25 - UD Logrones Sub-19 x CD Vasconia Sub-19</t>
  </si>
  <si>
    <t>Coquimbo AH 0 - Coquimbo Unido (fem) x Santiago Morning (fem)</t>
  </si>
  <si>
    <t>Feurs AH +0,5 - Feurs US x Lyon Duchere</t>
  </si>
  <si>
    <t>Galway AH 0 - Wexford Youths (fem) x Galway (fem)</t>
  </si>
  <si>
    <t>AS Pikine AH 0 - AS Pikine x Guediawaye FC</t>
  </si>
  <si>
    <t>Under 11,0 cantos - Tombense x Ponte Preta</t>
  </si>
  <si>
    <t>CSS Slatina AH 0 HT - CSS Slatina Sub-19 x LPS Viitorul Pitesti Sub-19</t>
  </si>
  <si>
    <t>Levadia AH +0,5 - Paide Linnameeskond II x Levadia Tallinn II</t>
  </si>
  <si>
    <t>Jiskra AH 0 - Jiskra Trebon x FK Olesnik</t>
  </si>
  <si>
    <t>CR Ain AH +0,5 - CSST Temara Women x CR Ain Harrouda (fem)</t>
  </si>
  <si>
    <t>Ghiroda AH +0,5 - Ghiroda SI Giarmata VII Sub-19 x CSM Targu Jiu Sub-19</t>
  </si>
  <si>
    <t>Ghiroda ML - Ghiroda SI Giarmata VII Sub-19 x CSM Targu Jiu Sub-19</t>
  </si>
  <si>
    <t>Bordeaux AH 0 - Bordeaux Sub-19 (fem) x Brest Sub-19 (fem)</t>
  </si>
  <si>
    <t>Real Oviedo AH +0,75 - Celta Vigo Sub-19 x Real Oviedo Sub-19</t>
  </si>
  <si>
    <t>NG CR Ain 2º gol - CSST Temara Women x CR Ain Harrouda (fem)</t>
  </si>
  <si>
    <t>Covadonga AH 0 HT - Covadonga Sub-19 x CF Bansander Sub-19</t>
  </si>
  <si>
    <t>Descrição</t>
  </si>
  <si>
    <t>Zebra visitante empatando</t>
  </si>
  <si>
    <t xml:space="preserve">Visitante </t>
  </si>
  <si>
    <t>Zebra visitante perdendo</t>
  </si>
  <si>
    <t>Zebra visitante ganhando por 2</t>
  </si>
  <si>
    <t>Favorito mandante ganhando por 1</t>
  </si>
  <si>
    <t>Zebra visitante perdendo por 7</t>
  </si>
  <si>
    <t>Zebra mandante perdendo por 1</t>
  </si>
  <si>
    <t>Zebra mandante empatando</t>
  </si>
  <si>
    <t>Mandante zebra empatando</t>
  </si>
  <si>
    <t>Visitante equilibrado empatando</t>
  </si>
  <si>
    <t>Zebra visitante perdendo por 1</t>
  </si>
  <si>
    <t>Visitante zebra empatando</t>
  </si>
  <si>
    <t>Mandante zebra perdendo por 1</t>
  </si>
  <si>
    <t>Equilibrado visitante ganhando por 1</t>
  </si>
  <si>
    <t>Visitante zebra ganhando por 1</t>
  </si>
  <si>
    <t>Visitante zebra perdendo por 1</t>
  </si>
  <si>
    <t>Visitante zebra perdendo por 2</t>
  </si>
  <si>
    <t xml:space="preserve">Mandante </t>
  </si>
  <si>
    <t>Mandante zebra ganhando por 1</t>
  </si>
  <si>
    <t>Visitante favorito empatando</t>
  </si>
  <si>
    <t>Visitante zebra ganhando por 3</t>
  </si>
  <si>
    <t>Equilibrado mandante perdendo por 2</t>
  </si>
  <si>
    <t>Equilibrado mandante perdendo por 1</t>
  </si>
  <si>
    <t>Equilibrado mandante empatando</t>
  </si>
  <si>
    <t>Visitante zebra ganhando por 2</t>
  </si>
  <si>
    <t>Equilibrado visitante empatando</t>
  </si>
  <si>
    <t>Equilibrado mandante ganhando por 1</t>
  </si>
  <si>
    <t>Mandante zebra ganhando por 2</t>
  </si>
  <si>
    <t>Mandante zebra perdendo por 4</t>
  </si>
  <si>
    <t>Visitante zebra perdendo por 4</t>
  </si>
  <si>
    <t>Over feminino 2º tempo</t>
  </si>
  <si>
    <t>Mandante zebra ganhando por 3</t>
  </si>
  <si>
    <t>Mandante favorito ganhando por 4</t>
  </si>
  <si>
    <t>Mandante equilibrado empatando</t>
  </si>
  <si>
    <t>Visitante equilibrado perdendo por 2</t>
  </si>
  <si>
    <t>Mandante equilibrado ganhando por 1</t>
  </si>
  <si>
    <t>Visitante equilibrado ganhando por 1</t>
  </si>
  <si>
    <t>Visitante favorito ganhando por 1</t>
  </si>
  <si>
    <t>Mandante favorito equilibrado</t>
  </si>
  <si>
    <t>Visitante equilibrado perdendo por 1</t>
  </si>
  <si>
    <t>Mandante equilibrado ganhando por 2</t>
  </si>
  <si>
    <t>Visitante equilibrado perdendo por 3</t>
  </si>
  <si>
    <t>Mandante melhor ganhando por 1</t>
  </si>
  <si>
    <t>Zebra visitante ganhando por 1</t>
  </si>
  <si>
    <t>Mandante jogando melhor empate</t>
  </si>
  <si>
    <t>Favorito mandante ganhando por 2</t>
  </si>
  <si>
    <t>Favorito mandante perdendo por 1</t>
  </si>
  <si>
    <t>Zebra mandante ganhando por 1</t>
  </si>
  <si>
    <t>Visitante jogando melhor ganhando por 1</t>
  </si>
  <si>
    <t>Mandante favorito ganhando por 1</t>
  </si>
  <si>
    <t>Zebra mandante perdendo por 2</t>
  </si>
  <si>
    <t>Time com um jogador a mais ganhando</t>
  </si>
  <si>
    <t>Favorito mandante empatando</t>
  </si>
  <si>
    <t>Zebra mandante ganhando por 2</t>
  </si>
  <si>
    <t>Favorito visitante ganhando por 4</t>
  </si>
  <si>
    <t>Nivelado visitante perdendo por 2</t>
  </si>
  <si>
    <t>Jogo morno HT</t>
  </si>
  <si>
    <t>Favorito mandante ganhando por 5</t>
  </si>
  <si>
    <t>Zebra mandante ganhando por 3</t>
  </si>
  <si>
    <t>Mandante favorito empatando</t>
  </si>
  <si>
    <t>Favorito visitante ganhando por 3</t>
  </si>
  <si>
    <t>Visitante favorito ganhando por 4</t>
  </si>
  <si>
    <t>Equilibrado mandante vencendo por 2</t>
  </si>
  <si>
    <t>Favorito visitante empatando</t>
  </si>
  <si>
    <t>Mandante equilibrado perdendo por 1</t>
  </si>
  <si>
    <t>Equilibrado visitante perdendo por 1</t>
  </si>
  <si>
    <t xml:space="preserve">Visitante equilibrado empatando </t>
  </si>
  <si>
    <t>Zebra visitante perdendo por 2</t>
  </si>
  <si>
    <t>Dunaujvaros AH +0,5 - Dunaujvaros PASE Sub-19 x Paksi Sub-19 (cash)</t>
  </si>
  <si>
    <t>Under 3,5 - Volta Redonda Sub-20 x Flamengo Sub-20</t>
  </si>
  <si>
    <t>Napoli AH +0,5 - Napoli Sub-19 x Fiorentina Sub-19</t>
  </si>
  <si>
    <t>Club Nanas AH +0,25 - Universidad Catolica del Ecuador (fem) x Club Nanas (fem)</t>
  </si>
  <si>
    <t>FC Rapotice AH 0 HT - FC Rapotice x Sapeli Polna</t>
  </si>
  <si>
    <t>Spartak ML - FK Komarov x Spartak Sobeslav</t>
  </si>
  <si>
    <t>Panamá AH +2,5 - França Sub-20 (fem) x Panamá Sub-20 (fem)</t>
  </si>
  <si>
    <t>Panamá AH +2,25 - França Sub-20 (fem) x Panamá Sub-20 (fem)</t>
  </si>
  <si>
    <t>Under 14,0 - MyPa x KPT</t>
  </si>
  <si>
    <t>Hapoel Kfar AH +0,75 - Hapoel Nof HaGalil x Hapoel Kfar Shalem</t>
  </si>
  <si>
    <t>Botafogo - DC - Botafogo PB Sub-20 (fem) x Minas Brasília Sub-20 (fem) (cash)</t>
  </si>
  <si>
    <t>Linhares AH +0,25 - SC Brasil Capixaba x Linhares (cash)</t>
  </si>
  <si>
    <t>New Road AH +0,5 - New Road Team x Jawalakhel Youth Club</t>
  </si>
  <si>
    <t>Viktoria 08 AH +0,5 - BC Viktoria Glesch Paffendorf x Viktoria 08 Arnoldsweiler</t>
  </si>
  <si>
    <t>Gol Gohar AH 0 - Gol Gohar x Sanat Naft FC</t>
  </si>
  <si>
    <t>AS Police AH 0 - Club Olympique de Bamako x AS Police</t>
  </si>
  <si>
    <t>C. Moulaye AH +0,25 - Star Arafat x C. Moulaye M'Barek</t>
  </si>
  <si>
    <t>Narpes AH +0,5 - NIK x Narpes Kraft II</t>
  </si>
  <si>
    <t>Under 9,75 - Ogre United 2 x FK Alberts</t>
  </si>
  <si>
    <t>Under 9,5 - Ogre United 2 x FK Alberts</t>
  </si>
  <si>
    <t>Kuopion AH +0,75 - Kuopion Elo 1919 x PEPO</t>
  </si>
  <si>
    <t>Pinda AH +3,25 - Pinda SC (fem) x São Paulo (fem)</t>
  </si>
  <si>
    <t>Pinda AH +3,0 - Pinda SC (fem) x São Paulo (fem)</t>
  </si>
  <si>
    <t>EC Futgol AH +0,5 - EC Futgol Sub-20 x Boston City FC Brasil Sub-20</t>
  </si>
  <si>
    <t>Djurgardens - Over 1,5 - Kristianstads (fem) x Djurgardens (fem)</t>
  </si>
  <si>
    <t>SC Kalsdorf AH +1,0 - SC Kalsdorf x LASK Linz II</t>
  </si>
  <si>
    <t>Under 7,5 - Kurvin Vauhti x Toolon Taisto</t>
  </si>
  <si>
    <t>Comerciantes AH +0,25 - CD Coopsol x Comerciantes Unidos (cash)</t>
  </si>
  <si>
    <t>BTTS - Sportivo Italiano x Puerto Nuevo</t>
  </si>
  <si>
    <t>TPS AH +1,25 - TPS Sub-20 x Ilves Sub-20</t>
  </si>
  <si>
    <t>FC Arlanda AH +0,25 - Skiljebo SK x FC Arlanda</t>
  </si>
  <si>
    <t>Gamla AH +0,5 - Trelleborgs FF (fem) x Gamla Upsala SK (fem) (cash)</t>
  </si>
  <si>
    <t>Odense AH +0,5 - Odense Q (fem) x AGF (fem)</t>
  </si>
  <si>
    <t>Saldus AH +0,5 - FK Tukums 2000/TSS II x Saldus Ss/Leevon</t>
  </si>
  <si>
    <t>Tshwane ML - Tshwane University (fem) x Richmond (fem)</t>
  </si>
  <si>
    <t>Chitipa AH +0,25 - Ekwendeni Hammers x Chitipa United</t>
  </si>
  <si>
    <t>FA Kalev AH +0,25 - JK Tammeka Tartu II x FA Kalev Tartu</t>
  </si>
  <si>
    <t>Fortuna AH +0,25 - VVV/Helmond Sport Sub-21 x Fortuna Sittard Sub-21</t>
  </si>
  <si>
    <t>FC Trinity AH +0,25 - Ceske Budejovice Sub-19 x FC Trinity Zlin Sub-19</t>
  </si>
  <si>
    <t>Spal AH +0,25 - Ascoli Sub-19 x Spal Sub-19</t>
  </si>
  <si>
    <t>Bright AH +0,5 - Vipers SC x Bright Stars</t>
  </si>
  <si>
    <t>Roda AH +0,5 - Go Ahead Eagles Sub-21 x Roda JC U21</t>
  </si>
  <si>
    <t>Cruzeiro AH +2,0 - Monsoon U20 x Cruzeiro RS Sub-20</t>
  </si>
  <si>
    <t>KVK Ninove AH +0,5 - KVK Ninove x KVV Thes Sport (cash)</t>
  </si>
  <si>
    <t>Sporting Lagos AH +0,25 - Crown FC x Sporting Lagos</t>
  </si>
  <si>
    <t>Tatran AH +0,5 - MS Brno x Tatran Rousinov</t>
  </si>
  <si>
    <t>ZKS Olimpia AH +0,5 - ZKS Olimpia Zambrow x Legia Varsóvia II</t>
  </si>
  <si>
    <t>Rio Ave AH 0 - FC Romariz (fem) x Rio Ave (fem)</t>
  </si>
  <si>
    <t>Olimpia ML - Rio Preto Sub-20 x Olimpia SP Sub-20</t>
  </si>
  <si>
    <t>Under 2,5 - Paraná Clube Sub-20 x Hope International Sub-20</t>
  </si>
  <si>
    <t>Tanabi AH +1,0 - Mirassol Sub-20 x Tanabi EC Sub-20</t>
  </si>
  <si>
    <t>Riograndense AH +0,75 - Riograndense Sub-20 x São José RS Sub-20</t>
  </si>
  <si>
    <t>Under 2,0 - Joseense Sub-20 x EC Taubaté Sub-20</t>
  </si>
  <si>
    <t>Empate ou Velo Clube - Rio Claro Sub-20 x Velo Clube Sub-20</t>
  </si>
  <si>
    <t>Real Oruro DNB - Club Deportivo Sur Car x Real Oruro</t>
  </si>
  <si>
    <t>Over 2,0 - Coritiba x Atlético Mineiro</t>
  </si>
  <si>
    <t>JFK Ventspils AH +0,5 - Valmiera FC II x JFK Ventspils</t>
  </si>
  <si>
    <t>JFK Ventspils DNB - Valmiera FC II x JFK Ventspils</t>
  </si>
  <si>
    <t>HJK AH +0,5 - KuPS (fem) x HJK (fem)</t>
  </si>
  <si>
    <t>Kajha AH +1,5 - Kahja x PS Kemi</t>
  </si>
  <si>
    <t>FFC Turbine AH +1,75 - FFC Turbine Potsdam (fem) x Eintracht Frankfurt (fem)</t>
  </si>
  <si>
    <t>FFC Turbine AH +1,5 - FFC Turbine Potsdam (fem) x Eintracht Frankfurt (fem)</t>
  </si>
  <si>
    <t>Fortuna Aalesund ML - TIL 2020 (fem) x Fortuna Aalesund (fem)</t>
  </si>
  <si>
    <t>Bayern ML - Bayern Munchen x Nurnberg (fem)</t>
  </si>
  <si>
    <t>Under 4,0 - Camarões Sub-20 (fem) x Panamá Sub-20 (fem)</t>
  </si>
  <si>
    <t>Under 4,5 - Camarões Sub-20 (fem) x Panamá Sub-20 (fem)</t>
  </si>
  <si>
    <t>TSV Victoria AH +0,25 - SV Schermbeck x TSV Victoria Clarkolz</t>
  </si>
  <si>
    <t>Boroughmuir AH +0,5 - Boroughmuir Thistle (fem) x Montrose LFC (fem)</t>
  </si>
  <si>
    <t>USD Casatese AH +0,5 - ASD Alcione x USD Casatese (cash)</t>
  </si>
  <si>
    <t>Charlottelund AH 0 - Charlottelund Sub-19 x Steinkjer Sub-19</t>
  </si>
  <si>
    <t>AS Bakaridjan AH 0 HT - Black Star x AS Bakaridjan</t>
  </si>
  <si>
    <t>Para Szolnoki marcar 7º gol - MTK II x Szolnoki Mav FC</t>
  </si>
  <si>
    <t>Flamengo AH -1,0 - Flamengo x Corinthians</t>
  </si>
  <si>
    <t>Under 3,0 - TJ Sokol Radnice x TJ Sokol Cernice</t>
  </si>
  <si>
    <t>Arsenal AH +1,0 - FK Rudar Pljevlja x Arsenal Tivat</t>
  </si>
  <si>
    <t>Cusco AH +0,75 - Sporting Cristal - Reservas x Cusco FC - Reservas</t>
  </si>
  <si>
    <t>Atlético Goianiense ML - Atlético Goianiense Sub-20 x Vila NovaSub-20</t>
  </si>
  <si>
    <t>Joy AH +0,25 - Smart City FC x Joy Cometh FC</t>
  </si>
  <si>
    <t>AS Awa AH +1,0 - Lekie Filles FC (fem) x AS Awa FF (fem)</t>
  </si>
  <si>
    <t>US Bougouni - Over 2,5 - Lafia Club de Bamako x US Bougouni</t>
  </si>
  <si>
    <t>Ravenna AH +0,25 - SSD ACF Calcio Arezzo (fem) x Ravenna (fem) (0x0)</t>
  </si>
  <si>
    <t>Ravenna AH +0,25 - SSD ACF Calcio Arezzo (fem) x Ravenna (fem) (0x1)</t>
  </si>
  <si>
    <t>FC Inter DNB - FC Inter Nouakchott x ASC Police</t>
  </si>
  <si>
    <t>Atlantis AH +0,5 - Atlantis II x PEPO  (cash)</t>
  </si>
  <si>
    <t>Under 0,5 HT - EUA Sub-20 x Fiji Sub-20</t>
  </si>
  <si>
    <t>FV Bad AH +1,75 - FV Bad Honnef 1919 x SSV Homburg Numbrecht (cash)</t>
  </si>
  <si>
    <t>FV Bad AH +1,5 - FV Bad Honnef 1919 x SSV Homburg Numbrecht (cash)</t>
  </si>
  <si>
    <t>Darajani AH +0,25 - MCF FC x Darajani Gogo</t>
  </si>
  <si>
    <t>Karakopru AH +0,5 - Kutahyaspor x Karakopru Belediyespor (cash)</t>
  </si>
  <si>
    <t>Bendel AH -0,25 - Heartland FC x Bendel Insurance</t>
  </si>
  <si>
    <t>CSM Deva AH +0,25 - CS Soimii Lipova x CSM Deva</t>
  </si>
  <si>
    <t>Karlsruher AH +0,5 - SC Freiburg Sub-19 x Karlsruher Sub-19</t>
  </si>
  <si>
    <t>Holmlia AH +3,0 - Holmlia x Skeid</t>
  </si>
  <si>
    <t>EC São Bernardo AH +0,5 - EC São Bernardo Women x São José EC (fem)</t>
  </si>
  <si>
    <t>CEAC/Araruama AH +1,25 - Resende x CEAC/Araruama</t>
  </si>
  <si>
    <t>Skedsmo AH +2,0 - Skedsmo x Lillestrom</t>
  </si>
  <si>
    <t>Skedsmo AH +2,25 - Skedsmo x Lillestrom</t>
  </si>
  <si>
    <t>Under 2,25 - Skedsmo x Lillestrom</t>
  </si>
  <si>
    <t>Brighton AH +0,5 - Brighton x Man City</t>
  </si>
  <si>
    <t>Fiorentina AH +0,5 - Fiorentina x Inter Milan</t>
  </si>
  <si>
    <t>Jas Qyran AH +0,5 - Jas Qyran x FC Arys</t>
  </si>
  <si>
    <t>Shangyu AH +0,25 - Yunnan Yukun x Shangyu Pterosaur</t>
  </si>
  <si>
    <t>Rosario AH 0 - Newell's Sub-20 x Rosario Central Sub-20</t>
  </si>
  <si>
    <t>FK Decic AH +0,5 - FK Jezero x FK Decic Tuzi</t>
  </si>
  <si>
    <t>FK Mornar AH +0,5 - FK Mornar Bar x Buducnost Podgorica (cash)</t>
  </si>
  <si>
    <t>Under 5,25 - FK Jedinstvo Bijelo Polje x FK Rudar Pljevlja</t>
  </si>
  <si>
    <t>ASV 13 Vienna AH +0,5 - ASV 13 Vienna x SV Donau</t>
  </si>
  <si>
    <t>The Strongest ML - The Strongest x Fluminense</t>
  </si>
  <si>
    <t>Batatais AH 0 - Batatais Sub-20 x CA Bandeirante Sub-20</t>
  </si>
  <si>
    <t>Pinn Dropp</t>
  </si>
  <si>
    <t>Man Utd AH -1,0 - Man Utd x Chelsea</t>
  </si>
  <si>
    <t>Empate ou Vianópolis - Cerrado Sub-20 x Vianópolis Sub-20</t>
  </si>
  <si>
    <t>Lillehammer AH +0,5 - Ullensaker/Kisa Sub-19 x Lillehammer Sub-19</t>
  </si>
  <si>
    <t>University AH 0 - Hellenic AC x University Azzurri FC</t>
  </si>
  <si>
    <t>Sabah AH +0,25 - Sabah FC Sub-23 x Kedah II Sub-23</t>
  </si>
  <si>
    <t>Under 4,5 - FK Aktobe - Reservas x Khan Tengri FC</t>
  </si>
  <si>
    <t>Under 4,25 - FK Aktobe - Reservas x Khan Tengri FC</t>
  </si>
  <si>
    <t>Adjumani AH +0,5 - Adjumani Town Council FC x Uganda Police FC</t>
  </si>
  <si>
    <t>Agropecuario AH +0,25 - Gimnasia Mendoza x Agropecuario</t>
  </si>
  <si>
    <t>Vizela AH +0,5 - Vizela Sub-19 x SC Braga Sub-19</t>
  </si>
  <si>
    <t>Borussia AH -3,5 cantos - Borussia Dortmund x Mainz</t>
  </si>
  <si>
    <t>Darwin Hearts AH +0,5 - Darwin Olympic x Darwin Hearts (cash)</t>
  </si>
  <si>
    <t>Customs AH +0,5 - Uthai Thani FC x Customs United</t>
  </si>
  <si>
    <t>Johannesburg AH +0,25 - JVW FC (fem) x Johannesburg Uni (fem)</t>
  </si>
  <si>
    <t>FK Rezekne AH +0,5 - FK Rezekne/BJSS x AFA Olaine</t>
  </si>
  <si>
    <t>Chitipa AH +0,75 - Mighty Wanderers x Chitipa United</t>
  </si>
  <si>
    <t>Famalicão AH +0,5 - Famalicão (fem) x Braga (fem)</t>
  </si>
  <si>
    <t>Caen AH +0,5 - Caen II x Racing Paris (cash)</t>
  </si>
  <si>
    <t>FC Solothurn AH +0,75 - FC Zurich II (fem) x FC Solothurn (fem) (cash)</t>
  </si>
  <si>
    <t>FC Killas AH +0,25 - Alianza Lima (fem) x FC Killas (fem)</t>
  </si>
  <si>
    <t>SC Lamego DNB - SC Lamego Sub-19 x Penafiel Sub-19</t>
  </si>
  <si>
    <t>Under 5,5 - Olímpia SP Sub-20 x Mirassol Sub-20</t>
  </si>
  <si>
    <t>Nova Cidade AH +1,25 - Nova Cidade Sub-20 x Serra Macaense Sub-20</t>
  </si>
  <si>
    <t>Nova Cidade AH +1,0 - Nova Cidade Sub-20 x Serra Macaense Sub-20</t>
  </si>
  <si>
    <t>Guarani de Palhoca AH +0,5 - Caravaggio SC x Guarani de Palhoca</t>
  </si>
  <si>
    <t>CD Univ San Martin AH +2,25 - Carlos Mannucci (fem) x CD Univ San Martin (fem)</t>
  </si>
  <si>
    <t>Sigma Olomouc AH -0,75 - Sigma Olomouc (fem) x FK Teplice (fem) (cash)</t>
  </si>
  <si>
    <t>Under 9,5 - Sapphire FC (fem) x Lindelani FC (fem)</t>
  </si>
  <si>
    <t>Nova Iguaçu AH +0,25 - Nova Iguaçu Sub-20 x Botafogo Sub-20</t>
  </si>
  <si>
    <t>Township AH +0,5 - Township Rollers x Gaborone United (cash)</t>
  </si>
  <si>
    <t>Botswana</t>
  </si>
  <si>
    <t>Tuv Buganuud AH +0,25 - SP Falcons FC x Tuv Buganuud</t>
  </si>
  <si>
    <t>Al Taliya AH +0,25 - Hutteen x Al Taliya SC</t>
  </si>
  <si>
    <t>Armed AH +0,5 - Church Boys United x Armed Police Force</t>
  </si>
  <si>
    <t>Brann AH +0,5 - Stromsgodset 2 x Brann 2</t>
  </si>
  <si>
    <t>Frederikssund AH +0,5 - Frederikssund IK Sub-21 x Snekkersten IF Sub-21</t>
  </si>
  <si>
    <t>FK Kom AH +0,5 - FK Kom Podgorica x FK Rudar Pljevlja</t>
  </si>
  <si>
    <t>Avarta ML - Fremad Valby Sub-21 x Avarta Sub-21 (cash)</t>
  </si>
  <si>
    <t>BTTS - FK Mornar Bar x FK Berane</t>
  </si>
  <si>
    <t>Under 1,75 - Barra Mansa Sub-20 x Buzios Sub-20</t>
  </si>
  <si>
    <t>Dep. Binacional AH +0,5 - Alianza Lima - Reservas x Dep. Binacional - Reservas</t>
  </si>
  <si>
    <t>FH/IH AH 0 - Keflavik/Reynir/Vidir Sub-19 x FH/IH Sub-19</t>
  </si>
  <si>
    <t>Randers AH +0,5 - FC Copenhagen - Reservas x Randers FC - Reservas (cash)</t>
  </si>
  <si>
    <t>Tall AH +1,25 - Al Karamah x Al Tall</t>
  </si>
  <si>
    <t>Under 10,5 - Grand Bodo (fem) x Roa (fem)</t>
  </si>
  <si>
    <t>FC Espoo AH +0,5 - FC Espoo x HIFK 2</t>
  </si>
  <si>
    <t>Over 25,5 - FC Ilves x KaPa</t>
  </si>
  <si>
    <t>Eslováquia AH +1,0 - Colômbia Sub-20 x Eslováquia Sub-20</t>
  </si>
  <si>
    <t>Pinn</t>
  </si>
  <si>
    <t>OSC Bremerhaven AH +1,5 - FC Kilia Kiel x OSC Bremerhaven (cash)</t>
  </si>
  <si>
    <t>SKA Brasil AH +3,5 - São José dos Campos (fem) x SKA Brasil (fem)</t>
  </si>
  <si>
    <t>Botafogo ML - Botafogo x Athletico Paranaense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</si>
  <si>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</si>
  <si>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</si>
  <si>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</si>
  <si>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</si>
  <si>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</si>
  <si>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</si>
  <si>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</si>
  <si>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</si>
  <si>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</si>
  <si>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</si>
  <si>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</si>
  <si>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</si>
  <si>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Bruno</t>
  </si>
  <si>
    <t>Droppa</t>
  </si>
  <si>
    <t>Gustavo</t>
  </si>
  <si>
    <t>Henrique</t>
  </si>
  <si>
    <t>Jonathan</t>
  </si>
  <si>
    <t>Yago</t>
  </si>
  <si>
    <t>Kaike</t>
  </si>
  <si>
    <t>Tabela de comissão</t>
  </si>
  <si>
    <t>Uni</t>
  </si>
  <si>
    <t>%</t>
  </si>
  <si>
    <t>Total</t>
  </si>
  <si>
    <t>Geral</t>
  </si>
  <si>
    <t>Equilibrado/Mandante</t>
  </si>
  <si>
    <t>Equilibrado/Visitante</t>
  </si>
  <si>
    <t>Favorito/Mandante</t>
  </si>
  <si>
    <t>Favorito/Visitante</t>
  </si>
  <si>
    <t>Zebra/Mandante</t>
  </si>
  <si>
    <t>HT</t>
  </si>
  <si>
    <t>FT</t>
  </si>
  <si>
    <t>Zebra/Visitante</t>
  </si>
  <si>
    <t>Tempo (0 a 15)</t>
  </si>
  <si>
    <t>Tempo (16 a 30)</t>
  </si>
  <si>
    <t>Tempo (31 a 45)</t>
  </si>
  <si>
    <t>Tempo (46 a 60)</t>
  </si>
  <si>
    <t>Tempo (61 a 75)</t>
  </si>
  <si>
    <t>Tempo (75 a 90)</t>
  </si>
  <si>
    <t>Mês específico (Junho)</t>
  </si>
  <si>
    <t>Placar</t>
  </si>
  <si>
    <t>Resumo</t>
  </si>
  <si>
    <t>Empatando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</si>
</sst>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dd&quot;/&quot;mm"/>
    <numFmt numFmtId="165" formatCode="0.000"/>
    <numFmt numFmtId="166" formatCode="0.00 u"/>
    <numFmt numFmtId="167" formatCode="0.0 u"/>
    <numFmt numFmtId="168" formatCode="#,##0.000"/>
    <numFmt numFmtId="169" formatCode="0.0%"/>
    <numFmt numFmtId="170" formatCode="dd/mm"/>
    <numFmt numFmtId="171" formatCode="d/m"/>
    <numFmt numFmtId="172" formatCode="[$R$ -416]#,##0.00"/>
  </numFmts>
  <fonts count="12">
    <font>
      <sz val="10.0"/>
      <color rgb="FF000000"/>
      <name val="Arial"/>
      <scheme val="minor"/>
    </font>
    <font>
      <b/>
      <color rgb="FFFFFFFF"/>
      <name val="Arial"/>
    </font>
    <font>
      <b/>
      <color rgb="FFFFFFFF"/>
      <name val="Arial"/>
      <scheme val="minor"/>
    </font>
    <font>
      <color theme="1"/>
      <name val="Proxima Nova"/>
    </font>
    <font>
      <b/>
      <color theme="1"/>
      <name val="Proxima Nova"/>
    </font>
    <font>
      <color theme="1"/>
      <name val="Arial"/>
      <scheme val="minor"/>
    </font>
    <font>
      <b/>
      <color theme="1"/>
      <name val="Arial"/>
      <scheme val="minor"/>
    </font>
    <font>
      <color rgb="FF000000"/>
      <name val="Proxima Nova"/>
    </font>
    <font/>
    <font>
      <color theme="1"/>
      <name val="Arial"/>
    </font>
    <font>
      <color rgb="FF000000"/>
      <name val="&quot;docs-Proxima Nova&quot;"/>
    </font>
    <font>
      <sz val="9.0"/>
      <color rgb="FF000000"/>
      <name val="&quot;Google Sans Mono&quot;"/>
    </font>
  </fonts>
  <fills count="6">
    <fill>
      <patternFill patternType="none"/>
    </fill>
    <fill>
      <patternFill patternType="lightGray"/>
    </fill>
    <fill>
      <patternFill patternType="solid">
        <fgColor rgb="FF287A69"/>
        <bgColor rgb="FF287A6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4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right style="thin">
        <color rgb="FFD9D9D9"/>
      </right>
      <bottom style="thin">
        <color rgb="FFD9D9D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horizontal="center" readingOrder="0"/>
    </xf>
    <xf borderId="1" fillId="2" fontId="2" numFmtId="0" xfId="0" applyAlignment="1" applyBorder="1" applyFont="1">
      <alignment horizontal="center"/>
    </xf>
    <xf borderId="1" fillId="2" fontId="2" numFmtId="4" xfId="0" applyAlignment="1" applyBorder="1" applyFont="1" applyNumberFormat="1">
      <alignment horizontal="center"/>
    </xf>
    <xf borderId="1" fillId="2" fontId="2" numFmtId="4" xfId="0" applyAlignment="1" applyBorder="1" applyFont="1" applyNumberFormat="1">
      <alignment horizontal="center" readingOrder="0"/>
    </xf>
    <xf borderId="1" fillId="2" fontId="2" numFmtId="164" xfId="0" applyAlignment="1" applyBorder="1" applyFont="1" applyNumberFormat="1">
      <alignment horizontal="center"/>
    </xf>
    <xf borderId="1" fillId="2" fontId="2" numFmtId="165" xfId="0" applyAlignment="1" applyBorder="1" applyFont="1" applyNumberFormat="1">
      <alignment horizontal="center"/>
    </xf>
    <xf borderId="1" fillId="3" fontId="3" numFmtId="0" xfId="0" applyAlignment="1" applyBorder="1" applyFill="1" applyFont="1">
      <alignment horizontal="center" readingOrder="0"/>
    </xf>
    <xf borderId="1" fillId="3" fontId="3" numFmtId="2" xfId="0" applyAlignment="1" applyBorder="1" applyFont="1" applyNumberFormat="1">
      <alignment horizontal="center" readingOrder="0"/>
    </xf>
    <xf borderId="1" fillId="3" fontId="3" numFmtId="164" xfId="0" applyAlignment="1" applyBorder="1" applyFont="1" applyNumberFormat="1">
      <alignment horizontal="center" readingOrder="0"/>
    </xf>
    <xf borderId="1" fillId="3" fontId="3" numFmtId="165" xfId="0" applyAlignment="1" applyBorder="1" applyFont="1" applyNumberFormat="1">
      <alignment horizontal="center" readingOrder="0"/>
    </xf>
    <xf borderId="1" fillId="3" fontId="3" numFmtId="2" xfId="0" applyAlignment="1" applyBorder="1" applyFont="1" applyNumberFormat="1">
      <alignment horizontal="center"/>
    </xf>
    <xf borderId="2" fillId="0" fontId="3" numFmtId="2" xfId="0" applyAlignment="1" applyBorder="1" applyFont="1" applyNumberFormat="1">
      <alignment horizontal="center"/>
    </xf>
    <xf borderId="1" fillId="0" fontId="3" numFmtId="166" xfId="0" applyAlignment="1" applyBorder="1" applyFont="1" applyNumberFormat="1">
      <alignment horizontal="center" readingOrder="0"/>
    </xf>
    <xf borderId="1" fillId="4" fontId="3" numFmtId="0" xfId="0" applyAlignment="1" applyBorder="1" applyFill="1" applyFont="1">
      <alignment horizontal="center" readingOrder="0"/>
    </xf>
    <xf borderId="1" fillId="4" fontId="3" numFmtId="2" xfId="0" applyAlignment="1" applyBorder="1" applyFont="1" applyNumberFormat="1">
      <alignment horizontal="center" readingOrder="0"/>
    </xf>
    <xf borderId="1" fillId="4" fontId="3" numFmtId="164" xfId="0" applyAlignment="1" applyBorder="1" applyFont="1" applyNumberFormat="1">
      <alignment horizontal="center" readingOrder="0"/>
    </xf>
    <xf borderId="1" fillId="4" fontId="3" numFmtId="165" xfId="0" applyAlignment="1" applyBorder="1" applyFont="1" applyNumberFormat="1">
      <alignment horizontal="center" readingOrder="0"/>
    </xf>
    <xf borderId="1" fillId="4" fontId="3" numFmtId="2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0" fontId="3" numFmtId="168" xfId="0" applyAlignment="1" applyBorder="1" applyFont="1" applyNumberFormat="1">
      <alignment horizontal="center" readingOrder="0"/>
    </xf>
    <xf borderId="1" fillId="4" fontId="3" numFmtId="2" xfId="0" applyAlignment="1" applyBorder="1" applyFont="1" applyNumberFormat="1">
      <alignment horizontal="center" readingOrder="0" vertical="bottom"/>
    </xf>
    <xf borderId="3" fillId="4" fontId="3" numFmtId="2" xfId="0" applyAlignment="1" applyBorder="1" applyFont="1" applyNumberFormat="1">
      <alignment horizontal="center" readingOrder="0" vertical="bottom"/>
    </xf>
    <xf borderId="4" fillId="3" fontId="3" numFmtId="2" xfId="0" applyAlignment="1" applyBorder="1" applyFont="1" applyNumberFormat="1">
      <alignment horizontal="center" readingOrder="0" vertical="bottom"/>
    </xf>
    <xf borderId="5" fillId="3" fontId="3" numFmtId="2" xfId="0" applyAlignment="1" applyBorder="1" applyFont="1" applyNumberFormat="1">
      <alignment horizontal="center" readingOrder="0" vertical="bottom"/>
    </xf>
    <xf borderId="1" fillId="4" fontId="4" numFmtId="164" xfId="0" applyAlignment="1" applyBorder="1" applyFont="1" applyNumberFormat="1">
      <alignment horizontal="center" readingOrder="0"/>
    </xf>
    <xf borderId="2" fillId="0" fontId="4" numFmtId="2" xfId="0" applyAlignment="1" applyBorder="1" applyFont="1" applyNumberFormat="1">
      <alignment horizontal="center"/>
    </xf>
    <xf borderId="0" fillId="4" fontId="5" numFmtId="0" xfId="0" applyFont="1"/>
    <xf borderId="0" fillId="4" fontId="5" numFmtId="164" xfId="0" applyAlignment="1" applyFont="1" applyNumberFormat="1">
      <alignment horizontal="center"/>
    </xf>
    <xf borderId="1" fillId="3" fontId="3" numFmtId="0" xfId="0" applyAlignment="1" applyBorder="1" applyFont="1">
      <alignment horizontal="center" readingOrder="0" vertical="bottom"/>
    </xf>
    <xf borderId="3" fillId="3" fontId="3" numFmtId="0" xfId="0" applyAlignment="1" applyBorder="1" applyFont="1">
      <alignment horizontal="center" readingOrder="0" vertical="bottom"/>
    </xf>
    <xf borderId="3" fillId="3" fontId="3" numFmtId="2" xfId="0" applyAlignment="1" applyBorder="1" applyFont="1" applyNumberFormat="1">
      <alignment horizontal="center" readingOrder="0" vertical="bottom"/>
    </xf>
    <xf borderId="3" fillId="3" fontId="3" numFmtId="164" xfId="0" applyAlignment="1" applyBorder="1" applyFont="1" applyNumberFormat="1">
      <alignment horizontal="center" readingOrder="0" vertical="bottom"/>
    </xf>
    <xf borderId="3" fillId="3" fontId="3" numFmtId="165" xfId="0" applyAlignment="1" applyBorder="1" applyFont="1" applyNumberFormat="1">
      <alignment horizontal="center" readingOrder="0" vertical="bottom"/>
    </xf>
    <xf borderId="1" fillId="4" fontId="3" numFmtId="0" xfId="0" applyAlignment="1" applyBorder="1" applyFont="1">
      <alignment horizontal="center" readingOrder="0" vertical="bottom"/>
    </xf>
    <xf borderId="3" fillId="4" fontId="3" numFmtId="0" xfId="0" applyAlignment="1" applyBorder="1" applyFont="1">
      <alignment horizontal="center" readingOrder="0" vertical="bottom"/>
    </xf>
    <xf borderId="3" fillId="4" fontId="3" numFmtId="164" xfId="0" applyAlignment="1" applyBorder="1" applyFont="1" applyNumberFormat="1">
      <alignment horizontal="center" readingOrder="0" vertical="bottom"/>
    </xf>
    <xf borderId="3" fillId="4" fontId="3" numFmtId="165" xfId="0" applyAlignment="1" applyBorder="1" applyFont="1" applyNumberFormat="1">
      <alignment horizontal="center" readingOrder="0" vertical="bottom"/>
    </xf>
    <xf borderId="6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 readingOrder="0"/>
    </xf>
    <xf borderId="5" fillId="4" fontId="3" numFmtId="0" xfId="0" applyAlignment="1" applyBorder="1" applyFont="1">
      <alignment horizontal="center" readingOrder="0" vertical="bottom"/>
    </xf>
    <xf borderId="5" fillId="4" fontId="3" numFmtId="2" xfId="0" applyAlignment="1" applyBorder="1" applyFont="1" applyNumberFormat="1">
      <alignment horizontal="center" readingOrder="0" vertical="bottom"/>
    </xf>
    <xf borderId="5" fillId="4" fontId="3" numFmtId="165" xfId="0" applyAlignment="1" applyBorder="1" applyFont="1" applyNumberFormat="1">
      <alignment horizontal="center" readingOrder="0" vertical="bottom"/>
    </xf>
    <xf borderId="6" fillId="0" fontId="5" numFmtId="2" xfId="0" applyAlignment="1" applyBorder="1" applyFont="1" applyNumberFormat="1">
      <alignment horizontal="center"/>
    </xf>
    <xf borderId="6" fillId="0" fontId="5" numFmtId="169" xfId="0" applyAlignment="1" applyBorder="1" applyFont="1" applyNumberFormat="1">
      <alignment horizontal="center"/>
    </xf>
    <xf borderId="5" fillId="3" fontId="3" numFmtId="0" xfId="0" applyAlignment="1" applyBorder="1" applyFont="1">
      <alignment horizontal="center" readingOrder="0" vertical="bottom"/>
    </xf>
    <xf borderId="7" fillId="3" fontId="3" numFmtId="2" xfId="0" applyAlignment="1" applyBorder="1" applyFont="1" applyNumberFormat="1">
      <alignment horizontal="center"/>
    </xf>
    <xf borderId="7" fillId="4" fontId="3" numFmtId="2" xfId="0" applyAlignment="1" applyBorder="1" applyFont="1" applyNumberFormat="1">
      <alignment horizontal="center"/>
    </xf>
    <xf borderId="0" fillId="0" fontId="6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left" readingOrder="0"/>
    </xf>
    <xf borderId="5" fillId="3" fontId="3" numFmtId="0" xfId="0" applyAlignment="1" applyBorder="1" applyFont="1">
      <alignment horizontal="center" readingOrder="0"/>
    </xf>
    <xf borderId="1" fillId="3" fontId="3" numFmtId="170" xfId="0" applyAlignment="1" applyBorder="1" applyFont="1" applyNumberFormat="1">
      <alignment horizontal="center" readingOrder="0"/>
    </xf>
    <xf borderId="1" fillId="4" fontId="3" numFmtId="170" xfId="0" applyAlignment="1" applyBorder="1" applyFont="1" applyNumberFormat="1">
      <alignment horizontal="center" readingOrder="0"/>
    </xf>
    <xf borderId="1" fillId="3" fontId="3" numFmtId="171" xfId="0" applyAlignment="1" applyBorder="1" applyFont="1" applyNumberFormat="1">
      <alignment horizontal="center" readingOrder="0"/>
    </xf>
    <xf borderId="1" fillId="4" fontId="3" numFmtId="171" xfId="0" applyAlignment="1" applyBorder="1" applyFont="1" applyNumberFormat="1">
      <alignment horizontal="center" readingOrder="0"/>
    </xf>
    <xf borderId="1" fillId="4" fontId="5" numFmtId="0" xfId="0" applyBorder="1" applyFont="1"/>
    <xf borderId="1" fillId="3" fontId="5" numFmtId="0" xfId="0" applyBorder="1" applyFont="1"/>
    <xf borderId="1" fillId="4" fontId="5" numFmtId="0" xfId="0" applyAlignment="1" applyBorder="1" applyFont="1">
      <alignment readingOrder="0"/>
    </xf>
    <xf borderId="1" fillId="3" fontId="5" numFmtId="165" xfId="0" applyBorder="1" applyFont="1" applyNumberFormat="1"/>
    <xf borderId="1" fillId="4" fontId="5" numFmtId="165" xfId="0" applyBorder="1" applyFont="1" applyNumberFormat="1"/>
    <xf borderId="0" fillId="4" fontId="5" numFmtId="165" xfId="0" applyFont="1" applyNumberFormat="1"/>
    <xf borderId="1" fillId="0" fontId="3" numFmtId="0" xfId="0" applyAlignment="1" applyBorder="1" applyFont="1">
      <alignment horizontal="center" readingOrder="0"/>
    </xf>
    <xf borderId="1" fillId="0" fontId="3" numFmtId="2" xfId="0" applyAlignment="1" applyBorder="1" applyFont="1" applyNumberFormat="1">
      <alignment horizontal="center" readingOrder="0"/>
    </xf>
    <xf borderId="1" fillId="0" fontId="3" numFmtId="164" xfId="0" applyAlignment="1" applyBorder="1" applyFont="1" applyNumberFormat="1">
      <alignment horizontal="center" readingOrder="0"/>
    </xf>
    <xf borderId="1" fillId="0" fontId="3" numFmtId="165" xfId="0" applyAlignment="1" applyBorder="1" applyFont="1" applyNumberFormat="1">
      <alignment horizontal="center" readingOrder="0"/>
    </xf>
    <xf borderId="1" fillId="0" fontId="3" numFmtId="2" xfId="0" applyAlignment="1" applyBorder="1" applyFont="1" applyNumberFormat="1">
      <alignment horizontal="center"/>
    </xf>
    <xf borderId="1" fillId="0" fontId="3" numFmtId="170" xfId="0" applyAlignment="1" applyBorder="1" applyFont="1" applyNumberFormat="1">
      <alignment horizontal="center" readingOrder="0"/>
    </xf>
    <xf borderId="1" fillId="3" fontId="3" numFmtId="2" xfId="0" applyAlignment="1" applyBorder="1" applyFont="1" applyNumberFormat="1">
      <alignment horizontal="center" readingOrder="0" vertical="bottom"/>
    </xf>
    <xf borderId="3" fillId="3" fontId="3" numFmtId="2" xfId="0" applyAlignment="1" applyBorder="1" applyFont="1" applyNumberFormat="1">
      <alignment horizontal="center" readingOrder="0" vertical="bottom"/>
    </xf>
    <xf borderId="4" fillId="4" fontId="3" numFmtId="2" xfId="0" applyAlignment="1" applyBorder="1" applyFont="1" applyNumberFormat="1">
      <alignment horizontal="center" readingOrder="0" vertical="bottom"/>
    </xf>
    <xf borderId="5" fillId="4" fontId="3" numFmtId="2" xfId="0" applyAlignment="1" applyBorder="1" applyFont="1" applyNumberFormat="1">
      <alignment horizontal="center" readingOrder="0" vertical="bottom"/>
    </xf>
    <xf borderId="1" fillId="4" fontId="3" numFmtId="0" xfId="0" applyAlignment="1" applyBorder="1" applyFont="1">
      <alignment horizontal="center" readingOrder="0" vertical="bottom"/>
    </xf>
    <xf borderId="3" fillId="4" fontId="3" numFmtId="0" xfId="0" applyAlignment="1" applyBorder="1" applyFont="1">
      <alignment horizontal="center" readingOrder="0" vertical="bottom"/>
    </xf>
    <xf borderId="3" fillId="4" fontId="3" numFmtId="2" xfId="0" applyAlignment="1" applyBorder="1" applyFont="1" applyNumberFormat="1">
      <alignment horizontal="center" readingOrder="0" vertical="bottom"/>
    </xf>
    <xf borderId="3" fillId="4" fontId="3" numFmtId="164" xfId="0" applyAlignment="1" applyBorder="1" applyFont="1" applyNumberFormat="1">
      <alignment horizontal="center" readingOrder="0" vertical="bottom"/>
    </xf>
    <xf borderId="3" fillId="4" fontId="3" numFmtId="165" xfId="0" applyAlignment="1" applyBorder="1" applyFont="1" applyNumberFormat="1">
      <alignment horizontal="center" readingOrder="0" vertical="bottom"/>
    </xf>
    <xf borderId="5" fillId="4" fontId="3" numFmtId="0" xfId="0" applyAlignment="1" applyBorder="1" applyFont="1">
      <alignment horizontal="center" readingOrder="0" vertical="bottom"/>
    </xf>
    <xf borderId="5" fillId="4" fontId="3" numFmtId="165" xfId="0" applyAlignment="1" applyBorder="1" applyFont="1" applyNumberFormat="1">
      <alignment horizontal="center" readingOrder="0" vertical="bottom"/>
    </xf>
    <xf borderId="7" fillId="0" fontId="3" numFmtId="2" xfId="0" applyAlignment="1" applyBorder="1" applyFont="1" applyNumberFormat="1">
      <alignment horizontal="center"/>
    </xf>
    <xf borderId="3" fillId="3" fontId="3" numFmtId="0" xfId="0" applyAlignment="1" applyBorder="1" applyFont="1">
      <alignment horizontal="center" readingOrder="0" vertical="bottom"/>
    </xf>
    <xf borderId="1" fillId="3" fontId="3" numFmtId="0" xfId="0" applyAlignment="1" applyBorder="1" applyFont="1">
      <alignment horizontal="center" readingOrder="0" vertical="bottom"/>
    </xf>
    <xf borderId="3" fillId="3" fontId="3" numFmtId="170" xfId="0" applyAlignment="1" applyBorder="1" applyFont="1" applyNumberFormat="1">
      <alignment horizontal="center" readingOrder="0" vertical="bottom"/>
    </xf>
    <xf borderId="3" fillId="3" fontId="3" numFmtId="165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/>
    </xf>
    <xf borderId="5" fillId="3" fontId="3" numFmtId="0" xfId="0" applyAlignment="1" applyBorder="1" applyFont="1">
      <alignment horizontal="center" readingOrder="0" vertical="bottom"/>
    </xf>
    <xf borderId="1" fillId="0" fontId="3" numFmtId="171" xfId="0" applyAlignment="1" applyBorder="1" applyFont="1" applyNumberFormat="1">
      <alignment horizontal="center" readingOrder="0"/>
    </xf>
    <xf borderId="1" fillId="0" fontId="5" numFmtId="0" xfId="0" applyBorder="1" applyFont="1"/>
    <xf borderId="1" fillId="0" fontId="5" numFmtId="0" xfId="0" applyAlignment="1" applyBorder="1" applyFont="1">
      <alignment readingOrder="0"/>
    </xf>
    <xf borderId="1" fillId="0" fontId="5" numFmtId="165" xfId="0" applyBorder="1" applyFont="1" applyNumberFormat="1"/>
    <xf borderId="0" fillId="0" fontId="5" numFmtId="0" xfId="0" applyFont="1"/>
    <xf borderId="0" fillId="0" fontId="5" numFmtId="165" xfId="0" applyFont="1" applyNumberFormat="1"/>
    <xf borderId="2" fillId="0" fontId="6" numFmtId="164" xfId="0" applyAlignment="1" applyBorder="1" applyFont="1" applyNumberFormat="1">
      <alignment horizontal="center"/>
    </xf>
    <xf borderId="0" fillId="4" fontId="7" numFmtId="0" xfId="0" applyAlignment="1" applyFont="1">
      <alignment horizontal="center" readingOrder="0"/>
    </xf>
    <xf borderId="0" fillId="3" fontId="7" numFmtId="0" xfId="0" applyAlignment="1" applyFont="1">
      <alignment horizontal="center" readingOrder="0"/>
    </xf>
    <xf borderId="1" fillId="2" fontId="2" numFmtId="2" xfId="0" applyAlignment="1" applyBorder="1" applyFont="1" applyNumberFormat="1">
      <alignment horizontal="center"/>
    </xf>
    <xf borderId="1" fillId="3" fontId="3" numFmtId="2" xfId="0" applyAlignment="1" applyBorder="1" applyFont="1" applyNumberFormat="1">
      <alignment horizontal="center" readingOrder="0" vertical="bottom"/>
    </xf>
    <xf borderId="4" fillId="4" fontId="3" numFmtId="2" xfId="0" applyAlignment="1" applyBorder="1" applyFont="1" applyNumberFormat="1">
      <alignment horizontal="center" readingOrder="0" vertical="bottom"/>
    </xf>
    <xf borderId="6" fillId="0" fontId="6" numFmtId="0" xfId="0" applyAlignment="1" applyBorder="1" applyFont="1">
      <alignment horizontal="center" readingOrder="0"/>
    </xf>
    <xf borderId="8" fillId="0" fontId="6" numFmtId="0" xfId="0" applyAlignment="1" applyBorder="1" applyFont="1">
      <alignment horizontal="center" readingOrder="0"/>
    </xf>
    <xf borderId="9" fillId="0" fontId="8" numFmtId="0" xfId="0" applyBorder="1" applyFont="1"/>
    <xf borderId="10" fillId="0" fontId="8" numFmtId="0" xfId="0" applyBorder="1" applyFont="1"/>
    <xf borderId="8" fillId="0" fontId="5" numFmtId="0" xfId="0" applyAlignment="1" applyBorder="1" applyFont="1">
      <alignment horizontal="left" readingOrder="0"/>
    </xf>
    <xf borderId="3" fillId="4" fontId="3" numFmtId="170" xfId="0" applyAlignment="1" applyBorder="1" applyFont="1" applyNumberFormat="1">
      <alignment horizontal="center" readingOrder="0" vertical="bottom"/>
    </xf>
    <xf borderId="3" fillId="3" fontId="3" numFmtId="170" xfId="0" applyAlignment="1" applyBorder="1" applyFont="1" applyNumberFormat="1">
      <alignment horizontal="center" readingOrder="0" vertical="bottom"/>
    </xf>
    <xf borderId="0" fillId="3" fontId="5" numFmtId="0" xfId="0" applyFont="1"/>
    <xf borderId="1" fillId="2" fontId="2" numFmtId="10" xfId="0" applyAlignment="1" applyBorder="1" applyFont="1" applyNumberFormat="1">
      <alignment horizontal="center" readingOrder="0"/>
    </xf>
    <xf borderId="1" fillId="3" fontId="3" numFmtId="10" xfId="0" applyAlignment="1" applyBorder="1" applyFont="1" applyNumberFormat="1">
      <alignment horizontal="center" readingOrder="0"/>
    </xf>
    <xf borderId="1" fillId="4" fontId="3" numFmtId="169" xfId="0" applyAlignment="1" applyBorder="1" applyFont="1" applyNumberFormat="1">
      <alignment horizontal="center" readingOrder="0"/>
    </xf>
    <xf borderId="1" fillId="3" fontId="3" numFmtId="169" xfId="0" applyAlignment="1" applyBorder="1" applyFont="1" applyNumberFormat="1">
      <alignment horizontal="center" readingOrder="0"/>
    </xf>
    <xf borderId="1" fillId="4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3" fontId="3" numFmtId="10" xfId="0" applyAlignment="1" applyFont="1" applyNumberFormat="1">
      <alignment horizontal="center" readingOrder="0"/>
    </xf>
    <xf borderId="3" fillId="4" fontId="3" numFmtId="0" xfId="0" applyAlignment="1" applyBorder="1" applyFont="1">
      <alignment horizontal="center" readingOrder="0"/>
    </xf>
    <xf borderId="3" fillId="4" fontId="3" numFmtId="10" xfId="0" applyAlignment="1" applyBorder="1" applyFont="1" applyNumberFormat="1">
      <alignment horizontal="center" readingOrder="0"/>
    </xf>
    <xf borderId="3" fillId="3" fontId="3" numFmtId="0" xfId="0" applyAlignment="1" applyBorder="1" applyFont="1">
      <alignment horizontal="center" readingOrder="0"/>
    </xf>
    <xf borderId="3" fillId="3" fontId="3" numFmtId="10" xfId="0" applyAlignment="1" applyBorder="1" applyFont="1" applyNumberFormat="1">
      <alignment horizontal="center" readingOrder="0"/>
    </xf>
    <xf borderId="4" fillId="4" fontId="3" numFmtId="0" xfId="0" applyAlignment="1" applyBorder="1" applyFont="1">
      <alignment horizontal="center" readingOrder="0"/>
    </xf>
    <xf borderId="5" fillId="4" fontId="3" numFmtId="0" xfId="0" applyAlignment="1" applyBorder="1" applyFont="1">
      <alignment horizontal="center" readingOrder="0"/>
    </xf>
    <xf borderId="5" fillId="4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1" fillId="4" fontId="5" numFmtId="0" xfId="0" applyAlignment="1" applyBorder="1" applyFont="1">
      <alignment horizontal="center" readingOrder="0"/>
    </xf>
    <xf borderId="1" fillId="4" fontId="5" numFmtId="0" xfId="0" applyAlignment="1" applyBorder="1" applyFont="1">
      <alignment horizontal="center"/>
    </xf>
    <xf borderId="1" fillId="4" fontId="5" numFmtId="2" xfId="0" applyAlignment="1" applyBorder="1" applyFont="1" applyNumberFormat="1">
      <alignment horizontal="center" readingOrder="0"/>
    </xf>
    <xf borderId="1" fillId="4" fontId="5" numFmtId="164" xfId="0" applyAlignment="1" applyBorder="1" applyFont="1" applyNumberFormat="1">
      <alignment horizontal="center" readingOrder="0"/>
    </xf>
    <xf borderId="1" fillId="3" fontId="5" numFmtId="0" xfId="0" applyAlignment="1" applyBorder="1" applyFont="1">
      <alignment horizontal="center" readingOrder="0"/>
    </xf>
    <xf borderId="1" fillId="3" fontId="5" numFmtId="0" xfId="0" applyAlignment="1" applyBorder="1" applyFont="1">
      <alignment horizontal="center"/>
    </xf>
    <xf borderId="1" fillId="3" fontId="5" numFmtId="2" xfId="0" applyAlignment="1" applyBorder="1" applyFont="1" applyNumberFormat="1">
      <alignment horizontal="center" readingOrder="0"/>
    </xf>
    <xf borderId="1" fillId="3" fontId="5" numFmtId="164" xfId="0" applyAlignment="1" applyBorder="1" applyFont="1" applyNumberFormat="1">
      <alignment horizontal="center" readingOrder="0"/>
    </xf>
    <xf borderId="0" fillId="3" fontId="5" numFmtId="0" xfId="0" applyAlignment="1" applyFont="1">
      <alignment horizontal="center" readingOrder="0"/>
    </xf>
    <xf borderId="3" fillId="3" fontId="9" numFmtId="0" xfId="0" applyAlignment="1" applyBorder="1" applyFont="1">
      <alignment vertical="bottom"/>
    </xf>
    <xf borderId="0" fillId="0" fontId="5" numFmtId="2" xfId="0" applyAlignment="1" applyFont="1" applyNumberFormat="1">
      <alignment horizontal="center"/>
    </xf>
    <xf borderId="0" fillId="0" fontId="5" numFmtId="169" xfId="0" applyAlignment="1" applyFont="1" applyNumberFormat="1">
      <alignment horizontal="center"/>
    </xf>
    <xf borderId="3" fillId="3" fontId="3" numFmtId="165" xfId="0" applyAlignment="1" applyBorder="1" applyFont="1" applyNumberFormat="1">
      <alignment horizontal="center" vertical="bottom"/>
    </xf>
    <xf borderId="1" fillId="4" fontId="7" numFmtId="0" xfId="0" applyAlignment="1" applyBorder="1" applyFont="1">
      <alignment horizontal="center" readingOrder="0"/>
    </xf>
    <xf borderId="0" fillId="4" fontId="3" numFmtId="0" xfId="0" applyAlignment="1" applyFont="1">
      <alignment horizontal="center" readingOrder="0"/>
    </xf>
    <xf borderId="1" fillId="4" fontId="2" numFmtId="0" xfId="0" applyAlignment="1" applyBorder="1" applyFont="1">
      <alignment horizontal="center"/>
    </xf>
    <xf borderId="0" fillId="0" fontId="3" numFmtId="166" xfId="0" applyAlignment="1" applyFont="1" applyNumberFormat="1">
      <alignment horizontal="center" readingOrder="0"/>
    </xf>
    <xf borderId="0" fillId="0" fontId="5" numFmtId="0" xfId="0" applyAlignment="1" applyFont="1">
      <alignment horizontal="center"/>
    </xf>
    <xf borderId="0" fillId="0" fontId="5" numFmtId="10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3" fontId="3" numFmtId="0" xfId="0" applyAlignment="1" applyFont="1">
      <alignment horizontal="center"/>
    </xf>
    <xf borderId="0" fillId="0" fontId="5" numFmtId="165" xfId="0" applyAlignment="1" applyFont="1" applyNumberFormat="1">
      <alignment horizontal="center"/>
    </xf>
    <xf borderId="0" fillId="3" fontId="10" numFmtId="0" xfId="0" applyAlignment="1" applyFont="1">
      <alignment horizontal="center" readingOrder="0"/>
    </xf>
    <xf borderId="3" fillId="3" fontId="3" numFmtId="0" xfId="0" applyAlignment="1" applyBorder="1" applyFont="1">
      <alignment horizontal="center" vertical="bottom"/>
    </xf>
    <xf borderId="1" fillId="4" fontId="3" numFmtId="0" xfId="0" applyAlignment="1" applyBorder="1" applyFont="1">
      <alignment horizontal="center" vertical="bottom"/>
    </xf>
    <xf borderId="3" fillId="4" fontId="3" numFmtId="0" xfId="0" applyAlignment="1" applyBorder="1" applyFont="1">
      <alignment horizontal="center" vertical="bottom"/>
    </xf>
    <xf borderId="3" fillId="4" fontId="3" numFmtId="2" xfId="0" applyAlignment="1" applyBorder="1" applyFont="1" applyNumberFormat="1">
      <alignment horizontal="center" vertical="bottom"/>
    </xf>
    <xf borderId="4" fillId="3" fontId="3" numFmtId="0" xfId="0" applyAlignment="1" applyBorder="1" applyFont="1">
      <alignment horizontal="center" vertical="bottom"/>
    </xf>
    <xf borderId="5" fillId="3" fontId="3" numFmtId="0" xfId="0" applyAlignment="1" applyBorder="1" applyFont="1">
      <alignment horizontal="center" vertical="bottom"/>
    </xf>
    <xf borderId="5" fillId="3" fontId="9" numFmtId="2" xfId="0" applyAlignment="1" applyBorder="1" applyFont="1" applyNumberFormat="1">
      <alignment vertical="bottom"/>
    </xf>
    <xf borderId="0" fillId="3" fontId="5" numFmtId="0" xfId="0" applyAlignment="1" applyFont="1">
      <alignment readingOrder="0"/>
    </xf>
    <xf borderId="4" fillId="4" fontId="3" numFmtId="0" xfId="0" applyAlignment="1" applyBorder="1" applyFont="1">
      <alignment horizontal="center" readingOrder="0" vertical="bottom"/>
    </xf>
    <xf borderId="1" fillId="3" fontId="3" numFmtId="0" xfId="0" applyAlignment="1" applyBorder="1" applyFont="1">
      <alignment horizontal="center" readingOrder="0"/>
    </xf>
    <xf borderId="4" fillId="3" fontId="3" numFmtId="0" xfId="0" applyAlignment="1" applyBorder="1" applyFont="1">
      <alignment horizontal="center" readingOrder="0"/>
    </xf>
    <xf borderId="3" fillId="3" fontId="3" numFmtId="2" xfId="0" applyAlignment="1" applyBorder="1" applyFont="1" applyNumberFormat="1">
      <alignment horizontal="center" vertical="bottom"/>
    </xf>
    <xf borderId="1" fillId="4" fontId="3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vertical="bottom"/>
    </xf>
    <xf borderId="3" fillId="3" fontId="3" numFmtId="170" xfId="0" applyAlignment="1" applyBorder="1" applyFont="1" applyNumberFormat="1">
      <alignment horizontal="center" vertical="bottom"/>
    </xf>
    <xf borderId="5" fillId="4" fontId="3" numFmtId="0" xfId="0" applyAlignment="1" applyBorder="1" applyFont="1">
      <alignment horizontal="center" vertical="bottom"/>
    </xf>
    <xf borderId="5" fillId="4" fontId="3" numFmtId="2" xfId="0" applyAlignment="1" applyBorder="1" applyFont="1" applyNumberFormat="1">
      <alignment horizontal="center" vertical="bottom"/>
    </xf>
    <xf borderId="5" fillId="4" fontId="3" numFmtId="170" xfId="0" applyAlignment="1" applyBorder="1" applyFont="1" applyNumberFormat="1">
      <alignment horizontal="center" readingOrder="0" vertical="bottom"/>
    </xf>
    <xf borderId="5" fillId="4" fontId="3" numFmtId="165" xfId="0" applyAlignment="1" applyBorder="1" applyFont="1" applyNumberFormat="1">
      <alignment horizontal="center" vertical="bottom"/>
    </xf>
    <xf borderId="3" fillId="4" fontId="3" numFmtId="164" xfId="0" applyAlignment="1" applyBorder="1" applyFont="1" applyNumberFormat="1">
      <alignment horizontal="center" vertical="bottom"/>
    </xf>
    <xf borderId="3" fillId="4" fontId="3" numFmtId="170" xfId="0" applyAlignment="1" applyBorder="1" applyFont="1" applyNumberFormat="1">
      <alignment horizontal="center" vertical="bottom"/>
    </xf>
    <xf borderId="3" fillId="4" fontId="3" numFmtId="165" xfId="0" applyAlignment="1" applyBorder="1" applyFont="1" applyNumberFormat="1">
      <alignment horizontal="center" vertical="bottom"/>
    </xf>
    <xf borderId="1" fillId="5" fontId="3" numFmtId="164" xfId="0" applyAlignment="1" applyBorder="1" applyFill="1" applyFont="1" applyNumberFormat="1">
      <alignment horizontal="center" readingOrder="0"/>
    </xf>
    <xf borderId="3" fillId="3" fontId="9" numFmtId="169" xfId="0" applyAlignment="1" applyBorder="1" applyFont="1" applyNumberFormat="1">
      <alignment vertical="bottom"/>
    </xf>
    <xf borderId="3" fillId="3" fontId="3" numFmtId="164" xfId="0" applyAlignment="1" applyBorder="1" applyFont="1" applyNumberFormat="1">
      <alignment horizontal="center" vertical="bottom"/>
    </xf>
    <xf borderId="5" fillId="3" fontId="3" numFmtId="170" xfId="0" applyAlignment="1" applyBorder="1" applyFont="1" applyNumberFormat="1">
      <alignment horizontal="center" readingOrder="0" vertical="bottom"/>
    </xf>
    <xf borderId="5" fillId="3" fontId="3" numFmtId="165" xfId="0" applyAlignment="1" applyBorder="1" applyFont="1" applyNumberFormat="1">
      <alignment horizontal="center" readingOrder="0" vertical="bottom"/>
    </xf>
    <xf borderId="3" fillId="4" fontId="3" numFmtId="10" xfId="0" applyAlignment="1" applyBorder="1" applyFont="1" applyNumberFormat="1">
      <alignment horizontal="center" readingOrder="0" vertical="bottom"/>
    </xf>
    <xf borderId="3" fillId="3" fontId="3" numFmtId="10" xfId="0" applyAlignment="1" applyBorder="1" applyFont="1" applyNumberFormat="1">
      <alignment horizontal="center" vertical="bottom"/>
    </xf>
    <xf borderId="3" fillId="4" fontId="9" numFmtId="0" xfId="0" applyAlignment="1" applyBorder="1" applyFont="1">
      <alignment vertical="bottom"/>
    </xf>
    <xf borderId="3" fillId="4" fontId="3" numFmtId="169" xfId="0" applyAlignment="1" applyBorder="1" applyFont="1" applyNumberFormat="1">
      <alignment horizontal="center" vertical="bottom"/>
    </xf>
    <xf borderId="5" fillId="3" fontId="9" numFmtId="0" xfId="0" applyAlignment="1" applyBorder="1" applyFont="1">
      <alignment vertical="bottom"/>
    </xf>
    <xf borderId="5" fillId="3" fontId="3" numFmtId="2" xfId="0" applyAlignment="1" applyBorder="1" applyFont="1" applyNumberFormat="1">
      <alignment horizontal="center" vertical="bottom"/>
    </xf>
    <xf borderId="5" fillId="3" fontId="3" numFmtId="165" xfId="0" applyAlignment="1" applyBorder="1" applyFont="1" applyNumberFormat="1">
      <alignment horizontal="center" vertical="bottom"/>
    </xf>
    <xf borderId="1" fillId="3" fontId="3" numFmtId="9" xfId="0" applyAlignment="1" applyBorder="1" applyFont="1" applyNumberFormat="1">
      <alignment horizontal="center" readingOrder="0"/>
    </xf>
    <xf borderId="1" fillId="4" fontId="3" numFmtId="9" xfId="0" applyAlignment="1" applyBorder="1" applyFont="1" applyNumberFormat="1">
      <alignment horizontal="center" readingOrder="0"/>
    </xf>
    <xf borderId="2" fillId="4" fontId="6" numFmtId="164" xfId="0" applyAlignment="1" applyBorder="1" applyFont="1" applyNumberFormat="1">
      <alignment horizontal="center"/>
    </xf>
    <xf borderId="4" fillId="3" fontId="3" numFmtId="0" xfId="0" applyAlignment="1" applyBorder="1" applyFont="1">
      <alignment horizontal="center" readingOrder="0" vertical="bottom"/>
    </xf>
    <xf borderId="0" fillId="4" fontId="11" numFmtId="0" xfId="0" applyFont="1"/>
    <xf borderId="0" fillId="0" fontId="3" numFmtId="0" xfId="0" applyAlignment="1" applyFont="1">
      <alignment horizontal="center" readingOrder="0"/>
    </xf>
    <xf borderId="1" fillId="0" fontId="3" numFmtId="0" xfId="0" applyAlignment="1" applyBorder="1" applyFont="1">
      <alignment horizontal="center"/>
    </xf>
    <xf borderId="1" fillId="0" fontId="5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center"/>
    </xf>
    <xf borderId="1" fillId="0" fontId="5" numFmtId="2" xfId="0" applyAlignment="1" applyBorder="1" applyFont="1" applyNumberFormat="1">
      <alignment horizontal="center" readingOrder="0"/>
    </xf>
    <xf borderId="1" fillId="0" fontId="5" numFmtId="164" xfId="0" applyAlignment="1" applyBorder="1" applyFont="1" applyNumberFormat="1">
      <alignment horizontal="center" readingOrder="0"/>
    </xf>
    <xf borderId="11" fillId="5" fontId="6" numFmtId="0" xfId="0" applyAlignment="1" applyBorder="1" applyFont="1">
      <alignment horizontal="center" readingOrder="0"/>
    </xf>
    <xf borderId="12" fillId="0" fontId="8" numFmtId="0" xfId="0" applyBorder="1" applyFont="1"/>
    <xf borderId="13" fillId="0" fontId="8" numFmtId="0" xfId="0" applyBorder="1" applyFont="1"/>
    <xf borderId="8" fillId="5" fontId="6" numFmtId="0" xfId="0" applyAlignment="1" applyBorder="1" applyFont="1">
      <alignment horizontal="center" readingOrder="0"/>
    </xf>
    <xf borderId="6" fillId="0" fontId="5" numFmtId="2" xfId="0" applyAlignment="1" applyBorder="1" applyFont="1" applyNumberFormat="1">
      <alignment horizontal="center" readingOrder="0"/>
    </xf>
    <xf borderId="6" fillId="0" fontId="5" numFmtId="169" xfId="0" applyAlignment="1" applyBorder="1" applyFont="1" applyNumberFormat="1">
      <alignment horizontal="center" readingOrder="0"/>
    </xf>
    <xf borderId="6" fillId="0" fontId="5" numFmtId="10" xfId="0" applyAlignment="1" applyBorder="1" applyFont="1" applyNumberFormat="1">
      <alignment horizontal="center"/>
    </xf>
    <xf borderId="6" fillId="0" fontId="5" numFmtId="10" xfId="0" applyAlignment="1" applyBorder="1" applyFont="1" applyNumberFormat="1">
      <alignment horizontal="center" readingOrder="0"/>
    </xf>
    <xf borderId="0" fillId="2" fontId="2" numFmtId="0" xfId="0" applyAlignment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5" numFmtId="172" xfId="0" applyAlignment="1" applyFont="1" applyNumberFormat="1">
      <alignment horizontal="center" readingOrder="0"/>
    </xf>
    <xf borderId="0" fillId="4" fontId="3" numFmtId="0" xfId="0" applyAlignment="1" applyFont="1">
      <alignment horizontal="center" readingOrder="0"/>
    </xf>
    <xf borderId="0" fillId="0" fontId="3" numFmtId="2" xfId="0" applyAlignment="1" applyFont="1" applyNumberFormat="1">
      <alignment horizontal="center" readingOrder="0"/>
    </xf>
    <xf borderId="0" fillId="3" fontId="3" numFmtId="2" xfId="0" applyAlignment="1" applyFont="1" applyNumberFormat="1">
      <alignment horizontal="center" readingOrder="0"/>
    </xf>
    <xf borderId="0" fillId="4" fontId="3" numFmtId="2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 vertical="center"/>
    </xf>
    <xf borderId="0" fillId="3" fontId="5" numFmtId="0" xfId="0" applyAlignment="1" applyFont="1">
      <alignment horizontal="center" readingOrder="0" vertical="center"/>
    </xf>
    <xf borderId="0" fillId="3" fontId="5" numFmtId="2" xfId="0" applyAlignment="1" applyFont="1" applyNumberFormat="1">
      <alignment horizontal="center" readingOrder="0" vertical="center"/>
    </xf>
    <xf borderId="0" fillId="3" fontId="5" numFmtId="10" xfId="0" applyAlignment="1" applyFont="1" applyNumberFormat="1">
      <alignment horizontal="center" readingOrder="0" vertical="center"/>
    </xf>
    <xf borderId="0" fillId="4" fontId="3" numFmtId="10" xfId="0" applyAlignment="1" applyFont="1" applyNumberFormat="1">
      <alignment horizontal="center" readingOrder="0"/>
    </xf>
    <xf borderId="0" fillId="0" fontId="3" numFmtId="10" xfId="0" applyAlignment="1" applyFont="1" applyNumberFormat="1">
      <alignment horizontal="center" readingOrder="0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59">
    <tableStyle count="2" pivot="0" name="Janeiro25-style">
      <tableStyleElement dxfId="6" type="firstRowStripe"/>
      <tableStyleElement dxfId="7" type="secondRowStripe"/>
    </tableStyle>
    <tableStyle count="2" pivot="0" name="Janeiro25-style 2">
      <tableStyleElement dxfId="7" type="firstRowStripe"/>
      <tableStyleElement dxfId="6" type="secondRowStripe"/>
    </tableStyle>
    <tableStyle count="2" pivot="0" name="Janeiro25-style 3">
      <tableStyleElement dxfId="6" type="firstRowStripe"/>
      <tableStyleElement dxfId="7" type="secondRowStripe"/>
    </tableStyle>
    <tableStyle count="2" pivot="0" name="Dezembro24-style">
      <tableStyleElement dxfId="6" type="firstRowStripe"/>
      <tableStyleElement dxfId="7" type="secondRowStripe"/>
    </tableStyle>
    <tableStyle count="2" pivot="0" name="Dezembro24-style 2">
      <tableStyleElement dxfId="7" type="firstRowStripe"/>
      <tableStyleElement dxfId="6" type="secondRowStripe"/>
    </tableStyle>
    <tableStyle count="2" pivot="0" name="Outubro24-style">
      <tableStyleElement dxfId="7" type="firstRowStripe"/>
      <tableStyleElement dxfId="6" type="secondRowStripe"/>
    </tableStyle>
    <tableStyle count="2" pivot="0" name="Setembro24-style">
      <tableStyleElement dxfId="7" type="firstRowStripe"/>
      <tableStyleElement dxfId="6" type="secondRowStripe"/>
    </tableStyle>
    <tableStyle count="2" pivot="0" name="Agosto24-style">
      <tableStyleElement dxfId="7" type="firstRowStripe"/>
      <tableStyleElement dxfId="6" type="secondRowStripe"/>
    </tableStyle>
    <tableStyle count="2" pivot="0" name="Geral-style">
      <tableStyleElement dxfId="7" type="firstRowStripe"/>
      <tableStyleElement dxfId="6" type="secondRowStripe"/>
    </tableStyle>
    <tableStyle count="2" pivot="0" name="Geral-style 2">
      <tableStyleElement dxfId="7" type="firstRowStripe"/>
      <tableStyleElement dxfId="6" type="secondRowStripe"/>
    </tableStyle>
    <tableStyle count="2" pivot="0" name="Julho24-style">
      <tableStyleElement dxfId="7" type="firstRowStripe"/>
      <tableStyleElement dxfId="6" type="secondRowStripe"/>
    </tableStyle>
    <tableStyle count="2" pivot="0" name="Junho24-style">
      <tableStyleElement dxfId="7" type="firstRowStripe"/>
      <tableStyleElement dxfId="6" type="secondRowStripe"/>
    </tableStyle>
    <tableStyle count="2" pivot="0" name="Abril24-style">
      <tableStyleElement dxfId="7" type="firstRowStripe"/>
      <tableStyleElement dxfId="6" type="secondRowStripe"/>
    </tableStyle>
    <tableStyle count="2" pivot="0" name="Março24-style">
      <tableStyleElement dxfId="7" type="firstRowStripe"/>
      <tableStyleElement dxfId="6" type="secondRowStripe"/>
    </tableStyle>
    <tableStyle count="2" pivot="0" name="Dezembro23-style">
      <tableStyleElement dxfId="7" type="firstRowStripe"/>
      <tableStyleElement dxfId="6" type="secondRowStripe"/>
    </tableStyle>
    <tableStyle count="2" pivot="0" name="Dezembro23-style 2">
      <tableStyleElement dxfId="7" type="firstRowStripe"/>
      <tableStyleElement dxfId="6" type="secondRowStripe"/>
    </tableStyle>
    <tableStyle count="2" pivot="0" name="Novembro23-style">
      <tableStyleElement dxfId="7" type="firstRowStripe"/>
      <tableStyleElement dxfId="6" type="secondRowStripe"/>
    </tableStyle>
    <tableStyle count="2" pivot="0" name="Novembro23-style 2">
      <tableStyleElement dxfId="7" type="firstRowStripe"/>
      <tableStyleElement dxfId="6" type="secondRowStripe"/>
    </tableStyle>
    <tableStyle count="2" pivot="0" name="Outubro23-style">
      <tableStyleElement dxfId="7" type="firstRowStripe"/>
      <tableStyleElement dxfId="6" type="secondRowStripe"/>
    </tableStyle>
    <tableStyle count="2" pivot="0" name="Outubro23-style 2">
      <tableStyleElement dxfId="7" type="firstRowStripe"/>
      <tableStyleElement dxfId="6" type="secondRowStripe"/>
    </tableStyle>
    <tableStyle count="2" pivot="0" name="Setembro23-style">
      <tableStyleElement dxfId="7" type="firstRowStripe"/>
      <tableStyleElement dxfId="6" type="secondRowStripe"/>
    </tableStyle>
    <tableStyle count="2" pivot="0" name="Setembro23-style 2">
      <tableStyleElement dxfId="7" type="firstRowStripe"/>
      <tableStyleElement dxfId="6" type="secondRowStripe"/>
    </tableStyle>
    <tableStyle count="2" pivot="0" name="Agosto23-style">
      <tableStyleElement dxfId="7" type="firstRowStripe"/>
      <tableStyleElement dxfId="6" type="secondRowStripe"/>
    </tableStyle>
    <tableStyle count="2" pivot="0" name="Agosto23-style 2">
      <tableStyleElement dxfId="7" type="firstRowStripe"/>
      <tableStyleElement dxfId="6" type="secondRowStripe"/>
    </tableStyle>
    <tableStyle count="2" pivot="0" name="Julho23-style">
      <tableStyleElement dxfId="6" type="firstRowStripe"/>
      <tableStyleElement dxfId="7" type="secondRowStripe"/>
    </tableStyle>
    <tableStyle count="2" pivot="0" name="Julho23-style 2">
      <tableStyleElement dxfId="7" type="firstRowStripe"/>
      <tableStyleElement dxfId="6" type="secondRowStripe"/>
    </tableStyle>
    <tableStyle count="2" pivot="0" name="Julho23-style 3">
      <tableStyleElement dxfId="7" type="firstRowStripe"/>
      <tableStyleElement dxfId="6" type="secondRowStripe"/>
    </tableStyle>
    <tableStyle count="2" pivot="0" name="Junho23-style">
      <tableStyleElement dxfId="6" type="firstRowStripe"/>
      <tableStyleElement dxfId="7" type="secondRowStripe"/>
    </tableStyle>
    <tableStyle count="2" pivot="0" name="Junho23-style 2">
      <tableStyleElement dxfId="7" type="firstRowStripe"/>
      <tableStyleElement dxfId="6" type="secondRowStripe"/>
    </tableStyle>
    <tableStyle count="2" pivot="0" name="Junho23-style 3">
      <tableStyleElement dxfId="7" type="firstRowStripe"/>
      <tableStyleElement dxfId="6" type="secondRowStripe"/>
    </tableStyle>
    <tableStyle count="2" pivot="0" name="Maio23-style">
      <tableStyleElement dxfId="6" type="firstRowStripe"/>
      <tableStyleElement dxfId="7" type="secondRowStripe"/>
    </tableStyle>
    <tableStyle count="2" pivot="0" name="Maio23-style 2">
      <tableStyleElement dxfId="7" type="firstRowStripe"/>
      <tableStyleElement dxfId="6" type="secondRowStripe"/>
    </tableStyle>
    <tableStyle count="2" pivot="0" name="Maio23-style 3">
      <tableStyleElement dxfId="7" type="firstRowStripe"/>
      <tableStyleElement dxfId="6" type="secondRowStripe"/>
    </tableStyle>
    <tableStyle count="2" pivot="0" name="Análise-style">
      <tableStyleElement dxfId="7" type="firstRowStripe"/>
      <tableStyleElement dxfId="6" type="secondRowStripe"/>
    </tableStyle>
    <tableStyle count="2" pivot="0" name="Análise-style 2">
      <tableStyleElement dxfId="7" type="firstRowStripe"/>
      <tableStyleElement dxfId="6" type="secondRowStripe"/>
    </tableStyle>
    <tableStyle count="2" pivot="0" name="Análise-style 3">
      <tableStyleElement dxfId="7" type="firstRowStripe"/>
      <tableStyleElement dxfId="6" type="secondRowStripe"/>
    </tableStyle>
    <tableStyle count="2" pivot="0" name="Análise-style 4">
      <tableStyleElement dxfId="7" type="firstRowStripe"/>
      <tableStyleElement dxfId="6" type="secondRowStripe"/>
    </tableStyle>
    <tableStyle count="2" pivot="0" name="Análise-style 5">
      <tableStyleElement dxfId="7" type="firstRowStripe"/>
      <tableStyleElement dxfId="6" type="secondRowStripe"/>
    </tableStyle>
    <tableStyle count="2" pivot="0" name="Análise-style 6">
      <tableStyleElement dxfId="6" type="firstRowStripe"/>
      <tableStyleElement dxfId="7" type="secondRowStripe"/>
    </tableStyle>
    <tableStyle count="2" pivot="0" name="Análise-style 7">
      <tableStyleElement dxfId="6" type="firstRowStripe"/>
      <tableStyleElement dxfId="7" type="secondRowStripe"/>
    </tableStyle>
    <tableStyle count="2" pivot="0" name="Análise-style 8">
      <tableStyleElement dxfId="6" type="firstRowStripe"/>
      <tableStyleElement dxfId="7" type="secondRowStripe"/>
    </tableStyle>
    <tableStyle count="2" pivot="0" name="Análise-style 9">
      <tableStyleElement dxfId="6" type="firstRowStripe"/>
      <tableStyleElement dxfId="7" type="secondRowStripe"/>
    </tableStyle>
    <tableStyle count="2" pivot="0" name="Análise-style 10">
      <tableStyleElement dxfId="7" type="firstRowStripe"/>
      <tableStyleElement dxfId="6" type="secondRowStripe"/>
    </tableStyle>
    <tableStyle count="2" pivot="0" name="Análise-style 11">
      <tableStyleElement dxfId="7" type="firstRowStripe"/>
      <tableStyleElement dxfId="6" type="secondRowStripe"/>
    </tableStyle>
    <tableStyle count="2" pivot="0" name="Análise-style 12">
      <tableStyleElement dxfId="6" type="firstRowStripe"/>
      <tableStyleElement dxfId="7" type="secondRowStripe"/>
    </tableStyle>
    <tableStyle count="2" pivot="0" name="Análise-style 13">
      <tableStyleElement dxfId="6" type="firstRowStripe"/>
      <tableStyleElement dxfId="7" type="secondRowStripe"/>
    </tableStyle>
    <tableStyle count="2" pivot="0" name="Análise-style 14">
      <tableStyleElement dxfId="6" type="firstRowStripe"/>
      <tableStyleElement dxfId="7" type="secondRowStripe"/>
    </tableStyle>
    <tableStyle count="2" pivot="0" name="Análise-style 15">
      <tableStyleElement dxfId="6" type="firstRowStripe"/>
      <tableStyleElement dxfId="7" type="secondRowStripe"/>
    </tableStyle>
    <tableStyle count="2" pivot="0" name="Análise-style 16">
      <tableStyleElement dxfId="7" type="firstRowStripe"/>
      <tableStyleElement dxfId="6" type="secondRowStripe"/>
    </tableStyle>
    <tableStyle count="2" pivot="0" name="Análise-style 17">
      <tableStyleElement dxfId="7" type="firstRowStripe"/>
      <tableStyleElement dxfId="6" type="secondRowStripe"/>
    </tableStyle>
    <tableStyle count="2" pivot="0" name="Análise-style 18">
      <tableStyleElement dxfId="7" type="firstRowStripe"/>
      <tableStyleElement dxfId="6" type="secondRowStripe"/>
    </tableStyle>
    <tableStyle count="2" pivot="0" name="Análise-style 19">
      <tableStyleElement dxfId="7" type="firstRowStripe"/>
      <tableStyleElement dxfId="6" type="secondRowStripe"/>
    </tableStyle>
    <tableStyle count="2" pivot="0" name="Análise-style 20">
      <tableStyleElement dxfId="7" type="firstRowStripe"/>
      <tableStyleElement dxfId="6" type="secondRowStripe"/>
    </tableStyle>
    <tableStyle count="2" pivot="0" name="Análise-style 21">
      <tableStyleElement dxfId="7" type="firstRowStripe"/>
      <tableStyleElement dxfId="6" type="secondRowStripe"/>
    </tableStyle>
    <tableStyle count="2" pivot="0" name="Análise-style 22">
      <tableStyleElement dxfId="7" type="firstRowStripe"/>
      <tableStyleElement dxfId="6" type="secondRowStripe"/>
    </tableStyle>
    <tableStyle count="2" pivot="0" name="Análise-style 23">
      <tableStyleElement dxfId="7" type="firstRowStripe"/>
      <tableStyleElement dxfId="6" type="secondRowStripe"/>
    </tableStyle>
    <tableStyle count="2" pivot="0" name="Análise-style 24">
      <tableStyleElement dxfId="7" type="firstRowStripe"/>
      <tableStyleElement dxfId="6" type="secondRowStripe"/>
    </tableStyle>
    <tableStyle count="2" pivot="0" name="Análise-style 25">
      <tableStyleElement dxfId="7" type="firstRowStripe"/>
      <tableStyleElement dxfId="6" type="secondRowStripe"/>
    </tableStyle>
    <tableStyle count="2" pivot="0" name="Análise-style 26">
      <tableStyleElement dxfId="7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247650</xdr:colOff>
      <xdr:row>35</xdr:row>
      <xdr:rowOff>47625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247650</xdr:colOff>
      <xdr:row>35</xdr:row>
      <xdr:rowOff>47625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247650</xdr:colOff>
      <xdr:row>35</xdr:row>
      <xdr:rowOff>47625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247650</xdr:colOff>
      <xdr:row>34</xdr:row>
      <xdr:rowOff>47625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247650</xdr:colOff>
      <xdr:row>34</xdr:row>
      <xdr:rowOff>47625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247650</xdr:colOff>
      <xdr:row>34</xdr:row>
      <xdr:rowOff>47625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257175</xdr:colOff>
      <xdr:row>33</xdr:row>
      <xdr:rowOff>190500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180975</xdr:colOff>
      <xdr:row>34</xdr:row>
      <xdr:rowOff>76200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180975</xdr:colOff>
      <xdr:row>34</xdr:row>
      <xdr:rowOff>76200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257175</xdr:colOff>
      <xdr:row>33</xdr:row>
      <xdr:rowOff>57150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133350</xdr:colOff>
      <xdr:row>34</xdr:row>
      <xdr:rowOff>133350</xdr:rowOff>
    </xdr:from>
    <xdr:ext cx="1666875" cy="166687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47625</xdr:colOff>
      <xdr:row>35</xdr:row>
      <xdr:rowOff>133350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57150</xdr:colOff>
      <xdr:row>35</xdr:row>
      <xdr:rowOff>104775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19050</xdr:colOff>
      <xdr:row>34</xdr:row>
      <xdr:rowOff>57150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19050</xdr:colOff>
      <xdr:row>34</xdr:row>
      <xdr:rowOff>57150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19050</xdr:colOff>
      <xdr:row>34</xdr:row>
      <xdr:rowOff>57150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57150</xdr:colOff>
      <xdr:row>34</xdr:row>
      <xdr:rowOff>57150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200025</xdr:colOff>
      <xdr:row>34</xdr:row>
      <xdr:rowOff>85725</xdr:rowOff>
    </xdr:from>
    <xdr:ext cx="1676400" cy="1676400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</xdr:colOff>
      <xdr:row>35</xdr:row>
      <xdr:rowOff>66675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38100</xdr:colOff>
      <xdr:row>35</xdr:row>
      <xdr:rowOff>66675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19050</xdr:colOff>
      <xdr:row>34</xdr:row>
      <xdr:rowOff>9525</xdr:rowOff>
    </xdr:from>
    <xdr:ext cx="2066925" cy="2066925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142875</xdr:colOff>
      <xdr:row>33</xdr:row>
      <xdr:rowOff>114300</xdr:rowOff>
    </xdr:from>
    <xdr:ext cx="2209800" cy="2209800"/>
    <xdr:pic>
      <xdr:nvPicPr>
        <xdr:cNvPr id="0" name="image1.jp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P1006" displayName="Table_1" name="Table_1" id="1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Janeiro25-style" showColumnStripes="0" showFirstColumn="1" showLastColumn="1" showRowStripes="1"/>
</table>
</file>

<file path=xl/tables/table2.xml><?xml version="1.0" encoding="utf-8"?>
<table xmlns="http://schemas.openxmlformats.org/spreadsheetml/2006/main" headerRowCount="0" ref="R2:R26" displayName="Table_2" name="Table_2" id="2">
  <tableColumns count="1">
    <tableColumn name="Column1" id="1"/>
  </tableColumns>
  <tableStyleInfo name="Janeiro25-style 2" showColumnStripes="0" showFirstColumn="1" showLastColumn="1" showRowStripes="1"/>
</table>
</file>

<file path=xl/tables/table3.xml><?xml version="1.0" encoding="utf-8"?>
<table xmlns="http://schemas.openxmlformats.org/spreadsheetml/2006/main" headerRowCount="0" ref="R27:R35" displayName="Table_3" name="Table_3" id="3">
  <tableColumns count="1">
    <tableColumn name="Column1" id="1"/>
  </tableColumns>
  <tableStyleInfo name="Janeiro25-style 3" showColumnStripes="0" showFirstColumn="1" showLastColumn="1" showRowStripes="1"/>
</table>
</file>

<file path=xl/tables/table4.xml><?xml version="1.0" encoding="utf-8"?>
<table xmlns="http://schemas.openxmlformats.org/spreadsheetml/2006/main" headerRowCount="0" ref="A1:P1003" displayName="Table_4" name="Table_4" id="4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Dezembro24-style" showColumnStripes="0" showFirstColumn="1" showLastColumn="1" showRowStripes="1"/>
</table>
</file>

<file path=xl/tables/table5.xml><?xml version="1.0" encoding="utf-8"?>
<table xmlns="http://schemas.openxmlformats.org/spreadsheetml/2006/main" headerRowCount="0" ref="R2:R26" displayName="Table_5" name="Table_5" id="5">
  <tableColumns count="1">
    <tableColumn name="Column1" id="1"/>
  </tableColumns>
  <tableStyleInfo name="Dezembro24-style 2" showColumnStripes="0" showFirstColumn="1" showLastColumn="1" showRowStripes="1"/>
</table>
</file>

<file path=xl/tables/table6.xml><?xml version="1.0" encoding="utf-8"?>
<table xmlns="http://schemas.openxmlformats.org/spreadsheetml/2006/main" headerRowCount="0" ref="Y2:Y25" displayName="Table_6" name="Table_6" id="6">
  <tableColumns count="1">
    <tableColumn name="Column1" id="1"/>
  </tableColumns>
  <tableStyleInfo name="Outubro24-style" showColumnStripes="0" showFirstColumn="1" showLastColumn="1" showRowStripes="1"/>
</table>
</file>

<file path=xl/tables/table7.xml><?xml version="1.0" encoding="utf-8"?>
<table xmlns="http://schemas.openxmlformats.org/spreadsheetml/2006/main" headerRowCount="0" ref="Y2:Y25" displayName="Table_7" name="Table_7" id="7">
  <tableColumns count="1">
    <tableColumn name="Column1" id="1"/>
  </tableColumns>
  <tableStyleInfo name="Setembro24-style" showColumnStripes="0" showFirstColumn="1" showLastColumn="1" showRowStripes="1"/>
</table>
</file>

<file path=xl/tables/table8.xml><?xml version="1.0" encoding="utf-8"?>
<table xmlns="http://schemas.openxmlformats.org/spreadsheetml/2006/main" headerRowCount="0" ref="Z2:Z25" displayName="Table_8" name="Table_8" id="8">
  <tableColumns count="1">
    <tableColumn name="Column1" id="1"/>
  </tableColumns>
  <tableStyleInfo name="Agosto24-style" showColumnStripes="0" showFirstColumn="1" showLastColumn="1" showRowStripes="1"/>
</table>
</file>

<file path=xl/tables/table9.xml><?xml version="1.0" encoding="utf-8"?>
<table xmlns="http://schemas.openxmlformats.org/spreadsheetml/2006/main" headerRowCount="0" ref="V2:V24" displayName="Table_9" name="Table_9" id="9">
  <tableColumns count="1">
    <tableColumn name="Column1" id="1"/>
  </tableColumns>
  <tableStyleInfo name="Geral-style" showColumnStripes="0" showFirstColumn="1" showLastColumn="1" showRowStripes="1"/>
</table>
</file>

<file path=xl/tables/table10.xml><?xml version="1.0" encoding="utf-8"?>
<table xmlns="http://schemas.openxmlformats.org/spreadsheetml/2006/main" headerRowCount="0" ref="V25:V42" displayName="Table_10" name="Table_10" id="10">
  <tableColumns count="1">
    <tableColumn name="Column1" id="1"/>
  </tableColumns>
  <tableStyleInfo name="Geral-style 2" showColumnStripes="0" showFirstColumn="1" showLastColumn="1" showRowStripes="1"/>
</table>
</file>

<file path=xl/tables/table11.xml><?xml version="1.0" encoding="utf-8"?>
<table xmlns="http://schemas.openxmlformats.org/spreadsheetml/2006/main" headerRowCount="0" ref="Z2:Z25" displayName="Table_11" name="Table_11" id="11">
  <tableColumns count="1">
    <tableColumn name="Column1" id="1"/>
  </tableColumns>
  <tableStyleInfo name="Julho24-style" showColumnStripes="0" showFirstColumn="1" showLastColumn="1" showRowStripes="1"/>
</table>
</file>

<file path=xl/tables/table12.xml><?xml version="1.0" encoding="utf-8"?>
<table xmlns="http://schemas.openxmlformats.org/spreadsheetml/2006/main" headerRowCount="0" ref="Z2:Z25" displayName="Table_12" name="Table_12" id="12">
  <tableColumns count="1">
    <tableColumn name="Column1" id="1"/>
  </tableColumns>
  <tableStyleInfo name="Junho24-style" showColumnStripes="0" showFirstColumn="1" showLastColumn="1" showRowStripes="1"/>
</table>
</file>

<file path=xl/tables/table13.xml><?xml version="1.0" encoding="utf-8"?>
<table xmlns="http://schemas.openxmlformats.org/spreadsheetml/2006/main" headerRowCount="0" ref="W2:W25" displayName="Table_13" name="Table_13" id="13">
  <tableColumns count="1">
    <tableColumn name="Column1" id="1"/>
  </tableColumns>
  <tableStyleInfo name="Abril24-style" showColumnStripes="0" showFirstColumn="1" showLastColumn="1" showRowStripes="1"/>
</table>
</file>

<file path=xl/tables/table14.xml><?xml version="1.0" encoding="utf-8"?>
<table xmlns="http://schemas.openxmlformats.org/spreadsheetml/2006/main" headerRowCount="0" ref="W2:W25" displayName="Table_14" name="Table_14" id="14">
  <tableColumns count="1">
    <tableColumn name="Column1" id="1"/>
  </tableColumns>
  <tableStyleInfo name="Março24-style" showColumnStripes="0" showFirstColumn="1" showLastColumn="1" showRowStripes="1"/>
</table>
</file>

<file path=xl/tables/table15.xml><?xml version="1.0" encoding="utf-8"?>
<table xmlns="http://schemas.openxmlformats.org/spreadsheetml/2006/main" headerRowCount="0" ref="U2:U25" displayName="Table_15" name="Table_15" id="15">
  <tableColumns count="1">
    <tableColumn name="Column1" id="1"/>
  </tableColumns>
  <tableStyleInfo name="Dezembro23-style" showColumnStripes="0" showFirstColumn="1" showLastColumn="1" showRowStripes="1"/>
</table>
</file>

<file path=xl/tables/table16.xml><?xml version="1.0" encoding="utf-8"?>
<table xmlns="http://schemas.openxmlformats.org/spreadsheetml/2006/main" headerRowCount="0" ref="U26:U43" displayName="Table_16" name="Table_16" id="16">
  <tableColumns count="1">
    <tableColumn name="Column1" id="1"/>
  </tableColumns>
  <tableStyleInfo name="Dezembro23-style 2" showColumnStripes="0" showFirstColumn="1" showLastColumn="1" showRowStripes="1"/>
</table>
</file>

<file path=xl/tables/table17.xml><?xml version="1.0" encoding="utf-8"?>
<table xmlns="http://schemas.openxmlformats.org/spreadsheetml/2006/main" headerRowCount="0" ref="U2:U25" displayName="Table_17" name="Table_17" id="17">
  <tableColumns count="1">
    <tableColumn name="Column1" id="1"/>
  </tableColumns>
  <tableStyleInfo name="Novembro23-style" showColumnStripes="0" showFirstColumn="1" showLastColumn="1" showRowStripes="1"/>
</table>
</file>

<file path=xl/tables/table18.xml><?xml version="1.0" encoding="utf-8"?>
<table xmlns="http://schemas.openxmlformats.org/spreadsheetml/2006/main" headerRowCount="0" ref="U26:U43" displayName="Table_18" name="Table_18" id="18">
  <tableColumns count="1">
    <tableColumn name="Column1" id="1"/>
  </tableColumns>
  <tableStyleInfo name="Novembro23-style 2" showColumnStripes="0" showFirstColumn="1" showLastColumn="1" showRowStripes="1"/>
</table>
</file>

<file path=xl/tables/table19.xml><?xml version="1.0" encoding="utf-8"?>
<table xmlns="http://schemas.openxmlformats.org/spreadsheetml/2006/main" headerRowCount="0" ref="T2:T24" displayName="Table_19" name="Table_19" id="19">
  <tableColumns count="1">
    <tableColumn name="Column1" id="1"/>
  </tableColumns>
  <tableStyleInfo name="Outubro23-style" showColumnStripes="0" showFirstColumn="1" showLastColumn="1" showRowStripes="1"/>
</table>
</file>

<file path=xl/tables/table20.xml><?xml version="1.0" encoding="utf-8"?>
<table xmlns="http://schemas.openxmlformats.org/spreadsheetml/2006/main" headerRowCount="0" ref="T25:T42" displayName="Table_20" name="Table_20" id="20">
  <tableColumns count="1">
    <tableColumn name="Column1" id="1"/>
  </tableColumns>
  <tableStyleInfo name="Outubro23-style 2" showColumnStripes="0" showFirstColumn="1" showLastColumn="1" showRowStripes="1"/>
</table>
</file>

<file path=xl/tables/table21.xml><?xml version="1.0" encoding="utf-8"?>
<table xmlns="http://schemas.openxmlformats.org/spreadsheetml/2006/main" headerRowCount="0" ref="T2:T24" displayName="Table_21" name="Table_21" id="21">
  <tableColumns count="1">
    <tableColumn name="Column1" id="1"/>
  </tableColumns>
  <tableStyleInfo name="Setembro23-style" showColumnStripes="0" showFirstColumn="1" showLastColumn="1" showRowStripes="1"/>
</table>
</file>

<file path=xl/tables/table22.xml><?xml version="1.0" encoding="utf-8"?>
<table xmlns="http://schemas.openxmlformats.org/spreadsheetml/2006/main" headerRowCount="0" ref="T25:T42" displayName="Table_22" name="Table_22" id="22">
  <tableColumns count="1">
    <tableColumn name="Column1" id="1"/>
  </tableColumns>
  <tableStyleInfo name="Setembro23-style 2" showColumnStripes="0" showFirstColumn="1" showLastColumn="1" showRowStripes="1"/>
</table>
</file>

<file path=xl/tables/table23.xml><?xml version="1.0" encoding="utf-8"?>
<table xmlns="http://schemas.openxmlformats.org/spreadsheetml/2006/main" headerRowCount="0" ref="T2:T24" displayName="Table_23" name="Table_23" id="23">
  <tableColumns count="1">
    <tableColumn name="Column1" id="1"/>
  </tableColumns>
  <tableStyleInfo name="Agosto23-style" showColumnStripes="0" showFirstColumn="1" showLastColumn="1" showRowStripes="1"/>
</table>
</file>

<file path=xl/tables/table24.xml><?xml version="1.0" encoding="utf-8"?>
<table xmlns="http://schemas.openxmlformats.org/spreadsheetml/2006/main" headerRowCount="0" ref="T25:T42" displayName="Table_24" name="Table_24" id="24">
  <tableColumns count="1">
    <tableColumn name="Column1" id="1"/>
  </tableColumns>
  <tableStyleInfo name="Agosto23-style 2" showColumnStripes="0" showFirstColumn="1" showLastColumn="1" showRowStripes="1"/>
</table>
</file>

<file path=xl/tables/table25.xml><?xml version="1.0" encoding="utf-8"?>
<table xmlns="http://schemas.openxmlformats.org/spreadsheetml/2006/main" headerRowCount="0" ref="A1:S998" displayName="Table_25" name="Table_25" id="25">
  <tableColumns count="1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</tableColumns>
  <tableStyleInfo name="Julho23-style" showColumnStripes="0" showFirstColumn="1" showLastColumn="1" showRowStripes="1"/>
</table>
</file>

<file path=xl/tables/table26.xml><?xml version="1.0" encoding="utf-8"?>
<table xmlns="http://schemas.openxmlformats.org/spreadsheetml/2006/main" headerRowCount="0" ref="U2:U24" displayName="Table_26" name="Table_26" id="26">
  <tableColumns count="1">
    <tableColumn name="Column1" id="1"/>
  </tableColumns>
  <tableStyleInfo name="Julho23-style 2" showColumnStripes="0" showFirstColumn="1" showLastColumn="1" showRowStripes="1"/>
</table>
</file>

<file path=xl/tables/table27.xml><?xml version="1.0" encoding="utf-8"?>
<table xmlns="http://schemas.openxmlformats.org/spreadsheetml/2006/main" headerRowCount="0" ref="U25:U42" displayName="Table_27" name="Table_27" id="27">
  <tableColumns count="1">
    <tableColumn name="Column1" id="1"/>
  </tableColumns>
  <tableStyleInfo name="Julho23-style 3" showColumnStripes="0" showFirstColumn="1" showLastColumn="1" showRowStripes="1"/>
</table>
</file>

<file path=xl/tables/table28.xml><?xml version="1.0" encoding="utf-8"?>
<table xmlns="http://schemas.openxmlformats.org/spreadsheetml/2006/main" headerRowCount="0" ref="A1:S998" displayName="Table_28" name="Table_28" id="28">
  <tableColumns count="1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</tableColumns>
  <tableStyleInfo name="Junho23-style" showColumnStripes="0" showFirstColumn="1" showLastColumn="1" showRowStripes="1"/>
</table>
</file>

<file path=xl/tables/table29.xml><?xml version="1.0" encoding="utf-8"?>
<table xmlns="http://schemas.openxmlformats.org/spreadsheetml/2006/main" headerRowCount="0" ref="U2:U24" displayName="Table_29" name="Table_29" id="29">
  <tableColumns count="1">
    <tableColumn name="Column1" id="1"/>
  </tableColumns>
  <tableStyleInfo name="Junho23-style 2" showColumnStripes="0" showFirstColumn="1" showLastColumn="1" showRowStripes="1"/>
</table>
</file>

<file path=xl/tables/table30.xml><?xml version="1.0" encoding="utf-8"?>
<table xmlns="http://schemas.openxmlformats.org/spreadsheetml/2006/main" headerRowCount="0" ref="U25:U42" displayName="Table_30" name="Table_30" id="30">
  <tableColumns count="1">
    <tableColumn name="Column1" id="1"/>
  </tableColumns>
  <tableStyleInfo name="Junho23-style 3" showColumnStripes="0" showFirstColumn="1" showLastColumn="1" showRowStripes="1"/>
</table>
</file>

<file path=xl/tables/table31.xml><?xml version="1.0" encoding="utf-8"?>
<table xmlns="http://schemas.openxmlformats.org/spreadsheetml/2006/main" headerRowCount="0" ref="A1:O998" displayName="Table_31" name="Table_31" id="31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Maio23-style" showColumnStripes="0" showFirstColumn="1" showLastColumn="1" showRowStripes="1"/>
</table>
</file>

<file path=xl/tables/table32.xml><?xml version="1.0" encoding="utf-8"?>
<table xmlns="http://schemas.openxmlformats.org/spreadsheetml/2006/main" headerRowCount="0" ref="Q2:Q24" displayName="Table_32" name="Table_32" id="32">
  <tableColumns count="1">
    <tableColumn name="Column1" id="1"/>
  </tableColumns>
  <tableStyleInfo name="Maio23-style 2" showColumnStripes="0" showFirstColumn="1" showLastColumn="1" showRowStripes="1"/>
</table>
</file>

<file path=xl/tables/table33.xml><?xml version="1.0" encoding="utf-8"?>
<table xmlns="http://schemas.openxmlformats.org/spreadsheetml/2006/main" headerRowCount="0" ref="Q25:Q42" displayName="Table_33" name="Table_33" id="33">
  <tableColumns count="1">
    <tableColumn name="Column1" id="1"/>
  </tableColumns>
  <tableStyleInfo name="Maio23-style 3" showColumnStripes="0" showFirstColumn="1" showLastColumn="1" showRowStripes="1"/>
</table>
</file>

<file path=xl/tables/table34.xml><?xml version="1.0" encoding="utf-8"?>
<table xmlns="http://schemas.openxmlformats.org/spreadsheetml/2006/main" headerRowCount="0" ref="A3:A30" displayName="Table_34" name="Table_34" id="34">
  <tableColumns count="1">
    <tableColumn name="Column1" id="1"/>
  </tableColumns>
  <tableStyleInfo name="Análise-style" showColumnStripes="0" showFirstColumn="1" showLastColumn="1" showRowStripes="1"/>
</table>
</file>

<file path=xl/tables/table35.xml><?xml version="1.0" encoding="utf-8"?>
<table xmlns="http://schemas.openxmlformats.org/spreadsheetml/2006/main" headerRowCount="0" ref="B3:B16" displayName="Table_35" name="Table_35" id="35">
  <tableColumns count="1">
    <tableColumn name="Column1" id="1"/>
  </tableColumns>
  <tableStyleInfo name="Análise-style 2" showColumnStripes="0" showFirstColumn="1" showLastColumn="1" showRowStripes="1"/>
</table>
</file>

<file path=xl/tables/table36.xml><?xml version="1.0" encoding="utf-8"?>
<table xmlns="http://schemas.openxmlformats.org/spreadsheetml/2006/main" headerRowCount="0" ref="C3:C16" displayName="Table_36" name="Table_36" id="36">
  <tableColumns count="1">
    <tableColumn name="Column1" id="1"/>
  </tableColumns>
  <tableStyleInfo name="Análise-style 3" showColumnStripes="0" showFirstColumn="1" showLastColumn="1" showRowStripes="1"/>
</table>
</file>

<file path=xl/tables/table37.xml><?xml version="1.0" encoding="utf-8"?>
<table xmlns="http://schemas.openxmlformats.org/spreadsheetml/2006/main" headerRowCount="0" ref="B17:B30" displayName="Table_37" name="Table_37" id="37">
  <tableColumns count="1">
    <tableColumn name="Column1" id="1"/>
  </tableColumns>
  <tableStyleInfo name="Análise-style 4" showColumnStripes="0" showFirstColumn="1" showLastColumn="1" showRowStripes="1"/>
</table>
</file>

<file path=xl/tables/table38.xml><?xml version="1.0" encoding="utf-8"?>
<table xmlns="http://schemas.openxmlformats.org/spreadsheetml/2006/main" headerRowCount="0" ref="C17:C30" displayName="Table_38" name="Table_38" id="38">
  <tableColumns count="1">
    <tableColumn name="Column1" id="1"/>
  </tableColumns>
  <tableStyleInfo name="Análise-style 5" showColumnStripes="0" showFirstColumn="1" showLastColumn="1" showRowStripes="1"/>
</table>
</file>

<file path=xl/tables/table39.xml><?xml version="1.0" encoding="utf-8"?>
<table xmlns="http://schemas.openxmlformats.org/spreadsheetml/2006/main" headerRowCount="0" ref="A34:A37" displayName="Table_39" name="Table_39" id="39">
  <tableColumns count="1">
    <tableColumn name="Column1" id="1"/>
  </tableColumns>
  <tableStyleInfo name="Análise-style 6" showColumnStripes="0" showFirstColumn="1" showLastColumn="1" showRowStripes="1"/>
</table>
</file>

<file path=xl/tables/table40.xml><?xml version="1.0" encoding="utf-8"?>
<table xmlns="http://schemas.openxmlformats.org/spreadsheetml/2006/main" headerRowCount="0" ref="B34" displayName="Table_40" name="Table_40" id="40">
  <tableColumns count="1">
    <tableColumn name="Column1" id="1"/>
  </tableColumns>
  <tableStyleInfo name="Análise-style 7" showColumnStripes="0" showFirstColumn="1" showLastColumn="1" showRowStripes="1"/>
</table>
</file>

<file path=xl/tables/table41.xml><?xml version="1.0" encoding="utf-8"?>
<table xmlns="http://schemas.openxmlformats.org/spreadsheetml/2006/main" headerRowCount="0" ref="C34" displayName="Table_41" name="Table_41" id="41">
  <tableColumns count="1">
    <tableColumn name="Column1" id="1"/>
  </tableColumns>
  <tableStyleInfo name="Análise-style 8" showColumnStripes="0" showFirstColumn="1" showLastColumn="1" showRowStripes="1"/>
</table>
</file>

<file path=xl/tables/table42.xml><?xml version="1.0" encoding="utf-8"?>
<table xmlns="http://schemas.openxmlformats.org/spreadsheetml/2006/main" headerRowCount="0" ref="D34:D37" displayName="Table_42" name="Table_42" id="42">
  <tableColumns count="1">
    <tableColumn name="Column1" id="1"/>
  </tableColumns>
  <tableStyleInfo name="Análise-style 9" showColumnStripes="0" showFirstColumn="1" showLastColumn="1" showRowStripes="1"/>
</table>
</file>

<file path=xl/tables/table43.xml><?xml version="1.0" encoding="utf-8"?>
<table xmlns="http://schemas.openxmlformats.org/spreadsheetml/2006/main" headerRowCount="0" ref="B35:B37" displayName="Table_43" name="Table_43" id="43">
  <tableColumns count="1">
    <tableColumn name="Column1" id="1"/>
  </tableColumns>
  <tableStyleInfo name="Análise-style 10" showColumnStripes="0" showFirstColumn="1" showLastColumn="1" showRowStripes="1"/>
</table>
</file>

<file path=xl/tables/table44.xml><?xml version="1.0" encoding="utf-8"?>
<table xmlns="http://schemas.openxmlformats.org/spreadsheetml/2006/main" headerRowCount="0" ref="C35:C37" displayName="Table_44" name="Table_44" id="44">
  <tableColumns count="1">
    <tableColumn name="Column1" id="1"/>
  </tableColumns>
  <tableStyleInfo name="Análise-style 11" showColumnStripes="0" showFirstColumn="1" showLastColumn="1" showRowStripes="1"/>
</table>
</file>

<file path=xl/tables/table45.xml><?xml version="1.0" encoding="utf-8"?>
<table xmlns="http://schemas.openxmlformats.org/spreadsheetml/2006/main" headerRowCount="0" ref="A38" displayName="Table_45" name="Table_45" id="45">
  <tableColumns count="1">
    <tableColumn name="Column1" id="1"/>
  </tableColumns>
  <tableStyleInfo name="Análise-style 12" showColumnStripes="0" showFirstColumn="1" showLastColumn="1" showRowStripes="1"/>
</table>
</file>

<file path=xl/tables/table46.xml><?xml version="1.0" encoding="utf-8"?>
<table xmlns="http://schemas.openxmlformats.org/spreadsheetml/2006/main" headerRowCount="0" ref="B38" displayName="Table_46" name="Table_46" id="46">
  <tableColumns count="1">
    <tableColumn name="Column1" id="1"/>
  </tableColumns>
  <tableStyleInfo name="Análise-style 13" showColumnStripes="0" showFirstColumn="1" showLastColumn="1" showRowStripes="1"/>
</table>
</file>

<file path=xl/tables/table47.xml><?xml version="1.0" encoding="utf-8"?>
<table xmlns="http://schemas.openxmlformats.org/spreadsheetml/2006/main" headerRowCount="0" ref="C38" displayName="Table_47" name="Table_47" id="47">
  <tableColumns count="1">
    <tableColumn name="Column1" id="1"/>
  </tableColumns>
  <tableStyleInfo name="Análise-style 14" showColumnStripes="0" showFirstColumn="1" showLastColumn="1" showRowStripes="1"/>
</table>
</file>

<file path=xl/tables/table48.xml><?xml version="1.0" encoding="utf-8"?>
<table xmlns="http://schemas.openxmlformats.org/spreadsheetml/2006/main" headerRowCount="0" ref="D38" displayName="Table_48" name="Table_48" id="48">
  <tableColumns count="1">
    <tableColumn name="Column1" id="1"/>
  </tableColumns>
  <tableStyleInfo name="Análise-style 15" showColumnStripes="0" showFirstColumn="1" showLastColumn="1" showRowStripes="1"/>
</table>
</file>

<file path=xl/tables/table49.xml><?xml version="1.0" encoding="utf-8"?>
<table xmlns="http://schemas.openxmlformats.org/spreadsheetml/2006/main" headerRowCount="0" ref="A42:A57" displayName="Table_49" name="Table_49" id="49">
  <tableColumns count="1">
    <tableColumn name="Column1" id="1"/>
  </tableColumns>
  <tableStyleInfo name="Análise-style 16" showColumnStripes="0" showFirstColumn="1" showLastColumn="1" showRowStripes="1"/>
</table>
</file>

<file path=xl/tables/table50.xml><?xml version="1.0" encoding="utf-8"?>
<table xmlns="http://schemas.openxmlformats.org/spreadsheetml/2006/main" headerRowCount="0" ref="B42:B55" displayName="Table_50" name="Table_50" id="50">
  <tableColumns count="1">
    <tableColumn name="Column1" id="1"/>
  </tableColumns>
  <tableStyleInfo name="Análise-style 17" showColumnStripes="0" showFirstColumn="1" showLastColumn="1" showRowStripes="1"/>
</table>
</file>

<file path=xl/tables/table51.xml><?xml version="1.0" encoding="utf-8"?>
<table xmlns="http://schemas.openxmlformats.org/spreadsheetml/2006/main" headerRowCount="0" ref="C42:C55" displayName="Table_51" name="Table_51" id="51">
  <tableColumns count="1">
    <tableColumn name="Column1" id="1"/>
  </tableColumns>
  <tableStyleInfo name="Análise-style 18" showColumnStripes="0" showFirstColumn="1" showLastColumn="1" showRowStripes="1"/>
</table>
</file>

<file path=xl/tables/table52.xml><?xml version="1.0" encoding="utf-8"?>
<table xmlns="http://schemas.openxmlformats.org/spreadsheetml/2006/main" headerRowCount="0" ref="D42:D57" displayName="Table_52" name="Table_52" id="52">
  <tableColumns count="1">
    <tableColumn name="Column1" id="1"/>
  </tableColumns>
  <tableStyleInfo name="Análise-style 19" showColumnStripes="0" showFirstColumn="1" showLastColumn="1" showRowStripes="1"/>
</table>
</file>

<file path=xl/tables/table53.xml><?xml version="1.0" encoding="utf-8"?>
<table xmlns="http://schemas.openxmlformats.org/spreadsheetml/2006/main" headerRowCount="0" ref="B56:B57" displayName="Table_53" name="Table_53" id="53">
  <tableColumns count="1">
    <tableColumn name="Column1" id="1"/>
  </tableColumns>
  <tableStyleInfo name="Análise-style 20" showColumnStripes="0" showFirstColumn="1" showLastColumn="1" showRowStripes="1"/>
</table>
</file>

<file path=xl/tables/table54.xml><?xml version="1.0" encoding="utf-8"?>
<table xmlns="http://schemas.openxmlformats.org/spreadsheetml/2006/main" headerRowCount="0" ref="C56:C57" displayName="Table_54" name="Table_54" id="54">
  <tableColumns count="1">
    <tableColumn name="Column1" id="1"/>
  </tableColumns>
  <tableStyleInfo name="Análise-style 21" showColumnStripes="0" showFirstColumn="1" showLastColumn="1" showRowStripes="1"/>
</table>
</file>

<file path=xl/tables/table55.xml><?xml version="1.0" encoding="utf-8"?>
<table xmlns="http://schemas.openxmlformats.org/spreadsheetml/2006/main" headerRowCount="0" ref="B61:B69" displayName="Table_55" name="Table_55" id="55">
  <tableColumns count="1">
    <tableColumn name="Column1" id="1"/>
  </tableColumns>
  <tableStyleInfo name="Análise-style 22" showColumnStripes="0" showFirstColumn="1" showLastColumn="1" showRowStripes="1"/>
</table>
</file>

<file path=xl/tables/table56.xml><?xml version="1.0" encoding="utf-8"?>
<table xmlns="http://schemas.openxmlformats.org/spreadsheetml/2006/main" headerRowCount="0" ref="C61:C69" displayName="Table_56" name="Table_56" id="56">
  <tableColumns count="1">
    <tableColumn name="Column1" id="1"/>
  </tableColumns>
  <tableStyleInfo name="Análise-style 23" showColumnStripes="0" showFirstColumn="1" showLastColumn="1" showRowStripes="1"/>
</table>
</file>

<file path=xl/tables/table57.xml><?xml version="1.0" encoding="utf-8"?>
<table xmlns="http://schemas.openxmlformats.org/spreadsheetml/2006/main" headerRowCount="0" ref="B71:B82" displayName="Table_57" name="Table_57" id="57">
  <tableColumns count="1">
    <tableColumn name="Column1" id="1"/>
  </tableColumns>
  <tableStyleInfo name="Análise-style 24" showColumnStripes="0" showFirstColumn="1" showLastColumn="1" showRowStripes="1"/>
</table>
</file>

<file path=xl/tables/table58.xml><?xml version="1.0" encoding="utf-8"?>
<table xmlns="http://schemas.openxmlformats.org/spreadsheetml/2006/main" headerRowCount="0" ref="C71:C82" displayName="Table_58" name="Table_58" id="58">
  <tableColumns count="1">
    <tableColumn name="Column1" id="1"/>
  </tableColumns>
  <tableStyleInfo name="Análise-style 25" showColumnStripes="0" showFirstColumn="1" showLastColumn="1" showRowStripes="1"/>
</table>
</file>

<file path=xl/tables/table59.xml><?xml version="1.0" encoding="utf-8"?>
<table xmlns="http://schemas.openxmlformats.org/spreadsheetml/2006/main" headerRowCount="0" ref="D71:D82" displayName="Table_59" name="Table_59" id="59">
  <tableColumns count="1">
    <tableColumn name="Column1" id="1"/>
  </tableColumns>
  <tableStyleInfo name="Análise-style 26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5" Type="http://schemas.openxmlformats.org/officeDocument/2006/relationships/table" Target="../tables/table1.xml"/><Relationship Id="rId6" Type="http://schemas.openxmlformats.org/officeDocument/2006/relationships/table" Target="../tables/table2.xml"/><Relationship Id="rId7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4" Type="http://schemas.openxmlformats.org/officeDocument/2006/relationships/table" Target="../tables/table4.xml"/><Relationship Id="rId5" Type="http://schemas.openxmlformats.org/officeDocument/2006/relationships/table" Target="../tables/table5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8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4" Type="http://schemas.openxmlformats.org/officeDocument/2006/relationships/table" Target="../tables/table9.xml"/><Relationship Id="rId5" Type="http://schemas.openxmlformats.org/officeDocument/2006/relationships/table" Target="../tables/table10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3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4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4" Type="http://schemas.openxmlformats.org/officeDocument/2006/relationships/table" Target="../tables/table15.xml"/><Relationship Id="rId5" Type="http://schemas.openxmlformats.org/officeDocument/2006/relationships/table" Target="../tables/table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4" Type="http://schemas.openxmlformats.org/officeDocument/2006/relationships/table" Target="../tables/table17.xml"/><Relationship Id="rId5" Type="http://schemas.openxmlformats.org/officeDocument/2006/relationships/table" Target="../tables/table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4" Type="http://schemas.openxmlformats.org/officeDocument/2006/relationships/table" Target="../tables/table19.xml"/><Relationship Id="rId5" Type="http://schemas.openxmlformats.org/officeDocument/2006/relationships/table" Target="../tables/table20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4" Type="http://schemas.openxmlformats.org/officeDocument/2006/relationships/table" Target="../tables/table21.xml"/><Relationship Id="rId5" Type="http://schemas.openxmlformats.org/officeDocument/2006/relationships/table" Target="../tables/table22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4" Type="http://schemas.openxmlformats.org/officeDocument/2006/relationships/table" Target="../tables/table23.xml"/><Relationship Id="rId5" Type="http://schemas.openxmlformats.org/officeDocument/2006/relationships/table" Target="../tables/table24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5" Type="http://schemas.openxmlformats.org/officeDocument/2006/relationships/table" Target="../tables/table25.xml"/><Relationship Id="rId6" Type="http://schemas.openxmlformats.org/officeDocument/2006/relationships/table" Target="../tables/table26.xml"/><Relationship Id="rId7" Type="http://schemas.openxmlformats.org/officeDocument/2006/relationships/table" Target="../tables/table27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5" Type="http://schemas.openxmlformats.org/officeDocument/2006/relationships/table" Target="../tables/table28.xml"/><Relationship Id="rId6" Type="http://schemas.openxmlformats.org/officeDocument/2006/relationships/table" Target="../tables/table29.xml"/><Relationship Id="rId7" Type="http://schemas.openxmlformats.org/officeDocument/2006/relationships/table" Target="../tables/table30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5" Type="http://schemas.openxmlformats.org/officeDocument/2006/relationships/table" Target="../tables/table31.xml"/><Relationship Id="rId6" Type="http://schemas.openxmlformats.org/officeDocument/2006/relationships/table" Target="../tables/table32.xml"/><Relationship Id="rId7" Type="http://schemas.openxmlformats.org/officeDocument/2006/relationships/table" Target="../tables/table3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table" Target="../tables/table46.xml"/><Relationship Id="rId42" Type="http://schemas.openxmlformats.org/officeDocument/2006/relationships/table" Target="../tables/table48.xml"/><Relationship Id="rId41" Type="http://schemas.openxmlformats.org/officeDocument/2006/relationships/table" Target="../tables/table47.xml"/><Relationship Id="rId44" Type="http://schemas.openxmlformats.org/officeDocument/2006/relationships/table" Target="../tables/table50.xml"/><Relationship Id="rId43" Type="http://schemas.openxmlformats.org/officeDocument/2006/relationships/table" Target="../tables/table49.xml"/><Relationship Id="rId46" Type="http://schemas.openxmlformats.org/officeDocument/2006/relationships/table" Target="../tables/table52.xml"/><Relationship Id="rId45" Type="http://schemas.openxmlformats.org/officeDocument/2006/relationships/table" Target="../tables/table51.xml"/><Relationship Id="rId1" Type="http://schemas.openxmlformats.org/officeDocument/2006/relationships/drawing" Target="../drawings/drawing25.xml"/><Relationship Id="rId48" Type="http://schemas.openxmlformats.org/officeDocument/2006/relationships/table" Target="../tables/table54.xml"/><Relationship Id="rId47" Type="http://schemas.openxmlformats.org/officeDocument/2006/relationships/table" Target="../tables/table53.xml"/><Relationship Id="rId28" Type="http://schemas.openxmlformats.org/officeDocument/2006/relationships/table" Target="../tables/table34.xml"/><Relationship Id="rId49" Type="http://schemas.openxmlformats.org/officeDocument/2006/relationships/table" Target="../tables/table55.xml"/><Relationship Id="rId29" Type="http://schemas.openxmlformats.org/officeDocument/2006/relationships/table" Target="../tables/table35.xml"/><Relationship Id="rId51" Type="http://schemas.openxmlformats.org/officeDocument/2006/relationships/table" Target="../tables/table57.xml"/><Relationship Id="rId50" Type="http://schemas.openxmlformats.org/officeDocument/2006/relationships/table" Target="../tables/table56.xml"/><Relationship Id="rId31" Type="http://schemas.openxmlformats.org/officeDocument/2006/relationships/table" Target="../tables/table37.xml"/><Relationship Id="rId53" Type="http://schemas.openxmlformats.org/officeDocument/2006/relationships/table" Target="../tables/table59.xml"/><Relationship Id="rId30" Type="http://schemas.openxmlformats.org/officeDocument/2006/relationships/table" Target="../tables/table36.xml"/><Relationship Id="rId52" Type="http://schemas.openxmlformats.org/officeDocument/2006/relationships/table" Target="../tables/table58.xml"/><Relationship Id="rId33" Type="http://schemas.openxmlformats.org/officeDocument/2006/relationships/table" Target="../tables/table39.xml"/><Relationship Id="rId32" Type="http://schemas.openxmlformats.org/officeDocument/2006/relationships/table" Target="../tables/table38.xml"/><Relationship Id="rId35" Type="http://schemas.openxmlformats.org/officeDocument/2006/relationships/table" Target="../tables/table41.xml"/><Relationship Id="rId34" Type="http://schemas.openxmlformats.org/officeDocument/2006/relationships/table" Target="../tables/table40.xml"/><Relationship Id="rId37" Type="http://schemas.openxmlformats.org/officeDocument/2006/relationships/table" Target="../tables/table43.xml"/><Relationship Id="rId36" Type="http://schemas.openxmlformats.org/officeDocument/2006/relationships/table" Target="../tables/table42.xml"/><Relationship Id="rId39" Type="http://schemas.openxmlformats.org/officeDocument/2006/relationships/table" Target="../tables/table45.xml"/><Relationship Id="rId38" Type="http://schemas.openxmlformats.org/officeDocument/2006/relationships/table" Target="../tables/table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38"/>
    <col customWidth="1" min="3" max="3" width="3.88"/>
    <col customWidth="1" min="4" max="4" width="60.88"/>
    <col customWidth="1" min="5" max="5" width="11.63"/>
    <col customWidth="1" min="6" max="6" width="4.5"/>
    <col customWidth="1" min="7" max="7" width="8.13"/>
    <col customWidth="1" min="8" max="8" width="9.5"/>
    <col customWidth="1" min="9" max="12" width="5.88"/>
    <col customWidth="1" min="13" max="13" width="6.5"/>
    <col customWidth="1" min="14" max="14" width="14.75"/>
    <col customWidth="1" min="15" max="15" width="7.38"/>
    <col customWidth="1" min="16" max="16" width="7.25"/>
    <col customWidth="1" min="17" max="17" width="4.13"/>
    <col customWidth="1" min="18" max="18" width="6.25"/>
    <col customWidth="1" min="19" max="19" width="6.5"/>
    <col customWidth="1" min="20" max="20" width="11.6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4" t="s">
        <v>8</v>
      </c>
      <c r="J1" s="5" t="s">
        <v>9</v>
      </c>
      <c r="K1" s="4" t="s">
        <v>10</v>
      </c>
      <c r="L1" s="6" t="s">
        <v>11</v>
      </c>
      <c r="M1" s="7" t="s">
        <v>12</v>
      </c>
      <c r="N1" s="3" t="s">
        <v>13</v>
      </c>
      <c r="O1" s="5" t="s">
        <v>14</v>
      </c>
      <c r="P1" s="4" t="s">
        <v>15</v>
      </c>
      <c r="R1" s="3" t="s">
        <v>16</v>
      </c>
      <c r="S1" s="3" t="s">
        <v>15</v>
      </c>
      <c r="T1" s="3" t="s">
        <v>17</v>
      </c>
    </row>
    <row r="2">
      <c r="A2" s="8">
        <f>1</f>
        <v>1</v>
      </c>
      <c r="B2" s="8" t="s">
        <v>18</v>
      </c>
      <c r="C2" s="8" t="s">
        <v>19</v>
      </c>
      <c r="D2" s="8" t="s">
        <v>20</v>
      </c>
      <c r="E2" s="8" t="s">
        <v>21</v>
      </c>
      <c r="F2" s="8" t="s">
        <v>22</v>
      </c>
      <c r="G2" s="8" t="s">
        <v>23</v>
      </c>
      <c r="H2" s="8" t="s">
        <v>24</v>
      </c>
      <c r="I2" s="9">
        <v>-11.5</v>
      </c>
      <c r="J2" s="9">
        <v>0.3</v>
      </c>
      <c r="K2" s="9">
        <v>0.3</v>
      </c>
      <c r="L2" s="10">
        <v>45689.0</v>
      </c>
      <c r="M2" s="11">
        <v>1.8</v>
      </c>
      <c r="N2" s="8" t="s">
        <v>25</v>
      </c>
      <c r="O2" s="12">
        <f t="shared" ref="O2:O529" si="1">IF(N2="ganha",(K2*(M2-1)),IF(N2="perdida",-K2,IF(N2="devolvida",0,IF(N2="ganha/devolvida",((K2*(M2-1)))/2,IF(N2="perdida/devolvida",-K2/2,IF(N2="Aguardando",0,""))))))</f>
        <v>-0.3</v>
      </c>
      <c r="P2" s="12">
        <f>O2</f>
        <v>-0.3</v>
      </c>
      <c r="R2" s="10">
        <v>45689.0</v>
      </c>
      <c r="S2" s="13">
        <f t="shared" ref="S2:S31" si="2">SUMIF($L$2:$L$2990,R2,$O$2:$O$2990)</f>
        <v>-0.250952381</v>
      </c>
      <c r="T2" s="14">
        <f>SUMIF($N$2:$N$2990,"Aguardando",$K$2:$K$2990)</f>
        <v>0</v>
      </c>
    </row>
    <row r="3" ht="16.5" customHeight="1">
      <c r="A3" s="15">
        <f t="shared" ref="A3:A577" si="3">A2+1</f>
        <v>2</v>
      </c>
      <c r="B3" s="15" t="s">
        <v>26</v>
      </c>
      <c r="C3" s="15" t="s">
        <v>19</v>
      </c>
      <c r="D3" s="15" t="s">
        <v>27</v>
      </c>
      <c r="E3" s="15" t="s">
        <v>28</v>
      </c>
      <c r="F3" s="15" t="s">
        <v>22</v>
      </c>
      <c r="G3" s="15" t="s">
        <v>29</v>
      </c>
      <c r="H3" s="15" t="s">
        <v>24</v>
      </c>
      <c r="I3" s="16">
        <v>-3.25</v>
      </c>
      <c r="J3" s="16">
        <v>1.0</v>
      </c>
      <c r="K3" s="16">
        <v>1.0</v>
      </c>
      <c r="L3" s="17">
        <v>45689.0</v>
      </c>
      <c r="M3" s="18">
        <v>1.825</v>
      </c>
      <c r="N3" s="15" t="s">
        <v>30</v>
      </c>
      <c r="O3" s="19">
        <f t="shared" si="1"/>
        <v>0.4125</v>
      </c>
      <c r="P3" s="19">
        <f t="shared" ref="P3:P526" si="4">P2+O3</f>
        <v>0.1125</v>
      </c>
      <c r="R3" s="17">
        <v>45690.0</v>
      </c>
      <c r="S3" s="13">
        <f t="shared" si="2"/>
        <v>1.991</v>
      </c>
    </row>
    <row r="4">
      <c r="A4" s="8">
        <f t="shared" si="3"/>
        <v>3</v>
      </c>
      <c r="B4" s="8" t="s">
        <v>26</v>
      </c>
      <c r="C4" s="8" t="s">
        <v>19</v>
      </c>
      <c r="D4" s="8" t="s">
        <v>31</v>
      </c>
      <c r="E4" s="8" t="s">
        <v>32</v>
      </c>
      <c r="F4" s="8" t="s">
        <v>22</v>
      </c>
      <c r="G4" s="8" t="s">
        <v>29</v>
      </c>
      <c r="H4" s="8" t="s">
        <v>24</v>
      </c>
      <c r="I4" s="9">
        <v>-5.25</v>
      </c>
      <c r="J4" s="9">
        <v>1.0</v>
      </c>
      <c r="K4" s="9">
        <v>1.0</v>
      </c>
      <c r="L4" s="10">
        <v>45689.0</v>
      </c>
      <c r="M4" s="11">
        <v>1.975</v>
      </c>
      <c r="N4" s="8" t="s">
        <v>33</v>
      </c>
      <c r="O4" s="12">
        <f t="shared" si="1"/>
        <v>0.975</v>
      </c>
      <c r="P4" s="12">
        <f t="shared" si="4"/>
        <v>1.0875</v>
      </c>
      <c r="R4" s="10">
        <v>45691.0</v>
      </c>
      <c r="S4" s="13">
        <f t="shared" si="2"/>
        <v>-1.95252</v>
      </c>
      <c r="T4" s="3" t="s">
        <v>34</v>
      </c>
    </row>
    <row r="5">
      <c r="A5" s="15">
        <f t="shared" si="3"/>
        <v>4</v>
      </c>
      <c r="B5" s="15" t="s">
        <v>35</v>
      </c>
      <c r="C5" s="15" t="s">
        <v>19</v>
      </c>
      <c r="D5" s="15" t="s">
        <v>36</v>
      </c>
      <c r="E5" s="15" t="s">
        <v>28</v>
      </c>
      <c r="F5" s="15" t="s">
        <v>22</v>
      </c>
      <c r="G5" s="15" t="s">
        <v>29</v>
      </c>
      <c r="H5" s="15" t="s">
        <v>24</v>
      </c>
      <c r="I5" s="16">
        <v>-1.0</v>
      </c>
      <c r="J5" s="16">
        <v>1.0</v>
      </c>
      <c r="K5" s="16">
        <f>0.5+0.5*10/28</f>
        <v>0.6785714286</v>
      </c>
      <c r="L5" s="17">
        <v>45689.0</v>
      </c>
      <c r="M5" s="18">
        <v>1.9</v>
      </c>
      <c r="N5" s="15" t="s">
        <v>33</v>
      </c>
      <c r="O5" s="19">
        <f t="shared" si="1"/>
        <v>0.6107142857</v>
      </c>
      <c r="P5" s="19">
        <f t="shared" si="4"/>
        <v>1.698214286</v>
      </c>
      <c r="R5" s="17">
        <v>45692.0</v>
      </c>
      <c r="S5" s="13">
        <f t="shared" si="2"/>
        <v>0.3775</v>
      </c>
      <c r="T5" s="20">
        <f>sum(K2:K1023)</f>
        <v>74.09113069</v>
      </c>
    </row>
    <row r="6">
      <c r="A6" s="8">
        <f t="shared" si="3"/>
        <v>5</v>
      </c>
      <c r="B6" s="8" t="s">
        <v>26</v>
      </c>
      <c r="C6" s="8" t="s">
        <v>19</v>
      </c>
      <c r="D6" s="8" t="s">
        <v>37</v>
      </c>
      <c r="E6" s="8" t="s">
        <v>38</v>
      </c>
      <c r="F6" s="8" t="s">
        <v>22</v>
      </c>
      <c r="G6" s="8" t="s">
        <v>29</v>
      </c>
      <c r="H6" s="8" t="s">
        <v>39</v>
      </c>
      <c r="I6" s="9">
        <v>-3.5</v>
      </c>
      <c r="J6" s="9">
        <v>1.0</v>
      </c>
      <c r="K6" s="9">
        <v>1.0</v>
      </c>
      <c r="L6" s="10">
        <v>45689.0</v>
      </c>
      <c r="M6" s="11">
        <v>1.825</v>
      </c>
      <c r="N6" s="8" t="s">
        <v>25</v>
      </c>
      <c r="O6" s="12">
        <f t="shared" si="1"/>
        <v>-1</v>
      </c>
      <c r="P6" s="12">
        <f t="shared" si="4"/>
        <v>0.6982142857</v>
      </c>
      <c r="R6" s="10">
        <v>45693.0</v>
      </c>
      <c r="S6" s="13">
        <f t="shared" si="2"/>
        <v>1.24421</v>
      </c>
    </row>
    <row r="7">
      <c r="A7" s="15">
        <f t="shared" si="3"/>
        <v>6</v>
      </c>
      <c r="B7" s="15" t="s">
        <v>26</v>
      </c>
      <c r="C7" s="15" t="s">
        <v>40</v>
      </c>
      <c r="D7" s="15" t="s">
        <v>41</v>
      </c>
      <c r="E7" s="15" t="s">
        <v>42</v>
      </c>
      <c r="F7" s="15" t="s">
        <v>22</v>
      </c>
      <c r="G7" s="15" t="s">
        <v>29</v>
      </c>
      <c r="H7" s="15" t="s">
        <v>24</v>
      </c>
      <c r="I7" s="16">
        <v>-3.5</v>
      </c>
      <c r="J7" s="16">
        <v>1.0</v>
      </c>
      <c r="K7" s="16">
        <v>1.0</v>
      </c>
      <c r="L7" s="17">
        <v>45689.0</v>
      </c>
      <c r="M7" s="18">
        <v>1.9</v>
      </c>
      <c r="N7" s="15" t="s">
        <v>25</v>
      </c>
      <c r="O7" s="19">
        <f t="shared" si="1"/>
        <v>-1</v>
      </c>
      <c r="P7" s="19">
        <f t="shared" si="4"/>
        <v>-0.3017857143</v>
      </c>
      <c r="R7" s="17">
        <v>45694.0</v>
      </c>
      <c r="S7" s="13">
        <f t="shared" si="2"/>
        <v>1.44145</v>
      </c>
    </row>
    <row r="8">
      <c r="A8" s="8">
        <f t="shared" si="3"/>
        <v>7</v>
      </c>
      <c r="B8" s="8" t="s">
        <v>18</v>
      </c>
      <c r="C8" s="8" t="s">
        <v>19</v>
      </c>
      <c r="D8" s="8" t="s">
        <v>43</v>
      </c>
      <c r="E8" s="8" t="s">
        <v>44</v>
      </c>
      <c r="F8" s="8" t="s">
        <v>22</v>
      </c>
      <c r="G8" s="8" t="s">
        <v>23</v>
      </c>
      <c r="H8" s="8" t="s">
        <v>39</v>
      </c>
      <c r="I8" s="9">
        <v>-11.0</v>
      </c>
      <c r="J8" s="9">
        <v>0.3</v>
      </c>
      <c r="K8" s="9">
        <v>0.3</v>
      </c>
      <c r="L8" s="10">
        <v>45689.0</v>
      </c>
      <c r="M8" s="11">
        <v>1.8</v>
      </c>
      <c r="N8" s="8" t="s">
        <v>25</v>
      </c>
      <c r="O8" s="12">
        <f t="shared" si="1"/>
        <v>-0.3</v>
      </c>
      <c r="P8" s="12">
        <f t="shared" si="4"/>
        <v>-0.6017857143</v>
      </c>
      <c r="R8" s="10">
        <v>45695.0</v>
      </c>
      <c r="S8" s="13">
        <f t="shared" si="2"/>
        <v>0</v>
      </c>
      <c r="T8" s="3" t="s">
        <v>45</v>
      </c>
    </row>
    <row r="9">
      <c r="A9" s="15">
        <f t="shared" si="3"/>
        <v>8</v>
      </c>
      <c r="B9" s="15" t="s">
        <v>26</v>
      </c>
      <c r="C9" s="15" t="s">
        <v>19</v>
      </c>
      <c r="D9" s="15" t="s">
        <v>46</v>
      </c>
      <c r="E9" s="15" t="s">
        <v>44</v>
      </c>
      <c r="F9" s="15" t="s">
        <v>22</v>
      </c>
      <c r="G9" s="15" t="s">
        <v>29</v>
      </c>
      <c r="H9" s="15" t="s">
        <v>39</v>
      </c>
      <c r="I9" s="16">
        <v>-2.75</v>
      </c>
      <c r="J9" s="16">
        <v>1.0</v>
      </c>
      <c r="K9" s="16">
        <v>1.0</v>
      </c>
      <c r="L9" s="17">
        <v>45689.0</v>
      </c>
      <c r="M9" s="18">
        <v>1.95</v>
      </c>
      <c r="N9" s="15" t="s">
        <v>33</v>
      </c>
      <c r="O9" s="19">
        <f t="shared" si="1"/>
        <v>0.95</v>
      </c>
      <c r="P9" s="19">
        <f t="shared" si="4"/>
        <v>0.3482142857</v>
      </c>
      <c r="R9" s="17">
        <v>45696.0</v>
      </c>
      <c r="S9" s="13">
        <f t="shared" si="2"/>
        <v>0</v>
      </c>
      <c r="T9" s="21">
        <f>S32/(SUM(K2:K4943)-T2)</f>
        <v>0.03847542334</v>
      </c>
    </row>
    <row r="10">
      <c r="A10" s="8">
        <f t="shared" si="3"/>
        <v>9</v>
      </c>
      <c r="B10" s="8" t="s">
        <v>26</v>
      </c>
      <c r="C10" s="8" t="s">
        <v>19</v>
      </c>
      <c r="D10" s="8" t="s">
        <v>47</v>
      </c>
      <c r="E10" s="8" t="s">
        <v>48</v>
      </c>
      <c r="F10" s="8" t="s">
        <v>22</v>
      </c>
      <c r="G10" s="8" t="s">
        <v>29</v>
      </c>
      <c r="H10" s="8" t="s">
        <v>39</v>
      </c>
      <c r="I10" s="9">
        <v>-1.0</v>
      </c>
      <c r="J10" s="9">
        <v>0.3</v>
      </c>
      <c r="K10" s="9">
        <v>0.3</v>
      </c>
      <c r="L10" s="10">
        <v>45689.0</v>
      </c>
      <c r="M10" s="11">
        <v>1.8</v>
      </c>
      <c r="N10" s="8" t="s">
        <v>33</v>
      </c>
      <c r="O10" s="12">
        <f t="shared" si="1"/>
        <v>0.24</v>
      </c>
      <c r="P10" s="12">
        <f t="shared" si="4"/>
        <v>0.5882142857</v>
      </c>
      <c r="R10" s="10">
        <v>45697.0</v>
      </c>
      <c r="S10" s="13">
        <f t="shared" si="2"/>
        <v>0</v>
      </c>
    </row>
    <row r="11">
      <c r="A11" s="15">
        <f t="shared" si="3"/>
        <v>10</v>
      </c>
      <c r="B11" s="15" t="s">
        <v>26</v>
      </c>
      <c r="C11" s="15" t="s">
        <v>19</v>
      </c>
      <c r="D11" s="15" t="s">
        <v>49</v>
      </c>
      <c r="E11" s="15" t="s">
        <v>50</v>
      </c>
      <c r="F11" s="15" t="s">
        <v>22</v>
      </c>
      <c r="G11" s="15" t="s">
        <v>29</v>
      </c>
      <c r="H11" s="15" t="s">
        <v>39</v>
      </c>
      <c r="I11" s="16">
        <v>-2.25</v>
      </c>
      <c r="J11" s="16">
        <v>0.3</v>
      </c>
      <c r="K11" s="16">
        <v>0.3</v>
      </c>
      <c r="L11" s="17">
        <v>45689.0</v>
      </c>
      <c r="M11" s="18">
        <v>2.05</v>
      </c>
      <c r="N11" s="15" t="s">
        <v>25</v>
      </c>
      <c r="O11" s="19">
        <f t="shared" si="1"/>
        <v>-0.3</v>
      </c>
      <c r="P11" s="19">
        <f t="shared" si="4"/>
        <v>0.2882142857</v>
      </c>
      <c r="R11" s="17">
        <v>45698.0</v>
      </c>
      <c r="S11" s="13">
        <f t="shared" si="2"/>
        <v>0</v>
      </c>
      <c r="T11" s="2" t="s">
        <v>51</v>
      </c>
    </row>
    <row r="12">
      <c r="A12" s="8">
        <f t="shared" si="3"/>
        <v>11</v>
      </c>
      <c r="B12" s="8" t="s">
        <v>26</v>
      </c>
      <c r="C12" s="8" t="s">
        <v>19</v>
      </c>
      <c r="D12" s="8" t="s">
        <v>52</v>
      </c>
      <c r="E12" s="8" t="s">
        <v>28</v>
      </c>
      <c r="F12" s="8" t="s">
        <v>22</v>
      </c>
      <c r="G12" s="8" t="s">
        <v>29</v>
      </c>
      <c r="H12" s="8" t="s">
        <v>24</v>
      </c>
      <c r="I12" s="9">
        <v>-3.5</v>
      </c>
      <c r="J12" s="9">
        <v>1.0</v>
      </c>
      <c r="K12" s="9">
        <v>1.0</v>
      </c>
      <c r="L12" s="10">
        <v>45689.0</v>
      </c>
      <c r="M12" s="11">
        <v>1.975</v>
      </c>
      <c r="N12" s="8" t="s">
        <v>25</v>
      </c>
      <c r="O12" s="12">
        <f t="shared" si="1"/>
        <v>-1</v>
      </c>
      <c r="P12" s="12">
        <f t="shared" si="4"/>
        <v>-0.7117857143</v>
      </c>
      <c r="R12" s="10">
        <v>45699.0</v>
      </c>
      <c r="S12" s="13">
        <f t="shared" si="2"/>
        <v>0</v>
      </c>
      <c r="T12" s="14">
        <f>average(K2:K1009)</f>
        <v>0.6332575272</v>
      </c>
    </row>
    <row r="13">
      <c r="A13" s="15">
        <f t="shared" si="3"/>
        <v>12</v>
      </c>
      <c r="B13" s="15" t="s">
        <v>26</v>
      </c>
      <c r="C13" s="15" t="s">
        <v>19</v>
      </c>
      <c r="D13" s="15" t="s">
        <v>53</v>
      </c>
      <c r="E13" s="15" t="s">
        <v>42</v>
      </c>
      <c r="F13" s="15" t="s">
        <v>22</v>
      </c>
      <c r="G13" s="15" t="s">
        <v>29</v>
      </c>
      <c r="H13" s="15" t="s">
        <v>24</v>
      </c>
      <c r="I13" s="16">
        <v>-3.0</v>
      </c>
      <c r="J13" s="16">
        <v>1.0</v>
      </c>
      <c r="K13" s="16">
        <v>1.0</v>
      </c>
      <c r="L13" s="17">
        <v>45689.0</v>
      </c>
      <c r="M13" s="18">
        <v>1.95</v>
      </c>
      <c r="N13" s="15" t="s">
        <v>25</v>
      </c>
      <c r="O13" s="19">
        <f t="shared" si="1"/>
        <v>-1</v>
      </c>
      <c r="P13" s="19">
        <f t="shared" si="4"/>
        <v>-1.711785714</v>
      </c>
      <c r="R13" s="17">
        <v>45700.0</v>
      </c>
      <c r="S13" s="13">
        <f t="shared" si="2"/>
        <v>0</v>
      </c>
    </row>
    <row r="14">
      <c r="A14" s="8">
        <f t="shared" si="3"/>
        <v>13</v>
      </c>
      <c r="B14" s="8" t="s">
        <v>26</v>
      </c>
      <c r="C14" s="8" t="s">
        <v>19</v>
      </c>
      <c r="D14" s="8" t="s">
        <v>54</v>
      </c>
      <c r="E14" s="8" t="s">
        <v>28</v>
      </c>
      <c r="F14" s="8" t="s">
        <v>22</v>
      </c>
      <c r="G14" s="8" t="s">
        <v>29</v>
      </c>
      <c r="H14" s="8" t="s">
        <v>24</v>
      </c>
      <c r="I14" s="9">
        <v>-4.0</v>
      </c>
      <c r="J14" s="9">
        <v>1.3</v>
      </c>
      <c r="K14" s="9">
        <v>1.3</v>
      </c>
      <c r="L14" s="10">
        <v>45689.0</v>
      </c>
      <c r="M14" s="11">
        <v>1.9</v>
      </c>
      <c r="N14" s="8" t="s">
        <v>25</v>
      </c>
      <c r="O14" s="12">
        <f t="shared" si="1"/>
        <v>-1.3</v>
      </c>
      <c r="P14" s="12">
        <f t="shared" si="4"/>
        <v>-3.011785714</v>
      </c>
      <c r="R14" s="10">
        <v>45701.0</v>
      </c>
      <c r="S14" s="13">
        <f t="shared" si="2"/>
        <v>0</v>
      </c>
      <c r="T14" s="2" t="s">
        <v>55</v>
      </c>
    </row>
    <row r="15">
      <c r="A15" s="15">
        <f t="shared" si="3"/>
        <v>14</v>
      </c>
      <c r="B15" s="15" t="s">
        <v>18</v>
      </c>
      <c r="C15" s="15" t="s">
        <v>19</v>
      </c>
      <c r="D15" s="15" t="s">
        <v>56</v>
      </c>
      <c r="E15" s="15" t="s">
        <v>38</v>
      </c>
      <c r="F15" s="15" t="s">
        <v>22</v>
      </c>
      <c r="G15" s="15" t="s">
        <v>23</v>
      </c>
      <c r="H15" s="15" t="s">
        <v>39</v>
      </c>
      <c r="I15" s="16">
        <v>-11.0</v>
      </c>
      <c r="J15" s="16">
        <v>0.3</v>
      </c>
      <c r="K15" s="16">
        <v>0.3</v>
      </c>
      <c r="L15" s="17">
        <v>45689.0</v>
      </c>
      <c r="M15" s="18">
        <v>1.925</v>
      </c>
      <c r="N15" s="15" t="s">
        <v>33</v>
      </c>
      <c r="O15" s="19">
        <f t="shared" si="1"/>
        <v>0.2775</v>
      </c>
      <c r="P15" s="19">
        <f t="shared" si="4"/>
        <v>-2.734285714</v>
      </c>
      <c r="R15" s="17">
        <v>45702.0</v>
      </c>
      <c r="S15" s="13">
        <f t="shared" si="2"/>
        <v>0</v>
      </c>
      <c r="T15" s="21">
        <f>(SUMPRODUCT(--(J2:J1009 = K2:K1009))-countif(J2:J1009,""))/countif(J2:J1009,"&gt;0")</f>
        <v>0.7521367521</v>
      </c>
    </row>
    <row r="16">
      <c r="A16" s="8">
        <f t="shared" si="3"/>
        <v>15</v>
      </c>
      <c r="B16" s="8" t="s">
        <v>18</v>
      </c>
      <c r="C16" s="8" t="s">
        <v>19</v>
      </c>
      <c r="D16" s="8" t="s">
        <v>57</v>
      </c>
      <c r="E16" s="8" t="s">
        <v>58</v>
      </c>
      <c r="F16" s="8" t="s">
        <v>22</v>
      </c>
      <c r="G16" s="8" t="s">
        <v>23</v>
      </c>
      <c r="H16" s="8" t="s">
        <v>39</v>
      </c>
      <c r="I16" s="9">
        <v>-10.0</v>
      </c>
      <c r="J16" s="9">
        <v>0.3</v>
      </c>
      <c r="K16" s="9">
        <v>0.3</v>
      </c>
      <c r="L16" s="10">
        <v>45689.0</v>
      </c>
      <c r="M16" s="11">
        <v>1.975</v>
      </c>
      <c r="N16" s="8" t="s">
        <v>33</v>
      </c>
      <c r="O16" s="12">
        <f t="shared" si="1"/>
        <v>0.2925</v>
      </c>
      <c r="P16" s="12">
        <f t="shared" si="4"/>
        <v>-2.441785714</v>
      </c>
      <c r="R16" s="10">
        <v>45703.0</v>
      </c>
      <c r="S16" s="13">
        <f t="shared" si="2"/>
        <v>0</v>
      </c>
    </row>
    <row r="17">
      <c r="A17" s="15">
        <f t="shared" si="3"/>
        <v>16</v>
      </c>
      <c r="B17" s="15" t="s">
        <v>18</v>
      </c>
      <c r="C17" s="15" t="s">
        <v>19</v>
      </c>
      <c r="D17" s="15" t="s">
        <v>59</v>
      </c>
      <c r="E17" s="15" t="s">
        <v>60</v>
      </c>
      <c r="F17" s="15" t="s">
        <v>22</v>
      </c>
      <c r="G17" s="15" t="s">
        <v>23</v>
      </c>
      <c r="H17" s="15" t="s">
        <v>39</v>
      </c>
      <c r="I17" s="16">
        <v>-9.5</v>
      </c>
      <c r="J17" s="16">
        <v>0.3</v>
      </c>
      <c r="K17" s="16">
        <v>0.3</v>
      </c>
      <c r="L17" s="17">
        <v>45689.0</v>
      </c>
      <c r="M17" s="18">
        <v>1.95</v>
      </c>
      <c r="N17" s="15" t="s">
        <v>25</v>
      </c>
      <c r="O17" s="19">
        <f t="shared" si="1"/>
        <v>-0.3</v>
      </c>
      <c r="P17" s="19">
        <f t="shared" si="4"/>
        <v>-2.741785714</v>
      </c>
      <c r="R17" s="17">
        <v>45704.0</v>
      </c>
      <c r="S17" s="13">
        <f t="shared" si="2"/>
        <v>0</v>
      </c>
      <c r="T17" s="2" t="s">
        <v>61</v>
      </c>
    </row>
    <row r="18">
      <c r="A18" s="8">
        <f t="shared" si="3"/>
        <v>17</v>
      </c>
      <c r="B18" s="8" t="s">
        <v>26</v>
      </c>
      <c r="C18" s="8" t="s">
        <v>19</v>
      </c>
      <c r="D18" s="8" t="s">
        <v>62</v>
      </c>
      <c r="E18" s="8" t="s">
        <v>63</v>
      </c>
      <c r="F18" s="8" t="s">
        <v>22</v>
      </c>
      <c r="G18" s="8" t="s">
        <v>29</v>
      </c>
      <c r="H18" s="8" t="s">
        <v>24</v>
      </c>
      <c r="I18" s="9">
        <v>-1.0</v>
      </c>
      <c r="J18" s="9">
        <v>0.3</v>
      </c>
      <c r="K18" s="9">
        <v>0.3</v>
      </c>
      <c r="L18" s="10">
        <v>45689.0</v>
      </c>
      <c r="M18" s="11">
        <v>1.8</v>
      </c>
      <c r="N18" s="8" t="s">
        <v>33</v>
      </c>
      <c r="O18" s="12">
        <f t="shared" si="1"/>
        <v>0.24</v>
      </c>
      <c r="P18" s="12">
        <f t="shared" si="4"/>
        <v>-2.501785714</v>
      </c>
      <c r="R18" s="10">
        <v>45705.0</v>
      </c>
      <c r="S18" s="13">
        <f t="shared" si="2"/>
        <v>0</v>
      </c>
      <c r="T18" s="22">
        <f>average(M2:M208)</f>
        <v>1.912606838</v>
      </c>
    </row>
    <row r="19">
      <c r="A19" s="15">
        <f t="shared" si="3"/>
        <v>18</v>
      </c>
      <c r="B19" s="15" t="s">
        <v>18</v>
      </c>
      <c r="C19" s="15" t="s">
        <v>19</v>
      </c>
      <c r="D19" s="15" t="s">
        <v>64</v>
      </c>
      <c r="E19" s="15" t="s">
        <v>38</v>
      </c>
      <c r="F19" s="15" t="s">
        <v>22</v>
      </c>
      <c r="G19" s="15" t="s">
        <v>23</v>
      </c>
      <c r="H19" s="15" t="s">
        <v>39</v>
      </c>
      <c r="I19" s="16">
        <v>-10.0</v>
      </c>
      <c r="J19" s="16">
        <v>0.3</v>
      </c>
      <c r="K19" s="16">
        <v>0.3</v>
      </c>
      <c r="L19" s="17">
        <v>45689.0</v>
      </c>
      <c r="M19" s="18">
        <v>2.0</v>
      </c>
      <c r="N19" s="15" t="s">
        <v>25</v>
      </c>
      <c r="O19" s="19">
        <f t="shared" si="1"/>
        <v>-0.3</v>
      </c>
      <c r="P19" s="19">
        <f t="shared" si="4"/>
        <v>-2.801785714</v>
      </c>
      <c r="R19" s="17">
        <v>45706.0</v>
      </c>
      <c r="S19" s="13">
        <f t="shared" si="2"/>
        <v>0</v>
      </c>
    </row>
    <row r="20">
      <c r="A20" s="8">
        <f t="shared" si="3"/>
        <v>19</v>
      </c>
      <c r="B20" s="8" t="s">
        <v>18</v>
      </c>
      <c r="C20" s="8" t="s">
        <v>19</v>
      </c>
      <c r="D20" s="8" t="s">
        <v>65</v>
      </c>
      <c r="E20" s="8" t="s">
        <v>66</v>
      </c>
      <c r="F20" s="8" t="s">
        <v>22</v>
      </c>
      <c r="G20" s="8" t="s">
        <v>23</v>
      </c>
      <c r="H20" s="8" t="s">
        <v>39</v>
      </c>
      <c r="I20" s="9">
        <v>-10.5</v>
      </c>
      <c r="J20" s="9">
        <v>0.3</v>
      </c>
      <c r="K20" s="9">
        <v>0.3</v>
      </c>
      <c r="L20" s="10">
        <v>45689.0</v>
      </c>
      <c r="M20" s="11">
        <v>1.8</v>
      </c>
      <c r="N20" s="8" t="s">
        <v>25</v>
      </c>
      <c r="O20" s="12">
        <f t="shared" si="1"/>
        <v>-0.3</v>
      </c>
      <c r="P20" s="12">
        <f t="shared" si="4"/>
        <v>-3.101785714</v>
      </c>
      <c r="R20" s="10">
        <v>45707.0</v>
      </c>
      <c r="S20" s="13">
        <f t="shared" si="2"/>
        <v>0</v>
      </c>
    </row>
    <row r="21">
      <c r="A21" s="15">
        <f t="shared" si="3"/>
        <v>20</v>
      </c>
      <c r="B21" s="15" t="s">
        <v>35</v>
      </c>
      <c r="C21" s="15" t="s">
        <v>19</v>
      </c>
      <c r="D21" s="15" t="s">
        <v>67</v>
      </c>
      <c r="E21" s="15" t="s">
        <v>68</v>
      </c>
      <c r="F21" s="15" t="s">
        <v>22</v>
      </c>
      <c r="G21" s="15" t="s">
        <v>29</v>
      </c>
      <c r="H21" s="15" t="s">
        <v>24</v>
      </c>
      <c r="I21" s="16">
        <v>-0.75</v>
      </c>
      <c r="J21" s="16">
        <v>1.0</v>
      </c>
      <c r="K21" s="16">
        <v>1.0</v>
      </c>
      <c r="L21" s="17">
        <v>45689.0</v>
      </c>
      <c r="M21" s="18">
        <v>1.775</v>
      </c>
      <c r="N21" s="15" t="s">
        <v>33</v>
      </c>
      <c r="O21" s="19">
        <f t="shared" si="1"/>
        <v>0.775</v>
      </c>
      <c r="P21" s="19">
        <f t="shared" si="4"/>
        <v>-2.326785714</v>
      </c>
      <c r="R21" s="17">
        <v>45708.0</v>
      </c>
      <c r="S21" s="13">
        <f t="shared" si="2"/>
        <v>0</v>
      </c>
    </row>
    <row r="22">
      <c r="A22" s="8">
        <f t="shared" si="3"/>
        <v>21</v>
      </c>
      <c r="B22" s="8" t="s">
        <v>35</v>
      </c>
      <c r="C22" s="8" t="s">
        <v>19</v>
      </c>
      <c r="D22" s="8" t="s">
        <v>69</v>
      </c>
      <c r="E22" s="8" t="s">
        <v>50</v>
      </c>
      <c r="F22" s="8" t="s">
        <v>22</v>
      </c>
      <c r="G22" s="8" t="s">
        <v>29</v>
      </c>
      <c r="H22" s="8" t="s">
        <v>39</v>
      </c>
      <c r="I22" s="9">
        <v>-1.0</v>
      </c>
      <c r="J22" s="9">
        <v>0.7</v>
      </c>
      <c r="K22" s="9">
        <v>0.7</v>
      </c>
      <c r="L22" s="10">
        <v>45689.0</v>
      </c>
      <c r="M22" s="11">
        <f>1+33/40</f>
        <v>1.825</v>
      </c>
      <c r="N22" s="8" t="s">
        <v>70</v>
      </c>
      <c r="O22" s="12">
        <f t="shared" si="1"/>
        <v>0</v>
      </c>
      <c r="P22" s="12">
        <f t="shared" si="4"/>
        <v>-2.326785714</v>
      </c>
      <c r="R22" s="10">
        <v>45709.0</v>
      </c>
      <c r="S22" s="13">
        <f t="shared" si="2"/>
        <v>0</v>
      </c>
    </row>
    <row r="23">
      <c r="A23" s="15">
        <f t="shared" si="3"/>
        <v>22</v>
      </c>
      <c r="B23" s="15" t="s">
        <v>35</v>
      </c>
      <c r="C23" s="15" t="s">
        <v>19</v>
      </c>
      <c r="D23" s="15" t="s">
        <v>71</v>
      </c>
      <c r="E23" s="15" t="s">
        <v>44</v>
      </c>
      <c r="F23" s="15" t="s">
        <v>22</v>
      </c>
      <c r="G23" s="15" t="s">
        <v>29</v>
      </c>
      <c r="H23" s="15" t="s">
        <v>39</v>
      </c>
      <c r="I23" s="16">
        <v>-1.0</v>
      </c>
      <c r="J23" s="16">
        <v>0.7</v>
      </c>
      <c r="K23" s="16">
        <v>0.7</v>
      </c>
      <c r="L23" s="17">
        <v>45689.0</v>
      </c>
      <c r="M23" s="18">
        <v>1.9</v>
      </c>
      <c r="N23" s="15" t="s">
        <v>33</v>
      </c>
      <c r="O23" s="19">
        <f t="shared" si="1"/>
        <v>0.63</v>
      </c>
      <c r="P23" s="19">
        <f t="shared" si="4"/>
        <v>-1.696785714</v>
      </c>
      <c r="R23" s="17">
        <v>45710.0</v>
      </c>
      <c r="S23" s="13">
        <f t="shared" si="2"/>
        <v>0</v>
      </c>
    </row>
    <row r="24">
      <c r="A24" s="8">
        <f t="shared" si="3"/>
        <v>23</v>
      </c>
      <c r="B24" s="8" t="s">
        <v>35</v>
      </c>
      <c r="C24" s="8" t="s">
        <v>19</v>
      </c>
      <c r="D24" s="8" t="s">
        <v>72</v>
      </c>
      <c r="E24" s="8" t="s">
        <v>60</v>
      </c>
      <c r="F24" s="8" t="s">
        <v>22</v>
      </c>
      <c r="G24" s="8" t="s">
        <v>29</v>
      </c>
      <c r="H24" s="8" t="s">
        <v>39</v>
      </c>
      <c r="I24" s="9">
        <v>-1.0</v>
      </c>
      <c r="J24" s="9">
        <v>0.7</v>
      </c>
      <c r="K24" s="9">
        <v>0.7</v>
      </c>
      <c r="L24" s="10">
        <v>45689.0</v>
      </c>
      <c r="M24" s="11">
        <v>1.9</v>
      </c>
      <c r="N24" s="8" t="s">
        <v>33</v>
      </c>
      <c r="O24" s="12">
        <f t="shared" si="1"/>
        <v>0.63</v>
      </c>
      <c r="P24" s="12">
        <f t="shared" si="4"/>
        <v>-1.066785714</v>
      </c>
      <c r="R24" s="10">
        <v>45711.0</v>
      </c>
      <c r="S24" s="13">
        <f t="shared" si="2"/>
        <v>0</v>
      </c>
    </row>
    <row r="25">
      <c r="A25" s="15">
        <f t="shared" si="3"/>
        <v>24</v>
      </c>
      <c r="B25" s="15" t="s">
        <v>26</v>
      </c>
      <c r="C25" s="15" t="s">
        <v>19</v>
      </c>
      <c r="D25" s="15" t="s">
        <v>73</v>
      </c>
      <c r="E25" s="15" t="s">
        <v>74</v>
      </c>
      <c r="F25" s="15" t="s">
        <v>22</v>
      </c>
      <c r="G25" s="15" t="s">
        <v>29</v>
      </c>
      <c r="H25" s="15" t="s">
        <v>39</v>
      </c>
      <c r="I25" s="16">
        <v>-2.5</v>
      </c>
      <c r="J25" s="23">
        <v>1.0</v>
      </c>
      <c r="K25" s="24">
        <f>0.5+0.5*14/27</f>
        <v>0.7592592593</v>
      </c>
      <c r="L25" s="17">
        <v>45689.0</v>
      </c>
      <c r="M25" s="18">
        <v>1.9</v>
      </c>
      <c r="N25" s="15" t="s">
        <v>33</v>
      </c>
      <c r="O25" s="19">
        <f t="shared" si="1"/>
        <v>0.6833333333</v>
      </c>
      <c r="P25" s="19">
        <f t="shared" si="4"/>
        <v>-0.383452381</v>
      </c>
      <c r="R25" s="17">
        <v>45712.0</v>
      </c>
      <c r="S25" s="13">
        <f t="shared" si="2"/>
        <v>0</v>
      </c>
    </row>
    <row r="26">
      <c r="A26" s="8">
        <f t="shared" si="3"/>
        <v>25</v>
      </c>
      <c r="B26" s="8" t="s">
        <v>18</v>
      </c>
      <c r="C26" s="8" t="s">
        <v>19</v>
      </c>
      <c r="D26" s="8" t="s">
        <v>75</v>
      </c>
      <c r="E26" s="8" t="s">
        <v>76</v>
      </c>
      <c r="F26" s="8" t="s">
        <v>22</v>
      </c>
      <c r="G26" s="8" t="s">
        <v>23</v>
      </c>
      <c r="H26" s="8" t="s">
        <v>24</v>
      </c>
      <c r="I26" s="9">
        <v>-11.5</v>
      </c>
      <c r="J26" s="25">
        <v>0.3</v>
      </c>
      <c r="K26" s="26">
        <v>0.3</v>
      </c>
      <c r="L26" s="10">
        <v>45689.0</v>
      </c>
      <c r="M26" s="11">
        <v>1.875</v>
      </c>
      <c r="N26" s="8" t="s">
        <v>33</v>
      </c>
      <c r="O26" s="12">
        <f t="shared" si="1"/>
        <v>0.2625</v>
      </c>
      <c r="P26" s="12">
        <f t="shared" si="4"/>
        <v>-0.120952381</v>
      </c>
      <c r="R26" s="10">
        <v>45713.0</v>
      </c>
      <c r="S26" s="13">
        <f t="shared" si="2"/>
        <v>0</v>
      </c>
    </row>
    <row r="27">
      <c r="A27" s="15">
        <f t="shared" si="3"/>
        <v>26</v>
      </c>
      <c r="B27" s="15" t="s">
        <v>35</v>
      </c>
      <c r="C27" s="15" t="s">
        <v>19</v>
      </c>
      <c r="D27" s="15" t="s">
        <v>77</v>
      </c>
      <c r="E27" s="15" t="s">
        <v>78</v>
      </c>
      <c r="F27" s="15" t="s">
        <v>22</v>
      </c>
      <c r="G27" s="15" t="s">
        <v>29</v>
      </c>
      <c r="H27" s="15" t="s">
        <v>39</v>
      </c>
      <c r="I27" s="16">
        <v>-0.75</v>
      </c>
      <c r="J27" s="16">
        <v>0.7</v>
      </c>
      <c r="K27" s="16">
        <v>0.7</v>
      </c>
      <c r="L27" s="17">
        <v>45689.0</v>
      </c>
      <c r="M27" s="18">
        <v>2.0</v>
      </c>
      <c r="N27" s="15" t="s">
        <v>79</v>
      </c>
      <c r="O27" s="19">
        <f t="shared" si="1"/>
        <v>-0.35</v>
      </c>
      <c r="P27" s="19">
        <f t="shared" si="4"/>
        <v>-0.470952381</v>
      </c>
      <c r="R27" s="17">
        <v>45714.0</v>
      </c>
      <c r="S27" s="13">
        <f t="shared" si="2"/>
        <v>0</v>
      </c>
    </row>
    <row r="28">
      <c r="A28" s="8">
        <f t="shared" si="3"/>
        <v>27</v>
      </c>
      <c r="B28" s="8" t="s">
        <v>35</v>
      </c>
      <c r="C28" s="8" t="s">
        <v>19</v>
      </c>
      <c r="D28" s="8" t="s">
        <v>80</v>
      </c>
      <c r="E28" s="8" t="s">
        <v>76</v>
      </c>
      <c r="F28" s="8" t="s">
        <v>22</v>
      </c>
      <c r="G28" s="8" t="s">
        <v>29</v>
      </c>
      <c r="H28" s="8" t="s">
        <v>24</v>
      </c>
      <c r="I28" s="9">
        <v>-3.5</v>
      </c>
      <c r="J28" s="9">
        <v>1.0</v>
      </c>
      <c r="K28" s="9">
        <v>1.0</v>
      </c>
      <c r="L28" s="10">
        <v>45689.0</v>
      </c>
      <c r="M28" s="11">
        <v>1.95</v>
      </c>
      <c r="N28" s="8" t="s">
        <v>33</v>
      </c>
      <c r="O28" s="12">
        <f t="shared" si="1"/>
        <v>0.95</v>
      </c>
      <c r="P28" s="12">
        <f t="shared" si="4"/>
        <v>0.479047619</v>
      </c>
      <c r="R28" s="10">
        <v>45715.0</v>
      </c>
      <c r="S28" s="13">
        <f t="shared" si="2"/>
        <v>0</v>
      </c>
    </row>
    <row r="29">
      <c r="A29" s="15">
        <f t="shared" si="3"/>
        <v>28</v>
      </c>
      <c r="B29" s="15" t="s">
        <v>18</v>
      </c>
      <c r="C29" s="15" t="s">
        <v>19</v>
      </c>
      <c r="D29" s="15" t="s">
        <v>81</v>
      </c>
      <c r="E29" s="15" t="s">
        <v>82</v>
      </c>
      <c r="F29" s="15" t="s">
        <v>22</v>
      </c>
      <c r="G29" s="15" t="s">
        <v>23</v>
      </c>
      <c r="H29" s="15" t="s">
        <v>24</v>
      </c>
      <c r="I29" s="16">
        <v>-11.5</v>
      </c>
      <c r="J29" s="16">
        <v>0.3</v>
      </c>
      <c r="K29" s="16">
        <v>0.3</v>
      </c>
      <c r="L29" s="17">
        <v>45689.0</v>
      </c>
      <c r="M29" s="18">
        <v>1.9</v>
      </c>
      <c r="N29" s="15" t="s">
        <v>33</v>
      </c>
      <c r="O29" s="19">
        <f t="shared" si="1"/>
        <v>0.27</v>
      </c>
      <c r="P29" s="19">
        <f t="shared" si="4"/>
        <v>0.749047619</v>
      </c>
      <c r="R29" s="17">
        <v>45716.0</v>
      </c>
      <c r="S29" s="13">
        <f t="shared" si="2"/>
        <v>0</v>
      </c>
    </row>
    <row r="30">
      <c r="A30" s="8">
        <f t="shared" si="3"/>
        <v>29</v>
      </c>
      <c r="B30" s="8" t="s">
        <v>35</v>
      </c>
      <c r="C30" s="8" t="s">
        <v>19</v>
      </c>
      <c r="D30" s="8" t="s">
        <v>83</v>
      </c>
      <c r="E30" s="8" t="s">
        <v>84</v>
      </c>
      <c r="F30" s="8" t="s">
        <v>22</v>
      </c>
      <c r="G30" s="8" t="s">
        <v>29</v>
      </c>
      <c r="H30" s="8" t="s">
        <v>39</v>
      </c>
      <c r="I30" s="9">
        <v>-1.0</v>
      </c>
      <c r="J30" s="9">
        <v>0.7</v>
      </c>
      <c r="K30" s="9">
        <v>0.7</v>
      </c>
      <c r="L30" s="10">
        <v>45689.0</v>
      </c>
      <c r="M30" s="11">
        <v>1.775</v>
      </c>
      <c r="N30" s="8" t="s">
        <v>70</v>
      </c>
      <c r="O30" s="12">
        <f t="shared" si="1"/>
        <v>0</v>
      </c>
      <c r="P30" s="12">
        <f t="shared" si="4"/>
        <v>0.749047619</v>
      </c>
      <c r="R30" s="10"/>
      <c r="S30" s="13">
        <f t="shared" si="2"/>
        <v>0</v>
      </c>
    </row>
    <row r="31">
      <c r="A31" s="15">
        <f t="shared" si="3"/>
        <v>30</v>
      </c>
      <c r="B31" s="15" t="s">
        <v>35</v>
      </c>
      <c r="C31" s="15" t="s">
        <v>19</v>
      </c>
      <c r="D31" s="15" t="s">
        <v>85</v>
      </c>
      <c r="E31" s="15" t="s">
        <v>86</v>
      </c>
      <c r="F31" s="15" t="s">
        <v>22</v>
      </c>
      <c r="G31" s="15" t="s">
        <v>29</v>
      </c>
      <c r="H31" s="15" t="s">
        <v>24</v>
      </c>
      <c r="I31" s="16">
        <v>-3.0</v>
      </c>
      <c r="J31" s="16">
        <v>1.0</v>
      </c>
      <c r="K31" s="16">
        <v>1.0</v>
      </c>
      <c r="L31" s="17">
        <v>45689.0</v>
      </c>
      <c r="M31" s="18">
        <v>2.0</v>
      </c>
      <c r="N31" s="15" t="s">
        <v>25</v>
      </c>
      <c r="O31" s="19">
        <f t="shared" si="1"/>
        <v>-1</v>
      </c>
      <c r="P31" s="19">
        <f t="shared" si="4"/>
        <v>-0.250952381</v>
      </c>
      <c r="R31" s="17"/>
      <c r="S31" s="13">
        <f t="shared" si="2"/>
        <v>0</v>
      </c>
    </row>
    <row r="32">
      <c r="A32" s="8">
        <f t="shared" si="3"/>
        <v>31</v>
      </c>
      <c r="B32" s="8" t="s">
        <v>26</v>
      </c>
      <c r="C32" s="8" t="s">
        <v>19</v>
      </c>
      <c r="D32" s="8" t="s">
        <v>87</v>
      </c>
      <c r="E32" s="8" t="s">
        <v>88</v>
      </c>
      <c r="F32" s="8" t="s">
        <v>22</v>
      </c>
      <c r="G32" s="8" t="s">
        <v>29</v>
      </c>
      <c r="H32" s="8" t="s">
        <v>24</v>
      </c>
      <c r="I32" s="9">
        <v>-3.0</v>
      </c>
      <c r="J32" s="9">
        <v>1.0</v>
      </c>
      <c r="K32" s="9">
        <v>1.0</v>
      </c>
      <c r="L32" s="10">
        <v>45690.0</v>
      </c>
      <c r="M32" s="11">
        <v>1.9</v>
      </c>
      <c r="N32" s="8" t="s">
        <v>25</v>
      </c>
      <c r="O32" s="12">
        <f t="shared" si="1"/>
        <v>-1</v>
      </c>
      <c r="P32" s="12">
        <f t="shared" si="4"/>
        <v>-1.250952381</v>
      </c>
      <c r="R32" s="27" t="s">
        <v>89</v>
      </c>
      <c r="S32" s="28">
        <f>SUM(S2:S31)</f>
        <v>2.850687619</v>
      </c>
    </row>
    <row r="33">
      <c r="A33" s="15">
        <f t="shared" si="3"/>
        <v>32</v>
      </c>
      <c r="B33" s="15" t="s">
        <v>18</v>
      </c>
      <c r="C33" s="15" t="s">
        <v>19</v>
      </c>
      <c r="D33" s="15" t="s">
        <v>90</v>
      </c>
      <c r="E33" s="15" t="s">
        <v>91</v>
      </c>
      <c r="F33" s="15" t="s">
        <v>22</v>
      </c>
      <c r="G33" s="15" t="s">
        <v>23</v>
      </c>
      <c r="H33" s="15" t="s">
        <v>24</v>
      </c>
      <c r="I33" s="16">
        <v>-10.5</v>
      </c>
      <c r="J33" s="16">
        <v>0.3</v>
      </c>
      <c r="K33" s="16">
        <v>0.3</v>
      </c>
      <c r="L33" s="17">
        <v>45690.0</v>
      </c>
      <c r="M33" s="18">
        <v>1.95</v>
      </c>
      <c r="N33" s="15" t="s">
        <v>25</v>
      </c>
      <c r="O33" s="19">
        <f t="shared" si="1"/>
        <v>-0.3</v>
      </c>
      <c r="P33" s="19">
        <f t="shared" si="4"/>
        <v>-1.550952381</v>
      </c>
    </row>
    <row r="34">
      <c r="A34" s="8">
        <f t="shared" si="3"/>
        <v>33</v>
      </c>
      <c r="B34" s="8" t="s">
        <v>26</v>
      </c>
      <c r="C34" s="8" t="s">
        <v>40</v>
      </c>
      <c r="D34" s="8" t="s">
        <v>92</v>
      </c>
      <c r="E34" s="8" t="s">
        <v>93</v>
      </c>
      <c r="F34" s="8" t="s">
        <v>22</v>
      </c>
      <c r="G34" s="8" t="s">
        <v>29</v>
      </c>
      <c r="H34" s="8" t="s">
        <v>24</v>
      </c>
      <c r="I34" s="9">
        <v>-3.0</v>
      </c>
      <c r="J34" s="9">
        <v>1.0</v>
      </c>
      <c r="K34" s="9">
        <v>1.0</v>
      </c>
      <c r="L34" s="10">
        <v>45690.0</v>
      </c>
      <c r="M34" s="11">
        <v>1.925</v>
      </c>
      <c r="N34" s="8" t="s">
        <v>33</v>
      </c>
      <c r="O34" s="12">
        <f t="shared" si="1"/>
        <v>0.925</v>
      </c>
      <c r="P34" s="12">
        <f t="shared" si="4"/>
        <v>-0.625952381</v>
      </c>
      <c r="R34" s="29"/>
    </row>
    <row r="35">
      <c r="A35" s="15">
        <f t="shared" si="3"/>
        <v>34</v>
      </c>
      <c r="B35" s="15" t="s">
        <v>26</v>
      </c>
      <c r="C35" s="15" t="s">
        <v>19</v>
      </c>
      <c r="D35" s="15" t="s">
        <v>94</v>
      </c>
      <c r="E35" s="15" t="s">
        <v>84</v>
      </c>
      <c r="F35" s="15" t="s">
        <v>22</v>
      </c>
      <c r="G35" s="15" t="s">
        <v>29</v>
      </c>
      <c r="H35" s="15" t="s">
        <v>24</v>
      </c>
      <c r="I35" s="16">
        <v>-3.5</v>
      </c>
      <c r="J35" s="16">
        <v>1.0</v>
      </c>
      <c r="K35" s="16">
        <v>1.0</v>
      </c>
      <c r="L35" s="17">
        <v>45690.0</v>
      </c>
      <c r="M35" s="18">
        <v>1.8</v>
      </c>
      <c r="N35" s="15" t="s">
        <v>25</v>
      </c>
      <c r="O35" s="19">
        <f t="shared" si="1"/>
        <v>-1</v>
      </c>
      <c r="P35" s="19">
        <f t="shared" si="4"/>
        <v>-1.625952381</v>
      </c>
    </row>
    <row r="36">
      <c r="A36" s="8">
        <f t="shared" si="3"/>
        <v>35</v>
      </c>
      <c r="B36" s="8" t="s">
        <v>26</v>
      </c>
      <c r="C36" s="8" t="s">
        <v>19</v>
      </c>
      <c r="D36" s="8" t="s">
        <v>95</v>
      </c>
      <c r="E36" s="8" t="s">
        <v>96</v>
      </c>
      <c r="F36" s="8" t="s">
        <v>22</v>
      </c>
      <c r="G36" s="8" t="s">
        <v>29</v>
      </c>
      <c r="H36" s="8" t="s">
        <v>24</v>
      </c>
      <c r="I36" s="9">
        <v>-2.5</v>
      </c>
      <c r="J36" s="9">
        <v>1.0</v>
      </c>
      <c r="K36" s="9">
        <v>1.0</v>
      </c>
      <c r="L36" s="10">
        <v>45690.0</v>
      </c>
      <c r="M36" s="11">
        <v>1.925</v>
      </c>
      <c r="N36" s="8" t="s">
        <v>33</v>
      </c>
      <c r="O36" s="12">
        <f t="shared" si="1"/>
        <v>0.925</v>
      </c>
      <c r="P36" s="12">
        <f t="shared" si="4"/>
        <v>-0.700952381</v>
      </c>
      <c r="R36" s="29"/>
    </row>
    <row r="37">
      <c r="A37" s="15">
        <f t="shared" si="3"/>
        <v>36</v>
      </c>
      <c r="B37" s="15" t="s">
        <v>35</v>
      </c>
      <c r="C37" s="15" t="s">
        <v>19</v>
      </c>
      <c r="D37" s="15" t="s">
        <v>97</v>
      </c>
      <c r="E37" s="15" t="s">
        <v>21</v>
      </c>
      <c r="F37" s="15" t="s">
        <v>22</v>
      </c>
      <c r="G37" s="15" t="s">
        <v>29</v>
      </c>
      <c r="H37" s="15" t="s">
        <v>24</v>
      </c>
      <c r="I37" s="16">
        <v>-3.25</v>
      </c>
      <c r="J37" s="16">
        <v>0.7</v>
      </c>
      <c r="K37" s="16">
        <v>0.7</v>
      </c>
      <c r="L37" s="17">
        <v>45690.0</v>
      </c>
      <c r="M37" s="18">
        <v>1.95</v>
      </c>
      <c r="N37" s="15" t="s">
        <v>33</v>
      </c>
      <c r="O37" s="19">
        <f t="shared" si="1"/>
        <v>0.665</v>
      </c>
      <c r="P37" s="19">
        <f t="shared" si="4"/>
        <v>-0.03595238095</v>
      </c>
      <c r="R37" s="30"/>
    </row>
    <row r="38">
      <c r="A38" s="8">
        <f t="shared" si="3"/>
        <v>37</v>
      </c>
      <c r="B38" s="8" t="s">
        <v>18</v>
      </c>
      <c r="C38" s="8" t="s">
        <v>19</v>
      </c>
      <c r="D38" s="8" t="s">
        <v>98</v>
      </c>
      <c r="E38" s="8" t="s">
        <v>99</v>
      </c>
      <c r="F38" s="8" t="s">
        <v>22</v>
      </c>
      <c r="G38" s="8" t="s">
        <v>23</v>
      </c>
      <c r="H38" s="8" t="s">
        <v>39</v>
      </c>
      <c r="I38" s="9">
        <v>-10.0</v>
      </c>
      <c r="J38" s="9">
        <v>0.3</v>
      </c>
      <c r="K38" s="9">
        <v>0.3</v>
      </c>
      <c r="L38" s="10">
        <v>45690.0</v>
      </c>
      <c r="M38" s="11">
        <v>1.975</v>
      </c>
      <c r="N38" s="8" t="s">
        <v>25</v>
      </c>
      <c r="O38" s="12">
        <f t="shared" si="1"/>
        <v>-0.3</v>
      </c>
      <c r="P38" s="12">
        <f t="shared" si="4"/>
        <v>-0.335952381</v>
      </c>
      <c r="R38" s="30"/>
    </row>
    <row r="39">
      <c r="A39" s="15">
        <f t="shared" si="3"/>
        <v>38</v>
      </c>
      <c r="B39" s="15" t="s">
        <v>18</v>
      </c>
      <c r="C39" s="15" t="s">
        <v>19</v>
      </c>
      <c r="D39" s="15" t="s">
        <v>100</v>
      </c>
      <c r="E39" s="15" t="s">
        <v>101</v>
      </c>
      <c r="F39" s="15" t="s">
        <v>22</v>
      </c>
      <c r="G39" s="15" t="s">
        <v>23</v>
      </c>
      <c r="H39" s="15" t="s">
        <v>39</v>
      </c>
      <c r="I39" s="16">
        <v>-10.0</v>
      </c>
      <c r="J39" s="16">
        <v>0.3</v>
      </c>
      <c r="K39" s="16">
        <v>0.3</v>
      </c>
      <c r="L39" s="17">
        <v>45690.0</v>
      </c>
      <c r="M39" s="18">
        <v>1.95</v>
      </c>
      <c r="N39" s="15" t="s">
        <v>25</v>
      </c>
      <c r="O39" s="19">
        <f t="shared" si="1"/>
        <v>-0.3</v>
      </c>
      <c r="P39" s="19">
        <f t="shared" si="4"/>
        <v>-0.635952381</v>
      </c>
      <c r="R39" s="30"/>
    </row>
    <row r="40">
      <c r="A40" s="8">
        <f t="shared" si="3"/>
        <v>39</v>
      </c>
      <c r="B40" s="8" t="s">
        <v>26</v>
      </c>
      <c r="C40" s="8" t="s">
        <v>19</v>
      </c>
      <c r="D40" s="8" t="s">
        <v>102</v>
      </c>
      <c r="E40" s="8" t="s">
        <v>48</v>
      </c>
      <c r="F40" s="8" t="s">
        <v>22</v>
      </c>
      <c r="G40" s="8" t="s">
        <v>29</v>
      </c>
      <c r="H40" s="8" t="s">
        <v>24</v>
      </c>
      <c r="I40" s="9">
        <v>-2.5</v>
      </c>
      <c r="J40" s="9">
        <v>1.0</v>
      </c>
      <c r="K40" s="9">
        <v>1.0</v>
      </c>
      <c r="L40" s="10">
        <v>45690.0</v>
      </c>
      <c r="M40" s="11">
        <v>1.9</v>
      </c>
      <c r="N40" s="8" t="s">
        <v>33</v>
      </c>
      <c r="O40" s="12">
        <f t="shared" si="1"/>
        <v>0.9</v>
      </c>
      <c r="P40" s="12">
        <f t="shared" si="4"/>
        <v>0.264047619</v>
      </c>
      <c r="R40" s="30"/>
    </row>
    <row r="41">
      <c r="A41" s="15">
        <f t="shared" si="3"/>
        <v>40</v>
      </c>
      <c r="B41" s="15" t="s">
        <v>26</v>
      </c>
      <c r="C41" s="15" t="s">
        <v>19</v>
      </c>
      <c r="D41" s="15" t="s">
        <v>103</v>
      </c>
      <c r="E41" s="15" t="s">
        <v>93</v>
      </c>
      <c r="F41" s="15" t="s">
        <v>22</v>
      </c>
      <c r="G41" s="15" t="s">
        <v>29</v>
      </c>
      <c r="H41" s="15" t="s">
        <v>39</v>
      </c>
      <c r="I41" s="16">
        <v>-2.25</v>
      </c>
      <c r="J41" s="16">
        <v>0.3</v>
      </c>
      <c r="K41" s="16">
        <v>0.3</v>
      </c>
      <c r="L41" s="17">
        <v>45690.0</v>
      </c>
      <c r="M41" s="18">
        <v>2.025</v>
      </c>
      <c r="N41" s="15" t="s">
        <v>25</v>
      </c>
      <c r="O41" s="19">
        <f t="shared" si="1"/>
        <v>-0.3</v>
      </c>
      <c r="P41" s="19">
        <f t="shared" si="4"/>
        <v>-0.03595238095</v>
      </c>
      <c r="R41" s="30"/>
    </row>
    <row r="42">
      <c r="A42" s="8">
        <f t="shared" si="3"/>
        <v>41</v>
      </c>
      <c r="B42" s="31" t="s">
        <v>35</v>
      </c>
      <c r="C42" s="32" t="s">
        <v>19</v>
      </c>
      <c r="D42" s="32" t="s">
        <v>104</v>
      </c>
      <c r="E42" s="32" t="s">
        <v>93</v>
      </c>
      <c r="F42" s="8" t="s">
        <v>22</v>
      </c>
      <c r="G42" s="8" t="s">
        <v>29</v>
      </c>
      <c r="H42" s="8" t="s">
        <v>39</v>
      </c>
      <c r="I42" s="33">
        <v>-1.0</v>
      </c>
      <c r="J42" s="33">
        <v>0.7</v>
      </c>
      <c r="K42" s="33">
        <v>0.7</v>
      </c>
      <c r="L42" s="34">
        <v>45690.0</v>
      </c>
      <c r="M42" s="35">
        <v>1.875</v>
      </c>
      <c r="N42" s="8" t="s">
        <v>33</v>
      </c>
      <c r="O42" s="12">
        <f t="shared" si="1"/>
        <v>0.6125</v>
      </c>
      <c r="P42" s="12">
        <f t="shared" si="4"/>
        <v>0.576547619</v>
      </c>
      <c r="R42" s="30"/>
    </row>
    <row r="43">
      <c r="A43" s="15">
        <f t="shared" si="3"/>
        <v>42</v>
      </c>
      <c r="B43" s="36" t="s">
        <v>26</v>
      </c>
      <c r="C43" s="37" t="s">
        <v>40</v>
      </c>
      <c r="D43" s="37" t="s">
        <v>105</v>
      </c>
      <c r="E43" s="37" t="s">
        <v>106</v>
      </c>
      <c r="F43" s="15" t="s">
        <v>22</v>
      </c>
      <c r="G43" s="15" t="s">
        <v>29</v>
      </c>
      <c r="H43" s="15" t="s">
        <v>24</v>
      </c>
      <c r="I43" s="24">
        <v>-3.0</v>
      </c>
      <c r="J43" s="24">
        <v>1.0</v>
      </c>
      <c r="K43" s="24">
        <v>1.0</v>
      </c>
      <c r="L43" s="38">
        <v>45690.0</v>
      </c>
      <c r="M43" s="39">
        <v>1.95</v>
      </c>
      <c r="N43" s="15" t="s">
        <v>25</v>
      </c>
      <c r="O43" s="19">
        <f t="shared" si="1"/>
        <v>-1</v>
      </c>
      <c r="P43" s="19">
        <f t="shared" si="4"/>
        <v>-0.423452381</v>
      </c>
      <c r="R43" s="30"/>
    </row>
    <row r="44">
      <c r="A44" s="8">
        <f t="shared" si="3"/>
        <v>43</v>
      </c>
      <c r="B44" s="31" t="s">
        <v>26</v>
      </c>
      <c r="C44" s="32" t="s">
        <v>40</v>
      </c>
      <c r="D44" s="32" t="s">
        <v>107</v>
      </c>
      <c r="E44" s="8" t="s">
        <v>48</v>
      </c>
      <c r="F44" s="8" t="s">
        <v>22</v>
      </c>
      <c r="G44" s="8" t="s">
        <v>29</v>
      </c>
      <c r="H44" s="8" t="s">
        <v>39</v>
      </c>
      <c r="I44" s="33">
        <v>-1.25</v>
      </c>
      <c r="J44" s="33">
        <v>0.3</v>
      </c>
      <c r="K44" s="33">
        <v>0.3</v>
      </c>
      <c r="L44" s="34">
        <v>45690.0</v>
      </c>
      <c r="M44" s="35">
        <v>2.05</v>
      </c>
      <c r="N44" s="8" t="s">
        <v>30</v>
      </c>
      <c r="O44" s="12">
        <f t="shared" si="1"/>
        <v>0.1575</v>
      </c>
      <c r="P44" s="12">
        <f t="shared" si="4"/>
        <v>-0.265952381</v>
      </c>
      <c r="R44" s="30"/>
    </row>
    <row r="45">
      <c r="A45" s="15">
        <f t="shared" si="3"/>
        <v>44</v>
      </c>
      <c r="B45" s="15" t="s">
        <v>18</v>
      </c>
      <c r="C45" s="15" t="s">
        <v>19</v>
      </c>
      <c r="D45" s="15" t="s">
        <v>108</v>
      </c>
      <c r="E45" s="15" t="s">
        <v>109</v>
      </c>
      <c r="F45" s="15" t="s">
        <v>22</v>
      </c>
      <c r="G45" s="15" t="s">
        <v>23</v>
      </c>
      <c r="H45" s="15" t="s">
        <v>24</v>
      </c>
      <c r="I45" s="16">
        <v>-11.5</v>
      </c>
      <c r="J45" s="16">
        <v>0.3</v>
      </c>
      <c r="K45" s="16">
        <v>0.3</v>
      </c>
      <c r="L45" s="38">
        <v>45690.0</v>
      </c>
      <c r="M45" s="18">
        <v>1.8</v>
      </c>
      <c r="N45" s="15" t="s">
        <v>33</v>
      </c>
      <c r="O45" s="19">
        <f t="shared" si="1"/>
        <v>0.24</v>
      </c>
      <c r="P45" s="19">
        <f t="shared" si="4"/>
        <v>-0.02595238095</v>
      </c>
      <c r="R45" s="30"/>
    </row>
    <row r="46">
      <c r="A46" s="8">
        <f t="shared" si="3"/>
        <v>45</v>
      </c>
      <c r="B46" s="8" t="s">
        <v>35</v>
      </c>
      <c r="C46" s="8" t="s">
        <v>40</v>
      </c>
      <c r="D46" s="8" t="s">
        <v>110</v>
      </c>
      <c r="E46" s="8" t="s">
        <v>48</v>
      </c>
      <c r="F46" s="8" t="s">
        <v>22</v>
      </c>
      <c r="G46" s="8" t="s">
        <v>29</v>
      </c>
      <c r="H46" s="8" t="s">
        <v>39</v>
      </c>
      <c r="I46" s="9">
        <v>-1.0</v>
      </c>
      <c r="J46" s="9">
        <v>0.7</v>
      </c>
      <c r="K46" s="9">
        <v>0.7</v>
      </c>
      <c r="L46" s="34">
        <v>45690.0</v>
      </c>
      <c r="M46" s="11">
        <v>1.775</v>
      </c>
      <c r="N46" s="8" t="s">
        <v>70</v>
      </c>
      <c r="O46" s="12">
        <f t="shared" si="1"/>
        <v>0</v>
      </c>
      <c r="P46" s="12">
        <f t="shared" si="4"/>
        <v>-0.02595238095</v>
      </c>
      <c r="R46" s="30"/>
    </row>
    <row r="47">
      <c r="A47" s="15">
        <f t="shared" si="3"/>
        <v>46</v>
      </c>
      <c r="B47" s="15" t="s">
        <v>26</v>
      </c>
      <c r="C47" s="15" t="s">
        <v>40</v>
      </c>
      <c r="D47" s="15" t="s">
        <v>111</v>
      </c>
      <c r="E47" s="15" t="s">
        <v>38</v>
      </c>
      <c r="F47" s="15" t="s">
        <v>22</v>
      </c>
      <c r="G47" s="15" t="s">
        <v>29</v>
      </c>
      <c r="H47" s="15" t="s">
        <v>39</v>
      </c>
      <c r="I47" s="16">
        <v>-3.75</v>
      </c>
      <c r="J47" s="16">
        <v>1.0</v>
      </c>
      <c r="K47" s="16">
        <v>1.0</v>
      </c>
      <c r="L47" s="38">
        <v>45690.0</v>
      </c>
      <c r="M47" s="18">
        <v>1.95</v>
      </c>
      <c r="N47" s="15" t="s">
        <v>33</v>
      </c>
      <c r="O47" s="19">
        <f t="shared" si="1"/>
        <v>0.95</v>
      </c>
      <c r="P47" s="19">
        <f t="shared" si="4"/>
        <v>0.924047619</v>
      </c>
      <c r="R47" s="30"/>
    </row>
    <row r="48">
      <c r="A48" s="8">
        <f t="shared" si="3"/>
        <v>47</v>
      </c>
      <c r="B48" s="8" t="s">
        <v>18</v>
      </c>
      <c r="C48" s="8" t="s">
        <v>19</v>
      </c>
      <c r="D48" s="8" t="s">
        <v>112</v>
      </c>
      <c r="E48" s="8" t="s">
        <v>38</v>
      </c>
      <c r="F48" s="8" t="s">
        <v>22</v>
      </c>
      <c r="G48" s="8" t="s">
        <v>23</v>
      </c>
      <c r="H48" s="8" t="s">
        <v>39</v>
      </c>
      <c r="I48" s="9">
        <v>-11.5</v>
      </c>
      <c r="J48" s="9">
        <v>0.3</v>
      </c>
      <c r="K48" s="9">
        <v>0.3</v>
      </c>
      <c r="L48" s="34">
        <v>45690.0</v>
      </c>
      <c r="M48" s="11">
        <v>1.95</v>
      </c>
      <c r="N48" s="8" t="s">
        <v>25</v>
      </c>
      <c r="O48" s="12">
        <f t="shared" si="1"/>
        <v>-0.3</v>
      </c>
      <c r="P48" s="12">
        <f t="shared" si="4"/>
        <v>0.624047619</v>
      </c>
      <c r="R48" s="30"/>
    </row>
    <row r="49">
      <c r="A49" s="15">
        <f t="shared" si="3"/>
        <v>48</v>
      </c>
      <c r="B49" s="15" t="s">
        <v>35</v>
      </c>
      <c r="C49" s="15" t="s">
        <v>19</v>
      </c>
      <c r="D49" s="15" t="s">
        <v>113</v>
      </c>
      <c r="E49" s="15" t="s">
        <v>28</v>
      </c>
      <c r="F49" s="15" t="s">
        <v>22</v>
      </c>
      <c r="G49" s="15" t="s">
        <v>29</v>
      </c>
      <c r="H49" s="15" t="s">
        <v>24</v>
      </c>
      <c r="I49" s="16">
        <v>-2.5</v>
      </c>
      <c r="J49" s="16">
        <v>1.0</v>
      </c>
      <c r="K49" s="16">
        <v>1.0</v>
      </c>
      <c r="L49" s="38">
        <v>45690.0</v>
      </c>
      <c r="M49" s="18">
        <v>2.025</v>
      </c>
      <c r="N49" s="15" t="s">
        <v>33</v>
      </c>
      <c r="O49" s="19">
        <f t="shared" si="1"/>
        <v>1.025</v>
      </c>
      <c r="P49" s="19">
        <f t="shared" si="4"/>
        <v>1.649047619</v>
      </c>
      <c r="R49" s="30"/>
    </row>
    <row r="50">
      <c r="A50" s="8">
        <f t="shared" si="3"/>
        <v>49</v>
      </c>
      <c r="B50" s="8" t="s">
        <v>35</v>
      </c>
      <c r="C50" s="8" t="s">
        <v>19</v>
      </c>
      <c r="D50" s="8" t="s">
        <v>114</v>
      </c>
      <c r="E50" s="8" t="s">
        <v>115</v>
      </c>
      <c r="F50" s="8" t="s">
        <v>22</v>
      </c>
      <c r="G50" s="8" t="s">
        <v>29</v>
      </c>
      <c r="H50" s="8" t="s">
        <v>39</v>
      </c>
      <c r="I50" s="9">
        <v>-0.75</v>
      </c>
      <c r="J50" s="9">
        <v>0.7</v>
      </c>
      <c r="K50" s="9">
        <v>0.7</v>
      </c>
      <c r="L50" s="34">
        <v>45690.0</v>
      </c>
      <c r="M50" s="11">
        <v>1.85</v>
      </c>
      <c r="N50" s="8" t="s">
        <v>79</v>
      </c>
      <c r="O50" s="12">
        <f t="shared" si="1"/>
        <v>-0.35</v>
      </c>
      <c r="P50" s="12">
        <f t="shared" si="4"/>
        <v>1.299047619</v>
      </c>
    </row>
    <row r="51">
      <c r="A51" s="15">
        <f t="shared" si="3"/>
        <v>50</v>
      </c>
      <c r="B51" s="15" t="s">
        <v>26</v>
      </c>
      <c r="C51" s="15" t="s">
        <v>19</v>
      </c>
      <c r="D51" s="15" t="s">
        <v>116</v>
      </c>
      <c r="E51" s="15" t="s">
        <v>117</v>
      </c>
      <c r="F51" s="15" t="s">
        <v>22</v>
      </c>
      <c r="G51" s="15" t="s">
        <v>29</v>
      </c>
      <c r="H51" s="15" t="s">
        <v>39</v>
      </c>
      <c r="I51" s="16">
        <v>-3.0</v>
      </c>
      <c r="J51" s="16">
        <v>1.0</v>
      </c>
      <c r="K51" s="16">
        <v>1.0</v>
      </c>
      <c r="L51" s="38">
        <v>45690.0</v>
      </c>
      <c r="M51" s="18">
        <v>1.85</v>
      </c>
      <c r="N51" s="15" t="s">
        <v>33</v>
      </c>
      <c r="O51" s="19">
        <f t="shared" si="1"/>
        <v>0.85</v>
      </c>
      <c r="P51" s="19">
        <f t="shared" si="4"/>
        <v>2.149047619</v>
      </c>
    </row>
    <row r="52">
      <c r="A52" s="8">
        <f t="shared" si="3"/>
        <v>51</v>
      </c>
      <c r="B52" s="8" t="s">
        <v>26</v>
      </c>
      <c r="C52" s="8" t="s">
        <v>19</v>
      </c>
      <c r="D52" s="8" t="s">
        <v>118</v>
      </c>
      <c r="E52" s="8" t="s">
        <v>66</v>
      </c>
      <c r="F52" s="8" t="s">
        <v>22</v>
      </c>
      <c r="G52" s="8" t="s">
        <v>29</v>
      </c>
      <c r="H52" s="8" t="s">
        <v>39</v>
      </c>
      <c r="I52" s="9">
        <v>-3.25</v>
      </c>
      <c r="J52" s="9">
        <v>1.0</v>
      </c>
      <c r="K52" s="9">
        <v>1.0</v>
      </c>
      <c r="L52" s="34">
        <v>45690.0</v>
      </c>
      <c r="M52" s="11">
        <v>1.9</v>
      </c>
      <c r="N52" s="8" t="s">
        <v>33</v>
      </c>
      <c r="O52" s="12">
        <f t="shared" si="1"/>
        <v>0.9</v>
      </c>
      <c r="P52" s="12">
        <f t="shared" si="4"/>
        <v>3.049047619</v>
      </c>
    </row>
    <row r="53">
      <c r="A53" s="15">
        <f t="shared" si="3"/>
        <v>52</v>
      </c>
      <c r="B53" s="15" t="s">
        <v>18</v>
      </c>
      <c r="C53" s="15" t="s">
        <v>19</v>
      </c>
      <c r="D53" s="15" t="s">
        <v>119</v>
      </c>
      <c r="E53" s="15" t="s">
        <v>66</v>
      </c>
      <c r="F53" s="15" t="s">
        <v>22</v>
      </c>
      <c r="G53" s="15" t="s">
        <v>23</v>
      </c>
      <c r="H53" s="15"/>
      <c r="I53" s="16">
        <v>-10.0</v>
      </c>
      <c r="J53" s="16">
        <v>0.3</v>
      </c>
      <c r="K53" s="16">
        <v>0.3</v>
      </c>
      <c r="L53" s="38">
        <v>45690.0</v>
      </c>
      <c r="M53" s="18">
        <v>2.0</v>
      </c>
      <c r="N53" s="15" t="s">
        <v>33</v>
      </c>
      <c r="O53" s="19">
        <f t="shared" si="1"/>
        <v>0.3</v>
      </c>
      <c r="P53" s="19">
        <f t="shared" si="4"/>
        <v>3.349047619</v>
      </c>
    </row>
    <row r="54">
      <c r="A54" s="8">
        <f t="shared" si="3"/>
        <v>53</v>
      </c>
      <c r="B54" s="8" t="s">
        <v>26</v>
      </c>
      <c r="C54" s="8" t="s">
        <v>19</v>
      </c>
      <c r="D54" s="8" t="s">
        <v>120</v>
      </c>
      <c r="E54" s="8" t="s">
        <v>121</v>
      </c>
      <c r="F54" s="8" t="s">
        <v>22</v>
      </c>
      <c r="G54" s="8" t="s">
        <v>29</v>
      </c>
      <c r="H54" s="8" t="s">
        <v>39</v>
      </c>
      <c r="I54" s="9">
        <v>-1.25</v>
      </c>
      <c r="J54" s="9">
        <v>0.3</v>
      </c>
      <c r="K54" s="9">
        <v>0.3</v>
      </c>
      <c r="L54" s="34">
        <v>45690.0</v>
      </c>
      <c r="M54" s="11">
        <v>1.875</v>
      </c>
      <c r="N54" s="8" t="s">
        <v>25</v>
      </c>
      <c r="O54" s="12">
        <f t="shared" si="1"/>
        <v>-0.3</v>
      </c>
      <c r="P54" s="12">
        <f t="shared" si="4"/>
        <v>3.049047619</v>
      </c>
    </row>
    <row r="55">
      <c r="A55" s="15">
        <f t="shared" si="3"/>
        <v>54</v>
      </c>
      <c r="B55" s="15" t="s">
        <v>26</v>
      </c>
      <c r="C55" s="15" t="s">
        <v>19</v>
      </c>
      <c r="D55" s="15" t="s">
        <v>122</v>
      </c>
      <c r="E55" s="15" t="s">
        <v>66</v>
      </c>
      <c r="F55" s="15" t="s">
        <v>22</v>
      </c>
      <c r="G55" s="15" t="s">
        <v>29</v>
      </c>
      <c r="H55" s="15" t="s">
        <v>39</v>
      </c>
      <c r="I55" s="16">
        <v>-0.75</v>
      </c>
      <c r="J55" s="16">
        <v>0.3</v>
      </c>
      <c r="K55" s="16">
        <v>0.3</v>
      </c>
      <c r="L55" s="38">
        <v>45690.0</v>
      </c>
      <c r="M55" s="18">
        <v>2.1</v>
      </c>
      <c r="N55" s="15" t="s">
        <v>25</v>
      </c>
      <c r="O55" s="19">
        <f t="shared" si="1"/>
        <v>-0.3</v>
      </c>
      <c r="P55" s="19">
        <f t="shared" si="4"/>
        <v>2.749047619</v>
      </c>
    </row>
    <row r="56">
      <c r="A56" s="8">
        <f t="shared" si="3"/>
        <v>55</v>
      </c>
      <c r="B56" s="8" t="s">
        <v>26</v>
      </c>
      <c r="C56" s="8" t="s">
        <v>19</v>
      </c>
      <c r="D56" s="8" t="s">
        <v>123</v>
      </c>
      <c r="E56" s="8" t="s">
        <v>124</v>
      </c>
      <c r="F56" s="8" t="s">
        <v>22</v>
      </c>
      <c r="G56" s="8" t="s">
        <v>29</v>
      </c>
      <c r="H56" s="8" t="s">
        <v>24</v>
      </c>
      <c r="I56" s="9">
        <v>-1.0</v>
      </c>
      <c r="J56" s="9">
        <v>0.3</v>
      </c>
      <c r="K56" s="9">
        <v>0.3</v>
      </c>
      <c r="L56" s="34">
        <v>45690.0</v>
      </c>
      <c r="M56" s="11">
        <v>2.025</v>
      </c>
      <c r="N56" s="8" t="s">
        <v>70</v>
      </c>
      <c r="O56" s="12">
        <f t="shared" si="1"/>
        <v>0</v>
      </c>
      <c r="P56" s="12">
        <f t="shared" si="4"/>
        <v>2.749047619</v>
      </c>
      <c r="Q56" s="40"/>
      <c r="R56" s="41" t="s">
        <v>125</v>
      </c>
      <c r="S56" s="41" t="s">
        <v>126</v>
      </c>
      <c r="T56" s="41" t="s">
        <v>45</v>
      </c>
    </row>
    <row r="57">
      <c r="A57" s="15">
        <f t="shared" si="3"/>
        <v>56</v>
      </c>
      <c r="B57" s="15" t="s">
        <v>35</v>
      </c>
      <c r="C57" s="42" t="s">
        <v>19</v>
      </c>
      <c r="D57" s="42" t="s">
        <v>127</v>
      </c>
      <c r="E57" s="15" t="s">
        <v>93</v>
      </c>
      <c r="F57" s="15" t="s">
        <v>22</v>
      </c>
      <c r="G57" s="15" t="s">
        <v>29</v>
      </c>
      <c r="H57" s="15" t="s">
        <v>24</v>
      </c>
      <c r="I57" s="43">
        <v>-0.75</v>
      </c>
      <c r="J57" s="43">
        <v>1.0</v>
      </c>
      <c r="K57" s="43">
        <v>1.0</v>
      </c>
      <c r="L57" s="38">
        <v>45690.0</v>
      </c>
      <c r="M57" s="44">
        <v>2.05</v>
      </c>
      <c r="N57" s="15" t="s">
        <v>33</v>
      </c>
      <c r="O57" s="19">
        <f t="shared" si="1"/>
        <v>1.05</v>
      </c>
      <c r="P57" s="19">
        <f t="shared" si="4"/>
        <v>3.799047619</v>
      </c>
      <c r="Q57" s="41" t="s">
        <v>18</v>
      </c>
      <c r="R57" s="45">
        <f t="shared" ref="R57:R63" si="5">SUMIF($B$2:$B$2990,Q57,$O$2:$O$2990)</f>
        <v>-1.18772</v>
      </c>
      <c r="S57" s="45">
        <f t="shared" ref="S57:S63" si="6">SUMIF($B$2:$B$2990,Q57,$K$2:$K$2990)</f>
        <v>7.1258</v>
      </c>
      <c r="T57" s="46">
        <f t="shared" ref="T57:T63" si="7">R57/S57</f>
        <v>-0.166678829</v>
      </c>
    </row>
    <row r="58">
      <c r="A58" s="8">
        <f t="shared" si="3"/>
        <v>57</v>
      </c>
      <c r="B58" s="8" t="s">
        <v>26</v>
      </c>
      <c r="C58" s="8" t="s">
        <v>19</v>
      </c>
      <c r="D58" s="47" t="s">
        <v>128</v>
      </c>
      <c r="E58" s="8" t="s">
        <v>93</v>
      </c>
      <c r="F58" s="8" t="s">
        <v>22</v>
      </c>
      <c r="G58" s="8" t="s">
        <v>29</v>
      </c>
      <c r="H58" s="8"/>
      <c r="I58" s="26">
        <v>-1.0</v>
      </c>
      <c r="J58" s="26">
        <v>0.3</v>
      </c>
      <c r="K58" s="26">
        <v>0.3</v>
      </c>
      <c r="L58" s="34">
        <v>45690.0</v>
      </c>
      <c r="M58" s="11">
        <v>1.975</v>
      </c>
      <c r="N58" s="8" t="s">
        <v>25</v>
      </c>
      <c r="O58" s="12">
        <f t="shared" si="1"/>
        <v>-0.3</v>
      </c>
      <c r="P58" s="12">
        <f t="shared" si="4"/>
        <v>3.499047619</v>
      </c>
      <c r="Q58" s="41" t="s">
        <v>129</v>
      </c>
      <c r="R58" s="45">
        <f t="shared" si="5"/>
        <v>0</v>
      </c>
      <c r="S58" s="45">
        <f t="shared" si="6"/>
        <v>0</v>
      </c>
      <c r="T58" s="46" t="str">
        <f t="shared" si="7"/>
        <v>#DIV/0!</v>
      </c>
    </row>
    <row r="59">
      <c r="A59" s="15">
        <f t="shared" si="3"/>
        <v>58</v>
      </c>
      <c r="B59" s="15" t="s">
        <v>26</v>
      </c>
      <c r="C59" s="15" t="s">
        <v>19</v>
      </c>
      <c r="D59" s="42" t="s">
        <v>130</v>
      </c>
      <c r="E59" s="15" t="s">
        <v>93</v>
      </c>
      <c r="F59" s="15" t="s">
        <v>22</v>
      </c>
      <c r="G59" s="15" t="s">
        <v>29</v>
      </c>
      <c r="H59" s="15" t="s">
        <v>39</v>
      </c>
      <c r="I59" s="16">
        <v>-0.75</v>
      </c>
      <c r="J59" s="43">
        <v>0.3</v>
      </c>
      <c r="K59" s="43">
        <v>0.3</v>
      </c>
      <c r="L59" s="38">
        <v>45690.0</v>
      </c>
      <c r="M59" s="18">
        <v>2.1</v>
      </c>
      <c r="N59" s="15" t="s">
        <v>25</v>
      </c>
      <c r="O59" s="19">
        <f t="shared" si="1"/>
        <v>-0.3</v>
      </c>
      <c r="P59" s="19">
        <f t="shared" si="4"/>
        <v>3.199047619</v>
      </c>
      <c r="Q59" s="41" t="s">
        <v>131</v>
      </c>
      <c r="R59" s="45">
        <f t="shared" si="5"/>
        <v>0</v>
      </c>
      <c r="S59" s="45">
        <f t="shared" si="6"/>
        <v>0</v>
      </c>
      <c r="T59" s="46" t="str">
        <f t="shared" si="7"/>
        <v>#DIV/0!</v>
      </c>
    </row>
    <row r="60">
      <c r="A60" s="8">
        <f t="shared" si="3"/>
        <v>59</v>
      </c>
      <c r="B60" s="8" t="s">
        <v>26</v>
      </c>
      <c r="C60" s="8" t="s">
        <v>19</v>
      </c>
      <c r="D60" s="8" t="s">
        <v>132</v>
      </c>
      <c r="E60" s="8" t="s">
        <v>93</v>
      </c>
      <c r="F60" s="8" t="s">
        <v>22</v>
      </c>
      <c r="G60" s="8" t="s">
        <v>29</v>
      </c>
      <c r="H60" s="8" t="s">
        <v>39</v>
      </c>
      <c r="I60" s="9">
        <v>-1.25</v>
      </c>
      <c r="J60" s="9">
        <v>0.3</v>
      </c>
      <c r="K60" s="9">
        <v>0.3</v>
      </c>
      <c r="L60" s="34">
        <v>45690.0</v>
      </c>
      <c r="M60" s="11">
        <v>1.725</v>
      </c>
      <c r="N60" s="8" t="s">
        <v>25</v>
      </c>
      <c r="O60" s="12">
        <f t="shared" si="1"/>
        <v>-0.3</v>
      </c>
      <c r="P60" s="12">
        <f t="shared" si="4"/>
        <v>2.899047619</v>
      </c>
      <c r="Q60" s="41" t="s">
        <v>26</v>
      </c>
      <c r="R60" s="45">
        <f t="shared" si="5"/>
        <v>0.5207433333</v>
      </c>
      <c r="S60" s="45">
        <f t="shared" si="6"/>
        <v>35.12085926</v>
      </c>
      <c r="T60" s="46">
        <f t="shared" si="7"/>
        <v>0.01482718089</v>
      </c>
    </row>
    <row r="61">
      <c r="A61" s="15">
        <f t="shared" si="3"/>
        <v>60</v>
      </c>
      <c r="B61" s="15" t="s">
        <v>26</v>
      </c>
      <c r="C61" s="15" t="s">
        <v>19</v>
      </c>
      <c r="D61" s="15" t="s">
        <v>133</v>
      </c>
      <c r="E61" s="15" t="s">
        <v>93</v>
      </c>
      <c r="F61" s="15" t="s">
        <v>22</v>
      </c>
      <c r="G61" s="15" t="s">
        <v>29</v>
      </c>
      <c r="H61" s="15" t="s">
        <v>39</v>
      </c>
      <c r="I61" s="16">
        <v>-2.75</v>
      </c>
      <c r="J61" s="16">
        <v>1.0</v>
      </c>
      <c r="K61" s="16">
        <v>1.0</v>
      </c>
      <c r="L61" s="38">
        <v>45690.0</v>
      </c>
      <c r="M61" s="18">
        <v>1.775</v>
      </c>
      <c r="N61" s="15" t="s">
        <v>33</v>
      </c>
      <c r="O61" s="19">
        <f t="shared" si="1"/>
        <v>0.775</v>
      </c>
      <c r="P61" s="19">
        <f t="shared" si="4"/>
        <v>3.674047619</v>
      </c>
      <c r="Q61" s="41" t="s">
        <v>35</v>
      </c>
      <c r="R61" s="45">
        <f t="shared" si="5"/>
        <v>3.517664286</v>
      </c>
      <c r="S61" s="45">
        <f t="shared" si="6"/>
        <v>31.84447143</v>
      </c>
      <c r="T61" s="46">
        <f t="shared" si="7"/>
        <v>0.110463893</v>
      </c>
    </row>
    <row r="62">
      <c r="A62" s="8">
        <f t="shared" si="3"/>
        <v>61</v>
      </c>
      <c r="B62" s="8" t="s">
        <v>26</v>
      </c>
      <c r="C62" s="8" t="s">
        <v>19</v>
      </c>
      <c r="D62" s="8" t="s">
        <v>134</v>
      </c>
      <c r="E62" s="8" t="s">
        <v>50</v>
      </c>
      <c r="F62" s="8" t="s">
        <v>22</v>
      </c>
      <c r="G62" s="8" t="s">
        <v>29</v>
      </c>
      <c r="H62" s="8" t="s">
        <v>39</v>
      </c>
      <c r="I62" s="9">
        <v>-1.25</v>
      </c>
      <c r="J62" s="9">
        <v>0.3</v>
      </c>
      <c r="K62" s="9">
        <v>0.3</v>
      </c>
      <c r="L62" s="34">
        <v>45690.0</v>
      </c>
      <c r="M62" s="11">
        <v>1.775</v>
      </c>
      <c r="N62" s="8" t="s">
        <v>25</v>
      </c>
      <c r="O62" s="12">
        <f t="shared" si="1"/>
        <v>-0.3</v>
      </c>
      <c r="P62" s="12">
        <f t="shared" si="4"/>
        <v>3.374047619</v>
      </c>
      <c r="Q62" s="41" t="s">
        <v>135</v>
      </c>
      <c r="R62" s="45">
        <f t="shared" si="5"/>
        <v>0</v>
      </c>
      <c r="S62" s="45">
        <f t="shared" si="6"/>
        <v>0</v>
      </c>
      <c r="T62" s="46" t="str">
        <f t="shared" si="7"/>
        <v>#DIV/0!</v>
      </c>
    </row>
    <row r="63">
      <c r="A63" s="15">
        <f t="shared" si="3"/>
        <v>62</v>
      </c>
      <c r="B63" s="15" t="s">
        <v>26</v>
      </c>
      <c r="C63" s="15" t="s">
        <v>19</v>
      </c>
      <c r="D63" s="42" t="s">
        <v>136</v>
      </c>
      <c r="E63" s="15" t="s">
        <v>93</v>
      </c>
      <c r="F63" s="15" t="s">
        <v>22</v>
      </c>
      <c r="G63" s="15" t="s">
        <v>29</v>
      </c>
      <c r="H63" s="15" t="s">
        <v>39</v>
      </c>
      <c r="I63" s="16">
        <v>-1.25</v>
      </c>
      <c r="J63" s="16">
        <v>0.3</v>
      </c>
      <c r="K63" s="16">
        <v>0.3</v>
      </c>
      <c r="L63" s="38">
        <v>45690.0</v>
      </c>
      <c r="M63" s="18">
        <v>1.925</v>
      </c>
      <c r="N63" s="15" t="s">
        <v>25</v>
      </c>
      <c r="O63" s="19">
        <f t="shared" si="1"/>
        <v>-0.3</v>
      </c>
      <c r="P63" s="19">
        <f t="shared" si="4"/>
        <v>3.074047619</v>
      </c>
      <c r="Q63" s="41" t="s">
        <v>137</v>
      </c>
      <c r="R63" s="45">
        <f t="shared" si="5"/>
        <v>0</v>
      </c>
      <c r="S63" s="45">
        <f t="shared" si="6"/>
        <v>0</v>
      </c>
      <c r="T63" s="46" t="str">
        <f t="shared" si="7"/>
        <v>#DIV/0!</v>
      </c>
    </row>
    <row r="64">
      <c r="A64" s="8">
        <f t="shared" si="3"/>
        <v>63</v>
      </c>
      <c r="B64" s="8" t="s">
        <v>35</v>
      </c>
      <c r="C64" s="8" t="s">
        <v>19</v>
      </c>
      <c r="D64" s="47" t="s">
        <v>138</v>
      </c>
      <c r="E64" s="8" t="s">
        <v>93</v>
      </c>
      <c r="F64" s="8" t="s">
        <v>22</v>
      </c>
      <c r="G64" s="8" t="s">
        <v>29</v>
      </c>
      <c r="H64" s="8" t="s">
        <v>39</v>
      </c>
      <c r="I64" s="9">
        <v>-0.75</v>
      </c>
      <c r="J64" s="9">
        <v>0.7</v>
      </c>
      <c r="K64" s="9">
        <v>0.7</v>
      </c>
      <c r="L64" s="34">
        <v>45690.0</v>
      </c>
      <c r="M64" s="11">
        <v>2.1</v>
      </c>
      <c r="N64" s="8" t="s">
        <v>25</v>
      </c>
      <c r="O64" s="12">
        <f t="shared" si="1"/>
        <v>-0.7</v>
      </c>
      <c r="P64" s="48">
        <f t="shared" si="4"/>
        <v>2.374047619</v>
      </c>
    </row>
    <row r="65">
      <c r="A65" s="15">
        <f t="shared" si="3"/>
        <v>64</v>
      </c>
      <c r="B65" s="15" t="s">
        <v>18</v>
      </c>
      <c r="C65" s="15" t="s">
        <v>19</v>
      </c>
      <c r="D65" s="42" t="s">
        <v>139</v>
      </c>
      <c r="E65" s="15" t="s">
        <v>82</v>
      </c>
      <c r="F65" s="15" t="s">
        <v>22</v>
      </c>
      <c r="G65" s="15" t="s">
        <v>23</v>
      </c>
      <c r="H65" s="15" t="s">
        <v>24</v>
      </c>
      <c r="I65" s="43">
        <v>-11.5</v>
      </c>
      <c r="J65" s="16">
        <v>0.3</v>
      </c>
      <c r="K65" s="16">
        <v>0.3</v>
      </c>
      <c r="L65" s="38">
        <v>45690.0</v>
      </c>
      <c r="M65" s="18">
        <v>1.9</v>
      </c>
      <c r="N65" s="15" t="s">
        <v>33</v>
      </c>
      <c r="O65" s="19">
        <f t="shared" si="1"/>
        <v>0.27</v>
      </c>
      <c r="P65" s="49">
        <f t="shared" si="4"/>
        <v>2.644047619</v>
      </c>
      <c r="Q65" s="50"/>
      <c r="R65" s="50"/>
    </row>
    <row r="66">
      <c r="A66" s="8">
        <f t="shared" si="3"/>
        <v>65</v>
      </c>
      <c r="B66" s="8" t="s">
        <v>18</v>
      </c>
      <c r="C66" s="8" t="s">
        <v>19</v>
      </c>
      <c r="D66" s="47" t="s">
        <v>140</v>
      </c>
      <c r="E66" s="8" t="s">
        <v>82</v>
      </c>
      <c r="F66" s="8" t="s">
        <v>22</v>
      </c>
      <c r="G66" s="8" t="s">
        <v>23</v>
      </c>
      <c r="H66" s="8" t="s">
        <v>24</v>
      </c>
      <c r="I66" s="26">
        <v>-11.0</v>
      </c>
      <c r="J66" s="9">
        <v>0.3</v>
      </c>
      <c r="K66" s="9">
        <v>0.3</v>
      </c>
      <c r="L66" s="34">
        <v>45690.0</v>
      </c>
      <c r="M66" s="11">
        <v>1.825</v>
      </c>
      <c r="N66" s="8" t="s">
        <v>25</v>
      </c>
      <c r="O66" s="12">
        <f t="shared" si="1"/>
        <v>-0.3</v>
      </c>
      <c r="P66" s="48">
        <f t="shared" si="4"/>
        <v>2.344047619</v>
      </c>
      <c r="Q66" s="51"/>
      <c r="R66" s="52"/>
    </row>
    <row r="67">
      <c r="A67" s="15">
        <f t="shared" si="3"/>
        <v>66</v>
      </c>
      <c r="B67" s="15" t="s">
        <v>18</v>
      </c>
      <c r="C67" s="15" t="s">
        <v>19</v>
      </c>
      <c r="D67" s="42" t="s">
        <v>141</v>
      </c>
      <c r="E67" s="15" t="s">
        <v>82</v>
      </c>
      <c r="F67" s="15" t="s">
        <v>22</v>
      </c>
      <c r="G67" s="15" t="s">
        <v>23</v>
      </c>
      <c r="H67" s="15" t="s">
        <v>24</v>
      </c>
      <c r="I67" s="43">
        <v>-11.0</v>
      </c>
      <c r="J67" s="16">
        <v>0.3</v>
      </c>
      <c r="K67" s="16">
        <v>0.3</v>
      </c>
      <c r="L67" s="38">
        <v>45690.0</v>
      </c>
      <c r="M67" s="18">
        <v>1.95</v>
      </c>
      <c r="N67" s="15" t="s">
        <v>33</v>
      </c>
      <c r="O67" s="19">
        <f t="shared" si="1"/>
        <v>0.285</v>
      </c>
      <c r="P67" s="49">
        <f t="shared" si="4"/>
        <v>2.629047619</v>
      </c>
      <c r="Q67" s="51"/>
      <c r="R67" s="52"/>
    </row>
    <row r="68">
      <c r="A68" s="8">
        <f t="shared" si="3"/>
        <v>67</v>
      </c>
      <c r="B68" s="8" t="s">
        <v>35</v>
      </c>
      <c r="C68" s="8" t="s">
        <v>19</v>
      </c>
      <c r="D68" s="47" t="s">
        <v>142</v>
      </c>
      <c r="E68" s="8" t="s">
        <v>28</v>
      </c>
      <c r="F68" s="8" t="s">
        <v>22</v>
      </c>
      <c r="G68" s="8" t="s">
        <v>29</v>
      </c>
      <c r="H68" s="8" t="s">
        <v>24</v>
      </c>
      <c r="I68" s="26">
        <v>-2.5</v>
      </c>
      <c r="J68" s="9">
        <v>1.0</v>
      </c>
      <c r="K68" s="9">
        <v>1.0</v>
      </c>
      <c r="L68" s="34">
        <v>45690.0</v>
      </c>
      <c r="M68" s="11">
        <v>1.875</v>
      </c>
      <c r="N68" s="8" t="s">
        <v>25</v>
      </c>
      <c r="O68" s="12">
        <f t="shared" si="1"/>
        <v>-1</v>
      </c>
      <c r="P68" s="48">
        <f t="shared" si="4"/>
        <v>1.629047619</v>
      </c>
      <c r="Q68" s="51"/>
      <c r="R68" s="52"/>
    </row>
    <row r="69">
      <c r="A69" s="15">
        <f t="shared" si="3"/>
        <v>68</v>
      </c>
      <c r="B69" s="15" t="s">
        <v>26</v>
      </c>
      <c r="C69" s="15" t="s">
        <v>40</v>
      </c>
      <c r="D69" s="42" t="s">
        <v>143</v>
      </c>
      <c r="E69" s="15" t="s">
        <v>84</v>
      </c>
      <c r="F69" s="15" t="s">
        <v>22</v>
      </c>
      <c r="G69" s="15" t="s">
        <v>29</v>
      </c>
      <c r="H69" s="15" t="s">
        <v>24</v>
      </c>
      <c r="I69" s="43">
        <v>-3.5</v>
      </c>
      <c r="J69" s="16">
        <v>1.0</v>
      </c>
      <c r="K69" s="16">
        <v>1.0</v>
      </c>
      <c r="L69" s="38">
        <v>45690.0</v>
      </c>
      <c r="M69" s="18">
        <v>1.8</v>
      </c>
      <c r="N69" s="15" t="s">
        <v>33</v>
      </c>
      <c r="O69" s="19">
        <f t="shared" si="1"/>
        <v>0.8</v>
      </c>
      <c r="P69" s="49">
        <f t="shared" si="4"/>
        <v>2.429047619</v>
      </c>
      <c r="Q69" s="51"/>
      <c r="R69" s="52"/>
    </row>
    <row r="70">
      <c r="A70" s="8">
        <f t="shared" si="3"/>
        <v>69</v>
      </c>
      <c r="B70" s="8" t="s">
        <v>35</v>
      </c>
      <c r="C70" s="8" t="s">
        <v>19</v>
      </c>
      <c r="D70" s="47" t="s">
        <v>144</v>
      </c>
      <c r="E70" s="8" t="s">
        <v>50</v>
      </c>
      <c r="F70" s="8" t="s">
        <v>22</v>
      </c>
      <c r="G70" s="8" t="s">
        <v>29</v>
      </c>
      <c r="H70" s="8" t="s">
        <v>39</v>
      </c>
      <c r="I70" s="9">
        <v>-3.0</v>
      </c>
      <c r="J70" s="9">
        <v>0.7</v>
      </c>
      <c r="K70" s="9">
        <f>0.35+0.35*11/25</f>
        <v>0.504</v>
      </c>
      <c r="L70" s="34">
        <v>45690.0</v>
      </c>
      <c r="M70" s="11">
        <v>1.975</v>
      </c>
      <c r="N70" s="8" t="s">
        <v>25</v>
      </c>
      <c r="O70" s="12">
        <f t="shared" si="1"/>
        <v>-0.504</v>
      </c>
      <c r="P70" s="48">
        <f t="shared" si="4"/>
        <v>1.925047619</v>
      </c>
      <c r="Q70" s="51"/>
      <c r="R70" s="52"/>
    </row>
    <row r="71">
      <c r="A71" s="15">
        <f t="shared" si="3"/>
        <v>70</v>
      </c>
      <c r="B71" s="15" t="s">
        <v>18</v>
      </c>
      <c r="C71" s="15" t="s">
        <v>19</v>
      </c>
      <c r="D71" s="42" t="s">
        <v>145</v>
      </c>
      <c r="E71" s="15" t="s">
        <v>82</v>
      </c>
      <c r="F71" s="15" t="s">
        <v>22</v>
      </c>
      <c r="G71" s="15" t="s">
        <v>29</v>
      </c>
      <c r="H71" s="15" t="s">
        <v>24</v>
      </c>
      <c r="I71" s="16">
        <v>-10.0</v>
      </c>
      <c r="J71" s="16">
        <v>0.3</v>
      </c>
      <c r="K71" s="16">
        <v>0.3</v>
      </c>
      <c r="L71" s="38">
        <v>45690.0</v>
      </c>
      <c r="M71" s="18">
        <v>1.8</v>
      </c>
      <c r="N71" s="15" t="s">
        <v>25</v>
      </c>
      <c r="O71" s="19">
        <f t="shared" si="1"/>
        <v>-0.3</v>
      </c>
      <c r="P71" s="49">
        <f t="shared" si="4"/>
        <v>1.625047619</v>
      </c>
      <c r="Q71" s="51"/>
      <c r="R71" s="52"/>
    </row>
    <row r="72">
      <c r="A72" s="8">
        <f t="shared" si="3"/>
        <v>71</v>
      </c>
      <c r="B72" s="8" t="s">
        <v>26</v>
      </c>
      <c r="C72" s="8" t="s">
        <v>19</v>
      </c>
      <c r="D72" s="47" t="s">
        <v>146</v>
      </c>
      <c r="E72" s="8" t="s">
        <v>147</v>
      </c>
      <c r="F72" s="8" t="s">
        <v>22</v>
      </c>
      <c r="G72" s="8" t="s">
        <v>29</v>
      </c>
      <c r="H72" s="8" t="s">
        <v>24</v>
      </c>
      <c r="I72" s="9">
        <v>-1.0</v>
      </c>
      <c r="J72" s="9">
        <v>0.3</v>
      </c>
      <c r="K72" s="9">
        <v>0.3</v>
      </c>
      <c r="L72" s="34">
        <v>45690.0</v>
      </c>
      <c r="M72" s="11">
        <v>1.8</v>
      </c>
      <c r="N72" s="8" t="s">
        <v>33</v>
      </c>
      <c r="O72" s="12">
        <f t="shared" si="1"/>
        <v>0.24</v>
      </c>
      <c r="P72" s="48">
        <f t="shared" si="4"/>
        <v>1.865047619</v>
      </c>
      <c r="Q72" s="51"/>
      <c r="R72" s="52"/>
    </row>
    <row r="73">
      <c r="A73" s="15">
        <f t="shared" si="3"/>
        <v>72</v>
      </c>
      <c r="B73" s="15" t="s">
        <v>26</v>
      </c>
      <c r="C73" s="15" t="s">
        <v>40</v>
      </c>
      <c r="D73" s="42" t="s">
        <v>148</v>
      </c>
      <c r="E73" s="15" t="s">
        <v>84</v>
      </c>
      <c r="F73" s="15" t="s">
        <v>22</v>
      </c>
      <c r="G73" s="15" t="s">
        <v>29</v>
      </c>
      <c r="H73" s="15" t="s">
        <v>24</v>
      </c>
      <c r="I73" s="24">
        <v>-1.5</v>
      </c>
      <c r="J73" s="16">
        <v>0.3</v>
      </c>
      <c r="K73" s="16">
        <v>0.3</v>
      </c>
      <c r="L73" s="38">
        <v>45690.0</v>
      </c>
      <c r="M73" s="18">
        <v>1.825</v>
      </c>
      <c r="N73" s="15" t="s">
        <v>25</v>
      </c>
      <c r="O73" s="19">
        <f t="shared" si="1"/>
        <v>-0.3</v>
      </c>
      <c r="P73" s="49">
        <f t="shared" si="4"/>
        <v>1.565047619</v>
      </c>
      <c r="Q73" s="51"/>
      <c r="R73" s="52"/>
    </row>
    <row r="74">
      <c r="A74" s="8">
        <f t="shared" si="3"/>
        <v>73</v>
      </c>
      <c r="B74" s="8" t="s">
        <v>35</v>
      </c>
      <c r="C74" s="8" t="s">
        <v>19</v>
      </c>
      <c r="D74" s="47" t="s">
        <v>149</v>
      </c>
      <c r="E74" s="32" t="s">
        <v>117</v>
      </c>
      <c r="F74" s="8" t="s">
        <v>22</v>
      </c>
      <c r="G74" s="8" t="s">
        <v>29</v>
      </c>
      <c r="H74" s="8" t="s">
        <v>39</v>
      </c>
      <c r="I74" s="33">
        <v>-1.0</v>
      </c>
      <c r="J74" s="9">
        <v>0.7</v>
      </c>
      <c r="K74" s="9">
        <v>0.7</v>
      </c>
      <c r="L74" s="34">
        <v>45690.0</v>
      </c>
      <c r="M74" s="11">
        <v>1.875</v>
      </c>
      <c r="N74" s="8" t="s">
        <v>70</v>
      </c>
      <c r="O74" s="12">
        <f t="shared" si="1"/>
        <v>0</v>
      </c>
      <c r="P74" s="48">
        <f t="shared" si="4"/>
        <v>1.565047619</v>
      </c>
      <c r="Q74" s="51"/>
      <c r="R74" s="52"/>
    </row>
    <row r="75">
      <c r="A75" s="15">
        <f t="shared" si="3"/>
        <v>74</v>
      </c>
      <c r="B75" s="36" t="s">
        <v>35</v>
      </c>
      <c r="C75" s="37" t="s">
        <v>19</v>
      </c>
      <c r="D75" s="42" t="s">
        <v>150</v>
      </c>
      <c r="E75" s="37" t="s">
        <v>147</v>
      </c>
      <c r="F75" s="15" t="s">
        <v>22</v>
      </c>
      <c r="G75" s="15" t="s">
        <v>29</v>
      </c>
      <c r="H75" s="15" t="s">
        <v>39</v>
      </c>
      <c r="I75" s="24">
        <v>-1.0</v>
      </c>
      <c r="J75" s="24">
        <v>0.7</v>
      </c>
      <c r="K75" s="16">
        <v>0.6</v>
      </c>
      <c r="L75" s="38">
        <v>45690.0</v>
      </c>
      <c r="M75" s="39">
        <v>1.825</v>
      </c>
      <c r="N75" s="15" t="s">
        <v>70</v>
      </c>
      <c r="O75" s="19">
        <f t="shared" si="1"/>
        <v>0</v>
      </c>
      <c r="P75" s="49">
        <f t="shared" si="4"/>
        <v>1.565047619</v>
      </c>
      <c r="Q75" s="51"/>
      <c r="R75" s="52"/>
    </row>
    <row r="76">
      <c r="A76" s="8">
        <f t="shared" si="3"/>
        <v>75</v>
      </c>
      <c r="B76" s="31" t="s">
        <v>26</v>
      </c>
      <c r="C76" s="32" t="s">
        <v>40</v>
      </c>
      <c r="D76" s="47" t="s">
        <v>151</v>
      </c>
      <c r="E76" s="32" t="s">
        <v>84</v>
      </c>
      <c r="F76" s="8" t="s">
        <v>22</v>
      </c>
      <c r="G76" s="8" t="s">
        <v>29</v>
      </c>
      <c r="H76" s="8" t="s">
        <v>24</v>
      </c>
      <c r="I76" s="33">
        <v>-3.5</v>
      </c>
      <c r="J76" s="33">
        <v>1.0</v>
      </c>
      <c r="K76" s="33">
        <v>1.0</v>
      </c>
      <c r="L76" s="34">
        <v>45690.0</v>
      </c>
      <c r="M76" s="35">
        <v>1.9</v>
      </c>
      <c r="N76" s="8" t="s">
        <v>25</v>
      </c>
      <c r="O76" s="12">
        <f t="shared" si="1"/>
        <v>-1</v>
      </c>
      <c r="P76" s="48">
        <f t="shared" si="4"/>
        <v>0.565047619</v>
      </c>
      <c r="Q76" s="51"/>
      <c r="R76" s="52"/>
    </row>
    <row r="77">
      <c r="A77" s="15">
        <f t="shared" si="3"/>
        <v>76</v>
      </c>
      <c r="B77" s="15" t="s">
        <v>26</v>
      </c>
      <c r="C77" s="15" t="s">
        <v>19</v>
      </c>
      <c r="D77" s="42" t="s">
        <v>152</v>
      </c>
      <c r="E77" s="37" t="s">
        <v>117</v>
      </c>
      <c r="F77" s="15" t="s">
        <v>22</v>
      </c>
      <c r="G77" s="15" t="s">
        <v>29</v>
      </c>
      <c r="H77" s="15" t="s">
        <v>39</v>
      </c>
      <c r="I77" s="16">
        <v>-3.0</v>
      </c>
      <c r="J77" s="16">
        <v>1.0</v>
      </c>
      <c r="K77" s="16">
        <v>1.0</v>
      </c>
      <c r="L77" s="38">
        <v>45690.0</v>
      </c>
      <c r="M77" s="18">
        <v>1.875</v>
      </c>
      <c r="N77" s="15" t="s">
        <v>33</v>
      </c>
      <c r="O77" s="19">
        <f t="shared" si="1"/>
        <v>0.875</v>
      </c>
      <c r="P77" s="49">
        <f t="shared" si="4"/>
        <v>1.440047619</v>
      </c>
      <c r="Q77" s="51"/>
      <c r="R77" s="52"/>
    </row>
    <row r="78">
      <c r="A78" s="8">
        <f t="shared" si="3"/>
        <v>77</v>
      </c>
      <c r="B78" s="8" t="s">
        <v>26</v>
      </c>
      <c r="C78" s="8" t="s">
        <v>19</v>
      </c>
      <c r="D78" s="47" t="s">
        <v>153</v>
      </c>
      <c r="E78" s="8" t="s">
        <v>154</v>
      </c>
      <c r="F78" s="8" t="s">
        <v>22</v>
      </c>
      <c r="G78" s="8" t="s">
        <v>29</v>
      </c>
      <c r="H78" s="8" t="s">
        <v>39</v>
      </c>
      <c r="I78" s="9">
        <v>-2.75</v>
      </c>
      <c r="J78" s="9">
        <v>1.0</v>
      </c>
      <c r="K78" s="9">
        <v>1.0</v>
      </c>
      <c r="L78" s="34">
        <v>45690.0</v>
      </c>
      <c r="M78" s="11">
        <v>2.0</v>
      </c>
      <c r="N78" s="8" t="s">
        <v>33</v>
      </c>
      <c r="O78" s="12">
        <f t="shared" si="1"/>
        <v>1</v>
      </c>
      <c r="P78" s="48">
        <f t="shared" si="4"/>
        <v>2.440047619</v>
      </c>
      <c r="Q78" s="51"/>
      <c r="R78" s="52"/>
    </row>
    <row r="79">
      <c r="A79" s="15">
        <f t="shared" si="3"/>
        <v>78</v>
      </c>
      <c r="B79" s="15" t="s">
        <v>35</v>
      </c>
      <c r="C79" s="15" t="s">
        <v>19</v>
      </c>
      <c r="D79" s="42" t="s">
        <v>155</v>
      </c>
      <c r="E79" s="15" t="s">
        <v>84</v>
      </c>
      <c r="F79" s="15" t="s">
        <v>22</v>
      </c>
      <c r="G79" s="15" t="s">
        <v>29</v>
      </c>
      <c r="H79" s="15" t="s">
        <v>39</v>
      </c>
      <c r="I79" s="16">
        <v>-3.0</v>
      </c>
      <c r="J79" s="16">
        <v>0.7</v>
      </c>
      <c r="K79" s="16">
        <v>0.7</v>
      </c>
      <c r="L79" s="17">
        <v>45690.0</v>
      </c>
      <c r="M79" s="18">
        <v>2.075</v>
      </c>
      <c r="N79" s="15" t="s">
        <v>25</v>
      </c>
      <c r="O79" s="19">
        <f t="shared" si="1"/>
        <v>-0.7</v>
      </c>
      <c r="P79" s="49">
        <f t="shared" si="4"/>
        <v>1.740047619</v>
      </c>
    </row>
    <row r="80">
      <c r="A80" s="8">
        <f t="shared" si="3"/>
        <v>79</v>
      </c>
      <c r="B80" s="8" t="s">
        <v>26</v>
      </c>
      <c r="C80" s="8" t="s">
        <v>19</v>
      </c>
      <c r="D80" s="47" t="s">
        <v>156</v>
      </c>
      <c r="E80" s="8" t="s">
        <v>157</v>
      </c>
      <c r="F80" s="8" t="s">
        <v>22</v>
      </c>
      <c r="G80" s="8" t="s">
        <v>29</v>
      </c>
      <c r="H80" s="8" t="s">
        <v>24</v>
      </c>
      <c r="I80" s="9">
        <v>-3.0</v>
      </c>
      <c r="J80" s="9">
        <v>0.15</v>
      </c>
      <c r="K80" s="9">
        <v>0.15</v>
      </c>
      <c r="L80" s="10">
        <v>45691.0</v>
      </c>
      <c r="M80" s="11">
        <v>1.975</v>
      </c>
      <c r="N80" s="8" t="s">
        <v>33</v>
      </c>
      <c r="O80" s="12">
        <f t="shared" si="1"/>
        <v>0.14625</v>
      </c>
      <c r="P80" s="48">
        <f t="shared" si="4"/>
        <v>1.886297619</v>
      </c>
    </row>
    <row r="81">
      <c r="A81" s="15">
        <f t="shared" si="3"/>
        <v>80</v>
      </c>
      <c r="B81" s="15" t="s">
        <v>35</v>
      </c>
      <c r="C81" s="15" t="s">
        <v>19</v>
      </c>
      <c r="D81" s="42" t="s">
        <v>158</v>
      </c>
      <c r="E81" s="15" t="s">
        <v>84</v>
      </c>
      <c r="F81" s="15" t="s">
        <v>22</v>
      </c>
      <c r="G81" s="15" t="s">
        <v>29</v>
      </c>
      <c r="H81" s="15" t="s">
        <v>39</v>
      </c>
      <c r="I81" s="16">
        <v>-3.25</v>
      </c>
      <c r="J81" s="16">
        <v>0.7</v>
      </c>
      <c r="K81" s="16">
        <v>0.5403</v>
      </c>
      <c r="L81" s="17">
        <v>45691.0</v>
      </c>
      <c r="M81" s="18">
        <v>2.025</v>
      </c>
      <c r="N81" s="15" t="s">
        <v>25</v>
      </c>
      <c r="O81" s="19">
        <f t="shared" si="1"/>
        <v>-0.5403</v>
      </c>
      <c r="P81" s="49">
        <f t="shared" si="4"/>
        <v>1.345997619</v>
      </c>
    </row>
    <row r="82">
      <c r="A82" s="8">
        <f t="shared" si="3"/>
        <v>81</v>
      </c>
      <c r="B82" s="8" t="s">
        <v>18</v>
      </c>
      <c r="C82" s="8" t="s">
        <v>19</v>
      </c>
      <c r="D82" s="47" t="s">
        <v>159</v>
      </c>
      <c r="E82" s="8" t="s">
        <v>157</v>
      </c>
      <c r="F82" s="8" t="s">
        <v>22</v>
      </c>
      <c r="G82" s="8" t="s">
        <v>23</v>
      </c>
      <c r="H82" s="8"/>
      <c r="I82" s="9">
        <v>-11.5</v>
      </c>
      <c r="J82" s="9">
        <v>0.3</v>
      </c>
      <c r="K82" s="9">
        <v>0.2531</v>
      </c>
      <c r="L82" s="10">
        <v>45691.0</v>
      </c>
      <c r="M82" s="11">
        <v>1.8</v>
      </c>
      <c r="N82" s="8" t="s">
        <v>33</v>
      </c>
      <c r="O82" s="12">
        <f t="shared" si="1"/>
        <v>0.20248</v>
      </c>
      <c r="P82" s="12">
        <f t="shared" si="4"/>
        <v>1.548477619</v>
      </c>
    </row>
    <row r="83">
      <c r="A83" s="15">
        <f t="shared" si="3"/>
        <v>82</v>
      </c>
      <c r="B83" s="15" t="s">
        <v>35</v>
      </c>
      <c r="C83" s="15" t="s">
        <v>19</v>
      </c>
      <c r="D83" s="42" t="s">
        <v>160</v>
      </c>
      <c r="E83" s="15" t="s">
        <v>157</v>
      </c>
      <c r="F83" s="15" t="s">
        <v>22</v>
      </c>
      <c r="G83" s="15" t="s">
        <v>29</v>
      </c>
      <c r="H83" s="15" t="s">
        <v>24</v>
      </c>
      <c r="I83" s="16">
        <v>-1.0</v>
      </c>
      <c r="J83" s="16">
        <v>1.0</v>
      </c>
      <c r="K83" s="16">
        <v>0.7321</v>
      </c>
      <c r="L83" s="17">
        <v>45691.0</v>
      </c>
      <c r="M83" s="18">
        <v>2.15</v>
      </c>
      <c r="N83" s="15" t="s">
        <v>25</v>
      </c>
      <c r="O83" s="19">
        <f t="shared" si="1"/>
        <v>-0.7321</v>
      </c>
      <c r="P83" s="19">
        <f t="shared" si="4"/>
        <v>0.816377619</v>
      </c>
    </row>
    <row r="84">
      <c r="A84" s="8">
        <f t="shared" si="3"/>
        <v>83</v>
      </c>
      <c r="B84" s="8" t="s">
        <v>35</v>
      </c>
      <c r="C84" s="8" t="s">
        <v>19</v>
      </c>
      <c r="D84" s="53" t="s">
        <v>161</v>
      </c>
      <c r="E84" s="8" t="s">
        <v>162</v>
      </c>
      <c r="F84" s="8" t="s">
        <v>22</v>
      </c>
      <c r="G84" s="8" t="s">
        <v>29</v>
      </c>
      <c r="H84" s="8" t="s">
        <v>39</v>
      </c>
      <c r="I84" s="9">
        <v>-1.0</v>
      </c>
      <c r="J84" s="9">
        <v>0.7</v>
      </c>
      <c r="K84" s="9">
        <v>0.6396</v>
      </c>
      <c r="L84" s="10">
        <v>45691.0</v>
      </c>
      <c r="M84" s="11">
        <v>1.9</v>
      </c>
      <c r="N84" s="8" t="s">
        <v>70</v>
      </c>
      <c r="O84" s="12">
        <f t="shared" si="1"/>
        <v>0</v>
      </c>
      <c r="P84" s="12">
        <f t="shared" si="4"/>
        <v>0.816377619</v>
      </c>
    </row>
    <row r="85">
      <c r="A85" s="15">
        <f t="shared" si="3"/>
        <v>84</v>
      </c>
      <c r="B85" s="15" t="s">
        <v>35</v>
      </c>
      <c r="C85" s="15" t="s">
        <v>19</v>
      </c>
      <c r="D85" s="15" t="s">
        <v>163</v>
      </c>
      <c r="E85" s="15" t="s">
        <v>164</v>
      </c>
      <c r="F85" s="15" t="s">
        <v>22</v>
      </c>
      <c r="G85" s="15" t="s">
        <v>29</v>
      </c>
      <c r="H85" s="15" t="s">
        <v>39</v>
      </c>
      <c r="I85" s="16">
        <v>-1.25</v>
      </c>
      <c r="J85" s="16">
        <v>0.7</v>
      </c>
      <c r="K85" s="16">
        <v>0.6125</v>
      </c>
      <c r="L85" s="17">
        <v>45691.0</v>
      </c>
      <c r="M85" s="18">
        <v>1.9</v>
      </c>
      <c r="N85" s="15" t="s">
        <v>30</v>
      </c>
      <c r="O85" s="19">
        <f t="shared" si="1"/>
        <v>0.275625</v>
      </c>
      <c r="P85" s="19">
        <f t="shared" si="4"/>
        <v>1.092002619</v>
      </c>
    </row>
    <row r="86">
      <c r="A86" s="8">
        <f t="shared" si="3"/>
        <v>85</v>
      </c>
      <c r="B86" s="8" t="s">
        <v>26</v>
      </c>
      <c r="C86" s="8" t="s">
        <v>19</v>
      </c>
      <c r="D86" s="8" t="s">
        <v>165</v>
      </c>
      <c r="E86" s="8" t="s">
        <v>38</v>
      </c>
      <c r="F86" s="8" t="s">
        <v>22</v>
      </c>
      <c r="G86" s="8" t="s">
        <v>29</v>
      </c>
      <c r="H86" s="8"/>
      <c r="I86" s="9">
        <v>-3.25</v>
      </c>
      <c r="J86" s="9">
        <v>1.0</v>
      </c>
      <c r="K86" s="9">
        <v>0.909</v>
      </c>
      <c r="L86" s="10">
        <v>45691.0</v>
      </c>
      <c r="M86" s="11">
        <v>1.925</v>
      </c>
      <c r="N86" s="8" t="s">
        <v>25</v>
      </c>
      <c r="O86" s="12">
        <f t="shared" si="1"/>
        <v>-0.909</v>
      </c>
      <c r="P86" s="12">
        <f t="shared" si="4"/>
        <v>0.183002619</v>
      </c>
    </row>
    <row r="87">
      <c r="A87" s="15">
        <f t="shared" si="3"/>
        <v>86</v>
      </c>
      <c r="B87" s="15" t="s">
        <v>35</v>
      </c>
      <c r="C87" s="15" t="s">
        <v>19</v>
      </c>
      <c r="D87" s="15" t="s">
        <v>166</v>
      </c>
      <c r="E87" s="15" t="s">
        <v>167</v>
      </c>
      <c r="F87" s="15" t="s">
        <v>22</v>
      </c>
      <c r="G87" s="15" t="s">
        <v>29</v>
      </c>
      <c r="H87" s="15" t="s">
        <v>39</v>
      </c>
      <c r="I87" s="16">
        <v>-1.0</v>
      </c>
      <c r="J87" s="16">
        <v>0.7</v>
      </c>
      <c r="K87" s="16">
        <v>0.6363</v>
      </c>
      <c r="L87" s="17">
        <v>45691.0</v>
      </c>
      <c r="M87" s="18">
        <v>2.125</v>
      </c>
      <c r="N87" s="15" t="s">
        <v>25</v>
      </c>
      <c r="O87" s="19">
        <f t="shared" si="1"/>
        <v>-0.6363</v>
      </c>
      <c r="P87" s="19">
        <f t="shared" si="4"/>
        <v>-0.453297381</v>
      </c>
    </row>
    <row r="88">
      <c r="A88" s="8">
        <f t="shared" si="3"/>
        <v>87</v>
      </c>
      <c r="B88" s="8" t="s">
        <v>35</v>
      </c>
      <c r="C88" s="8" t="s">
        <v>19</v>
      </c>
      <c r="D88" s="8" t="s">
        <v>168</v>
      </c>
      <c r="E88" s="8" t="s">
        <v>169</v>
      </c>
      <c r="F88" s="8" t="s">
        <v>22</v>
      </c>
      <c r="G88" s="8" t="s">
        <v>29</v>
      </c>
      <c r="H88" s="8" t="s">
        <v>24</v>
      </c>
      <c r="I88" s="9">
        <v>-4.75</v>
      </c>
      <c r="J88" s="9">
        <v>1.0</v>
      </c>
      <c r="K88" s="9">
        <v>0.2424</v>
      </c>
      <c r="L88" s="54">
        <v>45691.0</v>
      </c>
      <c r="M88" s="11">
        <v>2.05</v>
      </c>
      <c r="N88" s="8" t="s">
        <v>79</v>
      </c>
      <c r="O88" s="12">
        <f t="shared" si="1"/>
        <v>-0.1212</v>
      </c>
      <c r="P88" s="12">
        <f t="shared" si="4"/>
        <v>-0.574497381</v>
      </c>
    </row>
    <row r="89">
      <c r="A89" s="15">
        <f t="shared" si="3"/>
        <v>88</v>
      </c>
      <c r="B89" s="15" t="s">
        <v>26</v>
      </c>
      <c r="C89" s="15" t="s">
        <v>19</v>
      </c>
      <c r="D89" s="15" t="s">
        <v>170</v>
      </c>
      <c r="E89" s="15" t="s">
        <v>78</v>
      </c>
      <c r="F89" s="15" t="s">
        <v>22</v>
      </c>
      <c r="G89" s="15" t="s">
        <v>29</v>
      </c>
      <c r="H89" s="15"/>
      <c r="I89" s="16">
        <v>1.5</v>
      </c>
      <c r="J89" s="16">
        <v>0.3</v>
      </c>
      <c r="K89" s="16">
        <v>0.2727</v>
      </c>
      <c r="L89" s="55">
        <v>45691.0</v>
      </c>
      <c r="M89" s="18">
        <v>1.95</v>
      </c>
      <c r="N89" s="15" t="s">
        <v>25</v>
      </c>
      <c r="O89" s="19">
        <f t="shared" si="1"/>
        <v>-0.2727</v>
      </c>
      <c r="P89" s="19">
        <f t="shared" si="4"/>
        <v>-0.847197381</v>
      </c>
    </row>
    <row r="90">
      <c r="A90" s="8">
        <f t="shared" si="3"/>
        <v>89</v>
      </c>
      <c r="B90" s="8" t="s">
        <v>35</v>
      </c>
      <c r="C90" s="8" t="s">
        <v>19</v>
      </c>
      <c r="D90" s="8" t="s">
        <v>171</v>
      </c>
      <c r="E90" s="8" t="s">
        <v>172</v>
      </c>
      <c r="F90" s="8" t="s">
        <v>22</v>
      </c>
      <c r="G90" s="8" t="s">
        <v>29</v>
      </c>
      <c r="H90" s="8" t="s">
        <v>39</v>
      </c>
      <c r="I90" s="9">
        <v>-4.25</v>
      </c>
      <c r="J90" s="9">
        <v>0.7</v>
      </c>
      <c r="K90" s="9">
        <v>0.6045</v>
      </c>
      <c r="L90" s="54">
        <v>45691.0</v>
      </c>
      <c r="M90" s="11">
        <v>2.05</v>
      </c>
      <c r="N90" s="8" t="s">
        <v>33</v>
      </c>
      <c r="O90" s="12">
        <f t="shared" si="1"/>
        <v>0.634725</v>
      </c>
      <c r="P90" s="12">
        <f t="shared" si="4"/>
        <v>-0.212472381</v>
      </c>
    </row>
    <row r="91">
      <c r="A91" s="15">
        <f t="shared" si="3"/>
        <v>90</v>
      </c>
      <c r="B91" s="15" t="s">
        <v>35</v>
      </c>
      <c r="C91" s="15" t="s">
        <v>19</v>
      </c>
      <c r="D91" s="15" t="s">
        <v>173</v>
      </c>
      <c r="E91" s="15" t="s">
        <v>174</v>
      </c>
      <c r="F91" s="15" t="s">
        <v>22</v>
      </c>
      <c r="G91" s="15" t="s">
        <v>29</v>
      </c>
      <c r="H91" s="15" t="s">
        <v>24</v>
      </c>
      <c r="I91" s="16">
        <v>-0.75</v>
      </c>
      <c r="J91" s="16">
        <v>1.0</v>
      </c>
      <c r="K91" s="16">
        <v>1.0</v>
      </c>
      <c r="L91" s="55">
        <v>45692.0</v>
      </c>
      <c r="M91" s="18">
        <v>1.975</v>
      </c>
      <c r="N91" s="15" t="s">
        <v>79</v>
      </c>
      <c r="O91" s="19">
        <f t="shared" si="1"/>
        <v>-0.5</v>
      </c>
      <c r="P91" s="19">
        <f t="shared" si="4"/>
        <v>-0.712472381</v>
      </c>
    </row>
    <row r="92">
      <c r="A92" s="8">
        <f t="shared" si="3"/>
        <v>91</v>
      </c>
      <c r="B92" s="8" t="s">
        <v>35</v>
      </c>
      <c r="C92" s="8" t="s">
        <v>19</v>
      </c>
      <c r="D92" s="8" t="s">
        <v>175</v>
      </c>
      <c r="E92" s="8" t="s">
        <v>174</v>
      </c>
      <c r="F92" s="8" t="s">
        <v>22</v>
      </c>
      <c r="G92" s="8" t="s">
        <v>29</v>
      </c>
      <c r="H92" s="8" t="s">
        <v>24</v>
      </c>
      <c r="I92" s="9">
        <v>-0.75</v>
      </c>
      <c r="J92" s="9">
        <v>1.0</v>
      </c>
      <c r="K92" s="9">
        <v>1.0</v>
      </c>
      <c r="L92" s="54">
        <v>45692.0</v>
      </c>
      <c r="M92" s="11">
        <v>2.025</v>
      </c>
      <c r="N92" s="8" t="s">
        <v>79</v>
      </c>
      <c r="O92" s="12">
        <f t="shared" si="1"/>
        <v>-0.5</v>
      </c>
      <c r="P92" s="12">
        <f t="shared" si="4"/>
        <v>-1.212472381</v>
      </c>
    </row>
    <row r="93">
      <c r="A93" s="15">
        <f t="shared" si="3"/>
        <v>92</v>
      </c>
      <c r="B93" s="15" t="s">
        <v>26</v>
      </c>
      <c r="C93" s="15" t="s">
        <v>19</v>
      </c>
      <c r="D93" s="15" t="s">
        <v>176</v>
      </c>
      <c r="E93" s="15" t="s">
        <v>167</v>
      </c>
      <c r="F93" s="15" t="s">
        <v>22</v>
      </c>
      <c r="G93" s="15" t="s">
        <v>29</v>
      </c>
      <c r="H93" s="15"/>
      <c r="I93" s="16">
        <v>-3.0</v>
      </c>
      <c r="J93" s="16">
        <v>1.0</v>
      </c>
      <c r="K93" s="16">
        <v>1.0</v>
      </c>
      <c r="L93" s="55">
        <v>45692.0</v>
      </c>
      <c r="M93" s="18">
        <v>1.8</v>
      </c>
      <c r="N93" s="15" t="s">
        <v>33</v>
      </c>
      <c r="O93" s="19">
        <f t="shared" si="1"/>
        <v>0.8</v>
      </c>
      <c r="P93" s="19">
        <f t="shared" si="4"/>
        <v>-0.412472381</v>
      </c>
    </row>
    <row r="94">
      <c r="A94" s="8">
        <f t="shared" si="3"/>
        <v>93</v>
      </c>
      <c r="B94" s="8" t="s">
        <v>35</v>
      </c>
      <c r="C94" s="8" t="s">
        <v>19</v>
      </c>
      <c r="D94" s="8" t="s">
        <v>177</v>
      </c>
      <c r="E94" s="8" t="s">
        <v>178</v>
      </c>
      <c r="F94" s="8" t="s">
        <v>22</v>
      </c>
      <c r="G94" s="8" t="s">
        <v>29</v>
      </c>
      <c r="H94" s="8" t="s">
        <v>39</v>
      </c>
      <c r="I94" s="9">
        <v>-1.0</v>
      </c>
      <c r="J94" s="9">
        <v>0.7</v>
      </c>
      <c r="K94" s="9">
        <v>0.6461</v>
      </c>
      <c r="L94" s="54">
        <v>45692.0</v>
      </c>
      <c r="M94" s="11">
        <v>1.8</v>
      </c>
      <c r="N94" s="8" t="s">
        <v>70</v>
      </c>
      <c r="O94" s="12">
        <f t="shared" si="1"/>
        <v>0</v>
      </c>
      <c r="P94" s="12">
        <f t="shared" si="4"/>
        <v>-0.412472381</v>
      </c>
    </row>
    <row r="95">
      <c r="A95" s="15">
        <f t="shared" si="3"/>
        <v>94</v>
      </c>
      <c r="B95" s="15" t="s">
        <v>35</v>
      </c>
      <c r="C95" s="15" t="s">
        <v>19</v>
      </c>
      <c r="D95" s="15" t="s">
        <v>179</v>
      </c>
      <c r="E95" s="15" t="s">
        <v>93</v>
      </c>
      <c r="F95" s="15" t="s">
        <v>22</v>
      </c>
      <c r="G95" s="15" t="s">
        <v>29</v>
      </c>
      <c r="H95" s="15" t="s">
        <v>24</v>
      </c>
      <c r="I95" s="16">
        <v>-1.0</v>
      </c>
      <c r="J95" s="16">
        <v>1.0</v>
      </c>
      <c r="K95" s="16">
        <v>0.7142</v>
      </c>
      <c r="L95" s="17">
        <v>45692.0</v>
      </c>
      <c r="M95" s="18">
        <v>1.875</v>
      </c>
      <c r="N95" s="15" t="s">
        <v>70</v>
      </c>
      <c r="O95" s="19">
        <f t="shared" si="1"/>
        <v>0</v>
      </c>
      <c r="P95" s="19">
        <f t="shared" si="4"/>
        <v>-0.412472381</v>
      </c>
    </row>
    <row r="96">
      <c r="A96" s="8">
        <f t="shared" si="3"/>
        <v>95</v>
      </c>
      <c r="B96" s="8" t="s">
        <v>35</v>
      </c>
      <c r="C96" s="8" t="s">
        <v>19</v>
      </c>
      <c r="D96" s="8" t="s">
        <v>180</v>
      </c>
      <c r="E96" s="8" t="s">
        <v>82</v>
      </c>
      <c r="F96" s="8" t="s">
        <v>22</v>
      </c>
      <c r="G96" s="8" t="s">
        <v>29</v>
      </c>
      <c r="H96" s="8" t="s">
        <v>39</v>
      </c>
      <c r="I96" s="9">
        <v>-2.75</v>
      </c>
      <c r="J96" s="9">
        <v>0.7</v>
      </c>
      <c r="K96" s="9">
        <v>0.55</v>
      </c>
      <c r="L96" s="10">
        <v>45692.0</v>
      </c>
      <c r="M96" s="11">
        <v>2.05</v>
      </c>
      <c r="N96" s="8" t="s">
        <v>33</v>
      </c>
      <c r="O96" s="12">
        <f t="shared" si="1"/>
        <v>0.5775</v>
      </c>
      <c r="P96" s="12">
        <f t="shared" si="4"/>
        <v>0.165027619</v>
      </c>
    </row>
    <row r="97">
      <c r="A97" s="15">
        <f t="shared" si="3"/>
        <v>96</v>
      </c>
      <c r="B97" s="15" t="s">
        <v>26</v>
      </c>
      <c r="C97" s="15" t="s">
        <v>19</v>
      </c>
      <c r="D97" s="15" t="s">
        <v>181</v>
      </c>
      <c r="E97" s="15" t="s">
        <v>182</v>
      </c>
      <c r="F97" s="15" t="s">
        <v>22</v>
      </c>
      <c r="G97" s="15" t="s">
        <v>29</v>
      </c>
      <c r="H97" s="15"/>
      <c r="I97" s="16">
        <v>-3.0</v>
      </c>
      <c r="J97" s="16">
        <v>1.0</v>
      </c>
      <c r="K97" s="16">
        <v>0.75</v>
      </c>
      <c r="L97" s="17">
        <v>45693.0</v>
      </c>
      <c r="M97" s="18">
        <v>1.825</v>
      </c>
      <c r="N97" s="15" t="s">
        <v>70</v>
      </c>
      <c r="O97" s="19">
        <f t="shared" si="1"/>
        <v>0</v>
      </c>
      <c r="P97" s="19">
        <f t="shared" si="4"/>
        <v>0.165027619</v>
      </c>
    </row>
    <row r="98">
      <c r="A98" s="8">
        <f t="shared" si="3"/>
        <v>97</v>
      </c>
      <c r="B98" s="8" t="s">
        <v>35</v>
      </c>
      <c r="C98" s="8" t="s">
        <v>19</v>
      </c>
      <c r="D98" s="8" t="s">
        <v>183</v>
      </c>
      <c r="E98" s="8" t="s">
        <v>182</v>
      </c>
      <c r="F98" s="8" t="s">
        <v>22</v>
      </c>
      <c r="G98" s="8" t="s">
        <v>29</v>
      </c>
      <c r="H98" s="8" t="s">
        <v>24</v>
      </c>
      <c r="I98" s="9">
        <v>-4.25</v>
      </c>
      <c r="J98" s="9">
        <v>0.5</v>
      </c>
      <c r="K98" s="9">
        <v>0.3928</v>
      </c>
      <c r="L98" s="10">
        <v>45693.0</v>
      </c>
      <c r="M98" s="11">
        <v>1.725</v>
      </c>
      <c r="N98" s="8" t="s">
        <v>33</v>
      </c>
      <c r="O98" s="12">
        <f t="shared" si="1"/>
        <v>0.28478</v>
      </c>
      <c r="P98" s="12">
        <f t="shared" si="4"/>
        <v>0.449807619</v>
      </c>
    </row>
    <row r="99">
      <c r="A99" s="15">
        <f t="shared" si="3"/>
        <v>98</v>
      </c>
      <c r="B99" s="15" t="s">
        <v>26</v>
      </c>
      <c r="C99" s="15" t="s">
        <v>40</v>
      </c>
      <c r="D99" s="15" t="s">
        <v>184</v>
      </c>
      <c r="E99" s="15" t="s">
        <v>185</v>
      </c>
      <c r="F99" s="15" t="s">
        <v>22</v>
      </c>
      <c r="G99" s="15" t="s">
        <v>29</v>
      </c>
      <c r="H99" s="15"/>
      <c r="I99" s="16">
        <v>-5.0</v>
      </c>
      <c r="J99" s="16">
        <v>1.0</v>
      </c>
      <c r="K99" s="16">
        <v>0.7941</v>
      </c>
      <c r="L99" s="55">
        <v>45693.0</v>
      </c>
      <c r="M99" s="18">
        <v>1.825</v>
      </c>
      <c r="N99" s="15" t="s">
        <v>70</v>
      </c>
      <c r="O99" s="19">
        <f t="shared" si="1"/>
        <v>0</v>
      </c>
      <c r="P99" s="19">
        <f t="shared" si="4"/>
        <v>0.449807619</v>
      </c>
    </row>
    <row r="100">
      <c r="A100" s="8">
        <f t="shared" si="3"/>
        <v>99</v>
      </c>
      <c r="B100" s="8" t="s">
        <v>26</v>
      </c>
      <c r="C100" s="8" t="s">
        <v>40</v>
      </c>
      <c r="D100" s="8" t="s">
        <v>186</v>
      </c>
      <c r="E100" s="8" t="s">
        <v>187</v>
      </c>
      <c r="F100" s="8" t="s">
        <v>22</v>
      </c>
      <c r="G100" s="8" t="s">
        <v>29</v>
      </c>
      <c r="H100" s="8"/>
      <c r="I100" s="9">
        <v>-4.25</v>
      </c>
      <c r="J100" s="9">
        <v>1.0</v>
      </c>
      <c r="K100" s="9">
        <v>0.8437</v>
      </c>
      <c r="L100" s="10">
        <v>45693.0</v>
      </c>
      <c r="M100" s="11">
        <v>1.8</v>
      </c>
      <c r="N100" s="8" t="s">
        <v>33</v>
      </c>
      <c r="O100" s="12">
        <f t="shared" si="1"/>
        <v>0.67496</v>
      </c>
      <c r="P100" s="12">
        <f t="shared" si="4"/>
        <v>1.124767619</v>
      </c>
    </row>
    <row r="101">
      <c r="A101" s="15">
        <f t="shared" si="3"/>
        <v>100</v>
      </c>
      <c r="B101" s="15" t="s">
        <v>35</v>
      </c>
      <c r="C101" s="15" t="s">
        <v>19</v>
      </c>
      <c r="D101" s="15" t="s">
        <v>188</v>
      </c>
      <c r="E101" s="15" t="s">
        <v>189</v>
      </c>
      <c r="F101" s="15" t="s">
        <v>22</v>
      </c>
      <c r="G101" s="15" t="s">
        <v>29</v>
      </c>
      <c r="H101" s="15" t="s">
        <v>24</v>
      </c>
      <c r="I101" s="16">
        <v>-6.5</v>
      </c>
      <c r="J101" s="16">
        <v>1.0</v>
      </c>
      <c r="K101" s="16">
        <v>0.8437</v>
      </c>
      <c r="L101" s="55">
        <v>45693.0</v>
      </c>
      <c r="M101" s="18">
        <v>1.85</v>
      </c>
      <c r="N101" s="15" t="s">
        <v>33</v>
      </c>
      <c r="O101" s="19">
        <f t="shared" si="1"/>
        <v>0.717145</v>
      </c>
      <c r="P101" s="19">
        <f t="shared" si="4"/>
        <v>1.841912619</v>
      </c>
    </row>
    <row r="102">
      <c r="A102" s="8">
        <f t="shared" si="3"/>
        <v>101</v>
      </c>
      <c r="B102" s="8" t="s">
        <v>26</v>
      </c>
      <c r="C102" s="8" t="s">
        <v>40</v>
      </c>
      <c r="D102" s="8" t="s">
        <v>190</v>
      </c>
      <c r="E102" s="8" t="s">
        <v>191</v>
      </c>
      <c r="F102" s="8" t="s">
        <v>22</v>
      </c>
      <c r="G102" s="8" t="s">
        <v>29</v>
      </c>
      <c r="H102" s="8"/>
      <c r="I102" s="9">
        <v>-2.25</v>
      </c>
      <c r="J102" s="9">
        <v>1.0</v>
      </c>
      <c r="K102" s="9">
        <v>0.8421</v>
      </c>
      <c r="L102" s="10">
        <v>45693.0</v>
      </c>
      <c r="M102" s="11">
        <v>1.975</v>
      </c>
      <c r="N102" s="8" t="s">
        <v>25</v>
      </c>
      <c r="O102" s="12">
        <f t="shared" si="1"/>
        <v>-0.8421</v>
      </c>
      <c r="P102" s="12">
        <f t="shared" si="4"/>
        <v>0.999812619</v>
      </c>
    </row>
    <row r="103">
      <c r="A103" s="15">
        <f t="shared" si="3"/>
        <v>102</v>
      </c>
      <c r="B103" s="15" t="s">
        <v>35</v>
      </c>
      <c r="C103" s="15" t="s">
        <v>19</v>
      </c>
      <c r="D103" s="15" t="s">
        <v>192</v>
      </c>
      <c r="E103" s="15" t="s">
        <v>193</v>
      </c>
      <c r="F103" s="15" t="s">
        <v>22</v>
      </c>
      <c r="G103" s="15" t="s">
        <v>29</v>
      </c>
      <c r="H103" s="15" t="s">
        <v>39</v>
      </c>
      <c r="I103" s="16">
        <v>-0.75</v>
      </c>
      <c r="J103" s="16">
        <v>0.7</v>
      </c>
      <c r="K103" s="16">
        <v>0.5894</v>
      </c>
      <c r="L103" s="17">
        <v>45693.0</v>
      </c>
      <c r="M103" s="18">
        <v>1.8</v>
      </c>
      <c r="N103" s="15" t="s">
        <v>79</v>
      </c>
      <c r="O103" s="19">
        <f t="shared" si="1"/>
        <v>-0.2947</v>
      </c>
      <c r="P103" s="19">
        <f t="shared" si="4"/>
        <v>0.705112619</v>
      </c>
    </row>
    <row r="104">
      <c r="A104" s="8">
        <f t="shared" si="3"/>
        <v>103</v>
      </c>
      <c r="B104" s="8" t="s">
        <v>35</v>
      </c>
      <c r="C104" s="8" t="s">
        <v>19</v>
      </c>
      <c r="D104" s="8" t="s">
        <v>194</v>
      </c>
      <c r="E104" s="8" t="s">
        <v>182</v>
      </c>
      <c r="F104" s="8" t="s">
        <v>22</v>
      </c>
      <c r="G104" s="8" t="s">
        <v>29</v>
      </c>
      <c r="H104" s="8" t="s">
        <v>24</v>
      </c>
      <c r="I104" s="9">
        <v>-3.5</v>
      </c>
      <c r="J104" s="9">
        <v>0.5</v>
      </c>
      <c r="K104" s="9">
        <v>0.425</v>
      </c>
      <c r="L104" s="10">
        <v>45693.0</v>
      </c>
      <c r="M104" s="11">
        <v>2.025</v>
      </c>
      <c r="N104" s="8" t="s">
        <v>33</v>
      </c>
      <c r="O104" s="12">
        <f t="shared" si="1"/>
        <v>0.435625</v>
      </c>
      <c r="P104" s="12">
        <f t="shared" si="4"/>
        <v>1.140737619</v>
      </c>
    </row>
    <row r="105">
      <c r="A105" s="15">
        <f t="shared" si="3"/>
        <v>104</v>
      </c>
      <c r="B105" s="15" t="s">
        <v>35</v>
      </c>
      <c r="C105" s="15" t="s">
        <v>19</v>
      </c>
      <c r="D105" s="15" t="s">
        <v>195</v>
      </c>
      <c r="E105" s="15" t="s">
        <v>196</v>
      </c>
      <c r="F105" s="15" t="s">
        <v>22</v>
      </c>
      <c r="G105" s="15" t="s">
        <v>29</v>
      </c>
      <c r="H105" s="15" t="s">
        <v>39</v>
      </c>
      <c r="I105" s="16">
        <v>-1.0</v>
      </c>
      <c r="J105" s="16">
        <v>0.7</v>
      </c>
      <c r="K105" s="16">
        <v>0.595</v>
      </c>
      <c r="L105" s="55">
        <v>45693.0</v>
      </c>
      <c r="M105" s="18">
        <v>1.8</v>
      </c>
      <c r="N105" s="15" t="s">
        <v>33</v>
      </c>
      <c r="O105" s="19">
        <f t="shared" si="1"/>
        <v>0.476</v>
      </c>
      <c r="P105" s="19">
        <f t="shared" si="4"/>
        <v>1.616737619</v>
      </c>
    </row>
    <row r="106">
      <c r="A106" s="8">
        <f t="shared" si="3"/>
        <v>105</v>
      </c>
      <c r="B106" s="8" t="s">
        <v>35</v>
      </c>
      <c r="C106" s="8" t="s">
        <v>19</v>
      </c>
      <c r="D106" s="8" t="s">
        <v>197</v>
      </c>
      <c r="E106" s="8" t="s">
        <v>182</v>
      </c>
      <c r="F106" s="8" t="s">
        <v>22</v>
      </c>
      <c r="G106" s="8" t="s">
        <v>29</v>
      </c>
      <c r="H106" s="8" t="s">
        <v>24</v>
      </c>
      <c r="I106" s="9">
        <v>-5.5</v>
      </c>
      <c r="J106" s="9">
        <v>1.0</v>
      </c>
      <c r="K106" s="9">
        <v>0.9</v>
      </c>
      <c r="L106" s="10">
        <v>45693.0</v>
      </c>
      <c r="M106" s="11">
        <v>1.95</v>
      </c>
      <c r="N106" s="8" t="s">
        <v>25</v>
      </c>
      <c r="O106" s="12">
        <f t="shared" si="1"/>
        <v>-0.9</v>
      </c>
      <c r="P106" s="12">
        <f t="shared" si="4"/>
        <v>0.716737619</v>
      </c>
    </row>
    <row r="107">
      <c r="A107" s="15">
        <f t="shared" si="3"/>
        <v>106</v>
      </c>
      <c r="B107" s="15" t="s">
        <v>35</v>
      </c>
      <c r="C107" s="15" t="s">
        <v>19</v>
      </c>
      <c r="D107" s="15" t="s">
        <v>198</v>
      </c>
      <c r="E107" s="15" t="s">
        <v>82</v>
      </c>
      <c r="F107" s="15" t="s">
        <v>22</v>
      </c>
      <c r="G107" s="15" t="s">
        <v>29</v>
      </c>
      <c r="H107" s="15" t="s">
        <v>39</v>
      </c>
      <c r="I107" s="16">
        <v>-0.75</v>
      </c>
      <c r="J107" s="16">
        <v>0.7</v>
      </c>
      <c r="K107" s="16">
        <v>0.7</v>
      </c>
      <c r="L107" s="17">
        <v>45693.0</v>
      </c>
      <c r="M107" s="18">
        <v>1.825</v>
      </c>
      <c r="N107" s="15" t="s">
        <v>33</v>
      </c>
      <c r="O107" s="19">
        <f t="shared" si="1"/>
        <v>0.5775</v>
      </c>
      <c r="P107" s="19">
        <f t="shared" si="4"/>
        <v>1.294237619</v>
      </c>
    </row>
    <row r="108">
      <c r="A108" s="8">
        <f t="shared" si="3"/>
        <v>107</v>
      </c>
      <c r="B108" s="8" t="s">
        <v>35</v>
      </c>
      <c r="C108" s="8" t="s">
        <v>19</v>
      </c>
      <c r="D108" s="8" t="s">
        <v>199</v>
      </c>
      <c r="E108" s="8" t="s">
        <v>196</v>
      </c>
      <c r="F108" s="8" t="s">
        <v>22</v>
      </c>
      <c r="G108" s="8" t="s">
        <v>29</v>
      </c>
      <c r="H108" s="8" t="s">
        <v>39</v>
      </c>
      <c r="I108" s="9">
        <v>-4.75</v>
      </c>
      <c r="J108" s="9">
        <v>0.7</v>
      </c>
      <c r="K108" s="9">
        <v>0.7</v>
      </c>
      <c r="L108" s="10">
        <v>45693.0</v>
      </c>
      <c r="M108" s="11">
        <v>2.0</v>
      </c>
      <c r="N108" s="8" t="s">
        <v>33</v>
      </c>
      <c r="O108" s="12">
        <f t="shared" si="1"/>
        <v>0.7</v>
      </c>
      <c r="P108" s="12">
        <f t="shared" si="4"/>
        <v>1.994237619</v>
      </c>
    </row>
    <row r="109">
      <c r="A109" s="15">
        <f t="shared" si="3"/>
        <v>108</v>
      </c>
      <c r="B109" s="15" t="s">
        <v>18</v>
      </c>
      <c r="C109" s="15" t="s">
        <v>19</v>
      </c>
      <c r="D109" s="15" t="s">
        <v>200</v>
      </c>
      <c r="E109" s="15" t="s">
        <v>82</v>
      </c>
      <c r="F109" s="15" t="s">
        <v>22</v>
      </c>
      <c r="G109" s="15" t="s">
        <v>23</v>
      </c>
      <c r="H109" s="15"/>
      <c r="I109" s="16">
        <v>-11.0</v>
      </c>
      <c r="J109" s="16">
        <v>0.3</v>
      </c>
      <c r="K109" s="16">
        <v>0.3</v>
      </c>
      <c r="L109" s="17">
        <v>45693.0</v>
      </c>
      <c r="M109" s="18">
        <v>1.925</v>
      </c>
      <c r="N109" s="15" t="s">
        <v>25</v>
      </c>
      <c r="O109" s="19">
        <f t="shared" si="1"/>
        <v>-0.3</v>
      </c>
      <c r="P109" s="19">
        <f t="shared" si="4"/>
        <v>1.694237619</v>
      </c>
    </row>
    <row r="110">
      <c r="A110" s="8">
        <f t="shared" si="3"/>
        <v>109</v>
      </c>
      <c r="B110" s="8" t="s">
        <v>35</v>
      </c>
      <c r="C110" s="8" t="s">
        <v>19</v>
      </c>
      <c r="D110" s="8" t="s">
        <v>201</v>
      </c>
      <c r="E110" s="8" t="s">
        <v>82</v>
      </c>
      <c r="F110" s="8" t="s">
        <v>22</v>
      </c>
      <c r="G110" s="8" t="s">
        <v>29</v>
      </c>
      <c r="H110" s="8" t="s">
        <v>39</v>
      </c>
      <c r="I110" s="9">
        <v>-0.75</v>
      </c>
      <c r="J110" s="9">
        <v>0.7</v>
      </c>
      <c r="K110" s="9">
        <v>0.7</v>
      </c>
      <c r="L110" s="10">
        <v>45693.0</v>
      </c>
      <c r="M110" s="11">
        <v>1.9</v>
      </c>
      <c r="N110" s="8" t="s">
        <v>33</v>
      </c>
      <c r="O110" s="12">
        <f t="shared" si="1"/>
        <v>0.63</v>
      </c>
      <c r="P110" s="12">
        <f t="shared" si="4"/>
        <v>2.324237619</v>
      </c>
    </row>
    <row r="111">
      <c r="A111" s="15">
        <f t="shared" si="3"/>
        <v>110</v>
      </c>
      <c r="B111" s="15" t="s">
        <v>18</v>
      </c>
      <c r="C111" s="15" t="s">
        <v>19</v>
      </c>
      <c r="D111" s="15" t="s">
        <v>202</v>
      </c>
      <c r="E111" s="15" t="s">
        <v>82</v>
      </c>
      <c r="F111" s="15" t="s">
        <v>22</v>
      </c>
      <c r="G111" s="15" t="s">
        <v>23</v>
      </c>
      <c r="H111" s="15"/>
      <c r="I111" s="16">
        <v>-10.0</v>
      </c>
      <c r="J111" s="16">
        <v>0.3</v>
      </c>
      <c r="K111" s="16">
        <v>0.3</v>
      </c>
      <c r="L111" s="17">
        <v>45693.0</v>
      </c>
      <c r="M111" s="18">
        <v>1.95</v>
      </c>
      <c r="N111" s="15" t="s">
        <v>33</v>
      </c>
      <c r="O111" s="19">
        <f t="shared" si="1"/>
        <v>0.285</v>
      </c>
      <c r="P111" s="19">
        <f t="shared" si="4"/>
        <v>2.609237619</v>
      </c>
    </row>
    <row r="112">
      <c r="A112" s="8">
        <f t="shared" si="3"/>
        <v>111</v>
      </c>
      <c r="B112" s="8" t="s">
        <v>26</v>
      </c>
      <c r="C112" s="8" t="s">
        <v>40</v>
      </c>
      <c r="D112" s="8" t="s">
        <v>203</v>
      </c>
      <c r="E112" s="8" t="s">
        <v>204</v>
      </c>
      <c r="F112" s="8" t="s">
        <v>22</v>
      </c>
      <c r="G112" s="8" t="s">
        <v>29</v>
      </c>
      <c r="H112" s="8"/>
      <c r="I112" s="9">
        <v>-3.75</v>
      </c>
      <c r="J112" s="9">
        <v>1.0</v>
      </c>
      <c r="K112" s="9">
        <v>1.0</v>
      </c>
      <c r="L112" s="54">
        <v>45693.0</v>
      </c>
      <c r="M112" s="11">
        <v>1.95</v>
      </c>
      <c r="N112" s="8" t="s">
        <v>79</v>
      </c>
      <c r="O112" s="12">
        <f t="shared" si="1"/>
        <v>-0.5</v>
      </c>
      <c r="P112" s="12">
        <f t="shared" si="4"/>
        <v>2.109237619</v>
      </c>
    </row>
    <row r="113">
      <c r="A113" s="15">
        <f t="shared" si="3"/>
        <v>112</v>
      </c>
      <c r="B113" s="15" t="s">
        <v>35</v>
      </c>
      <c r="C113" s="15" t="s">
        <v>19</v>
      </c>
      <c r="D113" s="15" t="s">
        <v>205</v>
      </c>
      <c r="E113" s="15" t="s">
        <v>82</v>
      </c>
      <c r="F113" s="15" t="s">
        <v>22</v>
      </c>
      <c r="G113" s="15" t="s">
        <v>29</v>
      </c>
      <c r="H113" s="15" t="s">
        <v>39</v>
      </c>
      <c r="I113" s="16">
        <v>-0.75</v>
      </c>
      <c r="J113" s="16">
        <v>0.7</v>
      </c>
      <c r="K113" s="16">
        <v>0.7</v>
      </c>
      <c r="L113" s="17">
        <v>45693.0</v>
      </c>
      <c r="M113" s="18">
        <v>1.875</v>
      </c>
      <c r="N113" s="15" t="s">
        <v>25</v>
      </c>
      <c r="O113" s="19">
        <f t="shared" si="1"/>
        <v>-0.7</v>
      </c>
      <c r="P113" s="19">
        <f t="shared" si="4"/>
        <v>1.409237619</v>
      </c>
    </row>
    <row r="114">
      <c r="A114" s="8">
        <f t="shared" si="3"/>
        <v>113</v>
      </c>
      <c r="B114" s="8" t="s">
        <v>26</v>
      </c>
      <c r="C114" s="8" t="s">
        <v>19</v>
      </c>
      <c r="D114" s="8" t="s">
        <v>206</v>
      </c>
      <c r="E114" s="8" t="s">
        <v>207</v>
      </c>
      <c r="F114" s="8" t="s">
        <v>22</v>
      </c>
      <c r="G114" s="8" t="s">
        <v>29</v>
      </c>
      <c r="H114" s="8"/>
      <c r="I114" s="9">
        <v>-2.5</v>
      </c>
      <c r="J114" s="9">
        <v>1.0</v>
      </c>
      <c r="K114" s="9">
        <v>1.0</v>
      </c>
      <c r="L114" s="10">
        <v>45694.0</v>
      </c>
      <c r="M114" s="11">
        <v>1.925</v>
      </c>
      <c r="N114" s="8" t="s">
        <v>33</v>
      </c>
      <c r="O114" s="12">
        <f t="shared" si="1"/>
        <v>0.925</v>
      </c>
      <c r="P114" s="12">
        <f t="shared" si="4"/>
        <v>2.334237619</v>
      </c>
    </row>
    <row r="115">
      <c r="A115" s="15">
        <f t="shared" si="3"/>
        <v>114</v>
      </c>
      <c r="B115" s="15" t="s">
        <v>18</v>
      </c>
      <c r="C115" s="15" t="s">
        <v>19</v>
      </c>
      <c r="D115" s="15" t="s">
        <v>208</v>
      </c>
      <c r="E115" s="15" t="s">
        <v>106</v>
      </c>
      <c r="F115" s="15" t="s">
        <v>22</v>
      </c>
      <c r="G115" s="15" t="s">
        <v>23</v>
      </c>
      <c r="H115" s="15"/>
      <c r="I115" s="16">
        <v>-9.0</v>
      </c>
      <c r="J115" s="16">
        <v>0.3</v>
      </c>
      <c r="K115" s="16">
        <v>0.3</v>
      </c>
      <c r="L115" s="17">
        <v>45694.0</v>
      </c>
      <c r="M115" s="18">
        <v>2.0</v>
      </c>
      <c r="N115" s="15" t="s">
        <v>70</v>
      </c>
      <c r="O115" s="19">
        <f t="shared" si="1"/>
        <v>0</v>
      </c>
      <c r="P115" s="19">
        <f t="shared" si="4"/>
        <v>2.334237619</v>
      </c>
    </row>
    <row r="116">
      <c r="A116" s="8">
        <f t="shared" si="3"/>
        <v>115</v>
      </c>
      <c r="B116" s="8" t="s">
        <v>35</v>
      </c>
      <c r="C116" s="8" t="s">
        <v>19</v>
      </c>
      <c r="D116" s="8" t="s">
        <v>209</v>
      </c>
      <c r="E116" s="8" t="s">
        <v>187</v>
      </c>
      <c r="F116" s="8" t="s">
        <v>22</v>
      </c>
      <c r="G116" s="8" t="s">
        <v>29</v>
      </c>
      <c r="H116" s="8" t="s">
        <v>39</v>
      </c>
      <c r="I116" s="9">
        <v>-0.75</v>
      </c>
      <c r="J116" s="9">
        <v>0.7</v>
      </c>
      <c r="K116" s="9">
        <v>0.7</v>
      </c>
      <c r="L116" s="10">
        <v>45694.0</v>
      </c>
      <c r="M116" s="11">
        <v>1.825</v>
      </c>
      <c r="N116" s="8" t="s">
        <v>33</v>
      </c>
      <c r="O116" s="12">
        <f t="shared" si="1"/>
        <v>0.5775</v>
      </c>
      <c r="P116" s="12">
        <f t="shared" si="4"/>
        <v>2.911737619</v>
      </c>
    </row>
    <row r="117">
      <c r="A117" s="15">
        <f t="shared" si="3"/>
        <v>116</v>
      </c>
      <c r="B117" s="15" t="s">
        <v>18</v>
      </c>
      <c r="C117" s="15" t="s">
        <v>19</v>
      </c>
      <c r="D117" s="15" t="s">
        <v>210</v>
      </c>
      <c r="E117" s="15" t="s">
        <v>162</v>
      </c>
      <c r="F117" s="15" t="s">
        <v>22</v>
      </c>
      <c r="G117" s="15" t="s">
        <v>23</v>
      </c>
      <c r="H117" s="15"/>
      <c r="I117" s="16">
        <v>-10.0</v>
      </c>
      <c r="J117" s="16">
        <v>0.3</v>
      </c>
      <c r="K117" s="16">
        <v>0.2727</v>
      </c>
      <c r="L117" s="17">
        <v>45694.0</v>
      </c>
      <c r="M117" s="18">
        <v>1.9</v>
      </c>
      <c r="N117" s="15" t="s">
        <v>25</v>
      </c>
      <c r="O117" s="19">
        <f t="shared" si="1"/>
        <v>-0.2727</v>
      </c>
      <c r="P117" s="19">
        <f t="shared" si="4"/>
        <v>2.639037619</v>
      </c>
    </row>
    <row r="118">
      <c r="A118" s="8">
        <f t="shared" si="3"/>
        <v>117</v>
      </c>
      <c r="B118" s="8" t="s">
        <v>35</v>
      </c>
      <c r="C118" s="8" t="s">
        <v>19</v>
      </c>
      <c r="D118" s="8" t="s">
        <v>211</v>
      </c>
      <c r="E118" s="8" t="s">
        <v>28</v>
      </c>
      <c r="F118" s="8" t="s">
        <v>22</v>
      </c>
      <c r="G118" s="8" t="s">
        <v>29</v>
      </c>
      <c r="H118" s="8" t="s">
        <v>39</v>
      </c>
      <c r="I118" s="9">
        <v>-1.25</v>
      </c>
      <c r="J118" s="9">
        <v>0.7</v>
      </c>
      <c r="K118" s="9">
        <v>0.498</v>
      </c>
      <c r="L118" s="10">
        <v>45694.0</v>
      </c>
      <c r="M118" s="11">
        <v>1.85</v>
      </c>
      <c r="N118" s="8" t="s">
        <v>30</v>
      </c>
      <c r="O118" s="12">
        <f t="shared" si="1"/>
        <v>0.21165</v>
      </c>
      <c r="P118" s="12">
        <f t="shared" si="4"/>
        <v>2.850687619</v>
      </c>
    </row>
    <row r="119">
      <c r="A119" s="15">
        <f t="shared" si="3"/>
        <v>118</v>
      </c>
      <c r="B119" s="15"/>
      <c r="C119" s="15"/>
      <c r="D119" s="15"/>
      <c r="E119" s="15"/>
      <c r="F119" s="15"/>
      <c r="G119" s="15"/>
      <c r="H119" s="15"/>
      <c r="I119" s="16"/>
      <c r="J119" s="16"/>
      <c r="K119" s="16"/>
      <c r="L119" s="17"/>
      <c r="M119" s="18"/>
      <c r="N119" s="15"/>
      <c r="O119" s="19" t="str">
        <f t="shared" si="1"/>
        <v/>
      </c>
      <c r="P119" s="19">
        <f t="shared" si="4"/>
        <v>2.850687619</v>
      </c>
    </row>
    <row r="120">
      <c r="A120" s="8">
        <f t="shared" si="3"/>
        <v>119</v>
      </c>
      <c r="B120" s="8"/>
      <c r="C120" s="8"/>
      <c r="D120" s="8"/>
      <c r="E120" s="8"/>
      <c r="F120" s="8"/>
      <c r="G120" s="8"/>
      <c r="H120" s="8"/>
      <c r="I120" s="9"/>
      <c r="J120" s="9"/>
      <c r="K120" s="9"/>
      <c r="L120" s="10"/>
      <c r="M120" s="11"/>
      <c r="N120" s="8"/>
      <c r="O120" s="12" t="str">
        <f t="shared" si="1"/>
        <v/>
      </c>
      <c r="P120" s="12">
        <f t="shared" si="4"/>
        <v>2.850687619</v>
      </c>
    </row>
    <row r="121">
      <c r="A121" s="15">
        <f t="shared" si="3"/>
        <v>120</v>
      </c>
      <c r="B121" s="15"/>
      <c r="C121" s="15"/>
      <c r="D121" s="15"/>
      <c r="E121" s="15"/>
      <c r="F121" s="15"/>
      <c r="G121" s="15"/>
      <c r="H121" s="15"/>
      <c r="I121" s="16"/>
      <c r="J121" s="16"/>
      <c r="K121" s="16"/>
      <c r="L121" s="17"/>
      <c r="M121" s="18"/>
      <c r="N121" s="15"/>
      <c r="O121" s="19" t="str">
        <f t="shared" si="1"/>
        <v/>
      </c>
      <c r="P121" s="19">
        <f t="shared" si="4"/>
        <v>2.850687619</v>
      </c>
    </row>
    <row r="122">
      <c r="A122" s="8">
        <f t="shared" si="3"/>
        <v>121</v>
      </c>
      <c r="B122" s="8"/>
      <c r="C122" s="8"/>
      <c r="D122" s="8"/>
      <c r="E122" s="8"/>
      <c r="F122" s="8"/>
      <c r="G122" s="8"/>
      <c r="H122" s="8"/>
      <c r="I122" s="9"/>
      <c r="J122" s="9"/>
      <c r="K122" s="9"/>
      <c r="L122" s="10"/>
      <c r="M122" s="11"/>
      <c r="N122" s="8"/>
      <c r="O122" s="12" t="str">
        <f t="shared" si="1"/>
        <v/>
      </c>
      <c r="P122" s="12">
        <f t="shared" si="4"/>
        <v>2.850687619</v>
      </c>
    </row>
    <row r="123">
      <c r="A123" s="15">
        <f t="shared" si="3"/>
        <v>122</v>
      </c>
      <c r="B123" s="15"/>
      <c r="C123" s="15"/>
      <c r="D123" s="15"/>
      <c r="E123" s="15"/>
      <c r="F123" s="15"/>
      <c r="G123" s="15"/>
      <c r="H123" s="15"/>
      <c r="I123" s="16"/>
      <c r="J123" s="16"/>
      <c r="K123" s="16"/>
      <c r="L123" s="17"/>
      <c r="M123" s="18"/>
      <c r="N123" s="15"/>
      <c r="O123" s="19" t="str">
        <f t="shared" si="1"/>
        <v/>
      </c>
      <c r="P123" s="19">
        <f t="shared" si="4"/>
        <v>2.850687619</v>
      </c>
    </row>
    <row r="124" ht="15.0" customHeight="1">
      <c r="A124" s="8">
        <f t="shared" si="3"/>
        <v>123</v>
      </c>
      <c r="B124" s="8"/>
      <c r="C124" s="8"/>
      <c r="D124" s="8"/>
      <c r="E124" s="8"/>
      <c r="F124" s="8"/>
      <c r="G124" s="8"/>
      <c r="H124" s="8"/>
      <c r="I124" s="9"/>
      <c r="J124" s="9"/>
      <c r="K124" s="9"/>
      <c r="L124" s="10"/>
      <c r="M124" s="11"/>
      <c r="N124" s="8"/>
      <c r="O124" s="12" t="str">
        <f t="shared" si="1"/>
        <v/>
      </c>
      <c r="P124" s="12">
        <f t="shared" si="4"/>
        <v>2.850687619</v>
      </c>
    </row>
    <row r="125">
      <c r="A125" s="15">
        <f t="shared" si="3"/>
        <v>124</v>
      </c>
      <c r="B125" s="15"/>
      <c r="C125" s="15"/>
      <c r="D125" s="15"/>
      <c r="E125" s="15"/>
      <c r="F125" s="15"/>
      <c r="G125" s="15"/>
      <c r="H125" s="15"/>
      <c r="I125" s="16"/>
      <c r="J125" s="16"/>
      <c r="K125" s="16"/>
      <c r="L125" s="17"/>
      <c r="M125" s="18"/>
      <c r="N125" s="15"/>
      <c r="O125" s="19" t="str">
        <f t="shared" si="1"/>
        <v/>
      </c>
      <c r="P125" s="19">
        <f t="shared" si="4"/>
        <v>2.850687619</v>
      </c>
    </row>
    <row r="126">
      <c r="A126" s="8">
        <f t="shared" si="3"/>
        <v>125</v>
      </c>
      <c r="B126" s="8"/>
      <c r="C126" s="8"/>
      <c r="D126" s="8"/>
      <c r="E126" s="8"/>
      <c r="F126" s="8"/>
      <c r="G126" s="8"/>
      <c r="H126" s="8"/>
      <c r="I126" s="9"/>
      <c r="J126" s="9"/>
      <c r="K126" s="9"/>
      <c r="L126" s="10"/>
      <c r="M126" s="11"/>
      <c r="N126" s="8"/>
      <c r="O126" s="12" t="str">
        <f t="shared" si="1"/>
        <v/>
      </c>
      <c r="P126" s="12">
        <f t="shared" si="4"/>
        <v>2.850687619</v>
      </c>
    </row>
    <row r="127">
      <c r="A127" s="15">
        <f t="shared" si="3"/>
        <v>126</v>
      </c>
      <c r="B127" s="15"/>
      <c r="C127" s="15"/>
      <c r="D127" s="15"/>
      <c r="E127" s="15"/>
      <c r="F127" s="15"/>
      <c r="G127" s="15"/>
      <c r="H127" s="15"/>
      <c r="I127" s="16"/>
      <c r="J127" s="16"/>
      <c r="K127" s="16"/>
      <c r="L127" s="17"/>
      <c r="M127" s="18"/>
      <c r="N127" s="15"/>
      <c r="O127" s="19" t="str">
        <f t="shared" si="1"/>
        <v/>
      </c>
      <c r="P127" s="19">
        <f t="shared" si="4"/>
        <v>2.850687619</v>
      </c>
    </row>
    <row r="128">
      <c r="A128" s="8">
        <f t="shared" si="3"/>
        <v>127</v>
      </c>
      <c r="B128" s="8"/>
      <c r="C128" s="8"/>
      <c r="D128" s="8"/>
      <c r="E128" s="8"/>
      <c r="F128" s="8"/>
      <c r="G128" s="8"/>
      <c r="H128" s="8"/>
      <c r="I128" s="9"/>
      <c r="J128" s="9"/>
      <c r="K128" s="9"/>
      <c r="L128" s="10"/>
      <c r="M128" s="11"/>
      <c r="N128" s="8"/>
      <c r="O128" s="12" t="str">
        <f t="shared" si="1"/>
        <v/>
      </c>
      <c r="P128" s="12">
        <f t="shared" si="4"/>
        <v>2.850687619</v>
      </c>
    </row>
    <row r="129">
      <c r="A129" s="15">
        <f t="shared" si="3"/>
        <v>128</v>
      </c>
      <c r="B129" s="15"/>
      <c r="C129" s="15"/>
      <c r="D129" s="15"/>
      <c r="E129" s="15"/>
      <c r="F129" s="15"/>
      <c r="G129" s="15"/>
      <c r="H129" s="15"/>
      <c r="I129" s="16"/>
      <c r="J129" s="16"/>
      <c r="K129" s="16"/>
      <c r="L129" s="17"/>
      <c r="M129" s="18"/>
      <c r="N129" s="15"/>
      <c r="O129" s="19" t="str">
        <f t="shared" si="1"/>
        <v/>
      </c>
      <c r="P129" s="19">
        <f t="shared" si="4"/>
        <v>2.850687619</v>
      </c>
    </row>
    <row r="130">
      <c r="A130" s="8">
        <f t="shared" si="3"/>
        <v>129</v>
      </c>
      <c r="B130" s="8"/>
      <c r="C130" s="8"/>
      <c r="D130" s="8"/>
      <c r="E130" s="8"/>
      <c r="F130" s="8"/>
      <c r="G130" s="8"/>
      <c r="H130" s="8"/>
      <c r="I130" s="9"/>
      <c r="J130" s="9"/>
      <c r="K130" s="9"/>
      <c r="L130" s="10"/>
      <c r="M130" s="11"/>
      <c r="N130" s="8"/>
      <c r="O130" s="12" t="str">
        <f t="shared" si="1"/>
        <v/>
      </c>
      <c r="P130" s="12">
        <f t="shared" si="4"/>
        <v>2.850687619</v>
      </c>
    </row>
    <row r="131">
      <c r="A131" s="15">
        <f t="shared" si="3"/>
        <v>130</v>
      </c>
      <c r="B131" s="15"/>
      <c r="C131" s="15"/>
      <c r="D131" s="15"/>
      <c r="E131" s="15"/>
      <c r="F131" s="15"/>
      <c r="G131" s="15"/>
      <c r="H131" s="15"/>
      <c r="I131" s="16"/>
      <c r="J131" s="16"/>
      <c r="K131" s="16"/>
      <c r="L131" s="17"/>
      <c r="M131" s="18"/>
      <c r="N131" s="15"/>
      <c r="O131" s="19" t="str">
        <f t="shared" si="1"/>
        <v/>
      </c>
      <c r="P131" s="19">
        <f t="shared" si="4"/>
        <v>2.850687619</v>
      </c>
    </row>
    <row r="132">
      <c r="A132" s="8">
        <f t="shared" si="3"/>
        <v>131</v>
      </c>
      <c r="B132" s="8"/>
      <c r="C132" s="8"/>
      <c r="D132" s="8"/>
      <c r="E132" s="8"/>
      <c r="F132" s="8"/>
      <c r="G132" s="8"/>
      <c r="H132" s="8"/>
      <c r="I132" s="9"/>
      <c r="J132" s="9"/>
      <c r="K132" s="9"/>
      <c r="L132" s="10"/>
      <c r="M132" s="11"/>
      <c r="N132" s="8"/>
      <c r="O132" s="12" t="str">
        <f t="shared" si="1"/>
        <v/>
      </c>
      <c r="P132" s="12">
        <f t="shared" si="4"/>
        <v>2.850687619</v>
      </c>
    </row>
    <row r="133">
      <c r="A133" s="15">
        <f t="shared" si="3"/>
        <v>132</v>
      </c>
      <c r="B133" s="15"/>
      <c r="C133" s="15"/>
      <c r="D133" s="15"/>
      <c r="E133" s="15"/>
      <c r="F133" s="15"/>
      <c r="G133" s="15"/>
      <c r="H133" s="15"/>
      <c r="I133" s="16"/>
      <c r="J133" s="16"/>
      <c r="K133" s="16"/>
      <c r="L133" s="17"/>
      <c r="M133" s="18"/>
      <c r="N133" s="15"/>
      <c r="O133" s="19" t="str">
        <f t="shared" si="1"/>
        <v/>
      </c>
      <c r="P133" s="19">
        <f t="shared" si="4"/>
        <v>2.850687619</v>
      </c>
    </row>
    <row r="134">
      <c r="A134" s="8">
        <f t="shared" si="3"/>
        <v>133</v>
      </c>
      <c r="B134" s="8"/>
      <c r="C134" s="8"/>
      <c r="D134" s="8"/>
      <c r="E134" s="8"/>
      <c r="F134" s="8"/>
      <c r="G134" s="8"/>
      <c r="H134" s="8"/>
      <c r="I134" s="9"/>
      <c r="J134" s="9"/>
      <c r="K134" s="9"/>
      <c r="L134" s="10"/>
      <c r="M134" s="11"/>
      <c r="N134" s="8"/>
      <c r="O134" s="12" t="str">
        <f t="shared" si="1"/>
        <v/>
      </c>
      <c r="P134" s="12">
        <f t="shared" si="4"/>
        <v>2.850687619</v>
      </c>
    </row>
    <row r="135">
      <c r="A135" s="15">
        <f t="shared" si="3"/>
        <v>134</v>
      </c>
      <c r="B135" s="15"/>
      <c r="C135" s="15"/>
      <c r="D135" s="15"/>
      <c r="E135" s="15"/>
      <c r="F135" s="15"/>
      <c r="G135" s="15"/>
      <c r="H135" s="15"/>
      <c r="I135" s="16"/>
      <c r="J135" s="16"/>
      <c r="K135" s="16"/>
      <c r="L135" s="17"/>
      <c r="M135" s="18"/>
      <c r="N135" s="15"/>
      <c r="O135" s="19" t="str">
        <f t="shared" si="1"/>
        <v/>
      </c>
      <c r="P135" s="19">
        <f t="shared" si="4"/>
        <v>2.850687619</v>
      </c>
    </row>
    <row r="136">
      <c r="A136" s="8">
        <f t="shared" si="3"/>
        <v>135</v>
      </c>
      <c r="B136" s="8"/>
      <c r="C136" s="8"/>
      <c r="D136" s="8"/>
      <c r="E136" s="8"/>
      <c r="F136" s="8"/>
      <c r="G136" s="8"/>
      <c r="H136" s="8"/>
      <c r="I136" s="9"/>
      <c r="J136" s="9"/>
      <c r="K136" s="9"/>
      <c r="L136" s="10"/>
      <c r="M136" s="11"/>
      <c r="N136" s="8"/>
      <c r="O136" s="12" t="str">
        <f t="shared" si="1"/>
        <v/>
      </c>
      <c r="P136" s="12">
        <f t="shared" si="4"/>
        <v>2.850687619</v>
      </c>
    </row>
    <row r="137">
      <c r="A137" s="15">
        <f t="shared" si="3"/>
        <v>136</v>
      </c>
      <c r="B137" s="15"/>
      <c r="C137" s="15"/>
      <c r="D137" s="15"/>
      <c r="E137" s="15"/>
      <c r="F137" s="15"/>
      <c r="G137" s="15"/>
      <c r="H137" s="15"/>
      <c r="I137" s="16"/>
      <c r="J137" s="16"/>
      <c r="K137" s="16"/>
      <c r="L137" s="17"/>
      <c r="M137" s="18"/>
      <c r="N137" s="15"/>
      <c r="O137" s="19" t="str">
        <f t="shared" si="1"/>
        <v/>
      </c>
      <c r="P137" s="19">
        <f t="shared" si="4"/>
        <v>2.850687619</v>
      </c>
    </row>
    <row r="138">
      <c r="A138" s="8">
        <f t="shared" si="3"/>
        <v>137</v>
      </c>
      <c r="B138" s="8"/>
      <c r="C138" s="8"/>
      <c r="D138" s="8"/>
      <c r="E138" s="8"/>
      <c r="F138" s="8"/>
      <c r="G138" s="8"/>
      <c r="H138" s="8"/>
      <c r="I138" s="9"/>
      <c r="J138" s="9"/>
      <c r="K138" s="9"/>
      <c r="L138" s="10"/>
      <c r="M138" s="11"/>
      <c r="N138" s="8"/>
      <c r="O138" s="12" t="str">
        <f t="shared" si="1"/>
        <v/>
      </c>
      <c r="P138" s="12">
        <f t="shared" si="4"/>
        <v>2.850687619</v>
      </c>
    </row>
    <row r="139">
      <c r="A139" s="15">
        <f t="shared" si="3"/>
        <v>138</v>
      </c>
      <c r="B139" s="15"/>
      <c r="C139" s="15"/>
      <c r="D139" s="15"/>
      <c r="E139" s="15"/>
      <c r="F139" s="15"/>
      <c r="G139" s="15"/>
      <c r="H139" s="15"/>
      <c r="I139" s="16"/>
      <c r="J139" s="16"/>
      <c r="K139" s="16"/>
      <c r="L139" s="17"/>
      <c r="M139" s="18"/>
      <c r="N139" s="15"/>
      <c r="O139" s="19" t="str">
        <f t="shared" si="1"/>
        <v/>
      </c>
      <c r="P139" s="19">
        <f t="shared" si="4"/>
        <v>2.850687619</v>
      </c>
    </row>
    <row r="140">
      <c r="A140" s="8">
        <f t="shared" si="3"/>
        <v>139</v>
      </c>
      <c r="B140" s="8"/>
      <c r="C140" s="8"/>
      <c r="D140" s="8"/>
      <c r="E140" s="8"/>
      <c r="F140" s="8"/>
      <c r="G140" s="8"/>
      <c r="H140" s="8"/>
      <c r="I140" s="9"/>
      <c r="J140" s="9"/>
      <c r="K140" s="9"/>
      <c r="L140" s="10"/>
      <c r="M140" s="11"/>
      <c r="N140" s="8"/>
      <c r="O140" s="12" t="str">
        <f t="shared" si="1"/>
        <v/>
      </c>
      <c r="P140" s="12">
        <f t="shared" si="4"/>
        <v>2.850687619</v>
      </c>
    </row>
    <row r="141">
      <c r="A141" s="15">
        <f t="shared" si="3"/>
        <v>140</v>
      </c>
      <c r="B141" s="15"/>
      <c r="C141" s="15"/>
      <c r="D141" s="15"/>
      <c r="E141" s="15"/>
      <c r="F141" s="15"/>
      <c r="G141" s="15"/>
      <c r="H141" s="15"/>
      <c r="I141" s="16"/>
      <c r="J141" s="16"/>
      <c r="K141" s="16"/>
      <c r="L141" s="17"/>
      <c r="M141" s="18"/>
      <c r="N141" s="15"/>
      <c r="O141" s="19" t="str">
        <f t="shared" si="1"/>
        <v/>
      </c>
      <c r="P141" s="19">
        <f t="shared" si="4"/>
        <v>2.850687619</v>
      </c>
    </row>
    <row r="142">
      <c r="A142" s="8">
        <f t="shared" si="3"/>
        <v>141</v>
      </c>
      <c r="B142" s="8"/>
      <c r="C142" s="8"/>
      <c r="D142" s="8"/>
      <c r="E142" s="8"/>
      <c r="F142" s="8"/>
      <c r="G142" s="8"/>
      <c r="H142" s="8"/>
      <c r="I142" s="9"/>
      <c r="J142" s="9"/>
      <c r="K142" s="9"/>
      <c r="L142" s="10"/>
      <c r="M142" s="11"/>
      <c r="N142" s="8"/>
      <c r="O142" s="12" t="str">
        <f t="shared" si="1"/>
        <v/>
      </c>
      <c r="P142" s="12">
        <f t="shared" si="4"/>
        <v>2.850687619</v>
      </c>
    </row>
    <row r="143">
      <c r="A143" s="15">
        <f t="shared" si="3"/>
        <v>142</v>
      </c>
      <c r="B143" s="15"/>
      <c r="C143" s="15"/>
      <c r="D143" s="15"/>
      <c r="E143" s="15"/>
      <c r="F143" s="15"/>
      <c r="G143" s="15"/>
      <c r="H143" s="15"/>
      <c r="I143" s="16"/>
      <c r="J143" s="16"/>
      <c r="K143" s="16"/>
      <c r="L143" s="17"/>
      <c r="M143" s="18"/>
      <c r="N143" s="15"/>
      <c r="O143" s="19" t="str">
        <f t="shared" si="1"/>
        <v/>
      </c>
      <c r="P143" s="19">
        <f t="shared" si="4"/>
        <v>2.850687619</v>
      </c>
    </row>
    <row r="144">
      <c r="A144" s="8">
        <f t="shared" si="3"/>
        <v>143</v>
      </c>
      <c r="B144" s="8"/>
      <c r="C144" s="8"/>
      <c r="D144" s="8"/>
      <c r="E144" s="8"/>
      <c r="F144" s="8"/>
      <c r="G144" s="8"/>
      <c r="H144" s="8"/>
      <c r="I144" s="9"/>
      <c r="J144" s="9"/>
      <c r="K144" s="9"/>
      <c r="L144" s="10"/>
      <c r="M144" s="11"/>
      <c r="N144" s="8"/>
      <c r="O144" s="12" t="str">
        <f t="shared" si="1"/>
        <v/>
      </c>
      <c r="P144" s="12">
        <f t="shared" si="4"/>
        <v>2.850687619</v>
      </c>
    </row>
    <row r="145">
      <c r="A145" s="15">
        <f t="shared" si="3"/>
        <v>144</v>
      </c>
      <c r="B145" s="15"/>
      <c r="C145" s="15"/>
      <c r="D145" s="15"/>
      <c r="E145" s="15"/>
      <c r="F145" s="15"/>
      <c r="G145" s="15"/>
      <c r="H145" s="15"/>
      <c r="I145" s="16"/>
      <c r="J145" s="16"/>
      <c r="K145" s="16"/>
      <c r="L145" s="17"/>
      <c r="M145" s="18"/>
      <c r="N145" s="15"/>
      <c r="O145" s="19" t="str">
        <f t="shared" si="1"/>
        <v/>
      </c>
      <c r="P145" s="19">
        <f t="shared" si="4"/>
        <v>2.850687619</v>
      </c>
    </row>
    <row r="146">
      <c r="A146" s="8">
        <f t="shared" si="3"/>
        <v>145</v>
      </c>
      <c r="B146" s="8"/>
      <c r="C146" s="8"/>
      <c r="D146" s="8"/>
      <c r="E146" s="8"/>
      <c r="F146" s="8"/>
      <c r="G146" s="8"/>
      <c r="H146" s="8"/>
      <c r="I146" s="9"/>
      <c r="J146" s="9"/>
      <c r="K146" s="9"/>
      <c r="L146" s="10"/>
      <c r="M146" s="11"/>
      <c r="N146" s="8"/>
      <c r="O146" s="12" t="str">
        <f t="shared" si="1"/>
        <v/>
      </c>
      <c r="P146" s="12">
        <f t="shared" si="4"/>
        <v>2.850687619</v>
      </c>
    </row>
    <row r="147">
      <c r="A147" s="15">
        <f t="shared" si="3"/>
        <v>146</v>
      </c>
      <c r="B147" s="15"/>
      <c r="C147" s="15"/>
      <c r="D147" s="15"/>
      <c r="E147" s="15"/>
      <c r="F147" s="15"/>
      <c r="G147" s="15"/>
      <c r="H147" s="15"/>
      <c r="I147" s="16"/>
      <c r="J147" s="16"/>
      <c r="K147" s="16"/>
      <c r="L147" s="17"/>
      <c r="M147" s="18"/>
      <c r="N147" s="15"/>
      <c r="O147" s="19" t="str">
        <f t="shared" si="1"/>
        <v/>
      </c>
      <c r="P147" s="19">
        <f t="shared" si="4"/>
        <v>2.850687619</v>
      </c>
    </row>
    <row r="148">
      <c r="A148" s="8">
        <f t="shared" si="3"/>
        <v>147</v>
      </c>
      <c r="B148" s="8"/>
      <c r="C148" s="8"/>
      <c r="D148" s="8"/>
      <c r="E148" s="8"/>
      <c r="F148" s="8"/>
      <c r="G148" s="8"/>
      <c r="H148" s="8"/>
      <c r="I148" s="9"/>
      <c r="J148" s="9"/>
      <c r="K148" s="9"/>
      <c r="L148" s="10"/>
      <c r="M148" s="11"/>
      <c r="N148" s="8"/>
      <c r="O148" s="12" t="str">
        <f t="shared" si="1"/>
        <v/>
      </c>
      <c r="P148" s="12">
        <f t="shared" si="4"/>
        <v>2.850687619</v>
      </c>
    </row>
    <row r="149">
      <c r="A149" s="15">
        <f t="shared" si="3"/>
        <v>148</v>
      </c>
      <c r="B149" s="15"/>
      <c r="C149" s="15"/>
      <c r="D149" s="15"/>
      <c r="E149" s="15"/>
      <c r="F149" s="15"/>
      <c r="G149" s="15"/>
      <c r="H149" s="15"/>
      <c r="I149" s="16"/>
      <c r="J149" s="16"/>
      <c r="K149" s="16"/>
      <c r="L149" s="17"/>
      <c r="M149" s="18"/>
      <c r="N149" s="15"/>
      <c r="O149" s="19" t="str">
        <f t="shared" si="1"/>
        <v/>
      </c>
      <c r="P149" s="19">
        <f t="shared" si="4"/>
        <v>2.850687619</v>
      </c>
    </row>
    <row r="150">
      <c r="A150" s="8">
        <f t="shared" si="3"/>
        <v>149</v>
      </c>
      <c r="B150" s="8"/>
      <c r="C150" s="8"/>
      <c r="D150" s="8"/>
      <c r="E150" s="8"/>
      <c r="F150" s="8"/>
      <c r="G150" s="8"/>
      <c r="H150" s="8"/>
      <c r="I150" s="9"/>
      <c r="J150" s="9"/>
      <c r="K150" s="9"/>
      <c r="L150" s="10"/>
      <c r="M150" s="11"/>
      <c r="N150" s="8"/>
      <c r="O150" s="12" t="str">
        <f t="shared" si="1"/>
        <v/>
      </c>
      <c r="P150" s="12">
        <f t="shared" si="4"/>
        <v>2.850687619</v>
      </c>
    </row>
    <row r="151">
      <c r="A151" s="15">
        <f t="shared" si="3"/>
        <v>150</v>
      </c>
      <c r="B151" s="15"/>
      <c r="C151" s="15"/>
      <c r="D151" s="15"/>
      <c r="E151" s="15"/>
      <c r="F151" s="15"/>
      <c r="G151" s="15"/>
      <c r="H151" s="15"/>
      <c r="I151" s="16"/>
      <c r="J151" s="16"/>
      <c r="K151" s="16"/>
      <c r="L151" s="17"/>
      <c r="M151" s="18"/>
      <c r="N151" s="15"/>
      <c r="O151" s="19" t="str">
        <f t="shared" si="1"/>
        <v/>
      </c>
      <c r="P151" s="19">
        <f t="shared" si="4"/>
        <v>2.850687619</v>
      </c>
    </row>
    <row r="152">
      <c r="A152" s="8">
        <f t="shared" si="3"/>
        <v>151</v>
      </c>
      <c r="B152" s="8"/>
      <c r="C152" s="8"/>
      <c r="D152" s="8"/>
      <c r="E152" s="8"/>
      <c r="F152" s="8"/>
      <c r="G152" s="8"/>
      <c r="H152" s="8"/>
      <c r="I152" s="9"/>
      <c r="J152" s="9"/>
      <c r="K152" s="9"/>
      <c r="L152" s="10"/>
      <c r="M152" s="11"/>
      <c r="N152" s="8"/>
      <c r="O152" s="12" t="str">
        <f t="shared" si="1"/>
        <v/>
      </c>
      <c r="P152" s="12">
        <f t="shared" si="4"/>
        <v>2.850687619</v>
      </c>
    </row>
    <row r="153">
      <c r="A153" s="15">
        <f t="shared" si="3"/>
        <v>152</v>
      </c>
      <c r="B153" s="15"/>
      <c r="C153" s="15"/>
      <c r="D153" s="15"/>
      <c r="E153" s="15"/>
      <c r="F153" s="15"/>
      <c r="G153" s="15"/>
      <c r="H153" s="15"/>
      <c r="I153" s="16"/>
      <c r="J153" s="16"/>
      <c r="K153" s="16"/>
      <c r="L153" s="17"/>
      <c r="M153" s="18"/>
      <c r="N153" s="15"/>
      <c r="O153" s="19" t="str">
        <f t="shared" si="1"/>
        <v/>
      </c>
      <c r="P153" s="19">
        <f t="shared" si="4"/>
        <v>2.850687619</v>
      </c>
    </row>
    <row r="154">
      <c r="A154" s="8">
        <f t="shared" si="3"/>
        <v>153</v>
      </c>
      <c r="B154" s="8"/>
      <c r="C154" s="8"/>
      <c r="D154" s="8"/>
      <c r="E154" s="8"/>
      <c r="F154" s="8"/>
      <c r="G154" s="8"/>
      <c r="H154" s="8"/>
      <c r="I154" s="9"/>
      <c r="J154" s="9"/>
      <c r="K154" s="9"/>
      <c r="L154" s="10"/>
      <c r="M154" s="11"/>
      <c r="N154" s="8"/>
      <c r="O154" s="12" t="str">
        <f t="shared" si="1"/>
        <v/>
      </c>
      <c r="P154" s="12">
        <f t="shared" si="4"/>
        <v>2.850687619</v>
      </c>
    </row>
    <row r="155">
      <c r="A155" s="15">
        <f t="shared" si="3"/>
        <v>154</v>
      </c>
      <c r="B155" s="15"/>
      <c r="C155" s="15"/>
      <c r="D155" s="15"/>
      <c r="E155" s="15"/>
      <c r="F155" s="15"/>
      <c r="G155" s="15"/>
      <c r="H155" s="15"/>
      <c r="I155" s="16"/>
      <c r="J155" s="16"/>
      <c r="K155" s="16"/>
      <c r="L155" s="17"/>
      <c r="M155" s="18"/>
      <c r="N155" s="15"/>
      <c r="O155" s="19" t="str">
        <f t="shared" si="1"/>
        <v/>
      </c>
      <c r="P155" s="19">
        <f t="shared" si="4"/>
        <v>2.850687619</v>
      </c>
    </row>
    <row r="156">
      <c r="A156" s="8">
        <f t="shared" si="3"/>
        <v>155</v>
      </c>
      <c r="B156" s="8"/>
      <c r="C156" s="8"/>
      <c r="D156" s="8"/>
      <c r="E156" s="8"/>
      <c r="F156" s="8"/>
      <c r="G156" s="8"/>
      <c r="H156" s="8"/>
      <c r="I156" s="9"/>
      <c r="J156" s="9"/>
      <c r="K156" s="9"/>
      <c r="L156" s="10"/>
      <c r="M156" s="11"/>
      <c r="N156" s="8"/>
      <c r="O156" s="12" t="str">
        <f t="shared" si="1"/>
        <v/>
      </c>
      <c r="P156" s="12">
        <f t="shared" si="4"/>
        <v>2.850687619</v>
      </c>
    </row>
    <row r="157">
      <c r="A157" s="15">
        <f t="shared" si="3"/>
        <v>156</v>
      </c>
      <c r="B157" s="15"/>
      <c r="C157" s="15"/>
      <c r="D157" s="15"/>
      <c r="E157" s="15"/>
      <c r="F157" s="15"/>
      <c r="G157" s="15"/>
      <c r="H157" s="15"/>
      <c r="I157" s="16"/>
      <c r="J157" s="16"/>
      <c r="K157" s="16"/>
      <c r="L157" s="17"/>
      <c r="M157" s="18"/>
      <c r="N157" s="15"/>
      <c r="O157" s="19" t="str">
        <f t="shared" si="1"/>
        <v/>
      </c>
      <c r="P157" s="19">
        <f t="shared" si="4"/>
        <v>2.850687619</v>
      </c>
    </row>
    <row r="158">
      <c r="A158" s="8">
        <f t="shared" si="3"/>
        <v>157</v>
      </c>
      <c r="B158" s="8"/>
      <c r="C158" s="8"/>
      <c r="D158" s="8"/>
      <c r="E158" s="8"/>
      <c r="F158" s="8"/>
      <c r="G158" s="8"/>
      <c r="H158" s="8"/>
      <c r="I158" s="9"/>
      <c r="J158" s="9"/>
      <c r="K158" s="9"/>
      <c r="L158" s="10"/>
      <c r="M158" s="11"/>
      <c r="N158" s="8"/>
      <c r="O158" s="12" t="str">
        <f t="shared" si="1"/>
        <v/>
      </c>
      <c r="P158" s="12">
        <f t="shared" si="4"/>
        <v>2.850687619</v>
      </c>
    </row>
    <row r="159">
      <c r="A159" s="15">
        <f t="shared" si="3"/>
        <v>158</v>
      </c>
      <c r="B159" s="15"/>
      <c r="C159" s="15"/>
      <c r="D159" s="15"/>
      <c r="E159" s="15"/>
      <c r="F159" s="15"/>
      <c r="G159" s="15"/>
      <c r="H159" s="15"/>
      <c r="I159" s="16"/>
      <c r="J159" s="16"/>
      <c r="K159" s="16"/>
      <c r="L159" s="17"/>
      <c r="M159" s="18"/>
      <c r="N159" s="15"/>
      <c r="O159" s="19" t="str">
        <f t="shared" si="1"/>
        <v/>
      </c>
      <c r="P159" s="19">
        <f t="shared" si="4"/>
        <v>2.850687619</v>
      </c>
    </row>
    <row r="160">
      <c r="A160" s="8">
        <f t="shared" si="3"/>
        <v>159</v>
      </c>
      <c r="B160" s="8"/>
      <c r="C160" s="8"/>
      <c r="D160" s="8"/>
      <c r="E160" s="8"/>
      <c r="F160" s="8"/>
      <c r="G160" s="8"/>
      <c r="H160" s="8"/>
      <c r="I160" s="9"/>
      <c r="J160" s="9"/>
      <c r="K160" s="9"/>
      <c r="L160" s="10"/>
      <c r="M160" s="11"/>
      <c r="N160" s="8"/>
      <c r="O160" s="12" t="str">
        <f t="shared" si="1"/>
        <v/>
      </c>
      <c r="P160" s="12">
        <f t="shared" si="4"/>
        <v>2.850687619</v>
      </c>
    </row>
    <row r="161">
      <c r="A161" s="15">
        <f t="shared" si="3"/>
        <v>160</v>
      </c>
      <c r="B161" s="15"/>
      <c r="C161" s="15"/>
      <c r="D161" s="15"/>
      <c r="E161" s="15"/>
      <c r="F161" s="15"/>
      <c r="G161" s="15"/>
      <c r="H161" s="15"/>
      <c r="I161" s="16"/>
      <c r="J161" s="16"/>
      <c r="K161" s="16"/>
      <c r="L161" s="17"/>
      <c r="M161" s="18"/>
      <c r="N161" s="15"/>
      <c r="O161" s="19" t="str">
        <f t="shared" si="1"/>
        <v/>
      </c>
      <c r="P161" s="19">
        <f t="shared" si="4"/>
        <v>2.850687619</v>
      </c>
    </row>
    <row r="162">
      <c r="A162" s="8">
        <f t="shared" si="3"/>
        <v>161</v>
      </c>
      <c r="B162" s="8"/>
      <c r="C162" s="8"/>
      <c r="D162" s="8"/>
      <c r="E162" s="8"/>
      <c r="F162" s="8"/>
      <c r="G162" s="8"/>
      <c r="H162" s="8"/>
      <c r="I162" s="9"/>
      <c r="J162" s="9"/>
      <c r="K162" s="9"/>
      <c r="L162" s="10"/>
      <c r="M162" s="11"/>
      <c r="N162" s="8"/>
      <c r="O162" s="12" t="str">
        <f t="shared" si="1"/>
        <v/>
      </c>
      <c r="P162" s="12">
        <f t="shared" si="4"/>
        <v>2.850687619</v>
      </c>
    </row>
    <row r="163">
      <c r="A163" s="15">
        <f t="shared" si="3"/>
        <v>162</v>
      </c>
      <c r="B163" s="15"/>
      <c r="C163" s="15"/>
      <c r="D163" s="15"/>
      <c r="E163" s="15"/>
      <c r="F163" s="15"/>
      <c r="G163" s="15"/>
      <c r="H163" s="15"/>
      <c r="I163" s="16"/>
      <c r="J163" s="16"/>
      <c r="K163" s="16"/>
      <c r="L163" s="17"/>
      <c r="M163" s="18"/>
      <c r="N163" s="15"/>
      <c r="O163" s="19" t="str">
        <f t="shared" si="1"/>
        <v/>
      </c>
      <c r="P163" s="19">
        <f t="shared" si="4"/>
        <v>2.850687619</v>
      </c>
    </row>
    <row r="164">
      <c r="A164" s="8">
        <f t="shared" si="3"/>
        <v>163</v>
      </c>
      <c r="B164" s="8"/>
      <c r="C164" s="8"/>
      <c r="D164" s="8"/>
      <c r="E164" s="8"/>
      <c r="F164" s="8"/>
      <c r="G164" s="8"/>
      <c r="H164" s="8"/>
      <c r="I164" s="9"/>
      <c r="J164" s="9"/>
      <c r="K164" s="9"/>
      <c r="L164" s="10"/>
      <c r="M164" s="11"/>
      <c r="N164" s="8"/>
      <c r="O164" s="12" t="str">
        <f t="shared" si="1"/>
        <v/>
      </c>
      <c r="P164" s="12">
        <f t="shared" si="4"/>
        <v>2.850687619</v>
      </c>
    </row>
    <row r="165">
      <c r="A165" s="15">
        <f t="shared" si="3"/>
        <v>164</v>
      </c>
      <c r="B165" s="15"/>
      <c r="C165" s="15"/>
      <c r="D165" s="15"/>
      <c r="E165" s="15"/>
      <c r="F165" s="15"/>
      <c r="G165" s="15"/>
      <c r="H165" s="15"/>
      <c r="I165" s="16"/>
      <c r="J165" s="16"/>
      <c r="K165" s="16"/>
      <c r="L165" s="17"/>
      <c r="M165" s="18"/>
      <c r="N165" s="15"/>
      <c r="O165" s="19" t="str">
        <f t="shared" si="1"/>
        <v/>
      </c>
      <c r="P165" s="19">
        <f t="shared" si="4"/>
        <v>2.850687619</v>
      </c>
    </row>
    <row r="166">
      <c r="A166" s="8">
        <f t="shared" si="3"/>
        <v>165</v>
      </c>
      <c r="B166" s="8"/>
      <c r="C166" s="8"/>
      <c r="D166" s="8"/>
      <c r="E166" s="8"/>
      <c r="F166" s="8"/>
      <c r="G166" s="8"/>
      <c r="H166" s="8"/>
      <c r="I166" s="9"/>
      <c r="J166" s="9"/>
      <c r="K166" s="9"/>
      <c r="L166" s="10"/>
      <c r="M166" s="11"/>
      <c r="N166" s="8"/>
      <c r="O166" s="12" t="str">
        <f t="shared" si="1"/>
        <v/>
      </c>
      <c r="P166" s="12">
        <f t="shared" si="4"/>
        <v>2.850687619</v>
      </c>
    </row>
    <row r="167">
      <c r="A167" s="15">
        <f t="shared" si="3"/>
        <v>166</v>
      </c>
      <c r="B167" s="15"/>
      <c r="C167" s="15"/>
      <c r="D167" s="15"/>
      <c r="E167" s="15"/>
      <c r="F167" s="15"/>
      <c r="G167" s="15"/>
      <c r="H167" s="15"/>
      <c r="I167" s="16"/>
      <c r="J167" s="16"/>
      <c r="K167" s="16"/>
      <c r="L167" s="17"/>
      <c r="M167" s="18"/>
      <c r="N167" s="15"/>
      <c r="O167" s="19" t="str">
        <f t="shared" si="1"/>
        <v/>
      </c>
      <c r="P167" s="19">
        <f t="shared" si="4"/>
        <v>2.850687619</v>
      </c>
    </row>
    <row r="168">
      <c r="A168" s="8">
        <f t="shared" si="3"/>
        <v>167</v>
      </c>
      <c r="B168" s="8"/>
      <c r="C168" s="8"/>
      <c r="D168" s="8"/>
      <c r="E168" s="8"/>
      <c r="F168" s="8"/>
      <c r="G168" s="8"/>
      <c r="H168" s="8"/>
      <c r="I168" s="9"/>
      <c r="J168" s="9"/>
      <c r="K168" s="9"/>
      <c r="L168" s="10"/>
      <c r="M168" s="11"/>
      <c r="N168" s="8"/>
      <c r="O168" s="12" t="str">
        <f t="shared" si="1"/>
        <v/>
      </c>
      <c r="P168" s="12">
        <f t="shared" si="4"/>
        <v>2.850687619</v>
      </c>
    </row>
    <row r="169">
      <c r="A169" s="15">
        <f t="shared" si="3"/>
        <v>168</v>
      </c>
      <c r="B169" s="15"/>
      <c r="C169" s="15"/>
      <c r="D169" s="15"/>
      <c r="E169" s="15"/>
      <c r="F169" s="15"/>
      <c r="G169" s="15"/>
      <c r="H169" s="15"/>
      <c r="I169" s="16"/>
      <c r="J169" s="16"/>
      <c r="K169" s="16"/>
      <c r="L169" s="17"/>
      <c r="M169" s="18"/>
      <c r="N169" s="15"/>
      <c r="O169" s="19" t="str">
        <f t="shared" si="1"/>
        <v/>
      </c>
      <c r="P169" s="19">
        <f t="shared" si="4"/>
        <v>2.850687619</v>
      </c>
    </row>
    <row r="170">
      <c r="A170" s="8">
        <f t="shared" si="3"/>
        <v>169</v>
      </c>
      <c r="B170" s="8"/>
      <c r="C170" s="8"/>
      <c r="D170" s="8"/>
      <c r="E170" s="8"/>
      <c r="F170" s="8"/>
      <c r="G170" s="8"/>
      <c r="H170" s="8"/>
      <c r="I170" s="9"/>
      <c r="J170" s="9"/>
      <c r="K170" s="9"/>
      <c r="L170" s="10"/>
      <c r="M170" s="11"/>
      <c r="N170" s="8"/>
      <c r="O170" s="12" t="str">
        <f t="shared" si="1"/>
        <v/>
      </c>
      <c r="P170" s="12">
        <f t="shared" si="4"/>
        <v>2.850687619</v>
      </c>
    </row>
    <row r="171">
      <c r="A171" s="15">
        <f t="shared" si="3"/>
        <v>170</v>
      </c>
      <c r="B171" s="15"/>
      <c r="C171" s="15"/>
      <c r="D171" s="15"/>
      <c r="E171" s="15"/>
      <c r="F171" s="15"/>
      <c r="G171" s="15"/>
      <c r="H171" s="15"/>
      <c r="I171" s="16"/>
      <c r="J171" s="16"/>
      <c r="K171" s="16"/>
      <c r="L171" s="17"/>
      <c r="M171" s="18"/>
      <c r="N171" s="15"/>
      <c r="O171" s="19" t="str">
        <f t="shared" si="1"/>
        <v/>
      </c>
      <c r="P171" s="19">
        <f t="shared" si="4"/>
        <v>2.850687619</v>
      </c>
    </row>
    <row r="172">
      <c r="A172" s="8">
        <f t="shared" si="3"/>
        <v>171</v>
      </c>
      <c r="B172" s="8"/>
      <c r="C172" s="8"/>
      <c r="D172" s="8"/>
      <c r="E172" s="8"/>
      <c r="F172" s="8"/>
      <c r="G172" s="8"/>
      <c r="H172" s="8"/>
      <c r="I172" s="9"/>
      <c r="J172" s="9"/>
      <c r="K172" s="9"/>
      <c r="L172" s="10"/>
      <c r="M172" s="11"/>
      <c r="N172" s="8"/>
      <c r="O172" s="12" t="str">
        <f t="shared" si="1"/>
        <v/>
      </c>
      <c r="P172" s="12">
        <f t="shared" si="4"/>
        <v>2.850687619</v>
      </c>
    </row>
    <row r="173">
      <c r="A173" s="15">
        <f t="shared" si="3"/>
        <v>172</v>
      </c>
      <c r="B173" s="15"/>
      <c r="C173" s="15"/>
      <c r="D173" s="15"/>
      <c r="E173" s="15"/>
      <c r="F173" s="15"/>
      <c r="G173" s="15"/>
      <c r="H173" s="15"/>
      <c r="I173" s="16"/>
      <c r="J173" s="16"/>
      <c r="K173" s="16"/>
      <c r="L173" s="17"/>
      <c r="M173" s="18"/>
      <c r="N173" s="15"/>
      <c r="O173" s="19" t="str">
        <f t="shared" si="1"/>
        <v/>
      </c>
      <c r="P173" s="19">
        <f t="shared" si="4"/>
        <v>2.850687619</v>
      </c>
    </row>
    <row r="174">
      <c r="A174" s="8">
        <f t="shared" si="3"/>
        <v>173</v>
      </c>
      <c r="B174" s="8"/>
      <c r="C174" s="8"/>
      <c r="D174" s="8"/>
      <c r="E174" s="8"/>
      <c r="F174" s="8"/>
      <c r="G174" s="8"/>
      <c r="H174" s="8"/>
      <c r="I174" s="9"/>
      <c r="J174" s="9"/>
      <c r="K174" s="9"/>
      <c r="L174" s="10"/>
      <c r="M174" s="11"/>
      <c r="N174" s="8"/>
      <c r="O174" s="12" t="str">
        <f t="shared" si="1"/>
        <v/>
      </c>
      <c r="P174" s="12">
        <f t="shared" si="4"/>
        <v>2.850687619</v>
      </c>
    </row>
    <row r="175">
      <c r="A175" s="15">
        <f t="shared" si="3"/>
        <v>174</v>
      </c>
      <c r="B175" s="15"/>
      <c r="C175" s="15"/>
      <c r="D175" s="15"/>
      <c r="E175" s="15"/>
      <c r="F175" s="15"/>
      <c r="G175" s="15"/>
      <c r="H175" s="15"/>
      <c r="I175" s="16"/>
      <c r="J175" s="16"/>
      <c r="K175" s="16"/>
      <c r="L175" s="17"/>
      <c r="M175" s="18"/>
      <c r="N175" s="15"/>
      <c r="O175" s="19" t="str">
        <f t="shared" si="1"/>
        <v/>
      </c>
      <c r="P175" s="19">
        <f t="shared" si="4"/>
        <v>2.850687619</v>
      </c>
    </row>
    <row r="176">
      <c r="A176" s="8">
        <f t="shared" si="3"/>
        <v>175</v>
      </c>
      <c r="B176" s="8"/>
      <c r="C176" s="8"/>
      <c r="D176" s="8"/>
      <c r="E176" s="8"/>
      <c r="F176" s="8"/>
      <c r="G176" s="8"/>
      <c r="H176" s="8"/>
      <c r="I176" s="9"/>
      <c r="J176" s="9"/>
      <c r="K176" s="9"/>
      <c r="L176" s="10"/>
      <c r="M176" s="11"/>
      <c r="N176" s="8"/>
      <c r="O176" s="12" t="str">
        <f t="shared" si="1"/>
        <v/>
      </c>
      <c r="P176" s="12">
        <f t="shared" si="4"/>
        <v>2.850687619</v>
      </c>
    </row>
    <row r="177">
      <c r="A177" s="15">
        <f t="shared" si="3"/>
        <v>176</v>
      </c>
      <c r="B177" s="15"/>
      <c r="C177" s="15"/>
      <c r="D177" s="15"/>
      <c r="E177" s="15"/>
      <c r="F177" s="15"/>
      <c r="G177" s="15"/>
      <c r="H177" s="15"/>
      <c r="I177" s="16"/>
      <c r="J177" s="16"/>
      <c r="K177" s="16"/>
      <c r="L177" s="17"/>
      <c r="M177" s="18"/>
      <c r="N177" s="15"/>
      <c r="O177" s="19" t="str">
        <f t="shared" si="1"/>
        <v/>
      </c>
      <c r="P177" s="19">
        <f t="shared" si="4"/>
        <v>2.850687619</v>
      </c>
    </row>
    <row r="178">
      <c r="A178" s="8">
        <f t="shared" si="3"/>
        <v>177</v>
      </c>
      <c r="B178" s="8"/>
      <c r="C178" s="8"/>
      <c r="D178" s="8"/>
      <c r="E178" s="8"/>
      <c r="F178" s="8"/>
      <c r="G178" s="8"/>
      <c r="H178" s="8"/>
      <c r="I178" s="9"/>
      <c r="J178" s="9"/>
      <c r="K178" s="9"/>
      <c r="L178" s="10"/>
      <c r="M178" s="11"/>
      <c r="N178" s="8"/>
      <c r="O178" s="12" t="str">
        <f t="shared" si="1"/>
        <v/>
      </c>
      <c r="P178" s="12">
        <f t="shared" si="4"/>
        <v>2.850687619</v>
      </c>
    </row>
    <row r="179">
      <c r="A179" s="15">
        <f t="shared" si="3"/>
        <v>178</v>
      </c>
      <c r="B179" s="15"/>
      <c r="C179" s="15"/>
      <c r="D179" s="15"/>
      <c r="E179" s="15"/>
      <c r="F179" s="15"/>
      <c r="G179" s="15"/>
      <c r="H179" s="15"/>
      <c r="I179" s="16"/>
      <c r="J179" s="16"/>
      <c r="K179" s="16"/>
      <c r="L179" s="17"/>
      <c r="M179" s="18"/>
      <c r="N179" s="15"/>
      <c r="O179" s="19" t="str">
        <f t="shared" si="1"/>
        <v/>
      </c>
      <c r="P179" s="19">
        <f t="shared" si="4"/>
        <v>2.850687619</v>
      </c>
    </row>
    <row r="180">
      <c r="A180" s="8">
        <f t="shared" si="3"/>
        <v>179</v>
      </c>
      <c r="B180" s="8"/>
      <c r="C180" s="8"/>
      <c r="D180" s="8"/>
      <c r="E180" s="8"/>
      <c r="F180" s="8"/>
      <c r="G180" s="8"/>
      <c r="H180" s="8"/>
      <c r="I180" s="9"/>
      <c r="J180" s="9"/>
      <c r="K180" s="9"/>
      <c r="L180" s="10"/>
      <c r="M180" s="11"/>
      <c r="N180" s="8"/>
      <c r="O180" s="12" t="str">
        <f t="shared" si="1"/>
        <v/>
      </c>
      <c r="P180" s="12">
        <f t="shared" si="4"/>
        <v>2.850687619</v>
      </c>
    </row>
    <row r="181">
      <c r="A181" s="15">
        <f t="shared" si="3"/>
        <v>180</v>
      </c>
      <c r="B181" s="15"/>
      <c r="C181" s="15"/>
      <c r="D181" s="15"/>
      <c r="E181" s="15"/>
      <c r="F181" s="15"/>
      <c r="G181" s="15"/>
      <c r="H181" s="15"/>
      <c r="I181" s="16"/>
      <c r="J181" s="16"/>
      <c r="K181" s="16"/>
      <c r="L181" s="17"/>
      <c r="M181" s="18"/>
      <c r="N181" s="15"/>
      <c r="O181" s="19" t="str">
        <f t="shared" si="1"/>
        <v/>
      </c>
      <c r="P181" s="19">
        <f t="shared" si="4"/>
        <v>2.850687619</v>
      </c>
    </row>
    <row r="182">
      <c r="A182" s="8">
        <f t="shared" si="3"/>
        <v>181</v>
      </c>
      <c r="B182" s="8"/>
      <c r="C182" s="8"/>
      <c r="D182" s="8"/>
      <c r="E182" s="8"/>
      <c r="F182" s="8"/>
      <c r="G182" s="8"/>
      <c r="H182" s="8"/>
      <c r="I182" s="9"/>
      <c r="J182" s="9"/>
      <c r="K182" s="9"/>
      <c r="L182" s="10"/>
      <c r="M182" s="11"/>
      <c r="N182" s="8"/>
      <c r="O182" s="12" t="str">
        <f t="shared" si="1"/>
        <v/>
      </c>
      <c r="P182" s="12">
        <f t="shared" si="4"/>
        <v>2.850687619</v>
      </c>
    </row>
    <row r="183">
      <c r="A183" s="15">
        <f t="shared" si="3"/>
        <v>182</v>
      </c>
      <c r="B183" s="15"/>
      <c r="C183" s="15"/>
      <c r="D183" s="15"/>
      <c r="E183" s="15"/>
      <c r="F183" s="15"/>
      <c r="G183" s="15"/>
      <c r="H183" s="15"/>
      <c r="I183" s="16"/>
      <c r="J183" s="16"/>
      <c r="K183" s="16"/>
      <c r="L183" s="17"/>
      <c r="M183" s="18"/>
      <c r="N183" s="15"/>
      <c r="O183" s="19" t="str">
        <f t="shared" si="1"/>
        <v/>
      </c>
      <c r="P183" s="19">
        <f t="shared" si="4"/>
        <v>2.850687619</v>
      </c>
    </row>
    <row r="184">
      <c r="A184" s="8">
        <f t="shared" si="3"/>
        <v>183</v>
      </c>
      <c r="B184" s="8"/>
      <c r="C184" s="8"/>
      <c r="D184" s="8"/>
      <c r="E184" s="8"/>
      <c r="F184" s="8"/>
      <c r="G184" s="8"/>
      <c r="H184" s="8"/>
      <c r="I184" s="9"/>
      <c r="J184" s="9"/>
      <c r="K184" s="9"/>
      <c r="L184" s="10"/>
      <c r="M184" s="11"/>
      <c r="N184" s="8"/>
      <c r="O184" s="12" t="str">
        <f t="shared" si="1"/>
        <v/>
      </c>
      <c r="P184" s="12">
        <f t="shared" si="4"/>
        <v>2.850687619</v>
      </c>
    </row>
    <row r="185">
      <c r="A185" s="15">
        <f t="shared" si="3"/>
        <v>184</v>
      </c>
      <c r="B185" s="15"/>
      <c r="C185" s="15"/>
      <c r="D185" s="15"/>
      <c r="E185" s="15"/>
      <c r="F185" s="15"/>
      <c r="G185" s="15"/>
      <c r="H185" s="15"/>
      <c r="I185" s="16"/>
      <c r="J185" s="16"/>
      <c r="K185" s="16"/>
      <c r="L185" s="17"/>
      <c r="M185" s="18"/>
      <c r="N185" s="15"/>
      <c r="O185" s="19" t="str">
        <f t="shared" si="1"/>
        <v/>
      </c>
      <c r="P185" s="19">
        <f t="shared" si="4"/>
        <v>2.850687619</v>
      </c>
    </row>
    <row r="186">
      <c r="A186" s="8">
        <f t="shared" si="3"/>
        <v>185</v>
      </c>
      <c r="B186" s="8"/>
      <c r="C186" s="8"/>
      <c r="D186" s="8"/>
      <c r="E186" s="8"/>
      <c r="F186" s="8"/>
      <c r="G186" s="8"/>
      <c r="H186" s="8"/>
      <c r="I186" s="9"/>
      <c r="J186" s="9"/>
      <c r="K186" s="9"/>
      <c r="L186" s="10"/>
      <c r="M186" s="11"/>
      <c r="N186" s="8"/>
      <c r="O186" s="12" t="str">
        <f t="shared" si="1"/>
        <v/>
      </c>
      <c r="P186" s="12">
        <f t="shared" si="4"/>
        <v>2.850687619</v>
      </c>
    </row>
    <row r="187">
      <c r="A187" s="15">
        <f t="shared" si="3"/>
        <v>186</v>
      </c>
      <c r="B187" s="15"/>
      <c r="C187" s="15"/>
      <c r="D187" s="15"/>
      <c r="E187" s="15"/>
      <c r="F187" s="15"/>
      <c r="G187" s="15"/>
      <c r="H187" s="15"/>
      <c r="I187" s="16"/>
      <c r="J187" s="16"/>
      <c r="K187" s="16"/>
      <c r="L187" s="17"/>
      <c r="M187" s="18"/>
      <c r="N187" s="15"/>
      <c r="O187" s="19" t="str">
        <f t="shared" si="1"/>
        <v/>
      </c>
      <c r="P187" s="19">
        <f t="shared" si="4"/>
        <v>2.850687619</v>
      </c>
    </row>
    <row r="188">
      <c r="A188" s="8">
        <f t="shared" si="3"/>
        <v>187</v>
      </c>
      <c r="B188" s="8"/>
      <c r="C188" s="8"/>
      <c r="D188" s="8"/>
      <c r="E188" s="8"/>
      <c r="F188" s="8"/>
      <c r="G188" s="8"/>
      <c r="H188" s="8"/>
      <c r="I188" s="9"/>
      <c r="J188" s="9"/>
      <c r="K188" s="9"/>
      <c r="L188" s="10"/>
      <c r="M188" s="11"/>
      <c r="N188" s="8"/>
      <c r="O188" s="12" t="str">
        <f t="shared" si="1"/>
        <v/>
      </c>
      <c r="P188" s="12">
        <f t="shared" si="4"/>
        <v>2.850687619</v>
      </c>
    </row>
    <row r="189">
      <c r="A189" s="15">
        <f t="shared" si="3"/>
        <v>188</v>
      </c>
      <c r="B189" s="15"/>
      <c r="C189" s="15"/>
      <c r="D189" s="15"/>
      <c r="E189" s="15"/>
      <c r="F189" s="15"/>
      <c r="G189" s="15"/>
      <c r="H189" s="15"/>
      <c r="I189" s="16"/>
      <c r="J189" s="16"/>
      <c r="K189" s="16"/>
      <c r="L189" s="17"/>
      <c r="M189" s="18"/>
      <c r="N189" s="15"/>
      <c r="O189" s="19" t="str">
        <f t="shared" si="1"/>
        <v/>
      </c>
      <c r="P189" s="19">
        <f t="shared" si="4"/>
        <v>2.850687619</v>
      </c>
    </row>
    <row r="190">
      <c r="A190" s="8">
        <f t="shared" si="3"/>
        <v>189</v>
      </c>
      <c r="B190" s="8"/>
      <c r="C190" s="8"/>
      <c r="D190" s="8"/>
      <c r="E190" s="8"/>
      <c r="F190" s="8"/>
      <c r="G190" s="8"/>
      <c r="H190" s="8"/>
      <c r="I190" s="9"/>
      <c r="J190" s="9"/>
      <c r="K190" s="9"/>
      <c r="L190" s="10"/>
      <c r="M190" s="11"/>
      <c r="N190" s="8"/>
      <c r="O190" s="12" t="str">
        <f t="shared" si="1"/>
        <v/>
      </c>
      <c r="P190" s="12">
        <f t="shared" si="4"/>
        <v>2.850687619</v>
      </c>
    </row>
    <row r="191">
      <c r="A191" s="15">
        <f t="shared" si="3"/>
        <v>190</v>
      </c>
      <c r="B191" s="15"/>
      <c r="C191" s="15"/>
      <c r="D191" s="15"/>
      <c r="E191" s="15"/>
      <c r="F191" s="15"/>
      <c r="G191" s="15"/>
      <c r="H191" s="15"/>
      <c r="I191" s="16"/>
      <c r="J191" s="16"/>
      <c r="K191" s="16"/>
      <c r="L191" s="17"/>
      <c r="M191" s="18"/>
      <c r="N191" s="15"/>
      <c r="O191" s="19" t="str">
        <f t="shared" si="1"/>
        <v/>
      </c>
      <c r="P191" s="19">
        <f t="shared" si="4"/>
        <v>2.850687619</v>
      </c>
    </row>
    <row r="192">
      <c r="A192" s="8">
        <f t="shared" si="3"/>
        <v>191</v>
      </c>
      <c r="B192" s="8"/>
      <c r="C192" s="8"/>
      <c r="D192" s="8"/>
      <c r="E192" s="8"/>
      <c r="F192" s="8"/>
      <c r="G192" s="8"/>
      <c r="H192" s="8"/>
      <c r="I192" s="9"/>
      <c r="J192" s="9"/>
      <c r="K192" s="9"/>
      <c r="L192" s="10"/>
      <c r="M192" s="11"/>
      <c r="N192" s="8"/>
      <c r="O192" s="12" t="str">
        <f t="shared" si="1"/>
        <v/>
      </c>
      <c r="P192" s="12">
        <f t="shared" si="4"/>
        <v>2.850687619</v>
      </c>
    </row>
    <row r="193">
      <c r="A193" s="15">
        <f t="shared" si="3"/>
        <v>192</v>
      </c>
      <c r="B193" s="15"/>
      <c r="C193" s="15"/>
      <c r="D193" s="15"/>
      <c r="E193" s="15"/>
      <c r="F193" s="15"/>
      <c r="G193" s="15"/>
      <c r="H193" s="15"/>
      <c r="I193" s="16"/>
      <c r="J193" s="16"/>
      <c r="K193" s="16"/>
      <c r="L193" s="17"/>
      <c r="M193" s="18"/>
      <c r="N193" s="15"/>
      <c r="O193" s="19" t="str">
        <f t="shared" si="1"/>
        <v/>
      </c>
      <c r="P193" s="19">
        <f t="shared" si="4"/>
        <v>2.850687619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9"/>
      <c r="J194" s="9"/>
      <c r="K194" s="9"/>
      <c r="L194" s="10"/>
      <c r="M194" s="11"/>
      <c r="N194" s="8"/>
      <c r="O194" s="12" t="str">
        <f t="shared" si="1"/>
        <v/>
      </c>
      <c r="P194" s="12">
        <f t="shared" si="4"/>
        <v>2.850687619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6"/>
      <c r="J195" s="16"/>
      <c r="K195" s="16"/>
      <c r="L195" s="17"/>
      <c r="M195" s="18"/>
      <c r="N195" s="15"/>
      <c r="O195" s="19" t="str">
        <f t="shared" si="1"/>
        <v/>
      </c>
      <c r="P195" s="19">
        <f t="shared" si="4"/>
        <v>2.850687619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9"/>
      <c r="J196" s="9"/>
      <c r="K196" s="9"/>
      <c r="L196" s="10"/>
      <c r="M196" s="11"/>
      <c r="N196" s="8"/>
      <c r="O196" s="12" t="str">
        <f t="shared" si="1"/>
        <v/>
      </c>
      <c r="P196" s="12">
        <f t="shared" si="4"/>
        <v>2.850687619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6"/>
      <c r="J197" s="16"/>
      <c r="K197" s="16"/>
      <c r="L197" s="17"/>
      <c r="M197" s="18"/>
      <c r="N197" s="15"/>
      <c r="O197" s="19" t="str">
        <f t="shared" si="1"/>
        <v/>
      </c>
      <c r="P197" s="19">
        <f t="shared" si="4"/>
        <v>2.850687619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9"/>
      <c r="J198" s="9"/>
      <c r="K198" s="9"/>
      <c r="L198" s="10"/>
      <c r="M198" s="11"/>
      <c r="N198" s="8"/>
      <c r="O198" s="12" t="str">
        <f t="shared" si="1"/>
        <v/>
      </c>
      <c r="P198" s="12">
        <f t="shared" si="4"/>
        <v>2.850687619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6"/>
      <c r="J199" s="16"/>
      <c r="K199" s="16"/>
      <c r="L199" s="17"/>
      <c r="M199" s="18"/>
      <c r="N199" s="15"/>
      <c r="O199" s="19" t="str">
        <f t="shared" si="1"/>
        <v/>
      </c>
      <c r="P199" s="19">
        <f t="shared" si="4"/>
        <v>2.850687619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9"/>
      <c r="J200" s="9"/>
      <c r="K200" s="9"/>
      <c r="L200" s="10"/>
      <c r="M200" s="11"/>
      <c r="N200" s="8"/>
      <c r="O200" s="12" t="str">
        <f t="shared" si="1"/>
        <v/>
      </c>
      <c r="P200" s="12">
        <f t="shared" si="4"/>
        <v>2.850687619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6"/>
      <c r="J201" s="16"/>
      <c r="K201" s="16"/>
      <c r="L201" s="17"/>
      <c r="M201" s="18"/>
      <c r="N201" s="15"/>
      <c r="O201" s="19" t="str">
        <f t="shared" si="1"/>
        <v/>
      </c>
      <c r="P201" s="19">
        <f t="shared" si="4"/>
        <v>2.850687619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9"/>
      <c r="J202" s="9"/>
      <c r="K202" s="9"/>
      <c r="L202" s="10"/>
      <c r="M202" s="11"/>
      <c r="N202" s="8"/>
      <c r="O202" s="12" t="str">
        <f t="shared" si="1"/>
        <v/>
      </c>
      <c r="P202" s="12">
        <f t="shared" si="4"/>
        <v>2.850687619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6"/>
      <c r="J203" s="16"/>
      <c r="K203" s="16"/>
      <c r="L203" s="17"/>
      <c r="M203" s="18"/>
      <c r="N203" s="15"/>
      <c r="O203" s="19" t="str">
        <f t="shared" si="1"/>
        <v/>
      </c>
      <c r="P203" s="19">
        <f t="shared" si="4"/>
        <v>2.850687619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9"/>
      <c r="J204" s="9"/>
      <c r="K204" s="9"/>
      <c r="L204" s="10"/>
      <c r="M204" s="11"/>
      <c r="N204" s="8"/>
      <c r="O204" s="12" t="str">
        <f t="shared" si="1"/>
        <v/>
      </c>
      <c r="P204" s="12">
        <f t="shared" si="4"/>
        <v>2.850687619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6"/>
      <c r="J205" s="16"/>
      <c r="K205" s="16"/>
      <c r="L205" s="17"/>
      <c r="M205" s="18"/>
      <c r="N205" s="15"/>
      <c r="O205" s="19" t="str">
        <f t="shared" si="1"/>
        <v/>
      </c>
      <c r="P205" s="19">
        <f t="shared" si="4"/>
        <v>2.850687619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9"/>
      <c r="J206" s="9"/>
      <c r="K206" s="9"/>
      <c r="L206" s="10"/>
      <c r="M206" s="11"/>
      <c r="N206" s="8"/>
      <c r="O206" s="12" t="str">
        <f t="shared" si="1"/>
        <v/>
      </c>
      <c r="P206" s="12">
        <f t="shared" si="4"/>
        <v>2.850687619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6"/>
      <c r="J207" s="16"/>
      <c r="K207" s="16"/>
      <c r="L207" s="17"/>
      <c r="M207" s="18"/>
      <c r="N207" s="15"/>
      <c r="O207" s="19" t="str">
        <f t="shared" si="1"/>
        <v/>
      </c>
      <c r="P207" s="19">
        <f t="shared" si="4"/>
        <v>2.850687619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9"/>
      <c r="J208" s="9"/>
      <c r="K208" s="9"/>
      <c r="L208" s="10"/>
      <c r="M208" s="11"/>
      <c r="N208" s="8"/>
      <c r="O208" s="12" t="str">
        <f t="shared" si="1"/>
        <v/>
      </c>
      <c r="P208" s="12">
        <f t="shared" si="4"/>
        <v>2.850687619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6"/>
      <c r="J209" s="16"/>
      <c r="K209" s="16"/>
      <c r="L209" s="17"/>
      <c r="M209" s="18"/>
      <c r="N209" s="15"/>
      <c r="O209" s="19" t="str">
        <f t="shared" si="1"/>
        <v/>
      </c>
      <c r="P209" s="19">
        <f t="shared" si="4"/>
        <v>2.850687619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9"/>
      <c r="J210" s="9"/>
      <c r="K210" s="9"/>
      <c r="L210" s="10"/>
      <c r="M210" s="11"/>
      <c r="N210" s="8"/>
      <c r="O210" s="12" t="str">
        <f t="shared" si="1"/>
        <v/>
      </c>
      <c r="P210" s="12">
        <f t="shared" si="4"/>
        <v>2.850687619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6"/>
      <c r="J211" s="16"/>
      <c r="K211" s="16"/>
      <c r="L211" s="17"/>
      <c r="M211" s="18"/>
      <c r="N211" s="15"/>
      <c r="O211" s="19" t="str">
        <f t="shared" si="1"/>
        <v/>
      </c>
      <c r="P211" s="19">
        <f t="shared" si="4"/>
        <v>2.850687619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9"/>
      <c r="J212" s="9"/>
      <c r="K212" s="9"/>
      <c r="L212" s="10"/>
      <c r="M212" s="11"/>
      <c r="N212" s="8"/>
      <c r="O212" s="12" t="str">
        <f t="shared" si="1"/>
        <v/>
      </c>
      <c r="P212" s="12">
        <f t="shared" si="4"/>
        <v>2.850687619</v>
      </c>
    </row>
    <row r="213">
      <c r="A213" s="15">
        <f t="shared" si="3"/>
        <v>212</v>
      </c>
      <c r="B213" s="15"/>
      <c r="C213" s="15"/>
      <c r="D213" s="15"/>
      <c r="E213" s="15"/>
      <c r="F213" s="15"/>
      <c r="G213" s="15"/>
      <c r="H213" s="15"/>
      <c r="I213" s="16"/>
      <c r="J213" s="16"/>
      <c r="K213" s="16"/>
      <c r="L213" s="17"/>
      <c r="M213" s="18"/>
      <c r="N213" s="15"/>
      <c r="O213" s="19" t="str">
        <f t="shared" si="1"/>
        <v/>
      </c>
      <c r="P213" s="19">
        <f t="shared" si="4"/>
        <v>2.850687619</v>
      </c>
    </row>
    <row r="214">
      <c r="A214" s="8">
        <f t="shared" si="3"/>
        <v>213</v>
      </c>
      <c r="B214" s="8"/>
      <c r="C214" s="8"/>
      <c r="D214" s="8"/>
      <c r="E214" s="8"/>
      <c r="F214" s="8"/>
      <c r="G214" s="8"/>
      <c r="H214" s="8"/>
      <c r="I214" s="9"/>
      <c r="J214" s="9"/>
      <c r="K214" s="9"/>
      <c r="L214" s="10"/>
      <c r="M214" s="11"/>
      <c r="N214" s="8"/>
      <c r="O214" s="12" t="str">
        <f t="shared" si="1"/>
        <v/>
      </c>
      <c r="P214" s="12">
        <f t="shared" si="4"/>
        <v>2.850687619</v>
      </c>
    </row>
    <row r="215">
      <c r="A215" s="15">
        <f t="shared" si="3"/>
        <v>214</v>
      </c>
      <c r="B215" s="15"/>
      <c r="C215" s="15"/>
      <c r="D215" s="15"/>
      <c r="E215" s="15"/>
      <c r="F215" s="15"/>
      <c r="G215" s="15"/>
      <c r="H215" s="15"/>
      <c r="I215" s="16"/>
      <c r="J215" s="16"/>
      <c r="K215" s="16"/>
      <c r="L215" s="17"/>
      <c r="M215" s="18"/>
      <c r="N215" s="15"/>
      <c r="O215" s="19" t="str">
        <f t="shared" si="1"/>
        <v/>
      </c>
      <c r="P215" s="19">
        <f t="shared" si="4"/>
        <v>2.850687619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9"/>
      <c r="J216" s="9"/>
      <c r="K216" s="9"/>
      <c r="L216" s="10"/>
      <c r="M216" s="11"/>
      <c r="N216" s="8"/>
      <c r="O216" s="12" t="str">
        <f t="shared" si="1"/>
        <v/>
      </c>
      <c r="P216" s="12">
        <f t="shared" si="4"/>
        <v>2.850687619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6"/>
      <c r="J217" s="16"/>
      <c r="K217" s="16"/>
      <c r="L217" s="17"/>
      <c r="M217" s="18"/>
      <c r="N217" s="15"/>
      <c r="O217" s="19" t="str">
        <f t="shared" si="1"/>
        <v/>
      </c>
      <c r="P217" s="19">
        <f t="shared" si="4"/>
        <v>2.850687619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9"/>
      <c r="J218" s="9"/>
      <c r="K218" s="9"/>
      <c r="L218" s="54"/>
      <c r="M218" s="11"/>
      <c r="N218" s="8"/>
      <c r="O218" s="12" t="str">
        <f t="shared" si="1"/>
        <v/>
      </c>
      <c r="P218" s="12">
        <f t="shared" si="4"/>
        <v>2.850687619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6"/>
      <c r="J219" s="16"/>
      <c r="K219" s="16"/>
      <c r="L219" s="17"/>
      <c r="M219" s="18"/>
      <c r="N219" s="15"/>
      <c r="O219" s="19" t="str">
        <f t="shared" si="1"/>
        <v/>
      </c>
      <c r="P219" s="19">
        <f t="shared" si="4"/>
        <v>2.850687619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9"/>
      <c r="J220" s="9"/>
      <c r="K220" s="9"/>
      <c r="L220" s="10"/>
      <c r="M220" s="11"/>
      <c r="N220" s="8"/>
      <c r="O220" s="12" t="str">
        <f t="shared" si="1"/>
        <v/>
      </c>
      <c r="P220" s="12">
        <f t="shared" si="4"/>
        <v>2.850687619</v>
      </c>
    </row>
    <row r="221">
      <c r="A221" s="15">
        <f t="shared" si="3"/>
        <v>220</v>
      </c>
      <c r="B221" s="15"/>
      <c r="C221" s="15"/>
      <c r="D221" s="37"/>
      <c r="E221" s="15"/>
      <c r="F221" s="15"/>
      <c r="G221" s="15"/>
      <c r="H221" s="15"/>
      <c r="I221" s="16"/>
      <c r="J221" s="16"/>
      <c r="K221" s="16"/>
      <c r="L221" s="17"/>
      <c r="M221" s="18"/>
      <c r="N221" s="15"/>
      <c r="O221" s="19" t="str">
        <f t="shared" si="1"/>
        <v/>
      </c>
      <c r="P221" s="19">
        <f t="shared" si="4"/>
        <v>2.850687619</v>
      </c>
    </row>
    <row r="222">
      <c r="A222" s="8">
        <f t="shared" si="3"/>
        <v>221</v>
      </c>
      <c r="B222" s="8"/>
      <c r="C222" s="8"/>
      <c r="D222" s="47"/>
      <c r="E222" s="8"/>
      <c r="F222" s="8"/>
      <c r="G222" s="8"/>
      <c r="H222" s="8"/>
      <c r="I222" s="9"/>
      <c r="J222" s="9"/>
      <c r="K222" s="9"/>
      <c r="L222" s="10"/>
      <c r="M222" s="11"/>
      <c r="N222" s="8"/>
      <c r="O222" s="12" t="str">
        <f t="shared" si="1"/>
        <v/>
      </c>
      <c r="P222" s="12">
        <f t="shared" si="4"/>
        <v>2.850687619</v>
      </c>
    </row>
    <row r="223">
      <c r="A223" s="15">
        <f t="shared" si="3"/>
        <v>222</v>
      </c>
      <c r="B223" s="15"/>
      <c r="C223" s="15"/>
      <c r="D223" s="42"/>
      <c r="E223" s="15"/>
      <c r="F223" s="15"/>
      <c r="G223" s="15"/>
      <c r="H223" s="15"/>
      <c r="I223" s="16"/>
      <c r="J223" s="16"/>
      <c r="K223" s="16"/>
      <c r="L223" s="17"/>
      <c r="M223" s="18"/>
      <c r="N223" s="15"/>
      <c r="O223" s="19" t="str">
        <f t="shared" si="1"/>
        <v/>
      </c>
      <c r="P223" s="19">
        <f t="shared" si="4"/>
        <v>2.850687619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9"/>
      <c r="J224" s="9"/>
      <c r="K224" s="9"/>
      <c r="L224" s="10"/>
      <c r="M224" s="11"/>
      <c r="N224" s="8"/>
      <c r="O224" s="12" t="str">
        <f t="shared" si="1"/>
        <v/>
      </c>
      <c r="P224" s="12">
        <f t="shared" si="4"/>
        <v>2.850687619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6"/>
      <c r="J225" s="16"/>
      <c r="K225" s="16"/>
      <c r="L225" s="17"/>
      <c r="M225" s="18"/>
      <c r="N225" s="15"/>
      <c r="O225" s="19" t="str">
        <f t="shared" si="1"/>
        <v/>
      </c>
      <c r="P225" s="19">
        <f t="shared" si="4"/>
        <v>2.850687619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9"/>
      <c r="J226" s="9"/>
      <c r="K226" s="9"/>
      <c r="L226" s="10"/>
      <c r="M226" s="11"/>
      <c r="N226" s="8"/>
      <c r="O226" s="12" t="str">
        <f t="shared" si="1"/>
        <v/>
      </c>
      <c r="P226" s="12">
        <f t="shared" si="4"/>
        <v>2.850687619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6"/>
      <c r="J227" s="16"/>
      <c r="K227" s="16"/>
      <c r="L227" s="17"/>
      <c r="M227" s="18"/>
      <c r="N227" s="15"/>
      <c r="O227" s="19" t="str">
        <f t="shared" si="1"/>
        <v/>
      </c>
      <c r="P227" s="19">
        <f t="shared" si="4"/>
        <v>2.850687619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9"/>
      <c r="J228" s="9"/>
      <c r="K228" s="9"/>
      <c r="L228" s="10"/>
      <c r="M228" s="11"/>
      <c r="N228" s="8"/>
      <c r="O228" s="12" t="str">
        <f t="shared" si="1"/>
        <v/>
      </c>
      <c r="P228" s="12">
        <f t="shared" si="4"/>
        <v>2.850687619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6"/>
      <c r="J229" s="16"/>
      <c r="K229" s="16"/>
      <c r="L229" s="17"/>
      <c r="M229" s="18"/>
      <c r="N229" s="15"/>
      <c r="O229" s="19" t="str">
        <f t="shared" si="1"/>
        <v/>
      </c>
      <c r="P229" s="19">
        <f t="shared" si="4"/>
        <v>2.850687619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9"/>
      <c r="J230" s="9"/>
      <c r="K230" s="9"/>
      <c r="L230" s="10"/>
      <c r="M230" s="11"/>
      <c r="N230" s="8"/>
      <c r="O230" s="12" t="str">
        <f t="shared" si="1"/>
        <v/>
      </c>
      <c r="P230" s="12">
        <f t="shared" si="4"/>
        <v>2.850687619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6"/>
      <c r="J231" s="16"/>
      <c r="K231" s="16"/>
      <c r="L231" s="17"/>
      <c r="M231" s="18"/>
      <c r="N231" s="15"/>
      <c r="O231" s="19" t="str">
        <f t="shared" si="1"/>
        <v/>
      </c>
      <c r="P231" s="19">
        <f t="shared" si="4"/>
        <v>2.850687619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9"/>
      <c r="J232" s="9"/>
      <c r="K232" s="9"/>
      <c r="L232" s="10"/>
      <c r="M232" s="11"/>
      <c r="N232" s="8"/>
      <c r="O232" s="12" t="str">
        <f t="shared" si="1"/>
        <v/>
      </c>
      <c r="P232" s="12">
        <f t="shared" si="4"/>
        <v>2.850687619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6"/>
      <c r="J233" s="16"/>
      <c r="K233" s="16"/>
      <c r="L233" s="17"/>
      <c r="M233" s="18"/>
      <c r="N233" s="15"/>
      <c r="O233" s="19" t="str">
        <f t="shared" si="1"/>
        <v/>
      </c>
      <c r="P233" s="19">
        <f t="shared" si="4"/>
        <v>2.850687619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9"/>
      <c r="J234" s="9"/>
      <c r="K234" s="9"/>
      <c r="L234" s="10"/>
      <c r="M234" s="11"/>
      <c r="N234" s="8"/>
      <c r="O234" s="12" t="str">
        <f t="shared" si="1"/>
        <v/>
      </c>
      <c r="P234" s="12">
        <f t="shared" si="4"/>
        <v>2.850687619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6"/>
      <c r="J235" s="16"/>
      <c r="K235" s="16"/>
      <c r="L235" s="17"/>
      <c r="M235" s="18"/>
      <c r="N235" s="15"/>
      <c r="O235" s="19" t="str">
        <f t="shared" si="1"/>
        <v/>
      </c>
      <c r="P235" s="19">
        <f t="shared" si="4"/>
        <v>2.850687619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9"/>
      <c r="J236" s="9"/>
      <c r="K236" s="9"/>
      <c r="L236" s="10"/>
      <c r="M236" s="11"/>
      <c r="N236" s="8"/>
      <c r="O236" s="12" t="str">
        <f t="shared" si="1"/>
        <v/>
      </c>
      <c r="P236" s="12">
        <f t="shared" si="4"/>
        <v>2.850687619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6"/>
      <c r="J237" s="16"/>
      <c r="K237" s="16"/>
      <c r="L237" s="17"/>
      <c r="M237" s="18"/>
      <c r="N237" s="15"/>
      <c r="O237" s="19" t="str">
        <f t="shared" si="1"/>
        <v/>
      </c>
      <c r="P237" s="19">
        <f t="shared" si="4"/>
        <v>2.850687619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9"/>
      <c r="J238" s="9"/>
      <c r="K238" s="9"/>
      <c r="L238" s="10"/>
      <c r="M238" s="11"/>
      <c r="N238" s="8"/>
      <c r="O238" s="12" t="str">
        <f t="shared" si="1"/>
        <v/>
      </c>
      <c r="P238" s="12">
        <f t="shared" si="4"/>
        <v>2.850687619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6"/>
      <c r="J239" s="16"/>
      <c r="K239" s="16"/>
      <c r="L239" s="17"/>
      <c r="M239" s="18"/>
      <c r="N239" s="15"/>
      <c r="O239" s="19" t="str">
        <f t="shared" si="1"/>
        <v/>
      </c>
      <c r="P239" s="19">
        <f t="shared" si="4"/>
        <v>2.850687619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9"/>
      <c r="J240" s="9"/>
      <c r="K240" s="9"/>
      <c r="L240" s="10"/>
      <c r="M240" s="11"/>
      <c r="N240" s="8"/>
      <c r="O240" s="12" t="str">
        <f t="shared" si="1"/>
        <v/>
      </c>
      <c r="P240" s="12">
        <f t="shared" si="4"/>
        <v>2.850687619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6"/>
      <c r="J241" s="16"/>
      <c r="K241" s="16"/>
      <c r="L241" s="17"/>
      <c r="M241" s="18"/>
      <c r="N241" s="15"/>
      <c r="O241" s="19" t="str">
        <f t="shared" si="1"/>
        <v/>
      </c>
      <c r="P241" s="19">
        <f t="shared" si="4"/>
        <v>2.850687619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9"/>
      <c r="J242" s="9"/>
      <c r="K242" s="9"/>
      <c r="L242" s="10"/>
      <c r="M242" s="11"/>
      <c r="N242" s="8"/>
      <c r="O242" s="12" t="str">
        <f t="shared" si="1"/>
        <v/>
      </c>
      <c r="P242" s="12">
        <f t="shared" si="4"/>
        <v>2.850687619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6"/>
      <c r="J243" s="16"/>
      <c r="K243" s="16"/>
      <c r="L243" s="17"/>
      <c r="M243" s="18"/>
      <c r="N243" s="15"/>
      <c r="O243" s="19" t="str">
        <f t="shared" si="1"/>
        <v/>
      </c>
      <c r="P243" s="19">
        <f t="shared" si="4"/>
        <v>2.850687619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9"/>
      <c r="J244" s="9"/>
      <c r="K244" s="9"/>
      <c r="L244" s="10"/>
      <c r="M244" s="11"/>
      <c r="N244" s="8"/>
      <c r="O244" s="12" t="str">
        <f t="shared" si="1"/>
        <v/>
      </c>
      <c r="P244" s="12">
        <f t="shared" si="4"/>
        <v>2.850687619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6"/>
      <c r="J245" s="16"/>
      <c r="K245" s="16"/>
      <c r="L245" s="17"/>
      <c r="M245" s="18"/>
      <c r="N245" s="15"/>
      <c r="O245" s="19" t="str">
        <f t="shared" si="1"/>
        <v/>
      </c>
      <c r="P245" s="19">
        <f t="shared" si="4"/>
        <v>2.850687619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9"/>
      <c r="J246" s="9"/>
      <c r="K246" s="9"/>
      <c r="L246" s="10"/>
      <c r="M246" s="11"/>
      <c r="N246" s="8"/>
      <c r="O246" s="12" t="str">
        <f t="shared" si="1"/>
        <v/>
      </c>
      <c r="P246" s="12">
        <f t="shared" si="4"/>
        <v>2.850687619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6"/>
      <c r="J247" s="16"/>
      <c r="K247" s="16"/>
      <c r="L247" s="17"/>
      <c r="M247" s="18"/>
      <c r="N247" s="15"/>
      <c r="O247" s="19" t="str">
        <f t="shared" si="1"/>
        <v/>
      </c>
      <c r="P247" s="19">
        <f t="shared" si="4"/>
        <v>2.850687619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9"/>
      <c r="J248" s="9"/>
      <c r="K248" s="9"/>
      <c r="L248" s="10"/>
      <c r="M248" s="11"/>
      <c r="N248" s="8"/>
      <c r="O248" s="12" t="str">
        <f t="shared" si="1"/>
        <v/>
      </c>
      <c r="P248" s="12">
        <f t="shared" si="4"/>
        <v>2.850687619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6"/>
      <c r="J249" s="16"/>
      <c r="K249" s="16"/>
      <c r="L249" s="17"/>
      <c r="M249" s="18"/>
      <c r="N249" s="15"/>
      <c r="O249" s="19" t="str">
        <f t="shared" si="1"/>
        <v/>
      </c>
      <c r="P249" s="19">
        <f t="shared" si="4"/>
        <v>2.850687619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9"/>
      <c r="J250" s="9"/>
      <c r="K250" s="9"/>
      <c r="L250" s="10"/>
      <c r="M250" s="11"/>
      <c r="N250" s="8"/>
      <c r="O250" s="12" t="str">
        <f t="shared" si="1"/>
        <v/>
      </c>
      <c r="P250" s="12">
        <f t="shared" si="4"/>
        <v>2.850687619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6"/>
      <c r="J251" s="16"/>
      <c r="K251" s="16"/>
      <c r="L251" s="17"/>
      <c r="M251" s="18"/>
      <c r="N251" s="15"/>
      <c r="O251" s="19" t="str">
        <f t="shared" si="1"/>
        <v/>
      </c>
      <c r="P251" s="19">
        <f t="shared" si="4"/>
        <v>2.850687619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9"/>
      <c r="J252" s="9"/>
      <c r="K252" s="9"/>
      <c r="L252" s="54"/>
      <c r="M252" s="11"/>
      <c r="N252" s="8"/>
      <c r="O252" s="12" t="str">
        <f t="shared" si="1"/>
        <v/>
      </c>
      <c r="P252" s="12">
        <f t="shared" si="4"/>
        <v>2.850687619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6"/>
      <c r="J253" s="16"/>
      <c r="K253" s="16"/>
      <c r="L253" s="55"/>
      <c r="M253" s="18"/>
      <c r="N253" s="15"/>
      <c r="O253" s="19" t="str">
        <f t="shared" si="1"/>
        <v/>
      </c>
      <c r="P253" s="19">
        <f t="shared" si="4"/>
        <v>2.850687619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9"/>
      <c r="J254" s="9"/>
      <c r="K254" s="9"/>
      <c r="L254" s="54"/>
      <c r="M254" s="11"/>
      <c r="N254" s="8"/>
      <c r="O254" s="12" t="str">
        <f t="shared" si="1"/>
        <v/>
      </c>
      <c r="P254" s="12">
        <f t="shared" si="4"/>
        <v>2.850687619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6"/>
      <c r="J255" s="16"/>
      <c r="K255" s="16"/>
      <c r="L255" s="55"/>
      <c r="M255" s="18"/>
      <c r="N255" s="15"/>
      <c r="O255" s="19" t="str">
        <f t="shared" si="1"/>
        <v/>
      </c>
      <c r="P255" s="19">
        <f t="shared" si="4"/>
        <v>2.850687619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9"/>
      <c r="J256" s="9"/>
      <c r="K256" s="9"/>
      <c r="L256" s="10"/>
      <c r="M256" s="11"/>
      <c r="N256" s="8"/>
      <c r="O256" s="12" t="str">
        <f t="shared" si="1"/>
        <v/>
      </c>
      <c r="P256" s="12">
        <f t="shared" si="4"/>
        <v>2.850687619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6"/>
      <c r="J257" s="16"/>
      <c r="K257" s="16"/>
      <c r="L257" s="17"/>
      <c r="M257" s="18"/>
      <c r="N257" s="15"/>
      <c r="O257" s="19" t="str">
        <f t="shared" si="1"/>
        <v/>
      </c>
      <c r="P257" s="19">
        <f t="shared" si="4"/>
        <v>2.850687619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9"/>
      <c r="J258" s="9"/>
      <c r="K258" s="9"/>
      <c r="L258" s="10"/>
      <c r="M258" s="11"/>
      <c r="N258" s="8"/>
      <c r="O258" s="12" t="str">
        <f t="shared" si="1"/>
        <v/>
      </c>
      <c r="P258" s="12">
        <f t="shared" si="4"/>
        <v>2.850687619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6"/>
      <c r="J259" s="16"/>
      <c r="K259" s="16"/>
      <c r="L259" s="17"/>
      <c r="M259" s="18"/>
      <c r="N259" s="15"/>
      <c r="O259" s="19" t="str">
        <f t="shared" si="1"/>
        <v/>
      </c>
      <c r="P259" s="19">
        <f t="shared" si="4"/>
        <v>2.850687619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9"/>
      <c r="J260" s="9"/>
      <c r="K260" s="9"/>
      <c r="L260" s="10"/>
      <c r="M260" s="11"/>
      <c r="N260" s="8"/>
      <c r="O260" s="12" t="str">
        <f t="shared" si="1"/>
        <v/>
      </c>
      <c r="P260" s="12">
        <f t="shared" si="4"/>
        <v>2.850687619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6"/>
      <c r="J261" s="16"/>
      <c r="K261" s="16"/>
      <c r="L261" s="17"/>
      <c r="M261" s="18"/>
      <c r="N261" s="15"/>
      <c r="O261" s="19" t="str">
        <f t="shared" si="1"/>
        <v/>
      </c>
      <c r="P261" s="19">
        <f t="shared" si="4"/>
        <v>2.850687619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9"/>
      <c r="J262" s="9"/>
      <c r="K262" s="9"/>
      <c r="L262" s="10"/>
      <c r="M262" s="11"/>
      <c r="N262" s="8"/>
      <c r="O262" s="12" t="str">
        <f t="shared" si="1"/>
        <v/>
      </c>
      <c r="P262" s="12">
        <f t="shared" si="4"/>
        <v>2.850687619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6"/>
      <c r="J263" s="16"/>
      <c r="K263" s="16"/>
      <c r="L263" s="17"/>
      <c r="M263" s="18"/>
      <c r="N263" s="15"/>
      <c r="O263" s="19" t="str">
        <f t="shared" si="1"/>
        <v/>
      </c>
      <c r="P263" s="19">
        <f t="shared" si="4"/>
        <v>2.850687619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9"/>
      <c r="J264" s="9"/>
      <c r="K264" s="9"/>
      <c r="L264" s="10"/>
      <c r="M264" s="11"/>
      <c r="N264" s="8"/>
      <c r="O264" s="12" t="str">
        <f t="shared" si="1"/>
        <v/>
      </c>
      <c r="P264" s="12">
        <f t="shared" si="4"/>
        <v>2.850687619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6"/>
      <c r="J265" s="16"/>
      <c r="K265" s="16"/>
      <c r="L265" s="17"/>
      <c r="M265" s="18"/>
      <c r="N265" s="15"/>
      <c r="O265" s="19" t="str">
        <f t="shared" si="1"/>
        <v/>
      </c>
      <c r="P265" s="19">
        <f t="shared" si="4"/>
        <v>2.850687619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9"/>
      <c r="J266" s="9"/>
      <c r="K266" s="9"/>
      <c r="L266" s="10"/>
      <c r="M266" s="11"/>
      <c r="N266" s="8"/>
      <c r="O266" s="12" t="str">
        <f t="shared" si="1"/>
        <v/>
      </c>
      <c r="P266" s="12">
        <f t="shared" si="4"/>
        <v>2.850687619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6"/>
      <c r="J267" s="16"/>
      <c r="K267" s="16"/>
      <c r="L267" s="17"/>
      <c r="M267" s="18"/>
      <c r="N267" s="15"/>
      <c r="O267" s="19" t="str">
        <f t="shared" si="1"/>
        <v/>
      </c>
      <c r="P267" s="19">
        <f t="shared" si="4"/>
        <v>2.850687619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9"/>
      <c r="J268" s="9"/>
      <c r="K268" s="9"/>
      <c r="L268" s="10"/>
      <c r="M268" s="11"/>
      <c r="N268" s="8"/>
      <c r="O268" s="12" t="str">
        <f t="shared" si="1"/>
        <v/>
      </c>
      <c r="P268" s="12">
        <f t="shared" si="4"/>
        <v>2.850687619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6"/>
      <c r="J269" s="16"/>
      <c r="K269" s="16"/>
      <c r="L269" s="17"/>
      <c r="M269" s="18"/>
      <c r="N269" s="15"/>
      <c r="O269" s="19" t="str">
        <f t="shared" si="1"/>
        <v/>
      </c>
      <c r="P269" s="19">
        <f t="shared" si="4"/>
        <v>2.850687619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9"/>
      <c r="J270" s="9"/>
      <c r="K270" s="9"/>
      <c r="L270" s="10"/>
      <c r="M270" s="11"/>
      <c r="N270" s="8"/>
      <c r="O270" s="12" t="str">
        <f t="shared" si="1"/>
        <v/>
      </c>
      <c r="P270" s="12">
        <f t="shared" si="4"/>
        <v>2.850687619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6"/>
      <c r="J271" s="16"/>
      <c r="K271" s="16"/>
      <c r="L271" s="17"/>
      <c r="M271" s="18"/>
      <c r="N271" s="15"/>
      <c r="O271" s="19" t="str">
        <f t="shared" si="1"/>
        <v/>
      </c>
      <c r="P271" s="19">
        <f t="shared" si="4"/>
        <v>2.850687619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9"/>
      <c r="J272" s="9"/>
      <c r="K272" s="9"/>
      <c r="L272" s="10"/>
      <c r="M272" s="11"/>
      <c r="N272" s="8"/>
      <c r="O272" s="12" t="str">
        <f t="shared" si="1"/>
        <v/>
      </c>
      <c r="P272" s="12">
        <f t="shared" si="4"/>
        <v>2.850687619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6"/>
      <c r="J273" s="16"/>
      <c r="K273" s="16"/>
      <c r="L273" s="17"/>
      <c r="M273" s="18"/>
      <c r="N273" s="15"/>
      <c r="O273" s="19" t="str">
        <f t="shared" si="1"/>
        <v/>
      </c>
      <c r="P273" s="19">
        <f t="shared" si="4"/>
        <v>2.850687619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9"/>
      <c r="J274" s="9"/>
      <c r="K274" s="9"/>
      <c r="L274" s="10"/>
      <c r="M274" s="11"/>
      <c r="N274" s="8"/>
      <c r="O274" s="12" t="str">
        <f t="shared" si="1"/>
        <v/>
      </c>
      <c r="P274" s="12">
        <f t="shared" si="4"/>
        <v>2.850687619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6"/>
      <c r="J275" s="16"/>
      <c r="K275" s="16"/>
      <c r="L275" s="17"/>
      <c r="M275" s="18"/>
      <c r="N275" s="15"/>
      <c r="O275" s="19" t="str">
        <f t="shared" si="1"/>
        <v/>
      </c>
      <c r="P275" s="19">
        <f t="shared" si="4"/>
        <v>2.850687619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9"/>
      <c r="J276" s="9"/>
      <c r="K276" s="9"/>
      <c r="L276" s="10"/>
      <c r="M276" s="11"/>
      <c r="N276" s="8"/>
      <c r="O276" s="12" t="str">
        <f t="shared" si="1"/>
        <v/>
      </c>
      <c r="P276" s="12">
        <f t="shared" si="4"/>
        <v>2.850687619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6"/>
      <c r="J277" s="16"/>
      <c r="K277" s="16"/>
      <c r="L277" s="17"/>
      <c r="M277" s="18"/>
      <c r="N277" s="15"/>
      <c r="O277" s="19" t="str">
        <f t="shared" si="1"/>
        <v/>
      </c>
      <c r="P277" s="19">
        <f t="shared" si="4"/>
        <v>2.850687619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9"/>
      <c r="J278" s="9"/>
      <c r="K278" s="9"/>
      <c r="L278" s="10"/>
      <c r="M278" s="11"/>
      <c r="N278" s="8"/>
      <c r="O278" s="12" t="str">
        <f t="shared" si="1"/>
        <v/>
      </c>
      <c r="P278" s="12">
        <f t="shared" si="4"/>
        <v>2.850687619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6"/>
      <c r="J279" s="16"/>
      <c r="K279" s="16"/>
      <c r="L279" s="17"/>
      <c r="M279" s="18"/>
      <c r="N279" s="15"/>
      <c r="O279" s="19" t="str">
        <f t="shared" si="1"/>
        <v/>
      </c>
      <c r="P279" s="19">
        <f t="shared" si="4"/>
        <v>2.850687619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9"/>
      <c r="J280" s="9"/>
      <c r="K280" s="9"/>
      <c r="L280" s="10"/>
      <c r="M280" s="11"/>
      <c r="N280" s="8"/>
      <c r="O280" s="12" t="str">
        <f t="shared" si="1"/>
        <v/>
      </c>
      <c r="P280" s="12">
        <f t="shared" si="4"/>
        <v>2.850687619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6"/>
      <c r="J281" s="16"/>
      <c r="K281" s="16"/>
      <c r="L281" s="17"/>
      <c r="M281" s="18"/>
      <c r="N281" s="15"/>
      <c r="O281" s="19" t="str">
        <f t="shared" si="1"/>
        <v/>
      </c>
      <c r="P281" s="19">
        <f t="shared" si="4"/>
        <v>2.850687619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9"/>
      <c r="J282" s="9"/>
      <c r="K282" s="9"/>
      <c r="L282" s="10"/>
      <c r="M282" s="11"/>
      <c r="N282" s="8"/>
      <c r="O282" s="12" t="str">
        <f t="shared" si="1"/>
        <v/>
      </c>
      <c r="P282" s="12">
        <f t="shared" si="4"/>
        <v>2.850687619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6"/>
      <c r="J283" s="16"/>
      <c r="K283" s="16"/>
      <c r="L283" s="17"/>
      <c r="M283" s="18"/>
      <c r="N283" s="15"/>
      <c r="O283" s="19" t="str">
        <f t="shared" si="1"/>
        <v/>
      </c>
      <c r="P283" s="19">
        <f t="shared" si="4"/>
        <v>2.850687619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9"/>
      <c r="J284" s="9"/>
      <c r="K284" s="9"/>
      <c r="L284" s="10"/>
      <c r="M284" s="11"/>
      <c r="N284" s="8"/>
      <c r="O284" s="12" t="str">
        <f t="shared" si="1"/>
        <v/>
      </c>
      <c r="P284" s="12">
        <f t="shared" si="4"/>
        <v>2.850687619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5"/>
      <c r="H285" s="15"/>
      <c r="I285" s="16"/>
      <c r="J285" s="16"/>
      <c r="K285" s="16"/>
      <c r="L285" s="17"/>
      <c r="M285" s="18"/>
      <c r="N285" s="15"/>
      <c r="O285" s="19" t="str">
        <f t="shared" si="1"/>
        <v/>
      </c>
      <c r="P285" s="19">
        <f t="shared" si="4"/>
        <v>2.850687619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8"/>
      <c r="H286" s="8"/>
      <c r="I286" s="9"/>
      <c r="J286" s="9"/>
      <c r="K286" s="9"/>
      <c r="L286" s="10"/>
      <c r="M286" s="11"/>
      <c r="N286" s="8"/>
      <c r="O286" s="12" t="str">
        <f t="shared" si="1"/>
        <v/>
      </c>
      <c r="P286" s="12">
        <f t="shared" si="4"/>
        <v>2.850687619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5"/>
      <c r="H287" s="15"/>
      <c r="I287" s="16"/>
      <c r="J287" s="16"/>
      <c r="K287" s="16"/>
      <c r="L287" s="17"/>
      <c r="M287" s="18"/>
      <c r="N287" s="15"/>
      <c r="O287" s="19" t="str">
        <f t="shared" si="1"/>
        <v/>
      </c>
      <c r="P287" s="19">
        <f t="shared" si="4"/>
        <v>2.850687619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9"/>
      <c r="J288" s="9"/>
      <c r="K288" s="9"/>
      <c r="L288" s="10"/>
      <c r="M288" s="11"/>
      <c r="N288" s="8"/>
      <c r="O288" s="12" t="str">
        <f t="shared" si="1"/>
        <v/>
      </c>
      <c r="P288" s="12">
        <f t="shared" si="4"/>
        <v>2.850687619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6"/>
      <c r="J289" s="16"/>
      <c r="K289" s="16"/>
      <c r="L289" s="17"/>
      <c r="M289" s="18"/>
      <c r="N289" s="15"/>
      <c r="O289" s="19" t="str">
        <f t="shared" si="1"/>
        <v/>
      </c>
      <c r="P289" s="19">
        <f t="shared" si="4"/>
        <v>2.850687619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9"/>
      <c r="J290" s="9"/>
      <c r="K290" s="9"/>
      <c r="L290" s="10"/>
      <c r="M290" s="11"/>
      <c r="N290" s="8"/>
      <c r="O290" s="12" t="str">
        <f t="shared" si="1"/>
        <v/>
      </c>
      <c r="P290" s="12">
        <f t="shared" si="4"/>
        <v>2.850687619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6"/>
      <c r="J291" s="16"/>
      <c r="K291" s="16"/>
      <c r="L291" s="17"/>
      <c r="M291" s="18"/>
      <c r="N291" s="15"/>
      <c r="O291" s="19" t="str">
        <f t="shared" si="1"/>
        <v/>
      </c>
      <c r="P291" s="19">
        <f t="shared" si="4"/>
        <v>2.850687619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9"/>
      <c r="J292" s="9"/>
      <c r="K292" s="9"/>
      <c r="L292" s="54"/>
      <c r="M292" s="11"/>
      <c r="N292" s="8"/>
      <c r="O292" s="12" t="str">
        <f t="shared" si="1"/>
        <v/>
      </c>
      <c r="P292" s="12">
        <f t="shared" si="4"/>
        <v>2.850687619</v>
      </c>
    </row>
    <row r="293">
      <c r="A293" s="15">
        <f t="shared" si="3"/>
        <v>292</v>
      </c>
      <c r="B293" s="15"/>
      <c r="C293" s="15"/>
      <c r="D293" s="15"/>
      <c r="E293" s="37"/>
      <c r="F293" s="37"/>
      <c r="G293" s="37"/>
      <c r="H293" s="15"/>
      <c r="I293" s="24"/>
      <c r="J293" s="16"/>
      <c r="K293" s="16"/>
      <c r="L293" s="17"/>
      <c r="M293" s="18"/>
      <c r="N293" s="15"/>
      <c r="O293" s="19" t="str">
        <f t="shared" si="1"/>
        <v/>
      </c>
      <c r="P293" s="19">
        <f t="shared" si="4"/>
        <v>2.850687619</v>
      </c>
    </row>
    <row r="294">
      <c r="A294" s="8">
        <f t="shared" si="3"/>
        <v>293</v>
      </c>
      <c r="B294" s="8"/>
      <c r="C294" s="8"/>
      <c r="D294" s="8"/>
      <c r="E294" s="32"/>
      <c r="F294" s="32"/>
      <c r="G294" s="32"/>
      <c r="H294" s="8"/>
      <c r="I294" s="33"/>
      <c r="J294" s="9"/>
      <c r="K294" s="9"/>
      <c r="L294" s="10"/>
      <c r="M294" s="11"/>
      <c r="N294" s="8"/>
      <c r="O294" s="12" t="str">
        <f t="shared" si="1"/>
        <v/>
      </c>
      <c r="P294" s="12">
        <f t="shared" si="4"/>
        <v>2.850687619</v>
      </c>
    </row>
    <row r="295">
      <c r="A295" s="15">
        <f t="shared" si="3"/>
        <v>294</v>
      </c>
      <c r="B295" s="15"/>
      <c r="C295" s="15"/>
      <c r="D295" s="15"/>
      <c r="E295" s="42"/>
      <c r="F295" s="42"/>
      <c r="G295" s="42"/>
      <c r="H295" s="15"/>
      <c r="I295" s="16"/>
      <c r="J295" s="16"/>
      <c r="K295" s="16"/>
      <c r="L295" s="17"/>
      <c r="M295" s="18"/>
      <c r="N295" s="15"/>
      <c r="O295" s="19" t="str">
        <f t="shared" si="1"/>
        <v/>
      </c>
      <c r="P295" s="19">
        <f t="shared" si="4"/>
        <v>2.850687619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9"/>
      <c r="J296" s="9"/>
      <c r="K296" s="9"/>
      <c r="L296" s="10"/>
      <c r="M296" s="11"/>
      <c r="N296" s="8"/>
      <c r="O296" s="12" t="str">
        <f t="shared" si="1"/>
        <v/>
      </c>
      <c r="P296" s="12">
        <f t="shared" si="4"/>
        <v>2.850687619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6"/>
      <c r="J297" s="16"/>
      <c r="K297" s="16"/>
      <c r="L297" s="17"/>
      <c r="M297" s="18"/>
      <c r="N297" s="15"/>
      <c r="O297" s="19" t="str">
        <f t="shared" si="1"/>
        <v/>
      </c>
      <c r="P297" s="19">
        <f t="shared" si="4"/>
        <v>2.850687619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9"/>
      <c r="J298" s="9"/>
      <c r="K298" s="9"/>
      <c r="L298" s="10"/>
      <c r="M298" s="11"/>
      <c r="N298" s="8"/>
      <c r="O298" s="12" t="str">
        <f t="shared" si="1"/>
        <v/>
      </c>
      <c r="P298" s="12">
        <f t="shared" si="4"/>
        <v>2.850687619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6"/>
      <c r="J299" s="16"/>
      <c r="K299" s="16"/>
      <c r="L299" s="17"/>
      <c r="M299" s="18"/>
      <c r="N299" s="15"/>
      <c r="O299" s="19" t="str">
        <f t="shared" si="1"/>
        <v/>
      </c>
      <c r="P299" s="19">
        <f t="shared" si="4"/>
        <v>2.850687619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9"/>
      <c r="J300" s="9"/>
      <c r="K300" s="9"/>
      <c r="L300" s="10"/>
      <c r="M300" s="11"/>
      <c r="N300" s="8"/>
      <c r="O300" s="12" t="str">
        <f t="shared" si="1"/>
        <v/>
      </c>
      <c r="P300" s="12">
        <f t="shared" si="4"/>
        <v>2.850687619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6"/>
      <c r="J301" s="16"/>
      <c r="K301" s="16"/>
      <c r="L301" s="17"/>
      <c r="M301" s="18"/>
      <c r="N301" s="15"/>
      <c r="O301" s="19" t="str">
        <f t="shared" si="1"/>
        <v/>
      </c>
      <c r="P301" s="19">
        <f t="shared" si="4"/>
        <v>2.850687619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32"/>
      <c r="I302" s="9"/>
      <c r="J302" s="9"/>
      <c r="K302" s="9"/>
      <c r="L302" s="10"/>
      <c r="M302" s="11"/>
      <c r="N302" s="8"/>
      <c r="O302" s="12" t="str">
        <f t="shared" si="1"/>
        <v/>
      </c>
      <c r="P302" s="12">
        <f t="shared" si="4"/>
        <v>2.850687619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37"/>
      <c r="I303" s="16"/>
      <c r="J303" s="16"/>
      <c r="K303" s="16"/>
      <c r="L303" s="17"/>
      <c r="M303" s="18"/>
      <c r="N303" s="15"/>
      <c r="O303" s="19" t="str">
        <f t="shared" si="1"/>
        <v/>
      </c>
      <c r="P303" s="19">
        <f t="shared" si="4"/>
        <v>2.850687619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32"/>
      <c r="I304" s="9"/>
      <c r="J304" s="9"/>
      <c r="K304" s="9"/>
      <c r="L304" s="10"/>
      <c r="M304" s="11"/>
      <c r="N304" s="8"/>
      <c r="O304" s="12" t="str">
        <f t="shared" si="1"/>
        <v/>
      </c>
      <c r="P304" s="12">
        <f t="shared" si="4"/>
        <v>2.850687619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37"/>
      <c r="I305" s="16"/>
      <c r="J305" s="16"/>
      <c r="K305" s="16"/>
      <c r="L305" s="17"/>
      <c r="M305" s="18"/>
      <c r="N305" s="15"/>
      <c r="O305" s="19" t="str">
        <f t="shared" si="1"/>
        <v/>
      </c>
      <c r="P305" s="19">
        <f t="shared" si="4"/>
        <v>2.850687619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32"/>
      <c r="I306" s="9"/>
      <c r="J306" s="9"/>
      <c r="K306" s="9"/>
      <c r="L306" s="10"/>
      <c r="M306" s="11"/>
      <c r="N306" s="8"/>
      <c r="O306" s="12" t="str">
        <f t="shared" si="1"/>
        <v/>
      </c>
      <c r="P306" s="12">
        <f t="shared" si="4"/>
        <v>2.850687619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37"/>
      <c r="I307" s="16"/>
      <c r="J307" s="16"/>
      <c r="K307" s="16"/>
      <c r="L307" s="17"/>
      <c r="M307" s="18"/>
      <c r="N307" s="15"/>
      <c r="O307" s="19" t="str">
        <f t="shared" si="1"/>
        <v/>
      </c>
      <c r="P307" s="19">
        <f t="shared" si="4"/>
        <v>2.850687619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32"/>
      <c r="I308" s="9"/>
      <c r="J308" s="9"/>
      <c r="K308" s="9"/>
      <c r="L308" s="10"/>
      <c r="M308" s="11"/>
      <c r="N308" s="8"/>
      <c r="O308" s="12" t="str">
        <f t="shared" si="1"/>
        <v/>
      </c>
      <c r="P308" s="12">
        <f t="shared" si="4"/>
        <v>2.850687619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6"/>
      <c r="J309" s="16"/>
      <c r="K309" s="16"/>
      <c r="L309" s="17"/>
      <c r="M309" s="18"/>
      <c r="N309" s="15"/>
      <c r="O309" s="19" t="str">
        <f t="shared" si="1"/>
        <v/>
      </c>
      <c r="P309" s="19">
        <f t="shared" si="4"/>
        <v>2.850687619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9"/>
      <c r="J310" s="9"/>
      <c r="K310" s="9"/>
      <c r="L310" s="10"/>
      <c r="M310" s="11"/>
      <c r="N310" s="8"/>
      <c r="O310" s="12" t="str">
        <f t="shared" si="1"/>
        <v/>
      </c>
      <c r="P310" s="12">
        <f t="shared" si="4"/>
        <v>2.850687619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6"/>
      <c r="J311" s="16"/>
      <c r="K311" s="16"/>
      <c r="L311" s="55"/>
      <c r="M311" s="18"/>
      <c r="N311" s="15"/>
      <c r="O311" s="19" t="str">
        <f t="shared" si="1"/>
        <v/>
      </c>
      <c r="P311" s="19">
        <f t="shared" si="4"/>
        <v>2.850687619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9"/>
      <c r="J312" s="9"/>
      <c r="K312" s="9"/>
      <c r="L312" s="10"/>
      <c r="M312" s="11"/>
      <c r="N312" s="8"/>
      <c r="O312" s="12" t="str">
        <f t="shared" si="1"/>
        <v/>
      </c>
      <c r="P312" s="12">
        <f t="shared" si="4"/>
        <v>2.850687619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6"/>
      <c r="J313" s="16"/>
      <c r="K313" s="16"/>
      <c r="L313" s="17"/>
      <c r="M313" s="18"/>
      <c r="N313" s="15"/>
      <c r="O313" s="19" t="str">
        <f t="shared" si="1"/>
        <v/>
      </c>
      <c r="P313" s="19">
        <f t="shared" si="4"/>
        <v>2.850687619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9"/>
      <c r="J314" s="9"/>
      <c r="K314" s="9"/>
      <c r="L314" s="10"/>
      <c r="M314" s="11"/>
      <c r="N314" s="8"/>
      <c r="O314" s="12" t="str">
        <f t="shared" si="1"/>
        <v/>
      </c>
      <c r="P314" s="12">
        <f t="shared" si="4"/>
        <v>2.850687619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6"/>
      <c r="J315" s="16"/>
      <c r="K315" s="16"/>
      <c r="L315" s="17"/>
      <c r="M315" s="18"/>
      <c r="N315" s="15"/>
      <c r="O315" s="19" t="str">
        <f t="shared" si="1"/>
        <v/>
      </c>
      <c r="P315" s="19">
        <f t="shared" si="4"/>
        <v>2.850687619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9"/>
      <c r="J316" s="9"/>
      <c r="K316" s="9"/>
      <c r="L316" s="10"/>
      <c r="M316" s="11"/>
      <c r="N316" s="8"/>
      <c r="O316" s="12" t="str">
        <f t="shared" si="1"/>
        <v/>
      </c>
      <c r="P316" s="12">
        <f t="shared" si="4"/>
        <v>2.850687619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6"/>
      <c r="J317" s="16"/>
      <c r="K317" s="16"/>
      <c r="L317" s="17"/>
      <c r="M317" s="18"/>
      <c r="N317" s="15"/>
      <c r="O317" s="19" t="str">
        <f t="shared" si="1"/>
        <v/>
      </c>
      <c r="P317" s="19">
        <f t="shared" si="4"/>
        <v>2.850687619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9"/>
      <c r="J318" s="9"/>
      <c r="K318" s="9"/>
      <c r="L318" s="10"/>
      <c r="M318" s="11"/>
      <c r="N318" s="8"/>
      <c r="O318" s="12" t="str">
        <f t="shared" si="1"/>
        <v/>
      </c>
      <c r="P318" s="12">
        <f t="shared" si="4"/>
        <v>2.850687619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37"/>
      <c r="I319" s="16"/>
      <c r="J319" s="16"/>
      <c r="K319" s="16"/>
      <c r="L319" s="55"/>
      <c r="M319" s="18"/>
      <c r="N319" s="15"/>
      <c r="O319" s="19" t="str">
        <f t="shared" si="1"/>
        <v/>
      </c>
      <c r="P319" s="19">
        <f t="shared" si="4"/>
        <v>2.850687619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9"/>
      <c r="J320" s="9"/>
      <c r="K320" s="9"/>
      <c r="L320" s="54"/>
      <c r="M320" s="11"/>
      <c r="N320" s="8"/>
      <c r="O320" s="12" t="str">
        <f t="shared" si="1"/>
        <v/>
      </c>
      <c r="P320" s="12">
        <f t="shared" si="4"/>
        <v>2.850687619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6"/>
      <c r="J321" s="16"/>
      <c r="K321" s="16"/>
      <c r="L321" s="55"/>
      <c r="M321" s="18"/>
      <c r="N321" s="15"/>
      <c r="O321" s="19" t="str">
        <f t="shared" si="1"/>
        <v/>
      </c>
      <c r="P321" s="19">
        <f t="shared" si="4"/>
        <v>2.850687619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9"/>
      <c r="J322" s="9"/>
      <c r="K322" s="9"/>
      <c r="L322" s="54"/>
      <c r="M322" s="11"/>
      <c r="N322" s="8"/>
      <c r="O322" s="12" t="str">
        <f t="shared" si="1"/>
        <v/>
      </c>
      <c r="P322" s="12">
        <f t="shared" si="4"/>
        <v>2.850687619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6"/>
      <c r="J323" s="16"/>
      <c r="K323" s="16"/>
      <c r="L323" s="17"/>
      <c r="M323" s="18"/>
      <c r="N323" s="15"/>
      <c r="O323" s="19" t="str">
        <f t="shared" si="1"/>
        <v/>
      </c>
      <c r="P323" s="19">
        <f t="shared" si="4"/>
        <v>2.850687619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9"/>
      <c r="J324" s="9"/>
      <c r="K324" s="9"/>
      <c r="L324" s="10"/>
      <c r="M324" s="11"/>
      <c r="N324" s="8"/>
      <c r="O324" s="12" t="str">
        <f t="shared" si="1"/>
        <v/>
      </c>
      <c r="P324" s="12">
        <f t="shared" si="4"/>
        <v>2.850687619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6"/>
      <c r="J325" s="16"/>
      <c r="K325" s="16"/>
      <c r="L325" s="17"/>
      <c r="M325" s="18"/>
      <c r="N325" s="15"/>
      <c r="O325" s="19" t="str">
        <f t="shared" si="1"/>
        <v/>
      </c>
      <c r="P325" s="19">
        <f t="shared" si="4"/>
        <v>2.850687619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9"/>
      <c r="J326" s="9"/>
      <c r="K326" s="9"/>
      <c r="L326" s="10"/>
      <c r="M326" s="11"/>
      <c r="N326" s="8"/>
      <c r="O326" s="12" t="str">
        <f t="shared" si="1"/>
        <v/>
      </c>
      <c r="P326" s="12">
        <f t="shared" si="4"/>
        <v>2.850687619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6"/>
      <c r="J327" s="16"/>
      <c r="K327" s="16"/>
      <c r="L327" s="17"/>
      <c r="M327" s="18"/>
      <c r="N327" s="15"/>
      <c r="O327" s="19" t="str">
        <f t="shared" si="1"/>
        <v/>
      </c>
      <c r="P327" s="19">
        <f t="shared" si="4"/>
        <v>2.850687619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9"/>
      <c r="J328" s="9"/>
      <c r="K328" s="9"/>
      <c r="L328" s="10"/>
      <c r="M328" s="11"/>
      <c r="N328" s="8"/>
      <c r="O328" s="12" t="str">
        <f t="shared" si="1"/>
        <v/>
      </c>
      <c r="P328" s="12">
        <f t="shared" si="4"/>
        <v>2.850687619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6"/>
      <c r="J329" s="16"/>
      <c r="K329" s="16"/>
      <c r="L329" s="17"/>
      <c r="M329" s="18"/>
      <c r="N329" s="15"/>
      <c r="O329" s="19" t="str">
        <f t="shared" si="1"/>
        <v/>
      </c>
      <c r="P329" s="19">
        <f t="shared" si="4"/>
        <v>2.850687619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9"/>
      <c r="J330" s="9"/>
      <c r="K330" s="9"/>
      <c r="L330" s="10"/>
      <c r="M330" s="11"/>
      <c r="N330" s="8"/>
      <c r="O330" s="12" t="str">
        <f t="shared" si="1"/>
        <v/>
      </c>
      <c r="P330" s="12">
        <f t="shared" si="4"/>
        <v>2.850687619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6"/>
      <c r="J331" s="16"/>
      <c r="K331" s="16"/>
      <c r="L331" s="17"/>
      <c r="M331" s="18"/>
      <c r="N331" s="15"/>
      <c r="O331" s="19" t="str">
        <f t="shared" si="1"/>
        <v/>
      </c>
      <c r="P331" s="19">
        <f t="shared" si="4"/>
        <v>2.850687619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9"/>
      <c r="J332" s="9"/>
      <c r="K332" s="9"/>
      <c r="L332" s="10"/>
      <c r="M332" s="11"/>
      <c r="N332" s="8"/>
      <c r="O332" s="12" t="str">
        <f t="shared" si="1"/>
        <v/>
      </c>
      <c r="P332" s="12">
        <f t="shared" si="4"/>
        <v>2.850687619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6"/>
      <c r="J333" s="16"/>
      <c r="K333" s="16"/>
      <c r="L333" s="17"/>
      <c r="M333" s="18"/>
      <c r="N333" s="15"/>
      <c r="O333" s="19" t="str">
        <f t="shared" si="1"/>
        <v/>
      </c>
      <c r="P333" s="19">
        <f t="shared" si="4"/>
        <v>2.850687619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9"/>
      <c r="J334" s="9"/>
      <c r="K334" s="9"/>
      <c r="L334" s="10"/>
      <c r="M334" s="11"/>
      <c r="N334" s="8"/>
      <c r="O334" s="12" t="str">
        <f t="shared" si="1"/>
        <v/>
      </c>
      <c r="P334" s="12">
        <f t="shared" si="4"/>
        <v>2.850687619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6"/>
      <c r="J335" s="16"/>
      <c r="K335" s="16"/>
      <c r="L335" s="17"/>
      <c r="M335" s="18"/>
      <c r="N335" s="15"/>
      <c r="O335" s="19" t="str">
        <f t="shared" si="1"/>
        <v/>
      </c>
      <c r="P335" s="19">
        <f t="shared" si="4"/>
        <v>2.850687619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9"/>
      <c r="J336" s="9"/>
      <c r="K336" s="9"/>
      <c r="L336" s="56"/>
      <c r="M336" s="11"/>
      <c r="N336" s="8"/>
      <c r="O336" s="12" t="str">
        <f t="shared" si="1"/>
        <v/>
      </c>
      <c r="P336" s="12">
        <f t="shared" si="4"/>
        <v>2.850687619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6"/>
      <c r="J337" s="16"/>
      <c r="K337" s="16"/>
      <c r="L337" s="57"/>
      <c r="M337" s="18"/>
      <c r="N337" s="15"/>
      <c r="O337" s="19" t="str">
        <f t="shared" si="1"/>
        <v/>
      </c>
      <c r="P337" s="19">
        <f t="shared" si="4"/>
        <v>2.850687619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9"/>
      <c r="J338" s="9"/>
      <c r="K338" s="9"/>
      <c r="L338" s="56"/>
      <c r="M338" s="11"/>
      <c r="N338" s="8"/>
      <c r="O338" s="12" t="str">
        <f t="shared" si="1"/>
        <v/>
      </c>
      <c r="P338" s="12">
        <f t="shared" si="4"/>
        <v>2.850687619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6"/>
      <c r="J339" s="16"/>
      <c r="K339" s="16"/>
      <c r="L339" s="57"/>
      <c r="M339" s="18"/>
      <c r="N339" s="15"/>
      <c r="O339" s="19" t="str">
        <f t="shared" si="1"/>
        <v/>
      </c>
      <c r="P339" s="19">
        <f t="shared" si="4"/>
        <v>2.850687619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9"/>
      <c r="J340" s="9"/>
      <c r="K340" s="9"/>
      <c r="L340" s="56"/>
      <c r="M340" s="11"/>
      <c r="N340" s="8"/>
      <c r="O340" s="12" t="str">
        <f t="shared" si="1"/>
        <v/>
      </c>
      <c r="P340" s="12">
        <f t="shared" si="4"/>
        <v>2.850687619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6"/>
      <c r="K341" s="16"/>
      <c r="L341" s="57"/>
      <c r="M341" s="18"/>
      <c r="N341" s="15"/>
      <c r="O341" s="19" t="str">
        <f t="shared" si="1"/>
        <v/>
      </c>
      <c r="P341" s="19">
        <f t="shared" si="4"/>
        <v>2.850687619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9"/>
      <c r="J342" s="9"/>
      <c r="K342" s="9"/>
      <c r="L342" s="56"/>
      <c r="M342" s="11"/>
      <c r="N342" s="8"/>
      <c r="O342" s="12" t="str">
        <f t="shared" si="1"/>
        <v/>
      </c>
      <c r="P342" s="12">
        <f t="shared" si="4"/>
        <v>2.850687619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6"/>
      <c r="J343" s="16"/>
      <c r="K343" s="16"/>
      <c r="L343" s="57"/>
      <c r="M343" s="18"/>
      <c r="N343" s="15"/>
      <c r="O343" s="19" t="str">
        <f t="shared" si="1"/>
        <v/>
      </c>
      <c r="P343" s="19">
        <f t="shared" si="4"/>
        <v>2.850687619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9"/>
      <c r="J344" s="9"/>
      <c r="K344" s="9"/>
      <c r="L344" s="56"/>
      <c r="M344" s="11"/>
      <c r="N344" s="8"/>
      <c r="O344" s="12" t="str">
        <f t="shared" si="1"/>
        <v/>
      </c>
      <c r="P344" s="12">
        <f t="shared" si="4"/>
        <v>2.850687619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6"/>
      <c r="J345" s="16"/>
      <c r="K345" s="16"/>
      <c r="L345" s="57"/>
      <c r="M345" s="18"/>
      <c r="N345" s="15"/>
      <c r="O345" s="19" t="str">
        <f t="shared" si="1"/>
        <v/>
      </c>
      <c r="P345" s="19">
        <f t="shared" si="4"/>
        <v>2.850687619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9"/>
      <c r="J346" s="9"/>
      <c r="K346" s="9"/>
      <c r="L346" s="56"/>
      <c r="M346" s="11"/>
      <c r="N346" s="8"/>
      <c r="O346" s="12" t="str">
        <f t="shared" si="1"/>
        <v/>
      </c>
      <c r="P346" s="12">
        <f t="shared" si="4"/>
        <v>2.850687619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6"/>
      <c r="J347" s="16"/>
      <c r="K347" s="16"/>
      <c r="L347" s="57"/>
      <c r="M347" s="18"/>
      <c r="N347" s="15"/>
      <c r="O347" s="19" t="str">
        <f t="shared" si="1"/>
        <v/>
      </c>
      <c r="P347" s="19">
        <f t="shared" si="4"/>
        <v>2.850687619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9"/>
      <c r="J348" s="9"/>
      <c r="K348" s="9"/>
      <c r="L348" s="56"/>
      <c r="M348" s="11"/>
      <c r="N348" s="8"/>
      <c r="O348" s="12" t="str">
        <f t="shared" si="1"/>
        <v/>
      </c>
      <c r="P348" s="12">
        <f t="shared" si="4"/>
        <v>2.850687619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6"/>
      <c r="J349" s="16"/>
      <c r="K349" s="16"/>
      <c r="L349" s="57"/>
      <c r="M349" s="18"/>
      <c r="N349" s="15"/>
      <c r="O349" s="19" t="str">
        <f t="shared" si="1"/>
        <v/>
      </c>
      <c r="P349" s="19">
        <f t="shared" si="4"/>
        <v>2.850687619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9"/>
      <c r="J350" s="9"/>
      <c r="K350" s="9"/>
      <c r="L350" s="56"/>
      <c r="M350" s="11"/>
      <c r="N350" s="8"/>
      <c r="O350" s="12" t="str">
        <f t="shared" si="1"/>
        <v/>
      </c>
      <c r="P350" s="12">
        <f t="shared" si="4"/>
        <v>2.850687619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6"/>
      <c r="J351" s="16"/>
      <c r="K351" s="16"/>
      <c r="L351" s="57"/>
      <c r="M351" s="18"/>
      <c r="N351" s="15"/>
      <c r="O351" s="19" t="str">
        <f t="shared" si="1"/>
        <v/>
      </c>
      <c r="P351" s="19">
        <f t="shared" si="4"/>
        <v>2.850687619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9"/>
      <c r="J352" s="9"/>
      <c r="K352" s="9"/>
      <c r="L352" s="56"/>
      <c r="M352" s="11"/>
      <c r="N352" s="8"/>
      <c r="O352" s="12" t="str">
        <f t="shared" si="1"/>
        <v/>
      </c>
      <c r="P352" s="12">
        <f t="shared" si="4"/>
        <v>2.850687619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6"/>
      <c r="J353" s="16"/>
      <c r="K353" s="16"/>
      <c r="L353" s="57"/>
      <c r="M353" s="18"/>
      <c r="N353" s="15"/>
      <c r="O353" s="19" t="str">
        <f t="shared" si="1"/>
        <v/>
      </c>
      <c r="P353" s="19">
        <f t="shared" si="4"/>
        <v>2.850687619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9"/>
      <c r="J354" s="9"/>
      <c r="K354" s="9"/>
      <c r="L354" s="56"/>
      <c r="M354" s="11"/>
      <c r="N354" s="8"/>
      <c r="O354" s="12" t="str">
        <f t="shared" si="1"/>
        <v/>
      </c>
      <c r="P354" s="12">
        <f t="shared" si="4"/>
        <v>2.850687619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6"/>
      <c r="J355" s="16"/>
      <c r="K355" s="16"/>
      <c r="L355" s="57"/>
      <c r="M355" s="18"/>
      <c r="N355" s="15"/>
      <c r="O355" s="19" t="str">
        <f t="shared" si="1"/>
        <v/>
      </c>
      <c r="P355" s="19">
        <f t="shared" si="4"/>
        <v>2.850687619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9"/>
      <c r="J356" s="9"/>
      <c r="K356" s="9"/>
      <c r="L356" s="56"/>
      <c r="M356" s="11"/>
      <c r="N356" s="8"/>
      <c r="O356" s="12" t="str">
        <f t="shared" si="1"/>
        <v/>
      </c>
      <c r="P356" s="12">
        <f t="shared" si="4"/>
        <v>2.850687619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6"/>
      <c r="J357" s="16"/>
      <c r="K357" s="16"/>
      <c r="L357" s="17"/>
      <c r="M357" s="18"/>
      <c r="N357" s="15"/>
      <c r="O357" s="19" t="str">
        <f t="shared" si="1"/>
        <v/>
      </c>
      <c r="P357" s="19">
        <f t="shared" si="4"/>
        <v>2.850687619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9"/>
      <c r="J358" s="9"/>
      <c r="K358" s="9"/>
      <c r="L358" s="10"/>
      <c r="M358" s="11"/>
      <c r="N358" s="8"/>
      <c r="O358" s="12" t="str">
        <f t="shared" si="1"/>
        <v/>
      </c>
      <c r="P358" s="12">
        <f t="shared" si="4"/>
        <v>2.850687619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6"/>
      <c r="J359" s="16"/>
      <c r="K359" s="16"/>
      <c r="L359" s="17"/>
      <c r="M359" s="18"/>
      <c r="N359" s="15"/>
      <c r="O359" s="19" t="str">
        <f t="shared" si="1"/>
        <v/>
      </c>
      <c r="P359" s="19">
        <f t="shared" si="4"/>
        <v>2.850687619</v>
      </c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9"/>
      <c r="K360" s="9"/>
      <c r="L360" s="10"/>
      <c r="M360" s="11"/>
      <c r="N360" s="8"/>
      <c r="O360" s="12" t="str">
        <f t="shared" si="1"/>
        <v/>
      </c>
      <c r="P360" s="12">
        <f t="shared" si="4"/>
        <v>2.850687619</v>
      </c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6"/>
      <c r="K361" s="16"/>
      <c r="L361" s="17"/>
      <c r="M361" s="18"/>
      <c r="N361" s="15"/>
      <c r="O361" s="19" t="str">
        <f t="shared" si="1"/>
        <v/>
      </c>
      <c r="P361" s="19">
        <f t="shared" si="4"/>
        <v>2.850687619</v>
      </c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9"/>
      <c r="J362" s="9"/>
      <c r="K362" s="9"/>
      <c r="L362" s="10"/>
      <c r="M362" s="11"/>
      <c r="N362" s="8"/>
      <c r="O362" s="12" t="str">
        <f t="shared" si="1"/>
        <v/>
      </c>
      <c r="P362" s="12">
        <f t="shared" si="4"/>
        <v>2.850687619</v>
      </c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6"/>
      <c r="J363" s="16"/>
      <c r="K363" s="16"/>
      <c r="L363" s="17"/>
      <c r="M363" s="18"/>
      <c r="N363" s="15"/>
      <c r="O363" s="19" t="str">
        <f t="shared" si="1"/>
        <v/>
      </c>
      <c r="P363" s="19">
        <f t="shared" si="4"/>
        <v>2.850687619</v>
      </c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9"/>
      <c r="J364" s="9"/>
      <c r="K364" s="9"/>
      <c r="L364" s="10"/>
      <c r="M364" s="11"/>
      <c r="N364" s="8"/>
      <c r="O364" s="12" t="str">
        <f t="shared" si="1"/>
        <v/>
      </c>
      <c r="P364" s="12">
        <f t="shared" si="4"/>
        <v>2.850687619</v>
      </c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6"/>
      <c r="J365" s="16"/>
      <c r="K365" s="16"/>
      <c r="L365" s="17"/>
      <c r="M365" s="18"/>
      <c r="N365" s="15"/>
      <c r="O365" s="19" t="str">
        <f t="shared" si="1"/>
        <v/>
      </c>
      <c r="P365" s="19">
        <f t="shared" si="4"/>
        <v>2.850687619</v>
      </c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9"/>
      <c r="J366" s="9"/>
      <c r="K366" s="9"/>
      <c r="L366" s="10"/>
      <c r="M366" s="11"/>
      <c r="N366" s="8"/>
      <c r="O366" s="12" t="str">
        <f t="shared" si="1"/>
        <v/>
      </c>
      <c r="P366" s="12">
        <f t="shared" si="4"/>
        <v>2.850687619</v>
      </c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6"/>
      <c r="J367" s="16"/>
      <c r="K367" s="16"/>
      <c r="L367" s="17"/>
      <c r="M367" s="18"/>
      <c r="N367" s="15"/>
      <c r="O367" s="19" t="str">
        <f t="shared" si="1"/>
        <v/>
      </c>
      <c r="P367" s="19">
        <f t="shared" si="4"/>
        <v>2.850687619</v>
      </c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9"/>
      <c r="J368" s="9"/>
      <c r="K368" s="9"/>
      <c r="L368" s="10"/>
      <c r="M368" s="11"/>
      <c r="N368" s="8"/>
      <c r="O368" s="12" t="str">
        <f t="shared" si="1"/>
        <v/>
      </c>
      <c r="P368" s="12">
        <f t="shared" si="4"/>
        <v>2.850687619</v>
      </c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6"/>
      <c r="J369" s="16"/>
      <c r="K369" s="16"/>
      <c r="L369" s="17"/>
      <c r="M369" s="18"/>
      <c r="N369" s="15"/>
      <c r="O369" s="19" t="str">
        <f t="shared" si="1"/>
        <v/>
      </c>
      <c r="P369" s="19">
        <f t="shared" si="4"/>
        <v>2.850687619</v>
      </c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9"/>
      <c r="J370" s="9"/>
      <c r="K370" s="9"/>
      <c r="L370" s="10"/>
      <c r="M370" s="11"/>
      <c r="N370" s="8"/>
      <c r="O370" s="12" t="str">
        <f t="shared" si="1"/>
        <v/>
      </c>
      <c r="P370" s="12">
        <f t="shared" si="4"/>
        <v>2.850687619</v>
      </c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6"/>
      <c r="J371" s="16"/>
      <c r="K371" s="16"/>
      <c r="L371" s="17"/>
      <c r="M371" s="18"/>
      <c r="N371" s="15"/>
      <c r="O371" s="19" t="str">
        <f t="shared" si="1"/>
        <v/>
      </c>
      <c r="P371" s="19">
        <f t="shared" si="4"/>
        <v>2.850687619</v>
      </c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9"/>
      <c r="J372" s="9"/>
      <c r="K372" s="9"/>
      <c r="L372" s="10"/>
      <c r="M372" s="11"/>
      <c r="N372" s="8"/>
      <c r="O372" s="12" t="str">
        <f t="shared" si="1"/>
        <v/>
      </c>
      <c r="P372" s="12">
        <f t="shared" si="4"/>
        <v>2.850687619</v>
      </c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6"/>
      <c r="J373" s="16"/>
      <c r="K373" s="16"/>
      <c r="L373" s="17"/>
      <c r="M373" s="18"/>
      <c r="N373" s="15"/>
      <c r="O373" s="19" t="str">
        <f t="shared" si="1"/>
        <v/>
      </c>
      <c r="P373" s="19">
        <f t="shared" si="4"/>
        <v>2.850687619</v>
      </c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9"/>
      <c r="J374" s="9"/>
      <c r="K374" s="9"/>
      <c r="L374" s="10"/>
      <c r="M374" s="11"/>
      <c r="N374" s="8"/>
      <c r="O374" s="12" t="str">
        <f t="shared" si="1"/>
        <v/>
      </c>
      <c r="P374" s="12">
        <f t="shared" si="4"/>
        <v>2.850687619</v>
      </c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6"/>
      <c r="J375" s="16"/>
      <c r="K375" s="16"/>
      <c r="L375" s="17"/>
      <c r="M375" s="18"/>
      <c r="N375" s="15"/>
      <c r="O375" s="19" t="str">
        <f t="shared" si="1"/>
        <v/>
      </c>
      <c r="P375" s="19">
        <f t="shared" si="4"/>
        <v>2.850687619</v>
      </c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9"/>
      <c r="J376" s="9"/>
      <c r="K376" s="9"/>
      <c r="L376" s="10"/>
      <c r="M376" s="11"/>
      <c r="N376" s="8"/>
      <c r="O376" s="12" t="str">
        <f t="shared" si="1"/>
        <v/>
      </c>
      <c r="P376" s="12">
        <f t="shared" si="4"/>
        <v>2.850687619</v>
      </c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6"/>
      <c r="J377" s="16"/>
      <c r="K377" s="16"/>
      <c r="L377" s="17"/>
      <c r="M377" s="18"/>
      <c r="N377" s="15"/>
      <c r="O377" s="19" t="str">
        <f t="shared" si="1"/>
        <v/>
      </c>
      <c r="P377" s="19">
        <f t="shared" si="4"/>
        <v>2.850687619</v>
      </c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9"/>
      <c r="J378" s="9"/>
      <c r="K378" s="9"/>
      <c r="L378" s="10"/>
      <c r="M378" s="11"/>
      <c r="N378" s="8"/>
      <c r="O378" s="12" t="str">
        <f t="shared" si="1"/>
        <v/>
      </c>
      <c r="P378" s="12">
        <f t="shared" si="4"/>
        <v>2.850687619</v>
      </c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6"/>
      <c r="J379" s="16"/>
      <c r="K379" s="16"/>
      <c r="L379" s="17"/>
      <c r="M379" s="18"/>
      <c r="N379" s="15"/>
      <c r="O379" s="19" t="str">
        <f t="shared" si="1"/>
        <v/>
      </c>
      <c r="P379" s="19">
        <f t="shared" si="4"/>
        <v>2.850687619</v>
      </c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9"/>
      <c r="J380" s="9"/>
      <c r="K380" s="9"/>
      <c r="L380" s="10"/>
      <c r="M380" s="11"/>
      <c r="N380" s="8"/>
      <c r="O380" s="12" t="str">
        <f t="shared" si="1"/>
        <v/>
      </c>
      <c r="P380" s="12">
        <f t="shared" si="4"/>
        <v>2.850687619</v>
      </c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6"/>
      <c r="J381" s="15"/>
      <c r="K381" s="15"/>
      <c r="L381" s="17"/>
      <c r="M381" s="18"/>
      <c r="N381" s="15"/>
      <c r="O381" s="19" t="str">
        <f t="shared" si="1"/>
        <v/>
      </c>
      <c r="P381" s="19">
        <f t="shared" si="4"/>
        <v>2.850687619</v>
      </c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9"/>
      <c r="J382" s="8"/>
      <c r="K382" s="8"/>
      <c r="L382" s="10"/>
      <c r="M382" s="11"/>
      <c r="N382" s="8"/>
      <c r="O382" s="12" t="str">
        <f t="shared" si="1"/>
        <v/>
      </c>
      <c r="P382" s="12">
        <f t="shared" si="4"/>
        <v>2.850687619</v>
      </c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6"/>
      <c r="J383" s="16"/>
      <c r="K383" s="16"/>
      <c r="L383" s="17"/>
      <c r="M383" s="18"/>
      <c r="N383" s="15"/>
      <c r="O383" s="19" t="str">
        <f t="shared" si="1"/>
        <v/>
      </c>
      <c r="P383" s="19">
        <f t="shared" si="4"/>
        <v>2.850687619</v>
      </c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9"/>
      <c r="J384" s="9"/>
      <c r="K384" s="9"/>
      <c r="L384" s="10"/>
      <c r="M384" s="11"/>
      <c r="N384" s="8"/>
      <c r="O384" s="12" t="str">
        <f t="shared" si="1"/>
        <v/>
      </c>
      <c r="P384" s="12">
        <f t="shared" si="4"/>
        <v>2.850687619</v>
      </c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6"/>
      <c r="J385" s="16"/>
      <c r="K385" s="16"/>
      <c r="L385" s="17"/>
      <c r="M385" s="18"/>
      <c r="N385" s="15"/>
      <c r="O385" s="19" t="str">
        <f t="shared" si="1"/>
        <v/>
      </c>
      <c r="P385" s="19">
        <f t="shared" si="4"/>
        <v>2.850687619</v>
      </c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9"/>
      <c r="J386" s="9"/>
      <c r="K386" s="9"/>
      <c r="L386" s="10"/>
      <c r="M386" s="11"/>
      <c r="N386" s="8"/>
      <c r="O386" s="12" t="str">
        <f t="shared" si="1"/>
        <v/>
      </c>
      <c r="P386" s="12">
        <f t="shared" si="4"/>
        <v>2.850687619</v>
      </c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6"/>
      <c r="J387" s="16"/>
      <c r="K387" s="16"/>
      <c r="L387" s="17"/>
      <c r="M387" s="18"/>
      <c r="N387" s="15"/>
      <c r="O387" s="19" t="str">
        <f t="shared" si="1"/>
        <v/>
      </c>
      <c r="P387" s="19">
        <f t="shared" si="4"/>
        <v>2.850687619</v>
      </c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9"/>
      <c r="J388" s="9"/>
      <c r="K388" s="9"/>
      <c r="L388" s="10"/>
      <c r="M388" s="11"/>
      <c r="N388" s="8"/>
      <c r="O388" s="12" t="str">
        <f t="shared" si="1"/>
        <v/>
      </c>
      <c r="P388" s="12">
        <f t="shared" si="4"/>
        <v>2.850687619</v>
      </c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6"/>
      <c r="J389" s="16"/>
      <c r="K389" s="16"/>
      <c r="L389" s="17"/>
      <c r="M389" s="18"/>
      <c r="N389" s="15"/>
      <c r="O389" s="19" t="str">
        <f t="shared" si="1"/>
        <v/>
      </c>
      <c r="P389" s="19">
        <f t="shared" si="4"/>
        <v>2.850687619</v>
      </c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9"/>
      <c r="J390" s="9"/>
      <c r="K390" s="9"/>
      <c r="L390" s="10"/>
      <c r="M390" s="11"/>
      <c r="N390" s="8"/>
      <c r="O390" s="12" t="str">
        <f t="shared" si="1"/>
        <v/>
      </c>
      <c r="P390" s="12">
        <f t="shared" si="4"/>
        <v>2.850687619</v>
      </c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6"/>
      <c r="J391" s="16"/>
      <c r="K391" s="16"/>
      <c r="L391" s="57"/>
      <c r="M391" s="18"/>
      <c r="N391" s="15"/>
      <c r="O391" s="19" t="str">
        <f t="shared" si="1"/>
        <v/>
      </c>
      <c r="P391" s="19">
        <f t="shared" si="4"/>
        <v>2.850687619</v>
      </c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9"/>
      <c r="J392" s="9"/>
      <c r="K392" s="9"/>
      <c r="L392" s="10"/>
      <c r="M392" s="11"/>
      <c r="N392" s="8"/>
      <c r="O392" s="12" t="str">
        <f t="shared" si="1"/>
        <v/>
      </c>
      <c r="P392" s="12">
        <f t="shared" si="4"/>
        <v>2.850687619</v>
      </c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6"/>
      <c r="J393" s="16"/>
      <c r="K393" s="16"/>
      <c r="L393" s="17"/>
      <c r="M393" s="18"/>
      <c r="N393" s="15"/>
      <c r="O393" s="19" t="str">
        <f t="shared" si="1"/>
        <v/>
      </c>
      <c r="P393" s="19">
        <f t="shared" si="4"/>
        <v>2.850687619</v>
      </c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9"/>
      <c r="J394" s="9"/>
      <c r="K394" s="9"/>
      <c r="L394" s="10"/>
      <c r="M394" s="11"/>
      <c r="N394" s="8"/>
      <c r="O394" s="12" t="str">
        <f t="shared" si="1"/>
        <v/>
      </c>
      <c r="P394" s="12">
        <f t="shared" si="4"/>
        <v>2.850687619</v>
      </c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6"/>
      <c r="J395" s="16"/>
      <c r="K395" s="16"/>
      <c r="L395" s="17"/>
      <c r="M395" s="18"/>
      <c r="N395" s="15"/>
      <c r="O395" s="19" t="str">
        <f t="shared" si="1"/>
        <v/>
      </c>
      <c r="P395" s="19">
        <f t="shared" si="4"/>
        <v>2.850687619</v>
      </c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9"/>
      <c r="J396" s="9"/>
      <c r="K396" s="9"/>
      <c r="L396" s="10"/>
      <c r="M396" s="11"/>
      <c r="N396" s="8"/>
      <c r="O396" s="12" t="str">
        <f t="shared" si="1"/>
        <v/>
      </c>
      <c r="P396" s="12">
        <f t="shared" si="4"/>
        <v>2.850687619</v>
      </c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6"/>
      <c r="J397" s="16"/>
      <c r="K397" s="16"/>
      <c r="L397" s="17"/>
      <c r="M397" s="18"/>
      <c r="N397" s="15"/>
      <c r="O397" s="19" t="str">
        <f t="shared" si="1"/>
        <v/>
      </c>
      <c r="P397" s="19">
        <f t="shared" si="4"/>
        <v>2.850687619</v>
      </c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9"/>
      <c r="J398" s="9"/>
      <c r="K398" s="9"/>
      <c r="L398" s="10"/>
      <c r="M398" s="11"/>
      <c r="N398" s="8"/>
      <c r="O398" s="12" t="str">
        <f t="shared" si="1"/>
        <v/>
      </c>
      <c r="P398" s="12">
        <f t="shared" si="4"/>
        <v>2.850687619</v>
      </c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6"/>
      <c r="J399" s="16"/>
      <c r="K399" s="16"/>
      <c r="L399" s="17"/>
      <c r="M399" s="18"/>
      <c r="N399" s="15"/>
      <c r="O399" s="19" t="str">
        <f t="shared" si="1"/>
        <v/>
      </c>
      <c r="P399" s="19">
        <f t="shared" si="4"/>
        <v>2.850687619</v>
      </c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9"/>
      <c r="J400" s="9"/>
      <c r="K400" s="9"/>
      <c r="L400" s="10"/>
      <c r="M400" s="11"/>
      <c r="N400" s="8"/>
      <c r="O400" s="12" t="str">
        <f t="shared" si="1"/>
        <v/>
      </c>
      <c r="P400" s="12">
        <f t="shared" si="4"/>
        <v>2.850687619</v>
      </c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6"/>
      <c r="J401" s="16"/>
      <c r="K401" s="16"/>
      <c r="L401" s="17"/>
      <c r="M401" s="18"/>
      <c r="N401" s="15"/>
      <c r="O401" s="19" t="str">
        <f t="shared" si="1"/>
        <v/>
      </c>
      <c r="P401" s="19">
        <f t="shared" si="4"/>
        <v>2.850687619</v>
      </c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9"/>
      <c r="J402" s="9"/>
      <c r="K402" s="9"/>
      <c r="L402" s="10"/>
      <c r="M402" s="11"/>
      <c r="N402" s="8"/>
      <c r="O402" s="12" t="str">
        <f t="shared" si="1"/>
        <v/>
      </c>
      <c r="P402" s="12">
        <f t="shared" si="4"/>
        <v>2.850687619</v>
      </c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6"/>
      <c r="J403" s="16"/>
      <c r="K403" s="16"/>
      <c r="L403" s="17"/>
      <c r="M403" s="18"/>
      <c r="N403" s="15"/>
      <c r="O403" s="19" t="str">
        <f t="shared" si="1"/>
        <v/>
      </c>
      <c r="P403" s="19">
        <f t="shared" si="4"/>
        <v>2.850687619</v>
      </c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9"/>
      <c r="J404" s="9"/>
      <c r="K404" s="9"/>
      <c r="L404" s="10"/>
      <c r="M404" s="11"/>
      <c r="N404" s="8"/>
      <c r="O404" s="12" t="str">
        <f t="shared" si="1"/>
        <v/>
      </c>
      <c r="P404" s="12">
        <f t="shared" si="4"/>
        <v>2.850687619</v>
      </c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6"/>
      <c r="J405" s="16"/>
      <c r="K405" s="16"/>
      <c r="L405" s="17"/>
      <c r="M405" s="18"/>
      <c r="N405" s="15"/>
      <c r="O405" s="19" t="str">
        <f t="shared" si="1"/>
        <v/>
      </c>
      <c r="P405" s="19">
        <f t="shared" si="4"/>
        <v>2.850687619</v>
      </c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9"/>
      <c r="J406" s="9"/>
      <c r="K406" s="9"/>
      <c r="L406" s="10"/>
      <c r="M406" s="11"/>
      <c r="N406" s="8"/>
      <c r="O406" s="12" t="str">
        <f t="shared" si="1"/>
        <v/>
      </c>
      <c r="P406" s="12">
        <f t="shared" si="4"/>
        <v>2.850687619</v>
      </c>
    </row>
    <row r="407">
      <c r="A407" s="15">
        <f t="shared" si="3"/>
        <v>406</v>
      </c>
      <c r="B407" s="15"/>
      <c r="C407" s="15"/>
      <c r="D407" s="15"/>
      <c r="E407" s="15"/>
      <c r="F407" s="15"/>
      <c r="G407" s="15"/>
      <c r="H407" s="15"/>
      <c r="I407" s="16"/>
      <c r="J407" s="16"/>
      <c r="K407" s="16"/>
      <c r="L407" s="17"/>
      <c r="M407" s="18"/>
      <c r="N407" s="15"/>
      <c r="O407" s="19" t="str">
        <f t="shared" si="1"/>
        <v/>
      </c>
      <c r="P407" s="19">
        <f t="shared" si="4"/>
        <v>2.850687619</v>
      </c>
    </row>
    <row r="408">
      <c r="A408" s="8">
        <f t="shared" si="3"/>
        <v>407</v>
      </c>
      <c r="B408" s="8"/>
      <c r="C408" s="8"/>
      <c r="D408" s="8"/>
      <c r="E408" s="8"/>
      <c r="F408" s="8"/>
      <c r="G408" s="8"/>
      <c r="H408" s="8"/>
      <c r="I408" s="9"/>
      <c r="J408" s="9"/>
      <c r="K408" s="9"/>
      <c r="L408" s="10"/>
      <c r="M408" s="11"/>
      <c r="N408" s="8"/>
      <c r="O408" s="12" t="str">
        <f t="shared" si="1"/>
        <v/>
      </c>
      <c r="P408" s="12">
        <f t="shared" si="4"/>
        <v>2.850687619</v>
      </c>
    </row>
    <row r="409">
      <c r="A409" s="15">
        <f t="shared" si="3"/>
        <v>408</v>
      </c>
      <c r="B409" s="15"/>
      <c r="C409" s="15"/>
      <c r="D409" s="15"/>
      <c r="E409" s="15"/>
      <c r="F409" s="15"/>
      <c r="G409" s="15"/>
      <c r="H409" s="15"/>
      <c r="I409" s="16"/>
      <c r="J409" s="16"/>
      <c r="K409" s="16"/>
      <c r="L409" s="17"/>
      <c r="M409" s="18"/>
      <c r="N409" s="15"/>
      <c r="O409" s="19" t="str">
        <f t="shared" si="1"/>
        <v/>
      </c>
      <c r="P409" s="19">
        <f t="shared" si="4"/>
        <v>2.850687619</v>
      </c>
    </row>
    <row r="410">
      <c r="A410" s="8">
        <f t="shared" si="3"/>
        <v>409</v>
      </c>
      <c r="B410" s="8"/>
      <c r="C410" s="8"/>
      <c r="D410" s="8"/>
      <c r="E410" s="8"/>
      <c r="F410" s="8"/>
      <c r="G410" s="8"/>
      <c r="H410" s="8"/>
      <c r="I410" s="9"/>
      <c r="J410" s="9"/>
      <c r="K410" s="9"/>
      <c r="L410" s="10"/>
      <c r="M410" s="11"/>
      <c r="N410" s="8"/>
      <c r="O410" s="12" t="str">
        <f t="shared" si="1"/>
        <v/>
      </c>
      <c r="P410" s="12">
        <f t="shared" si="4"/>
        <v>2.850687619</v>
      </c>
    </row>
    <row r="411">
      <c r="A411" s="15">
        <f t="shared" si="3"/>
        <v>410</v>
      </c>
      <c r="B411" s="15"/>
      <c r="C411" s="15"/>
      <c r="D411" s="15"/>
      <c r="E411" s="15"/>
      <c r="F411" s="15"/>
      <c r="G411" s="15"/>
      <c r="H411" s="15"/>
      <c r="I411" s="16"/>
      <c r="J411" s="16"/>
      <c r="K411" s="16"/>
      <c r="L411" s="17"/>
      <c r="M411" s="18"/>
      <c r="N411" s="15"/>
      <c r="O411" s="19" t="str">
        <f t="shared" si="1"/>
        <v/>
      </c>
      <c r="P411" s="19">
        <f t="shared" si="4"/>
        <v>2.850687619</v>
      </c>
    </row>
    <row r="412">
      <c r="A412" s="8">
        <f t="shared" si="3"/>
        <v>411</v>
      </c>
      <c r="B412" s="8"/>
      <c r="C412" s="8"/>
      <c r="D412" s="8"/>
      <c r="E412" s="8"/>
      <c r="F412" s="8"/>
      <c r="G412" s="8"/>
      <c r="H412" s="8"/>
      <c r="I412" s="9"/>
      <c r="J412" s="9"/>
      <c r="K412" s="9"/>
      <c r="L412" s="56"/>
      <c r="M412" s="11"/>
      <c r="N412" s="8"/>
      <c r="O412" s="12" t="str">
        <f t="shared" si="1"/>
        <v/>
      </c>
      <c r="P412" s="12">
        <f t="shared" si="4"/>
        <v>2.850687619</v>
      </c>
    </row>
    <row r="413">
      <c r="A413" s="15">
        <f t="shared" si="3"/>
        <v>412</v>
      </c>
      <c r="B413" s="15"/>
      <c r="C413" s="15"/>
      <c r="D413" s="15"/>
      <c r="E413" s="15"/>
      <c r="F413" s="15"/>
      <c r="G413" s="15"/>
      <c r="H413" s="15"/>
      <c r="I413" s="16"/>
      <c r="J413" s="16"/>
      <c r="K413" s="16"/>
      <c r="L413" s="17"/>
      <c r="M413" s="18"/>
      <c r="N413" s="15"/>
      <c r="O413" s="19" t="str">
        <f t="shared" si="1"/>
        <v/>
      </c>
      <c r="P413" s="19">
        <f t="shared" si="4"/>
        <v>2.850687619</v>
      </c>
    </row>
    <row r="414">
      <c r="A414" s="8">
        <f t="shared" si="3"/>
        <v>413</v>
      </c>
      <c r="B414" s="8"/>
      <c r="C414" s="8"/>
      <c r="D414" s="8"/>
      <c r="E414" s="8"/>
      <c r="F414" s="8"/>
      <c r="G414" s="8"/>
      <c r="H414" s="8"/>
      <c r="I414" s="9"/>
      <c r="J414" s="9"/>
      <c r="K414" s="9"/>
      <c r="L414" s="10"/>
      <c r="M414" s="11"/>
      <c r="N414" s="8"/>
      <c r="O414" s="12" t="str">
        <f t="shared" si="1"/>
        <v/>
      </c>
      <c r="P414" s="12">
        <f t="shared" si="4"/>
        <v>2.850687619</v>
      </c>
    </row>
    <row r="415">
      <c r="A415" s="15">
        <f t="shared" si="3"/>
        <v>414</v>
      </c>
      <c r="B415" s="15"/>
      <c r="C415" s="15"/>
      <c r="D415" s="15"/>
      <c r="E415" s="15"/>
      <c r="F415" s="15"/>
      <c r="G415" s="15"/>
      <c r="H415" s="15"/>
      <c r="I415" s="16"/>
      <c r="J415" s="16"/>
      <c r="K415" s="16"/>
      <c r="L415" s="17"/>
      <c r="M415" s="18"/>
      <c r="N415" s="15"/>
      <c r="O415" s="19" t="str">
        <f t="shared" si="1"/>
        <v/>
      </c>
      <c r="P415" s="19">
        <f t="shared" si="4"/>
        <v>2.850687619</v>
      </c>
    </row>
    <row r="416">
      <c r="A416" s="8">
        <f t="shared" si="3"/>
        <v>415</v>
      </c>
      <c r="B416" s="8"/>
      <c r="C416" s="8"/>
      <c r="D416" s="8"/>
      <c r="E416" s="8"/>
      <c r="F416" s="8"/>
      <c r="G416" s="8"/>
      <c r="H416" s="8"/>
      <c r="I416" s="9"/>
      <c r="J416" s="9"/>
      <c r="K416" s="9"/>
      <c r="L416" s="10"/>
      <c r="M416" s="11"/>
      <c r="N416" s="8"/>
      <c r="O416" s="12" t="str">
        <f t="shared" si="1"/>
        <v/>
      </c>
      <c r="P416" s="12">
        <f t="shared" si="4"/>
        <v>2.850687619</v>
      </c>
    </row>
    <row r="417">
      <c r="A417" s="15">
        <f t="shared" si="3"/>
        <v>416</v>
      </c>
      <c r="B417" s="15"/>
      <c r="C417" s="15"/>
      <c r="D417" s="15"/>
      <c r="E417" s="15"/>
      <c r="F417" s="15"/>
      <c r="G417" s="15"/>
      <c r="H417" s="15"/>
      <c r="I417" s="16"/>
      <c r="J417" s="16"/>
      <c r="K417" s="16"/>
      <c r="L417" s="17"/>
      <c r="M417" s="18"/>
      <c r="N417" s="15"/>
      <c r="O417" s="19" t="str">
        <f t="shared" si="1"/>
        <v/>
      </c>
      <c r="P417" s="19">
        <f t="shared" si="4"/>
        <v>2.850687619</v>
      </c>
    </row>
    <row r="418">
      <c r="A418" s="8">
        <f t="shared" si="3"/>
        <v>417</v>
      </c>
      <c r="B418" s="8"/>
      <c r="C418" s="8"/>
      <c r="D418" s="8"/>
      <c r="E418" s="8"/>
      <c r="F418" s="8"/>
      <c r="G418" s="8"/>
      <c r="H418" s="8"/>
      <c r="I418" s="9"/>
      <c r="J418" s="9"/>
      <c r="K418" s="9"/>
      <c r="L418" s="10"/>
      <c r="M418" s="11"/>
      <c r="N418" s="8"/>
      <c r="O418" s="12" t="str">
        <f t="shared" si="1"/>
        <v/>
      </c>
      <c r="P418" s="12">
        <f t="shared" si="4"/>
        <v>2.850687619</v>
      </c>
    </row>
    <row r="419">
      <c r="A419" s="15">
        <f t="shared" si="3"/>
        <v>418</v>
      </c>
      <c r="B419" s="15"/>
      <c r="C419" s="15"/>
      <c r="D419" s="15"/>
      <c r="E419" s="15"/>
      <c r="F419" s="15"/>
      <c r="G419" s="15"/>
      <c r="H419" s="15"/>
      <c r="I419" s="16"/>
      <c r="J419" s="16"/>
      <c r="K419" s="16"/>
      <c r="L419" s="17"/>
      <c r="M419" s="18"/>
      <c r="N419" s="15"/>
      <c r="O419" s="19" t="str">
        <f t="shared" si="1"/>
        <v/>
      </c>
      <c r="P419" s="19">
        <f t="shared" si="4"/>
        <v>2.850687619</v>
      </c>
    </row>
    <row r="420">
      <c r="A420" s="8">
        <f t="shared" si="3"/>
        <v>419</v>
      </c>
      <c r="B420" s="8"/>
      <c r="C420" s="8"/>
      <c r="D420" s="8"/>
      <c r="E420" s="8"/>
      <c r="F420" s="8"/>
      <c r="G420" s="8"/>
      <c r="H420" s="8"/>
      <c r="I420" s="9"/>
      <c r="J420" s="9"/>
      <c r="K420" s="9"/>
      <c r="L420" s="10"/>
      <c r="M420" s="11"/>
      <c r="N420" s="8"/>
      <c r="O420" s="12" t="str">
        <f t="shared" si="1"/>
        <v/>
      </c>
      <c r="P420" s="12">
        <f t="shared" si="4"/>
        <v>2.850687619</v>
      </c>
    </row>
    <row r="421">
      <c r="A421" s="15">
        <f t="shared" si="3"/>
        <v>420</v>
      </c>
      <c r="B421" s="15"/>
      <c r="C421" s="15"/>
      <c r="D421" s="15"/>
      <c r="E421" s="15"/>
      <c r="F421" s="15"/>
      <c r="G421" s="15"/>
      <c r="H421" s="15"/>
      <c r="I421" s="16"/>
      <c r="J421" s="16"/>
      <c r="K421" s="16"/>
      <c r="L421" s="17"/>
      <c r="M421" s="18"/>
      <c r="N421" s="15"/>
      <c r="O421" s="19" t="str">
        <f t="shared" si="1"/>
        <v/>
      </c>
      <c r="P421" s="19">
        <f t="shared" si="4"/>
        <v>2.850687619</v>
      </c>
    </row>
    <row r="422">
      <c r="A422" s="8">
        <f t="shared" si="3"/>
        <v>421</v>
      </c>
      <c r="B422" s="8"/>
      <c r="C422" s="8"/>
      <c r="D422" s="8"/>
      <c r="E422" s="8"/>
      <c r="F422" s="8"/>
      <c r="G422" s="8"/>
      <c r="H422" s="8"/>
      <c r="I422" s="9"/>
      <c r="J422" s="9"/>
      <c r="K422" s="9"/>
      <c r="L422" s="10"/>
      <c r="M422" s="11"/>
      <c r="N422" s="8"/>
      <c r="O422" s="12" t="str">
        <f t="shared" si="1"/>
        <v/>
      </c>
      <c r="P422" s="12">
        <f t="shared" si="4"/>
        <v>2.850687619</v>
      </c>
    </row>
    <row r="423">
      <c r="A423" s="15">
        <f t="shared" si="3"/>
        <v>422</v>
      </c>
      <c r="B423" s="15"/>
      <c r="C423" s="15"/>
      <c r="D423" s="15"/>
      <c r="E423" s="15"/>
      <c r="F423" s="15"/>
      <c r="G423" s="15"/>
      <c r="H423" s="15"/>
      <c r="I423" s="16"/>
      <c r="J423" s="16"/>
      <c r="K423" s="16"/>
      <c r="L423" s="17"/>
      <c r="M423" s="18"/>
      <c r="N423" s="15"/>
      <c r="O423" s="19" t="str">
        <f t="shared" si="1"/>
        <v/>
      </c>
      <c r="P423" s="19">
        <f t="shared" si="4"/>
        <v>2.850687619</v>
      </c>
    </row>
    <row r="424">
      <c r="A424" s="8">
        <f t="shared" si="3"/>
        <v>423</v>
      </c>
      <c r="B424" s="8"/>
      <c r="C424" s="8"/>
      <c r="D424" s="8"/>
      <c r="E424" s="8"/>
      <c r="F424" s="8"/>
      <c r="G424" s="8"/>
      <c r="H424" s="8"/>
      <c r="I424" s="9"/>
      <c r="J424" s="9"/>
      <c r="K424" s="9"/>
      <c r="L424" s="10"/>
      <c r="M424" s="11"/>
      <c r="N424" s="8"/>
      <c r="O424" s="12" t="str">
        <f t="shared" si="1"/>
        <v/>
      </c>
      <c r="P424" s="12">
        <f t="shared" si="4"/>
        <v>2.850687619</v>
      </c>
    </row>
    <row r="425">
      <c r="A425" s="15">
        <f t="shared" si="3"/>
        <v>424</v>
      </c>
      <c r="B425" s="15"/>
      <c r="C425" s="15"/>
      <c r="D425" s="15"/>
      <c r="E425" s="15"/>
      <c r="F425" s="15"/>
      <c r="G425" s="15"/>
      <c r="H425" s="15"/>
      <c r="I425" s="16"/>
      <c r="J425" s="16"/>
      <c r="K425" s="16"/>
      <c r="L425" s="17"/>
      <c r="M425" s="18"/>
      <c r="N425" s="15"/>
      <c r="O425" s="19" t="str">
        <f t="shared" si="1"/>
        <v/>
      </c>
      <c r="P425" s="19">
        <f t="shared" si="4"/>
        <v>2.850687619</v>
      </c>
    </row>
    <row r="426">
      <c r="A426" s="8">
        <f t="shared" si="3"/>
        <v>425</v>
      </c>
      <c r="B426" s="8"/>
      <c r="C426" s="8"/>
      <c r="D426" s="8"/>
      <c r="E426" s="8"/>
      <c r="F426" s="8"/>
      <c r="G426" s="8"/>
      <c r="H426" s="8"/>
      <c r="I426" s="9"/>
      <c r="J426" s="9"/>
      <c r="K426" s="9"/>
      <c r="L426" s="10"/>
      <c r="M426" s="11"/>
      <c r="N426" s="8"/>
      <c r="O426" s="12" t="str">
        <f t="shared" si="1"/>
        <v/>
      </c>
      <c r="P426" s="12">
        <f t="shared" si="4"/>
        <v>2.850687619</v>
      </c>
    </row>
    <row r="427">
      <c r="A427" s="15">
        <f t="shared" si="3"/>
        <v>426</v>
      </c>
      <c r="B427" s="15"/>
      <c r="C427" s="15"/>
      <c r="D427" s="15"/>
      <c r="E427" s="15"/>
      <c r="F427" s="15"/>
      <c r="G427" s="15"/>
      <c r="H427" s="15"/>
      <c r="I427" s="16"/>
      <c r="J427" s="16"/>
      <c r="K427" s="16"/>
      <c r="L427" s="17"/>
      <c r="M427" s="18"/>
      <c r="N427" s="15"/>
      <c r="O427" s="19" t="str">
        <f t="shared" si="1"/>
        <v/>
      </c>
      <c r="P427" s="19">
        <f t="shared" si="4"/>
        <v>2.850687619</v>
      </c>
    </row>
    <row r="428">
      <c r="A428" s="8">
        <f t="shared" si="3"/>
        <v>427</v>
      </c>
      <c r="B428" s="8"/>
      <c r="C428" s="8"/>
      <c r="D428" s="8"/>
      <c r="E428" s="8"/>
      <c r="F428" s="8"/>
      <c r="G428" s="8"/>
      <c r="H428" s="8"/>
      <c r="I428" s="9"/>
      <c r="J428" s="9"/>
      <c r="K428" s="9"/>
      <c r="L428" s="10"/>
      <c r="M428" s="11"/>
      <c r="N428" s="8"/>
      <c r="O428" s="12" t="str">
        <f t="shared" si="1"/>
        <v/>
      </c>
      <c r="P428" s="12">
        <f t="shared" si="4"/>
        <v>2.850687619</v>
      </c>
    </row>
    <row r="429">
      <c r="A429" s="15">
        <f t="shared" si="3"/>
        <v>428</v>
      </c>
      <c r="B429" s="15"/>
      <c r="C429" s="15"/>
      <c r="D429" s="15"/>
      <c r="E429" s="15"/>
      <c r="F429" s="15"/>
      <c r="G429" s="15"/>
      <c r="H429" s="15"/>
      <c r="I429" s="16"/>
      <c r="J429" s="16"/>
      <c r="K429" s="16"/>
      <c r="L429" s="17"/>
      <c r="M429" s="18"/>
      <c r="N429" s="15"/>
      <c r="O429" s="19" t="str">
        <f t="shared" si="1"/>
        <v/>
      </c>
      <c r="P429" s="19">
        <f t="shared" si="4"/>
        <v>2.850687619</v>
      </c>
    </row>
    <row r="430">
      <c r="A430" s="8">
        <f t="shared" si="3"/>
        <v>429</v>
      </c>
      <c r="B430" s="8"/>
      <c r="C430" s="8"/>
      <c r="D430" s="8"/>
      <c r="E430" s="8"/>
      <c r="F430" s="8"/>
      <c r="G430" s="8"/>
      <c r="H430" s="8"/>
      <c r="I430" s="9"/>
      <c r="J430" s="9"/>
      <c r="K430" s="9"/>
      <c r="L430" s="10"/>
      <c r="M430" s="11"/>
      <c r="N430" s="8"/>
      <c r="O430" s="12" t="str">
        <f t="shared" si="1"/>
        <v/>
      </c>
      <c r="P430" s="12">
        <f t="shared" si="4"/>
        <v>2.850687619</v>
      </c>
    </row>
    <row r="431">
      <c r="A431" s="15">
        <f t="shared" si="3"/>
        <v>430</v>
      </c>
      <c r="B431" s="15"/>
      <c r="C431" s="15"/>
      <c r="D431" s="15"/>
      <c r="E431" s="15"/>
      <c r="F431" s="15"/>
      <c r="G431" s="15"/>
      <c r="H431" s="15"/>
      <c r="I431" s="16"/>
      <c r="J431" s="16"/>
      <c r="K431" s="16"/>
      <c r="L431" s="17"/>
      <c r="M431" s="18"/>
      <c r="N431" s="15"/>
      <c r="O431" s="19" t="str">
        <f t="shared" si="1"/>
        <v/>
      </c>
      <c r="P431" s="19">
        <f t="shared" si="4"/>
        <v>2.850687619</v>
      </c>
    </row>
    <row r="432">
      <c r="A432" s="8">
        <f t="shared" si="3"/>
        <v>431</v>
      </c>
      <c r="B432" s="8"/>
      <c r="C432" s="8"/>
      <c r="D432" s="8"/>
      <c r="E432" s="8"/>
      <c r="F432" s="8"/>
      <c r="G432" s="8"/>
      <c r="H432" s="8"/>
      <c r="I432" s="9"/>
      <c r="J432" s="9"/>
      <c r="K432" s="9"/>
      <c r="L432" s="10"/>
      <c r="M432" s="11"/>
      <c r="N432" s="8"/>
      <c r="O432" s="12" t="str">
        <f t="shared" si="1"/>
        <v/>
      </c>
      <c r="P432" s="12">
        <f t="shared" si="4"/>
        <v>2.850687619</v>
      </c>
    </row>
    <row r="433">
      <c r="A433" s="15">
        <f t="shared" si="3"/>
        <v>432</v>
      </c>
      <c r="B433" s="15"/>
      <c r="C433" s="15"/>
      <c r="D433" s="15"/>
      <c r="E433" s="15"/>
      <c r="F433" s="15"/>
      <c r="G433" s="15"/>
      <c r="H433" s="15"/>
      <c r="I433" s="16"/>
      <c r="J433" s="16"/>
      <c r="K433" s="16"/>
      <c r="L433" s="17"/>
      <c r="M433" s="18"/>
      <c r="N433" s="15"/>
      <c r="O433" s="19" t="str">
        <f t="shared" si="1"/>
        <v/>
      </c>
      <c r="P433" s="19">
        <f t="shared" si="4"/>
        <v>2.850687619</v>
      </c>
    </row>
    <row r="434">
      <c r="A434" s="8">
        <f t="shared" si="3"/>
        <v>433</v>
      </c>
      <c r="B434" s="8"/>
      <c r="C434" s="8"/>
      <c r="D434" s="8"/>
      <c r="E434" s="8"/>
      <c r="F434" s="8"/>
      <c r="G434" s="8"/>
      <c r="H434" s="8"/>
      <c r="I434" s="9"/>
      <c r="J434" s="9"/>
      <c r="K434" s="9"/>
      <c r="L434" s="10"/>
      <c r="M434" s="11"/>
      <c r="N434" s="8"/>
      <c r="O434" s="12" t="str">
        <f t="shared" si="1"/>
        <v/>
      </c>
      <c r="P434" s="12">
        <f t="shared" si="4"/>
        <v>2.850687619</v>
      </c>
    </row>
    <row r="435">
      <c r="A435" s="15">
        <f t="shared" si="3"/>
        <v>434</v>
      </c>
      <c r="B435" s="15"/>
      <c r="C435" s="15"/>
      <c r="D435" s="15"/>
      <c r="E435" s="15"/>
      <c r="F435" s="15"/>
      <c r="G435" s="15"/>
      <c r="H435" s="15"/>
      <c r="I435" s="16"/>
      <c r="J435" s="16"/>
      <c r="K435" s="16"/>
      <c r="L435" s="17"/>
      <c r="M435" s="18"/>
      <c r="N435" s="15"/>
      <c r="O435" s="19" t="str">
        <f t="shared" si="1"/>
        <v/>
      </c>
      <c r="P435" s="19">
        <f t="shared" si="4"/>
        <v>2.850687619</v>
      </c>
    </row>
    <row r="436">
      <c r="A436" s="8">
        <f t="shared" si="3"/>
        <v>435</v>
      </c>
      <c r="B436" s="8"/>
      <c r="C436" s="8"/>
      <c r="D436" s="8"/>
      <c r="E436" s="8"/>
      <c r="F436" s="8"/>
      <c r="G436" s="8"/>
      <c r="H436" s="8"/>
      <c r="I436" s="9"/>
      <c r="J436" s="9"/>
      <c r="K436" s="9"/>
      <c r="L436" s="10"/>
      <c r="M436" s="11"/>
      <c r="N436" s="8"/>
      <c r="O436" s="12" t="str">
        <f t="shared" si="1"/>
        <v/>
      </c>
      <c r="P436" s="12">
        <f t="shared" si="4"/>
        <v>2.850687619</v>
      </c>
    </row>
    <row r="437">
      <c r="A437" s="15">
        <f t="shared" si="3"/>
        <v>436</v>
      </c>
      <c r="B437" s="15"/>
      <c r="C437" s="15"/>
      <c r="D437" s="15"/>
      <c r="E437" s="15"/>
      <c r="F437" s="15"/>
      <c r="G437" s="15"/>
      <c r="H437" s="15"/>
      <c r="I437" s="16"/>
      <c r="J437" s="16"/>
      <c r="K437" s="16"/>
      <c r="L437" s="17"/>
      <c r="M437" s="18"/>
      <c r="N437" s="15"/>
      <c r="O437" s="19" t="str">
        <f t="shared" si="1"/>
        <v/>
      </c>
      <c r="P437" s="19">
        <f t="shared" si="4"/>
        <v>2.850687619</v>
      </c>
    </row>
    <row r="438">
      <c r="A438" s="8">
        <f t="shared" si="3"/>
        <v>437</v>
      </c>
      <c r="B438" s="8"/>
      <c r="C438" s="8"/>
      <c r="D438" s="8"/>
      <c r="E438" s="8"/>
      <c r="F438" s="8"/>
      <c r="G438" s="8"/>
      <c r="H438" s="8"/>
      <c r="I438" s="9"/>
      <c r="J438" s="9"/>
      <c r="K438" s="9"/>
      <c r="L438" s="10"/>
      <c r="M438" s="11"/>
      <c r="N438" s="8"/>
      <c r="O438" s="12" t="str">
        <f t="shared" si="1"/>
        <v/>
      </c>
      <c r="P438" s="12">
        <f t="shared" si="4"/>
        <v>2.850687619</v>
      </c>
    </row>
    <row r="439">
      <c r="A439" s="15">
        <f t="shared" si="3"/>
        <v>438</v>
      </c>
      <c r="B439" s="15"/>
      <c r="C439" s="15"/>
      <c r="D439" s="15"/>
      <c r="E439" s="15"/>
      <c r="F439" s="15"/>
      <c r="G439" s="15"/>
      <c r="H439" s="15"/>
      <c r="I439" s="16"/>
      <c r="J439" s="16"/>
      <c r="K439" s="16"/>
      <c r="L439" s="17"/>
      <c r="M439" s="18"/>
      <c r="N439" s="15"/>
      <c r="O439" s="19" t="str">
        <f t="shared" si="1"/>
        <v/>
      </c>
      <c r="P439" s="19">
        <f t="shared" si="4"/>
        <v>2.850687619</v>
      </c>
    </row>
    <row r="440">
      <c r="A440" s="8">
        <f t="shared" si="3"/>
        <v>439</v>
      </c>
      <c r="B440" s="8"/>
      <c r="C440" s="8"/>
      <c r="D440" s="8"/>
      <c r="E440" s="8"/>
      <c r="F440" s="8"/>
      <c r="G440" s="8"/>
      <c r="H440" s="8"/>
      <c r="I440" s="9"/>
      <c r="J440" s="9"/>
      <c r="K440" s="9"/>
      <c r="L440" s="10"/>
      <c r="M440" s="11"/>
      <c r="N440" s="8"/>
      <c r="O440" s="12" t="str">
        <f t="shared" si="1"/>
        <v/>
      </c>
      <c r="P440" s="12">
        <f t="shared" si="4"/>
        <v>2.850687619</v>
      </c>
    </row>
    <row r="441">
      <c r="A441" s="15">
        <f t="shared" si="3"/>
        <v>440</v>
      </c>
      <c r="B441" s="15"/>
      <c r="C441" s="15"/>
      <c r="D441" s="15"/>
      <c r="E441" s="15"/>
      <c r="F441" s="15"/>
      <c r="G441" s="15"/>
      <c r="H441" s="15"/>
      <c r="I441" s="16"/>
      <c r="J441" s="16"/>
      <c r="K441" s="16"/>
      <c r="L441" s="17"/>
      <c r="M441" s="18"/>
      <c r="N441" s="15"/>
      <c r="O441" s="19" t="str">
        <f t="shared" si="1"/>
        <v/>
      </c>
      <c r="P441" s="19">
        <f t="shared" si="4"/>
        <v>2.850687619</v>
      </c>
    </row>
    <row r="442">
      <c r="A442" s="8">
        <f t="shared" si="3"/>
        <v>441</v>
      </c>
      <c r="B442" s="8"/>
      <c r="C442" s="8"/>
      <c r="D442" s="8"/>
      <c r="E442" s="8"/>
      <c r="F442" s="8"/>
      <c r="G442" s="8"/>
      <c r="H442" s="8"/>
      <c r="I442" s="9"/>
      <c r="J442" s="9"/>
      <c r="K442" s="9"/>
      <c r="L442" s="10"/>
      <c r="M442" s="11"/>
      <c r="N442" s="8"/>
      <c r="O442" s="12" t="str">
        <f t="shared" si="1"/>
        <v/>
      </c>
      <c r="P442" s="12">
        <f t="shared" si="4"/>
        <v>2.850687619</v>
      </c>
    </row>
    <row r="443">
      <c r="A443" s="15">
        <f t="shared" si="3"/>
        <v>442</v>
      </c>
      <c r="B443" s="15"/>
      <c r="C443" s="15"/>
      <c r="D443" s="15"/>
      <c r="E443" s="15"/>
      <c r="F443" s="15"/>
      <c r="G443" s="15"/>
      <c r="H443" s="15"/>
      <c r="I443" s="16"/>
      <c r="J443" s="16"/>
      <c r="K443" s="16"/>
      <c r="L443" s="17"/>
      <c r="M443" s="18"/>
      <c r="N443" s="15"/>
      <c r="O443" s="19" t="str">
        <f t="shared" si="1"/>
        <v/>
      </c>
      <c r="P443" s="19">
        <f t="shared" si="4"/>
        <v>2.850687619</v>
      </c>
    </row>
    <row r="444">
      <c r="A444" s="8">
        <f t="shared" si="3"/>
        <v>443</v>
      </c>
      <c r="B444" s="8"/>
      <c r="C444" s="8"/>
      <c r="D444" s="8"/>
      <c r="E444" s="8"/>
      <c r="F444" s="8"/>
      <c r="G444" s="8"/>
      <c r="H444" s="8"/>
      <c r="I444" s="9"/>
      <c r="J444" s="9"/>
      <c r="K444" s="9"/>
      <c r="L444" s="10"/>
      <c r="M444" s="11"/>
      <c r="N444" s="8"/>
      <c r="O444" s="12" t="str">
        <f t="shared" si="1"/>
        <v/>
      </c>
      <c r="P444" s="12">
        <f t="shared" si="4"/>
        <v>2.850687619</v>
      </c>
    </row>
    <row r="445">
      <c r="A445" s="15">
        <f t="shared" si="3"/>
        <v>444</v>
      </c>
      <c r="B445" s="15"/>
      <c r="C445" s="15"/>
      <c r="D445" s="15"/>
      <c r="E445" s="15"/>
      <c r="F445" s="15"/>
      <c r="G445" s="15"/>
      <c r="H445" s="15"/>
      <c r="I445" s="16"/>
      <c r="J445" s="16"/>
      <c r="K445" s="16"/>
      <c r="L445" s="57"/>
      <c r="M445" s="18"/>
      <c r="N445" s="15"/>
      <c r="O445" s="19" t="str">
        <f t="shared" si="1"/>
        <v/>
      </c>
      <c r="P445" s="19">
        <f t="shared" si="4"/>
        <v>2.850687619</v>
      </c>
    </row>
    <row r="446">
      <c r="A446" s="8">
        <f t="shared" si="3"/>
        <v>445</v>
      </c>
      <c r="B446" s="8"/>
      <c r="C446" s="8"/>
      <c r="D446" s="8"/>
      <c r="E446" s="8"/>
      <c r="F446" s="8"/>
      <c r="G446" s="8"/>
      <c r="H446" s="8"/>
      <c r="I446" s="9"/>
      <c r="J446" s="9"/>
      <c r="K446" s="9"/>
      <c r="L446" s="10"/>
      <c r="M446" s="11"/>
      <c r="N446" s="8"/>
      <c r="O446" s="12" t="str">
        <f t="shared" si="1"/>
        <v/>
      </c>
      <c r="P446" s="12">
        <f t="shared" si="4"/>
        <v>2.850687619</v>
      </c>
    </row>
    <row r="447">
      <c r="A447" s="15">
        <f t="shared" si="3"/>
        <v>446</v>
      </c>
      <c r="B447" s="15"/>
      <c r="C447" s="15"/>
      <c r="D447" s="15"/>
      <c r="E447" s="15"/>
      <c r="F447" s="15"/>
      <c r="G447" s="15"/>
      <c r="H447" s="15"/>
      <c r="I447" s="16"/>
      <c r="J447" s="16"/>
      <c r="K447" s="16"/>
      <c r="L447" s="17"/>
      <c r="M447" s="18"/>
      <c r="N447" s="15"/>
      <c r="O447" s="19" t="str">
        <f t="shared" si="1"/>
        <v/>
      </c>
      <c r="P447" s="19">
        <f t="shared" si="4"/>
        <v>2.850687619</v>
      </c>
    </row>
    <row r="448">
      <c r="A448" s="8">
        <f t="shared" si="3"/>
        <v>447</v>
      </c>
      <c r="B448" s="8"/>
      <c r="C448" s="8"/>
      <c r="D448" s="8"/>
      <c r="E448" s="8"/>
      <c r="F448" s="8"/>
      <c r="G448" s="8"/>
      <c r="H448" s="8"/>
      <c r="I448" s="9"/>
      <c r="J448" s="9"/>
      <c r="K448" s="9"/>
      <c r="L448" s="10"/>
      <c r="M448" s="11"/>
      <c r="N448" s="8"/>
      <c r="O448" s="12" t="str">
        <f t="shared" si="1"/>
        <v/>
      </c>
      <c r="P448" s="12">
        <f t="shared" si="4"/>
        <v>2.850687619</v>
      </c>
    </row>
    <row r="449">
      <c r="A449" s="15">
        <f t="shared" si="3"/>
        <v>448</v>
      </c>
      <c r="B449" s="15"/>
      <c r="C449" s="15"/>
      <c r="D449" s="15"/>
      <c r="E449" s="15"/>
      <c r="F449" s="15"/>
      <c r="G449" s="15"/>
      <c r="H449" s="15"/>
      <c r="I449" s="16"/>
      <c r="J449" s="16"/>
      <c r="K449" s="16"/>
      <c r="L449" s="17"/>
      <c r="M449" s="18"/>
      <c r="N449" s="15"/>
      <c r="O449" s="19" t="str">
        <f t="shared" si="1"/>
        <v/>
      </c>
      <c r="P449" s="19">
        <f t="shared" si="4"/>
        <v>2.850687619</v>
      </c>
    </row>
    <row r="450">
      <c r="A450" s="8">
        <f t="shared" si="3"/>
        <v>449</v>
      </c>
      <c r="B450" s="8"/>
      <c r="C450" s="8"/>
      <c r="D450" s="8"/>
      <c r="E450" s="8"/>
      <c r="F450" s="8"/>
      <c r="G450" s="8"/>
      <c r="H450" s="8"/>
      <c r="I450" s="9"/>
      <c r="J450" s="9"/>
      <c r="K450" s="9"/>
      <c r="L450" s="10"/>
      <c r="M450" s="11"/>
      <c r="N450" s="8"/>
      <c r="O450" s="12" t="str">
        <f t="shared" si="1"/>
        <v/>
      </c>
      <c r="P450" s="12">
        <f t="shared" si="4"/>
        <v>2.850687619</v>
      </c>
    </row>
    <row r="451">
      <c r="A451" s="15">
        <f t="shared" si="3"/>
        <v>450</v>
      </c>
      <c r="B451" s="15"/>
      <c r="C451" s="15"/>
      <c r="D451" s="15"/>
      <c r="E451" s="15"/>
      <c r="F451" s="15"/>
      <c r="G451" s="15"/>
      <c r="H451" s="15"/>
      <c r="I451" s="16"/>
      <c r="J451" s="16"/>
      <c r="K451" s="16"/>
      <c r="L451" s="17"/>
      <c r="M451" s="18"/>
      <c r="N451" s="15"/>
      <c r="O451" s="19" t="str">
        <f t="shared" si="1"/>
        <v/>
      </c>
      <c r="P451" s="19">
        <f t="shared" si="4"/>
        <v>2.850687619</v>
      </c>
    </row>
    <row r="452">
      <c r="A452" s="8">
        <f t="shared" si="3"/>
        <v>451</v>
      </c>
      <c r="B452" s="8"/>
      <c r="C452" s="8"/>
      <c r="D452" s="8"/>
      <c r="E452" s="8"/>
      <c r="F452" s="8"/>
      <c r="G452" s="8"/>
      <c r="H452" s="8"/>
      <c r="I452" s="9"/>
      <c r="J452" s="9"/>
      <c r="K452" s="9"/>
      <c r="L452" s="10"/>
      <c r="M452" s="11"/>
      <c r="N452" s="8"/>
      <c r="O452" s="12" t="str">
        <f t="shared" si="1"/>
        <v/>
      </c>
      <c r="P452" s="12">
        <f t="shared" si="4"/>
        <v>2.850687619</v>
      </c>
    </row>
    <row r="453">
      <c r="A453" s="15">
        <f t="shared" si="3"/>
        <v>452</v>
      </c>
      <c r="B453" s="15"/>
      <c r="C453" s="15"/>
      <c r="D453" s="15"/>
      <c r="E453" s="15"/>
      <c r="F453" s="15"/>
      <c r="G453" s="15"/>
      <c r="H453" s="15"/>
      <c r="I453" s="16"/>
      <c r="J453" s="16"/>
      <c r="K453" s="16"/>
      <c r="L453" s="57"/>
      <c r="M453" s="18"/>
      <c r="N453" s="15"/>
      <c r="O453" s="19" t="str">
        <f t="shared" si="1"/>
        <v/>
      </c>
      <c r="P453" s="19">
        <f t="shared" si="4"/>
        <v>2.850687619</v>
      </c>
    </row>
    <row r="454">
      <c r="A454" s="8">
        <f t="shared" si="3"/>
        <v>453</v>
      </c>
      <c r="B454" s="8"/>
      <c r="C454" s="8"/>
      <c r="D454" s="8"/>
      <c r="E454" s="8"/>
      <c r="F454" s="8"/>
      <c r="G454" s="8"/>
      <c r="H454" s="8"/>
      <c r="I454" s="9"/>
      <c r="J454" s="9"/>
      <c r="K454" s="9"/>
      <c r="L454" s="10"/>
      <c r="M454" s="11"/>
      <c r="N454" s="8"/>
      <c r="O454" s="12" t="str">
        <f t="shared" si="1"/>
        <v/>
      </c>
      <c r="P454" s="12">
        <f t="shared" si="4"/>
        <v>2.850687619</v>
      </c>
    </row>
    <row r="455">
      <c r="A455" s="15">
        <f t="shared" si="3"/>
        <v>454</v>
      </c>
      <c r="B455" s="15"/>
      <c r="C455" s="15"/>
      <c r="D455" s="15"/>
      <c r="E455" s="15"/>
      <c r="F455" s="15"/>
      <c r="G455" s="15"/>
      <c r="H455" s="15"/>
      <c r="I455" s="16"/>
      <c r="J455" s="16"/>
      <c r="K455" s="16"/>
      <c r="L455" s="17"/>
      <c r="M455" s="18"/>
      <c r="N455" s="15"/>
      <c r="O455" s="19" t="str">
        <f t="shared" si="1"/>
        <v/>
      </c>
      <c r="P455" s="19">
        <f t="shared" si="4"/>
        <v>2.850687619</v>
      </c>
    </row>
    <row r="456">
      <c r="A456" s="8">
        <f t="shared" si="3"/>
        <v>455</v>
      </c>
      <c r="B456" s="8"/>
      <c r="C456" s="8"/>
      <c r="D456" s="8"/>
      <c r="E456" s="8"/>
      <c r="F456" s="8"/>
      <c r="G456" s="8"/>
      <c r="H456" s="8"/>
      <c r="I456" s="9"/>
      <c r="J456" s="9"/>
      <c r="K456" s="9"/>
      <c r="L456" s="10"/>
      <c r="M456" s="11"/>
      <c r="N456" s="8"/>
      <c r="O456" s="12" t="str">
        <f t="shared" si="1"/>
        <v/>
      </c>
      <c r="P456" s="12">
        <f t="shared" si="4"/>
        <v>2.850687619</v>
      </c>
    </row>
    <row r="457">
      <c r="A457" s="15">
        <f t="shared" si="3"/>
        <v>456</v>
      </c>
      <c r="B457" s="15"/>
      <c r="C457" s="15"/>
      <c r="D457" s="15"/>
      <c r="E457" s="15"/>
      <c r="F457" s="15"/>
      <c r="G457" s="15"/>
      <c r="H457" s="15"/>
      <c r="I457" s="16"/>
      <c r="J457" s="16"/>
      <c r="K457" s="16"/>
      <c r="L457" s="17"/>
      <c r="M457" s="18"/>
      <c r="N457" s="15"/>
      <c r="O457" s="19" t="str">
        <f t="shared" si="1"/>
        <v/>
      </c>
      <c r="P457" s="19">
        <f t="shared" si="4"/>
        <v>2.850687619</v>
      </c>
    </row>
    <row r="458">
      <c r="A458" s="8">
        <f t="shared" si="3"/>
        <v>457</v>
      </c>
      <c r="B458" s="8"/>
      <c r="C458" s="8"/>
      <c r="D458" s="8"/>
      <c r="E458" s="8"/>
      <c r="F458" s="8"/>
      <c r="G458" s="8"/>
      <c r="H458" s="8"/>
      <c r="I458" s="9"/>
      <c r="J458" s="9"/>
      <c r="K458" s="9"/>
      <c r="L458" s="10"/>
      <c r="M458" s="11"/>
      <c r="N458" s="8"/>
      <c r="O458" s="12" t="str">
        <f t="shared" si="1"/>
        <v/>
      </c>
      <c r="P458" s="12">
        <f t="shared" si="4"/>
        <v>2.850687619</v>
      </c>
    </row>
    <row r="459">
      <c r="A459" s="15">
        <f t="shared" si="3"/>
        <v>458</v>
      </c>
      <c r="B459" s="15"/>
      <c r="C459" s="15"/>
      <c r="D459" s="15"/>
      <c r="E459" s="15"/>
      <c r="F459" s="15"/>
      <c r="G459" s="15"/>
      <c r="H459" s="15"/>
      <c r="I459" s="16"/>
      <c r="J459" s="16"/>
      <c r="K459" s="16"/>
      <c r="L459" s="17"/>
      <c r="M459" s="18"/>
      <c r="N459" s="15"/>
      <c r="O459" s="19" t="str">
        <f t="shared" si="1"/>
        <v/>
      </c>
      <c r="P459" s="19">
        <f t="shared" si="4"/>
        <v>2.850687619</v>
      </c>
    </row>
    <row r="460">
      <c r="A460" s="8">
        <f t="shared" si="3"/>
        <v>459</v>
      </c>
      <c r="B460" s="8"/>
      <c r="C460" s="8"/>
      <c r="D460" s="8"/>
      <c r="E460" s="8"/>
      <c r="F460" s="8"/>
      <c r="G460" s="8"/>
      <c r="H460" s="8"/>
      <c r="I460" s="9"/>
      <c r="J460" s="9"/>
      <c r="K460" s="9"/>
      <c r="L460" s="10"/>
      <c r="M460" s="11"/>
      <c r="N460" s="8"/>
      <c r="O460" s="12" t="str">
        <f t="shared" si="1"/>
        <v/>
      </c>
      <c r="P460" s="12">
        <f t="shared" si="4"/>
        <v>2.850687619</v>
      </c>
    </row>
    <row r="461">
      <c r="A461" s="15">
        <f t="shared" si="3"/>
        <v>460</v>
      </c>
      <c r="B461" s="15"/>
      <c r="C461" s="15"/>
      <c r="D461" s="15"/>
      <c r="E461" s="15"/>
      <c r="F461" s="15"/>
      <c r="G461" s="15"/>
      <c r="H461" s="15"/>
      <c r="I461" s="16"/>
      <c r="J461" s="16"/>
      <c r="K461" s="16"/>
      <c r="L461" s="17"/>
      <c r="M461" s="18"/>
      <c r="N461" s="15"/>
      <c r="O461" s="19" t="str">
        <f t="shared" si="1"/>
        <v/>
      </c>
      <c r="P461" s="19">
        <f t="shared" si="4"/>
        <v>2.850687619</v>
      </c>
    </row>
    <row r="462">
      <c r="A462" s="8">
        <f t="shared" si="3"/>
        <v>461</v>
      </c>
      <c r="B462" s="8"/>
      <c r="C462" s="8"/>
      <c r="D462" s="8"/>
      <c r="E462" s="8"/>
      <c r="F462" s="8"/>
      <c r="G462" s="8"/>
      <c r="H462" s="8"/>
      <c r="I462" s="9"/>
      <c r="J462" s="9"/>
      <c r="K462" s="9"/>
      <c r="L462" s="10"/>
      <c r="M462" s="11"/>
      <c r="N462" s="8"/>
      <c r="O462" s="12" t="str">
        <f t="shared" si="1"/>
        <v/>
      </c>
      <c r="P462" s="12">
        <f t="shared" si="4"/>
        <v>2.850687619</v>
      </c>
    </row>
    <row r="463">
      <c r="A463" s="15">
        <f t="shared" si="3"/>
        <v>462</v>
      </c>
      <c r="B463" s="15"/>
      <c r="C463" s="15"/>
      <c r="D463" s="15"/>
      <c r="E463" s="15"/>
      <c r="F463" s="15"/>
      <c r="G463" s="15"/>
      <c r="H463" s="15"/>
      <c r="I463" s="16"/>
      <c r="J463" s="16"/>
      <c r="K463" s="16"/>
      <c r="L463" s="17"/>
      <c r="M463" s="18"/>
      <c r="N463" s="15"/>
      <c r="O463" s="19" t="str">
        <f t="shared" si="1"/>
        <v/>
      </c>
      <c r="P463" s="19">
        <f t="shared" si="4"/>
        <v>2.850687619</v>
      </c>
    </row>
    <row r="464">
      <c r="A464" s="8">
        <f t="shared" si="3"/>
        <v>463</v>
      </c>
      <c r="B464" s="8"/>
      <c r="C464" s="8"/>
      <c r="D464" s="8"/>
      <c r="E464" s="8"/>
      <c r="F464" s="8"/>
      <c r="G464" s="8"/>
      <c r="H464" s="8"/>
      <c r="I464" s="9"/>
      <c r="J464" s="9"/>
      <c r="K464" s="9"/>
      <c r="L464" s="10"/>
      <c r="M464" s="11"/>
      <c r="N464" s="8"/>
      <c r="O464" s="12" t="str">
        <f t="shared" si="1"/>
        <v/>
      </c>
      <c r="P464" s="12">
        <f t="shared" si="4"/>
        <v>2.850687619</v>
      </c>
    </row>
    <row r="465">
      <c r="A465" s="15">
        <f t="shared" si="3"/>
        <v>464</v>
      </c>
      <c r="B465" s="15"/>
      <c r="C465" s="15"/>
      <c r="D465" s="15"/>
      <c r="E465" s="15"/>
      <c r="F465" s="15"/>
      <c r="G465" s="15"/>
      <c r="H465" s="15"/>
      <c r="I465" s="16"/>
      <c r="J465" s="16"/>
      <c r="K465" s="16"/>
      <c r="L465" s="17"/>
      <c r="M465" s="18"/>
      <c r="N465" s="15"/>
      <c r="O465" s="19" t="str">
        <f t="shared" si="1"/>
        <v/>
      </c>
      <c r="P465" s="19">
        <f t="shared" si="4"/>
        <v>2.850687619</v>
      </c>
    </row>
    <row r="466">
      <c r="A466" s="8">
        <f t="shared" si="3"/>
        <v>465</v>
      </c>
      <c r="B466" s="8"/>
      <c r="C466" s="8"/>
      <c r="D466" s="8"/>
      <c r="E466" s="8"/>
      <c r="F466" s="8"/>
      <c r="G466" s="8"/>
      <c r="H466" s="8"/>
      <c r="I466" s="9"/>
      <c r="J466" s="9"/>
      <c r="K466" s="9"/>
      <c r="L466" s="10"/>
      <c r="M466" s="11"/>
      <c r="N466" s="8"/>
      <c r="O466" s="12" t="str">
        <f t="shared" si="1"/>
        <v/>
      </c>
      <c r="P466" s="12">
        <f t="shared" si="4"/>
        <v>2.850687619</v>
      </c>
    </row>
    <row r="467">
      <c r="A467" s="15">
        <f t="shared" si="3"/>
        <v>466</v>
      </c>
      <c r="B467" s="15"/>
      <c r="C467" s="15"/>
      <c r="D467" s="15"/>
      <c r="E467" s="15"/>
      <c r="F467" s="15"/>
      <c r="G467" s="15"/>
      <c r="H467" s="15"/>
      <c r="I467" s="16"/>
      <c r="J467" s="16"/>
      <c r="K467" s="16"/>
      <c r="L467" s="17"/>
      <c r="M467" s="18"/>
      <c r="N467" s="15"/>
      <c r="O467" s="19" t="str">
        <f t="shared" si="1"/>
        <v/>
      </c>
      <c r="P467" s="19">
        <f t="shared" si="4"/>
        <v>2.850687619</v>
      </c>
    </row>
    <row r="468">
      <c r="A468" s="8">
        <f t="shared" si="3"/>
        <v>467</v>
      </c>
      <c r="B468" s="8"/>
      <c r="C468" s="8"/>
      <c r="D468" s="8"/>
      <c r="E468" s="8"/>
      <c r="F468" s="8"/>
      <c r="G468" s="8"/>
      <c r="H468" s="8"/>
      <c r="I468" s="9"/>
      <c r="J468" s="9"/>
      <c r="K468" s="9"/>
      <c r="L468" s="10"/>
      <c r="M468" s="11"/>
      <c r="N468" s="8"/>
      <c r="O468" s="12" t="str">
        <f t="shared" si="1"/>
        <v/>
      </c>
      <c r="P468" s="12">
        <f t="shared" si="4"/>
        <v>2.850687619</v>
      </c>
    </row>
    <row r="469">
      <c r="A469" s="15">
        <f t="shared" si="3"/>
        <v>468</v>
      </c>
      <c r="B469" s="15"/>
      <c r="C469" s="15"/>
      <c r="D469" s="15"/>
      <c r="E469" s="15"/>
      <c r="F469" s="15"/>
      <c r="G469" s="15"/>
      <c r="H469" s="15"/>
      <c r="I469" s="16"/>
      <c r="J469" s="16"/>
      <c r="K469" s="16"/>
      <c r="L469" s="57"/>
      <c r="M469" s="18"/>
      <c r="N469" s="15"/>
      <c r="O469" s="19" t="str">
        <f t="shared" si="1"/>
        <v/>
      </c>
      <c r="P469" s="19">
        <f t="shared" si="4"/>
        <v>2.850687619</v>
      </c>
    </row>
    <row r="470">
      <c r="A470" s="8">
        <f t="shared" si="3"/>
        <v>469</v>
      </c>
      <c r="B470" s="8"/>
      <c r="C470" s="8"/>
      <c r="D470" s="8"/>
      <c r="E470" s="8"/>
      <c r="F470" s="8"/>
      <c r="G470" s="8"/>
      <c r="H470" s="8"/>
      <c r="I470" s="9"/>
      <c r="J470" s="9"/>
      <c r="K470" s="9"/>
      <c r="L470" s="56"/>
      <c r="M470" s="11"/>
      <c r="N470" s="8"/>
      <c r="O470" s="12" t="str">
        <f t="shared" si="1"/>
        <v/>
      </c>
      <c r="P470" s="12">
        <f t="shared" si="4"/>
        <v>2.850687619</v>
      </c>
    </row>
    <row r="471">
      <c r="A471" s="15">
        <f t="shared" si="3"/>
        <v>470</v>
      </c>
      <c r="B471" s="15"/>
      <c r="C471" s="15"/>
      <c r="D471" s="15"/>
      <c r="E471" s="15"/>
      <c r="F471" s="15"/>
      <c r="G471" s="15"/>
      <c r="H471" s="15"/>
      <c r="I471" s="16"/>
      <c r="J471" s="16"/>
      <c r="K471" s="16"/>
      <c r="L471" s="17"/>
      <c r="M471" s="18"/>
      <c r="N471" s="15"/>
      <c r="O471" s="19" t="str">
        <f t="shared" si="1"/>
        <v/>
      </c>
      <c r="P471" s="19">
        <f t="shared" si="4"/>
        <v>2.850687619</v>
      </c>
    </row>
    <row r="472">
      <c r="A472" s="8">
        <f t="shared" si="3"/>
        <v>471</v>
      </c>
      <c r="B472" s="8"/>
      <c r="C472" s="8"/>
      <c r="D472" s="8"/>
      <c r="E472" s="8"/>
      <c r="F472" s="8"/>
      <c r="G472" s="8"/>
      <c r="H472" s="8"/>
      <c r="I472" s="9"/>
      <c r="J472" s="9"/>
      <c r="K472" s="9"/>
      <c r="L472" s="10"/>
      <c r="M472" s="11"/>
      <c r="N472" s="8"/>
      <c r="O472" s="12" t="str">
        <f t="shared" si="1"/>
        <v/>
      </c>
      <c r="P472" s="12">
        <f t="shared" si="4"/>
        <v>2.850687619</v>
      </c>
    </row>
    <row r="473">
      <c r="A473" s="15">
        <f t="shared" si="3"/>
        <v>472</v>
      </c>
      <c r="B473" s="15"/>
      <c r="C473" s="15"/>
      <c r="D473" s="15"/>
      <c r="E473" s="15"/>
      <c r="F473" s="15"/>
      <c r="G473" s="15"/>
      <c r="H473" s="15"/>
      <c r="I473" s="16"/>
      <c r="J473" s="16"/>
      <c r="K473" s="16"/>
      <c r="L473" s="17"/>
      <c r="M473" s="18"/>
      <c r="N473" s="15"/>
      <c r="O473" s="19" t="str">
        <f t="shared" si="1"/>
        <v/>
      </c>
      <c r="P473" s="19">
        <f t="shared" si="4"/>
        <v>2.850687619</v>
      </c>
    </row>
    <row r="474">
      <c r="A474" s="8">
        <f t="shared" si="3"/>
        <v>473</v>
      </c>
      <c r="B474" s="8"/>
      <c r="C474" s="8"/>
      <c r="D474" s="8"/>
      <c r="E474" s="8"/>
      <c r="F474" s="8"/>
      <c r="G474" s="8"/>
      <c r="H474" s="8"/>
      <c r="I474" s="9"/>
      <c r="J474" s="9"/>
      <c r="K474" s="9"/>
      <c r="L474" s="10"/>
      <c r="M474" s="11"/>
      <c r="N474" s="8"/>
      <c r="O474" s="12" t="str">
        <f t="shared" si="1"/>
        <v/>
      </c>
      <c r="P474" s="12">
        <f t="shared" si="4"/>
        <v>2.850687619</v>
      </c>
    </row>
    <row r="475">
      <c r="A475" s="15">
        <f t="shared" si="3"/>
        <v>474</v>
      </c>
      <c r="B475" s="15"/>
      <c r="C475" s="15"/>
      <c r="D475" s="15"/>
      <c r="E475" s="15"/>
      <c r="F475" s="15"/>
      <c r="G475" s="15"/>
      <c r="H475" s="15"/>
      <c r="I475" s="16"/>
      <c r="J475" s="16"/>
      <c r="K475" s="16"/>
      <c r="L475" s="17"/>
      <c r="M475" s="18"/>
      <c r="N475" s="15"/>
      <c r="O475" s="19" t="str">
        <f t="shared" si="1"/>
        <v/>
      </c>
      <c r="P475" s="19">
        <f t="shared" si="4"/>
        <v>2.850687619</v>
      </c>
    </row>
    <row r="476">
      <c r="A476" s="8">
        <f t="shared" si="3"/>
        <v>475</v>
      </c>
      <c r="B476" s="8"/>
      <c r="C476" s="8"/>
      <c r="D476" s="8"/>
      <c r="E476" s="8"/>
      <c r="F476" s="8"/>
      <c r="G476" s="8"/>
      <c r="H476" s="8"/>
      <c r="I476" s="9"/>
      <c r="J476" s="9"/>
      <c r="K476" s="9"/>
      <c r="L476" s="10"/>
      <c r="M476" s="11"/>
      <c r="N476" s="8"/>
      <c r="O476" s="12" t="str">
        <f t="shared" si="1"/>
        <v/>
      </c>
      <c r="P476" s="12">
        <f t="shared" si="4"/>
        <v>2.850687619</v>
      </c>
    </row>
    <row r="477">
      <c r="A477" s="15">
        <f t="shared" si="3"/>
        <v>476</v>
      </c>
      <c r="B477" s="15"/>
      <c r="C477" s="15"/>
      <c r="D477" s="15"/>
      <c r="E477" s="15"/>
      <c r="F477" s="15"/>
      <c r="G477" s="15"/>
      <c r="H477" s="15"/>
      <c r="I477" s="16"/>
      <c r="J477" s="16"/>
      <c r="K477" s="16"/>
      <c r="L477" s="57"/>
      <c r="M477" s="18"/>
      <c r="N477" s="15"/>
      <c r="O477" s="19" t="str">
        <f t="shared" si="1"/>
        <v/>
      </c>
      <c r="P477" s="19">
        <f t="shared" si="4"/>
        <v>2.850687619</v>
      </c>
    </row>
    <row r="478">
      <c r="A478" s="8">
        <f t="shared" si="3"/>
        <v>477</v>
      </c>
      <c r="B478" s="8"/>
      <c r="C478" s="8"/>
      <c r="D478" s="8"/>
      <c r="E478" s="8"/>
      <c r="F478" s="8"/>
      <c r="G478" s="8"/>
      <c r="H478" s="8"/>
      <c r="I478" s="9"/>
      <c r="J478" s="9"/>
      <c r="K478" s="9"/>
      <c r="L478" s="10"/>
      <c r="M478" s="11"/>
      <c r="N478" s="8"/>
      <c r="O478" s="12" t="str">
        <f t="shared" si="1"/>
        <v/>
      </c>
      <c r="P478" s="12">
        <f t="shared" si="4"/>
        <v>2.850687619</v>
      </c>
    </row>
    <row r="479">
      <c r="A479" s="15">
        <f t="shared" si="3"/>
        <v>478</v>
      </c>
      <c r="B479" s="15"/>
      <c r="C479" s="15"/>
      <c r="D479" s="15"/>
      <c r="E479" s="15"/>
      <c r="F479" s="15"/>
      <c r="G479" s="15"/>
      <c r="H479" s="15"/>
      <c r="I479" s="16"/>
      <c r="J479" s="16"/>
      <c r="K479" s="16"/>
      <c r="L479" s="17"/>
      <c r="M479" s="18"/>
      <c r="N479" s="15"/>
      <c r="O479" s="19" t="str">
        <f t="shared" si="1"/>
        <v/>
      </c>
      <c r="P479" s="19">
        <f t="shared" si="4"/>
        <v>2.850687619</v>
      </c>
    </row>
    <row r="480">
      <c r="A480" s="8">
        <f t="shared" si="3"/>
        <v>479</v>
      </c>
      <c r="B480" s="8"/>
      <c r="C480" s="8"/>
      <c r="D480" s="8"/>
      <c r="E480" s="8"/>
      <c r="F480" s="8"/>
      <c r="G480" s="8"/>
      <c r="H480" s="8"/>
      <c r="I480" s="9"/>
      <c r="J480" s="9"/>
      <c r="K480" s="9"/>
      <c r="L480" s="10"/>
      <c r="M480" s="11"/>
      <c r="N480" s="8"/>
      <c r="O480" s="12" t="str">
        <f t="shared" si="1"/>
        <v/>
      </c>
      <c r="P480" s="12">
        <f t="shared" si="4"/>
        <v>2.850687619</v>
      </c>
    </row>
    <row r="481">
      <c r="A481" s="15">
        <f t="shared" si="3"/>
        <v>480</v>
      </c>
      <c r="B481" s="15"/>
      <c r="C481" s="15"/>
      <c r="D481" s="15"/>
      <c r="E481" s="15"/>
      <c r="F481" s="15"/>
      <c r="G481" s="15"/>
      <c r="H481" s="15"/>
      <c r="I481" s="16"/>
      <c r="J481" s="16"/>
      <c r="K481" s="16"/>
      <c r="L481" s="17"/>
      <c r="M481" s="18"/>
      <c r="N481" s="15"/>
      <c r="O481" s="19" t="str">
        <f t="shared" si="1"/>
        <v/>
      </c>
      <c r="P481" s="19">
        <f t="shared" si="4"/>
        <v>2.850687619</v>
      </c>
    </row>
    <row r="482">
      <c r="A482" s="8">
        <f t="shared" si="3"/>
        <v>481</v>
      </c>
      <c r="B482" s="8"/>
      <c r="C482" s="8"/>
      <c r="D482" s="8"/>
      <c r="E482" s="8"/>
      <c r="F482" s="8"/>
      <c r="G482" s="8"/>
      <c r="H482" s="8"/>
      <c r="I482" s="9"/>
      <c r="J482" s="9"/>
      <c r="K482" s="9"/>
      <c r="L482" s="10"/>
      <c r="M482" s="11"/>
      <c r="N482" s="8"/>
      <c r="O482" s="12" t="str">
        <f t="shared" si="1"/>
        <v/>
      </c>
      <c r="P482" s="12">
        <f t="shared" si="4"/>
        <v>2.850687619</v>
      </c>
    </row>
    <row r="483">
      <c r="A483" s="15">
        <f t="shared" si="3"/>
        <v>482</v>
      </c>
      <c r="B483" s="15"/>
      <c r="C483" s="15"/>
      <c r="D483" s="15"/>
      <c r="E483" s="15"/>
      <c r="F483" s="15"/>
      <c r="G483" s="15"/>
      <c r="H483" s="15"/>
      <c r="I483" s="16"/>
      <c r="J483" s="16"/>
      <c r="K483" s="16"/>
      <c r="L483" s="17"/>
      <c r="M483" s="18"/>
      <c r="N483" s="15"/>
      <c r="O483" s="19" t="str">
        <f t="shared" si="1"/>
        <v/>
      </c>
      <c r="P483" s="19">
        <f t="shared" si="4"/>
        <v>2.850687619</v>
      </c>
    </row>
    <row r="484">
      <c r="A484" s="8">
        <f t="shared" si="3"/>
        <v>483</v>
      </c>
      <c r="B484" s="8"/>
      <c r="C484" s="8"/>
      <c r="D484" s="8"/>
      <c r="E484" s="8"/>
      <c r="F484" s="8"/>
      <c r="G484" s="8"/>
      <c r="H484" s="8"/>
      <c r="I484" s="9"/>
      <c r="J484" s="9"/>
      <c r="K484" s="9"/>
      <c r="L484" s="10"/>
      <c r="M484" s="11"/>
      <c r="N484" s="8"/>
      <c r="O484" s="12" t="str">
        <f t="shared" si="1"/>
        <v/>
      </c>
      <c r="P484" s="12">
        <f t="shared" si="4"/>
        <v>2.850687619</v>
      </c>
    </row>
    <row r="485">
      <c r="A485" s="15">
        <f t="shared" si="3"/>
        <v>484</v>
      </c>
      <c r="B485" s="15"/>
      <c r="C485" s="15"/>
      <c r="D485" s="15"/>
      <c r="E485" s="15"/>
      <c r="F485" s="15"/>
      <c r="G485" s="15"/>
      <c r="H485" s="15"/>
      <c r="I485" s="16"/>
      <c r="J485" s="16"/>
      <c r="K485" s="16"/>
      <c r="L485" s="57"/>
      <c r="M485" s="18"/>
      <c r="N485" s="15"/>
      <c r="O485" s="19" t="str">
        <f t="shared" si="1"/>
        <v/>
      </c>
      <c r="P485" s="19">
        <f t="shared" si="4"/>
        <v>2.850687619</v>
      </c>
    </row>
    <row r="486">
      <c r="A486" s="8">
        <f t="shared" si="3"/>
        <v>485</v>
      </c>
      <c r="B486" s="8"/>
      <c r="C486" s="8"/>
      <c r="D486" s="8"/>
      <c r="E486" s="8"/>
      <c r="F486" s="8"/>
      <c r="G486" s="8"/>
      <c r="H486" s="8"/>
      <c r="I486" s="9"/>
      <c r="J486" s="9"/>
      <c r="K486" s="9"/>
      <c r="L486" s="10"/>
      <c r="M486" s="11"/>
      <c r="N486" s="8"/>
      <c r="O486" s="12" t="str">
        <f t="shared" si="1"/>
        <v/>
      </c>
      <c r="P486" s="12">
        <f t="shared" si="4"/>
        <v>2.850687619</v>
      </c>
    </row>
    <row r="487">
      <c r="A487" s="15">
        <f t="shared" si="3"/>
        <v>486</v>
      </c>
      <c r="B487" s="15"/>
      <c r="C487" s="15"/>
      <c r="D487" s="15"/>
      <c r="E487" s="15"/>
      <c r="F487" s="15"/>
      <c r="G487" s="15"/>
      <c r="H487" s="15"/>
      <c r="I487" s="16"/>
      <c r="J487" s="16"/>
      <c r="K487" s="16"/>
      <c r="L487" s="17"/>
      <c r="M487" s="18"/>
      <c r="N487" s="15"/>
      <c r="O487" s="19" t="str">
        <f t="shared" si="1"/>
        <v/>
      </c>
      <c r="P487" s="19">
        <f t="shared" si="4"/>
        <v>2.850687619</v>
      </c>
    </row>
    <row r="488">
      <c r="A488" s="8">
        <f t="shared" si="3"/>
        <v>487</v>
      </c>
      <c r="B488" s="8"/>
      <c r="C488" s="8"/>
      <c r="D488" s="8"/>
      <c r="E488" s="8"/>
      <c r="F488" s="8"/>
      <c r="G488" s="8"/>
      <c r="H488" s="8"/>
      <c r="I488" s="9"/>
      <c r="J488" s="9"/>
      <c r="K488" s="9"/>
      <c r="L488" s="10"/>
      <c r="M488" s="11"/>
      <c r="N488" s="8"/>
      <c r="O488" s="12" t="str">
        <f t="shared" si="1"/>
        <v/>
      </c>
      <c r="P488" s="12">
        <f t="shared" si="4"/>
        <v>2.850687619</v>
      </c>
    </row>
    <row r="489">
      <c r="A489" s="15">
        <f t="shared" si="3"/>
        <v>488</v>
      </c>
      <c r="B489" s="15"/>
      <c r="C489" s="15"/>
      <c r="D489" s="15"/>
      <c r="E489" s="15"/>
      <c r="F489" s="15"/>
      <c r="G489" s="15"/>
      <c r="H489" s="15"/>
      <c r="I489" s="16"/>
      <c r="J489" s="16"/>
      <c r="K489" s="16"/>
      <c r="L489" s="17"/>
      <c r="M489" s="18"/>
      <c r="N489" s="15"/>
      <c r="O489" s="19" t="str">
        <f t="shared" si="1"/>
        <v/>
      </c>
      <c r="P489" s="19">
        <f t="shared" si="4"/>
        <v>2.850687619</v>
      </c>
    </row>
    <row r="490">
      <c r="A490" s="8">
        <f t="shared" si="3"/>
        <v>489</v>
      </c>
      <c r="B490" s="8"/>
      <c r="C490" s="8"/>
      <c r="D490" s="8"/>
      <c r="E490" s="8"/>
      <c r="F490" s="8"/>
      <c r="G490" s="8"/>
      <c r="H490" s="8"/>
      <c r="I490" s="9"/>
      <c r="J490" s="9"/>
      <c r="K490" s="9"/>
      <c r="L490" s="10"/>
      <c r="M490" s="11"/>
      <c r="N490" s="8"/>
      <c r="O490" s="12" t="str">
        <f t="shared" si="1"/>
        <v/>
      </c>
      <c r="P490" s="12">
        <f t="shared" si="4"/>
        <v>2.850687619</v>
      </c>
    </row>
    <row r="491">
      <c r="A491" s="15">
        <f t="shared" si="3"/>
        <v>490</v>
      </c>
      <c r="B491" s="15"/>
      <c r="C491" s="15"/>
      <c r="D491" s="15"/>
      <c r="E491" s="15"/>
      <c r="F491" s="15"/>
      <c r="G491" s="15"/>
      <c r="H491" s="15"/>
      <c r="I491" s="16"/>
      <c r="J491" s="16"/>
      <c r="K491" s="16"/>
      <c r="L491" s="17"/>
      <c r="M491" s="18"/>
      <c r="N491" s="15"/>
      <c r="O491" s="19" t="str">
        <f t="shared" si="1"/>
        <v/>
      </c>
      <c r="P491" s="19">
        <f t="shared" si="4"/>
        <v>2.850687619</v>
      </c>
    </row>
    <row r="492">
      <c r="A492" s="8">
        <f t="shared" si="3"/>
        <v>491</v>
      </c>
      <c r="B492" s="8"/>
      <c r="C492" s="8"/>
      <c r="D492" s="8"/>
      <c r="E492" s="8"/>
      <c r="F492" s="8"/>
      <c r="G492" s="8"/>
      <c r="H492" s="8"/>
      <c r="I492" s="9"/>
      <c r="J492" s="9"/>
      <c r="K492" s="9"/>
      <c r="L492" s="10"/>
      <c r="M492" s="11"/>
      <c r="N492" s="8"/>
      <c r="O492" s="12" t="str">
        <f t="shared" si="1"/>
        <v/>
      </c>
      <c r="P492" s="12">
        <f t="shared" si="4"/>
        <v>2.850687619</v>
      </c>
    </row>
    <row r="493">
      <c r="A493" s="15">
        <f t="shared" si="3"/>
        <v>492</v>
      </c>
      <c r="B493" s="15"/>
      <c r="C493" s="15"/>
      <c r="D493" s="15"/>
      <c r="E493" s="15"/>
      <c r="F493" s="15"/>
      <c r="G493" s="15"/>
      <c r="H493" s="15"/>
      <c r="I493" s="16"/>
      <c r="J493" s="16"/>
      <c r="K493" s="16"/>
      <c r="L493" s="57"/>
      <c r="M493" s="18"/>
      <c r="N493" s="15"/>
      <c r="O493" s="19" t="str">
        <f t="shared" si="1"/>
        <v/>
      </c>
      <c r="P493" s="19">
        <f t="shared" si="4"/>
        <v>2.850687619</v>
      </c>
    </row>
    <row r="494">
      <c r="A494" s="8">
        <f t="shared" si="3"/>
        <v>493</v>
      </c>
      <c r="B494" s="8"/>
      <c r="C494" s="8"/>
      <c r="D494" s="8"/>
      <c r="E494" s="8"/>
      <c r="F494" s="8"/>
      <c r="G494" s="8"/>
      <c r="H494" s="8"/>
      <c r="I494" s="9"/>
      <c r="J494" s="9"/>
      <c r="K494" s="9"/>
      <c r="L494" s="10"/>
      <c r="M494" s="11"/>
      <c r="N494" s="8"/>
      <c r="O494" s="12" t="str">
        <f t="shared" si="1"/>
        <v/>
      </c>
      <c r="P494" s="12">
        <f t="shared" si="4"/>
        <v>2.850687619</v>
      </c>
    </row>
    <row r="495">
      <c r="A495" s="15">
        <f t="shared" si="3"/>
        <v>494</v>
      </c>
      <c r="B495" s="15"/>
      <c r="C495" s="15"/>
      <c r="D495" s="15"/>
      <c r="E495" s="15"/>
      <c r="F495" s="15"/>
      <c r="G495" s="15"/>
      <c r="H495" s="15"/>
      <c r="I495" s="16"/>
      <c r="J495" s="16"/>
      <c r="K495" s="16"/>
      <c r="L495" s="17"/>
      <c r="M495" s="18"/>
      <c r="N495" s="15"/>
      <c r="O495" s="19" t="str">
        <f t="shared" si="1"/>
        <v/>
      </c>
      <c r="P495" s="19">
        <f t="shared" si="4"/>
        <v>2.850687619</v>
      </c>
    </row>
    <row r="496">
      <c r="A496" s="8">
        <f t="shared" si="3"/>
        <v>495</v>
      </c>
      <c r="B496" s="8"/>
      <c r="C496" s="8"/>
      <c r="D496" s="8"/>
      <c r="E496" s="8"/>
      <c r="F496" s="8"/>
      <c r="G496" s="8"/>
      <c r="H496" s="8"/>
      <c r="I496" s="9"/>
      <c r="J496" s="9"/>
      <c r="K496" s="9"/>
      <c r="L496" s="10"/>
      <c r="M496" s="11"/>
      <c r="N496" s="8"/>
      <c r="O496" s="12" t="str">
        <f t="shared" si="1"/>
        <v/>
      </c>
      <c r="P496" s="12">
        <f t="shared" si="4"/>
        <v>2.850687619</v>
      </c>
    </row>
    <row r="497">
      <c r="A497" s="15">
        <f t="shared" si="3"/>
        <v>496</v>
      </c>
      <c r="B497" s="15"/>
      <c r="C497" s="15"/>
      <c r="D497" s="15"/>
      <c r="E497" s="15"/>
      <c r="F497" s="15"/>
      <c r="G497" s="15"/>
      <c r="H497" s="15"/>
      <c r="I497" s="16"/>
      <c r="J497" s="16"/>
      <c r="K497" s="16"/>
      <c r="L497" s="17"/>
      <c r="M497" s="18"/>
      <c r="N497" s="15"/>
      <c r="O497" s="19" t="str">
        <f t="shared" si="1"/>
        <v/>
      </c>
      <c r="P497" s="19">
        <f t="shared" si="4"/>
        <v>2.850687619</v>
      </c>
    </row>
    <row r="498">
      <c r="A498" s="8">
        <f t="shared" si="3"/>
        <v>497</v>
      </c>
      <c r="B498" s="8"/>
      <c r="C498" s="8"/>
      <c r="D498" s="8"/>
      <c r="E498" s="8"/>
      <c r="F498" s="8"/>
      <c r="G498" s="8"/>
      <c r="H498" s="8"/>
      <c r="I498" s="9"/>
      <c r="J498" s="9"/>
      <c r="K498" s="9"/>
      <c r="L498" s="10"/>
      <c r="M498" s="11"/>
      <c r="N498" s="8"/>
      <c r="O498" s="12" t="str">
        <f t="shared" si="1"/>
        <v/>
      </c>
      <c r="P498" s="12">
        <f t="shared" si="4"/>
        <v>2.850687619</v>
      </c>
    </row>
    <row r="499">
      <c r="A499" s="15">
        <f t="shared" si="3"/>
        <v>498</v>
      </c>
      <c r="B499" s="15"/>
      <c r="C499" s="15"/>
      <c r="D499" s="15"/>
      <c r="E499" s="15"/>
      <c r="F499" s="15"/>
      <c r="G499" s="15"/>
      <c r="H499" s="15"/>
      <c r="I499" s="16"/>
      <c r="J499" s="16"/>
      <c r="K499" s="16"/>
      <c r="L499" s="57"/>
      <c r="M499" s="18"/>
      <c r="N499" s="15"/>
      <c r="O499" s="19" t="str">
        <f t="shared" si="1"/>
        <v/>
      </c>
      <c r="P499" s="19">
        <f t="shared" si="4"/>
        <v>2.850687619</v>
      </c>
    </row>
    <row r="500">
      <c r="A500" s="8">
        <f t="shared" si="3"/>
        <v>499</v>
      </c>
      <c r="B500" s="8"/>
      <c r="C500" s="8"/>
      <c r="D500" s="8"/>
      <c r="E500" s="8"/>
      <c r="F500" s="8"/>
      <c r="G500" s="8"/>
      <c r="H500" s="8"/>
      <c r="I500" s="9"/>
      <c r="J500" s="9"/>
      <c r="K500" s="9"/>
      <c r="L500" s="56"/>
      <c r="M500" s="11"/>
      <c r="N500" s="8"/>
      <c r="O500" s="12" t="str">
        <f t="shared" si="1"/>
        <v/>
      </c>
      <c r="P500" s="12">
        <f t="shared" si="4"/>
        <v>2.850687619</v>
      </c>
    </row>
    <row r="501">
      <c r="A501" s="15">
        <f t="shared" si="3"/>
        <v>500</v>
      </c>
      <c r="B501" s="15"/>
      <c r="C501" s="15"/>
      <c r="D501" s="15"/>
      <c r="E501" s="15"/>
      <c r="F501" s="15"/>
      <c r="G501" s="15"/>
      <c r="H501" s="15"/>
      <c r="I501" s="16"/>
      <c r="J501" s="16"/>
      <c r="K501" s="16"/>
      <c r="L501" s="57"/>
      <c r="M501" s="18"/>
      <c r="N501" s="15"/>
      <c r="O501" s="19" t="str">
        <f t="shared" si="1"/>
        <v/>
      </c>
      <c r="P501" s="19">
        <f t="shared" si="4"/>
        <v>2.850687619</v>
      </c>
    </row>
    <row r="502">
      <c r="A502" s="8">
        <f t="shared" si="3"/>
        <v>501</v>
      </c>
      <c r="B502" s="8"/>
      <c r="C502" s="8"/>
      <c r="D502" s="8"/>
      <c r="E502" s="8"/>
      <c r="F502" s="8"/>
      <c r="G502" s="8"/>
      <c r="H502" s="8"/>
      <c r="I502" s="9"/>
      <c r="J502" s="9"/>
      <c r="K502" s="9"/>
      <c r="L502" s="56"/>
      <c r="M502" s="11"/>
      <c r="N502" s="8"/>
      <c r="O502" s="12" t="str">
        <f t="shared" si="1"/>
        <v/>
      </c>
      <c r="P502" s="12">
        <f t="shared" si="4"/>
        <v>2.850687619</v>
      </c>
    </row>
    <row r="503">
      <c r="A503" s="15">
        <f t="shared" si="3"/>
        <v>502</v>
      </c>
      <c r="B503" s="15"/>
      <c r="C503" s="15"/>
      <c r="D503" s="15"/>
      <c r="E503" s="15"/>
      <c r="F503" s="15"/>
      <c r="G503" s="15"/>
      <c r="H503" s="15"/>
      <c r="I503" s="16"/>
      <c r="J503" s="16"/>
      <c r="K503" s="16"/>
      <c r="L503" s="57"/>
      <c r="M503" s="18"/>
      <c r="N503" s="15"/>
      <c r="O503" s="19" t="str">
        <f t="shared" si="1"/>
        <v/>
      </c>
      <c r="P503" s="19">
        <f t="shared" si="4"/>
        <v>2.850687619</v>
      </c>
    </row>
    <row r="504">
      <c r="A504" s="8">
        <f t="shared" si="3"/>
        <v>503</v>
      </c>
      <c r="B504" s="8"/>
      <c r="C504" s="8"/>
      <c r="D504" s="8"/>
      <c r="E504" s="8"/>
      <c r="F504" s="8"/>
      <c r="G504" s="8"/>
      <c r="H504" s="8"/>
      <c r="I504" s="9"/>
      <c r="J504" s="9"/>
      <c r="K504" s="9"/>
      <c r="L504" s="56"/>
      <c r="M504" s="11"/>
      <c r="N504" s="8"/>
      <c r="O504" s="12" t="str">
        <f t="shared" si="1"/>
        <v/>
      </c>
      <c r="P504" s="12">
        <f t="shared" si="4"/>
        <v>2.850687619</v>
      </c>
    </row>
    <row r="505">
      <c r="A505" s="15">
        <f t="shared" si="3"/>
        <v>504</v>
      </c>
      <c r="B505" s="58"/>
      <c r="C505" s="58"/>
      <c r="D505" s="15"/>
      <c r="E505" s="58"/>
      <c r="F505" s="15"/>
      <c r="G505" s="15"/>
      <c r="H505" s="58"/>
      <c r="I505" s="16"/>
      <c r="J505" s="16"/>
      <c r="K505" s="16"/>
      <c r="L505" s="57"/>
      <c r="M505" s="18"/>
      <c r="N505" s="15"/>
      <c r="O505" s="19" t="str">
        <f t="shared" si="1"/>
        <v/>
      </c>
      <c r="P505" s="19">
        <f t="shared" si="4"/>
        <v>2.850687619</v>
      </c>
    </row>
    <row r="506">
      <c r="A506" s="8">
        <f t="shared" si="3"/>
        <v>505</v>
      </c>
      <c r="B506" s="59"/>
      <c r="C506" s="59"/>
      <c r="D506" s="8"/>
      <c r="E506" s="59"/>
      <c r="F506" s="8"/>
      <c r="G506" s="8"/>
      <c r="H506" s="59"/>
      <c r="I506" s="9"/>
      <c r="J506" s="9"/>
      <c r="K506" s="9"/>
      <c r="L506" s="56"/>
      <c r="M506" s="11"/>
      <c r="N506" s="8"/>
      <c r="O506" s="12" t="str">
        <f t="shared" si="1"/>
        <v/>
      </c>
      <c r="P506" s="12">
        <f t="shared" si="4"/>
        <v>2.850687619</v>
      </c>
    </row>
    <row r="507">
      <c r="A507" s="15">
        <f t="shared" si="3"/>
        <v>506</v>
      </c>
      <c r="B507" s="58"/>
      <c r="C507" s="58"/>
      <c r="D507" s="15"/>
      <c r="E507" s="58"/>
      <c r="F507" s="15"/>
      <c r="G507" s="15"/>
      <c r="H507" s="58"/>
      <c r="I507" s="16"/>
      <c r="J507" s="16"/>
      <c r="K507" s="16"/>
      <c r="L507" s="57"/>
      <c r="M507" s="18"/>
      <c r="N507" s="15"/>
      <c r="O507" s="19" t="str">
        <f t="shared" si="1"/>
        <v/>
      </c>
      <c r="P507" s="19">
        <f t="shared" si="4"/>
        <v>2.850687619</v>
      </c>
    </row>
    <row r="508">
      <c r="A508" s="8">
        <f t="shared" si="3"/>
        <v>507</v>
      </c>
      <c r="B508" s="59"/>
      <c r="C508" s="59"/>
      <c r="D508" s="8"/>
      <c r="E508" s="59"/>
      <c r="F508" s="8"/>
      <c r="G508" s="8"/>
      <c r="H508" s="59"/>
      <c r="I508" s="9"/>
      <c r="J508" s="9"/>
      <c r="K508" s="9"/>
      <c r="L508" s="56"/>
      <c r="M508" s="11"/>
      <c r="N508" s="8"/>
      <c r="O508" s="12" t="str">
        <f t="shared" si="1"/>
        <v/>
      </c>
      <c r="P508" s="12">
        <f t="shared" si="4"/>
        <v>2.850687619</v>
      </c>
    </row>
    <row r="509">
      <c r="A509" s="15">
        <f t="shared" si="3"/>
        <v>508</v>
      </c>
      <c r="B509" s="58"/>
      <c r="C509" s="58"/>
      <c r="D509" s="15"/>
      <c r="E509" s="58"/>
      <c r="F509" s="15"/>
      <c r="G509" s="15"/>
      <c r="H509" s="58"/>
      <c r="I509" s="16"/>
      <c r="J509" s="16"/>
      <c r="K509" s="16"/>
      <c r="L509" s="57"/>
      <c r="M509" s="18"/>
      <c r="N509" s="15"/>
      <c r="O509" s="19" t="str">
        <f t="shared" si="1"/>
        <v/>
      </c>
      <c r="P509" s="19">
        <f t="shared" si="4"/>
        <v>2.850687619</v>
      </c>
    </row>
    <row r="510">
      <c r="A510" s="8">
        <f t="shared" si="3"/>
        <v>509</v>
      </c>
      <c r="B510" s="59"/>
      <c r="C510" s="59"/>
      <c r="D510" s="8"/>
      <c r="E510" s="59"/>
      <c r="F510" s="8"/>
      <c r="G510" s="8"/>
      <c r="H510" s="59"/>
      <c r="I510" s="9"/>
      <c r="J510" s="9"/>
      <c r="K510" s="9"/>
      <c r="L510" s="56"/>
      <c r="M510" s="11"/>
      <c r="N510" s="8"/>
      <c r="O510" s="12" t="str">
        <f t="shared" si="1"/>
        <v/>
      </c>
      <c r="P510" s="12">
        <f t="shared" si="4"/>
        <v>2.850687619</v>
      </c>
    </row>
    <row r="511">
      <c r="A511" s="15">
        <f t="shared" si="3"/>
        <v>510</v>
      </c>
      <c r="B511" s="58"/>
      <c r="C511" s="58"/>
      <c r="D511" s="15"/>
      <c r="E511" s="58"/>
      <c r="F511" s="15"/>
      <c r="G511" s="15"/>
      <c r="H511" s="58"/>
      <c r="I511" s="16"/>
      <c r="J511" s="16"/>
      <c r="K511" s="16"/>
      <c r="L511" s="57"/>
      <c r="M511" s="18"/>
      <c r="N511" s="15"/>
      <c r="O511" s="19" t="str">
        <f t="shared" si="1"/>
        <v/>
      </c>
      <c r="P511" s="19">
        <f t="shared" si="4"/>
        <v>2.850687619</v>
      </c>
    </row>
    <row r="512">
      <c r="A512" s="8">
        <f t="shared" si="3"/>
        <v>511</v>
      </c>
      <c r="B512" s="59"/>
      <c r="C512" s="59"/>
      <c r="D512" s="8"/>
      <c r="E512" s="59"/>
      <c r="F512" s="8"/>
      <c r="G512" s="8"/>
      <c r="H512" s="59"/>
      <c r="I512" s="9"/>
      <c r="J512" s="9"/>
      <c r="K512" s="9"/>
      <c r="L512" s="56"/>
      <c r="M512" s="11"/>
      <c r="N512" s="8"/>
      <c r="O512" s="12" t="str">
        <f t="shared" si="1"/>
        <v/>
      </c>
      <c r="P512" s="12">
        <f t="shared" si="4"/>
        <v>2.850687619</v>
      </c>
    </row>
    <row r="513">
      <c r="A513" s="15">
        <f t="shared" si="3"/>
        <v>512</v>
      </c>
      <c r="B513" s="58"/>
      <c r="C513" s="58"/>
      <c r="D513" s="15"/>
      <c r="E513" s="60"/>
      <c r="F513" s="15"/>
      <c r="G513" s="15"/>
      <c r="H513" s="58"/>
      <c r="I513" s="16"/>
      <c r="J513" s="16"/>
      <c r="K513" s="16"/>
      <c r="L513" s="57"/>
      <c r="M513" s="18"/>
      <c r="N513" s="15"/>
      <c r="O513" s="19" t="str">
        <f t="shared" si="1"/>
        <v/>
      </c>
      <c r="P513" s="19">
        <f t="shared" si="4"/>
        <v>2.850687619</v>
      </c>
    </row>
    <row r="514">
      <c r="A514" s="8">
        <f t="shared" si="3"/>
        <v>513</v>
      </c>
      <c r="B514" s="59"/>
      <c r="C514" s="59"/>
      <c r="D514" s="8"/>
      <c r="E514" s="59"/>
      <c r="F514" s="8"/>
      <c r="G514" s="8"/>
      <c r="H514" s="59"/>
      <c r="I514" s="9"/>
      <c r="J514" s="9"/>
      <c r="K514" s="9"/>
      <c r="L514" s="56"/>
      <c r="M514" s="11"/>
      <c r="N514" s="8"/>
      <c r="O514" s="12" t="str">
        <f t="shared" si="1"/>
        <v/>
      </c>
      <c r="P514" s="12">
        <f t="shared" si="4"/>
        <v>2.850687619</v>
      </c>
    </row>
    <row r="515">
      <c r="A515" s="15">
        <f t="shared" si="3"/>
        <v>514</v>
      </c>
      <c r="B515" s="58"/>
      <c r="C515" s="58"/>
      <c r="D515" s="15"/>
      <c r="E515" s="58"/>
      <c r="F515" s="15"/>
      <c r="G515" s="15"/>
      <c r="H515" s="58"/>
      <c r="I515" s="16"/>
      <c r="J515" s="16"/>
      <c r="K515" s="16"/>
      <c r="L515" s="57"/>
      <c r="M515" s="18"/>
      <c r="N515" s="15"/>
      <c r="O515" s="19" t="str">
        <f t="shared" si="1"/>
        <v/>
      </c>
      <c r="P515" s="19">
        <f t="shared" si="4"/>
        <v>2.850687619</v>
      </c>
    </row>
    <row r="516">
      <c r="A516" s="8">
        <f t="shared" si="3"/>
        <v>515</v>
      </c>
      <c r="B516" s="59"/>
      <c r="C516" s="59"/>
      <c r="D516" s="8"/>
      <c r="E516" s="59"/>
      <c r="F516" s="8"/>
      <c r="G516" s="8"/>
      <c r="H516" s="59"/>
      <c r="I516" s="9"/>
      <c r="J516" s="9"/>
      <c r="K516" s="9"/>
      <c r="L516" s="56"/>
      <c r="M516" s="11"/>
      <c r="N516" s="8"/>
      <c r="O516" s="12" t="str">
        <f t="shared" si="1"/>
        <v/>
      </c>
      <c r="P516" s="12">
        <f t="shared" si="4"/>
        <v>2.850687619</v>
      </c>
    </row>
    <row r="517">
      <c r="A517" s="15">
        <f t="shared" si="3"/>
        <v>516</v>
      </c>
      <c r="B517" s="58"/>
      <c r="C517" s="58"/>
      <c r="D517" s="15"/>
      <c r="E517" s="58"/>
      <c r="F517" s="15"/>
      <c r="G517" s="15"/>
      <c r="H517" s="58"/>
      <c r="I517" s="16"/>
      <c r="J517" s="16"/>
      <c r="K517" s="16"/>
      <c r="L517" s="57"/>
      <c r="M517" s="18"/>
      <c r="N517" s="15"/>
      <c r="O517" s="19" t="str">
        <f t="shared" si="1"/>
        <v/>
      </c>
      <c r="P517" s="19">
        <f t="shared" si="4"/>
        <v>2.850687619</v>
      </c>
    </row>
    <row r="518">
      <c r="A518" s="8">
        <f t="shared" si="3"/>
        <v>517</v>
      </c>
      <c r="B518" s="59"/>
      <c r="C518" s="59"/>
      <c r="D518" s="8"/>
      <c r="E518" s="59"/>
      <c r="F518" s="8"/>
      <c r="G518" s="8"/>
      <c r="H518" s="59"/>
      <c r="I518" s="9"/>
      <c r="J518" s="9"/>
      <c r="K518" s="9"/>
      <c r="L518" s="56"/>
      <c r="M518" s="11"/>
      <c r="N518" s="8"/>
      <c r="O518" s="12" t="str">
        <f t="shared" si="1"/>
        <v/>
      </c>
      <c r="P518" s="12">
        <f t="shared" si="4"/>
        <v>2.850687619</v>
      </c>
    </row>
    <row r="519">
      <c r="A519" s="15">
        <f t="shared" si="3"/>
        <v>518</v>
      </c>
      <c r="B519" s="58"/>
      <c r="C519" s="58"/>
      <c r="D519" s="15"/>
      <c r="E519" s="58"/>
      <c r="F519" s="15"/>
      <c r="G519" s="15"/>
      <c r="H519" s="58"/>
      <c r="I519" s="16"/>
      <c r="J519" s="16"/>
      <c r="K519" s="16"/>
      <c r="L519" s="57"/>
      <c r="M519" s="18"/>
      <c r="N519" s="15"/>
      <c r="O519" s="19" t="str">
        <f t="shared" si="1"/>
        <v/>
      </c>
      <c r="P519" s="19">
        <f t="shared" si="4"/>
        <v>2.850687619</v>
      </c>
    </row>
    <row r="520">
      <c r="A520" s="8">
        <f t="shared" si="3"/>
        <v>519</v>
      </c>
      <c r="B520" s="59"/>
      <c r="C520" s="59"/>
      <c r="D520" s="8"/>
      <c r="E520" s="59"/>
      <c r="F520" s="8"/>
      <c r="G520" s="8"/>
      <c r="H520" s="59"/>
      <c r="I520" s="9"/>
      <c r="J520" s="9"/>
      <c r="K520" s="9"/>
      <c r="L520" s="56"/>
      <c r="M520" s="11"/>
      <c r="N520" s="8"/>
      <c r="O520" s="12" t="str">
        <f t="shared" si="1"/>
        <v/>
      </c>
      <c r="P520" s="12">
        <f t="shared" si="4"/>
        <v>2.850687619</v>
      </c>
    </row>
    <row r="521">
      <c r="A521" s="15">
        <f t="shared" si="3"/>
        <v>520</v>
      </c>
      <c r="B521" s="58"/>
      <c r="C521" s="58"/>
      <c r="D521" s="15"/>
      <c r="E521" s="58"/>
      <c r="F521" s="15"/>
      <c r="G521" s="15"/>
      <c r="H521" s="58"/>
      <c r="I521" s="16"/>
      <c r="J521" s="16"/>
      <c r="K521" s="16"/>
      <c r="L521" s="57"/>
      <c r="M521" s="18"/>
      <c r="N521" s="15"/>
      <c r="O521" s="19" t="str">
        <f t="shared" si="1"/>
        <v/>
      </c>
      <c r="P521" s="19">
        <f t="shared" si="4"/>
        <v>2.850687619</v>
      </c>
    </row>
    <row r="522">
      <c r="A522" s="8">
        <f t="shared" si="3"/>
        <v>521</v>
      </c>
      <c r="B522" s="59"/>
      <c r="C522" s="59"/>
      <c r="D522" s="8"/>
      <c r="E522" s="59"/>
      <c r="F522" s="8"/>
      <c r="G522" s="8"/>
      <c r="H522" s="59"/>
      <c r="I522" s="9"/>
      <c r="J522" s="9"/>
      <c r="K522" s="9"/>
      <c r="L522" s="56"/>
      <c r="M522" s="11"/>
      <c r="N522" s="8"/>
      <c r="O522" s="12" t="str">
        <f t="shared" si="1"/>
        <v/>
      </c>
      <c r="P522" s="12">
        <f t="shared" si="4"/>
        <v>2.850687619</v>
      </c>
    </row>
    <row r="523">
      <c r="A523" s="15">
        <f t="shared" si="3"/>
        <v>522</v>
      </c>
      <c r="B523" s="58"/>
      <c r="C523" s="58"/>
      <c r="D523" s="15"/>
      <c r="E523" s="58"/>
      <c r="F523" s="15"/>
      <c r="G523" s="15"/>
      <c r="H523" s="58"/>
      <c r="I523" s="16"/>
      <c r="J523" s="16"/>
      <c r="K523" s="16"/>
      <c r="L523" s="57"/>
      <c r="M523" s="18"/>
      <c r="N523" s="15"/>
      <c r="O523" s="19" t="str">
        <f t="shared" si="1"/>
        <v/>
      </c>
      <c r="P523" s="19">
        <f t="shared" si="4"/>
        <v>2.850687619</v>
      </c>
    </row>
    <row r="524">
      <c r="A524" s="8">
        <f t="shared" si="3"/>
        <v>523</v>
      </c>
      <c r="B524" s="59"/>
      <c r="C524" s="59"/>
      <c r="D524" s="8"/>
      <c r="E524" s="59"/>
      <c r="F524" s="8"/>
      <c r="G524" s="8"/>
      <c r="H524" s="59"/>
      <c r="I524" s="9"/>
      <c r="J524" s="9"/>
      <c r="K524" s="9"/>
      <c r="L524" s="56"/>
      <c r="M524" s="11"/>
      <c r="N524" s="8"/>
      <c r="O524" s="12" t="str">
        <f t="shared" si="1"/>
        <v/>
      </c>
      <c r="P524" s="12">
        <f t="shared" si="4"/>
        <v>2.850687619</v>
      </c>
    </row>
    <row r="525">
      <c r="A525" s="15">
        <f t="shared" si="3"/>
        <v>524</v>
      </c>
      <c r="B525" s="58"/>
      <c r="C525" s="58"/>
      <c r="D525" s="15"/>
      <c r="E525" s="58"/>
      <c r="F525" s="15"/>
      <c r="G525" s="15"/>
      <c r="H525" s="58"/>
      <c r="I525" s="16"/>
      <c r="J525" s="16"/>
      <c r="K525" s="16"/>
      <c r="L525" s="57"/>
      <c r="M525" s="18"/>
      <c r="N525" s="15"/>
      <c r="O525" s="19" t="str">
        <f t="shared" si="1"/>
        <v/>
      </c>
      <c r="P525" s="19">
        <f t="shared" si="4"/>
        <v>2.850687619</v>
      </c>
    </row>
    <row r="526">
      <c r="A526" s="8">
        <f t="shared" si="3"/>
        <v>525</v>
      </c>
      <c r="B526" s="59"/>
      <c r="C526" s="59"/>
      <c r="D526" s="8"/>
      <c r="E526" s="59"/>
      <c r="F526" s="8"/>
      <c r="G526" s="8"/>
      <c r="H526" s="59"/>
      <c r="I526" s="9"/>
      <c r="J526" s="9"/>
      <c r="K526" s="9"/>
      <c r="L526" s="56"/>
      <c r="M526" s="11"/>
      <c r="N526" s="8"/>
      <c r="O526" s="12" t="str">
        <f t="shared" si="1"/>
        <v/>
      </c>
      <c r="P526" s="12">
        <f t="shared" si="4"/>
        <v>2.850687619</v>
      </c>
    </row>
    <row r="527">
      <c r="A527" s="15">
        <f t="shared" si="3"/>
        <v>526</v>
      </c>
      <c r="B527" s="58"/>
      <c r="C527" s="58"/>
      <c r="D527" s="15"/>
      <c r="E527" s="58"/>
      <c r="F527" s="15"/>
      <c r="G527" s="15"/>
      <c r="H527" s="58"/>
      <c r="I527" s="16"/>
      <c r="J527" s="16"/>
      <c r="K527" s="16"/>
      <c r="L527" s="57"/>
      <c r="M527" s="18"/>
      <c r="N527" s="15"/>
      <c r="O527" s="19" t="str">
        <f t="shared" si="1"/>
        <v/>
      </c>
      <c r="P527" s="58"/>
    </row>
    <row r="528">
      <c r="A528" s="8">
        <f t="shared" si="3"/>
        <v>527</v>
      </c>
      <c r="B528" s="59"/>
      <c r="C528" s="59"/>
      <c r="D528" s="8"/>
      <c r="E528" s="59"/>
      <c r="F528" s="8"/>
      <c r="G528" s="8"/>
      <c r="H528" s="59"/>
      <c r="I528" s="9"/>
      <c r="J528" s="9"/>
      <c r="K528" s="9"/>
      <c r="L528" s="56"/>
      <c r="M528" s="11"/>
      <c r="N528" s="8"/>
      <c r="O528" s="12" t="str">
        <f t="shared" si="1"/>
        <v/>
      </c>
      <c r="P528" s="59"/>
    </row>
    <row r="529">
      <c r="A529" s="15">
        <f t="shared" si="3"/>
        <v>528</v>
      </c>
      <c r="B529" s="58"/>
      <c r="C529" s="58"/>
      <c r="D529" s="15"/>
      <c r="E529" s="58"/>
      <c r="F529" s="15"/>
      <c r="G529" s="15"/>
      <c r="H529" s="58"/>
      <c r="I529" s="16"/>
      <c r="J529" s="16"/>
      <c r="K529" s="16"/>
      <c r="L529" s="57"/>
      <c r="M529" s="18"/>
      <c r="N529" s="15"/>
      <c r="O529" s="19" t="str">
        <f t="shared" si="1"/>
        <v/>
      </c>
      <c r="P529" s="58"/>
    </row>
    <row r="530">
      <c r="A530" s="8">
        <f t="shared" si="3"/>
        <v>529</v>
      </c>
      <c r="B530" s="59"/>
      <c r="C530" s="59"/>
      <c r="D530" s="8"/>
      <c r="E530" s="59"/>
      <c r="F530" s="8"/>
      <c r="G530" s="8"/>
      <c r="H530" s="59"/>
      <c r="I530" s="59"/>
      <c r="J530" s="9"/>
      <c r="K530" s="59"/>
      <c r="L530" s="56"/>
      <c r="M530" s="61"/>
      <c r="N530" s="59"/>
      <c r="O530" s="12" t="str">
        <f>IF(N531="ganha",(K530*(M530-1)),IF(N531="perdida",-K530,IF(N531="devolvida",0,IF(N531="ganha/devolvida",((K530*(M530-1)))/2,IF(N531="perdida/devolvida",-K530/2,IF(N531="Aguardando",0,""))))))</f>
        <v/>
      </c>
      <c r="P530" s="59"/>
    </row>
    <row r="531">
      <c r="A531" s="15">
        <f t="shared" si="3"/>
        <v>530</v>
      </c>
      <c r="B531" s="58"/>
      <c r="C531" s="58"/>
      <c r="D531" s="15"/>
      <c r="E531" s="58"/>
      <c r="F531" s="15"/>
      <c r="G531" s="15"/>
      <c r="H531" s="58"/>
      <c r="I531" s="58"/>
      <c r="J531" s="16"/>
      <c r="K531" s="58"/>
      <c r="L531" s="57"/>
      <c r="M531" s="62"/>
      <c r="N531" s="58"/>
      <c r="O531" s="58"/>
      <c r="P531" s="58"/>
    </row>
    <row r="532">
      <c r="A532" s="8">
        <f t="shared" si="3"/>
        <v>531</v>
      </c>
      <c r="B532" s="59"/>
      <c r="C532" s="59"/>
      <c r="D532" s="8"/>
      <c r="E532" s="59"/>
      <c r="F532" s="8"/>
      <c r="G532" s="8"/>
      <c r="H532" s="59"/>
      <c r="I532" s="59"/>
      <c r="J532" s="9"/>
      <c r="K532" s="59"/>
      <c r="L532" s="56"/>
      <c r="M532" s="61"/>
      <c r="N532" s="59"/>
      <c r="O532" s="59"/>
      <c r="P532" s="59"/>
    </row>
    <row r="533">
      <c r="A533" s="15">
        <f t="shared" si="3"/>
        <v>532</v>
      </c>
      <c r="B533" s="58"/>
      <c r="C533" s="58"/>
      <c r="D533" s="15"/>
      <c r="E533" s="58"/>
      <c r="F533" s="15"/>
      <c r="G533" s="15"/>
      <c r="H533" s="58"/>
      <c r="I533" s="58"/>
      <c r="J533" s="16"/>
      <c r="K533" s="58"/>
      <c r="L533" s="57"/>
      <c r="M533" s="62"/>
      <c r="N533" s="58"/>
      <c r="O533" s="58"/>
      <c r="P533" s="58"/>
    </row>
    <row r="534">
      <c r="A534" s="8">
        <f t="shared" si="3"/>
        <v>533</v>
      </c>
      <c r="B534" s="59"/>
      <c r="C534" s="59"/>
      <c r="D534" s="8"/>
      <c r="E534" s="59"/>
      <c r="F534" s="8"/>
      <c r="G534" s="8"/>
      <c r="H534" s="59"/>
      <c r="I534" s="59"/>
      <c r="J534" s="9"/>
      <c r="K534" s="59"/>
      <c r="L534" s="56"/>
      <c r="M534" s="61"/>
      <c r="N534" s="59"/>
      <c r="O534" s="59"/>
      <c r="P534" s="59"/>
    </row>
    <row r="535">
      <c r="A535" s="15">
        <f t="shared" si="3"/>
        <v>534</v>
      </c>
      <c r="B535" s="58"/>
      <c r="C535" s="58"/>
      <c r="D535" s="15"/>
      <c r="E535" s="58"/>
      <c r="F535" s="15"/>
      <c r="G535" s="15"/>
      <c r="H535" s="58"/>
      <c r="I535" s="58"/>
      <c r="J535" s="16"/>
      <c r="K535" s="58"/>
      <c r="L535" s="57"/>
      <c r="M535" s="62"/>
      <c r="N535" s="58"/>
      <c r="O535" s="58"/>
      <c r="P535" s="58"/>
    </row>
    <row r="536">
      <c r="A536" s="8">
        <f t="shared" si="3"/>
        <v>535</v>
      </c>
      <c r="B536" s="59"/>
      <c r="C536" s="59"/>
      <c r="D536" s="8"/>
      <c r="E536" s="59"/>
      <c r="F536" s="8"/>
      <c r="G536" s="8"/>
      <c r="H536" s="59"/>
      <c r="I536" s="59"/>
      <c r="J536" s="9"/>
      <c r="K536" s="59"/>
      <c r="L536" s="56"/>
      <c r="M536" s="61"/>
      <c r="N536" s="59"/>
      <c r="O536" s="59"/>
      <c r="P536" s="59"/>
    </row>
    <row r="537">
      <c r="A537" s="15">
        <f t="shared" si="3"/>
        <v>536</v>
      </c>
      <c r="B537" s="58"/>
      <c r="C537" s="58"/>
      <c r="D537" s="15"/>
      <c r="E537" s="58"/>
      <c r="F537" s="15"/>
      <c r="G537" s="15"/>
      <c r="H537" s="58"/>
      <c r="I537" s="58"/>
      <c r="J537" s="16"/>
      <c r="K537" s="58"/>
      <c r="L537" s="57"/>
      <c r="M537" s="62"/>
      <c r="N537" s="58"/>
      <c r="O537" s="58"/>
      <c r="P537" s="58"/>
    </row>
    <row r="538">
      <c r="A538" s="8">
        <f t="shared" si="3"/>
        <v>537</v>
      </c>
      <c r="B538" s="59"/>
      <c r="C538" s="59"/>
      <c r="D538" s="59"/>
      <c r="E538" s="59"/>
      <c r="F538" s="8"/>
      <c r="G538" s="8"/>
      <c r="H538" s="59"/>
      <c r="I538" s="59"/>
      <c r="J538" s="9"/>
      <c r="K538" s="59"/>
      <c r="L538" s="56"/>
      <c r="M538" s="61"/>
      <c r="N538" s="59"/>
      <c r="O538" s="59"/>
      <c r="P538" s="59"/>
    </row>
    <row r="539">
      <c r="A539" s="15">
        <f t="shared" si="3"/>
        <v>538</v>
      </c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62"/>
      <c r="N539" s="58"/>
      <c r="O539" s="58"/>
      <c r="P539" s="58"/>
    </row>
    <row r="540">
      <c r="A540" s="8">
        <f t="shared" si="3"/>
        <v>539</v>
      </c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61"/>
      <c r="N540" s="59"/>
      <c r="O540" s="59"/>
      <c r="P540" s="59"/>
    </row>
    <row r="541">
      <c r="A541" s="15">
        <f t="shared" si="3"/>
        <v>540</v>
      </c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62"/>
      <c r="N541" s="58"/>
      <c r="O541" s="58"/>
      <c r="P541" s="58"/>
    </row>
    <row r="542">
      <c r="A542" s="8">
        <f t="shared" si="3"/>
        <v>541</v>
      </c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61"/>
      <c r="N542" s="59"/>
      <c r="O542" s="59"/>
      <c r="P542" s="59"/>
    </row>
    <row r="543">
      <c r="A543" s="15">
        <f t="shared" si="3"/>
        <v>542</v>
      </c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62"/>
      <c r="N543" s="58"/>
      <c r="O543" s="58"/>
      <c r="P543" s="58"/>
    </row>
    <row r="544">
      <c r="A544" s="8">
        <f t="shared" si="3"/>
        <v>543</v>
      </c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61"/>
      <c r="N544" s="59"/>
      <c r="O544" s="59"/>
      <c r="P544" s="59"/>
    </row>
    <row r="545">
      <c r="A545" s="15">
        <f t="shared" si="3"/>
        <v>544</v>
      </c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62"/>
      <c r="N545" s="58"/>
      <c r="O545" s="58"/>
      <c r="P545" s="58"/>
    </row>
    <row r="546">
      <c r="A546" s="8">
        <f t="shared" si="3"/>
        <v>545</v>
      </c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61"/>
      <c r="N546" s="59"/>
      <c r="O546" s="59"/>
      <c r="P546" s="59"/>
    </row>
    <row r="547">
      <c r="A547" s="15">
        <f t="shared" si="3"/>
        <v>546</v>
      </c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62"/>
      <c r="N547" s="58"/>
      <c r="O547" s="58"/>
      <c r="P547" s="58"/>
    </row>
    <row r="548">
      <c r="A548" s="8">
        <f t="shared" si="3"/>
        <v>547</v>
      </c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61"/>
      <c r="N548" s="59"/>
      <c r="O548" s="59"/>
      <c r="P548" s="59"/>
    </row>
    <row r="549">
      <c r="A549" s="15">
        <f t="shared" si="3"/>
        <v>548</v>
      </c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62"/>
      <c r="N549" s="58"/>
      <c r="O549" s="58"/>
      <c r="P549" s="58"/>
    </row>
    <row r="550">
      <c r="A550" s="8">
        <f t="shared" si="3"/>
        <v>549</v>
      </c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61"/>
      <c r="N550" s="59"/>
      <c r="O550" s="59"/>
      <c r="P550" s="59"/>
    </row>
    <row r="551">
      <c r="A551" s="15">
        <f t="shared" si="3"/>
        <v>550</v>
      </c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62"/>
      <c r="N551" s="58"/>
      <c r="O551" s="58"/>
      <c r="P551" s="58"/>
    </row>
    <row r="552">
      <c r="A552" s="8">
        <f t="shared" si="3"/>
        <v>551</v>
      </c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61"/>
      <c r="N552" s="59"/>
      <c r="O552" s="59"/>
      <c r="P552" s="59"/>
    </row>
    <row r="553">
      <c r="A553" s="15">
        <f t="shared" si="3"/>
        <v>552</v>
      </c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62"/>
      <c r="N553" s="58"/>
      <c r="O553" s="58"/>
      <c r="P553" s="58"/>
    </row>
    <row r="554">
      <c r="A554" s="8">
        <f t="shared" si="3"/>
        <v>553</v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61"/>
      <c r="N554" s="59"/>
      <c r="O554" s="59"/>
      <c r="P554" s="59"/>
    </row>
    <row r="555">
      <c r="A555" s="15">
        <f t="shared" si="3"/>
        <v>554</v>
      </c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62"/>
      <c r="N555" s="58"/>
      <c r="O555" s="58"/>
      <c r="P555" s="58"/>
    </row>
    <row r="556">
      <c r="A556" s="8">
        <f t="shared" si="3"/>
        <v>555</v>
      </c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61"/>
      <c r="N556" s="59"/>
      <c r="O556" s="59"/>
      <c r="P556" s="59"/>
    </row>
    <row r="557">
      <c r="A557" s="15">
        <f t="shared" si="3"/>
        <v>556</v>
      </c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62"/>
      <c r="N557" s="58"/>
      <c r="O557" s="58"/>
      <c r="P557" s="58"/>
    </row>
    <row r="558">
      <c r="A558" s="8">
        <f t="shared" si="3"/>
        <v>557</v>
      </c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61"/>
      <c r="N558" s="59"/>
      <c r="O558" s="59"/>
      <c r="P558" s="59"/>
    </row>
    <row r="559">
      <c r="A559" s="15">
        <f t="shared" si="3"/>
        <v>558</v>
      </c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62"/>
      <c r="N559" s="58"/>
      <c r="O559" s="58"/>
      <c r="P559" s="58"/>
    </row>
    <row r="560">
      <c r="A560" s="8">
        <f t="shared" si="3"/>
        <v>559</v>
      </c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61"/>
      <c r="N560" s="59"/>
      <c r="O560" s="59"/>
      <c r="P560" s="59"/>
    </row>
    <row r="561">
      <c r="A561" s="15">
        <f t="shared" si="3"/>
        <v>560</v>
      </c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62"/>
      <c r="N561" s="58"/>
      <c r="O561" s="58"/>
      <c r="P561" s="58"/>
    </row>
    <row r="562">
      <c r="A562" s="8">
        <f t="shared" si="3"/>
        <v>561</v>
      </c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61"/>
      <c r="N562" s="59"/>
      <c r="O562" s="59"/>
      <c r="P562" s="59"/>
    </row>
    <row r="563">
      <c r="A563" s="15">
        <f t="shared" si="3"/>
        <v>562</v>
      </c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62"/>
      <c r="N563" s="58"/>
      <c r="O563" s="58"/>
      <c r="P563" s="58"/>
    </row>
    <row r="564">
      <c r="A564" s="8">
        <f t="shared" si="3"/>
        <v>563</v>
      </c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61"/>
      <c r="N564" s="59"/>
      <c r="O564" s="59"/>
      <c r="P564" s="59"/>
    </row>
    <row r="565">
      <c r="A565" s="15">
        <f t="shared" si="3"/>
        <v>564</v>
      </c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62"/>
      <c r="N565" s="58"/>
      <c r="O565" s="58"/>
      <c r="P565" s="58"/>
    </row>
    <row r="566">
      <c r="A566" s="8">
        <f t="shared" si="3"/>
        <v>565</v>
      </c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61"/>
      <c r="N566" s="59"/>
      <c r="O566" s="59"/>
      <c r="P566" s="59"/>
    </row>
    <row r="567">
      <c r="A567" s="15">
        <f t="shared" si="3"/>
        <v>566</v>
      </c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62"/>
      <c r="N567" s="58"/>
      <c r="O567" s="58"/>
      <c r="P567" s="58"/>
    </row>
    <row r="568">
      <c r="A568" s="8">
        <f t="shared" si="3"/>
        <v>567</v>
      </c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61"/>
      <c r="N568" s="59"/>
      <c r="O568" s="59"/>
      <c r="P568" s="59"/>
    </row>
    <row r="569">
      <c r="A569" s="15">
        <f t="shared" si="3"/>
        <v>568</v>
      </c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62"/>
      <c r="N569" s="58"/>
      <c r="O569" s="58"/>
      <c r="P569" s="58"/>
    </row>
    <row r="570">
      <c r="A570" s="8">
        <f t="shared" si="3"/>
        <v>569</v>
      </c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61"/>
      <c r="N570" s="59"/>
      <c r="O570" s="59"/>
      <c r="P570" s="59"/>
    </row>
    <row r="571">
      <c r="A571" s="15">
        <f t="shared" si="3"/>
        <v>570</v>
      </c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62"/>
      <c r="N571" s="58"/>
      <c r="O571" s="58"/>
      <c r="P571" s="58"/>
    </row>
    <row r="572">
      <c r="A572" s="8">
        <f t="shared" si="3"/>
        <v>571</v>
      </c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61"/>
      <c r="N572" s="59"/>
      <c r="O572" s="59"/>
      <c r="P572" s="59"/>
    </row>
    <row r="573">
      <c r="A573" s="15">
        <f t="shared" si="3"/>
        <v>572</v>
      </c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62"/>
      <c r="N573" s="58"/>
      <c r="O573" s="58"/>
      <c r="P573" s="58"/>
    </row>
    <row r="574">
      <c r="A574" s="8">
        <f t="shared" si="3"/>
        <v>573</v>
      </c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61"/>
      <c r="N574" s="59"/>
      <c r="O574" s="59"/>
      <c r="P574" s="59"/>
    </row>
    <row r="575">
      <c r="A575" s="15">
        <f t="shared" si="3"/>
        <v>574</v>
      </c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62"/>
      <c r="N575" s="58"/>
      <c r="O575" s="58"/>
      <c r="P575" s="58"/>
    </row>
    <row r="576">
      <c r="A576" s="8">
        <f t="shared" si="3"/>
        <v>575</v>
      </c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61"/>
      <c r="N576" s="59"/>
      <c r="O576" s="59"/>
      <c r="P576" s="59"/>
    </row>
    <row r="577">
      <c r="A577" s="15">
        <f t="shared" si="3"/>
        <v>576</v>
      </c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62"/>
      <c r="N577" s="58"/>
      <c r="O577" s="58"/>
      <c r="P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61"/>
      <c r="N578" s="59"/>
      <c r="O578" s="59"/>
      <c r="P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62"/>
      <c r="N579" s="58"/>
      <c r="O579" s="58"/>
      <c r="P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61"/>
      <c r="N580" s="59"/>
      <c r="O580" s="59"/>
      <c r="P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62"/>
      <c r="N581" s="58"/>
      <c r="O581" s="58"/>
      <c r="P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61"/>
      <c r="N582" s="59"/>
      <c r="O582" s="59"/>
      <c r="P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62"/>
      <c r="N583" s="58"/>
      <c r="O583" s="58"/>
      <c r="P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61"/>
      <c r="N584" s="59"/>
      <c r="O584" s="59"/>
      <c r="P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62"/>
      <c r="N585" s="58"/>
      <c r="O585" s="58"/>
      <c r="P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61"/>
      <c r="N586" s="59"/>
      <c r="O586" s="59"/>
      <c r="P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62"/>
      <c r="N587" s="58"/>
      <c r="O587" s="58"/>
      <c r="P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61"/>
      <c r="N588" s="59"/>
      <c r="O588" s="59"/>
      <c r="P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62"/>
      <c r="N589" s="58"/>
      <c r="O589" s="58"/>
      <c r="P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61"/>
      <c r="N590" s="59"/>
      <c r="O590" s="59"/>
      <c r="P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62"/>
      <c r="N591" s="58"/>
      <c r="O591" s="58"/>
      <c r="P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61"/>
      <c r="N592" s="59"/>
      <c r="O592" s="59"/>
      <c r="P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62"/>
      <c r="N593" s="58"/>
      <c r="O593" s="58"/>
      <c r="P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61"/>
      <c r="N594" s="59"/>
      <c r="O594" s="59"/>
      <c r="P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62"/>
      <c r="N595" s="58"/>
      <c r="O595" s="58"/>
      <c r="P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61"/>
      <c r="N596" s="59"/>
      <c r="O596" s="59"/>
      <c r="P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62"/>
      <c r="N597" s="58"/>
      <c r="O597" s="58"/>
      <c r="P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61"/>
      <c r="N598" s="59"/>
      <c r="O598" s="59"/>
      <c r="P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62"/>
      <c r="N599" s="58"/>
      <c r="O599" s="58"/>
      <c r="P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61"/>
      <c r="N600" s="59"/>
      <c r="O600" s="59"/>
      <c r="P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62"/>
      <c r="N601" s="58"/>
      <c r="O601" s="58"/>
      <c r="P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61"/>
      <c r="N602" s="59"/>
      <c r="O602" s="59"/>
      <c r="P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62"/>
      <c r="N603" s="58"/>
      <c r="O603" s="58"/>
      <c r="P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61"/>
      <c r="N604" s="59"/>
      <c r="O604" s="59"/>
      <c r="P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62"/>
      <c r="N605" s="58"/>
      <c r="O605" s="58"/>
      <c r="P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61"/>
      <c r="N606" s="59"/>
      <c r="O606" s="59"/>
      <c r="P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62"/>
      <c r="N607" s="58"/>
      <c r="O607" s="58"/>
      <c r="P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61"/>
      <c r="N608" s="59"/>
      <c r="O608" s="59"/>
      <c r="P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62"/>
      <c r="N609" s="58"/>
      <c r="O609" s="58"/>
      <c r="P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61"/>
      <c r="N610" s="59"/>
      <c r="O610" s="59"/>
      <c r="P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62"/>
      <c r="N611" s="58"/>
      <c r="O611" s="58"/>
      <c r="P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61"/>
      <c r="N612" s="59"/>
      <c r="O612" s="59"/>
      <c r="P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62"/>
      <c r="N613" s="58"/>
      <c r="O613" s="58"/>
      <c r="P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61"/>
      <c r="N614" s="59"/>
      <c r="O614" s="59"/>
      <c r="P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62"/>
      <c r="N615" s="58"/>
      <c r="O615" s="58"/>
      <c r="P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61"/>
      <c r="N616" s="59"/>
      <c r="O616" s="59"/>
      <c r="P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62"/>
      <c r="N617" s="58"/>
      <c r="O617" s="58"/>
      <c r="P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61"/>
      <c r="N618" s="59"/>
      <c r="O618" s="59"/>
      <c r="P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62"/>
      <c r="N619" s="58"/>
      <c r="O619" s="58"/>
      <c r="P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61"/>
      <c r="N620" s="59"/>
      <c r="O620" s="59"/>
      <c r="P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62"/>
      <c r="N621" s="58"/>
      <c r="O621" s="58"/>
      <c r="P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61"/>
      <c r="N622" s="59"/>
      <c r="O622" s="59"/>
      <c r="P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62"/>
      <c r="N623" s="58"/>
      <c r="O623" s="58"/>
      <c r="P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61"/>
      <c r="N624" s="59"/>
      <c r="O624" s="59"/>
      <c r="P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62"/>
      <c r="N625" s="58"/>
      <c r="O625" s="58"/>
      <c r="P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61"/>
      <c r="N626" s="59"/>
      <c r="O626" s="59"/>
      <c r="P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62"/>
      <c r="N627" s="58"/>
      <c r="O627" s="58"/>
      <c r="P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61"/>
      <c r="N628" s="59"/>
      <c r="O628" s="59"/>
      <c r="P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62"/>
      <c r="N629" s="58"/>
      <c r="O629" s="58"/>
      <c r="P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61"/>
      <c r="N630" s="59"/>
      <c r="O630" s="59"/>
      <c r="P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62"/>
      <c r="N631" s="58"/>
      <c r="O631" s="58"/>
      <c r="P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61"/>
      <c r="N632" s="59"/>
      <c r="O632" s="59"/>
      <c r="P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62"/>
      <c r="N633" s="58"/>
      <c r="O633" s="58"/>
      <c r="P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61"/>
      <c r="N634" s="59"/>
      <c r="O634" s="59"/>
      <c r="P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62"/>
      <c r="N635" s="58"/>
      <c r="O635" s="58"/>
      <c r="P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61"/>
      <c r="N636" s="59"/>
      <c r="O636" s="59"/>
      <c r="P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62"/>
      <c r="N637" s="58"/>
      <c r="O637" s="58"/>
      <c r="P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61"/>
      <c r="N638" s="59"/>
      <c r="O638" s="59"/>
      <c r="P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62"/>
      <c r="N639" s="58"/>
      <c r="O639" s="58"/>
      <c r="P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61"/>
      <c r="N640" s="59"/>
      <c r="O640" s="59"/>
      <c r="P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62"/>
      <c r="N641" s="58"/>
      <c r="O641" s="58"/>
      <c r="P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61"/>
      <c r="N642" s="59"/>
      <c r="O642" s="59"/>
      <c r="P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62"/>
      <c r="N643" s="58"/>
      <c r="O643" s="58"/>
      <c r="P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61"/>
      <c r="N644" s="59"/>
      <c r="O644" s="59"/>
      <c r="P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62"/>
      <c r="N645" s="58"/>
      <c r="O645" s="58"/>
      <c r="P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61"/>
      <c r="N646" s="59"/>
      <c r="O646" s="59"/>
      <c r="P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62"/>
      <c r="N647" s="58"/>
      <c r="O647" s="58"/>
      <c r="P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61"/>
      <c r="N648" s="59"/>
      <c r="O648" s="59"/>
      <c r="P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62"/>
      <c r="N649" s="58"/>
      <c r="O649" s="58"/>
      <c r="P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61"/>
      <c r="N650" s="59"/>
      <c r="O650" s="59"/>
      <c r="P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62"/>
      <c r="N651" s="58"/>
      <c r="O651" s="58"/>
      <c r="P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61"/>
      <c r="N652" s="59"/>
      <c r="O652" s="59"/>
      <c r="P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62"/>
      <c r="N653" s="58"/>
      <c r="O653" s="58"/>
      <c r="P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61"/>
      <c r="N654" s="59"/>
      <c r="O654" s="59"/>
      <c r="P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62"/>
      <c r="N655" s="58"/>
      <c r="O655" s="58"/>
      <c r="P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61"/>
      <c r="N656" s="59"/>
      <c r="O656" s="59"/>
      <c r="P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62"/>
      <c r="N657" s="58"/>
      <c r="O657" s="58"/>
      <c r="P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61"/>
      <c r="N658" s="59"/>
      <c r="O658" s="59"/>
      <c r="P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62"/>
      <c r="N659" s="58"/>
      <c r="O659" s="58"/>
      <c r="P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61"/>
      <c r="N660" s="59"/>
      <c r="O660" s="59"/>
      <c r="P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62"/>
      <c r="N661" s="58"/>
      <c r="O661" s="58"/>
      <c r="P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61"/>
      <c r="N662" s="59"/>
      <c r="O662" s="59"/>
      <c r="P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62"/>
      <c r="N663" s="58"/>
      <c r="O663" s="58"/>
      <c r="P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61"/>
      <c r="N664" s="59"/>
      <c r="O664" s="59"/>
      <c r="P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62"/>
      <c r="N665" s="58"/>
      <c r="O665" s="58"/>
      <c r="P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61"/>
      <c r="N666" s="59"/>
      <c r="O666" s="59"/>
      <c r="P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62"/>
      <c r="N667" s="58"/>
      <c r="O667" s="58"/>
      <c r="P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61"/>
      <c r="N668" s="59"/>
      <c r="O668" s="59"/>
      <c r="P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62"/>
      <c r="N669" s="58"/>
      <c r="O669" s="58"/>
      <c r="P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61"/>
      <c r="N670" s="59"/>
      <c r="O670" s="59"/>
      <c r="P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62"/>
      <c r="N671" s="58"/>
      <c r="O671" s="58"/>
      <c r="P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61"/>
      <c r="N672" s="59"/>
      <c r="O672" s="59"/>
      <c r="P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62"/>
      <c r="N673" s="58"/>
      <c r="O673" s="58"/>
      <c r="P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61"/>
      <c r="N674" s="59"/>
      <c r="O674" s="59"/>
      <c r="P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62"/>
      <c r="N675" s="58"/>
      <c r="O675" s="58"/>
      <c r="P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61"/>
      <c r="N676" s="59"/>
      <c r="O676" s="59"/>
      <c r="P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62"/>
      <c r="N677" s="58"/>
      <c r="O677" s="58"/>
      <c r="P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61"/>
      <c r="N678" s="59"/>
      <c r="O678" s="59"/>
      <c r="P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62"/>
      <c r="N679" s="58"/>
      <c r="O679" s="58"/>
      <c r="P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61"/>
      <c r="N680" s="59"/>
      <c r="O680" s="59"/>
      <c r="P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62"/>
      <c r="N681" s="58"/>
      <c r="O681" s="58"/>
      <c r="P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61"/>
      <c r="N682" s="59"/>
      <c r="O682" s="59"/>
      <c r="P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62"/>
      <c r="N683" s="58"/>
      <c r="O683" s="58"/>
      <c r="P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61"/>
      <c r="N684" s="59"/>
      <c r="O684" s="59"/>
      <c r="P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62"/>
      <c r="N685" s="58"/>
      <c r="O685" s="58"/>
      <c r="P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61"/>
      <c r="N686" s="59"/>
      <c r="O686" s="59"/>
      <c r="P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62"/>
      <c r="N687" s="58"/>
      <c r="O687" s="58"/>
      <c r="P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61"/>
      <c r="N688" s="59"/>
      <c r="O688" s="59"/>
      <c r="P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62"/>
      <c r="N689" s="58"/>
      <c r="O689" s="58"/>
      <c r="P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61"/>
      <c r="N690" s="59"/>
      <c r="O690" s="59"/>
      <c r="P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62"/>
      <c r="N691" s="58"/>
      <c r="O691" s="58"/>
      <c r="P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61"/>
      <c r="N692" s="59"/>
      <c r="O692" s="59"/>
      <c r="P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62"/>
      <c r="N693" s="58"/>
      <c r="O693" s="58"/>
      <c r="P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61"/>
      <c r="N694" s="59"/>
      <c r="O694" s="59"/>
      <c r="P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62"/>
      <c r="N695" s="58"/>
      <c r="O695" s="58"/>
      <c r="P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61"/>
      <c r="N696" s="59"/>
      <c r="O696" s="59"/>
      <c r="P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62"/>
      <c r="N697" s="58"/>
      <c r="O697" s="58"/>
      <c r="P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61"/>
      <c r="N698" s="59"/>
      <c r="O698" s="59"/>
      <c r="P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62"/>
      <c r="N699" s="58"/>
      <c r="O699" s="58"/>
      <c r="P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61"/>
      <c r="N700" s="59"/>
      <c r="O700" s="59"/>
      <c r="P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62"/>
      <c r="N701" s="58"/>
      <c r="O701" s="58"/>
      <c r="P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61"/>
      <c r="N702" s="59"/>
      <c r="O702" s="59"/>
      <c r="P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62"/>
      <c r="N703" s="58"/>
      <c r="O703" s="58"/>
      <c r="P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61"/>
      <c r="N704" s="59"/>
      <c r="O704" s="59"/>
      <c r="P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62"/>
      <c r="N705" s="58"/>
      <c r="O705" s="58"/>
      <c r="P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61"/>
      <c r="N706" s="59"/>
      <c r="O706" s="59"/>
      <c r="P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62"/>
      <c r="N707" s="58"/>
      <c r="O707" s="58"/>
      <c r="P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61"/>
      <c r="N708" s="59"/>
      <c r="O708" s="59"/>
      <c r="P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62"/>
      <c r="N709" s="58"/>
      <c r="O709" s="58"/>
      <c r="P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61"/>
      <c r="N710" s="59"/>
      <c r="O710" s="59"/>
      <c r="P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62"/>
      <c r="N711" s="58"/>
      <c r="O711" s="58"/>
      <c r="P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61"/>
      <c r="N712" s="59"/>
      <c r="O712" s="59"/>
      <c r="P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62"/>
      <c r="N713" s="58"/>
      <c r="O713" s="58"/>
      <c r="P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61"/>
      <c r="N714" s="59"/>
      <c r="O714" s="59"/>
      <c r="P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62"/>
      <c r="N715" s="58"/>
      <c r="O715" s="58"/>
      <c r="P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61"/>
      <c r="N716" s="59"/>
      <c r="O716" s="59"/>
      <c r="P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62"/>
      <c r="N717" s="58"/>
      <c r="O717" s="58"/>
      <c r="P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61"/>
      <c r="N718" s="59"/>
      <c r="O718" s="59"/>
      <c r="P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62"/>
      <c r="N719" s="58"/>
      <c r="O719" s="58"/>
      <c r="P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61"/>
      <c r="N720" s="59"/>
      <c r="O720" s="59"/>
      <c r="P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62"/>
      <c r="N721" s="58"/>
      <c r="O721" s="58"/>
      <c r="P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61"/>
      <c r="N722" s="59"/>
      <c r="O722" s="59"/>
      <c r="P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62"/>
      <c r="N723" s="58"/>
      <c r="O723" s="58"/>
      <c r="P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61"/>
      <c r="N724" s="59"/>
      <c r="O724" s="59"/>
      <c r="P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62"/>
      <c r="N725" s="58"/>
      <c r="O725" s="58"/>
      <c r="P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61"/>
      <c r="N726" s="59"/>
      <c r="O726" s="59"/>
      <c r="P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62"/>
      <c r="N727" s="58"/>
      <c r="O727" s="58"/>
      <c r="P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61"/>
      <c r="N728" s="59"/>
      <c r="O728" s="59"/>
      <c r="P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62"/>
      <c r="N729" s="58"/>
      <c r="O729" s="58"/>
      <c r="P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61"/>
      <c r="N730" s="59"/>
      <c r="O730" s="59"/>
      <c r="P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62"/>
      <c r="N731" s="58"/>
      <c r="O731" s="58"/>
      <c r="P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61"/>
      <c r="N732" s="59"/>
      <c r="O732" s="59"/>
      <c r="P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62"/>
      <c r="N733" s="58"/>
      <c r="O733" s="58"/>
      <c r="P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61"/>
      <c r="N734" s="59"/>
      <c r="O734" s="59"/>
      <c r="P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62"/>
      <c r="N735" s="58"/>
      <c r="O735" s="58"/>
      <c r="P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61"/>
      <c r="N736" s="59"/>
      <c r="O736" s="59"/>
      <c r="P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62"/>
      <c r="N737" s="58"/>
      <c r="O737" s="58"/>
      <c r="P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61"/>
      <c r="N738" s="59"/>
      <c r="O738" s="59"/>
      <c r="P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62"/>
      <c r="N739" s="58"/>
      <c r="O739" s="58"/>
      <c r="P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61"/>
      <c r="N740" s="59"/>
      <c r="O740" s="59"/>
      <c r="P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62"/>
      <c r="N741" s="58"/>
      <c r="O741" s="58"/>
      <c r="P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61"/>
      <c r="N742" s="59"/>
      <c r="O742" s="59"/>
      <c r="P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62"/>
      <c r="N743" s="58"/>
      <c r="O743" s="58"/>
      <c r="P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61"/>
      <c r="N744" s="59"/>
      <c r="O744" s="59"/>
      <c r="P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62"/>
      <c r="N745" s="58"/>
      <c r="O745" s="58"/>
      <c r="P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61"/>
      <c r="N746" s="59"/>
      <c r="O746" s="59"/>
      <c r="P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62"/>
      <c r="N747" s="58"/>
      <c r="O747" s="58"/>
      <c r="P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61"/>
      <c r="N748" s="59"/>
      <c r="O748" s="59"/>
      <c r="P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62"/>
      <c r="N749" s="58"/>
      <c r="O749" s="58"/>
      <c r="P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61"/>
      <c r="N750" s="59"/>
      <c r="O750" s="59"/>
      <c r="P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62"/>
      <c r="N751" s="58"/>
      <c r="O751" s="58"/>
      <c r="P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61"/>
      <c r="N752" s="59"/>
      <c r="O752" s="59"/>
      <c r="P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62"/>
      <c r="N753" s="58"/>
      <c r="O753" s="58"/>
      <c r="P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61"/>
      <c r="N754" s="59"/>
      <c r="O754" s="59"/>
      <c r="P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62"/>
      <c r="N755" s="58"/>
      <c r="O755" s="58"/>
      <c r="P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61"/>
      <c r="N756" s="59"/>
      <c r="O756" s="59"/>
      <c r="P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62"/>
      <c r="N757" s="58"/>
      <c r="O757" s="58"/>
      <c r="P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61"/>
      <c r="N758" s="59"/>
      <c r="O758" s="59"/>
      <c r="P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62"/>
      <c r="N759" s="58"/>
      <c r="O759" s="58"/>
      <c r="P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61"/>
      <c r="N760" s="59"/>
      <c r="O760" s="59"/>
      <c r="P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62"/>
      <c r="N761" s="58"/>
      <c r="O761" s="58"/>
      <c r="P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61"/>
      <c r="N762" s="59"/>
      <c r="O762" s="59"/>
      <c r="P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62"/>
      <c r="N763" s="58"/>
      <c r="O763" s="58"/>
      <c r="P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61"/>
      <c r="N764" s="59"/>
      <c r="O764" s="59"/>
      <c r="P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62"/>
      <c r="N765" s="58"/>
      <c r="O765" s="58"/>
      <c r="P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61"/>
      <c r="N766" s="59"/>
      <c r="O766" s="59"/>
      <c r="P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62"/>
      <c r="N767" s="58"/>
      <c r="O767" s="58"/>
      <c r="P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61"/>
      <c r="N768" s="59"/>
      <c r="O768" s="59"/>
      <c r="P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62"/>
      <c r="N769" s="58"/>
      <c r="O769" s="58"/>
      <c r="P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61"/>
      <c r="N770" s="59"/>
      <c r="O770" s="59"/>
      <c r="P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62"/>
      <c r="N771" s="58"/>
      <c r="O771" s="58"/>
      <c r="P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61"/>
      <c r="N772" s="59"/>
      <c r="O772" s="59"/>
      <c r="P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62"/>
      <c r="N773" s="58"/>
      <c r="O773" s="58"/>
      <c r="P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61"/>
      <c r="N774" s="59"/>
      <c r="O774" s="59"/>
      <c r="P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62"/>
      <c r="N775" s="58"/>
      <c r="O775" s="58"/>
      <c r="P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61"/>
      <c r="N776" s="59"/>
      <c r="O776" s="59"/>
      <c r="P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62"/>
      <c r="N777" s="58"/>
      <c r="O777" s="58"/>
      <c r="P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61"/>
      <c r="N778" s="59"/>
      <c r="O778" s="59"/>
      <c r="P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62"/>
      <c r="N779" s="58"/>
      <c r="O779" s="58"/>
      <c r="P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61"/>
      <c r="N780" s="59"/>
      <c r="O780" s="59"/>
      <c r="P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62"/>
      <c r="N781" s="58"/>
      <c r="O781" s="58"/>
      <c r="P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61"/>
      <c r="N782" s="59"/>
      <c r="O782" s="59"/>
      <c r="P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62"/>
      <c r="N783" s="58"/>
      <c r="O783" s="58"/>
      <c r="P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61"/>
      <c r="N784" s="59"/>
      <c r="O784" s="59"/>
      <c r="P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62"/>
      <c r="N785" s="58"/>
      <c r="O785" s="58"/>
      <c r="P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61"/>
      <c r="N786" s="59"/>
      <c r="O786" s="59"/>
      <c r="P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62"/>
      <c r="N787" s="58"/>
      <c r="O787" s="58"/>
      <c r="P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61"/>
      <c r="N788" s="59"/>
      <c r="O788" s="59"/>
      <c r="P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62"/>
      <c r="N789" s="58"/>
      <c r="O789" s="58"/>
      <c r="P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61"/>
      <c r="N790" s="59"/>
      <c r="O790" s="59"/>
      <c r="P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62"/>
      <c r="N791" s="58"/>
      <c r="O791" s="58"/>
      <c r="P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61"/>
      <c r="N792" s="59"/>
      <c r="O792" s="59"/>
      <c r="P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62"/>
      <c r="N793" s="58"/>
      <c r="O793" s="58"/>
      <c r="P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61"/>
      <c r="N794" s="59"/>
      <c r="O794" s="59"/>
      <c r="P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62"/>
      <c r="N795" s="58"/>
      <c r="O795" s="58"/>
      <c r="P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61"/>
      <c r="N796" s="59"/>
      <c r="O796" s="59"/>
      <c r="P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62"/>
      <c r="N797" s="58"/>
      <c r="O797" s="58"/>
      <c r="P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61"/>
      <c r="N798" s="59"/>
      <c r="O798" s="59"/>
      <c r="P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62"/>
      <c r="N799" s="58"/>
      <c r="O799" s="58"/>
      <c r="P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61"/>
      <c r="N800" s="59"/>
      <c r="O800" s="59"/>
      <c r="P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62"/>
      <c r="N801" s="58"/>
      <c r="O801" s="58"/>
      <c r="P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61"/>
      <c r="N802" s="59"/>
      <c r="O802" s="59"/>
      <c r="P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62"/>
      <c r="N803" s="58"/>
      <c r="O803" s="58"/>
      <c r="P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61"/>
      <c r="N804" s="59"/>
      <c r="O804" s="59"/>
      <c r="P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62"/>
      <c r="N805" s="58"/>
      <c r="O805" s="58"/>
      <c r="P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61"/>
      <c r="N806" s="59"/>
      <c r="O806" s="59"/>
      <c r="P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62"/>
      <c r="N807" s="58"/>
      <c r="O807" s="58"/>
      <c r="P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61"/>
      <c r="N808" s="59"/>
      <c r="O808" s="59"/>
      <c r="P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62"/>
      <c r="N809" s="58"/>
      <c r="O809" s="58"/>
      <c r="P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61"/>
      <c r="N810" s="59"/>
      <c r="O810" s="59"/>
      <c r="P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62"/>
      <c r="N811" s="58"/>
      <c r="O811" s="58"/>
      <c r="P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61"/>
      <c r="N812" s="59"/>
      <c r="O812" s="59"/>
      <c r="P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62"/>
      <c r="N813" s="58"/>
      <c r="O813" s="58"/>
      <c r="P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61"/>
      <c r="N814" s="59"/>
      <c r="O814" s="59"/>
      <c r="P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62"/>
      <c r="N815" s="58"/>
      <c r="O815" s="58"/>
      <c r="P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61"/>
      <c r="N816" s="59"/>
      <c r="O816" s="59"/>
      <c r="P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62"/>
      <c r="N817" s="58"/>
      <c r="O817" s="58"/>
      <c r="P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61"/>
      <c r="N818" s="59"/>
      <c r="O818" s="59"/>
      <c r="P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62"/>
      <c r="N819" s="58"/>
      <c r="O819" s="58"/>
      <c r="P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61"/>
      <c r="N820" s="59"/>
      <c r="O820" s="59"/>
      <c r="P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62"/>
      <c r="N821" s="58"/>
      <c r="O821" s="58"/>
      <c r="P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61"/>
      <c r="N822" s="59"/>
      <c r="O822" s="59"/>
      <c r="P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62"/>
      <c r="N823" s="58"/>
      <c r="O823" s="58"/>
      <c r="P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61"/>
      <c r="N824" s="59"/>
      <c r="O824" s="59"/>
      <c r="P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62"/>
      <c r="N825" s="58"/>
      <c r="O825" s="58"/>
      <c r="P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61"/>
      <c r="N826" s="59"/>
      <c r="O826" s="59"/>
      <c r="P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62"/>
      <c r="N827" s="58"/>
      <c r="O827" s="58"/>
      <c r="P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61"/>
      <c r="N828" s="59"/>
      <c r="O828" s="59"/>
      <c r="P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62"/>
      <c r="N829" s="58"/>
      <c r="O829" s="58"/>
      <c r="P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61"/>
      <c r="N830" s="59"/>
      <c r="O830" s="59"/>
      <c r="P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62"/>
      <c r="N831" s="58"/>
      <c r="O831" s="58"/>
      <c r="P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61"/>
      <c r="N832" s="59"/>
      <c r="O832" s="59"/>
      <c r="P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62"/>
      <c r="N833" s="58"/>
      <c r="O833" s="58"/>
      <c r="P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61"/>
      <c r="N834" s="59"/>
      <c r="O834" s="59"/>
      <c r="P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62"/>
      <c r="N835" s="58"/>
      <c r="O835" s="58"/>
      <c r="P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61"/>
      <c r="N836" s="59"/>
      <c r="O836" s="59"/>
      <c r="P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62"/>
      <c r="N837" s="58"/>
      <c r="O837" s="58"/>
      <c r="P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61"/>
      <c r="N838" s="59"/>
      <c r="O838" s="59"/>
      <c r="P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62"/>
      <c r="N839" s="58"/>
      <c r="O839" s="58"/>
      <c r="P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61"/>
      <c r="N840" s="59"/>
      <c r="O840" s="59"/>
      <c r="P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62"/>
      <c r="N841" s="58"/>
      <c r="O841" s="58"/>
      <c r="P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61"/>
      <c r="N842" s="59"/>
      <c r="O842" s="59"/>
      <c r="P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62"/>
      <c r="N843" s="58"/>
      <c r="O843" s="58"/>
      <c r="P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61"/>
      <c r="N844" s="59"/>
      <c r="O844" s="59"/>
      <c r="P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62"/>
      <c r="N845" s="58"/>
      <c r="O845" s="58"/>
      <c r="P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61"/>
      <c r="N846" s="59"/>
      <c r="O846" s="59"/>
      <c r="P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62"/>
      <c r="N847" s="58"/>
      <c r="O847" s="58"/>
      <c r="P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61"/>
      <c r="N848" s="59"/>
      <c r="O848" s="59"/>
      <c r="P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62"/>
      <c r="N849" s="58"/>
      <c r="O849" s="58"/>
      <c r="P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61"/>
      <c r="N850" s="59"/>
      <c r="O850" s="59"/>
      <c r="P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62"/>
      <c r="N851" s="58"/>
      <c r="O851" s="58"/>
      <c r="P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61"/>
      <c r="N852" s="59"/>
      <c r="O852" s="59"/>
      <c r="P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62"/>
      <c r="N853" s="58"/>
      <c r="O853" s="58"/>
      <c r="P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61"/>
      <c r="N854" s="59"/>
      <c r="O854" s="59"/>
      <c r="P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62"/>
      <c r="N855" s="58"/>
      <c r="O855" s="58"/>
      <c r="P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61"/>
      <c r="N856" s="59"/>
      <c r="O856" s="59"/>
      <c r="P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62"/>
      <c r="N857" s="58"/>
      <c r="O857" s="58"/>
      <c r="P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61"/>
      <c r="N858" s="59"/>
      <c r="O858" s="59"/>
      <c r="P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62"/>
      <c r="N859" s="58"/>
      <c r="O859" s="58"/>
      <c r="P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61"/>
      <c r="N860" s="59"/>
      <c r="O860" s="59"/>
      <c r="P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62"/>
      <c r="N861" s="58"/>
      <c r="O861" s="58"/>
      <c r="P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61"/>
      <c r="N862" s="59"/>
      <c r="O862" s="59"/>
      <c r="P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62"/>
      <c r="N863" s="58"/>
      <c r="O863" s="58"/>
      <c r="P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61"/>
      <c r="N864" s="59"/>
      <c r="O864" s="59"/>
      <c r="P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62"/>
      <c r="N865" s="58"/>
      <c r="O865" s="58"/>
      <c r="P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61"/>
      <c r="N866" s="59"/>
      <c r="O866" s="59"/>
      <c r="P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62"/>
      <c r="N867" s="58"/>
      <c r="O867" s="58"/>
      <c r="P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61"/>
      <c r="N868" s="59"/>
      <c r="O868" s="59"/>
      <c r="P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62"/>
      <c r="N869" s="58"/>
      <c r="O869" s="58"/>
      <c r="P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61"/>
      <c r="N870" s="59"/>
      <c r="O870" s="59"/>
      <c r="P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62"/>
      <c r="N871" s="58"/>
      <c r="O871" s="58"/>
      <c r="P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61"/>
      <c r="N872" s="59"/>
      <c r="O872" s="59"/>
      <c r="P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62"/>
      <c r="N873" s="58"/>
      <c r="O873" s="58"/>
      <c r="P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61"/>
      <c r="N874" s="59"/>
      <c r="O874" s="59"/>
      <c r="P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62"/>
      <c r="N875" s="58"/>
      <c r="O875" s="58"/>
      <c r="P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61"/>
      <c r="N876" s="59"/>
      <c r="O876" s="59"/>
      <c r="P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62"/>
      <c r="N877" s="58"/>
      <c r="O877" s="58"/>
      <c r="P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61"/>
      <c r="N878" s="59"/>
      <c r="O878" s="59"/>
      <c r="P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62"/>
      <c r="N879" s="58"/>
      <c r="O879" s="58"/>
      <c r="P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61"/>
      <c r="N880" s="59"/>
      <c r="O880" s="59"/>
      <c r="P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62"/>
      <c r="N881" s="58"/>
      <c r="O881" s="58"/>
      <c r="P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61"/>
      <c r="N882" s="59"/>
      <c r="O882" s="59"/>
      <c r="P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62"/>
      <c r="N883" s="58"/>
      <c r="O883" s="58"/>
      <c r="P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61"/>
      <c r="N884" s="59"/>
      <c r="O884" s="59"/>
      <c r="P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62"/>
      <c r="N885" s="58"/>
      <c r="O885" s="58"/>
      <c r="P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61"/>
      <c r="N886" s="59"/>
      <c r="O886" s="59"/>
      <c r="P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62"/>
      <c r="N887" s="58"/>
      <c r="O887" s="58"/>
      <c r="P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61"/>
      <c r="N888" s="59"/>
      <c r="O888" s="59"/>
      <c r="P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62"/>
      <c r="N889" s="58"/>
      <c r="O889" s="58"/>
      <c r="P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61"/>
      <c r="N890" s="59"/>
      <c r="O890" s="59"/>
      <c r="P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62"/>
      <c r="N891" s="58"/>
      <c r="O891" s="58"/>
      <c r="P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61"/>
      <c r="N892" s="59"/>
      <c r="O892" s="59"/>
      <c r="P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62"/>
      <c r="N893" s="58"/>
      <c r="O893" s="58"/>
      <c r="P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61"/>
      <c r="N894" s="59"/>
      <c r="O894" s="59"/>
      <c r="P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62"/>
      <c r="N895" s="58"/>
      <c r="O895" s="58"/>
      <c r="P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61"/>
      <c r="N896" s="59"/>
      <c r="O896" s="59"/>
      <c r="P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62"/>
      <c r="N897" s="58"/>
      <c r="O897" s="58"/>
      <c r="P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61"/>
      <c r="N898" s="59"/>
      <c r="O898" s="59"/>
      <c r="P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62"/>
      <c r="N899" s="58"/>
      <c r="O899" s="58"/>
      <c r="P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61"/>
      <c r="N900" s="59"/>
      <c r="O900" s="59"/>
      <c r="P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62"/>
      <c r="N901" s="58"/>
      <c r="O901" s="58"/>
      <c r="P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61"/>
      <c r="N902" s="59"/>
      <c r="O902" s="59"/>
      <c r="P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62"/>
      <c r="N903" s="58"/>
      <c r="O903" s="58"/>
      <c r="P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61"/>
      <c r="N904" s="59"/>
      <c r="O904" s="59"/>
      <c r="P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62"/>
      <c r="N905" s="58"/>
      <c r="O905" s="58"/>
      <c r="P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61"/>
      <c r="N906" s="59"/>
      <c r="O906" s="59"/>
      <c r="P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62"/>
      <c r="N907" s="58"/>
      <c r="O907" s="58"/>
      <c r="P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61"/>
      <c r="N908" s="59"/>
      <c r="O908" s="59"/>
      <c r="P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62"/>
      <c r="N909" s="58"/>
      <c r="O909" s="58"/>
      <c r="P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61"/>
      <c r="N910" s="59"/>
      <c r="O910" s="59"/>
      <c r="P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62"/>
      <c r="N911" s="58"/>
      <c r="O911" s="58"/>
      <c r="P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61"/>
      <c r="N912" s="59"/>
      <c r="O912" s="59"/>
      <c r="P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62"/>
      <c r="N913" s="58"/>
      <c r="O913" s="58"/>
      <c r="P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61"/>
      <c r="N914" s="59"/>
      <c r="O914" s="59"/>
      <c r="P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62"/>
      <c r="N915" s="58"/>
      <c r="O915" s="58"/>
      <c r="P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61"/>
      <c r="N916" s="59"/>
      <c r="O916" s="59"/>
      <c r="P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62"/>
      <c r="N917" s="58"/>
      <c r="O917" s="58"/>
      <c r="P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61"/>
      <c r="N918" s="59"/>
      <c r="O918" s="59"/>
      <c r="P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62"/>
      <c r="N919" s="58"/>
      <c r="O919" s="58"/>
      <c r="P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61"/>
      <c r="N920" s="59"/>
      <c r="O920" s="59"/>
      <c r="P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62"/>
      <c r="N921" s="58"/>
      <c r="O921" s="58"/>
      <c r="P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61"/>
      <c r="N922" s="59"/>
      <c r="O922" s="59"/>
      <c r="P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62"/>
      <c r="N923" s="58"/>
      <c r="O923" s="58"/>
      <c r="P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61"/>
      <c r="N924" s="59"/>
      <c r="O924" s="59"/>
      <c r="P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62"/>
      <c r="N925" s="58"/>
      <c r="O925" s="58"/>
      <c r="P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61"/>
      <c r="N926" s="59"/>
      <c r="O926" s="59"/>
      <c r="P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62"/>
      <c r="N927" s="58"/>
      <c r="O927" s="58"/>
      <c r="P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61"/>
      <c r="N928" s="59"/>
      <c r="O928" s="59"/>
      <c r="P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62"/>
      <c r="N929" s="58"/>
      <c r="O929" s="58"/>
      <c r="P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61"/>
      <c r="N930" s="59"/>
      <c r="O930" s="59"/>
      <c r="P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62"/>
      <c r="N931" s="58"/>
      <c r="O931" s="58"/>
      <c r="P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61"/>
      <c r="N932" s="59"/>
      <c r="O932" s="59"/>
      <c r="P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62"/>
      <c r="N933" s="58"/>
      <c r="O933" s="58"/>
      <c r="P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61"/>
      <c r="N934" s="59"/>
      <c r="O934" s="59"/>
      <c r="P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62"/>
      <c r="N935" s="58"/>
      <c r="O935" s="58"/>
      <c r="P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61"/>
      <c r="N936" s="59"/>
      <c r="O936" s="59"/>
      <c r="P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62"/>
      <c r="N937" s="58"/>
      <c r="O937" s="58"/>
      <c r="P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61"/>
      <c r="N938" s="59"/>
      <c r="O938" s="59"/>
      <c r="P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62"/>
      <c r="N939" s="58"/>
      <c r="O939" s="58"/>
      <c r="P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61"/>
      <c r="N940" s="59"/>
      <c r="O940" s="59"/>
      <c r="P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62"/>
      <c r="N941" s="58"/>
      <c r="O941" s="58"/>
      <c r="P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61"/>
      <c r="N942" s="59"/>
      <c r="O942" s="59"/>
      <c r="P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62"/>
      <c r="N943" s="58"/>
      <c r="O943" s="58"/>
      <c r="P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61"/>
      <c r="N944" s="59"/>
      <c r="O944" s="59"/>
      <c r="P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62"/>
      <c r="N945" s="58"/>
      <c r="O945" s="58"/>
      <c r="P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61"/>
      <c r="N946" s="59"/>
      <c r="O946" s="59"/>
      <c r="P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62"/>
      <c r="N947" s="58"/>
      <c r="O947" s="58"/>
      <c r="P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61"/>
      <c r="N948" s="59"/>
      <c r="O948" s="59"/>
      <c r="P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62"/>
      <c r="N949" s="58"/>
      <c r="O949" s="58"/>
      <c r="P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61"/>
      <c r="N950" s="59"/>
      <c r="O950" s="59"/>
      <c r="P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62"/>
      <c r="N951" s="58"/>
      <c r="O951" s="58"/>
      <c r="P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61"/>
      <c r="N952" s="59"/>
      <c r="O952" s="59"/>
      <c r="P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62"/>
      <c r="N953" s="58"/>
      <c r="O953" s="58"/>
      <c r="P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61"/>
      <c r="N954" s="59"/>
      <c r="O954" s="59"/>
      <c r="P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62"/>
      <c r="N955" s="58"/>
      <c r="O955" s="58"/>
      <c r="P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61"/>
      <c r="N956" s="59"/>
      <c r="O956" s="59"/>
      <c r="P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62"/>
      <c r="N957" s="58"/>
      <c r="O957" s="58"/>
      <c r="P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61"/>
      <c r="N958" s="59"/>
      <c r="O958" s="59"/>
      <c r="P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62"/>
      <c r="N959" s="58"/>
      <c r="O959" s="58"/>
      <c r="P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61"/>
      <c r="N960" s="59"/>
      <c r="O960" s="59"/>
      <c r="P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62"/>
      <c r="N961" s="58"/>
      <c r="O961" s="58"/>
      <c r="P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61"/>
      <c r="N962" s="59"/>
      <c r="O962" s="59"/>
      <c r="P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62"/>
      <c r="N963" s="58"/>
      <c r="O963" s="58"/>
      <c r="P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61"/>
      <c r="N964" s="59"/>
      <c r="O964" s="59"/>
      <c r="P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62"/>
      <c r="N965" s="58"/>
      <c r="O965" s="58"/>
      <c r="P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61"/>
      <c r="N966" s="59"/>
      <c r="O966" s="59"/>
      <c r="P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62"/>
      <c r="N967" s="58"/>
      <c r="O967" s="58"/>
      <c r="P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61"/>
      <c r="N968" s="59"/>
      <c r="O968" s="59"/>
      <c r="P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62"/>
      <c r="N969" s="58"/>
      <c r="O969" s="58"/>
      <c r="P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61"/>
      <c r="N970" s="59"/>
      <c r="O970" s="59"/>
      <c r="P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62"/>
      <c r="N971" s="58"/>
      <c r="O971" s="58"/>
      <c r="P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61"/>
      <c r="N972" s="59"/>
      <c r="O972" s="59"/>
      <c r="P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62"/>
      <c r="N973" s="58"/>
      <c r="O973" s="58"/>
      <c r="P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61"/>
      <c r="N974" s="59"/>
      <c r="O974" s="59"/>
      <c r="P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62"/>
      <c r="N975" s="58"/>
      <c r="O975" s="58"/>
      <c r="P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61"/>
      <c r="N976" s="59"/>
      <c r="O976" s="59"/>
      <c r="P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62"/>
      <c r="N977" s="58"/>
      <c r="O977" s="58"/>
      <c r="P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61"/>
      <c r="N978" s="59"/>
      <c r="O978" s="59"/>
      <c r="P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62"/>
      <c r="N979" s="58"/>
      <c r="O979" s="58"/>
      <c r="P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61"/>
      <c r="N980" s="59"/>
      <c r="O980" s="59"/>
      <c r="P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62"/>
      <c r="N981" s="58"/>
      <c r="O981" s="58"/>
      <c r="P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61"/>
      <c r="N982" s="59"/>
      <c r="O982" s="59"/>
      <c r="P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62"/>
      <c r="N983" s="58"/>
      <c r="O983" s="58"/>
      <c r="P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61"/>
      <c r="N984" s="59"/>
      <c r="O984" s="59"/>
      <c r="P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62"/>
      <c r="N985" s="58"/>
      <c r="O985" s="58"/>
      <c r="P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61"/>
      <c r="N986" s="59"/>
      <c r="O986" s="59"/>
      <c r="P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62"/>
      <c r="N987" s="58"/>
      <c r="O987" s="58"/>
      <c r="P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61"/>
      <c r="N988" s="59"/>
      <c r="O988" s="59"/>
      <c r="P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62"/>
      <c r="N989" s="58"/>
      <c r="O989" s="58"/>
      <c r="P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61"/>
      <c r="N990" s="59"/>
      <c r="O990" s="59"/>
      <c r="P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62"/>
      <c r="N991" s="58"/>
      <c r="O991" s="58"/>
      <c r="P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61"/>
      <c r="N992" s="59"/>
      <c r="O992" s="59"/>
      <c r="P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62"/>
      <c r="N993" s="58"/>
      <c r="O993" s="58"/>
      <c r="P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61"/>
      <c r="N994" s="59"/>
      <c r="O994" s="59"/>
      <c r="P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62"/>
      <c r="N995" s="58"/>
      <c r="O995" s="58"/>
      <c r="P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61"/>
      <c r="N996" s="59"/>
      <c r="O996" s="59"/>
      <c r="P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62"/>
      <c r="N997" s="58"/>
      <c r="O997" s="58"/>
      <c r="P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61"/>
      <c r="N998" s="59"/>
      <c r="O998" s="59"/>
      <c r="P998" s="59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62"/>
      <c r="N999" s="58"/>
      <c r="O999" s="58"/>
      <c r="P999" s="58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61"/>
      <c r="N1000" s="59"/>
      <c r="O1000" s="59"/>
      <c r="P1000" s="59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62"/>
      <c r="N1001" s="58"/>
      <c r="O1001" s="58"/>
      <c r="P1001" s="58"/>
    </row>
    <row r="1002">
      <c r="A1002" s="59"/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61"/>
      <c r="N1002" s="59"/>
      <c r="O1002" s="59"/>
      <c r="P1002" s="59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62"/>
      <c r="N1003" s="58"/>
      <c r="O1003" s="58"/>
      <c r="P1003" s="58"/>
    </row>
    <row r="1004">
      <c r="A1004" s="59"/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61"/>
      <c r="N1004" s="59"/>
      <c r="O1004" s="59"/>
      <c r="P1004" s="59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62"/>
      <c r="N1005" s="58"/>
      <c r="O1005" s="58"/>
      <c r="P1005" s="58"/>
    </row>
    <row r="1006">
      <c r="A1006" s="59"/>
      <c r="B1006" s="59"/>
      <c r="C1006" s="59"/>
      <c r="D1006" s="59"/>
      <c r="E1006" s="59"/>
      <c r="F1006" s="59"/>
      <c r="G1006" s="59"/>
      <c r="H1006" s="59"/>
      <c r="I1006" s="59"/>
      <c r="J1006" s="59"/>
      <c r="K1006" s="59"/>
      <c r="L1006" s="59"/>
      <c r="M1006" s="61"/>
      <c r="N1006" s="59"/>
      <c r="O1006" s="59"/>
      <c r="P1006" s="59"/>
    </row>
    <row r="1007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63"/>
      <c r="N1007" s="58"/>
      <c r="O1007" s="29"/>
      <c r="P1007" s="29"/>
    </row>
  </sheetData>
  <autoFilter ref="$A$1:$T$577"/>
  <customSheetViews>
    <customSheetView guid="{BA551338-6311-4C02-9137-137E692B7D93}" filter="1" showAutoFilter="1">
      <autoFilter ref="$A$1:$P$488">
        <filterColumn colId="8">
          <filters>
            <filter val="-9.50"/>
            <filter val="-11.50"/>
            <filter val="-11.00"/>
            <filter val="-6.50"/>
            <filter val="-5.00"/>
            <filter val="-2.50"/>
            <filter val="-2.75"/>
            <filter val="-9.00"/>
            <filter val="-4.75"/>
            <filter val="-3.25"/>
            <filter val="-0.75"/>
            <filter val="-3.00"/>
            <filter val="-5.25"/>
            <filter val="-1.00"/>
            <filter val="-1.25"/>
            <filter val="-10.50"/>
            <filter val="1.50"/>
            <filter val="-3.50"/>
            <filter val="-10.00"/>
            <filter val="-5.50"/>
            <filter val="-3.75"/>
            <filter val="-1.50"/>
            <filter val="-4.00"/>
            <filter val="-4.25"/>
            <filter val="-2.25"/>
          </filters>
        </filterColumn>
      </autoFilter>
    </customSheetView>
    <customSheetView guid="{D9D1A42E-DDFC-4032-8664-60A2E47E0D40}" filter="1" showAutoFilter="1">
      <autoFilter ref="$A$1:$O$292"/>
    </customSheetView>
    <customSheetView guid="{978C25F2-69C0-4E3B-8EFC-6A6EC3E48DD3}" filter="1" showAutoFilter="1">
      <autoFilter ref="$A$1:$T$488"/>
    </customSheetView>
    <customSheetView guid="{C0AB1544-F4B4-45C0-8975-97F745A006DC}" filter="1" showAutoFilter="1">
      <autoFilter ref="$A$1:$T$488"/>
    </customSheetView>
    <customSheetView guid="{9B5C888F-E11A-4842-8D0B-62F1614802A4}" filter="1" showAutoFilter="1">
      <autoFilter ref="$A$1:$O$292">
        <filterColumn colId="6">
          <filters/>
        </filterColumn>
      </autoFilter>
    </customSheetView>
    <customSheetView guid="{8BE028A4-B37D-4082-AE82-07BBC89EBB11}" filter="1" showAutoFilter="1">
      <autoFilter ref="$A$1:$P$488"/>
    </customSheetView>
    <customSheetView guid="{F477B962-7F95-4B58-B796-7F91B20D0221}" filter="1" showAutoFilter="1">
      <autoFilter ref="$A$1:$T$488">
        <filterColumn colId="6">
          <filters>
            <filter val="Under"/>
          </filters>
        </filterColumn>
      </autoFilter>
    </customSheetView>
    <customSheetView guid="{B1E9CC24-145D-4007-8A11-90FD9E435072}" filter="1" showAutoFilter="1">
      <autoFilter ref="$A$1:$T$488">
        <filterColumn colId="4">
          <filters>
            <filter val="Myanmar"/>
            <filter val="Hungria"/>
            <filter val="Cambodia"/>
            <filter val="Nigéria"/>
            <filter val="Oman"/>
            <filter val="Escócia"/>
            <filter val="Panamá"/>
            <filter val="Guatemala"/>
            <filter val="Etiópia"/>
            <filter val="Chile"/>
            <filter val="Argentina"/>
            <filter val="Colômbia"/>
            <filter val="Azerbaijão"/>
            <filter val="Bélgica"/>
            <filter val="Ásia"/>
            <filter val="Quênia"/>
            <filter val="Honduras"/>
            <filter val="Nicarágua"/>
            <filter val="Rep. Tcheca"/>
            <filter val="Paraguai"/>
            <filter val="África do Sul"/>
            <filter val="Singapura"/>
            <filter val="Malta"/>
            <filter val="Bahrein"/>
            <filter val="Irlanda Norte"/>
            <filter val="Europa"/>
            <filter val="Trinidad e Tob"/>
            <filter val="Amistoso"/>
            <filter val="Sérvia"/>
            <filter val="Camarões"/>
          </filters>
        </filterColumn>
      </autoFilter>
    </customSheetView>
    <customSheetView guid="{3D13BECD-F97B-4CC8-B9FC-728C2CBFEBF1}" filter="1" showAutoFilter="1">
      <autoFilter ref="$A$1:$P$488">
        <filterColumn colId="4">
          <filters>
            <filter val="Myanmar"/>
            <filter val="Cambodia"/>
            <filter val="Nigéria"/>
            <filter val="Oman"/>
            <filter val="Escócia"/>
            <filter val="Panamá"/>
            <filter val="Argentina"/>
            <filter val="México"/>
            <filter val="Colômbia"/>
            <filter val="Azerbaijão"/>
            <filter val="Honduras"/>
            <filter val="Nicarágua"/>
            <filter val="Paraguai"/>
            <filter val="África do Sul"/>
            <filter val="Singapura"/>
            <filter val="Ruanda"/>
            <filter val="Bahrein"/>
            <filter val="Europa"/>
            <filter val="Trinidad e Tob"/>
            <filter val="Grécia"/>
            <filter val="Índia"/>
            <filter val="Camarões"/>
          </filters>
        </filterColumn>
      </autoFilter>
    </customSheetView>
    <customSheetView guid="{9BA04A38-02DA-4F02-BBBB-302FC15326E0}" filter="1" showAutoFilter="1">
      <autoFilter ref="$A$1:$P$488">
        <filterColumn colId="6">
          <filters/>
        </filterColumn>
      </autoFilter>
    </customSheetView>
  </customSheetViews>
  <mergeCells count="14">
    <mergeCell ref="R72:T72"/>
    <mergeCell ref="R73:T73"/>
    <mergeCell ref="R74:T74"/>
    <mergeCell ref="R75:T75"/>
    <mergeCell ref="R76:T76"/>
    <mergeCell ref="R77:T77"/>
    <mergeCell ref="R78:T78"/>
    <mergeCell ref="R65:T65"/>
    <mergeCell ref="R66:T66"/>
    <mergeCell ref="R67:T67"/>
    <mergeCell ref="R68:T68"/>
    <mergeCell ref="R69:T69"/>
    <mergeCell ref="R70:T70"/>
    <mergeCell ref="R71:T71"/>
  </mergeCells>
  <conditionalFormatting sqref="N2:N529">
    <cfRule type="cellIs" dxfId="0" priority="1" operator="equal">
      <formula>"Ganha"</formula>
    </cfRule>
  </conditionalFormatting>
  <conditionalFormatting sqref="N2:N529">
    <cfRule type="cellIs" dxfId="1" priority="2" operator="equal">
      <formula>"Ganha/devolvida"</formula>
    </cfRule>
  </conditionalFormatting>
  <conditionalFormatting sqref="N2:N529">
    <cfRule type="cellIs" dxfId="2" priority="3" operator="equal">
      <formula>"Devolvida"</formula>
    </cfRule>
  </conditionalFormatting>
  <conditionalFormatting sqref="N2:N529">
    <cfRule type="cellIs" dxfId="3" priority="4" operator="equal">
      <formula>"Perdida/devolvida"</formula>
    </cfRule>
  </conditionalFormatting>
  <conditionalFormatting sqref="N2:N529">
    <cfRule type="cellIs" dxfId="4" priority="5" operator="equal">
      <formula>"Perdida"</formula>
    </cfRule>
  </conditionalFormatting>
  <conditionalFormatting sqref="O2:O530 P2:P1007 S2:S36">
    <cfRule type="cellIs" dxfId="0" priority="6" operator="greaterThan">
      <formula>0</formula>
    </cfRule>
  </conditionalFormatting>
  <conditionalFormatting sqref="O2:O530 P2:P1007 S2:S36">
    <cfRule type="cellIs" dxfId="4" priority="7" operator="lessThan">
      <formula>0</formula>
    </cfRule>
  </conditionalFormatting>
  <conditionalFormatting sqref="O2:O1007 P2:P14 S2:S36">
    <cfRule type="cellIs" dxfId="2" priority="8" operator="equal">
      <formula>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38"/>
    <col customWidth="1" min="3" max="3" width="3.88"/>
    <col customWidth="1" min="4" max="4" width="60.88"/>
    <col customWidth="1" min="5" max="5" width="11.63"/>
    <col customWidth="1" min="6" max="6" width="4.5"/>
    <col customWidth="1" min="7" max="7" width="8.13"/>
    <col customWidth="1" min="8" max="8" width="9.5"/>
    <col customWidth="1" min="9" max="12" width="5.88"/>
    <col customWidth="1" min="13" max="13" width="6.5"/>
    <col customWidth="1" min="14" max="14" width="14.75"/>
    <col customWidth="1" min="15" max="15" width="7.38"/>
    <col customWidth="1" min="16" max="16" width="7.25"/>
    <col customWidth="1" min="17" max="17" width="4.13"/>
    <col customWidth="1" min="18" max="18" width="6.25"/>
    <col customWidth="1" min="19" max="19" width="6.5"/>
    <col customWidth="1" min="20" max="20" width="11.63"/>
  </cols>
  <sheetData>
    <row r="1">
      <c r="A1" s="1" t="s">
        <v>212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4" t="s">
        <v>8</v>
      </c>
      <c r="J1" s="5" t="s">
        <v>9</v>
      </c>
      <c r="K1" s="4" t="s">
        <v>10</v>
      </c>
      <c r="L1" s="6" t="s">
        <v>11</v>
      </c>
      <c r="M1" s="7" t="s">
        <v>12</v>
      </c>
      <c r="N1" s="3" t="s">
        <v>13</v>
      </c>
      <c r="O1" s="5" t="s">
        <v>14</v>
      </c>
      <c r="P1" s="4" t="s">
        <v>15</v>
      </c>
      <c r="R1" s="3" t="s">
        <v>16</v>
      </c>
      <c r="S1" s="3" t="s">
        <v>15</v>
      </c>
      <c r="T1" s="3" t="s">
        <v>17</v>
      </c>
    </row>
    <row r="2">
      <c r="A2" s="64">
        <f>1</f>
        <v>1</v>
      </c>
      <c r="B2" s="64" t="s">
        <v>26</v>
      </c>
      <c r="C2" s="64" t="s">
        <v>19</v>
      </c>
      <c r="D2" s="64" t="s">
        <v>213</v>
      </c>
      <c r="E2" s="64" t="s">
        <v>214</v>
      </c>
      <c r="F2" s="64" t="s">
        <v>22</v>
      </c>
      <c r="G2" s="64" t="s">
        <v>29</v>
      </c>
      <c r="H2" s="64" t="s">
        <v>39</v>
      </c>
      <c r="I2" s="65">
        <v>-2.75</v>
      </c>
      <c r="J2" s="65">
        <v>0.6</v>
      </c>
      <c r="K2" s="65">
        <v>0.6</v>
      </c>
      <c r="L2" s="66">
        <v>45660.0</v>
      </c>
      <c r="M2" s="67">
        <v>2.0</v>
      </c>
      <c r="N2" s="64" t="s">
        <v>79</v>
      </c>
      <c r="O2" s="68">
        <f t="shared" ref="O2:O528" si="1">IF(N2="ganha",(K2*(M2-1)),IF(N2="perdida",-K2,IF(N2="devolvida",0,IF(N2="ganha/devolvida",((K2*(M2-1)))/2,IF(N2="perdida/devolvida",-K2/2,IF(N2="Aguardando",0,""))))))</f>
        <v>-0.3</v>
      </c>
      <c r="P2" s="68">
        <f>O2</f>
        <v>-0.3</v>
      </c>
      <c r="R2" s="66">
        <v>45658.0</v>
      </c>
      <c r="S2" s="13">
        <f t="shared" ref="S2:S33" si="2">SUMIF($L$2:$L$2989,R2,$O$2:$O$2989)</f>
        <v>0</v>
      </c>
      <c r="T2" s="14">
        <f>SUMIF($N$2:$N$2989,"Aguardando",$K$2:$K$2989)</f>
        <v>0</v>
      </c>
    </row>
    <row r="3" ht="16.5" customHeight="1">
      <c r="A3" s="64">
        <f t="shared" ref="A3:A576" si="3">A2+1</f>
        <v>2</v>
      </c>
      <c r="B3" s="64" t="s">
        <v>26</v>
      </c>
      <c r="C3" s="64" t="s">
        <v>19</v>
      </c>
      <c r="D3" s="64" t="s">
        <v>215</v>
      </c>
      <c r="E3" s="64" t="s">
        <v>216</v>
      </c>
      <c r="F3" s="64" t="s">
        <v>22</v>
      </c>
      <c r="G3" s="64" t="s">
        <v>29</v>
      </c>
      <c r="H3" s="64" t="s">
        <v>24</v>
      </c>
      <c r="I3" s="65">
        <v>-3.5</v>
      </c>
      <c r="J3" s="65">
        <v>0.6</v>
      </c>
      <c r="K3" s="65">
        <v>0.6</v>
      </c>
      <c r="L3" s="66">
        <v>45660.0</v>
      </c>
      <c r="M3" s="67">
        <v>1.95</v>
      </c>
      <c r="N3" s="64" t="s">
        <v>25</v>
      </c>
      <c r="O3" s="68">
        <f t="shared" si="1"/>
        <v>-0.6</v>
      </c>
      <c r="P3" s="68">
        <f t="shared" ref="P3:P525" si="4">P2+O3</f>
        <v>-0.9</v>
      </c>
      <c r="R3" s="66">
        <v>45659.0</v>
      </c>
      <c r="S3" s="13">
        <f t="shared" si="2"/>
        <v>0</v>
      </c>
    </row>
    <row r="4">
      <c r="A4" s="64">
        <f t="shared" si="3"/>
        <v>3</v>
      </c>
      <c r="B4" s="64" t="s">
        <v>26</v>
      </c>
      <c r="C4" s="64" t="s">
        <v>19</v>
      </c>
      <c r="D4" s="64" t="s">
        <v>217</v>
      </c>
      <c r="E4" s="64" t="s">
        <v>218</v>
      </c>
      <c r="F4" s="64" t="s">
        <v>22</v>
      </c>
      <c r="G4" s="64" t="s">
        <v>29</v>
      </c>
      <c r="H4" s="64" t="s">
        <v>24</v>
      </c>
      <c r="I4" s="65">
        <v>-3.5</v>
      </c>
      <c r="J4" s="65">
        <v>0.6</v>
      </c>
      <c r="K4" s="65">
        <v>0.6</v>
      </c>
      <c r="L4" s="66">
        <v>45661.0</v>
      </c>
      <c r="M4" s="67">
        <v>1.975</v>
      </c>
      <c r="N4" s="64" t="s">
        <v>25</v>
      </c>
      <c r="O4" s="68">
        <f t="shared" si="1"/>
        <v>-0.6</v>
      </c>
      <c r="P4" s="68">
        <f t="shared" si="4"/>
        <v>-1.5</v>
      </c>
      <c r="R4" s="66">
        <v>45660.0</v>
      </c>
      <c r="S4" s="13">
        <f t="shared" si="2"/>
        <v>-0.9</v>
      </c>
      <c r="T4" s="3" t="s">
        <v>34</v>
      </c>
    </row>
    <row r="5">
      <c r="A5" s="64">
        <f t="shared" si="3"/>
        <v>4</v>
      </c>
      <c r="B5" s="64" t="s">
        <v>26</v>
      </c>
      <c r="C5" s="64" t="s">
        <v>19</v>
      </c>
      <c r="D5" s="64" t="s">
        <v>219</v>
      </c>
      <c r="E5" s="64" t="s">
        <v>93</v>
      </c>
      <c r="F5" s="64" t="s">
        <v>22</v>
      </c>
      <c r="G5" s="64" t="s">
        <v>29</v>
      </c>
      <c r="H5" s="64" t="s">
        <v>39</v>
      </c>
      <c r="I5" s="65">
        <v>-2.25</v>
      </c>
      <c r="J5" s="65">
        <v>0.6</v>
      </c>
      <c r="K5" s="65">
        <v>0.6</v>
      </c>
      <c r="L5" s="66">
        <v>45661.0</v>
      </c>
      <c r="M5" s="67">
        <v>1.875</v>
      </c>
      <c r="N5" s="64" t="s">
        <v>33</v>
      </c>
      <c r="O5" s="68">
        <f t="shared" si="1"/>
        <v>0.525</v>
      </c>
      <c r="P5" s="68">
        <f t="shared" si="4"/>
        <v>-0.975</v>
      </c>
      <c r="R5" s="66">
        <v>45661.0</v>
      </c>
      <c r="S5" s="13">
        <f t="shared" si="2"/>
        <v>-0.735</v>
      </c>
      <c r="T5" s="20">
        <f>sum(K2:K1022)</f>
        <v>177.0857178</v>
      </c>
    </row>
    <row r="6">
      <c r="A6" s="64">
        <f t="shared" si="3"/>
        <v>5</v>
      </c>
      <c r="B6" s="64" t="s">
        <v>26</v>
      </c>
      <c r="C6" s="64" t="s">
        <v>40</v>
      </c>
      <c r="D6" s="64" t="s">
        <v>220</v>
      </c>
      <c r="E6" s="64" t="s">
        <v>221</v>
      </c>
      <c r="F6" s="64" t="s">
        <v>22</v>
      </c>
      <c r="G6" s="64" t="s">
        <v>29</v>
      </c>
      <c r="H6" s="64" t="s">
        <v>24</v>
      </c>
      <c r="I6" s="65">
        <v>-3.25</v>
      </c>
      <c r="J6" s="65">
        <v>0.3</v>
      </c>
      <c r="K6" s="65">
        <v>0.3</v>
      </c>
      <c r="L6" s="66">
        <v>45661.0</v>
      </c>
      <c r="M6" s="67">
        <v>1.8</v>
      </c>
      <c r="N6" s="64" t="s">
        <v>33</v>
      </c>
      <c r="O6" s="68">
        <f t="shared" si="1"/>
        <v>0.24</v>
      </c>
      <c r="P6" s="68">
        <f t="shared" si="4"/>
        <v>-0.735</v>
      </c>
      <c r="R6" s="66">
        <v>45662.0</v>
      </c>
      <c r="S6" s="13">
        <f t="shared" si="2"/>
        <v>0.8625</v>
      </c>
    </row>
    <row r="7">
      <c r="A7" s="64">
        <f t="shared" si="3"/>
        <v>6</v>
      </c>
      <c r="B7" s="64" t="s">
        <v>26</v>
      </c>
      <c r="C7" s="64" t="s">
        <v>40</v>
      </c>
      <c r="D7" s="64" t="s">
        <v>222</v>
      </c>
      <c r="E7" s="64" t="s">
        <v>42</v>
      </c>
      <c r="F7" s="64" t="s">
        <v>22</v>
      </c>
      <c r="G7" s="64" t="s">
        <v>29</v>
      </c>
      <c r="H7" s="64" t="s">
        <v>24</v>
      </c>
      <c r="I7" s="65">
        <v>-2.75</v>
      </c>
      <c r="J7" s="65">
        <v>0.6</v>
      </c>
      <c r="K7" s="65">
        <v>0.6</v>
      </c>
      <c r="L7" s="66">
        <v>45661.0</v>
      </c>
      <c r="M7" s="67">
        <v>1.9</v>
      </c>
      <c r="N7" s="64" t="s">
        <v>25</v>
      </c>
      <c r="O7" s="68">
        <f t="shared" si="1"/>
        <v>-0.6</v>
      </c>
      <c r="P7" s="68">
        <f t="shared" si="4"/>
        <v>-1.335</v>
      </c>
      <c r="R7" s="66">
        <v>45663.0</v>
      </c>
      <c r="S7" s="13">
        <f t="shared" si="2"/>
        <v>0.30875</v>
      </c>
    </row>
    <row r="8">
      <c r="A8" s="64">
        <f t="shared" si="3"/>
        <v>7</v>
      </c>
      <c r="B8" s="64" t="s">
        <v>26</v>
      </c>
      <c r="C8" s="64" t="s">
        <v>19</v>
      </c>
      <c r="D8" s="64" t="s">
        <v>223</v>
      </c>
      <c r="E8" s="64" t="s">
        <v>224</v>
      </c>
      <c r="F8" s="64" t="s">
        <v>22</v>
      </c>
      <c r="G8" s="64" t="s">
        <v>225</v>
      </c>
      <c r="H8" s="64" t="s">
        <v>24</v>
      </c>
      <c r="I8" s="65">
        <v>0.25</v>
      </c>
      <c r="J8" s="65">
        <v>0.3</v>
      </c>
      <c r="K8" s="65">
        <v>0.3</v>
      </c>
      <c r="L8" s="66">
        <v>45661.0</v>
      </c>
      <c r="M8" s="67">
        <v>2.0</v>
      </c>
      <c r="N8" s="64" t="s">
        <v>25</v>
      </c>
      <c r="O8" s="68">
        <f t="shared" si="1"/>
        <v>-0.3</v>
      </c>
      <c r="P8" s="68">
        <f t="shared" si="4"/>
        <v>-1.635</v>
      </c>
      <c r="R8" s="66">
        <v>45664.0</v>
      </c>
      <c r="S8" s="13">
        <f t="shared" si="2"/>
        <v>2.555</v>
      </c>
      <c r="T8" s="3" t="s">
        <v>45</v>
      </c>
    </row>
    <row r="9">
      <c r="A9" s="64">
        <f t="shared" si="3"/>
        <v>8</v>
      </c>
      <c r="B9" s="64" t="s">
        <v>26</v>
      </c>
      <c r="C9" s="64" t="s">
        <v>19</v>
      </c>
      <c r="D9" s="64" t="s">
        <v>226</v>
      </c>
      <c r="E9" s="64" t="s">
        <v>227</v>
      </c>
      <c r="F9" s="64" t="s">
        <v>22</v>
      </c>
      <c r="G9" s="64" t="s">
        <v>29</v>
      </c>
      <c r="H9" s="64" t="s">
        <v>39</v>
      </c>
      <c r="I9" s="65">
        <v>-3.0</v>
      </c>
      <c r="J9" s="65">
        <v>0.6</v>
      </c>
      <c r="K9" s="65">
        <v>0.6</v>
      </c>
      <c r="L9" s="66">
        <v>45662.0</v>
      </c>
      <c r="M9" s="67">
        <v>2.025</v>
      </c>
      <c r="N9" s="64" t="s">
        <v>33</v>
      </c>
      <c r="O9" s="68">
        <f t="shared" si="1"/>
        <v>0.615</v>
      </c>
      <c r="P9" s="68">
        <f t="shared" si="4"/>
        <v>-1.02</v>
      </c>
      <c r="R9" s="66">
        <v>45665.0</v>
      </c>
      <c r="S9" s="13">
        <f t="shared" si="2"/>
        <v>0.425</v>
      </c>
      <c r="T9" s="21">
        <f>S34/(SUM(K2:K4942)-T2)</f>
        <v>0.1826761211</v>
      </c>
    </row>
    <row r="10">
      <c r="A10" s="64">
        <f t="shared" si="3"/>
        <v>9</v>
      </c>
      <c r="B10" s="64" t="s">
        <v>26</v>
      </c>
      <c r="C10" s="64" t="s">
        <v>19</v>
      </c>
      <c r="D10" s="64" t="s">
        <v>228</v>
      </c>
      <c r="E10" s="64" t="s">
        <v>229</v>
      </c>
      <c r="F10" s="64" t="s">
        <v>22</v>
      </c>
      <c r="G10" s="64" t="s">
        <v>225</v>
      </c>
      <c r="H10" s="64" t="s">
        <v>39</v>
      </c>
      <c r="I10" s="65">
        <v>2.25</v>
      </c>
      <c r="J10" s="65">
        <v>0.3</v>
      </c>
      <c r="K10" s="65">
        <v>0.3</v>
      </c>
      <c r="L10" s="66">
        <v>45662.0</v>
      </c>
      <c r="M10" s="67">
        <v>1.825</v>
      </c>
      <c r="N10" s="64" t="s">
        <v>33</v>
      </c>
      <c r="O10" s="68">
        <f t="shared" si="1"/>
        <v>0.2475</v>
      </c>
      <c r="P10" s="68">
        <f t="shared" si="4"/>
        <v>-0.7725</v>
      </c>
      <c r="R10" s="66">
        <v>45666.0</v>
      </c>
      <c r="S10" s="13">
        <f t="shared" si="2"/>
        <v>0.28691</v>
      </c>
    </row>
    <row r="11">
      <c r="A11" s="64">
        <f t="shared" si="3"/>
        <v>10</v>
      </c>
      <c r="B11" s="64" t="s">
        <v>26</v>
      </c>
      <c r="C11" s="64" t="s">
        <v>19</v>
      </c>
      <c r="D11" s="64" t="s">
        <v>230</v>
      </c>
      <c r="E11" s="64" t="s">
        <v>231</v>
      </c>
      <c r="F11" s="64" t="s">
        <v>22</v>
      </c>
      <c r="G11" s="64" t="s">
        <v>225</v>
      </c>
      <c r="H11" s="64" t="s">
        <v>24</v>
      </c>
      <c r="I11" s="65">
        <v>0.75</v>
      </c>
      <c r="J11" s="65">
        <v>0.3</v>
      </c>
      <c r="K11" s="65">
        <v>0.3</v>
      </c>
      <c r="L11" s="66">
        <v>45663.0</v>
      </c>
      <c r="M11" s="67">
        <v>1.975</v>
      </c>
      <c r="N11" s="64" t="s">
        <v>33</v>
      </c>
      <c r="O11" s="68">
        <f t="shared" si="1"/>
        <v>0.2925</v>
      </c>
      <c r="P11" s="68">
        <f t="shared" si="4"/>
        <v>-0.48</v>
      </c>
      <c r="R11" s="66">
        <v>45667.0</v>
      </c>
      <c r="S11" s="13">
        <f t="shared" si="2"/>
        <v>1.4325</v>
      </c>
      <c r="T11" s="2" t="s">
        <v>51</v>
      </c>
    </row>
    <row r="12">
      <c r="A12" s="64">
        <f t="shared" si="3"/>
        <v>11</v>
      </c>
      <c r="B12" s="64" t="s">
        <v>35</v>
      </c>
      <c r="C12" s="64" t="s">
        <v>19</v>
      </c>
      <c r="D12" s="64" t="s">
        <v>232</v>
      </c>
      <c r="E12" s="64" t="s">
        <v>233</v>
      </c>
      <c r="F12" s="64" t="s">
        <v>22</v>
      </c>
      <c r="G12" s="64" t="s">
        <v>29</v>
      </c>
      <c r="H12" s="64" t="s">
        <v>24</v>
      </c>
      <c r="I12" s="65">
        <v>-0.75</v>
      </c>
      <c r="J12" s="65">
        <v>0.5</v>
      </c>
      <c r="K12" s="65">
        <v>0.5</v>
      </c>
      <c r="L12" s="66">
        <v>45663.0</v>
      </c>
      <c r="M12" s="67">
        <v>1.925</v>
      </c>
      <c r="N12" s="64" t="s">
        <v>33</v>
      </c>
      <c r="O12" s="68">
        <f t="shared" si="1"/>
        <v>0.4625</v>
      </c>
      <c r="P12" s="68">
        <f t="shared" si="4"/>
        <v>-0.0175</v>
      </c>
      <c r="R12" s="66">
        <v>45668.0</v>
      </c>
      <c r="S12" s="13">
        <f t="shared" si="2"/>
        <v>-0.7075</v>
      </c>
      <c r="T12" s="14">
        <f>average(K2:K1008)</f>
        <v>0.5317889425</v>
      </c>
    </row>
    <row r="13">
      <c r="A13" s="64">
        <f t="shared" si="3"/>
        <v>12</v>
      </c>
      <c r="B13" s="64" t="s">
        <v>26</v>
      </c>
      <c r="C13" s="64" t="s">
        <v>19</v>
      </c>
      <c r="D13" s="64" t="s">
        <v>234</v>
      </c>
      <c r="E13" s="64" t="s">
        <v>233</v>
      </c>
      <c r="F13" s="64" t="s">
        <v>22</v>
      </c>
      <c r="G13" s="64" t="s">
        <v>29</v>
      </c>
      <c r="H13" s="64" t="s">
        <v>24</v>
      </c>
      <c r="I13" s="65">
        <v>-2.0</v>
      </c>
      <c r="J13" s="65">
        <v>0.6</v>
      </c>
      <c r="K13" s="65">
        <v>0.6</v>
      </c>
      <c r="L13" s="66">
        <v>45663.0</v>
      </c>
      <c r="M13" s="67">
        <v>1.9</v>
      </c>
      <c r="N13" s="64" t="s">
        <v>25</v>
      </c>
      <c r="O13" s="68">
        <f t="shared" si="1"/>
        <v>-0.6</v>
      </c>
      <c r="P13" s="68">
        <f t="shared" si="4"/>
        <v>-0.6175</v>
      </c>
      <c r="R13" s="66">
        <v>45669.0</v>
      </c>
      <c r="S13" s="13">
        <f t="shared" si="2"/>
        <v>3.0125</v>
      </c>
    </row>
    <row r="14">
      <c r="A14" s="64">
        <f t="shared" si="3"/>
        <v>13</v>
      </c>
      <c r="B14" s="64" t="s">
        <v>35</v>
      </c>
      <c r="C14" s="64" t="s">
        <v>19</v>
      </c>
      <c r="D14" s="64" t="s">
        <v>235</v>
      </c>
      <c r="E14" s="64" t="s">
        <v>38</v>
      </c>
      <c r="F14" s="64" t="s">
        <v>22</v>
      </c>
      <c r="G14" s="64" t="s">
        <v>29</v>
      </c>
      <c r="H14" s="64" t="s">
        <v>39</v>
      </c>
      <c r="I14" s="65">
        <v>-1.25</v>
      </c>
      <c r="J14" s="65">
        <v>0.3</v>
      </c>
      <c r="K14" s="65">
        <v>0.3</v>
      </c>
      <c r="L14" s="66">
        <v>45663.0</v>
      </c>
      <c r="M14" s="67">
        <v>2.025</v>
      </c>
      <c r="N14" s="64" t="s">
        <v>30</v>
      </c>
      <c r="O14" s="68">
        <f t="shared" si="1"/>
        <v>0.15375</v>
      </c>
      <c r="P14" s="68">
        <f t="shared" si="4"/>
        <v>-0.46375</v>
      </c>
      <c r="R14" s="66">
        <v>45670.0</v>
      </c>
      <c r="S14" s="13">
        <f t="shared" si="2"/>
        <v>-0.8</v>
      </c>
      <c r="T14" s="2" t="s">
        <v>55</v>
      </c>
    </row>
    <row r="15">
      <c r="A15" s="64">
        <f t="shared" si="3"/>
        <v>14</v>
      </c>
      <c r="B15" s="64" t="s">
        <v>26</v>
      </c>
      <c r="C15" s="64" t="s">
        <v>19</v>
      </c>
      <c r="D15" s="64" t="s">
        <v>236</v>
      </c>
      <c r="E15" s="64" t="s">
        <v>157</v>
      </c>
      <c r="F15" s="64" t="s">
        <v>22</v>
      </c>
      <c r="G15" s="64" t="s">
        <v>29</v>
      </c>
      <c r="H15" s="64" t="s">
        <v>24</v>
      </c>
      <c r="I15" s="65">
        <v>-3.5</v>
      </c>
      <c r="J15" s="65">
        <v>0.7</v>
      </c>
      <c r="K15" s="65">
        <v>0.7</v>
      </c>
      <c r="L15" s="66">
        <v>45664.0</v>
      </c>
      <c r="M15" s="67">
        <v>1.9</v>
      </c>
      <c r="N15" s="64" t="s">
        <v>33</v>
      </c>
      <c r="O15" s="68">
        <f t="shared" si="1"/>
        <v>0.63</v>
      </c>
      <c r="P15" s="68">
        <f t="shared" si="4"/>
        <v>0.16625</v>
      </c>
      <c r="R15" s="66">
        <v>45671.0</v>
      </c>
      <c r="S15" s="13">
        <f t="shared" si="2"/>
        <v>-0.1175</v>
      </c>
      <c r="T15" s="21">
        <f>(SUMPRODUCT(--(J2:J1008 = K2:K1008))-countif(J2:J1008,""))/countif(J2:J1008,"&gt;0")</f>
        <v>0.7147147147</v>
      </c>
    </row>
    <row r="16">
      <c r="A16" s="64">
        <f t="shared" si="3"/>
        <v>15</v>
      </c>
      <c r="B16" s="64" t="s">
        <v>26</v>
      </c>
      <c r="C16" s="64" t="s">
        <v>19</v>
      </c>
      <c r="D16" s="64" t="s">
        <v>237</v>
      </c>
      <c r="E16" s="64" t="s">
        <v>48</v>
      </c>
      <c r="F16" s="64" t="s">
        <v>22</v>
      </c>
      <c r="G16" s="64" t="s">
        <v>29</v>
      </c>
      <c r="H16" s="64" t="s">
        <v>39</v>
      </c>
      <c r="I16" s="65">
        <v>-4.0</v>
      </c>
      <c r="J16" s="65">
        <v>0.7</v>
      </c>
      <c r="K16" s="65">
        <v>0.7</v>
      </c>
      <c r="L16" s="66">
        <v>45664.0</v>
      </c>
      <c r="M16" s="67">
        <v>1.9</v>
      </c>
      <c r="N16" s="64" t="s">
        <v>33</v>
      </c>
      <c r="O16" s="68">
        <f t="shared" si="1"/>
        <v>0.63</v>
      </c>
      <c r="P16" s="68">
        <f t="shared" si="4"/>
        <v>0.79625</v>
      </c>
      <c r="R16" s="66">
        <v>45672.0</v>
      </c>
      <c r="S16" s="13">
        <f t="shared" si="2"/>
        <v>1.624607273</v>
      </c>
    </row>
    <row r="17">
      <c r="A17" s="64">
        <f t="shared" si="3"/>
        <v>16</v>
      </c>
      <c r="B17" s="64" t="s">
        <v>26</v>
      </c>
      <c r="C17" s="64" t="s">
        <v>19</v>
      </c>
      <c r="D17" s="64" t="s">
        <v>238</v>
      </c>
      <c r="E17" s="64" t="s">
        <v>38</v>
      </c>
      <c r="F17" s="64" t="s">
        <v>22</v>
      </c>
      <c r="G17" s="64" t="s">
        <v>29</v>
      </c>
      <c r="H17" s="64" t="s">
        <v>39</v>
      </c>
      <c r="I17" s="65">
        <v>-3.75</v>
      </c>
      <c r="J17" s="65">
        <v>0.7</v>
      </c>
      <c r="K17" s="65">
        <v>0.7</v>
      </c>
      <c r="L17" s="66">
        <v>45664.0</v>
      </c>
      <c r="M17" s="67">
        <v>1.95</v>
      </c>
      <c r="N17" s="64" t="s">
        <v>33</v>
      </c>
      <c r="O17" s="68">
        <f t="shared" si="1"/>
        <v>0.665</v>
      </c>
      <c r="P17" s="68">
        <f t="shared" si="4"/>
        <v>1.46125</v>
      </c>
      <c r="R17" s="66">
        <v>45673.0</v>
      </c>
      <c r="S17" s="13">
        <f t="shared" si="2"/>
        <v>-0.465</v>
      </c>
      <c r="T17" s="2" t="s">
        <v>61</v>
      </c>
    </row>
    <row r="18">
      <c r="A18" s="64">
        <f t="shared" si="3"/>
        <v>17</v>
      </c>
      <c r="B18" s="64" t="s">
        <v>26</v>
      </c>
      <c r="C18" s="64" t="s">
        <v>19</v>
      </c>
      <c r="D18" s="64" t="s">
        <v>239</v>
      </c>
      <c r="E18" s="64" t="s">
        <v>38</v>
      </c>
      <c r="F18" s="64" t="s">
        <v>22</v>
      </c>
      <c r="G18" s="64" t="s">
        <v>29</v>
      </c>
      <c r="H18" s="64" t="s">
        <v>39</v>
      </c>
      <c r="I18" s="65">
        <v>-3.75</v>
      </c>
      <c r="J18" s="65">
        <v>0.7</v>
      </c>
      <c r="K18" s="65">
        <v>0.7</v>
      </c>
      <c r="L18" s="66">
        <v>45664.0</v>
      </c>
      <c r="M18" s="67">
        <v>1.9</v>
      </c>
      <c r="N18" s="64" t="s">
        <v>33</v>
      </c>
      <c r="O18" s="68">
        <f t="shared" si="1"/>
        <v>0.63</v>
      </c>
      <c r="P18" s="68">
        <f t="shared" si="4"/>
        <v>2.09125</v>
      </c>
      <c r="R18" s="66">
        <v>45674.0</v>
      </c>
      <c r="S18" s="13">
        <f t="shared" si="2"/>
        <v>3.6239</v>
      </c>
      <c r="T18" s="22">
        <f>average(M2:M207)</f>
        <v>1.91184466</v>
      </c>
    </row>
    <row r="19">
      <c r="A19" s="64">
        <f t="shared" si="3"/>
        <v>18</v>
      </c>
      <c r="B19" s="64" t="s">
        <v>35</v>
      </c>
      <c r="C19" s="64" t="s">
        <v>19</v>
      </c>
      <c r="D19" s="64" t="s">
        <v>240</v>
      </c>
      <c r="E19" s="64" t="s">
        <v>93</v>
      </c>
      <c r="F19" s="64" t="s">
        <v>22</v>
      </c>
      <c r="G19" s="64" t="s">
        <v>29</v>
      </c>
      <c r="H19" s="64" t="s">
        <v>39</v>
      </c>
      <c r="I19" s="65">
        <v>-3.0</v>
      </c>
      <c r="J19" s="65">
        <v>0.25</v>
      </c>
      <c r="K19" s="65">
        <v>0.25</v>
      </c>
      <c r="L19" s="66">
        <v>45665.0</v>
      </c>
      <c r="M19" s="67">
        <v>2.0</v>
      </c>
      <c r="N19" s="64" t="s">
        <v>33</v>
      </c>
      <c r="O19" s="68">
        <f t="shared" si="1"/>
        <v>0.25</v>
      </c>
      <c r="P19" s="68">
        <f t="shared" si="4"/>
        <v>2.34125</v>
      </c>
      <c r="R19" s="66">
        <v>45675.0</v>
      </c>
      <c r="S19" s="13">
        <f t="shared" si="2"/>
        <v>3.201911376</v>
      </c>
    </row>
    <row r="20">
      <c r="A20" s="64">
        <f t="shared" si="3"/>
        <v>19</v>
      </c>
      <c r="B20" s="64" t="s">
        <v>26</v>
      </c>
      <c r="C20" s="64" t="s">
        <v>19</v>
      </c>
      <c r="D20" s="64" t="s">
        <v>241</v>
      </c>
      <c r="E20" s="64" t="s">
        <v>93</v>
      </c>
      <c r="F20" s="64" t="s">
        <v>22</v>
      </c>
      <c r="G20" s="64" t="s">
        <v>225</v>
      </c>
      <c r="H20" s="64" t="s">
        <v>39</v>
      </c>
      <c r="I20" s="65">
        <v>2.25</v>
      </c>
      <c r="J20" s="65">
        <v>0.3</v>
      </c>
      <c r="K20" s="65">
        <v>0.3</v>
      </c>
      <c r="L20" s="66">
        <v>45665.0</v>
      </c>
      <c r="M20" s="67">
        <v>1.825</v>
      </c>
      <c r="N20" s="64" t="s">
        <v>25</v>
      </c>
      <c r="O20" s="68">
        <f t="shared" si="1"/>
        <v>-0.3</v>
      </c>
      <c r="P20" s="68">
        <f t="shared" si="4"/>
        <v>2.04125</v>
      </c>
      <c r="R20" s="66">
        <v>45676.0</v>
      </c>
      <c r="S20" s="13">
        <f t="shared" si="2"/>
        <v>-1.578530357</v>
      </c>
    </row>
    <row r="21">
      <c r="A21" s="64">
        <f t="shared" si="3"/>
        <v>20</v>
      </c>
      <c r="B21" s="64" t="s">
        <v>35</v>
      </c>
      <c r="C21" s="64" t="s">
        <v>19</v>
      </c>
      <c r="D21" s="64" t="s">
        <v>242</v>
      </c>
      <c r="E21" s="64" t="s">
        <v>93</v>
      </c>
      <c r="F21" s="64" t="s">
        <v>22</v>
      </c>
      <c r="G21" s="64" t="s">
        <v>29</v>
      </c>
      <c r="H21" s="64" t="s">
        <v>24</v>
      </c>
      <c r="I21" s="65">
        <v>-0.75</v>
      </c>
      <c r="J21" s="65">
        <v>0.25</v>
      </c>
      <c r="K21" s="65">
        <v>0.25</v>
      </c>
      <c r="L21" s="69">
        <v>45665.0</v>
      </c>
      <c r="M21" s="67">
        <v>2.05</v>
      </c>
      <c r="N21" s="64" t="s">
        <v>33</v>
      </c>
      <c r="O21" s="68">
        <f t="shared" si="1"/>
        <v>0.2625</v>
      </c>
      <c r="P21" s="68">
        <f t="shared" si="4"/>
        <v>2.30375</v>
      </c>
      <c r="R21" s="66">
        <v>45677.0</v>
      </c>
      <c r="S21" s="13">
        <f t="shared" si="2"/>
        <v>0.54</v>
      </c>
    </row>
    <row r="22">
      <c r="A22" s="64">
        <f t="shared" si="3"/>
        <v>21</v>
      </c>
      <c r="B22" s="64" t="s">
        <v>35</v>
      </c>
      <c r="C22" s="64" t="s">
        <v>19</v>
      </c>
      <c r="D22" s="64" t="s">
        <v>243</v>
      </c>
      <c r="E22" s="64" t="s">
        <v>214</v>
      </c>
      <c r="F22" s="64" t="s">
        <v>22</v>
      </c>
      <c r="G22" s="64" t="s">
        <v>29</v>
      </c>
      <c r="H22" s="64" t="s">
        <v>39</v>
      </c>
      <c r="I22" s="65">
        <v>-1.0</v>
      </c>
      <c r="J22" s="65">
        <v>0.25</v>
      </c>
      <c r="K22" s="65">
        <v>0.25</v>
      </c>
      <c r="L22" s="69">
        <v>45665.0</v>
      </c>
      <c r="M22" s="67">
        <v>1.85</v>
      </c>
      <c r="N22" s="64" t="s">
        <v>33</v>
      </c>
      <c r="O22" s="68">
        <f t="shared" si="1"/>
        <v>0.2125</v>
      </c>
      <c r="P22" s="68">
        <f t="shared" si="4"/>
        <v>2.51625</v>
      </c>
      <c r="R22" s="66">
        <v>45678.0</v>
      </c>
      <c r="S22" s="13">
        <f t="shared" si="2"/>
        <v>0.938305</v>
      </c>
    </row>
    <row r="23">
      <c r="A23" s="64">
        <f t="shared" si="3"/>
        <v>22</v>
      </c>
      <c r="B23" s="64" t="s">
        <v>26</v>
      </c>
      <c r="C23" s="64" t="s">
        <v>19</v>
      </c>
      <c r="D23" s="64" t="s">
        <v>244</v>
      </c>
      <c r="E23" s="64" t="s">
        <v>245</v>
      </c>
      <c r="F23" s="64" t="s">
        <v>22</v>
      </c>
      <c r="G23" s="64" t="s">
        <v>29</v>
      </c>
      <c r="H23" s="64" t="s">
        <v>39</v>
      </c>
      <c r="I23" s="65">
        <v>-2.75</v>
      </c>
      <c r="J23" s="65">
        <v>0.7</v>
      </c>
      <c r="K23" s="65">
        <v>0.03809</v>
      </c>
      <c r="L23" s="66">
        <v>45666.0</v>
      </c>
      <c r="M23" s="67">
        <v>1.975</v>
      </c>
      <c r="N23" s="64" t="s">
        <v>25</v>
      </c>
      <c r="O23" s="68">
        <f t="shared" si="1"/>
        <v>-0.03809</v>
      </c>
      <c r="P23" s="68">
        <f t="shared" si="4"/>
        <v>2.47816</v>
      </c>
      <c r="R23" s="66">
        <v>45679.0</v>
      </c>
      <c r="S23" s="13">
        <f t="shared" si="2"/>
        <v>1.9092</v>
      </c>
    </row>
    <row r="24">
      <c r="A24" s="64">
        <f t="shared" si="3"/>
        <v>23</v>
      </c>
      <c r="B24" s="64" t="s">
        <v>35</v>
      </c>
      <c r="C24" s="64" t="s">
        <v>19</v>
      </c>
      <c r="D24" s="64" t="s">
        <v>246</v>
      </c>
      <c r="E24" s="64" t="s">
        <v>174</v>
      </c>
      <c r="F24" s="64" t="s">
        <v>22</v>
      </c>
      <c r="G24" s="64" t="s">
        <v>29</v>
      </c>
      <c r="H24" s="64" t="s">
        <v>39</v>
      </c>
      <c r="I24" s="65">
        <v>-1.75</v>
      </c>
      <c r="J24" s="65">
        <v>0.25</v>
      </c>
      <c r="K24" s="65">
        <v>0.25</v>
      </c>
      <c r="L24" s="66">
        <v>45666.0</v>
      </c>
      <c r="M24" s="67">
        <v>1.8</v>
      </c>
      <c r="N24" s="64" t="s">
        <v>79</v>
      </c>
      <c r="O24" s="68">
        <f t="shared" si="1"/>
        <v>-0.125</v>
      </c>
      <c r="P24" s="68">
        <f t="shared" si="4"/>
        <v>2.35316</v>
      </c>
      <c r="R24" s="66">
        <v>45680.0</v>
      </c>
      <c r="S24" s="13">
        <f t="shared" si="2"/>
        <v>2.6524</v>
      </c>
    </row>
    <row r="25">
      <c r="A25" s="64">
        <f t="shared" si="3"/>
        <v>24</v>
      </c>
      <c r="B25" s="64" t="s">
        <v>35</v>
      </c>
      <c r="C25" s="64" t="s">
        <v>19</v>
      </c>
      <c r="D25" s="64" t="s">
        <v>247</v>
      </c>
      <c r="E25" s="64" t="s">
        <v>248</v>
      </c>
      <c r="F25" s="64" t="s">
        <v>22</v>
      </c>
      <c r="G25" s="64" t="s">
        <v>29</v>
      </c>
      <c r="H25" s="64" t="s">
        <v>24</v>
      </c>
      <c r="I25" s="65">
        <v>-1.0</v>
      </c>
      <c r="J25" s="70">
        <v>0.5</v>
      </c>
      <c r="K25" s="71">
        <v>0.5</v>
      </c>
      <c r="L25" s="66">
        <v>45666.0</v>
      </c>
      <c r="M25" s="67">
        <v>1.9</v>
      </c>
      <c r="N25" s="64" t="s">
        <v>33</v>
      </c>
      <c r="O25" s="68">
        <f t="shared" si="1"/>
        <v>0.45</v>
      </c>
      <c r="P25" s="68">
        <f t="shared" si="4"/>
        <v>2.80316</v>
      </c>
      <c r="R25" s="66">
        <v>45681.0</v>
      </c>
      <c r="S25" s="13">
        <f t="shared" si="2"/>
        <v>1.397938445</v>
      </c>
    </row>
    <row r="26">
      <c r="A26" s="64">
        <f t="shared" si="3"/>
        <v>25</v>
      </c>
      <c r="B26" s="64" t="s">
        <v>26</v>
      </c>
      <c r="C26" s="64" t="s">
        <v>19</v>
      </c>
      <c r="D26" s="64" t="s">
        <v>249</v>
      </c>
      <c r="E26" s="64" t="s">
        <v>167</v>
      </c>
      <c r="F26" s="64" t="s">
        <v>22</v>
      </c>
      <c r="G26" s="64" t="s">
        <v>29</v>
      </c>
      <c r="H26" s="64" t="s">
        <v>39</v>
      </c>
      <c r="I26" s="65">
        <v>-2.75</v>
      </c>
      <c r="J26" s="72">
        <v>0.7</v>
      </c>
      <c r="K26" s="73">
        <v>0.7</v>
      </c>
      <c r="L26" s="66">
        <v>45667.0</v>
      </c>
      <c r="M26" s="67">
        <v>1.975</v>
      </c>
      <c r="N26" s="64" t="s">
        <v>79</v>
      </c>
      <c r="O26" s="68">
        <f t="shared" si="1"/>
        <v>-0.35</v>
      </c>
      <c r="P26" s="68">
        <f t="shared" si="4"/>
        <v>2.45316</v>
      </c>
      <c r="R26" s="66">
        <v>45682.0</v>
      </c>
      <c r="S26" s="13">
        <f t="shared" si="2"/>
        <v>3.997761905</v>
      </c>
    </row>
    <row r="27">
      <c r="A27" s="64">
        <f t="shared" si="3"/>
        <v>26</v>
      </c>
      <c r="B27" s="64" t="s">
        <v>26</v>
      </c>
      <c r="C27" s="64" t="s">
        <v>19</v>
      </c>
      <c r="D27" s="64" t="s">
        <v>250</v>
      </c>
      <c r="E27" s="64" t="s">
        <v>167</v>
      </c>
      <c r="F27" s="64" t="s">
        <v>22</v>
      </c>
      <c r="G27" s="64" t="s">
        <v>29</v>
      </c>
      <c r="H27" s="64" t="s">
        <v>39</v>
      </c>
      <c r="I27" s="65">
        <v>-3.25</v>
      </c>
      <c r="J27" s="65">
        <v>0.7</v>
      </c>
      <c r="K27" s="65">
        <v>0.7</v>
      </c>
      <c r="L27" s="66">
        <v>45667.0</v>
      </c>
      <c r="M27" s="67">
        <v>1.9</v>
      </c>
      <c r="N27" s="64" t="s">
        <v>30</v>
      </c>
      <c r="O27" s="68">
        <f t="shared" si="1"/>
        <v>0.315</v>
      </c>
      <c r="P27" s="68">
        <f t="shared" si="4"/>
        <v>2.76816</v>
      </c>
      <c r="R27" s="66">
        <v>45683.0</v>
      </c>
      <c r="S27" s="13">
        <f t="shared" si="2"/>
        <v>-2.279583333</v>
      </c>
    </row>
    <row r="28">
      <c r="A28" s="64">
        <f t="shared" si="3"/>
        <v>27</v>
      </c>
      <c r="B28" s="64" t="s">
        <v>26</v>
      </c>
      <c r="C28" s="64" t="s">
        <v>19</v>
      </c>
      <c r="D28" s="64" t="s">
        <v>251</v>
      </c>
      <c r="E28" s="64" t="s">
        <v>167</v>
      </c>
      <c r="F28" s="64" t="s">
        <v>22</v>
      </c>
      <c r="G28" s="64" t="s">
        <v>29</v>
      </c>
      <c r="H28" s="64" t="s">
        <v>39</v>
      </c>
      <c r="I28" s="65">
        <v>-3.25</v>
      </c>
      <c r="J28" s="65">
        <v>0.7</v>
      </c>
      <c r="K28" s="65">
        <v>0.7</v>
      </c>
      <c r="L28" s="66">
        <v>45667.0</v>
      </c>
      <c r="M28" s="67">
        <v>1.875</v>
      </c>
      <c r="N28" s="64" t="s">
        <v>33</v>
      </c>
      <c r="O28" s="68">
        <f t="shared" si="1"/>
        <v>0.6125</v>
      </c>
      <c r="P28" s="68">
        <f t="shared" si="4"/>
        <v>3.38066</v>
      </c>
      <c r="R28" s="66">
        <v>45684.0</v>
      </c>
      <c r="S28" s="13">
        <f t="shared" si="2"/>
        <v>1.325</v>
      </c>
    </row>
    <row r="29">
      <c r="A29" s="64">
        <f t="shared" si="3"/>
        <v>28</v>
      </c>
      <c r="B29" s="64" t="s">
        <v>26</v>
      </c>
      <c r="C29" s="64" t="s">
        <v>19</v>
      </c>
      <c r="D29" s="64" t="s">
        <v>252</v>
      </c>
      <c r="E29" s="64" t="s">
        <v>167</v>
      </c>
      <c r="F29" s="64" t="s">
        <v>22</v>
      </c>
      <c r="G29" s="64" t="s">
        <v>29</v>
      </c>
      <c r="H29" s="64" t="s">
        <v>39</v>
      </c>
      <c r="I29" s="65">
        <v>-3.0</v>
      </c>
      <c r="J29" s="65">
        <v>0.35</v>
      </c>
      <c r="K29" s="65">
        <v>0.35</v>
      </c>
      <c r="L29" s="69">
        <v>45667.0</v>
      </c>
      <c r="M29" s="67">
        <v>1.875</v>
      </c>
      <c r="N29" s="64" t="s">
        <v>70</v>
      </c>
      <c r="O29" s="68">
        <f t="shared" si="1"/>
        <v>0</v>
      </c>
      <c r="P29" s="68">
        <f t="shared" si="4"/>
        <v>3.38066</v>
      </c>
      <c r="R29" s="66">
        <v>45685.0</v>
      </c>
      <c r="S29" s="13">
        <f t="shared" si="2"/>
        <v>0.975</v>
      </c>
    </row>
    <row r="30">
      <c r="A30" s="64">
        <f t="shared" si="3"/>
        <v>29</v>
      </c>
      <c r="B30" s="64" t="s">
        <v>35</v>
      </c>
      <c r="C30" s="64" t="s">
        <v>19</v>
      </c>
      <c r="D30" s="64" t="s">
        <v>253</v>
      </c>
      <c r="E30" s="64" t="s">
        <v>245</v>
      </c>
      <c r="F30" s="64" t="s">
        <v>22</v>
      </c>
      <c r="G30" s="64" t="s">
        <v>29</v>
      </c>
      <c r="H30" s="64" t="s">
        <v>24</v>
      </c>
      <c r="I30" s="65">
        <v>-4.5</v>
      </c>
      <c r="J30" s="65">
        <v>0.3</v>
      </c>
      <c r="K30" s="65">
        <v>0.3</v>
      </c>
      <c r="L30" s="66">
        <v>45667.0</v>
      </c>
      <c r="M30" s="67">
        <v>1.85</v>
      </c>
      <c r="N30" s="64" t="s">
        <v>33</v>
      </c>
      <c r="O30" s="68">
        <f t="shared" si="1"/>
        <v>0.255</v>
      </c>
      <c r="P30" s="68">
        <f t="shared" si="4"/>
        <v>3.63566</v>
      </c>
      <c r="R30" s="66">
        <v>45686.0</v>
      </c>
      <c r="S30" s="13">
        <f t="shared" si="2"/>
        <v>1.643315</v>
      </c>
    </row>
    <row r="31">
      <c r="A31" s="64">
        <f t="shared" si="3"/>
        <v>30</v>
      </c>
      <c r="B31" s="64" t="s">
        <v>35</v>
      </c>
      <c r="C31" s="64" t="s">
        <v>19</v>
      </c>
      <c r="D31" s="64" t="s">
        <v>254</v>
      </c>
      <c r="E31" s="64" t="s">
        <v>191</v>
      </c>
      <c r="F31" s="64" t="s">
        <v>22</v>
      </c>
      <c r="G31" s="64" t="s">
        <v>29</v>
      </c>
      <c r="H31" s="64" t="s">
        <v>24</v>
      </c>
      <c r="I31" s="65">
        <v>-1.0</v>
      </c>
      <c r="J31" s="65">
        <v>0.6</v>
      </c>
      <c r="K31" s="65">
        <v>0.6</v>
      </c>
      <c r="L31" s="66">
        <v>45667.0</v>
      </c>
      <c r="M31" s="67">
        <v>1.95</v>
      </c>
      <c r="N31" s="64" t="s">
        <v>70</v>
      </c>
      <c r="O31" s="68">
        <f t="shared" si="1"/>
        <v>0</v>
      </c>
      <c r="P31" s="68">
        <f t="shared" si="4"/>
        <v>3.63566</v>
      </c>
      <c r="R31" s="66">
        <v>45687.0</v>
      </c>
      <c r="S31" s="13">
        <f t="shared" si="2"/>
        <v>1.299581818</v>
      </c>
    </row>
    <row r="32">
      <c r="A32" s="64">
        <f t="shared" si="3"/>
        <v>31</v>
      </c>
      <c r="B32" s="64" t="s">
        <v>35</v>
      </c>
      <c r="C32" s="64" t="s">
        <v>19</v>
      </c>
      <c r="D32" s="64" t="s">
        <v>255</v>
      </c>
      <c r="E32" s="64" t="s">
        <v>164</v>
      </c>
      <c r="F32" s="64" t="s">
        <v>22</v>
      </c>
      <c r="G32" s="64" t="s">
        <v>29</v>
      </c>
      <c r="H32" s="64" t="s">
        <v>39</v>
      </c>
      <c r="I32" s="65">
        <v>-2.5</v>
      </c>
      <c r="J32" s="65">
        <v>0.3</v>
      </c>
      <c r="K32" s="65">
        <v>0.3</v>
      </c>
      <c r="L32" s="66">
        <v>45667.0</v>
      </c>
      <c r="M32" s="67">
        <v>1.9</v>
      </c>
      <c r="N32" s="64" t="s">
        <v>70</v>
      </c>
      <c r="O32" s="68">
        <f t="shared" si="1"/>
        <v>0</v>
      </c>
      <c r="P32" s="68">
        <f t="shared" si="4"/>
        <v>3.63566</v>
      </c>
      <c r="R32" s="66">
        <v>45688.0</v>
      </c>
      <c r="S32" s="13">
        <f t="shared" si="2"/>
        <v>5.920364914</v>
      </c>
    </row>
    <row r="33">
      <c r="A33" s="64">
        <f t="shared" si="3"/>
        <v>32</v>
      </c>
      <c r="B33" s="64" t="s">
        <v>26</v>
      </c>
      <c r="C33" s="64" t="s">
        <v>19</v>
      </c>
      <c r="D33" s="64" t="s">
        <v>256</v>
      </c>
      <c r="E33" s="64" t="s">
        <v>233</v>
      </c>
      <c r="F33" s="64" t="s">
        <v>22</v>
      </c>
      <c r="G33" s="64" t="s">
        <v>29</v>
      </c>
      <c r="H33" s="64" t="s">
        <v>24</v>
      </c>
      <c r="I33" s="65">
        <v>-2.0</v>
      </c>
      <c r="J33" s="65">
        <v>0.35</v>
      </c>
      <c r="K33" s="65">
        <v>0.35</v>
      </c>
      <c r="L33" s="66">
        <v>45667.0</v>
      </c>
      <c r="M33" s="67">
        <v>1.9</v>
      </c>
      <c r="N33" s="64" t="s">
        <v>33</v>
      </c>
      <c r="O33" s="68">
        <f t="shared" si="1"/>
        <v>0.315</v>
      </c>
      <c r="P33" s="68">
        <f t="shared" si="4"/>
        <v>3.95066</v>
      </c>
      <c r="R33" s="66"/>
      <c r="S33" s="13">
        <f t="shared" si="2"/>
        <v>0</v>
      </c>
    </row>
    <row r="34">
      <c r="A34" s="64">
        <f t="shared" si="3"/>
        <v>33</v>
      </c>
      <c r="B34" s="64" t="s">
        <v>35</v>
      </c>
      <c r="C34" s="64" t="s">
        <v>19</v>
      </c>
      <c r="D34" s="64" t="s">
        <v>257</v>
      </c>
      <c r="E34" s="64" t="s">
        <v>121</v>
      </c>
      <c r="F34" s="64" t="s">
        <v>22</v>
      </c>
      <c r="G34" s="64" t="s">
        <v>29</v>
      </c>
      <c r="H34" s="64" t="s">
        <v>39</v>
      </c>
      <c r="I34" s="65">
        <v>-2.0</v>
      </c>
      <c r="J34" s="65">
        <v>0.3</v>
      </c>
      <c r="K34" s="65">
        <v>0.3</v>
      </c>
      <c r="L34" s="69">
        <v>45667.0</v>
      </c>
      <c r="M34" s="67">
        <v>1.79</v>
      </c>
      <c r="N34" s="64" t="s">
        <v>70</v>
      </c>
      <c r="O34" s="68">
        <f t="shared" si="1"/>
        <v>0</v>
      </c>
      <c r="P34" s="68">
        <f t="shared" si="4"/>
        <v>3.95066</v>
      </c>
      <c r="R34" s="27" t="s">
        <v>89</v>
      </c>
      <c r="S34" s="28">
        <f>SUM(S2:S33)</f>
        <v>32.34933204</v>
      </c>
    </row>
    <row r="35">
      <c r="A35" s="64">
        <f t="shared" si="3"/>
        <v>34</v>
      </c>
      <c r="B35" s="64" t="s">
        <v>35</v>
      </c>
      <c r="C35" s="64" t="s">
        <v>19</v>
      </c>
      <c r="D35" s="64" t="s">
        <v>258</v>
      </c>
      <c r="E35" s="64" t="s">
        <v>50</v>
      </c>
      <c r="F35" s="64" t="s">
        <v>22</v>
      </c>
      <c r="G35" s="64" t="s">
        <v>29</v>
      </c>
      <c r="H35" s="64" t="s">
        <v>39</v>
      </c>
      <c r="I35" s="65">
        <v>-1.0</v>
      </c>
      <c r="J35" s="65">
        <v>0.3</v>
      </c>
      <c r="K35" s="65">
        <v>0.3</v>
      </c>
      <c r="L35" s="66">
        <v>45667.0</v>
      </c>
      <c r="M35" s="67">
        <v>1.95</v>
      </c>
      <c r="N35" s="64" t="s">
        <v>33</v>
      </c>
      <c r="O35" s="68">
        <f t="shared" si="1"/>
        <v>0.285</v>
      </c>
      <c r="P35" s="68">
        <f t="shared" si="4"/>
        <v>4.23566</v>
      </c>
    </row>
    <row r="36">
      <c r="A36" s="64">
        <f t="shared" si="3"/>
        <v>35</v>
      </c>
      <c r="B36" s="64" t="s">
        <v>26</v>
      </c>
      <c r="C36" s="64" t="s">
        <v>19</v>
      </c>
      <c r="D36" s="64" t="s">
        <v>259</v>
      </c>
      <c r="E36" s="64" t="s">
        <v>229</v>
      </c>
      <c r="F36" s="64" t="s">
        <v>22</v>
      </c>
      <c r="G36" s="64" t="s">
        <v>225</v>
      </c>
      <c r="H36" s="64"/>
      <c r="I36" s="65">
        <v>1.75</v>
      </c>
      <c r="J36" s="65">
        <v>0.3</v>
      </c>
      <c r="K36" s="65">
        <v>0.3</v>
      </c>
      <c r="L36" s="66">
        <v>45668.0</v>
      </c>
      <c r="M36" s="67">
        <v>1.775</v>
      </c>
      <c r="N36" s="64" t="s">
        <v>33</v>
      </c>
      <c r="O36" s="68">
        <f t="shared" si="1"/>
        <v>0.2325</v>
      </c>
      <c r="P36" s="68">
        <f t="shared" si="4"/>
        <v>4.46816</v>
      </c>
      <c r="R36" s="29"/>
    </row>
    <row r="37">
      <c r="A37" s="64">
        <f t="shared" si="3"/>
        <v>36</v>
      </c>
      <c r="B37" s="64" t="s">
        <v>26</v>
      </c>
      <c r="C37" s="64" t="s">
        <v>19</v>
      </c>
      <c r="D37" s="64" t="s">
        <v>260</v>
      </c>
      <c r="E37" s="64" t="s">
        <v>42</v>
      </c>
      <c r="F37" s="64" t="s">
        <v>22</v>
      </c>
      <c r="G37" s="64" t="s">
        <v>29</v>
      </c>
      <c r="H37" s="64"/>
      <c r="I37" s="65">
        <v>-2.25</v>
      </c>
      <c r="J37" s="65">
        <v>0.7</v>
      </c>
      <c r="K37" s="65">
        <v>0.7</v>
      </c>
      <c r="L37" s="66">
        <v>45668.0</v>
      </c>
      <c r="M37" s="67">
        <v>1.775</v>
      </c>
      <c r="N37" s="64" t="s">
        <v>33</v>
      </c>
      <c r="O37" s="68">
        <f t="shared" si="1"/>
        <v>0.5425</v>
      </c>
      <c r="P37" s="68">
        <f t="shared" si="4"/>
        <v>5.01066</v>
      </c>
      <c r="R37" s="30"/>
    </row>
    <row r="38">
      <c r="A38" s="64">
        <f t="shared" si="3"/>
        <v>37</v>
      </c>
      <c r="B38" s="64" t="s">
        <v>35</v>
      </c>
      <c r="C38" s="64" t="s">
        <v>19</v>
      </c>
      <c r="D38" s="64" t="s">
        <v>261</v>
      </c>
      <c r="E38" s="64" t="s">
        <v>231</v>
      </c>
      <c r="F38" s="64" t="s">
        <v>22</v>
      </c>
      <c r="G38" s="64" t="s">
        <v>29</v>
      </c>
      <c r="H38" s="64" t="s">
        <v>24</v>
      </c>
      <c r="I38" s="65">
        <v>-0.75</v>
      </c>
      <c r="J38" s="65">
        <v>0.6</v>
      </c>
      <c r="K38" s="65">
        <v>0.6</v>
      </c>
      <c r="L38" s="69">
        <v>45668.0</v>
      </c>
      <c r="M38" s="67">
        <v>2.075</v>
      </c>
      <c r="N38" s="64" t="s">
        <v>33</v>
      </c>
      <c r="O38" s="68">
        <f t="shared" si="1"/>
        <v>0.645</v>
      </c>
      <c r="P38" s="68">
        <f t="shared" si="4"/>
        <v>5.65566</v>
      </c>
      <c r="R38" s="30"/>
    </row>
    <row r="39">
      <c r="A39" s="64">
        <f t="shared" si="3"/>
        <v>38</v>
      </c>
      <c r="B39" s="64" t="s">
        <v>35</v>
      </c>
      <c r="C39" s="64" t="s">
        <v>19</v>
      </c>
      <c r="D39" s="64" t="s">
        <v>262</v>
      </c>
      <c r="E39" s="64" t="s">
        <v>263</v>
      </c>
      <c r="F39" s="64" t="s">
        <v>22</v>
      </c>
      <c r="G39" s="64" t="s">
        <v>29</v>
      </c>
      <c r="H39" s="64" t="s">
        <v>39</v>
      </c>
      <c r="I39" s="65">
        <v>-1.0</v>
      </c>
      <c r="J39" s="65">
        <v>0.3</v>
      </c>
      <c r="K39" s="65">
        <v>0.3</v>
      </c>
      <c r="L39" s="66">
        <v>45668.0</v>
      </c>
      <c r="M39" s="67">
        <v>1.725</v>
      </c>
      <c r="N39" s="64" t="s">
        <v>25</v>
      </c>
      <c r="O39" s="68">
        <f t="shared" si="1"/>
        <v>-0.3</v>
      </c>
      <c r="P39" s="68">
        <f t="shared" si="4"/>
        <v>5.35566</v>
      </c>
      <c r="R39" s="30"/>
    </row>
    <row r="40">
      <c r="A40" s="64">
        <f t="shared" si="3"/>
        <v>39</v>
      </c>
      <c r="B40" s="64" t="s">
        <v>26</v>
      </c>
      <c r="C40" s="64" t="s">
        <v>19</v>
      </c>
      <c r="D40" s="64" t="s">
        <v>264</v>
      </c>
      <c r="E40" s="64" t="s">
        <v>66</v>
      </c>
      <c r="F40" s="64" t="s">
        <v>22</v>
      </c>
      <c r="G40" s="64" t="s">
        <v>29</v>
      </c>
      <c r="H40" s="64"/>
      <c r="I40" s="65">
        <v>-3.0</v>
      </c>
      <c r="J40" s="65">
        <v>0.7</v>
      </c>
      <c r="K40" s="65">
        <v>0.7</v>
      </c>
      <c r="L40" s="66">
        <v>45668.0</v>
      </c>
      <c r="M40" s="67">
        <v>1.9</v>
      </c>
      <c r="N40" s="64" t="s">
        <v>70</v>
      </c>
      <c r="O40" s="68">
        <f t="shared" si="1"/>
        <v>0</v>
      </c>
      <c r="P40" s="68">
        <f t="shared" si="4"/>
        <v>5.35566</v>
      </c>
      <c r="R40" s="30"/>
    </row>
    <row r="41">
      <c r="A41" s="64">
        <f t="shared" si="3"/>
        <v>40</v>
      </c>
      <c r="B41" s="64" t="s">
        <v>26</v>
      </c>
      <c r="C41" s="64" t="s">
        <v>19</v>
      </c>
      <c r="D41" s="64" t="s">
        <v>265</v>
      </c>
      <c r="E41" s="64" t="s">
        <v>66</v>
      </c>
      <c r="F41" s="64" t="s">
        <v>22</v>
      </c>
      <c r="G41" s="64" t="s">
        <v>225</v>
      </c>
      <c r="H41" s="64"/>
      <c r="I41" s="65">
        <v>2.25</v>
      </c>
      <c r="J41" s="65">
        <v>0.3</v>
      </c>
      <c r="K41" s="65">
        <v>0.3</v>
      </c>
      <c r="L41" s="66">
        <v>45668.0</v>
      </c>
      <c r="M41" s="67">
        <v>1.85</v>
      </c>
      <c r="N41" s="64" t="s">
        <v>25</v>
      </c>
      <c r="O41" s="68">
        <f t="shared" si="1"/>
        <v>-0.3</v>
      </c>
      <c r="P41" s="68">
        <f t="shared" si="4"/>
        <v>5.05566</v>
      </c>
      <c r="R41" s="30"/>
    </row>
    <row r="42">
      <c r="A42" s="64">
        <f t="shared" si="3"/>
        <v>41</v>
      </c>
      <c r="B42" s="74" t="s">
        <v>26</v>
      </c>
      <c r="C42" s="75" t="s">
        <v>40</v>
      </c>
      <c r="D42" s="75" t="s">
        <v>266</v>
      </c>
      <c r="E42" s="75" t="s">
        <v>66</v>
      </c>
      <c r="F42" s="75" t="s">
        <v>22</v>
      </c>
      <c r="G42" s="75" t="s">
        <v>225</v>
      </c>
      <c r="H42" s="64"/>
      <c r="I42" s="76">
        <v>1.0</v>
      </c>
      <c r="J42" s="76">
        <v>0.3</v>
      </c>
      <c r="K42" s="76">
        <v>0.3</v>
      </c>
      <c r="L42" s="77">
        <v>45668.0</v>
      </c>
      <c r="M42" s="78">
        <v>1.9</v>
      </c>
      <c r="N42" s="64" t="s">
        <v>25</v>
      </c>
      <c r="O42" s="68">
        <f t="shared" si="1"/>
        <v>-0.3</v>
      </c>
      <c r="P42" s="68">
        <f t="shared" si="4"/>
        <v>4.75566</v>
      </c>
      <c r="R42" s="30"/>
    </row>
    <row r="43">
      <c r="A43" s="64">
        <f t="shared" si="3"/>
        <v>42</v>
      </c>
      <c r="B43" s="74" t="s">
        <v>26</v>
      </c>
      <c r="C43" s="75" t="s">
        <v>19</v>
      </c>
      <c r="D43" s="75" t="s">
        <v>267</v>
      </c>
      <c r="E43" s="75" t="s">
        <v>66</v>
      </c>
      <c r="F43" s="75" t="s">
        <v>22</v>
      </c>
      <c r="G43" s="75" t="s">
        <v>225</v>
      </c>
      <c r="H43" s="64"/>
      <c r="I43" s="76">
        <v>1.75</v>
      </c>
      <c r="J43" s="76">
        <v>0.3</v>
      </c>
      <c r="K43" s="76">
        <v>0.3</v>
      </c>
      <c r="L43" s="77">
        <v>45668.0</v>
      </c>
      <c r="M43" s="78">
        <v>1.825</v>
      </c>
      <c r="N43" s="64" t="s">
        <v>33</v>
      </c>
      <c r="O43" s="68">
        <f t="shared" si="1"/>
        <v>0.2475</v>
      </c>
      <c r="P43" s="68">
        <f t="shared" si="4"/>
        <v>5.00316</v>
      </c>
      <c r="R43" s="30"/>
    </row>
    <row r="44">
      <c r="A44" s="64">
        <f t="shared" si="3"/>
        <v>43</v>
      </c>
      <c r="B44" s="74" t="s">
        <v>26</v>
      </c>
      <c r="C44" s="75" t="s">
        <v>19</v>
      </c>
      <c r="D44" s="75" t="s">
        <v>268</v>
      </c>
      <c r="E44" s="75" t="s">
        <v>93</v>
      </c>
      <c r="F44" s="75" t="s">
        <v>22</v>
      </c>
      <c r="G44" s="64" t="s">
        <v>29</v>
      </c>
      <c r="H44" s="64"/>
      <c r="I44" s="76">
        <v>-3.0</v>
      </c>
      <c r="J44" s="76">
        <v>0.7</v>
      </c>
      <c r="K44" s="76">
        <v>0.7</v>
      </c>
      <c r="L44" s="77">
        <v>45668.0</v>
      </c>
      <c r="M44" s="78">
        <v>1.9</v>
      </c>
      <c r="N44" s="64" t="s">
        <v>25</v>
      </c>
      <c r="O44" s="68">
        <f t="shared" si="1"/>
        <v>-0.7</v>
      </c>
      <c r="P44" s="68">
        <f t="shared" si="4"/>
        <v>4.30316</v>
      </c>
      <c r="R44" s="30"/>
    </row>
    <row r="45">
      <c r="A45" s="64">
        <f t="shared" si="3"/>
        <v>44</v>
      </c>
      <c r="B45" s="64" t="s">
        <v>35</v>
      </c>
      <c r="C45" s="64" t="s">
        <v>19</v>
      </c>
      <c r="D45" s="64" t="s">
        <v>269</v>
      </c>
      <c r="E45" s="64" t="s">
        <v>121</v>
      </c>
      <c r="F45" s="64" t="s">
        <v>22</v>
      </c>
      <c r="G45" s="64" t="s">
        <v>29</v>
      </c>
      <c r="H45" s="64" t="s">
        <v>39</v>
      </c>
      <c r="I45" s="65">
        <v>-0.75</v>
      </c>
      <c r="J45" s="65">
        <v>0.6</v>
      </c>
      <c r="K45" s="65">
        <v>0.6</v>
      </c>
      <c r="L45" s="66">
        <v>45668.0</v>
      </c>
      <c r="M45" s="67">
        <v>2.05</v>
      </c>
      <c r="N45" s="64" t="s">
        <v>79</v>
      </c>
      <c r="O45" s="68">
        <f t="shared" si="1"/>
        <v>-0.3</v>
      </c>
      <c r="P45" s="68">
        <f t="shared" si="4"/>
        <v>4.00316</v>
      </c>
      <c r="R45" s="30"/>
    </row>
    <row r="46">
      <c r="A46" s="64">
        <f t="shared" si="3"/>
        <v>45</v>
      </c>
      <c r="B46" s="64" t="s">
        <v>35</v>
      </c>
      <c r="C46" s="64" t="s">
        <v>19</v>
      </c>
      <c r="D46" s="64" t="s">
        <v>270</v>
      </c>
      <c r="E46" s="64" t="s">
        <v>42</v>
      </c>
      <c r="F46" s="64" t="s">
        <v>22</v>
      </c>
      <c r="G46" s="64" t="s">
        <v>29</v>
      </c>
      <c r="H46" s="64" t="s">
        <v>39</v>
      </c>
      <c r="I46" s="65">
        <v>-0.75</v>
      </c>
      <c r="J46" s="65">
        <v>0.3</v>
      </c>
      <c r="K46" s="65">
        <v>0.3</v>
      </c>
      <c r="L46" s="66">
        <v>45668.0</v>
      </c>
      <c r="M46" s="67">
        <v>2.1</v>
      </c>
      <c r="N46" s="64" t="s">
        <v>79</v>
      </c>
      <c r="O46" s="68">
        <f t="shared" si="1"/>
        <v>-0.15</v>
      </c>
      <c r="P46" s="68">
        <f t="shared" si="4"/>
        <v>3.85316</v>
      </c>
      <c r="R46" s="30"/>
    </row>
    <row r="47">
      <c r="A47" s="64">
        <f t="shared" si="3"/>
        <v>46</v>
      </c>
      <c r="B47" s="64" t="s">
        <v>35</v>
      </c>
      <c r="C47" s="64" t="s">
        <v>19</v>
      </c>
      <c r="D47" s="64" t="s">
        <v>271</v>
      </c>
      <c r="E47" s="64" t="s">
        <v>214</v>
      </c>
      <c r="F47" s="64" t="s">
        <v>22</v>
      </c>
      <c r="G47" s="64" t="s">
        <v>29</v>
      </c>
      <c r="H47" s="64" t="s">
        <v>39</v>
      </c>
      <c r="I47" s="65">
        <v>-1.0</v>
      </c>
      <c r="J47" s="65">
        <v>0.3</v>
      </c>
      <c r="K47" s="65">
        <v>0.3</v>
      </c>
      <c r="L47" s="66">
        <v>45668.0</v>
      </c>
      <c r="M47" s="67">
        <v>2.075</v>
      </c>
      <c r="N47" s="64" t="s">
        <v>70</v>
      </c>
      <c r="O47" s="68">
        <f t="shared" si="1"/>
        <v>0</v>
      </c>
      <c r="P47" s="68">
        <f t="shared" si="4"/>
        <v>3.85316</v>
      </c>
      <c r="R47" s="30"/>
    </row>
    <row r="48">
      <c r="A48" s="64">
        <f t="shared" si="3"/>
        <v>47</v>
      </c>
      <c r="B48" s="64" t="s">
        <v>35</v>
      </c>
      <c r="C48" s="64" t="s">
        <v>19</v>
      </c>
      <c r="D48" s="64" t="s">
        <v>272</v>
      </c>
      <c r="E48" s="64" t="s">
        <v>273</v>
      </c>
      <c r="F48" s="64" t="s">
        <v>22</v>
      </c>
      <c r="G48" s="64" t="s">
        <v>29</v>
      </c>
      <c r="H48" s="64" t="s">
        <v>39</v>
      </c>
      <c r="I48" s="65">
        <v>-0.75</v>
      </c>
      <c r="J48" s="65">
        <v>0.3</v>
      </c>
      <c r="K48" s="65">
        <v>0.3</v>
      </c>
      <c r="L48" s="66">
        <v>45668.0</v>
      </c>
      <c r="M48" s="67">
        <v>1.95</v>
      </c>
      <c r="N48" s="64" t="s">
        <v>79</v>
      </c>
      <c r="O48" s="68">
        <f t="shared" si="1"/>
        <v>-0.15</v>
      </c>
      <c r="P48" s="68">
        <f t="shared" si="4"/>
        <v>3.70316</v>
      </c>
      <c r="R48" s="30"/>
    </row>
    <row r="49">
      <c r="A49" s="64">
        <f t="shared" si="3"/>
        <v>48</v>
      </c>
      <c r="B49" s="64" t="s">
        <v>26</v>
      </c>
      <c r="C49" s="64" t="s">
        <v>40</v>
      </c>
      <c r="D49" s="64" t="s">
        <v>274</v>
      </c>
      <c r="E49" s="64" t="s">
        <v>66</v>
      </c>
      <c r="F49" s="64" t="s">
        <v>22</v>
      </c>
      <c r="G49" s="64" t="s">
        <v>29</v>
      </c>
      <c r="H49" s="64"/>
      <c r="I49" s="65">
        <v>-2.75</v>
      </c>
      <c r="J49" s="65">
        <v>0.7</v>
      </c>
      <c r="K49" s="65">
        <v>0.7</v>
      </c>
      <c r="L49" s="66">
        <v>45668.0</v>
      </c>
      <c r="M49" s="67">
        <v>1.825</v>
      </c>
      <c r="N49" s="64" t="s">
        <v>33</v>
      </c>
      <c r="O49" s="68">
        <f t="shared" si="1"/>
        <v>0.5775</v>
      </c>
      <c r="P49" s="68">
        <f t="shared" si="4"/>
        <v>4.28066</v>
      </c>
    </row>
    <row r="50">
      <c r="A50" s="64">
        <f t="shared" si="3"/>
        <v>49</v>
      </c>
      <c r="B50" s="64" t="s">
        <v>35</v>
      </c>
      <c r="C50" s="64" t="s">
        <v>19</v>
      </c>
      <c r="D50" s="64" t="s">
        <v>275</v>
      </c>
      <c r="E50" s="64" t="s">
        <v>93</v>
      </c>
      <c r="F50" s="64" t="s">
        <v>22</v>
      </c>
      <c r="G50" s="64" t="s">
        <v>29</v>
      </c>
      <c r="H50" s="64"/>
      <c r="I50" s="65">
        <v>-1.0</v>
      </c>
      <c r="J50" s="65">
        <v>0.3</v>
      </c>
      <c r="K50" s="65">
        <v>0.3</v>
      </c>
      <c r="L50" s="66">
        <v>45668.0</v>
      </c>
      <c r="M50" s="67">
        <v>1.825</v>
      </c>
      <c r="N50" s="64" t="s">
        <v>70</v>
      </c>
      <c r="O50" s="68">
        <f t="shared" si="1"/>
        <v>0</v>
      </c>
      <c r="P50" s="68">
        <f t="shared" si="4"/>
        <v>4.28066</v>
      </c>
    </row>
    <row r="51">
      <c r="A51" s="64">
        <f t="shared" si="3"/>
        <v>50</v>
      </c>
      <c r="B51" s="64" t="s">
        <v>26</v>
      </c>
      <c r="C51" s="64" t="s">
        <v>19</v>
      </c>
      <c r="D51" s="64" t="s">
        <v>276</v>
      </c>
      <c r="E51" s="64" t="s">
        <v>167</v>
      </c>
      <c r="F51" s="64" t="s">
        <v>22</v>
      </c>
      <c r="G51" s="64" t="s">
        <v>29</v>
      </c>
      <c r="H51" s="64"/>
      <c r="I51" s="65">
        <v>-4.5</v>
      </c>
      <c r="J51" s="65">
        <v>0.7</v>
      </c>
      <c r="K51" s="65">
        <v>0.7</v>
      </c>
      <c r="L51" s="66">
        <v>45668.0</v>
      </c>
      <c r="M51" s="67">
        <v>1.9</v>
      </c>
      <c r="N51" s="64" t="s">
        <v>25</v>
      </c>
      <c r="O51" s="68">
        <f t="shared" si="1"/>
        <v>-0.7</v>
      </c>
      <c r="P51" s="68">
        <f t="shared" si="4"/>
        <v>3.58066</v>
      </c>
    </row>
    <row r="52">
      <c r="A52" s="64">
        <f t="shared" si="3"/>
        <v>51</v>
      </c>
      <c r="B52" s="64" t="s">
        <v>35</v>
      </c>
      <c r="C52" s="64" t="s">
        <v>19</v>
      </c>
      <c r="D52" s="64" t="s">
        <v>277</v>
      </c>
      <c r="E52" s="64" t="s">
        <v>50</v>
      </c>
      <c r="F52" s="64" t="s">
        <v>22</v>
      </c>
      <c r="G52" s="64" t="s">
        <v>29</v>
      </c>
      <c r="H52" s="64" t="s">
        <v>39</v>
      </c>
      <c r="I52" s="65">
        <v>-0.75</v>
      </c>
      <c r="J52" s="65">
        <v>0.3</v>
      </c>
      <c r="K52" s="65">
        <v>0.3</v>
      </c>
      <c r="L52" s="69">
        <v>45668.0</v>
      </c>
      <c r="M52" s="67">
        <v>2.075</v>
      </c>
      <c r="N52" s="64" t="s">
        <v>33</v>
      </c>
      <c r="O52" s="68">
        <f t="shared" si="1"/>
        <v>0.3225</v>
      </c>
      <c r="P52" s="68">
        <f t="shared" si="4"/>
        <v>3.90316</v>
      </c>
    </row>
    <row r="53">
      <c r="A53" s="64">
        <f t="shared" si="3"/>
        <v>52</v>
      </c>
      <c r="B53" s="64" t="s">
        <v>35</v>
      </c>
      <c r="C53" s="64" t="s">
        <v>19</v>
      </c>
      <c r="D53" s="64" t="s">
        <v>278</v>
      </c>
      <c r="E53" s="64" t="s">
        <v>82</v>
      </c>
      <c r="F53" s="64" t="s">
        <v>22</v>
      </c>
      <c r="G53" s="64" t="s">
        <v>29</v>
      </c>
      <c r="H53" s="64" t="s">
        <v>39</v>
      </c>
      <c r="I53" s="65">
        <v>-1.0</v>
      </c>
      <c r="J53" s="65">
        <v>0.3</v>
      </c>
      <c r="K53" s="65">
        <v>0.3</v>
      </c>
      <c r="L53" s="66">
        <v>45668.0</v>
      </c>
      <c r="M53" s="67">
        <v>1.8</v>
      </c>
      <c r="N53" s="64" t="s">
        <v>25</v>
      </c>
      <c r="O53" s="68">
        <f t="shared" si="1"/>
        <v>-0.3</v>
      </c>
      <c r="P53" s="68">
        <f t="shared" si="4"/>
        <v>3.60316</v>
      </c>
    </row>
    <row r="54">
      <c r="A54" s="64">
        <f t="shared" si="3"/>
        <v>53</v>
      </c>
      <c r="B54" s="64" t="s">
        <v>35</v>
      </c>
      <c r="C54" s="64" t="s">
        <v>19</v>
      </c>
      <c r="D54" s="64" t="s">
        <v>279</v>
      </c>
      <c r="E54" s="64" t="s">
        <v>82</v>
      </c>
      <c r="F54" s="64" t="s">
        <v>22</v>
      </c>
      <c r="G54" s="64" t="s">
        <v>29</v>
      </c>
      <c r="H54" s="64" t="s">
        <v>39</v>
      </c>
      <c r="I54" s="65">
        <v>-1.0</v>
      </c>
      <c r="J54" s="65">
        <v>0.3</v>
      </c>
      <c r="K54" s="65">
        <v>0.3</v>
      </c>
      <c r="L54" s="66">
        <v>45668.0</v>
      </c>
      <c r="M54" s="67">
        <v>1.75</v>
      </c>
      <c r="N54" s="64" t="s">
        <v>33</v>
      </c>
      <c r="O54" s="68">
        <f t="shared" si="1"/>
        <v>0.225</v>
      </c>
      <c r="P54" s="68">
        <f t="shared" si="4"/>
        <v>3.82816</v>
      </c>
    </row>
    <row r="55">
      <c r="A55" s="64">
        <f t="shared" si="3"/>
        <v>54</v>
      </c>
      <c r="B55" s="64" t="s">
        <v>35</v>
      </c>
      <c r="C55" s="64" t="s">
        <v>19</v>
      </c>
      <c r="D55" s="64" t="s">
        <v>280</v>
      </c>
      <c r="E55" s="64" t="s">
        <v>216</v>
      </c>
      <c r="F55" s="64" t="s">
        <v>22</v>
      </c>
      <c r="G55" s="64" t="s">
        <v>29</v>
      </c>
      <c r="H55" s="64" t="s">
        <v>39</v>
      </c>
      <c r="I55" s="65">
        <v>-3.5</v>
      </c>
      <c r="J55" s="65">
        <v>0.3</v>
      </c>
      <c r="K55" s="65">
        <v>0.3</v>
      </c>
      <c r="L55" s="66">
        <v>45668.0</v>
      </c>
      <c r="M55" s="67">
        <v>1.8</v>
      </c>
      <c r="N55" s="64" t="s">
        <v>25</v>
      </c>
      <c r="O55" s="68">
        <f t="shared" si="1"/>
        <v>-0.3</v>
      </c>
      <c r="P55" s="68">
        <f t="shared" si="4"/>
        <v>3.52816</v>
      </c>
      <c r="Q55" s="40"/>
      <c r="R55" s="41" t="s">
        <v>125</v>
      </c>
      <c r="S55" s="41" t="s">
        <v>126</v>
      </c>
      <c r="T55" s="41" t="s">
        <v>45</v>
      </c>
    </row>
    <row r="56">
      <c r="A56" s="64">
        <f t="shared" si="3"/>
        <v>55</v>
      </c>
      <c r="B56" s="64" t="s">
        <v>35</v>
      </c>
      <c r="C56" s="79" t="s">
        <v>19</v>
      </c>
      <c r="D56" s="79" t="s">
        <v>281</v>
      </c>
      <c r="E56" s="64" t="s">
        <v>93</v>
      </c>
      <c r="F56" s="64" t="s">
        <v>22</v>
      </c>
      <c r="G56" s="64" t="s">
        <v>29</v>
      </c>
      <c r="H56" s="64" t="s">
        <v>39</v>
      </c>
      <c r="I56" s="73">
        <v>-3.75</v>
      </c>
      <c r="J56" s="73">
        <v>0.3</v>
      </c>
      <c r="K56" s="73">
        <v>0.3</v>
      </c>
      <c r="L56" s="66">
        <v>45669.0</v>
      </c>
      <c r="M56" s="80">
        <v>1.9</v>
      </c>
      <c r="N56" s="64" t="s">
        <v>33</v>
      </c>
      <c r="O56" s="68">
        <f t="shared" si="1"/>
        <v>0.27</v>
      </c>
      <c r="P56" s="68">
        <f t="shared" si="4"/>
        <v>3.79816</v>
      </c>
      <c r="Q56" s="41" t="s">
        <v>18</v>
      </c>
      <c r="R56" s="45">
        <f t="shared" ref="R56:R62" si="5">SUMIF($B$2:$B$2989,Q56,$O$2:$O$2989)</f>
        <v>0.02</v>
      </c>
      <c r="S56" s="45">
        <f t="shared" ref="S56:S62" si="6">SUMIF($B$2:$B$2989,Q56,$K$2:$K$2989)</f>
        <v>0.02</v>
      </c>
      <c r="T56" s="46">
        <f t="shared" ref="T56:T62" si="7">R56/S56</f>
        <v>1</v>
      </c>
    </row>
    <row r="57">
      <c r="A57" s="64">
        <f t="shared" si="3"/>
        <v>56</v>
      </c>
      <c r="B57" s="64" t="s">
        <v>35</v>
      </c>
      <c r="C57" s="64" t="s">
        <v>19</v>
      </c>
      <c r="D57" s="79" t="s">
        <v>282</v>
      </c>
      <c r="E57" s="64" t="s">
        <v>93</v>
      </c>
      <c r="F57" s="64" t="s">
        <v>22</v>
      </c>
      <c r="G57" s="64" t="s">
        <v>29</v>
      </c>
      <c r="H57" s="64" t="s">
        <v>24</v>
      </c>
      <c r="I57" s="73">
        <v>-1.0</v>
      </c>
      <c r="J57" s="73">
        <v>0.6</v>
      </c>
      <c r="K57" s="73">
        <v>0.6</v>
      </c>
      <c r="L57" s="66">
        <v>45669.0</v>
      </c>
      <c r="M57" s="67">
        <v>1.825</v>
      </c>
      <c r="N57" s="64" t="s">
        <v>70</v>
      </c>
      <c r="O57" s="68">
        <f t="shared" si="1"/>
        <v>0</v>
      </c>
      <c r="P57" s="68">
        <f t="shared" si="4"/>
        <v>3.79816</v>
      </c>
      <c r="Q57" s="41" t="s">
        <v>129</v>
      </c>
      <c r="R57" s="45">
        <f t="shared" si="5"/>
        <v>0</v>
      </c>
      <c r="S57" s="45">
        <f t="shared" si="6"/>
        <v>0</v>
      </c>
      <c r="T57" s="46" t="str">
        <f t="shared" si="7"/>
        <v>#DIV/0!</v>
      </c>
    </row>
    <row r="58">
      <c r="A58" s="64">
        <f t="shared" si="3"/>
        <v>57</v>
      </c>
      <c r="B58" s="64" t="s">
        <v>35</v>
      </c>
      <c r="C58" s="64" t="s">
        <v>19</v>
      </c>
      <c r="D58" s="79" t="s">
        <v>283</v>
      </c>
      <c r="E58" s="64" t="s">
        <v>66</v>
      </c>
      <c r="F58" s="64" t="s">
        <v>22</v>
      </c>
      <c r="G58" s="64" t="s">
        <v>29</v>
      </c>
      <c r="H58" s="64" t="s">
        <v>39</v>
      </c>
      <c r="I58" s="65">
        <v>-0.75</v>
      </c>
      <c r="J58" s="65">
        <v>0.3</v>
      </c>
      <c r="K58" s="65">
        <v>0.3</v>
      </c>
      <c r="L58" s="69">
        <v>45669.0</v>
      </c>
      <c r="M58" s="67">
        <v>2.1</v>
      </c>
      <c r="N58" s="64" t="s">
        <v>33</v>
      </c>
      <c r="O58" s="68">
        <f t="shared" si="1"/>
        <v>0.33</v>
      </c>
      <c r="P58" s="68">
        <f t="shared" si="4"/>
        <v>4.12816</v>
      </c>
      <c r="Q58" s="41" t="s">
        <v>131</v>
      </c>
      <c r="R58" s="45">
        <f t="shared" si="5"/>
        <v>0</v>
      </c>
      <c r="S58" s="45">
        <f t="shared" si="6"/>
        <v>0</v>
      </c>
      <c r="T58" s="46" t="str">
        <f t="shared" si="7"/>
        <v>#DIV/0!</v>
      </c>
    </row>
    <row r="59">
      <c r="A59" s="64">
        <f t="shared" si="3"/>
        <v>58</v>
      </c>
      <c r="B59" s="64" t="s">
        <v>26</v>
      </c>
      <c r="C59" s="64" t="s">
        <v>19</v>
      </c>
      <c r="D59" s="64" t="s">
        <v>284</v>
      </c>
      <c r="E59" s="64" t="s">
        <v>48</v>
      </c>
      <c r="F59" s="64" t="s">
        <v>22</v>
      </c>
      <c r="G59" s="64" t="s">
        <v>29</v>
      </c>
      <c r="H59" s="64" t="s">
        <v>24</v>
      </c>
      <c r="I59" s="65">
        <v>-2.75</v>
      </c>
      <c r="J59" s="65">
        <v>0.7</v>
      </c>
      <c r="K59" s="65">
        <v>0.7</v>
      </c>
      <c r="L59" s="69">
        <v>45669.0</v>
      </c>
      <c r="M59" s="67">
        <v>1.975</v>
      </c>
      <c r="N59" s="64" t="s">
        <v>25</v>
      </c>
      <c r="O59" s="68">
        <f t="shared" si="1"/>
        <v>-0.7</v>
      </c>
      <c r="P59" s="68">
        <f t="shared" si="4"/>
        <v>3.42816</v>
      </c>
      <c r="Q59" s="41" t="s">
        <v>26</v>
      </c>
      <c r="R59" s="45">
        <f t="shared" si="5"/>
        <v>10.26360725</v>
      </c>
      <c r="S59" s="45">
        <f t="shared" si="6"/>
        <v>94.92534941</v>
      </c>
      <c r="T59" s="46">
        <f t="shared" si="7"/>
        <v>0.1081229336</v>
      </c>
    </row>
    <row r="60">
      <c r="A60" s="64">
        <f t="shared" si="3"/>
        <v>59</v>
      </c>
      <c r="B60" s="64" t="s">
        <v>35</v>
      </c>
      <c r="C60" s="64" t="s">
        <v>19</v>
      </c>
      <c r="D60" s="64" t="s">
        <v>285</v>
      </c>
      <c r="E60" s="64" t="s">
        <v>115</v>
      </c>
      <c r="F60" s="64" t="s">
        <v>22</v>
      </c>
      <c r="G60" s="64" t="s">
        <v>29</v>
      </c>
      <c r="H60" s="64" t="s">
        <v>24</v>
      </c>
      <c r="I60" s="65">
        <v>-0.75</v>
      </c>
      <c r="J60" s="65">
        <v>0.6</v>
      </c>
      <c r="K60" s="65">
        <v>0.6</v>
      </c>
      <c r="L60" s="69">
        <v>45669.0</v>
      </c>
      <c r="M60" s="67">
        <v>2.05</v>
      </c>
      <c r="N60" s="64" t="s">
        <v>33</v>
      </c>
      <c r="O60" s="68">
        <f t="shared" si="1"/>
        <v>0.63</v>
      </c>
      <c r="P60" s="68">
        <f t="shared" si="4"/>
        <v>4.05816</v>
      </c>
      <c r="Q60" s="41" t="s">
        <v>35</v>
      </c>
      <c r="R60" s="45">
        <f t="shared" si="5"/>
        <v>22.06572479</v>
      </c>
      <c r="S60" s="45">
        <f t="shared" si="6"/>
        <v>82.14036843</v>
      </c>
      <c r="T60" s="46">
        <f t="shared" si="7"/>
        <v>0.2686343537</v>
      </c>
    </row>
    <row r="61">
      <c r="A61" s="64">
        <f t="shared" si="3"/>
        <v>60</v>
      </c>
      <c r="B61" s="64" t="s">
        <v>35</v>
      </c>
      <c r="C61" s="64" t="s">
        <v>19</v>
      </c>
      <c r="D61" s="64" t="s">
        <v>286</v>
      </c>
      <c r="E61" s="64" t="s">
        <v>115</v>
      </c>
      <c r="F61" s="64" t="s">
        <v>22</v>
      </c>
      <c r="G61" s="64" t="s">
        <v>29</v>
      </c>
      <c r="H61" s="64" t="s">
        <v>39</v>
      </c>
      <c r="I61" s="65">
        <v>-3.0</v>
      </c>
      <c r="J61" s="65">
        <v>0.3</v>
      </c>
      <c r="K61" s="65">
        <v>0.3</v>
      </c>
      <c r="L61" s="69">
        <v>45669.0</v>
      </c>
      <c r="M61" s="67">
        <v>1.975</v>
      </c>
      <c r="N61" s="64" t="s">
        <v>70</v>
      </c>
      <c r="O61" s="68">
        <f t="shared" si="1"/>
        <v>0</v>
      </c>
      <c r="P61" s="68">
        <f t="shared" si="4"/>
        <v>4.05816</v>
      </c>
      <c r="Q61" s="41" t="s">
        <v>135</v>
      </c>
      <c r="R61" s="45">
        <f t="shared" si="5"/>
        <v>0</v>
      </c>
      <c r="S61" s="45">
        <f t="shared" si="6"/>
        <v>0</v>
      </c>
      <c r="T61" s="46" t="str">
        <f t="shared" si="7"/>
        <v>#DIV/0!</v>
      </c>
    </row>
    <row r="62">
      <c r="A62" s="64">
        <f t="shared" si="3"/>
        <v>61</v>
      </c>
      <c r="B62" s="64" t="s">
        <v>26</v>
      </c>
      <c r="C62" s="64" t="s">
        <v>19</v>
      </c>
      <c r="D62" s="79" t="s">
        <v>287</v>
      </c>
      <c r="E62" s="64" t="s">
        <v>28</v>
      </c>
      <c r="F62" s="64" t="s">
        <v>22</v>
      </c>
      <c r="G62" s="64" t="s">
        <v>29</v>
      </c>
      <c r="H62" s="64" t="s">
        <v>24</v>
      </c>
      <c r="I62" s="65">
        <v>-2.75</v>
      </c>
      <c r="J62" s="65">
        <v>0.7</v>
      </c>
      <c r="K62" s="65">
        <v>0.7</v>
      </c>
      <c r="L62" s="69">
        <v>45669.0</v>
      </c>
      <c r="M62" s="67">
        <v>2.075</v>
      </c>
      <c r="N62" s="64" t="s">
        <v>33</v>
      </c>
      <c r="O62" s="68">
        <f t="shared" si="1"/>
        <v>0.7525</v>
      </c>
      <c r="P62" s="68">
        <f t="shared" si="4"/>
        <v>4.81066</v>
      </c>
      <c r="Q62" s="41" t="s">
        <v>137</v>
      </c>
      <c r="R62" s="45">
        <f t="shared" si="5"/>
        <v>0</v>
      </c>
      <c r="S62" s="45">
        <f t="shared" si="6"/>
        <v>0</v>
      </c>
      <c r="T62" s="46" t="str">
        <f t="shared" si="7"/>
        <v>#DIV/0!</v>
      </c>
    </row>
    <row r="63">
      <c r="A63" s="64">
        <f t="shared" si="3"/>
        <v>62</v>
      </c>
      <c r="B63" s="64" t="s">
        <v>35</v>
      </c>
      <c r="C63" s="64" t="s">
        <v>19</v>
      </c>
      <c r="D63" s="79" t="s">
        <v>288</v>
      </c>
      <c r="E63" s="64" t="s">
        <v>115</v>
      </c>
      <c r="F63" s="64" t="s">
        <v>22</v>
      </c>
      <c r="G63" s="64" t="s">
        <v>29</v>
      </c>
      <c r="H63" s="64" t="s">
        <v>24</v>
      </c>
      <c r="I63" s="65">
        <v>-1.0</v>
      </c>
      <c r="J63" s="65">
        <v>0.6</v>
      </c>
      <c r="K63" s="65">
        <v>0.35</v>
      </c>
      <c r="L63" s="69">
        <v>45669.0</v>
      </c>
      <c r="M63" s="67">
        <v>1.7</v>
      </c>
      <c r="N63" s="64" t="s">
        <v>33</v>
      </c>
      <c r="O63" s="68">
        <f t="shared" si="1"/>
        <v>0.245</v>
      </c>
      <c r="P63" s="81">
        <f t="shared" si="4"/>
        <v>5.05566</v>
      </c>
    </row>
    <row r="64">
      <c r="A64" s="64">
        <f t="shared" si="3"/>
        <v>63</v>
      </c>
      <c r="B64" s="64" t="s">
        <v>35</v>
      </c>
      <c r="C64" s="64" t="s">
        <v>19</v>
      </c>
      <c r="D64" s="79" t="s">
        <v>289</v>
      </c>
      <c r="E64" s="64" t="s">
        <v>48</v>
      </c>
      <c r="F64" s="64" t="s">
        <v>22</v>
      </c>
      <c r="G64" s="64" t="s">
        <v>29</v>
      </c>
      <c r="H64" s="64" t="s">
        <v>24</v>
      </c>
      <c r="I64" s="73">
        <v>-4.0</v>
      </c>
      <c r="J64" s="65">
        <v>0.6</v>
      </c>
      <c r="K64" s="65">
        <v>0.15</v>
      </c>
      <c r="L64" s="69">
        <v>45669.0</v>
      </c>
      <c r="M64" s="67">
        <v>1.775</v>
      </c>
      <c r="N64" s="64" t="s">
        <v>25</v>
      </c>
      <c r="O64" s="68">
        <f t="shared" si="1"/>
        <v>-0.15</v>
      </c>
      <c r="P64" s="81">
        <f t="shared" si="4"/>
        <v>4.90566</v>
      </c>
      <c r="Q64" s="50"/>
      <c r="R64" s="50"/>
    </row>
    <row r="65">
      <c r="A65" s="64">
        <f t="shared" si="3"/>
        <v>64</v>
      </c>
      <c r="B65" s="64" t="s">
        <v>26</v>
      </c>
      <c r="C65" s="64" t="s">
        <v>19</v>
      </c>
      <c r="D65" s="79" t="s">
        <v>290</v>
      </c>
      <c r="E65" s="64" t="s">
        <v>291</v>
      </c>
      <c r="F65" s="64" t="s">
        <v>22</v>
      </c>
      <c r="G65" s="64" t="s">
        <v>29</v>
      </c>
      <c r="H65" s="64" t="s">
        <v>24</v>
      </c>
      <c r="I65" s="73">
        <v>-2.0</v>
      </c>
      <c r="J65" s="65">
        <v>0.7</v>
      </c>
      <c r="K65" s="65">
        <v>0.7</v>
      </c>
      <c r="L65" s="69">
        <v>45669.0</v>
      </c>
      <c r="M65" s="67">
        <v>1.8</v>
      </c>
      <c r="N65" s="64" t="s">
        <v>70</v>
      </c>
      <c r="O65" s="68">
        <f t="shared" si="1"/>
        <v>0</v>
      </c>
      <c r="P65" s="81">
        <f t="shared" si="4"/>
        <v>4.90566</v>
      </c>
      <c r="Q65" s="51"/>
      <c r="R65" s="52"/>
    </row>
    <row r="66">
      <c r="A66" s="64">
        <f t="shared" si="3"/>
        <v>65</v>
      </c>
      <c r="B66" s="64" t="s">
        <v>35</v>
      </c>
      <c r="C66" s="64" t="s">
        <v>19</v>
      </c>
      <c r="D66" s="79" t="s">
        <v>292</v>
      </c>
      <c r="E66" s="64" t="s">
        <v>42</v>
      </c>
      <c r="F66" s="64" t="s">
        <v>22</v>
      </c>
      <c r="G66" s="64" t="s">
        <v>29</v>
      </c>
      <c r="H66" s="64" t="s">
        <v>24</v>
      </c>
      <c r="I66" s="73">
        <v>-0.75</v>
      </c>
      <c r="J66" s="65">
        <v>0.6</v>
      </c>
      <c r="K66" s="65">
        <v>0.6</v>
      </c>
      <c r="L66" s="66">
        <v>45669.0</v>
      </c>
      <c r="M66" s="67">
        <v>2.05</v>
      </c>
      <c r="N66" s="64" t="s">
        <v>33</v>
      </c>
      <c r="O66" s="68">
        <f t="shared" si="1"/>
        <v>0.63</v>
      </c>
      <c r="P66" s="81">
        <f t="shared" si="4"/>
        <v>5.53566</v>
      </c>
      <c r="Q66" s="51"/>
      <c r="R66" s="52"/>
    </row>
    <row r="67">
      <c r="A67" s="64">
        <f t="shared" si="3"/>
        <v>66</v>
      </c>
      <c r="B67" s="64" t="s">
        <v>35</v>
      </c>
      <c r="C67" s="64" t="s">
        <v>19</v>
      </c>
      <c r="D67" s="79" t="s">
        <v>293</v>
      </c>
      <c r="E67" s="64" t="s">
        <v>42</v>
      </c>
      <c r="F67" s="64" t="s">
        <v>22</v>
      </c>
      <c r="G67" s="64" t="s">
        <v>29</v>
      </c>
      <c r="H67" s="64" t="s">
        <v>24</v>
      </c>
      <c r="I67" s="73">
        <v>-4.75</v>
      </c>
      <c r="J67" s="65">
        <v>0.6</v>
      </c>
      <c r="K67" s="65">
        <v>0.6</v>
      </c>
      <c r="L67" s="66">
        <v>45669.0</v>
      </c>
      <c r="M67" s="67">
        <v>1.95</v>
      </c>
      <c r="N67" s="64" t="s">
        <v>33</v>
      </c>
      <c r="O67" s="68">
        <f t="shared" si="1"/>
        <v>0.57</v>
      </c>
      <c r="P67" s="81">
        <f t="shared" si="4"/>
        <v>6.10566</v>
      </c>
      <c r="Q67" s="51"/>
      <c r="R67" s="52"/>
    </row>
    <row r="68">
      <c r="A68" s="64">
        <f t="shared" si="3"/>
        <v>67</v>
      </c>
      <c r="B68" s="64" t="s">
        <v>35</v>
      </c>
      <c r="C68" s="64" t="s">
        <v>19</v>
      </c>
      <c r="D68" s="79" t="s">
        <v>294</v>
      </c>
      <c r="E68" s="64" t="s">
        <v>58</v>
      </c>
      <c r="F68" s="64" t="s">
        <v>22</v>
      </c>
      <c r="G68" s="64" t="s">
        <v>29</v>
      </c>
      <c r="H68" s="64" t="s">
        <v>39</v>
      </c>
      <c r="I68" s="73">
        <v>-0.75</v>
      </c>
      <c r="J68" s="65">
        <v>0.3</v>
      </c>
      <c r="K68" s="65">
        <v>0.3</v>
      </c>
      <c r="L68" s="66">
        <v>45669.0</v>
      </c>
      <c r="M68" s="67">
        <v>2.025</v>
      </c>
      <c r="N68" s="64" t="s">
        <v>33</v>
      </c>
      <c r="O68" s="68">
        <f t="shared" si="1"/>
        <v>0.3075</v>
      </c>
      <c r="P68" s="81">
        <f t="shared" si="4"/>
        <v>6.41316</v>
      </c>
      <c r="Q68" s="51"/>
      <c r="R68" s="52"/>
    </row>
    <row r="69">
      <c r="A69" s="64">
        <f t="shared" si="3"/>
        <v>68</v>
      </c>
      <c r="B69" s="64" t="s">
        <v>35</v>
      </c>
      <c r="C69" s="64" t="s">
        <v>19</v>
      </c>
      <c r="D69" s="79" t="s">
        <v>295</v>
      </c>
      <c r="E69" s="64" t="s">
        <v>60</v>
      </c>
      <c r="F69" s="64" t="s">
        <v>22</v>
      </c>
      <c r="G69" s="64" t="s">
        <v>29</v>
      </c>
      <c r="H69" s="64" t="s">
        <v>39</v>
      </c>
      <c r="I69" s="65">
        <v>-0.75</v>
      </c>
      <c r="J69" s="65">
        <v>0.3</v>
      </c>
      <c r="K69" s="65">
        <v>0.3</v>
      </c>
      <c r="L69" s="66">
        <v>45669.0</v>
      </c>
      <c r="M69" s="67">
        <v>2.05</v>
      </c>
      <c r="N69" s="64" t="s">
        <v>33</v>
      </c>
      <c r="O69" s="68">
        <f t="shared" si="1"/>
        <v>0.315</v>
      </c>
      <c r="P69" s="81">
        <f t="shared" si="4"/>
        <v>6.72816</v>
      </c>
      <c r="Q69" s="51"/>
      <c r="R69" s="52"/>
    </row>
    <row r="70">
      <c r="A70" s="64">
        <f t="shared" si="3"/>
        <v>69</v>
      </c>
      <c r="B70" s="64" t="s">
        <v>35</v>
      </c>
      <c r="C70" s="64" t="s">
        <v>19</v>
      </c>
      <c r="D70" s="79" t="s">
        <v>296</v>
      </c>
      <c r="E70" s="64" t="s">
        <v>224</v>
      </c>
      <c r="F70" s="64" t="s">
        <v>22</v>
      </c>
      <c r="G70" s="64" t="s">
        <v>29</v>
      </c>
      <c r="H70" s="64" t="s">
        <v>24</v>
      </c>
      <c r="I70" s="65">
        <v>-0.75</v>
      </c>
      <c r="J70" s="65">
        <v>0.6</v>
      </c>
      <c r="K70" s="65">
        <v>0.6</v>
      </c>
      <c r="L70" s="66">
        <v>45669.0</v>
      </c>
      <c r="M70" s="67">
        <v>1.95</v>
      </c>
      <c r="N70" s="64" t="s">
        <v>33</v>
      </c>
      <c r="O70" s="68">
        <f t="shared" si="1"/>
        <v>0.57</v>
      </c>
      <c r="P70" s="81">
        <f t="shared" si="4"/>
        <v>7.29816</v>
      </c>
      <c r="Q70" s="51"/>
      <c r="R70" s="52"/>
    </row>
    <row r="71">
      <c r="A71" s="64">
        <f t="shared" si="3"/>
        <v>70</v>
      </c>
      <c r="B71" s="64" t="s">
        <v>35</v>
      </c>
      <c r="C71" s="64" t="s">
        <v>19</v>
      </c>
      <c r="D71" s="79" t="s">
        <v>297</v>
      </c>
      <c r="E71" s="64" t="s">
        <v>93</v>
      </c>
      <c r="F71" s="64" t="s">
        <v>22</v>
      </c>
      <c r="G71" s="64" t="s">
        <v>29</v>
      </c>
      <c r="H71" s="64" t="s">
        <v>24</v>
      </c>
      <c r="I71" s="65">
        <v>-0.75</v>
      </c>
      <c r="J71" s="65">
        <v>0.6</v>
      </c>
      <c r="K71" s="65">
        <v>0.6</v>
      </c>
      <c r="L71" s="66">
        <v>45669.0</v>
      </c>
      <c r="M71" s="67">
        <v>2.05</v>
      </c>
      <c r="N71" s="64" t="s">
        <v>33</v>
      </c>
      <c r="O71" s="68">
        <f t="shared" si="1"/>
        <v>0.63</v>
      </c>
      <c r="P71" s="81">
        <f t="shared" si="4"/>
        <v>7.92816</v>
      </c>
      <c r="Q71" s="51"/>
      <c r="R71" s="52"/>
    </row>
    <row r="72">
      <c r="A72" s="64">
        <f t="shared" si="3"/>
        <v>71</v>
      </c>
      <c r="B72" s="64" t="s">
        <v>26</v>
      </c>
      <c r="C72" s="64" t="s">
        <v>19</v>
      </c>
      <c r="D72" s="79" t="s">
        <v>298</v>
      </c>
      <c r="E72" s="64" t="s">
        <v>66</v>
      </c>
      <c r="F72" s="64" t="s">
        <v>22</v>
      </c>
      <c r="G72" s="64" t="s">
        <v>225</v>
      </c>
      <c r="H72" s="64" t="s">
        <v>24</v>
      </c>
      <c r="I72" s="71">
        <v>2.0</v>
      </c>
      <c r="J72" s="65">
        <v>0.3</v>
      </c>
      <c r="K72" s="65">
        <v>0.3</v>
      </c>
      <c r="L72" s="66">
        <v>45669.0</v>
      </c>
      <c r="M72" s="67">
        <v>1.9</v>
      </c>
      <c r="N72" s="64" t="s">
        <v>25</v>
      </c>
      <c r="O72" s="68">
        <f t="shared" si="1"/>
        <v>-0.3</v>
      </c>
      <c r="P72" s="81">
        <f t="shared" si="4"/>
        <v>7.62816</v>
      </c>
      <c r="Q72" s="51"/>
      <c r="R72" s="52"/>
    </row>
    <row r="73">
      <c r="A73" s="64">
        <f t="shared" si="3"/>
        <v>72</v>
      </c>
      <c r="B73" s="64" t="s">
        <v>35</v>
      </c>
      <c r="C73" s="64" t="s">
        <v>19</v>
      </c>
      <c r="D73" s="79" t="s">
        <v>299</v>
      </c>
      <c r="E73" s="82" t="s">
        <v>82</v>
      </c>
      <c r="F73" s="64" t="s">
        <v>22</v>
      </c>
      <c r="G73" s="64" t="s">
        <v>29</v>
      </c>
      <c r="H73" s="64" t="s">
        <v>24</v>
      </c>
      <c r="I73" s="71">
        <v>-2.0</v>
      </c>
      <c r="J73" s="65">
        <v>0.6</v>
      </c>
      <c r="K73" s="65">
        <v>0.6</v>
      </c>
      <c r="L73" s="66">
        <v>45669.0</v>
      </c>
      <c r="M73" s="67">
        <v>2.075</v>
      </c>
      <c r="N73" s="64" t="s">
        <v>25</v>
      </c>
      <c r="O73" s="68">
        <f t="shared" si="1"/>
        <v>-0.6</v>
      </c>
      <c r="P73" s="81">
        <f t="shared" si="4"/>
        <v>7.02816</v>
      </c>
      <c r="Q73" s="51"/>
      <c r="R73" s="52"/>
    </row>
    <row r="74">
      <c r="A74" s="64">
        <f t="shared" si="3"/>
        <v>73</v>
      </c>
      <c r="B74" s="83" t="s">
        <v>35</v>
      </c>
      <c r="C74" s="82" t="s">
        <v>19</v>
      </c>
      <c r="D74" s="79" t="s">
        <v>300</v>
      </c>
      <c r="E74" s="82" t="s">
        <v>216</v>
      </c>
      <c r="F74" s="82" t="s">
        <v>22</v>
      </c>
      <c r="G74" s="82" t="s">
        <v>29</v>
      </c>
      <c r="H74" s="64" t="s">
        <v>24</v>
      </c>
      <c r="I74" s="71">
        <v>-3.75</v>
      </c>
      <c r="J74" s="71">
        <v>0.6</v>
      </c>
      <c r="K74" s="65">
        <v>0.6</v>
      </c>
      <c r="L74" s="84">
        <v>45669.0</v>
      </c>
      <c r="M74" s="85">
        <v>1.925</v>
      </c>
      <c r="N74" s="64" t="s">
        <v>25</v>
      </c>
      <c r="O74" s="68">
        <f t="shared" si="1"/>
        <v>-0.6</v>
      </c>
      <c r="P74" s="81">
        <f t="shared" si="4"/>
        <v>6.42816</v>
      </c>
      <c r="Q74" s="51"/>
      <c r="R74" s="52"/>
    </row>
    <row r="75">
      <c r="A75" s="64">
        <f t="shared" si="3"/>
        <v>74</v>
      </c>
      <c r="B75" s="83" t="s">
        <v>35</v>
      </c>
      <c r="C75" s="82" t="s">
        <v>40</v>
      </c>
      <c r="D75" s="79" t="s">
        <v>301</v>
      </c>
      <c r="E75" s="82" t="s">
        <v>172</v>
      </c>
      <c r="F75" s="82" t="s">
        <v>22</v>
      </c>
      <c r="G75" s="82" t="s">
        <v>29</v>
      </c>
      <c r="H75" s="64" t="s">
        <v>39</v>
      </c>
      <c r="I75" s="71">
        <v>-2.0</v>
      </c>
      <c r="J75" s="71">
        <v>0.3</v>
      </c>
      <c r="K75" s="65">
        <v>0.15</v>
      </c>
      <c r="L75" s="84">
        <v>45669.0</v>
      </c>
      <c r="M75" s="85">
        <v>1.75</v>
      </c>
      <c r="N75" s="64" t="s">
        <v>33</v>
      </c>
      <c r="O75" s="68">
        <f t="shared" si="1"/>
        <v>0.1125</v>
      </c>
      <c r="P75" s="81">
        <f t="shared" si="4"/>
        <v>6.54066</v>
      </c>
      <c r="Q75" s="51"/>
      <c r="R75" s="52"/>
    </row>
    <row r="76">
      <c r="A76" s="64">
        <f t="shared" si="3"/>
        <v>75</v>
      </c>
      <c r="B76" s="64" t="s">
        <v>35</v>
      </c>
      <c r="C76" s="64" t="s">
        <v>19</v>
      </c>
      <c r="D76" s="79" t="s">
        <v>302</v>
      </c>
      <c r="E76" s="82" t="s">
        <v>169</v>
      </c>
      <c r="F76" s="82" t="s">
        <v>22</v>
      </c>
      <c r="G76" s="64" t="s">
        <v>29</v>
      </c>
      <c r="H76" s="64" t="s">
        <v>24</v>
      </c>
      <c r="I76" s="65">
        <v>-4.0</v>
      </c>
      <c r="J76" s="65">
        <v>0.7</v>
      </c>
      <c r="K76" s="65">
        <v>0.7</v>
      </c>
      <c r="L76" s="84">
        <v>45670.0</v>
      </c>
      <c r="M76" s="67">
        <v>1.9</v>
      </c>
      <c r="N76" s="64" t="s">
        <v>70</v>
      </c>
      <c r="O76" s="68">
        <f t="shared" si="1"/>
        <v>0</v>
      </c>
      <c r="P76" s="81">
        <f t="shared" si="4"/>
        <v>6.54066</v>
      </c>
      <c r="Q76" s="51"/>
      <c r="R76" s="52"/>
    </row>
    <row r="77">
      <c r="A77" s="64">
        <f t="shared" si="3"/>
        <v>76</v>
      </c>
      <c r="B77" s="64" t="s">
        <v>35</v>
      </c>
      <c r="C77" s="64" t="s">
        <v>19</v>
      </c>
      <c r="D77" s="79" t="s">
        <v>303</v>
      </c>
      <c r="E77" s="64" t="s">
        <v>169</v>
      </c>
      <c r="F77" s="64" t="s">
        <v>22</v>
      </c>
      <c r="G77" s="64" t="s">
        <v>29</v>
      </c>
      <c r="H77" s="64" t="s">
        <v>24</v>
      </c>
      <c r="I77" s="65">
        <v>-2.25</v>
      </c>
      <c r="J77" s="65">
        <v>0.8</v>
      </c>
      <c r="K77" s="65">
        <v>0.8</v>
      </c>
      <c r="L77" s="66">
        <v>45670.0</v>
      </c>
      <c r="M77" s="67">
        <v>1.875</v>
      </c>
      <c r="N77" s="64" t="s">
        <v>25</v>
      </c>
      <c r="O77" s="68">
        <f t="shared" si="1"/>
        <v>-0.8</v>
      </c>
      <c r="P77" s="81">
        <f t="shared" si="4"/>
        <v>5.74066</v>
      </c>
      <c r="Q77" s="51"/>
      <c r="R77" s="52"/>
    </row>
    <row r="78">
      <c r="A78" s="64">
        <f t="shared" si="3"/>
        <v>77</v>
      </c>
      <c r="B78" s="64" t="s">
        <v>26</v>
      </c>
      <c r="C78" s="64" t="s">
        <v>19</v>
      </c>
      <c r="D78" s="79" t="s">
        <v>304</v>
      </c>
      <c r="E78" s="64" t="s">
        <v>248</v>
      </c>
      <c r="F78" s="64" t="s">
        <v>22</v>
      </c>
      <c r="G78" s="64" t="s">
        <v>225</v>
      </c>
      <c r="H78" s="64" t="s">
        <v>24</v>
      </c>
      <c r="I78" s="65">
        <v>0.75</v>
      </c>
      <c r="J78" s="65">
        <v>0.3</v>
      </c>
      <c r="K78" s="65">
        <v>0.3</v>
      </c>
      <c r="L78" s="66">
        <v>45671.0</v>
      </c>
      <c r="M78" s="67">
        <v>1.9</v>
      </c>
      <c r="N78" s="64" t="s">
        <v>33</v>
      </c>
      <c r="O78" s="68">
        <f t="shared" si="1"/>
        <v>0.27</v>
      </c>
      <c r="P78" s="81">
        <f t="shared" si="4"/>
        <v>6.01066</v>
      </c>
    </row>
    <row r="79">
      <c r="A79" s="64">
        <f t="shared" si="3"/>
        <v>78</v>
      </c>
      <c r="B79" s="64" t="s">
        <v>26</v>
      </c>
      <c r="C79" s="64" t="s">
        <v>19</v>
      </c>
      <c r="D79" s="79" t="s">
        <v>305</v>
      </c>
      <c r="E79" s="64" t="s">
        <v>38</v>
      </c>
      <c r="F79" s="64" t="s">
        <v>22</v>
      </c>
      <c r="G79" s="64" t="s">
        <v>29</v>
      </c>
      <c r="H79" s="64" t="s">
        <v>39</v>
      </c>
      <c r="I79" s="65">
        <v>-3.25</v>
      </c>
      <c r="J79" s="65">
        <v>0.7</v>
      </c>
      <c r="K79" s="65">
        <v>0.7</v>
      </c>
      <c r="L79" s="66">
        <v>45671.0</v>
      </c>
      <c r="M79" s="67">
        <v>1.95</v>
      </c>
      <c r="N79" s="64" t="s">
        <v>30</v>
      </c>
      <c r="O79" s="68">
        <f t="shared" si="1"/>
        <v>0.3325</v>
      </c>
      <c r="P79" s="81">
        <f t="shared" si="4"/>
        <v>6.34316</v>
      </c>
    </row>
    <row r="80">
      <c r="A80" s="64">
        <f t="shared" si="3"/>
        <v>79</v>
      </c>
      <c r="B80" s="64" t="s">
        <v>26</v>
      </c>
      <c r="C80" s="64" t="s">
        <v>19</v>
      </c>
      <c r="D80" s="79" t="s">
        <v>306</v>
      </c>
      <c r="E80" s="64" t="s">
        <v>227</v>
      </c>
      <c r="F80" s="64" t="s">
        <v>22</v>
      </c>
      <c r="G80" s="64" t="s">
        <v>29</v>
      </c>
      <c r="H80" s="64" t="s">
        <v>39</v>
      </c>
      <c r="I80" s="65">
        <v>-4.25</v>
      </c>
      <c r="J80" s="65">
        <v>0.7</v>
      </c>
      <c r="K80" s="65">
        <v>0.7</v>
      </c>
      <c r="L80" s="66">
        <v>45671.0</v>
      </c>
      <c r="M80" s="67">
        <v>1.825</v>
      </c>
      <c r="N80" s="64" t="s">
        <v>25</v>
      </c>
      <c r="O80" s="68">
        <f t="shared" si="1"/>
        <v>-0.7</v>
      </c>
      <c r="P80" s="81">
        <f t="shared" si="4"/>
        <v>5.64316</v>
      </c>
    </row>
    <row r="81">
      <c r="A81" s="64">
        <f t="shared" si="3"/>
        <v>80</v>
      </c>
      <c r="B81" s="64" t="s">
        <v>35</v>
      </c>
      <c r="C81" s="64" t="s">
        <v>19</v>
      </c>
      <c r="D81" s="79" t="s">
        <v>307</v>
      </c>
      <c r="E81" s="64" t="s">
        <v>227</v>
      </c>
      <c r="F81" s="64" t="s">
        <v>22</v>
      </c>
      <c r="G81" s="64" t="s">
        <v>29</v>
      </c>
      <c r="H81" s="64" t="s">
        <v>39</v>
      </c>
      <c r="I81" s="65">
        <v>-1.0</v>
      </c>
      <c r="J81" s="65">
        <v>0.4</v>
      </c>
      <c r="K81" s="65">
        <v>0.4</v>
      </c>
      <c r="L81" s="66">
        <v>45671.0</v>
      </c>
      <c r="M81" s="67">
        <v>1.95</v>
      </c>
      <c r="N81" s="64" t="s">
        <v>33</v>
      </c>
      <c r="O81" s="68">
        <f t="shared" si="1"/>
        <v>0.38</v>
      </c>
      <c r="P81" s="68">
        <f t="shared" si="4"/>
        <v>6.02316</v>
      </c>
    </row>
    <row r="82">
      <c r="A82" s="64">
        <f t="shared" si="3"/>
        <v>81</v>
      </c>
      <c r="B82" s="64" t="s">
        <v>35</v>
      </c>
      <c r="C82" s="64" t="s">
        <v>19</v>
      </c>
      <c r="D82" s="79" t="s">
        <v>308</v>
      </c>
      <c r="E82" s="64" t="s">
        <v>214</v>
      </c>
      <c r="F82" s="64" t="s">
        <v>22</v>
      </c>
      <c r="G82" s="64" t="s">
        <v>29</v>
      </c>
      <c r="H82" s="64" t="s">
        <v>39</v>
      </c>
      <c r="I82" s="65">
        <v>-2.0</v>
      </c>
      <c r="J82" s="65">
        <v>0.4</v>
      </c>
      <c r="K82" s="65">
        <v>0.4</v>
      </c>
      <c r="L82" s="66">
        <v>45671.0</v>
      </c>
      <c r="M82" s="67">
        <v>2.025</v>
      </c>
      <c r="N82" s="64" t="s">
        <v>25</v>
      </c>
      <c r="O82" s="68">
        <f t="shared" si="1"/>
        <v>-0.4</v>
      </c>
      <c r="P82" s="68">
        <f t="shared" si="4"/>
        <v>5.62316</v>
      </c>
    </row>
    <row r="83">
      <c r="A83" s="64">
        <f t="shared" si="3"/>
        <v>82</v>
      </c>
      <c r="B83" s="64" t="s">
        <v>26</v>
      </c>
      <c r="C83" s="64" t="s">
        <v>19</v>
      </c>
      <c r="D83" s="86" t="s">
        <v>309</v>
      </c>
      <c r="E83" s="64" t="s">
        <v>28</v>
      </c>
      <c r="F83" s="64" t="s">
        <v>22</v>
      </c>
      <c r="G83" s="64" t="s">
        <v>29</v>
      </c>
      <c r="H83" s="64" t="s">
        <v>39</v>
      </c>
      <c r="I83" s="65">
        <v>-2.75</v>
      </c>
      <c r="J83" s="65">
        <v>0.7</v>
      </c>
      <c r="K83" s="65">
        <v>0.7</v>
      </c>
      <c r="L83" s="66">
        <v>45672.0</v>
      </c>
      <c r="M83" s="67">
        <v>1.975</v>
      </c>
      <c r="N83" s="64" t="s">
        <v>25</v>
      </c>
      <c r="O83" s="68">
        <f t="shared" si="1"/>
        <v>-0.7</v>
      </c>
      <c r="P83" s="68">
        <f t="shared" si="4"/>
        <v>4.92316</v>
      </c>
    </row>
    <row r="84">
      <c r="A84" s="64">
        <f t="shared" si="3"/>
        <v>83</v>
      </c>
      <c r="B84" s="64" t="s">
        <v>35</v>
      </c>
      <c r="C84" s="64" t="s">
        <v>19</v>
      </c>
      <c r="D84" s="64" t="s">
        <v>310</v>
      </c>
      <c r="E84" s="64" t="s">
        <v>245</v>
      </c>
      <c r="F84" s="64" t="s">
        <v>22</v>
      </c>
      <c r="G84" s="64" t="s">
        <v>29</v>
      </c>
      <c r="H84" s="64" t="s">
        <v>24</v>
      </c>
      <c r="I84" s="65">
        <v>-3.5</v>
      </c>
      <c r="J84" s="65">
        <v>0.7</v>
      </c>
      <c r="K84" s="65">
        <v>0.7</v>
      </c>
      <c r="L84" s="66">
        <v>45672.0</v>
      </c>
      <c r="M84" s="67">
        <v>1.925</v>
      </c>
      <c r="N84" s="64" t="s">
        <v>33</v>
      </c>
      <c r="O84" s="68">
        <f t="shared" si="1"/>
        <v>0.6475</v>
      </c>
      <c r="P84" s="68">
        <f t="shared" si="4"/>
        <v>5.57066</v>
      </c>
    </row>
    <row r="85">
      <c r="A85" s="64">
        <f t="shared" si="3"/>
        <v>84</v>
      </c>
      <c r="B85" s="64" t="s">
        <v>26</v>
      </c>
      <c r="C85" s="64" t="s">
        <v>19</v>
      </c>
      <c r="D85" s="64" t="s">
        <v>311</v>
      </c>
      <c r="E85" s="64" t="s">
        <v>28</v>
      </c>
      <c r="F85" s="64" t="s">
        <v>22</v>
      </c>
      <c r="G85" s="64" t="s">
        <v>29</v>
      </c>
      <c r="H85" s="64" t="s">
        <v>39</v>
      </c>
      <c r="I85" s="65">
        <v>-2.75</v>
      </c>
      <c r="J85" s="65">
        <v>0.7</v>
      </c>
      <c r="K85" s="65">
        <v>0.7</v>
      </c>
      <c r="L85" s="66">
        <v>45672.0</v>
      </c>
      <c r="M85" s="67">
        <v>2.0</v>
      </c>
      <c r="N85" s="64" t="s">
        <v>33</v>
      </c>
      <c r="O85" s="68">
        <f t="shared" si="1"/>
        <v>0.7</v>
      </c>
      <c r="P85" s="68">
        <f t="shared" si="4"/>
        <v>6.27066</v>
      </c>
    </row>
    <row r="86">
      <c r="A86" s="64">
        <f t="shared" si="3"/>
        <v>85</v>
      </c>
      <c r="B86" s="64" t="s">
        <v>26</v>
      </c>
      <c r="C86" s="64" t="s">
        <v>40</v>
      </c>
      <c r="D86" s="64" t="s">
        <v>312</v>
      </c>
      <c r="E86" s="64" t="s">
        <v>191</v>
      </c>
      <c r="F86" s="64" t="s">
        <v>22</v>
      </c>
      <c r="G86" s="64" t="s">
        <v>29</v>
      </c>
      <c r="H86" s="64" t="s">
        <v>24</v>
      </c>
      <c r="I86" s="65">
        <v>-2.0</v>
      </c>
      <c r="J86" s="65">
        <v>0.7</v>
      </c>
      <c r="K86" s="65">
        <v>0.7</v>
      </c>
      <c r="L86" s="66">
        <v>45672.0</v>
      </c>
      <c r="M86" s="67">
        <v>2.025</v>
      </c>
      <c r="N86" s="64" t="s">
        <v>33</v>
      </c>
      <c r="O86" s="68">
        <f t="shared" si="1"/>
        <v>0.7175</v>
      </c>
      <c r="P86" s="68">
        <f t="shared" si="4"/>
        <v>6.98816</v>
      </c>
    </row>
    <row r="87">
      <c r="A87" s="64">
        <f t="shared" si="3"/>
        <v>86</v>
      </c>
      <c r="B87" s="64" t="s">
        <v>35</v>
      </c>
      <c r="C87" s="64" t="s">
        <v>19</v>
      </c>
      <c r="D87" s="64" t="s">
        <v>313</v>
      </c>
      <c r="E87" s="64" t="s">
        <v>187</v>
      </c>
      <c r="F87" s="64" t="s">
        <v>22</v>
      </c>
      <c r="G87" s="64" t="s">
        <v>29</v>
      </c>
      <c r="H87" s="64" t="s">
        <v>39</v>
      </c>
      <c r="I87" s="65">
        <v>-2.5</v>
      </c>
      <c r="J87" s="65">
        <v>0.4</v>
      </c>
      <c r="K87" s="65">
        <v>0.1272</v>
      </c>
      <c r="L87" s="69">
        <v>45672.0</v>
      </c>
      <c r="M87" s="67">
        <v>2.025</v>
      </c>
      <c r="N87" s="64" t="s">
        <v>33</v>
      </c>
      <c r="O87" s="68">
        <f t="shared" si="1"/>
        <v>0.13038</v>
      </c>
      <c r="P87" s="68">
        <f t="shared" si="4"/>
        <v>7.11854</v>
      </c>
    </row>
    <row r="88">
      <c r="A88" s="64">
        <f t="shared" si="3"/>
        <v>87</v>
      </c>
      <c r="B88" s="64" t="s">
        <v>26</v>
      </c>
      <c r="C88" s="64" t="s">
        <v>19</v>
      </c>
      <c r="D88" s="64" t="s">
        <v>314</v>
      </c>
      <c r="E88" s="64" t="s">
        <v>233</v>
      </c>
      <c r="F88" s="64" t="s">
        <v>22</v>
      </c>
      <c r="G88" s="64" t="s">
        <v>29</v>
      </c>
      <c r="H88" s="64" t="s">
        <v>24</v>
      </c>
      <c r="I88" s="65">
        <v>-2.0</v>
      </c>
      <c r="J88" s="65">
        <v>0.7</v>
      </c>
      <c r="K88" s="65">
        <v>0.7</v>
      </c>
      <c r="L88" s="69">
        <v>45672.0</v>
      </c>
      <c r="M88" s="67">
        <v>1.8</v>
      </c>
      <c r="N88" s="64" t="s">
        <v>25</v>
      </c>
      <c r="O88" s="68">
        <f t="shared" si="1"/>
        <v>-0.7</v>
      </c>
      <c r="P88" s="68">
        <f t="shared" si="4"/>
        <v>6.41854</v>
      </c>
    </row>
    <row r="89">
      <c r="A89" s="64">
        <f t="shared" si="3"/>
        <v>88</v>
      </c>
      <c r="B89" s="64" t="s">
        <v>35</v>
      </c>
      <c r="C89" s="64" t="s">
        <v>19</v>
      </c>
      <c r="D89" s="64" t="s">
        <v>315</v>
      </c>
      <c r="E89" s="64" t="s">
        <v>316</v>
      </c>
      <c r="F89" s="64" t="s">
        <v>22</v>
      </c>
      <c r="G89" s="64" t="s">
        <v>29</v>
      </c>
      <c r="H89" s="64" t="s">
        <v>24</v>
      </c>
      <c r="I89" s="65">
        <v>-3.75</v>
      </c>
      <c r="J89" s="65">
        <v>0.7</v>
      </c>
      <c r="K89" s="65">
        <v>0.3804</v>
      </c>
      <c r="L89" s="69">
        <v>45672.0</v>
      </c>
      <c r="M89" s="67">
        <v>1.8</v>
      </c>
      <c r="N89" s="64" t="s">
        <v>33</v>
      </c>
      <c r="O89" s="68">
        <f t="shared" si="1"/>
        <v>0.30432</v>
      </c>
      <c r="P89" s="68">
        <f t="shared" si="4"/>
        <v>6.72286</v>
      </c>
    </row>
    <row r="90">
      <c r="A90" s="64">
        <f t="shared" si="3"/>
        <v>89</v>
      </c>
      <c r="B90" s="64" t="s">
        <v>35</v>
      </c>
      <c r="C90" s="64" t="s">
        <v>19</v>
      </c>
      <c r="D90" s="64" t="s">
        <v>317</v>
      </c>
      <c r="E90" s="64" t="s">
        <v>82</v>
      </c>
      <c r="F90" s="64" t="s">
        <v>22</v>
      </c>
      <c r="G90" s="64" t="s">
        <v>29</v>
      </c>
      <c r="H90" s="64" t="s">
        <v>24</v>
      </c>
      <c r="I90" s="65">
        <v>-4.0</v>
      </c>
      <c r="J90" s="65">
        <v>0.7</v>
      </c>
      <c r="K90" s="65">
        <v>0.3956</v>
      </c>
      <c r="L90" s="69">
        <v>45672.0</v>
      </c>
      <c r="M90" s="67">
        <v>1.8</v>
      </c>
      <c r="N90" s="64" t="s">
        <v>33</v>
      </c>
      <c r="O90" s="68">
        <f t="shared" si="1"/>
        <v>0.31648</v>
      </c>
      <c r="P90" s="68">
        <f t="shared" si="4"/>
        <v>7.03934</v>
      </c>
    </row>
    <row r="91">
      <c r="A91" s="64">
        <f t="shared" si="3"/>
        <v>90</v>
      </c>
      <c r="B91" s="64" t="s">
        <v>35</v>
      </c>
      <c r="C91" s="64" t="s">
        <v>40</v>
      </c>
      <c r="D91" s="64" t="s">
        <v>318</v>
      </c>
      <c r="E91" s="64" t="s">
        <v>319</v>
      </c>
      <c r="F91" s="64" t="s">
        <v>22</v>
      </c>
      <c r="G91" s="64" t="s">
        <v>29</v>
      </c>
      <c r="H91" s="64" t="s">
        <v>39</v>
      </c>
      <c r="I91" s="65">
        <v>-4.5</v>
      </c>
      <c r="J91" s="65">
        <v>0.4</v>
      </c>
      <c r="K91" s="65">
        <v>0.1043</v>
      </c>
      <c r="L91" s="69">
        <v>45672.0</v>
      </c>
      <c r="M91" s="67">
        <v>2.0</v>
      </c>
      <c r="N91" s="64" t="s">
        <v>25</v>
      </c>
      <c r="O91" s="68">
        <f t="shared" si="1"/>
        <v>-0.1043</v>
      </c>
      <c r="P91" s="68">
        <f t="shared" si="4"/>
        <v>6.93504</v>
      </c>
    </row>
    <row r="92">
      <c r="A92" s="64">
        <f t="shared" si="3"/>
        <v>91</v>
      </c>
      <c r="B92" s="64" t="s">
        <v>35</v>
      </c>
      <c r="C92" s="64" t="s">
        <v>40</v>
      </c>
      <c r="D92" s="64" t="s">
        <v>320</v>
      </c>
      <c r="E92" s="64" t="s">
        <v>214</v>
      </c>
      <c r="F92" s="64" t="s">
        <v>22</v>
      </c>
      <c r="G92" s="64" t="s">
        <v>29</v>
      </c>
      <c r="H92" s="64" t="s">
        <v>39</v>
      </c>
      <c r="I92" s="65">
        <v>-2.0</v>
      </c>
      <c r="J92" s="65">
        <v>0.4</v>
      </c>
      <c r="K92" s="65">
        <f>0.4*16/22</f>
        <v>0.2909090909</v>
      </c>
      <c r="L92" s="69">
        <v>45672.0</v>
      </c>
      <c r="M92" s="67">
        <v>2.075</v>
      </c>
      <c r="N92" s="64" t="s">
        <v>33</v>
      </c>
      <c r="O92" s="68">
        <f t="shared" si="1"/>
        <v>0.3127272727</v>
      </c>
      <c r="P92" s="68">
        <f t="shared" si="4"/>
        <v>7.247767273</v>
      </c>
    </row>
    <row r="93">
      <c r="A93" s="64">
        <f t="shared" si="3"/>
        <v>92</v>
      </c>
      <c r="B93" s="64" t="s">
        <v>26</v>
      </c>
      <c r="C93" s="64" t="s">
        <v>19</v>
      </c>
      <c r="D93" s="64" t="s">
        <v>321</v>
      </c>
      <c r="E93" s="64" t="s">
        <v>162</v>
      </c>
      <c r="F93" s="64" t="s">
        <v>22</v>
      </c>
      <c r="G93" s="64" t="s">
        <v>29</v>
      </c>
      <c r="H93" s="64" t="s">
        <v>39</v>
      </c>
      <c r="I93" s="65">
        <v>-2.5</v>
      </c>
      <c r="J93" s="65">
        <v>0.7</v>
      </c>
      <c r="K93" s="65">
        <v>0.7</v>
      </c>
      <c r="L93" s="69">
        <v>45673.0</v>
      </c>
      <c r="M93" s="67">
        <v>1.95</v>
      </c>
      <c r="N93" s="64" t="s">
        <v>25</v>
      </c>
      <c r="O93" s="68">
        <f t="shared" si="1"/>
        <v>-0.7</v>
      </c>
      <c r="P93" s="68">
        <f t="shared" si="4"/>
        <v>6.547767273</v>
      </c>
    </row>
    <row r="94">
      <c r="A94" s="64">
        <f t="shared" si="3"/>
        <v>93</v>
      </c>
      <c r="B94" s="64" t="s">
        <v>35</v>
      </c>
      <c r="C94" s="64" t="s">
        <v>19</v>
      </c>
      <c r="D94" s="64" t="s">
        <v>322</v>
      </c>
      <c r="E94" s="64" t="s">
        <v>187</v>
      </c>
      <c r="F94" s="64" t="s">
        <v>22</v>
      </c>
      <c r="G94" s="64" t="s">
        <v>29</v>
      </c>
      <c r="H94" s="64" t="s">
        <v>39</v>
      </c>
      <c r="I94" s="65">
        <v>-0.75</v>
      </c>
      <c r="J94" s="65">
        <v>0.4</v>
      </c>
      <c r="K94" s="65">
        <v>0.4</v>
      </c>
      <c r="L94" s="66">
        <v>45673.0</v>
      </c>
      <c r="M94" s="67">
        <v>2.0</v>
      </c>
      <c r="N94" s="64" t="s">
        <v>79</v>
      </c>
      <c r="O94" s="68">
        <f t="shared" si="1"/>
        <v>-0.2</v>
      </c>
      <c r="P94" s="68">
        <f t="shared" si="4"/>
        <v>6.347767273</v>
      </c>
    </row>
    <row r="95">
      <c r="A95" s="64">
        <f t="shared" si="3"/>
        <v>94</v>
      </c>
      <c r="B95" s="64" t="s">
        <v>26</v>
      </c>
      <c r="C95" s="64" t="s">
        <v>19</v>
      </c>
      <c r="D95" s="64" t="s">
        <v>323</v>
      </c>
      <c r="E95" s="64" t="s">
        <v>162</v>
      </c>
      <c r="F95" s="64" t="s">
        <v>22</v>
      </c>
      <c r="G95" s="64" t="s">
        <v>225</v>
      </c>
      <c r="H95" s="64" t="s">
        <v>39</v>
      </c>
      <c r="I95" s="65">
        <v>1.75</v>
      </c>
      <c r="J95" s="65">
        <v>0.3</v>
      </c>
      <c r="K95" s="65">
        <v>0.3</v>
      </c>
      <c r="L95" s="66">
        <v>45673.0</v>
      </c>
      <c r="M95" s="67">
        <v>1.95</v>
      </c>
      <c r="N95" s="64" t="s">
        <v>25</v>
      </c>
      <c r="O95" s="68">
        <f t="shared" si="1"/>
        <v>-0.3</v>
      </c>
      <c r="P95" s="68">
        <f t="shared" si="4"/>
        <v>6.047767273</v>
      </c>
    </row>
    <row r="96">
      <c r="A96" s="64">
        <f t="shared" si="3"/>
        <v>95</v>
      </c>
      <c r="B96" s="64" t="s">
        <v>35</v>
      </c>
      <c r="C96" s="64" t="s">
        <v>19</v>
      </c>
      <c r="D96" s="64" t="s">
        <v>324</v>
      </c>
      <c r="E96" s="64" t="s">
        <v>248</v>
      </c>
      <c r="F96" s="64" t="s">
        <v>22</v>
      </c>
      <c r="G96" s="64" t="s">
        <v>29</v>
      </c>
      <c r="H96" s="64" t="s">
        <v>24</v>
      </c>
      <c r="I96" s="65">
        <v>-0.75</v>
      </c>
      <c r="J96" s="65">
        <v>0.7</v>
      </c>
      <c r="K96" s="65">
        <v>0.7</v>
      </c>
      <c r="L96" s="66">
        <v>45673.0</v>
      </c>
      <c r="M96" s="67">
        <v>1.85</v>
      </c>
      <c r="N96" s="64" t="s">
        <v>33</v>
      </c>
      <c r="O96" s="68">
        <f t="shared" si="1"/>
        <v>0.595</v>
      </c>
      <c r="P96" s="68">
        <f t="shared" si="4"/>
        <v>6.642767273</v>
      </c>
    </row>
    <row r="97">
      <c r="A97" s="64">
        <f t="shared" si="3"/>
        <v>96</v>
      </c>
      <c r="B97" s="64" t="s">
        <v>26</v>
      </c>
      <c r="C97" s="64" t="s">
        <v>19</v>
      </c>
      <c r="D97" s="64" t="s">
        <v>325</v>
      </c>
      <c r="E97" s="64" t="s">
        <v>227</v>
      </c>
      <c r="F97" s="64" t="s">
        <v>22</v>
      </c>
      <c r="G97" s="64" t="s">
        <v>29</v>
      </c>
      <c r="H97" s="64" t="s">
        <v>39</v>
      </c>
      <c r="I97" s="65">
        <v>-3.25</v>
      </c>
      <c r="J97" s="65">
        <v>0.7</v>
      </c>
      <c r="K97" s="65">
        <v>0.7</v>
      </c>
      <c r="L97" s="66">
        <v>45673.0</v>
      </c>
      <c r="M97" s="67">
        <v>1.85</v>
      </c>
      <c r="N97" s="64" t="s">
        <v>25</v>
      </c>
      <c r="O97" s="68">
        <f t="shared" si="1"/>
        <v>-0.7</v>
      </c>
      <c r="P97" s="68">
        <f t="shared" si="4"/>
        <v>5.942767273</v>
      </c>
    </row>
    <row r="98">
      <c r="A98" s="64">
        <f t="shared" si="3"/>
        <v>97</v>
      </c>
      <c r="B98" s="64" t="s">
        <v>26</v>
      </c>
      <c r="C98" s="64" t="s">
        <v>19</v>
      </c>
      <c r="D98" s="64" t="s">
        <v>326</v>
      </c>
      <c r="E98" s="64" t="s">
        <v>82</v>
      </c>
      <c r="F98" s="64" t="s">
        <v>22</v>
      </c>
      <c r="G98" s="64" t="s">
        <v>29</v>
      </c>
      <c r="H98" s="64" t="s">
        <v>39</v>
      </c>
      <c r="I98" s="65">
        <v>-2.0</v>
      </c>
      <c r="J98" s="65">
        <v>0.7</v>
      </c>
      <c r="K98" s="65">
        <v>0.7</v>
      </c>
      <c r="L98" s="69">
        <v>45673.0</v>
      </c>
      <c r="M98" s="67">
        <v>2.0</v>
      </c>
      <c r="N98" s="64" t="s">
        <v>70</v>
      </c>
      <c r="O98" s="68">
        <f t="shared" si="1"/>
        <v>0</v>
      </c>
      <c r="P98" s="68">
        <f t="shared" si="4"/>
        <v>5.942767273</v>
      </c>
    </row>
    <row r="99">
      <c r="A99" s="64">
        <f t="shared" si="3"/>
        <v>98</v>
      </c>
      <c r="B99" s="64" t="s">
        <v>26</v>
      </c>
      <c r="C99" s="64" t="s">
        <v>19</v>
      </c>
      <c r="D99" s="64" t="s">
        <v>327</v>
      </c>
      <c r="E99" s="64" t="s">
        <v>204</v>
      </c>
      <c r="F99" s="64" t="s">
        <v>22</v>
      </c>
      <c r="G99" s="64" t="s">
        <v>225</v>
      </c>
      <c r="H99" s="64"/>
      <c r="I99" s="65">
        <v>1.5</v>
      </c>
      <c r="J99" s="65">
        <v>0.3</v>
      </c>
      <c r="K99" s="65">
        <v>0.3</v>
      </c>
      <c r="L99" s="66">
        <v>45673.0</v>
      </c>
      <c r="M99" s="67">
        <v>1.875</v>
      </c>
      <c r="N99" s="64" t="s">
        <v>33</v>
      </c>
      <c r="O99" s="68">
        <f t="shared" si="1"/>
        <v>0.2625</v>
      </c>
      <c r="P99" s="68">
        <f t="shared" si="4"/>
        <v>6.205267273</v>
      </c>
    </row>
    <row r="100">
      <c r="A100" s="64">
        <f t="shared" si="3"/>
        <v>99</v>
      </c>
      <c r="B100" s="64" t="s">
        <v>26</v>
      </c>
      <c r="C100" s="64" t="s">
        <v>19</v>
      </c>
      <c r="D100" s="64" t="s">
        <v>328</v>
      </c>
      <c r="E100" s="64" t="s">
        <v>204</v>
      </c>
      <c r="F100" s="64" t="s">
        <v>22</v>
      </c>
      <c r="G100" s="64" t="s">
        <v>29</v>
      </c>
      <c r="H100" s="64"/>
      <c r="I100" s="65">
        <v>-3.75</v>
      </c>
      <c r="J100" s="65">
        <v>0.7</v>
      </c>
      <c r="K100" s="65">
        <v>0.7</v>
      </c>
      <c r="L100" s="69">
        <v>45673.0</v>
      </c>
      <c r="M100" s="67">
        <v>1.825</v>
      </c>
      <c r="N100" s="64" t="s">
        <v>33</v>
      </c>
      <c r="O100" s="68">
        <f t="shared" si="1"/>
        <v>0.5775</v>
      </c>
      <c r="P100" s="68">
        <f t="shared" si="4"/>
        <v>6.782767273</v>
      </c>
    </row>
    <row r="101">
      <c r="A101" s="64">
        <f t="shared" si="3"/>
        <v>100</v>
      </c>
      <c r="B101" s="64" t="s">
        <v>35</v>
      </c>
      <c r="C101" s="64" t="s">
        <v>19</v>
      </c>
      <c r="D101" s="64" t="s">
        <v>329</v>
      </c>
      <c r="E101" s="64" t="s">
        <v>157</v>
      </c>
      <c r="F101" s="64" t="s">
        <v>22</v>
      </c>
      <c r="G101" s="64" t="s">
        <v>29</v>
      </c>
      <c r="H101" s="64" t="s">
        <v>24</v>
      </c>
      <c r="I101" s="65">
        <v>-1.0</v>
      </c>
      <c r="J101" s="65">
        <v>0.7</v>
      </c>
      <c r="K101" s="65">
        <v>0.7</v>
      </c>
      <c r="L101" s="66">
        <v>45674.0</v>
      </c>
      <c r="M101" s="67">
        <v>2.0</v>
      </c>
      <c r="N101" s="64" t="s">
        <v>70</v>
      </c>
      <c r="O101" s="68">
        <f t="shared" si="1"/>
        <v>0</v>
      </c>
      <c r="P101" s="68">
        <f t="shared" si="4"/>
        <v>6.782767273</v>
      </c>
    </row>
    <row r="102">
      <c r="A102" s="64">
        <f t="shared" si="3"/>
        <v>101</v>
      </c>
      <c r="B102" s="64" t="s">
        <v>35</v>
      </c>
      <c r="C102" s="64" t="s">
        <v>19</v>
      </c>
      <c r="D102" s="64" t="s">
        <v>330</v>
      </c>
      <c r="E102" s="64" t="s">
        <v>167</v>
      </c>
      <c r="F102" s="64" t="s">
        <v>22</v>
      </c>
      <c r="G102" s="64" t="s">
        <v>29</v>
      </c>
      <c r="H102" s="64" t="s">
        <v>39</v>
      </c>
      <c r="I102" s="65">
        <v>-4.0</v>
      </c>
      <c r="J102" s="65">
        <v>0.4</v>
      </c>
      <c r="K102" s="65">
        <v>0.4</v>
      </c>
      <c r="L102" s="66">
        <v>45674.0</v>
      </c>
      <c r="M102" s="67">
        <v>1.85</v>
      </c>
      <c r="N102" s="64" t="s">
        <v>33</v>
      </c>
      <c r="O102" s="68">
        <f t="shared" si="1"/>
        <v>0.34</v>
      </c>
      <c r="P102" s="68">
        <f t="shared" si="4"/>
        <v>7.122767273</v>
      </c>
    </row>
    <row r="103">
      <c r="A103" s="64">
        <f t="shared" si="3"/>
        <v>102</v>
      </c>
      <c r="B103" s="64" t="s">
        <v>26</v>
      </c>
      <c r="C103" s="64" t="s">
        <v>19</v>
      </c>
      <c r="D103" s="64" t="s">
        <v>331</v>
      </c>
      <c r="E103" s="64" t="s">
        <v>167</v>
      </c>
      <c r="F103" s="64" t="s">
        <v>22</v>
      </c>
      <c r="G103" s="64" t="s">
        <v>29</v>
      </c>
      <c r="H103" s="64" t="s">
        <v>39</v>
      </c>
      <c r="I103" s="65">
        <v>-4.0</v>
      </c>
      <c r="J103" s="65">
        <v>0.7</v>
      </c>
      <c r="K103" s="65">
        <v>0.7</v>
      </c>
      <c r="L103" s="66">
        <v>45674.0</v>
      </c>
      <c r="M103" s="67">
        <v>1.875</v>
      </c>
      <c r="N103" s="64" t="s">
        <v>33</v>
      </c>
      <c r="O103" s="68">
        <f t="shared" si="1"/>
        <v>0.6125</v>
      </c>
      <c r="P103" s="68">
        <f t="shared" si="4"/>
        <v>7.735267273</v>
      </c>
    </row>
    <row r="104">
      <c r="A104" s="64">
        <f t="shared" si="3"/>
        <v>103</v>
      </c>
      <c r="B104" s="64" t="s">
        <v>26</v>
      </c>
      <c r="C104" s="64" t="s">
        <v>19</v>
      </c>
      <c r="D104" s="64" t="s">
        <v>332</v>
      </c>
      <c r="E104" s="64" t="s">
        <v>88</v>
      </c>
      <c r="F104" s="64" t="s">
        <v>22</v>
      </c>
      <c r="G104" s="64" t="s">
        <v>29</v>
      </c>
      <c r="H104" s="64" t="s">
        <v>39</v>
      </c>
      <c r="I104" s="65">
        <v>-2.75</v>
      </c>
      <c r="J104" s="65">
        <v>0.7</v>
      </c>
      <c r="K104" s="65">
        <v>0.7</v>
      </c>
      <c r="L104" s="69">
        <v>45674.0</v>
      </c>
      <c r="M104" s="67">
        <v>1.875</v>
      </c>
      <c r="N104" s="64" t="s">
        <v>33</v>
      </c>
      <c r="O104" s="68">
        <f t="shared" si="1"/>
        <v>0.6125</v>
      </c>
      <c r="P104" s="68">
        <f t="shared" si="4"/>
        <v>8.347767273</v>
      </c>
    </row>
    <row r="105">
      <c r="A105" s="64">
        <f t="shared" si="3"/>
        <v>104</v>
      </c>
      <c r="B105" s="64" t="s">
        <v>35</v>
      </c>
      <c r="C105" s="64" t="s">
        <v>19</v>
      </c>
      <c r="D105" s="64" t="s">
        <v>333</v>
      </c>
      <c r="E105" s="64" t="s">
        <v>167</v>
      </c>
      <c r="F105" s="64" t="s">
        <v>22</v>
      </c>
      <c r="G105" s="64" t="s">
        <v>29</v>
      </c>
      <c r="H105" s="64" t="s">
        <v>24</v>
      </c>
      <c r="I105" s="65">
        <v>-2.0</v>
      </c>
      <c r="J105" s="65">
        <v>0.7</v>
      </c>
      <c r="K105" s="65">
        <v>0.7</v>
      </c>
      <c r="L105" s="66">
        <v>45674.0</v>
      </c>
      <c r="M105" s="67">
        <v>2.075</v>
      </c>
      <c r="N105" s="64" t="s">
        <v>25</v>
      </c>
      <c r="O105" s="68">
        <f t="shared" si="1"/>
        <v>-0.7</v>
      </c>
      <c r="P105" s="68">
        <f t="shared" si="4"/>
        <v>7.647767273</v>
      </c>
    </row>
    <row r="106">
      <c r="A106" s="64">
        <f t="shared" si="3"/>
        <v>105</v>
      </c>
      <c r="B106" s="64" t="s">
        <v>35</v>
      </c>
      <c r="C106" s="64" t="s">
        <v>19</v>
      </c>
      <c r="D106" s="64" t="s">
        <v>334</v>
      </c>
      <c r="E106" s="64" t="s">
        <v>88</v>
      </c>
      <c r="F106" s="64" t="s">
        <v>22</v>
      </c>
      <c r="G106" s="64" t="s">
        <v>29</v>
      </c>
      <c r="H106" s="64" t="s">
        <v>39</v>
      </c>
      <c r="I106" s="65">
        <v>-1.0</v>
      </c>
      <c r="J106" s="65">
        <v>0.4</v>
      </c>
      <c r="K106" s="65">
        <v>0.4</v>
      </c>
      <c r="L106" s="66">
        <v>45674.0</v>
      </c>
      <c r="M106" s="67">
        <v>1.725</v>
      </c>
      <c r="N106" s="64" t="s">
        <v>33</v>
      </c>
      <c r="O106" s="68">
        <f t="shared" si="1"/>
        <v>0.29</v>
      </c>
      <c r="P106" s="68">
        <f t="shared" si="4"/>
        <v>7.937767273</v>
      </c>
    </row>
    <row r="107">
      <c r="A107" s="64">
        <f t="shared" si="3"/>
        <v>106</v>
      </c>
      <c r="B107" s="64" t="s">
        <v>26</v>
      </c>
      <c r="C107" s="64" t="s">
        <v>19</v>
      </c>
      <c r="D107" s="64" t="s">
        <v>335</v>
      </c>
      <c r="E107" s="64" t="s">
        <v>42</v>
      </c>
      <c r="F107" s="64" t="s">
        <v>22</v>
      </c>
      <c r="G107" s="64" t="s">
        <v>29</v>
      </c>
      <c r="H107" s="64" t="s">
        <v>24</v>
      </c>
      <c r="I107" s="65">
        <v>-3.25</v>
      </c>
      <c r="J107" s="65">
        <v>0.7</v>
      </c>
      <c r="K107" s="65">
        <v>0.7</v>
      </c>
      <c r="L107" s="66">
        <v>45674.0</v>
      </c>
      <c r="M107" s="67">
        <v>1.9</v>
      </c>
      <c r="N107" s="64" t="s">
        <v>33</v>
      </c>
      <c r="O107" s="68">
        <f t="shared" si="1"/>
        <v>0.63</v>
      </c>
      <c r="P107" s="68">
        <f t="shared" si="4"/>
        <v>8.567767273</v>
      </c>
    </row>
    <row r="108">
      <c r="A108" s="64">
        <f t="shared" si="3"/>
        <v>107</v>
      </c>
      <c r="B108" s="64" t="s">
        <v>35</v>
      </c>
      <c r="C108" s="64" t="s">
        <v>19</v>
      </c>
      <c r="D108" s="64" t="s">
        <v>336</v>
      </c>
      <c r="E108" s="64" t="s">
        <v>248</v>
      </c>
      <c r="F108" s="64" t="s">
        <v>22</v>
      </c>
      <c r="G108" s="64" t="s">
        <v>29</v>
      </c>
      <c r="H108" s="64" t="s">
        <v>24</v>
      </c>
      <c r="I108" s="65">
        <v>-0.75</v>
      </c>
      <c r="J108" s="65">
        <v>0.7</v>
      </c>
      <c r="K108" s="65">
        <v>0.7</v>
      </c>
      <c r="L108" s="66">
        <v>45674.0</v>
      </c>
      <c r="M108" s="67">
        <v>2.025</v>
      </c>
      <c r="N108" s="64" t="s">
        <v>33</v>
      </c>
      <c r="O108" s="68">
        <f t="shared" si="1"/>
        <v>0.7175</v>
      </c>
      <c r="P108" s="68">
        <f t="shared" si="4"/>
        <v>9.285267273</v>
      </c>
    </row>
    <row r="109">
      <c r="A109" s="64">
        <f t="shared" si="3"/>
        <v>108</v>
      </c>
      <c r="B109" s="64" t="s">
        <v>35</v>
      </c>
      <c r="C109" s="64" t="s">
        <v>19</v>
      </c>
      <c r="D109" s="64" t="s">
        <v>337</v>
      </c>
      <c r="E109" s="64" t="s">
        <v>316</v>
      </c>
      <c r="F109" s="64" t="s">
        <v>22</v>
      </c>
      <c r="G109" s="64" t="s">
        <v>29</v>
      </c>
      <c r="H109" s="64" t="s">
        <v>24</v>
      </c>
      <c r="I109" s="65">
        <v>-2.25</v>
      </c>
      <c r="J109" s="65">
        <v>0.7</v>
      </c>
      <c r="K109" s="65">
        <v>0.7</v>
      </c>
      <c r="L109" s="66">
        <v>45674.0</v>
      </c>
      <c r="M109" s="67">
        <v>1.9</v>
      </c>
      <c r="N109" s="64" t="s">
        <v>33</v>
      </c>
      <c r="O109" s="68">
        <f t="shared" si="1"/>
        <v>0.63</v>
      </c>
      <c r="P109" s="68">
        <f t="shared" si="4"/>
        <v>9.915267273</v>
      </c>
    </row>
    <row r="110">
      <c r="A110" s="64">
        <f t="shared" si="3"/>
        <v>109</v>
      </c>
      <c r="B110" s="64" t="s">
        <v>35</v>
      </c>
      <c r="C110" s="64" t="s">
        <v>19</v>
      </c>
      <c r="D110" s="64" t="s">
        <v>338</v>
      </c>
      <c r="E110" s="64" t="s">
        <v>316</v>
      </c>
      <c r="F110" s="64" t="s">
        <v>22</v>
      </c>
      <c r="G110" s="64" t="s">
        <v>29</v>
      </c>
      <c r="H110" s="64" t="s">
        <v>39</v>
      </c>
      <c r="I110" s="65">
        <v>-4.5</v>
      </c>
      <c r="J110" s="65">
        <v>0.4</v>
      </c>
      <c r="K110" s="65">
        <v>0.2814</v>
      </c>
      <c r="L110" s="66">
        <v>45674.0</v>
      </c>
      <c r="M110" s="67">
        <v>2.0</v>
      </c>
      <c r="N110" s="64" t="s">
        <v>33</v>
      </c>
      <c r="O110" s="68">
        <f t="shared" si="1"/>
        <v>0.2814</v>
      </c>
      <c r="P110" s="68">
        <f t="shared" si="4"/>
        <v>10.19666727</v>
      </c>
    </row>
    <row r="111">
      <c r="A111" s="64">
        <f t="shared" si="3"/>
        <v>110</v>
      </c>
      <c r="B111" s="64" t="s">
        <v>26</v>
      </c>
      <c r="C111" s="64" t="s">
        <v>19</v>
      </c>
      <c r="D111" s="64" t="s">
        <v>339</v>
      </c>
      <c r="E111" s="64" t="s">
        <v>38</v>
      </c>
      <c r="F111" s="64" t="s">
        <v>22</v>
      </c>
      <c r="G111" s="64" t="s">
        <v>29</v>
      </c>
      <c r="H111" s="64"/>
      <c r="I111" s="65">
        <v>-3.75</v>
      </c>
      <c r="J111" s="65">
        <v>0.7</v>
      </c>
      <c r="K111" s="65">
        <v>0.7</v>
      </c>
      <c r="L111" s="69">
        <v>45674.0</v>
      </c>
      <c r="M111" s="67">
        <v>1.95</v>
      </c>
      <c r="N111" s="64" t="s">
        <v>79</v>
      </c>
      <c r="O111" s="68">
        <f t="shared" si="1"/>
        <v>-0.35</v>
      </c>
      <c r="P111" s="68">
        <f t="shared" si="4"/>
        <v>9.846667273</v>
      </c>
    </row>
    <row r="112">
      <c r="A112" s="64">
        <f t="shared" si="3"/>
        <v>111</v>
      </c>
      <c r="B112" s="64" t="s">
        <v>26</v>
      </c>
      <c r="C112" s="64" t="s">
        <v>19</v>
      </c>
      <c r="D112" s="64" t="s">
        <v>340</v>
      </c>
      <c r="E112" s="64" t="s">
        <v>341</v>
      </c>
      <c r="F112" s="64" t="s">
        <v>22</v>
      </c>
      <c r="G112" s="64" t="s">
        <v>29</v>
      </c>
      <c r="H112" s="64"/>
      <c r="I112" s="65">
        <v>-4.5</v>
      </c>
      <c r="J112" s="65">
        <v>0.7</v>
      </c>
      <c r="K112" s="65">
        <v>0.7</v>
      </c>
      <c r="L112" s="66">
        <v>45674.0</v>
      </c>
      <c r="M112" s="67">
        <v>1.8</v>
      </c>
      <c r="N112" s="64" t="s">
        <v>33</v>
      </c>
      <c r="O112" s="68">
        <f t="shared" si="1"/>
        <v>0.56</v>
      </c>
      <c r="P112" s="68">
        <f t="shared" si="4"/>
        <v>10.40666727</v>
      </c>
    </row>
    <row r="113">
      <c r="A113" s="64">
        <f t="shared" si="3"/>
        <v>112</v>
      </c>
      <c r="B113" s="64" t="s">
        <v>35</v>
      </c>
      <c r="C113" s="64" t="s">
        <v>19</v>
      </c>
      <c r="D113" s="64" t="s">
        <v>342</v>
      </c>
      <c r="E113" s="64" t="s">
        <v>50</v>
      </c>
      <c r="F113" s="64" t="s">
        <v>22</v>
      </c>
      <c r="G113" s="64" t="s">
        <v>29</v>
      </c>
      <c r="H113" s="64" t="s">
        <v>39</v>
      </c>
      <c r="I113" s="65">
        <v>-1.0</v>
      </c>
      <c r="J113" s="65">
        <v>0.4</v>
      </c>
      <c r="K113" s="65">
        <v>0.4</v>
      </c>
      <c r="L113" s="66">
        <v>45674.0</v>
      </c>
      <c r="M113" s="67">
        <v>1.925</v>
      </c>
      <c r="N113" s="64" t="s">
        <v>70</v>
      </c>
      <c r="O113" s="68">
        <f t="shared" si="1"/>
        <v>0</v>
      </c>
      <c r="P113" s="68">
        <f t="shared" si="4"/>
        <v>10.40666727</v>
      </c>
    </row>
    <row r="114">
      <c r="A114" s="64">
        <f t="shared" si="3"/>
        <v>113</v>
      </c>
      <c r="B114" s="64" t="s">
        <v>26</v>
      </c>
      <c r="C114" s="64" t="s">
        <v>19</v>
      </c>
      <c r="D114" s="64" t="s">
        <v>343</v>
      </c>
      <c r="E114" s="64" t="s">
        <v>91</v>
      </c>
      <c r="F114" s="64" t="s">
        <v>22</v>
      </c>
      <c r="G114" s="64" t="s">
        <v>29</v>
      </c>
      <c r="H114" s="64" t="s">
        <v>39</v>
      </c>
      <c r="I114" s="65">
        <v>-3.25</v>
      </c>
      <c r="J114" s="65">
        <v>0.7</v>
      </c>
      <c r="K114" s="65">
        <v>0.7</v>
      </c>
      <c r="L114" s="66">
        <v>45675.0</v>
      </c>
      <c r="M114" s="67">
        <v>1.9</v>
      </c>
      <c r="N114" s="64" t="s">
        <v>25</v>
      </c>
      <c r="O114" s="68">
        <f t="shared" si="1"/>
        <v>-0.7</v>
      </c>
      <c r="P114" s="68">
        <f t="shared" si="4"/>
        <v>9.706667273</v>
      </c>
    </row>
    <row r="115">
      <c r="A115" s="64">
        <f t="shared" si="3"/>
        <v>114</v>
      </c>
      <c r="B115" s="64" t="s">
        <v>26</v>
      </c>
      <c r="C115" s="64" t="s">
        <v>19</v>
      </c>
      <c r="D115" s="64" t="s">
        <v>344</v>
      </c>
      <c r="E115" s="64" t="s">
        <v>88</v>
      </c>
      <c r="F115" s="64" t="s">
        <v>22</v>
      </c>
      <c r="G115" s="64" t="s">
        <v>29</v>
      </c>
      <c r="H115" s="64" t="s">
        <v>39</v>
      </c>
      <c r="I115" s="65">
        <v>-2.5</v>
      </c>
      <c r="J115" s="65">
        <v>0.7</v>
      </c>
      <c r="K115" s="65">
        <v>0.6</v>
      </c>
      <c r="L115" s="66">
        <v>45675.0</v>
      </c>
      <c r="M115" s="67">
        <v>1.8</v>
      </c>
      <c r="N115" s="64" t="s">
        <v>33</v>
      </c>
      <c r="O115" s="68">
        <f t="shared" si="1"/>
        <v>0.48</v>
      </c>
      <c r="P115" s="68">
        <f t="shared" si="4"/>
        <v>10.18666727</v>
      </c>
    </row>
    <row r="116">
      <c r="A116" s="64">
        <f t="shared" si="3"/>
        <v>115</v>
      </c>
      <c r="B116" s="64" t="s">
        <v>35</v>
      </c>
      <c r="C116" s="64" t="s">
        <v>19</v>
      </c>
      <c r="D116" s="64" t="s">
        <v>345</v>
      </c>
      <c r="E116" s="64" t="s">
        <v>346</v>
      </c>
      <c r="F116" s="64" t="s">
        <v>22</v>
      </c>
      <c r="G116" s="64" t="s">
        <v>29</v>
      </c>
      <c r="H116" s="64" t="s">
        <v>39</v>
      </c>
      <c r="I116" s="65">
        <v>-1.0</v>
      </c>
      <c r="J116" s="65">
        <v>0.4</v>
      </c>
      <c r="K116" s="65">
        <v>0.4</v>
      </c>
      <c r="L116" s="66">
        <v>45675.0</v>
      </c>
      <c r="M116" s="67">
        <v>1.675</v>
      </c>
      <c r="N116" s="64" t="s">
        <v>70</v>
      </c>
      <c r="O116" s="68">
        <f t="shared" si="1"/>
        <v>0</v>
      </c>
      <c r="P116" s="68">
        <f t="shared" si="4"/>
        <v>10.18666727</v>
      </c>
    </row>
    <row r="117">
      <c r="A117" s="64">
        <f t="shared" si="3"/>
        <v>116</v>
      </c>
      <c r="B117" s="64" t="s">
        <v>35</v>
      </c>
      <c r="C117" s="64" t="s">
        <v>19</v>
      </c>
      <c r="D117" s="64" t="s">
        <v>347</v>
      </c>
      <c r="E117" s="64" t="s">
        <v>91</v>
      </c>
      <c r="F117" s="64" t="s">
        <v>22</v>
      </c>
      <c r="G117" s="64" t="s">
        <v>29</v>
      </c>
      <c r="H117" s="64" t="s">
        <v>39</v>
      </c>
      <c r="I117" s="65">
        <v>-6.25</v>
      </c>
      <c r="J117" s="65">
        <v>0.4</v>
      </c>
      <c r="K117" s="65">
        <v>0.4</v>
      </c>
      <c r="L117" s="66">
        <v>45675.0</v>
      </c>
      <c r="M117" s="67">
        <v>1.875</v>
      </c>
      <c r="N117" s="64" t="s">
        <v>30</v>
      </c>
      <c r="O117" s="68">
        <f t="shared" si="1"/>
        <v>0.175</v>
      </c>
      <c r="P117" s="68">
        <f t="shared" si="4"/>
        <v>10.36166727</v>
      </c>
    </row>
    <row r="118">
      <c r="A118" s="64">
        <f t="shared" si="3"/>
        <v>117</v>
      </c>
      <c r="B118" s="64" t="s">
        <v>26</v>
      </c>
      <c r="C118" s="64" t="s">
        <v>19</v>
      </c>
      <c r="D118" s="64" t="s">
        <v>348</v>
      </c>
      <c r="E118" s="64" t="s">
        <v>21</v>
      </c>
      <c r="F118" s="64" t="s">
        <v>22</v>
      </c>
      <c r="G118" s="64" t="s">
        <v>29</v>
      </c>
      <c r="H118" s="64" t="s">
        <v>39</v>
      </c>
      <c r="I118" s="65">
        <v>-4.25</v>
      </c>
      <c r="J118" s="65">
        <v>0.7</v>
      </c>
      <c r="K118" s="65">
        <v>0.7</v>
      </c>
      <c r="L118" s="66">
        <v>45675.0</v>
      </c>
      <c r="M118" s="67">
        <v>1.825</v>
      </c>
      <c r="N118" s="64" t="s">
        <v>33</v>
      </c>
      <c r="O118" s="68">
        <f t="shared" si="1"/>
        <v>0.5775</v>
      </c>
      <c r="P118" s="68">
        <f t="shared" si="4"/>
        <v>10.93916727</v>
      </c>
    </row>
    <row r="119">
      <c r="A119" s="64">
        <f t="shared" si="3"/>
        <v>118</v>
      </c>
      <c r="B119" s="64" t="s">
        <v>26</v>
      </c>
      <c r="C119" s="64" t="s">
        <v>19</v>
      </c>
      <c r="D119" s="64" t="s">
        <v>349</v>
      </c>
      <c r="E119" s="64" t="s">
        <v>273</v>
      </c>
      <c r="F119" s="64" t="s">
        <v>22</v>
      </c>
      <c r="G119" s="64" t="s">
        <v>225</v>
      </c>
      <c r="H119" s="64" t="s">
        <v>24</v>
      </c>
      <c r="I119" s="65">
        <v>1.0</v>
      </c>
      <c r="J119" s="65">
        <v>0.3</v>
      </c>
      <c r="K119" s="65">
        <v>0.3</v>
      </c>
      <c r="L119" s="66">
        <v>45675.0</v>
      </c>
      <c r="M119" s="67">
        <v>1.775</v>
      </c>
      <c r="N119" s="64" t="s">
        <v>25</v>
      </c>
      <c r="O119" s="68">
        <f t="shared" si="1"/>
        <v>-0.3</v>
      </c>
      <c r="P119" s="68">
        <f t="shared" si="4"/>
        <v>10.63916727</v>
      </c>
    </row>
    <row r="120">
      <c r="A120" s="64">
        <f t="shared" si="3"/>
        <v>119</v>
      </c>
      <c r="B120" s="64" t="s">
        <v>26</v>
      </c>
      <c r="C120" s="64" t="s">
        <v>19</v>
      </c>
      <c r="D120" s="64" t="s">
        <v>350</v>
      </c>
      <c r="E120" s="64" t="s">
        <v>28</v>
      </c>
      <c r="F120" s="64" t="s">
        <v>22</v>
      </c>
      <c r="G120" s="64" t="s">
        <v>29</v>
      </c>
      <c r="H120" s="64" t="s">
        <v>24</v>
      </c>
      <c r="I120" s="65">
        <v>-2.75</v>
      </c>
      <c r="J120" s="65">
        <v>0.7</v>
      </c>
      <c r="K120" s="65">
        <v>0.7</v>
      </c>
      <c r="L120" s="66">
        <v>45675.0</v>
      </c>
      <c r="M120" s="67">
        <v>2.025</v>
      </c>
      <c r="N120" s="64" t="s">
        <v>33</v>
      </c>
      <c r="O120" s="68">
        <f t="shared" si="1"/>
        <v>0.7175</v>
      </c>
      <c r="P120" s="68">
        <f t="shared" si="4"/>
        <v>11.35666727</v>
      </c>
    </row>
    <row r="121">
      <c r="A121" s="64">
        <f t="shared" si="3"/>
        <v>120</v>
      </c>
      <c r="B121" s="64" t="s">
        <v>35</v>
      </c>
      <c r="C121" s="64" t="s">
        <v>19</v>
      </c>
      <c r="D121" s="64" t="s">
        <v>351</v>
      </c>
      <c r="E121" s="64" t="s">
        <v>319</v>
      </c>
      <c r="F121" s="64" t="s">
        <v>22</v>
      </c>
      <c r="G121" s="64" t="s">
        <v>29</v>
      </c>
      <c r="H121" s="64" t="s">
        <v>39</v>
      </c>
      <c r="I121" s="65">
        <v>-1.5</v>
      </c>
      <c r="J121" s="65">
        <v>0.4</v>
      </c>
      <c r="K121" s="65">
        <v>0.4</v>
      </c>
      <c r="L121" s="66">
        <v>45675.0</v>
      </c>
      <c r="M121" s="67">
        <v>1.9</v>
      </c>
      <c r="N121" s="64" t="s">
        <v>33</v>
      </c>
      <c r="O121" s="68">
        <f t="shared" si="1"/>
        <v>0.36</v>
      </c>
      <c r="P121" s="68">
        <f t="shared" si="4"/>
        <v>11.71666727</v>
      </c>
    </row>
    <row r="122">
      <c r="A122" s="64">
        <f t="shared" si="3"/>
        <v>121</v>
      </c>
      <c r="B122" s="64" t="s">
        <v>35</v>
      </c>
      <c r="C122" s="64" t="s">
        <v>19</v>
      </c>
      <c r="D122" s="64" t="s">
        <v>352</v>
      </c>
      <c r="E122" s="64" t="s">
        <v>115</v>
      </c>
      <c r="F122" s="64" t="s">
        <v>22</v>
      </c>
      <c r="G122" s="64" t="s">
        <v>29</v>
      </c>
      <c r="H122" s="64" t="s">
        <v>39</v>
      </c>
      <c r="I122" s="65">
        <v>-0.75</v>
      </c>
      <c r="J122" s="65">
        <v>0.4</v>
      </c>
      <c r="K122" s="65">
        <v>0.4</v>
      </c>
      <c r="L122" s="66">
        <v>45675.0</v>
      </c>
      <c r="M122" s="67">
        <v>1.825</v>
      </c>
      <c r="N122" s="64" t="s">
        <v>33</v>
      </c>
      <c r="O122" s="68">
        <f t="shared" si="1"/>
        <v>0.33</v>
      </c>
      <c r="P122" s="68">
        <f t="shared" si="4"/>
        <v>12.04666727</v>
      </c>
    </row>
    <row r="123" ht="15.0" customHeight="1">
      <c r="A123" s="64">
        <f t="shared" si="3"/>
        <v>122</v>
      </c>
      <c r="B123" s="64" t="s">
        <v>26</v>
      </c>
      <c r="C123" s="64" t="s">
        <v>19</v>
      </c>
      <c r="D123" s="64" t="s">
        <v>353</v>
      </c>
      <c r="E123" s="64" t="s">
        <v>354</v>
      </c>
      <c r="F123" s="64" t="s">
        <v>22</v>
      </c>
      <c r="G123" s="64" t="s">
        <v>29</v>
      </c>
      <c r="H123" s="64" t="s">
        <v>24</v>
      </c>
      <c r="I123" s="65">
        <v>-2.75</v>
      </c>
      <c r="J123" s="65">
        <v>0.7</v>
      </c>
      <c r="K123" s="65">
        <v>0.7</v>
      </c>
      <c r="L123" s="66">
        <v>45675.0</v>
      </c>
      <c r="M123" s="67">
        <v>1.875</v>
      </c>
      <c r="N123" s="64" t="s">
        <v>70</v>
      </c>
      <c r="O123" s="68">
        <f t="shared" si="1"/>
        <v>0</v>
      </c>
      <c r="P123" s="68">
        <f t="shared" si="4"/>
        <v>12.04666727</v>
      </c>
    </row>
    <row r="124">
      <c r="A124" s="64">
        <f t="shared" si="3"/>
        <v>123</v>
      </c>
      <c r="B124" s="64" t="s">
        <v>35</v>
      </c>
      <c r="C124" s="64" t="s">
        <v>19</v>
      </c>
      <c r="D124" s="64" t="s">
        <v>355</v>
      </c>
      <c r="E124" s="64" t="s">
        <v>273</v>
      </c>
      <c r="F124" s="64" t="s">
        <v>22</v>
      </c>
      <c r="G124" s="64" t="s">
        <v>29</v>
      </c>
      <c r="H124" s="64" t="s">
        <v>24</v>
      </c>
      <c r="I124" s="65">
        <v>-1.0</v>
      </c>
      <c r="J124" s="65">
        <v>0.7</v>
      </c>
      <c r="K124" s="65">
        <v>0.7</v>
      </c>
      <c r="L124" s="66">
        <v>45675.0</v>
      </c>
      <c r="M124" s="67">
        <v>1.975</v>
      </c>
      <c r="N124" s="64" t="s">
        <v>70</v>
      </c>
      <c r="O124" s="68">
        <f t="shared" si="1"/>
        <v>0</v>
      </c>
      <c r="P124" s="68">
        <f t="shared" si="4"/>
        <v>12.04666727</v>
      </c>
    </row>
    <row r="125">
      <c r="A125" s="64">
        <f t="shared" si="3"/>
        <v>124</v>
      </c>
      <c r="B125" s="64" t="s">
        <v>26</v>
      </c>
      <c r="C125" s="64" t="s">
        <v>19</v>
      </c>
      <c r="D125" s="64" t="s">
        <v>356</v>
      </c>
      <c r="E125" s="64" t="s">
        <v>204</v>
      </c>
      <c r="F125" s="64" t="s">
        <v>22</v>
      </c>
      <c r="G125" s="64" t="s">
        <v>29</v>
      </c>
      <c r="H125" s="64" t="s">
        <v>24</v>
      </c>
      <c r="I125" s="65">
        <v>-3.75</v>
      </c>
      <c r="J125" s="65">
        <v>0.7</v>
      </c>
      <c r="K125" s="65">
        <v>0.7</v>
      </c>
      <c r="L125" s="66">
        <v>45675.0</v>
      </c>
      <c r="M125" s="67">
        <v>1.875</v>
      </c>
      <c r="N125" s="64" t="s">
        <v>33</v>
      </c>
      <c r="O125" s="68">
        <f t="shared" si="1"/>
        <v>0.6125</v>
      </c>
      <c r="P125" s="68">
        <f t="shared" si="4"/>
        <v>12.65916727</v>
      </c>
    </row>
    <row r="126">
      <c r="A126" s="64">
        <f t="shared" si="3"/>
        <v>125</v>
      </c>
      <c r="B126" s="64" t="s">
        <v>35</v>
      </c>
      <c r="C126" s="64" t="s">
        <v>19</v>
      </c>
      <c r="D126" s="64" t="s">
        <v>357</v>
      </c>
      <c r="E126" s="64" t="s">
        <v>28</v>
      </c>
      <c r="F126" s="64" t="s">
        <v>22</v>
      </c>
      <c r="G126" s="64" t="s">
        <v>29</v>
      </c>
      <c r="H126" s="64" t="s">
        <v>39</v>
      </c>
      <c r="I126" s="65">
        <v>-3.5</v>
      </c>
      <c r="J126" s="65">
        <v>0.4</v>
      </c>
      <c r="K126" s="65">
        <v>0.4</v>
      </c>
      <c r="L126" s="66">
        <v>45675.0</v>
      </c>
      <c r="M126" s="67">
        <v>2.0</v>
      </c>
      <c r="N126" s="64" t="s">
        <v>25</v>
      </c>
      <c r="O126" s="68">
        <f t="shared" si="1"/>
        <v>-0.4</v>
      </c>
      <c r="P126" s="68">
        <f t="shared" si="4"/>
        <v>12.25916727</v>
      </c>
    </row>
    <row r="127">
      <c r="A127" s="64">
        <f t="shared" si="3"/>
        <v>126</v>
      </c>
      <c r="B127" s="64" t="s">
        <v>35</v>
      </c>
      <c r="C127" s="64" t="s">
        <v>19</v>
      </c>
      <c r="D127" s="64" t="s">
        <v>358</v>
      </c>
      <c r="E127" s="64" t="s">
        <v>229</v>
      </c>
      <c r="F127" s="64" t="s">
        <v>22</v>
      </c>
      <c r="G127" s="64" t="s">
        <v>29</v>
      </c>
      <c r="H127" s="64" t="s">
        <v>24</v>
      </c>
      <c r="I127" s="65">
        <v>-1.0</v>
      </c>
      <c r="J127" s="65">
        <v>0.7</v>
      </c>
      <c r="K127" s="65">
        <v>0.35</v>
      </c>
      <c r="L127" s="66">
        <v>45675.0</v>
      </c>
      <c r="M127" s="67">
        <v>1.725</v>
      </c>
      <c r="N127" s="64" t="s">
        <v>33</v>
      </c>
      <c r="O127" s="68">
        <f t="shared" si="1"/>
        <v>0.25375</v>
      </c>
      <c r="P127" s="68">
        <f t="shared" si="4"/>
        <v>12.51291727</v>
      </c>
    </row>
    <row r="128">
      <c r="A128" s="64">
        <f t="shared" si="3"/>
        <v>127</v>
      </c>
      <c r="B128" s="64" t="s">
        <v>26</v>
      </c>
      <c r="C128" s="64" t="s">
        <v>19</v>
      </c>
      <c r="D128" s="64" t="s">
        <v>359</v>
      </c>
      <c r="E128" s="64" t="s">
        <v>38</v>
      </c>
      <c r="F128" s="64" t="s">
        <v>22</v>
      </c>
      <c r="G128" s="64" t="s">
        <v>225</v>
      </c>
      <c r="H128" s="64" t="s">
        <v>24</v>
      </c>
      <c r="I128" s="65">
        <v>1.75</v>
      </c>
      <c r="J128" s="65">
        <v>0.3</v>
      </c>
      <c r="K128" s="65">
        <v>0.3</v>
      </c>
      <c r="L128" s="66">
        <v>45675.0</v>
      </c>
      <c r="M128" s="67">
        <v>1.775</v>
      </c>
      <c r="N128" s="64" t="s">
        <v>33</v>
      </c>
      <c r="O128" s="68">
        <f t="shared" si="1"/>
        <v>0.2325</v>
      </c>
      <c r="P128" s="68">
        <f t="shared" si="4"/>
        <v>12.74541727</v>
      </c>
    </row>
    <row r="129">
      <c r="A129" s="64">
        <f t="shared" si="3"/>
        <v>128</v>
      </c>
      <c r="B129" s="64" t="s">
        <v>26</v>
      </c>
      <c r="C129" s="64" t="s">
        <v>19</v>
      </c>
      <c r="D129" s="64" t="s">
        <v>360</v>
      </c>
      <c r="E129" s="64" t="s">
        <v>93</v>
      </c>
      <c r="F129" s="64" t="s">
        <v>22</v>
      </c>
      <c r="G129" s="64" t="s">
        <v>29</v>
      </c>
      <c r="H129" s="64" t="s">
        <v>24</v>
      </c>
      <c r="I129" s="65">
        <v>-3.0</v>
      </c>
      <c r="J129" s="65">
        <v>0.7</v>
      </c>
      <c r="K129" s="65">
        <v>0.7</v>
      </c>
      <c r="L129" s="66">
        <v>45675.0</v>
      </c>
      <c r="M129" s="67">
        <v>1.9</v>
      </c>
      <c r="N129" s="64" t="s">
        <v>33</v>
      </c>
      <c r="O129" s="68">
        <f t="shared" si="1"/>
        <v>0.63</v>
      </c>
      <c r="P129" s="68">
        <f t="shared" si="4"/>
        <v>13.37541727</v>
      </c>
    </row>
    <row r="130">
      <c r="A130" s="64">
        <f t="shared" si="3"/>
        <v>129</v>
      </c>
      <c r="B130" s="64" t="s">
        <v>26</v>
      </c>
      <c r="C130" s="64" t="s">
        <v>19</v>
      </c>
      <c r="D130" s="64" t="s">
        <v>361</v>
      </c>
      <c r="E130" s="64" t="s">
        <v>93</v>
      </c>
      <c r="F130" s="64" t="s">
        <v>22</v>
      </c>
      <c r="G130" s="64" t="s">
        <v>29</v>
      </c>
      <c r="H130" s="64" t="s">
        <v>24</v>
      </c>
      <c r="I130" s="65">
        <v>-3.25</v>
      </c>
      <c r="J130" s="65">
        <v>0.7</v>
      </c>
      <c r="K130" s="65">
        <v>0.7</v>
      </c>
      <c r="L130" s="66">
        <v>45675.0</v>
      </c>
      <c r="M130" s="67">
        <v>1.925</v>
      </c>
      <c r="N130" s="64" t="s">
        <v>33</v>
      </c>
      <c r="O130" s="68">
        <f t="shared" si="1"/>
        <v>0.6475</v>
      </c>
      <c r="P130" s="68">
        <f t="shared" si="4"/>
        <v>14.02291727</v>
      </c>
    </row>
    <row r="131">
      <c r="A131" s="64">
        <f t="shared" si="3"/>
        <v>130</v>
      </c>
      <c r="B131" s="64" t="s">
        <v>26</v>
      </c>
      <c r="C131" s="64" t="s">
        <v>19</v>
      </c>
      <c r="D131" s="64" t="s">
        <v>362</v>
      </c>
      <c r="E131" s="64" t="s">
        <v>93</v>
      </c>
      <c r="F131" s="64" t="s">
        <v>22</v>
      </c>
      <c r="G131" s="64" t="s">
        <v>29</v>
      </c>
      <c r="H131" s="64" t="s">
        <v>24</v>
      </c>
      <c r="I131" s="65">
        <v>-3.5</v>
      </c>
      <c r="J131" s="65">
        <v>0.7</v>
      </c>
      <c r="K131" s="65">
        <v>0.7</v>
      </c>
      <c r="L131" s="66">
        <v>45675.0</v>
      </c>
      <c r="M131" s="67">
        <v>1.85</v>
      </c>
      <c r="N131" s="64" t="s">
        <v>25</v>
      </c>
      <c r="O131" s="68">
        <f t="shared" si="1"/>
        <v>-0.7</v>
      </c>
      <c r="P131" s="68">
        <f t="shared" si="4"/>
        <v>13.32291727</v>
      </c>
    </row>
    <row r="132">
      <c r="A132" s="64">
        <f t="shared" si="3"/>
        <v>131</v>
      </c>
      <c r="B132" s="64" t="s">
        <v>26</v>
      </c>
      <c r="C132" s="64" t="s">
        <v>19</v>
      </c>
      <c r="D132" s="64" t="s">
        <v>363</v>
      </c>
      <c r="E132" s="64" t="s">
        <v>167</v>
      </c>
      <c r="F132" s="64" t="s">
        <v>22</v>
      </c>
      <c r="G132" s="64" t="s">
        <v>29</v>
      </c>
      <c r="H132" s="64" t="s">
        <v>24</v>
      </c>
      <c r="I132" s="65">
        <v>-3.0</v>
      </c>
      <c r="J132" s="65">
        <v>0.7</v>
      </c>
      <c r="K132" s="65">
        <v>0.7</v>
      </c>
      <c r="L132" s="66">
        <v>45675.0</v>
      </c>
      <c r="M132" s="67">
        <v>1.85</v>
      </c>
      <c r="N132" s="64" t="s">
        <v>33</v>
      </c>
      <c r="O132" s="68">
        <f t="shared" si="1"/>
        <v>0.595</v>
      </c>
      <c r="P132" s="68">
        <f t="shared" si="4"/>
        <v>13.91791727</v>
      </c>
    </row>
    <row r="133">
      <c r="A133" s="64">
        <f t="shared" si="3"/>
        <v>132</v>
      </c>
      <c r="B133" s="64" t="s">
        <v>26</v>
      </c>
      <c r="C133" s="64" t="s">
        <v>19</v>
      </c>
      <c r="D133" s="64" t="s">
        <v>364</v>
      </c>
      <c r="E133" s="64" t="s">
        <v>93</v>
      </c>
      <c r="F133" s="64" t="s">
        <v>22</v>
      </c>
      <c r="G133" s="64" t="s">
        <v>225</v>
      </c>
      <c r="H133" s="64" t="s">
        <v>24</v>
      </c>
      <c r="I133" s="65">
        <v>1.75</v>
      </c>
      <c r="J133" s="65">
        <v>0.3</v>
      </c>
      <c r="K133" s="65">
        <v>0.3</v>
      </c>
      <c r="L133" s="66">
        <v>45675.0</v>
      </c>
      <c r="M133" s="67">
        <v>1.775</v>
      </c>
      <c r="N133" s="64" t="s">
        <v>79</v>
      </c>
      <c r="O133" s="68">
        <f t="shared" si="1"/>
        <v>-0.15</v>
      </c>
      <c r="P133" s="68">
        <f t="shared" si="4"/>
        <v>13.76791727</v>
      </c>
    </row>
    <row r="134">
      <c r="A134" s="64">
        <f t="shared" si="3"/>
        <v>133</v>
      </c>
      <c r="B134" s="64" t="s">
        <v>35</v>
      </c>
      <c r="C134" s="64" t="s">
        <v>19</v>
      </c>
      <c r="D134" s="64" t="s">
        <v>365</v>
      </c>
      <c r="E134" s="64" t="s">
        <v>169</v>
      </c>
      <c r="F134" s="64" t="s">
        <v>22</v>
      </c>
      <c r="G134" s="64" t="s">
        <v>29</v>
      </c>
      <c r="H134" s="64" t="s">
        <v>24</v>
      </c>
      <c r="I134" s="65">
        <v>-1.0</v>
      </c>
      <c r="J134" s="65">
        <v>0.7</v>
      </c>
      <c r="K134" s="65">
        <v>0.7</v>
      </c>
      <c r="L134" s="66">
        <v>45675.0</v>
      </c>
      <c r="M134" s="67">
        <v>2.1</v>
      </c>
      <c r="N134" s="64" t="s">
        <v>70</v>
      </c>
      <c r="O134" s="68">
        <f t="shared" si="1"/>
        <v>0</v>
      </c>
      <c r="P134" s="68">
        <f t="shared" si="4"/>
        <v>13.76791727</v>
      </c>
    </row>
    <row r="135">
      <c r="A135" s="64">
        <f t="shared" si="3"/>
        <v>134</v>
      </c>
      <c r="B135" s="64" t="s">
        <v>35</v>
      </c>
      <c r="C135" s="64" t="s">
        <v>40</v>
      </c>
      <c r="D135" s="64" t="s">
        <v>366</v>
      </c>
      <c r="E135" s="64" t="s">
        <v>50</v>
      </c>
      <c r="F135" s="64" t="s">
        <v>22</v>
      </c>
      <c r="G135" s="64" t="s">
        <v>29</v>
      </c>
      <c r="H135" s="64" t="s">
        <v>39</v>
      </c>
      <c r="I135" s="65">
        <v>-1.0</v>
      </c>
      <c r="J135" s="65">
        <v>0.4</v>
      </c>
      <c r="K135" s="65">
        <v>0.4</v>
      </c>
      <c r="L135" s="66">
        <v>45675.0</v>
      </c>
      <c r="M135" s="67">
        <v>1.9</v>
      </c>
      <c r="N135" s="64" t="s">
        <v>70</v>
      </c>
      <c r="O135" s="68">
        <f t="shared" si="1"/>
        <v>0</v>
      </c>
      <c r="P135" s="68">
        <f t="shared" si="4"/>
        <v>13.76791727</v>
      </c>
    </row>
    <row r="136">
      <c r="A136" s="64">
        <f t="shared" si="3"/>
        <v>135</v>
      </c>
      <c r="B136" s="64" t="s">
        <v>35</v>
      </c>
      <c r="C136" s="64" t="s">
        <v>19</v>
      </c>
      <c r="D136" s="64" t="s">
        <v>367</v>
      </c>
      <c r="E136" s="64" t="s">
        <v>121</v>
      </c>
      <c r="F136" s="64" t="s">
        <v>22</v>
      </c>
      <c r="G136" s="64" t="s">
        <v>29</v>
      </c>
      <c r="H136" s="64" t="s">
        <v>39</v>
      </c>
      <c r="I136" s="65">
        <v>-0.75</v>
      </c>
      <c r="J136" s="65">
        <v>0.4</v>
      </c>
      <c r="K136" s="65">
        <v>0.4</v>
      </c>
      <c r="L136" s="66">
        <v>45675.0</v>
      </c>
      <c r="M136" s="67">
        <v>2.0</v>
      </c>
      <c r="N136" s="64" t="s">
        <v>33</v>
      </c>
      <c r="O136" s="68">
        <f t="shared" si="1"/>
        <v>0.4</v>
      </c>
      <c r="P136" s="68">
        <f t="shared" si="4"/>
        <v>14.16791727</v>
      </c>
    </row>
    <row r="137">
      <c r="A137" s="64">
        <f t="shared" si="3"/>
        <v>136</v>
      </c>
      <c r="B137" s="64" t="s">
        <v>26</v>
      </c>
      <c r="C137" s="64" t="s">
        <v>19</v>
      </c>
      <c r="D137" s="64" t="s">
        <v>368</v>
      </c>
      <c r="E137" s="64" t="s">
        <v>369</v>
      </c>
      <c r="F137" s="64" t="s">
        <v>22</v>
      </c>
      <c r="G137" s="64" t="s">
        <v>29</v>
      </c>
      <c r="H137" s="64" t="s">
        <v>24</v>
      </c>
      <c r="I137" s="65">
        <v>-5.25</v>
      </c>
      <c r="J137" s="65">
        <v>0.7</v>
      </c>
      <c r="K137" s="65">
        <v>0.7</v>
      </c>
      <c r="L137" s="66">
        <v>45675.0</v>
      </c>
      <c r="M137" s="67">
        <v>1.9</v>
      </c>
      <c r="N137" s="64" t="s">
        <v>25</v>
      </c>
      <c r="O137" s="68">
        <f t="shared" si="1"/>
        <v>-0.7</v>
      </c>
      <c r="P137" s="68">
        <f t="shared" si="4"/>
        <v>13.46791727</v>
      </c>
    </row>
    <row r="138">
      <c r="A138" s="64">
        <f t="shared" si="3"/>
        <v>137</v>
      </c>
      <c r="B138" s="64" t="s">
        <v>35</v>
      </c>
      <c r="C138" s="64" t="s">
        <v>19</v>
      </c>
      <c r="D138" s="64" t="s">
        <v>370</v>
      </c>
      <c r="E138" s="64" t="s">
        <v>82</v>
      </c>
      <c r="F138" s="64" t="s">
        <v>22</v>
      </c>
      <c r="G138" s="64" t="s">
        <v>29</v>
      </c>
      <c r="H138" s="64" t="s">
        <v>24</v>
      </c>
      <c r="I138" s="65">
        <v>-1.0</v>
      </c>
      <c r="J138" s="65">
        <v>0.35</v>
      </c>
      <c r="K138" s="65">
        <f>0.35*7/27</f>
        <v>0.09074074074</v>
      </c>
      <c r="L138" s="66">
        <v>45675.0</v>
      </c>
      <c r="M138" s="67">
        <v>1.7</v>
      </c>
      <c r="N138" s="64" t="s">
        <v>33</v>
      </c>
      <c r="O138" s="68">
        <f t="shared" si="1"/>
        <v>0.06351851852</v>
      </c>
      <c r="P138" s="68">
        <f t="shared" si="4"/>
        <v>13.53143579</v>
      </c>
    </row>
    <row r="139">
      <c r="A139" s="64">
        <f t="shared" si="3"/>
        <v>138</v>
      </c>
      <c r="B139" s="64" t="s">
        <v>35</v>
      </c>
      <c r="C139" s="64" t="s">
        <v>19</v>
      </c>
      <c r="D139" s="64" t="s">
        <v>371</v>
      </c>
      <c r="E139" s="64" t="s">
        <v>372</v>
      </c>
      <c r="F139" s="64" t="s">
        <v>22</v>
      </c>
      <c r="G139" s="64" t="s">
        <v>29</v>
      </c>
      <c r="H139" s="64" t="s">
        <v>39</v>
      </c>
      <c r="I139" s="65">
        <v>-3.25</v>
      </c>
      <c r="J139" s="65">
        <v>0.4</v>
      </c>
      <c r="K139" s="65">
        <f>0.4*4/28</f>
        <v>0.05714285714</v>
      </c>
      <c r="L139" s="66">
        <v>45675.0</v>
      </c>
      <c r="M139" s="67">
        <v>1.95</v>
      </c>
      <c r="N139" s="64" t="s">
        <v>30</v>
      </c>
      <c r="O139" s="68">
        <f t="shared" si="1"/>
        <v>0.02714285714</v>
      </c>
      <c r="P139" s="68">
        <f t="shared" si="4"/>
        <v>13.55857865</v>
      </c>
    </row>
    <row r="140">
      <c r="A140" s="64">
        <f t="shared" si="3"/>
        <v>139</v>
      </c>
      <c r="B140" s="64" t="s">
        <v>26</v>
      </c>
      <c r="C140" s="64" t="s">
        <v>19</v>
      </c>
      <c r="D140" s="64" t="s">
        <v>373</v>
      </c>
      <c r="E140" s="64" t="s">
        <v>374</v>
      </c>
      <c r="F140" s="64" t="s">
        <v>22</v>
      </c>
      <c r="G140" s="64" t="s">
        <v>29</v>
      </c>
      <c r="H140" s="64" t="s">
        <v>39</v>
      </c>
      <c r="I140" s="65">
        <v>-2.75</v>
      </c>
      <c r="J140" s="65">
        <v>0.7</v>
      </c>
      <c r="K140" s="65">
        <v>0.7</v>
      </c>
      <c r="L140" s="66">
        <v>45675.0</v>
      </c>
      <c r="M140" s="67">
        <v>2.0</v>
      </c>
      <c r="N140" s="64" t="s">
        <v>79</v>
      </c>
      <c r="O140" s="68">
        <f t="shared" si="1"/>
        <v>-0.35</v>
      </c>
      <c r="P140" s="68">
        <f t="shared" si="4"/>
        <v>13.20857865</v>
      </c>
    </row>
    <row r="141">
      <c r="A141" s="64">
        <f t="shared" si="3"/>
        <v>140</v>
      </c>
      <c r="B141" s="64" t="s">
        <v>35</v>
      </c>
      <c r="C141" s="64" t="s">
        <v>19</v>
      </c>
      <c r="D141" s="64" t="s">
        <v>375</v>
      </c>
      <c r="E141" s="64" t="s">
        <v>372</v>
      </c>
      <c r="F141" s="64" t="s">
        <v>22</v>
      </c>
      <c r="G141" s="64" t="s">
        <v>29</v>
      </c>
      <c r="H141" s="64" t="s">
        <v>39</v>
      </c>
      <c r="I141" s="65">
        <v>-5.25</v>
      </c>
      <c r="J141" s="65">
        <v>0.4</v>
      </c>
      <c r="K141" s="65">
        <v>0.4</v>
      </c>
      <c r="L141" s="66">
        <v>45675.0</v>
      </c>
      <c r="M141" s="67">
        <v>2.0</v>
      </c>
      <c r="N141" s="64" t="s">
        <v>33</v>
      </c>
      <c r="O141" s="68">
        <f t="shared" si="1"/>
        <v>0.4</v>
      </c>
      <c r="P141" s="68">
        <f t="shared" si="4"/>
        <v>13.60857865</v>
      </c>
    </row>
    <row r="142">
      <c r="A142" s="64">
        <f t="shared" si="3"/>
        <v>141</v>
      </c>
      <c r="B142" s="64" t="s">
        <v>26</v>
      </c>
      <c r="C142" s="64" t="s">
        <v>19</v>
      </c>
      <c r="D142" s="64" t="s">
        <v>376</v>
      </c>
      <c r="E142" s="64" t="s">
        <v>229</v>
      </c>
      <c r="F142" s="64" t="s">
        <v>22</v>
      </c>
      <c r="G142" s="64" t="s">
        <v>225</v>
      </c>
      <c r="H142" s="64" t="s">
        <v>24</v>
      </c>
      <c r="I142" s="65">
        <v>2.0</v>
      </c>
      <c r="J142" s="65">
        <v>0.3</v>
      </c>
      <c r="K142" s="65">
        <v>0.3</v>
      </c>
      <c r="L142" s="66">
        <v>45676.0</v>
      </c>
      <c r="M142" s="67">
        <v>1.95</v>
      </c>
      <c r="N142" s="64" t="s">
        <v>25</v>
      </c>
      <c r="O142" s="68">
        <f t="shared" si="1"/>
        <v>-0.3</v>
      </c>
      <c r="P142" s="68">
        <f t="shared" si="4"/>
        <v>13.30857865</v>
      </c>
    </row>
    <row r="143">
      <c r="A143" s="64">
        <f t="shared" si="3"/>
        <v>142</v>
      </c>
      <c r="B143" s="64" t="s">
        <v>26</v>
      </c>
      <c r="C143" s="64" t="s">
        <v>19</v>
      </c>
      <c r="D143" s="64" t="s">
        <v>377</v>
      </c>
      <c r="E143" s="64" t="s">
        <v>378</v>
      </c>
      <c r="F143" s="64" t="s">
        <v>22</v>
      </c>
      <c r="G143" s="64" t="s">
        <v>29</v>
      </c>
      <c r="H143" s="64" t="s">
        <v>24</v>
      </c>
      <c r="I143" s="65">
        <v>-3.0</v>
      </c>
      <c r="J143" s="65">
        <v>0.7</v>
      </c>
      <c r="K143" s="65">
        <v>0.7</v>
      </c>
      <c r="L143" s="66">
        <v>45676.0</v>
      </c>
      <c r="M143" s="67">
        <v>2.0</v>
      </c>
      <c r="N143" s="64" t="s">
        <v>70</v>
      </c>
      <c r="O143" s="68">
        <f t="shared" si="1"/>
        <v>0</v>
      </c>
      <c r="P143" s="68">
        <f t="shared" si="4"/>
        <v>13.30857865</v>
      </c>
    </row>
    <row r="144">
      <c r="A144" s="64">
        <f t="shared" si="3"/>
        <v>143</v>
      </c>
      <c r="B144" s="64" t="s">
        <v>35</v>
      </c>
      <c r="C144" s="64" t="s">
        <v>19</v>
      </c>
      <c r="D144" s="64" t="s">
        <v>379</v>
      </c>
      <c r="E144" s="64" t="s">
        <v>91</v>
      </c>
      <c r="F144" s="64" t="s">
        <v>22</v>
      </c>
      <c r="G144" s="64" t="s">
        <v>29</v>
      </c>
      <c r="H144" s="64" t="s">
        <v>24</v>
      </c>
      <c r="I144" s="65">
        <v>-1.75</v>
      </c>
      <c r="J144" s="65">
        <v>0.7</v>
      </c>
      <c r="K144" s="65">
        <v>0.35</v>
      </c>
      <c r="L144" s="66">
        <v>45676.0</v>
      </c>
      <c r="M144" s="67">
        <v>1.825</v>
      </c>
      <c r="N144" s="64" t="s">
        <v>33</v>
      </c>
      <c r="O144" s="68">
        <f t="shared" si="1"/>
        <v>0.28875</v>
      </c>
      <c r="P144" s="68">
        <f t="shared" si="4"/>
        <v>13.59732865</v>
      </c>
    </row>
    <row r="145">
      <c r="A145" s="64">
        <f t="shared" si="3"/>
        <v>144</v>
      </c>
      <c r="B145" s="64" t="s">
        <v>26</v>
      </c>
      <c r="C145" s="64" t="s">
        <v>19</v>
      </c>
      <c r="D145" s="64" t="s">
        <v>380</v>
      </c>
      <c r="E145" s="64" t="s">
        <v>48</v>
      </c>
      <c r="F145" s="64" t="s">
        <v>22</v>
      </c>
      <c r="G145" s="64" t="s">
        <v>29</v>
      </c>
      <c r="H145" s="64" t="s">
        <v>24</v>
      </c>
      <c r="I145" s="65">
        <v>-3.0</v>
      </c>
      <c r="J145" s="65">
        <v>0.7</v>
      </c>
      <c r="K145" s="65">
        <v>0.7</v>
      </c>
      <c r="L145" s="66">
        <v>45676.0</v>
      </c>
      <c r="M145" s="67">
        <v>1.8</v>
      </c>
      <c r="N145" s="64" t="s">
        <v>70</v>
      </c>
      <c r="O145" s="68">
        <f t="shared" si="1"/>
        <v>0</v>
      </c>
      <c r="P145" s="68">
        <f t="shared" si="4"/>
        <v>13.59732865</v>
      </c>
    </row>
    <row r="146">
      <c r="A146" s="64">
        <f t="shared" si="3"/>
        <v>145</v>
      </c>
      <c r="B146" s="64" t="s">
        <v>26</v>
      </c>
      <c r="C146" s="64" t="s">
        <v>40</v>
      </c>
      <c r="D146" s="64" t="s">
        <v>381</v>
      </c>
      <c r="E146" s="64" t="s">
        <v>93</v>
      </c>
      <c r="F146" s="64" t="s">
        <v>22</v>
      </c>
      <c r="G146" s="64" t="s">
        <v>29</v>
      </c>
      <c r="H146" s="64" t="s">
        <v>24</v>
      </c>
      <c r="I146" s="65">
        <v>-4.75</v>
      </c>
      <c r="J146" s="65">
        <v>0.7</v>
      </c>
      <c r="K146" s="65">
        <v>0.35</v>
      </c>
      <c r="L146" s="66">
        <v>45676.0</v>
      </c>
      <c r="M146" s="67">
        <v>1.9</v>
      </c>
      <c r="N146" s="64" t="s">
        <v>33</v>
      </c>
      <c r="O146" s="68">
        <f t="shared" si="1"/>
        <v>0.315</v>
      </c>
      <c r="P146" s="68">
        <f t="shared" si="4"/>
        <v>13.91232865</v>
      </c>
    </row>
    <row r="147">
      <c r="A147" s="64">
        <f t="shared" si="3"/>
        <v>146</v>
      </c>
      <c r="B147" s="64" t="s">
        <v>35</v>
      </c>
      <c r="C147" s="64" t="s">
        <v>19</v>
      </c>
      <c r="D147" s="64" t="s">
        <v>382</v>
      </c>
      <c r="E147" s="64" t="s">
        <v>93</v>
      </c>
      <c r="F147" s="64" t="s">
        <v>22</v>
      </c>
      <c r="G147" s="64" t="s">
        <v>29</v>
      </c>
      <c r="H147" s="64" t="s">
        <v>24</v>
      </c>
      <c r="I147" s="65">
        <v>-1.0</v>
      </c>
      <c r="J147" s="65">
        <v>0.7</v>
      </c>
      <c r="K147" s="65">
        <v>0.7</v>
      </c>
      <c r="L147" s="66">
        <v>45676.0</v>
      </c>
      <c r="M147" s="67">
        <v>1.9</v>
      </c>
      <c r="N147" s="64" t="s">
        <v>70</v>
      </c>
      <c r="O147" s="68">
        <f t="shared" si="1"/>
        <v>0</v>
      </c>
      <c r="P147" s="68">
        <f t="shared" si="4"/>
        <v>13.91232865</v>
      </c>
    </row>
    <row r="148">
      <c r="A148" s="64">
        <f t="shared" si="3"/>
        <v>147</v>
      </c>
      <c r="B148" s="64" t="s">
        <v>35</v>
      </c>
      <c r="C148" s="64" t="s">
        <v>19</v>
      </c>
      <c r="D148" s="64" t="s">
        <v>383</v>
      </c>
      <c r="E148" s="64" t="s">
        <v>93</v>
      </c>
      <c r="F148" s="64" t="s">
        <v>22</v>
      </c>
      <c r="G148" s="64" t="s">
        <v>29</v>
      </c>
      <c r="H148" s="64" t="s">
        <v>24</v>
      </c>
      <c r="I148" s="65">
        <v>-0.75</v>
      </c>
      <c r="J148" s="65">
        <v>0.7</v>
      </c>
      <c r="K148" s="65">
        <v>0.7</v>
      </c>
      <c r="L148" s="66">
        <v>45676.0</v>
      </c>
      <c r="M148" s="67">
        <v>1.85</v>
      </c>
      <c r="N148" s="64" t="s">
        <v>25</v>
      </c>
      <c r="O148" s="68">
        <f t="shared" si="1"/>
        <v>-0.7</v>
      </c>
      <c r="P148" s="68">
        <f t="shared" si="4"/>
        <v>13.21232865</v>
      </c>
    </row>
    <row r="149">
      <c r="A149" s="64">
        <f t="shared" si="3"/>
        <v>148</v>
      </c>
      <c r="B149" s="64" t="s">
        <v>35</v>
      </c>
      <c r="C149" s="64" t="s">
        <v>19</v>
      </c>
      <c r="D149" s="64" t="s">
        <v>384</v>
      </c>
      <c r="E149" s="64" t="s">
        <v>66</v>
      </c>
      <c r="F149" s="64" t="s">
        <v>22</v>
      </c>
      <c r="G149" s="64" t="s">
        <v>29</v>
      </c>
      <c r="H149" s="64" t="s">
        <v>39</v>
      </c>
      <c r="I149" s="65">
        <v>-5.5</v>
      </c>
      <c r="J149" s="65">
        <v>0.4</v>
      </c>
      <c r="K149" s="65">
        <f>0.4*11/28</f>
        <v>0.1571428571</v>
      </c>
      <c r="L149" s="66">
        <v>45676.0</v>
      </c>
      <c r="M149" s="67">
        <v>2.0</v>
      </c>
      <c r="N149" s="64" t="s">
        <v>25</v>
      </c>
      <c r="O149" s="68">
        <f t="shared" si="1"/>
        <v>-0.1571428571</v>
      </c>
      <c r="P149" s="68">
        <f t="shared" si="4"/>
        <v>13.05518579</v>
      </c>
    </row>
    <row r="150">
      <c r="A150" s="64">
        <f t="shared" si="3"/>
        <v>149</v>
      </c>
      <c r="B150" s="64" t="s">
        <v>26</v>
      </c>
      <c r="C150" s="64" t="s">
        <v>19</v>
      </c>
      <c r="D150" s="64" t="s">
        <v>385</v>
      </c>
      <c r="E150" s="64" t="s">
        <v>187</v>
      </c>
      <c r="F150" s="64" t="s">
        <v>22</v>
      </c>
      <c r="G150" s="64" t="s">
        <v>225</v>
      </c>
      <c r="H150" s="64" t="s">
        <v>24</v>
      </c>
      <c r="I150" s="65">
        <v>0.75</v>
      </c>
      <c r="J150" s="65">
        <v>0.3</v>
      </c>
      <c r="K150" s="65">
        <v>0.3</v>
      </c>
      <c r="L150" s="66">
        <v>45676.0</v>
      </c>
      <c r="M150" s="67">
        <v>1.8</v>
      </c>
      <c r="N150" s="64" t="s">
        <v>33</v>
      </c>
      <c r="O150" s="68">
        <f t="shared" si="1"/>
        <v>0.24</v>
      </c>
      <c r="P150" s="68">
        <f t="shared" si="4"/>
        <v>13.29518579</v>
      </c>
    </row>
    <row r="151">
      <c r="A151" s="64">
        <f t="shared" si="3"/>
        <v>150</v>
      </c>
      <c r="B151" s="64" t="s">
        <v>35</v>
      </c>
      <c r="C151" s="64" t="s">
        <v>19</v>
      </c>
      <c r="D151" s="64" t="s">
        <v>386</v>
      </c>
      <c r="E151" s="64" t="s">
        <v>93</v>
      </c>
      <c r="F151" s="64" t="s">
        <v>22</v>
      </c>
      <c r="G151" s="64" t="s">
        <v>29</v>
      </c>
      <c r="H151" s="64" t="s">
        <v>24</v>
      </c>
      <c r="I151" s="65">
        <v>-0.75</v>
      </c>
      <c r="J151" s="65">
        <v>0.7</v>
      </c>
      <c r="K151" s="65">
        <v>0.35</v>
      </c>
      <c r="L151" s="66">
        <v>45676.0</v>
      </c>
      <c r="M151" s="67">
        <v>1.775</v>
      </c>
      <c r="N151" s="64" t="s">
        <v>79</v>
      </c>
      <c r="O151" s="68">
        <f t="shared" si="1"/>
        <v>-0.175</v>
      </c>
      <c r="P151" s="68">
        <f t="shared" si="4"/>
        <v>13.12018579</v>
      </c>
    </row>
    <row r="152">
      <c r="A152" s="64">
        <f t="shared" si="3"/>
        <v>151</v>
      </c>
      <c r="B152" s="64" t="s">
        <v>35</v>
      </c>
      <c r="C152" s="64" t="s">
        <v>40</v>
      </c>
      <c r="D152" s="64" t="s">
        <v>387</v>
      </c>
      <c r="E152" s="64" t="s">
        <v>28</v>
      </c>
      <c r="F152" s="64" t="s">
        <v>22</v>
      </c>
      <c r="G152" s="64" t="s">
        <v>29</v>
      </c>
      <c r="H152" s="64" t="s">
        <v>24</v>
      </c>
      <c r="I152" s="65">
        <v>-4.75</v>
      </c>
      <c r="J152" s="65">
        <v>0.7</v>
      </c>
      <c r="K152" s="65">
        <v>0.7</v>
      </c>
      <c r="L152" s="66">
        <v>45676.0</v>
      </c>
      <c r="M152" s="67">
        <v>2.025</v>
      </c>
      <c r="N152" s="64" t="s">
        <v>25</v>
      </c>
      <c r="O152" s="68">
        <f t="shared" si="1"/>
        <v>-0.7</v>
      </c>
      <c r="P152" s="68">
        <f t="shared" si="4"/>
        <v>12.42018579</v>
      </c>
    </row>
    <row r="153">
      <c r="A153" s="64">
        <f t="shared" si="3"/>
        <v>152</v>
      </c>
      <c r="B153" s="64" t="s">
        <v>26</v>
      </c>
      <c r="C153" s="64" t="s">
        <v>19</v>
      </c>
      <c r="D153" s="64" t="s">
        <v>388</v>
      </c>
      <c r="E153" s="64" t="s">
        <v>229</v>
      </c>
      <c r="F153" s="64" t="s">
        <v>22</v>
      </c>
      <c r="G153" s="64" t="s">
        <v>225</v>
      </c>
      <c r="H153" s="64" t="s">
        <v>24</v>
      </c>
      <c r="I153" s="65">
        <v>3.25</v>
      </c>
      <c r="J153" s="65">
        <v>0.3</v>
      </c>
      <c r="K153" s="65">
        <v>0.3</v>
      </c>
      <c r="L153" s="66">
        <v>45676.0</v>
      </c>
      <c r="M153" s="67">
        <v>2.0</v>
      </c>
      <c r="N153" s="64" t="s">
        <v>25</v>
      </c>
      <c r="O153" s="68">
        <f t="shared" si="1"/>
        <v>-0.3</v>
      </c>
      <c r="P153" s="68">
        <f t="shared" si="4"/>
        <v>12.12018579</v>
      </c>
    </row>
    <row r="154">
      <c r="A154" s="64">
        <f t="shared" si="3"/>
        <v>153</v>
      </c>
      <c r="B154" s="64" t="s">
        <v>26</v>
      </c>
      <c r="C154" s="64" t="s">
        <v>19</v>
      </c>
      <c r="D154" s="64" t="s">
        <v>389</v>
      </c>
      <c r="E154" s="64" t="s">
        <v>48</v>
      </c>
      <c r="F154" s="64" t="s">
        <v>22</v>
      </c>
      <c r="G154" s="64" t="s">
        <v>29</v>
      </c>
      <c r="H154" s="64" t="s">
        <v>24</v>
      </c>
      <c r="I154" s="65">
        <v>-2.25</v>
      </c>
      <c r="J154" s="65">
        <v>0.7</v>
      </c>
      <c r="K154" s="65">
        <v>0.65</v>
      </c>
      <c r="L154" s="66">
        <v>45676.0</v>
      </c>
      <c r="M154" s="67">
        <v>1.85</v>
      </c>
      <c r="N154" s="64" t="s">
        <v>30</v>
      </c>
      <c r="O154" s="68">
        <f t="shared" si="1"/>
        <v>0.27625</v>
      </c>
      <c r="P154" s="68">
        <f t="shared" si="4"/>
        <v>12.39643579</v>
      </c>
    </row>
    <row r="155">
      <c r="A155" s="64">
        <f t="shared" si="3"/>
        <v>154</v>
      </c>
      <c r="B155" s="64" t="s">
        <v>26</v>
      </c>
      <c r="C155" s="64" t="s">
        <v>19</v>
      </c>
      <c r="D155" s="64" t="s">
        <v>390</v>
      </c>
      <c r="E155" s="64" t="s">
        <v>121</v>
      </c>
      <c r="F155" s="64" t="s">
        <v>22</v>
      </c>
      <c r="G155" s="64" t="s">
        <v>225</v>
      </c>
      <c r="H155" s="64" t="s">
        <v>24</v>
      </c>
      <c r="I155" s="65">
        <v>2.25</v>
      </c>
      <c r="J155" s="65">
        <v>0.3</v>
      </c>
      <c r="K155" s="65">
        <v>0.3</v>
      </c>
      <c r="L155" s="66">
        <v>45676.0</v>
      </c>
      <c r="M155" s="67">
        <v>1.95</v>
      </c>
      <c r="N155" s="64" t="s">
        <v>33</v>
      </c>
      <c r="O155" s="68">
        <f t="shared" si="1"/>
        <v>0.285</v>
      </c>
      <c r="P155" s="68">
        <f t="shared" si="4"/>
        <v>12.68143579</v>
      </c>
    </row>
    <row r="156">
      <c r="A156" s="64">
        <f t="shared" si="3"/>
        <v>155</v>
      </c>
      <c r="B156" s="64" t="s">
        <v>26</v>
      </c>
      <c r="C156" s="64" t="s">
        <v>19</v>
      </c>
      <c r="D156" s="64" t="s">
        <v>391</v>
      </c>
      <c r="E156" s="64" t="s">
        <v>214</v>
      </c>
      <c r="F156" s="64" t="s">
        <v>22</v>
      </c>
      <c r="G156" s="64" t="s">
        <v>225</v>
      </c>
      <c r="H156" s="64" t="s">
        <v>24</v>
      </c>
      <c r="I156" s="65">
        <v>2.5</v>
      </c>
      <c r="J156" s="65">
        <v>0.3</v>
      </c>
      <c r="K156" s="65">
        <v>0.3</v>
      </c>
      <c r="L156" s="66">
        <v>45676.0</v>
      </c>
      <c r="M156" s="67">
        <v>2.0</v>
      </c>
      <c r="N156" s="64" t="s">
        <v>33</v>
      </c>
      <c r="O156" s="68">
        <f t="shared" si="1"/>
        <v>0.3</v>
      </c>
      <c r="P156" s="68">
        <f t="shared" si="4"/>
        <v>12.98143579</v>
      </c>
    </row>
    <row r="157">
      <c r="A157" s="64">
        <f t="shared" si="3"/>
        <v>156</v>
      </c>
      <c r="B157" s="64" t="s">
        <v>26</v>
      </c>
      <c r="C157" s="64" t="s">
        <v>19</v>
      </c>
      <c r="D157" s="64" t="s">
        <v>392</v>
      </c>
      <c r="E157" s="64" t="s">
        <v>204</v>
      </c>
      <c r="F157" s="64" t="s">
        <v>22</v>
      </c>
      <c r="G157" s="64" t="s">
        <v>29</v>
      </c>
      <c r="H157" s="64" t="s">
        <v>39</v>
      </c>
      <c r="I157" s="65">
        <v>-3.0</v>
      </c>
      <c r="J157" s="65">
        <v>0.7</v>
      </c>
      <c r="K157" s="65">
        <v>0.7</v>
      </c>
      <c r="L157" s="66">
        <v>45676.0</v>
      </c>
      <c r="M157" s="67">
        <v>1.825</v>
      </c>
      <c r="N157" s="64" t="s">
        <v>33</v>
      </c>
      <c r="O157" s="68">
        <f t="shared" si="1"/>
        <v>0.5775</v>
      </c>
      <c r="P157" s="68">
        <f t="shared" si="4"/>
        <v>13.55893579</v>
      </c>
    </row>
    <row r="158">
      <c r="A158" s="64">
        <f t="shared" si="3"/>
        <v>157</v>
      </c>
      <c r="B158" s="64" t="s">
        <v>26</v>
      </c>
      <c r="C158" s="64" t="s">
        <v>40</v>
      </c>
      <c r="D158" s="64" t="s">
        <v>393</v>
      </c>
      <c r="E158" s="64" t="s">
        <v>93</v>
      </c>
      <c r="F158" s="64" t="s">
        <v>22</v>
      </c>
      <c r="G158" s="64" t="s">
        <v>29</v>
      </c>
      <c r="H158" s="64" t="s">
        <v>24</v>
      </c>
      <c r="I158" s="65">
        <v>-3.0</v>
      </c>
      <c r="J158" s="65">
        <v>0.7</v>
      </c>
      <c r="K158" s="65">
        <v>0.7</v>
      </c>
      <c r="L158" s="66">
        <v>45676.0</v>
      </c>
      <c r="M158" s="67">
        <v>2.0</v>
      </c>
      <c r="N158" s="64" t="s">
        <v>70</v>
      </c>
      <c r="O158" s="68">
        <f t="shared" si="1"/>
        <v>0</v>
      </c>
      <c r="P158" s="68">
        <f t="shared" si="4"/>
        <v>13.55893579</v>
      </c>
    </row>
    <row r="159">
      <c r="A159" s="64">
        <f t="shared" si="3"/>
        <v>158</v>
      </c>
      <c r="B159" s="64" t="s">
        <v>26</v>
      </c>
      <c r="C159" s="64" t="s">
        <v>40</v>
      </c>
      <c r="D159" s="64" t="s">
        <v>394</v>
      </c>
      <c r="E159" s="64" t="s">
        <v>38</v>
      </c>
      <c r="F159" s="64" t="s">
        <v>22</v>
      </c>
      <c r="G159" s="64" t="s">
        <v>29</v>
      </c>
      <c r="H159" s="64" t="s">
        <v>39</v>
      </c>
      <c r="I159" s="65">
        <v>-4.75</v>
      </c>
      <c r="J159" s="65">
        <v>0.7</v>
      </c>
      <c r="K159" s="65">
        <f>0.35</f>
        <v>0.35</v>
      </c>
      <c r="L159" s="66">
        <v>45676.0</v>
      </c>
      <c r="M159" s="67">
        <v>1.825</v>
      </c>
      <c r="N159" s="64" t="s">
        <v>25</v>
      </c>
      <c r="O159" s="68">
        <f t="shared" si="1"/>
        <v>-0.35</v>
      </c>
      <c r="P159" s="68">
        <f t="shared" si="4"/>
        <v>13.20893579</v>
      </c>
    </row>
    <row r="160">
      <c r="A160" s="64">
        <f t="shared" si="3"/>
        <v>159</v>
      </c>
      <c r="B160" s="64" t="s">
        <v>35</v>
      </c>
      <c r="C160" s="64" t="s">
        <v>19</v>
      </c>
      <c r="D160" s="64" t="s">
        <v>395</v>
      </c>
      <c r="E160" s="64" t="s">
        <v>28</v>
      </c>
      <c r="F160" s="64" t="s">
        <v>22</v>
      </c>
      <c r="G160" s="64" t="s">
        <v>29</v>
      </c>
      <c r="H160" s="64" t="s">
        <v>39</v>
      </c>
      <c r="I160" s="65">
        <v>-2.5</v>
      </c>
      <c r="J160" s="65">
        <v>0.4</v>
      </c>
      <c r="K160" s="65">
        <v>0.4</v>
      </c>
      <c r="L160" s="66">
        <v>45676.0</v>
      </c>
      <c r="M160" s="67">
        <v>2.0</v>
      </c>
      <c r="N160" s="64" t="s">
        <v>25</v>
      </c>
      <c r="O160" s="68">
        <f t="shared" si="1"/>
        <v>-0.4</v>
      </c>
      <c r="P160" s="68">
        <f t="shared" si="4"/>
        <v>12.80893579</v>
      </c>
    </row>
    <row r="161">
      <c r="A161" s="64">
        <f t="shared" si="3"/>
        <v>160</v>
      </c>
      <c r="B161" s="64" t="s">
        <v>26</v>
      </c>
      <c r="C161" s="64" t="s">
        <v>19</v>
      </c>
      <c r="D161" s="64" t="s">
        <v>396</v>
      </c>
      <c r="E161" s="64" t="s">
        <v>397</v>
      </c>
      <c r="F161" s="64" t="s">
        <v>22</v>
      </c>
      <c r="G161" s="64" t="s">
        <v>225</v>
      </c>
      <c r="H161" s="64" t="s">
        <v>24</v>
      </c>
      <c r="I161" s="65">
        <v>1.75</v>
      </c>
      <c r="J161" s="65">
        <v>0.3</v>
      </c>
      <c r="K161" s="65">
        <v>0.3</v>
      </c>
      <c r="L161" s="66">
        <v>45676.0</v>
      </c>
      <c r="M161" s="67">
        <v>1.95</v>
      </c>
      <c r="N161" s="64" t="s">
        <v>25</v>
      </c>
      <c r="O161" s="68">
        <f t="shared" si="1"/>
        <v>-0.3</v>
      </c>
      <c r="P161" s="68">
        <f t="shared" si="4"/>
        <v>12.50893579</v>
      </c>
    </row>
    <row r="162">
      <c r="A162" s="64">
        <f t="shared" si="3"/>
        <v>161</v>
      </c>
      <c r="B162" s="64" t="s">
        <v>35</v>
      </c>
      <c r="C162" s="64" t="s">
        <v>19</v>
      </c>
      <c r="D162" s="64" t="s">
        <v>398</v>
      </c>
      <c r="E162" s="64" t="s">
        <v>48</v>
      </c>
      <c r="F162" s="64" t="s">
        <v>22</v>
      </c>
      <c r="G162" s="64" t="s">
        <v>29</v>
      </c>
      <c r="H162" s="64" t="s">
        <v>24</v>
      </c>
      <c r="I162" s="65">
        <v>-2.5</v>
      </c>
      <c r="J162" s="65">
        <v>0.7</v>
      </c>
      <c r="K162" s="65">
        <f>0.35+0.35*3/28</f>
        <v>0.3875</v>
      </c>
      <c r="L162" s="66">
        <v>45676.0</v>
      </c>
      <c r="M162" s="67">
        <v>1.775</v>
      </c>
      <c r="N162" s="64" t="s">
        <v>33</v>
      </c>
      <c r="O162" s="68">
        <f t="shared" si="1"/>
        <v>0.3003125</v>
      </c>
      <c r="P162" s="68">
        <f t="shared" si="4"/>
        <v>12.80924829</v>
      </c>
    </row>
    <row r="163">
      <c r="A163" s="64">
        <f t="shared" si="3"/>
        <v>162</v>
      </c>
      <c r="B163" s="64" t="s">
        <v>35</v>
      </c>
      <c r="C163" s="64" t="s">
        <v>19</v>
      </c>
      <c r="D163" s="64" t="s">
        <v>399</v>
      </c>
      <c r="E163" s="64" t="s">
        <v>82</v>
      </c>
      <c r="F163" s="64" t="s">
        <v>22</v>
      </c>
      <c r="G163" s="64" t="s">
        <v>29</v>
      </c>
      <c r="H163" s="64" t="s">
        <v>24</v>
      </c>
      <c r="I163" s="65">
        <v>-0.75</v>
      </c>
      <c r="J163" s="65">
        <v>0.7</v>
      </c>
      <c r="K163" s="65">
        <v>0.7</v>
      </c>
      <c r="L163" s="66">
        <v>45676.0</v>
      </c>
      <c r="M163" s="67">
        <v>2.075</v>
      </c>
      <c r="N163" s="64" t="s">
        <v>25</v>
      </c>
      <c r="O163" s="68">
        <f t="shared" si="1"/>
        <v>-0.7</v>
      </c>
      <c r="P163" s="68">
        <f t="shared" si="4"/>
        <v>12.10924829</v>
      </c>
    </row>
    <row r="164">
      <c r="A164" s="64">
        <f t="shared" si="3"/>
        <v>163</v>
      </c>
      <c r="B164" s="64" t="s">
        <v>35</v>
      </c>
      <c r="C164" s="64" t="s">
        <v>19</v>
      </c>
      <c r="D164" s="64" t="s">
        <v>400</v>
      </c>
      <c r="E164" s="64" t="s">
        <v>401</v>
      </c>
      <c r="F164" s="64" t="s">
        <v>22</v>
      </c>
      <c r="G164" s="64" t="s">
        <v>29</v>
      </c>
      <c r="H164" s="64" t="s">
        <v>39</v>
      </c>
      <c r="I164" s="65">
        <v>-1.25</v>
      </c>
      <c r="J164" s="65">
        <v>0.4</v>
      </c>
      <c r="K164" s="65">
        <v>0.4</v>
      </c>
      <c r="L164" s="66">
        <v>45676.0</v>
      </c>
      <c r="M164" s="67">
        <v>2.025</v>
      </c>
      <c r="N164" s="64" t="s">
        <v>25</v>
      </c>
      <c r="O164" s="68">
        <f t="shared" si="1"/>
        <v>-0.4</v>
      </c>
      <c r="P164" s="68">
        <f t="shared" si="4"/>
        <v>11.70924829</v>
      </c>
    </row>
    <row r="165">
      <c r="A165" s="64">
        <f t="shared" si="3"/>
        <v>164</v>
      </c>
      <c r="B165" s="64" t="s">
        <v>35</v>
      </c>
      <c r="C165" s="64" t="s">
        <v>19</v>
      </c>
      <c r="D165" s="64" t="s">
        <v>402</v>
      </c>
      <c r="E165" s="64" t="s">
        <v>403</v>
      </c>
      <c r="F165" s="64" t="s">
        <v>22</v>
      </c>
      <c r="G165" s="64" t="s">
        <v>29</v>
      </c>
      <c r="H165" s="64" t="s">
        <v>24</v>
      </c>
      <c r="I165" s="65">
        <v>-1.25</v>
      </c>
      <c r="J165" s="65">
        <v>0.7</v>
      </c>
      <c r="K165" s="65">
        <v>0.7</v>
      </c>
      <c r="L165" s="66">
        <v>45676.0</v>
      </c>
      <c r="M165" s="67">
        <v>1.925</v>
      </c>
      <c r="N165" s="64" t="s">
        <v>30</v>
      </c>
      <c r="O165" s="68">
        <f t="shared" si="1"/>
        <v>0.32375</v>
      </c>
      <c r="P165" s="68">
        <f t="shared" si="4"/>
        <v>12.03299829</v>
      </c>
    </row>
    <row r="166">
      <c r="A166" s="64">
        <f t="shared" si="3"/>
        <v>165</v>
      </c>
      <c r="B166" s="64" t="s">
        <v>26</v>
      </c>
      <c r="C166" s="64" t="s">
        <v>19</v>
      </c>
      <c r="D166" s="64" t="s">
        <v>404</v>
      </c>
      <c r="E166" s="64" t="s">
        <v>93</v>
      </c>
      <c r="F166" s="64" t="s">
        <v>22</v>
      </c>
      <c r="G166" s="64" t="s">
        <v>29</v>
      </c>
      <c r="H166" s="64" t="s">
        <v>24</v>
      </c>
      <c r="I166" s="65">
        <v>-3.5</v>
      </c>
      <c r="J166" s="65">
        <v>0.7</v>
      </c>
      <c r="K166" s="65">
        <v>0.7</v>
      </c>
      <c r="L166" s="66">
        <v>45676.0</v>
      </c>
      <c r="M166" s="67">
        <v>1.95</v>
      </c>
      <c r="N166" s="64" t="s">
        <v>33</v>
      </c>
      <c r="O166" s="68">
        <f t="shared" si="1"/>
        <v>0.665</v>
      </c>
      <c r="P166" s="68">
        <f t="shared" si="4"/>
        <v>12.69799829</v>
      </c>
    </row>
    <row r="167">
      <c r="A167" s="64">
        <f t="shared" si="3"/>
        <v>166</v>
      </c>
      <c r="B167" s="64" t="s">
        <v>35</v>
      </c>
      <c r="C167" s="64" t="s">
        <v>40</v>
      </c>
      <c r="D167" s="64" t="s">
        <v>405</v>
      </c>
      <c r="E167" s="64" t="s">
        <v>38</v>
      </c>
      <c r="F167" s="64" t="s">
        <v>22</v>
      </c>
      <c r="G167" s="64" t="s">
        <v>29</v>
      </c>
      <c r="H167" s="64" t="s">
        <v>24</v>
      </c>
      <c r="I167" s="65">
        <v>-1.25</v>
      </c>
      <c r="J167" s="65">
        <v>0.7</v>
      </c>
      <c r="K167" s="65">
        <v>0.7</v>
      </c>
      <c r="L167" s="66">
        <v>45676.0</v>
      </c>
      <c r="M167" s="67">
        <v>1.9</v>
      </c>
      <c r="N167" s="64" t="s">
        <v>33</v>
      </c>
      <c r="O167" s="68">
        <f t="shared" si="1"/>
        <v>0.63</v>
      </c>
      <c r="P167" s="68">
        <f t="shared" si="4"/>
        <v>13.32799829</v>
      </c>
    </row>
    <row r="168">
      <c r="A168" s="64">
        <f t="shared" si="3"/>
        <v>167</v>
      </c>
      <c r="B168" s="64" t="s">
        <v>35</v>
      </c>
      <c r="C168" s="64" t="s">
        <v>19</v>
      </c>
      <c r="D168" s="64" t="s">
        <v>406</v>
      </c>
      <c r="E168" s="64" t="s">
        <v>93</v>
      </c>
      <c r="F168" s="64" t="s">
        <v>22</v>
      </c>
      <c r="G168" s="64" t="s">
        <v>29</v>
      </c>
      <c r="H168" s="64" t="s">
        <v>24</v>
      </c>
      <c r="I168" s="65">
        <v>-2.75</v>
      </c>
      <c r="J168" s="65">
        <v>0.7</v>
      </c>
      <c r="K168" s="65">
        <v>0.5875</v>
      </c>
      <c r="L168" s="66">
        <v>45676.0</v>
      </c>
      <c r="M168" s="67">
        <v>2.1</v>
      </c>
      <c r="N168" s="64" t="s">
        <v>79</v>
      </c>
      <c r="O168" s="68">
        <f t="shared" si="1"/>
        <v>-0.29375</v>
      </c>
      <c r="P168" s="68">
        <f t="shared" si="4"/>
        <v>13.03424829</v>
      </c>
    </row>
    <row r="169">
      <c r="A169" s="64">
        <f t="shared" si="3"/>
        <v>168</v>
      </c>
      <c r="B169" s="64" t="s">
        <v>35</v>
      </c>
      <c r="C169" s="64" t="s">
        <v>40</v>
      </c>
      <c r="D169" s="64" t="s">
        <v>407</v>
      </c>
      <c r="E169" s="64" t="s">
        <v>66</v>
      </c>
      <c r="F169" s="64" t="s">
        <v>22</v>
      </c>
      <c r="G169" s="64" t="s">
        <v>29</v>
      </c>
      <c r="H169" s="64" t="s">
        <v>39</v>
      </c>
      <c r="I169" s="65">
        <v>-0.75</v>
      </c>
      <c r="J169" s="65">
        <v>0.4</v>
      </c>
      <c r="K169" s="65">
        <v>0.4</v>
      </c>
      <c r="L169" s="66">
        <v>45676.0</v>
      </c>
      <c r="M169" s="67">
        <v>2.05</v>
      </c>
      <c r="N169" s="64" t="s">
        <v>79</v>
      </c>
      <c r="O169" s="68">
        <f t="shared" si="1"/>
        <v>-0.2</v>
      </c>
      <c r="P169" s="68">
        <f t="shared" si="4"/>
        <v>12.83424829</v>
      </c>
    </row>
    <row r="170">
      <c r="A170" s="64">
        <f t="shared" si="3"/>
        <v>169</v>
      </c>
      <c r="B170" s="64" t="s">
        <v>35</v>
      </c>
      <c r="C170" s="64" t="s">
        <v>19</v>
      </c>
      <c r="D170" s="64" t="s">
        <v>408</v>
      </c>
      <c r="E170" s="64" t="s">
        <v>93</v>
      </c>
      <c r="F170" s="64" t="s">
        <v>22</v>
      </c>
      <c r="G170" s="64" t="s">
        <v>29</v>
      </c>
      <c r="H170" s="64" t="s">
        <v>39</v>
      </c>
      <c r="I170" s="65">
        <v>-0.75</v>
      </c>
      <c r="J170" s="65">
        <v>0.4</v>
      </c>
      <c r="K170" s="65">
        <v>0.3428</v>
      </c>
      <c r="L170" s="66">
        <v>45676.0</v>
      </c>
      <c r="M170" s="67">
        <v>2.05</v>
      </c>
      <c r="N170" s="64" t="s">
        <v>25</v>
      </c>
      <c r="O170" s="68">
        <f t="shared" si="1"/>
        <v>-0.3428</v>
      </c>
      <c r="P170" s="68">
        <f t="shared" si="4"/>
        <v>12.49144829</v>
      </c>
    </row>
    <row r="171">
      <c r="A171" s="64">
        <f t="shared" si="3"/>
        <v>170</v>
      </c>
      <c r="B171" s="64" t="s">
        <v>35</v>
      </c>
      <c r="C171" s="64" t="s">
        <v>19</v>
      </c>
      <c r="D171" s="64" t="s">
        <v>409</v>
      </c>
      <c r="E171" s="64" t="s">
        <v>93</v>
      </c>
      <c r="F171" s="64" t="s">
        <v>22</v>
      </c>
      <c r="G171" s="64" t="s">
        <v>29</v>
      </c>
      <c r="H171" s="64" t="s">
        <v>39</v>
      </c>
      <c r="I171" s="65">
        <v>-1.0</v>
      </c>
      <c r="J171" s="65">
        <v>0.4</v>
      </c>
      <c r="K171" s="65">
        <v>0.3714</v>
      </c>
      <c r="L171" s="66">
        <v>45676.0</v>
      </c>
      <c r="M171" s="67">
        <v>1.9</v>
      </c>
      <c r="N171" s="64" t="s">
        <v>25</v>
      </c>
      <c r="O171" s="68">
        <f t="shared" si="1"/>
        <v>-0.3714</v>
      </c>
      <c r="P171" s="68">
        <f t="shared" si="4"/>
        <v>12.12004829</v>
      </c>
    </row>
    <row r="172">
      <c r="A172" s="64">
        <f t="shared" si="3"/>
        <v>171</v>
      </c>
      <c r="B172" s="64" t="s">
        <v>35</v>
      </c>
      <c r="C172" s="64" t="s">
        <v>19</v>
      </c>
      <c r="D172" s="64" t="s">
        <v>410</v>
      </c>
      <c r="E172" s="64" t="s">
        <v>93</v>
      </c>
      <c r="F172" s="64" t="s">
        <v>22</v>
      </c>
      <c r="G172" s="64" t="s">
        <v>29</v>
      </c>
      <c r="H172" s="64" t="s">
        <v>24</v>
      </c>
      <c r="I172" s="65">
        <v>-0.75</v>
      </c>
      <c r="J172" s="65">
        <v>0.35</v>
      </c>
      <c r="K172" s="65">
        <v>0.2</v>
      </c>
      <c r="L172" s="66">
        <v>45676.0</v>
      </c>
      <c r="M172" s="67">
        <v>1.9</v>
      </c>
      <c r="N172" s="64" t="s">
        <v>79</v>
      </c>
      <c r="O172" s="68">
        <f t="shared" si="1"/>
        <v>-0.1</v>
      </c>
      <c r="P172" s="68">
        <f t="shared" si="4"/>
        <v>12.02004829</v>
      </c>
    </row>
    <row r="173">
      <c r="A173" s="64">
        <f t="shared" si="3"/>
        <v>172</v>
      </c>
      <c r="B173" s="64" t="s">
        <v>35</v>
      </c>
      <c r="C173" s="64" t="s">
        <v>19</v>
      </c>
      <c r="D173" s="64" t="s">
        <v>411</v>
      </c>
      <c r="E173" s="64" t="s">
        <v>229</v>
      </c>
      <c r="F173" s="64" t="s">
        <v>22</v>
      </c>
      <c r="G173" s="64" t="s">
        <v>29</v>
      </c>
      <c r="H173" s="64" t="s">
        <v>39</v>
      </c>
      <c r="I173" s="65">
        <v>-1.5</v>
      </c>
      <c r="J173" s="65">
        <v>0.4</v>
      </c>
      <c r="K173" s="65">
        <v>0.4</v>
      </c>
      <c r="L173" s="66">
        <v>45676.0</v>
      </c>
      <c r="M173" s="67">
        <v>2.025</v>
      </c>
      <c r="N173" s="64" t="s">
        <v>25</v>
      </c>
      <c r="O173" s="68">
        <f t="shared" si="1"/>
        <v>-0.4</v>
      </c>
      <c r="P173" s="68">
        <f t="shared" si="4"/>
        <v>11.62004829</v>
      </c>
    </row>
    <row r="174">
      <c r="A174" s="64">
        <f t="shared" si="3"/>
        <v>173</v>
      </c>
      <c r="B174" s="64" t="s">
        <v>35</v>
      </c>
      <c r="C174" s="64" t="s">
        <v>19</v>
      </c>
      <c r="D174" s="64" t="s">
        <v>412</v>
      </c>
      <c r="E174" s="64" t="s">
        <v>273</v>
      </c>
      <c r="F174" s="64" t="s">
        <v>22</v>
      </c>
      <c r="G174" s="64" t="s">
        <v>29</v>
      </c>
      <c r="H174" s="64" t="s">
        <v>39</v>
      </c>
      <c r="I174" s="65">
        <v>-1.0</v>
      </c>
      <c r="J174" s="65">
        <v>0.4</v>
      </c>
      <c r="K174" s="65">
        <v>0.4</v>
      </c>
      <c r="L174" s="66">
        <v>45676.0</v>
      </c>
      <c r="M174" s="67">
        <v>1.75</v>
      </c>
      <c r="N174" s="64" t="s">
        <v>33</v>
      </c>
      <c r="O174" s="68">
        <f t="shared" si="1"/>
        <v>0.3</v>
      </c>
      <c r="P174" s="68">
        <f t="shared" si="4"/>
        <v>11.92004829</v>
      </c>
    </row>
    <row r="175">
      <c r="A175" s="64">
        <f t="shared" si="3"/>
        <v>174</v>
      </c>
      <c r="B175" s="64" t="s">
        <v>35</v>
      </c>
      <c r="C175" s="64" t="s">
        <v>19</v>
      </c>
      <c r="D175" s="64" t="s">
        <v>413</v>
      </c>
      <c r="E175" s="64" t="s">
        <v>172</v>
      </c>
      <c r="F175" s="64" t="s">
        <v>22</v>
      </c>
      <c r="G175" s="64" t="s">
        <v>29</v>
      </c>
      <c r="H175" s="64" t="s">
        <v>24</v>
      </c>
      <c r="I175" s="65">
        <v>-0.75</v>
      </c>
      <c r="J175" s="65">
        <v>0.35</v>
      </c>
      <c r="K175" s="65">
        <v>0.35</v>
      </c>
      <c r="L175" s="66">
        <v>45676.0</v>
      </c>
      <c r="M175" s="67">
        <v>2.05</v>
      </c>
      <c r="N175" s="64" t="s">
        <v>33</v>
      </c>
      <c r="O175" s="68">
        <f t="shared" si="1"/>
        <v>0.3675</v>
      </c>
      <c r="P175" s="68">
        <f t="shared" si="4"/>
        <v>12.28754829</v>
      </c>
    </row>
    <row r="176">
      <c r="A176" s="64">
        <f t="shared" si="3"/>
        <v>175</v>
      </c>
      <c r="B176" s="64" t="s">
        <v>35</v>
      </c>
      <c r="C176" s="64" t="s">
        <v>19</v>
      </c>
      <c r="D176" s="64" t="s">
        <v>414</v>
      </c>
      <c r="E176" s="64" t="s">
        <v>415</v>
      </c>
      <c r="F176" s="64" t="s">
        <v>22</v>
      </c>
      <c r="G176" s="64" t="s">
        <v>29</v>
      </c>
      <c r="H176" s="64" t="s">
        <v>39</v>
      </c>
      <c r="I176" s="65">
        <v>-2.25</v>
      </c>
      <c r="J176" s="65">
        <v>0.4</v>
      </c>
      <c r="K176" s="65">
        <v>0.4</v>
      </c>
      <c r="L176" s="66">
        <v>45676.0</v>
      </c>
      <c r="M176" s="67">
        <v>2.025</v>
      </c>
      <c r="N176" s="64" t="s">
        <v>33</v>
      </c>
      <c r="O176" s="68">
        <f t="shared" si="1"/>
        <v>0.41</v>
      </c>
      <c r="P176" s="68">
        <f t="shared" si="4"/>
        <v>12.69754829</v>
      </c>
    </row>
    <row r="177">
      <c r="A177" s="64">
        <f t="shared" si="3"/>
        <v>176</v>
      </c>
      <c r="B177" s="64" t="s">
        <v>26</v>
      </c>
      <c r="C177" s="64" t="s">
        <v>19</v>
      </c>
      <c r="D177" s="64" t="s">
        <v>416</v>
      </c>
      <c r="E177" s="64" t="s">
        <v>154</v>
      </c>
      <c r="F177" s="64" t="s">
        <v>22</v>
      </c>
      <c r="G177" s="64" t="s">
        <v>29</v>
      </c>
      <c r="H177" s="64" t="s">
        <v>39</v>
      </c>
      <c r="I177" s="65">
        <v>-3.25</v>
      </c>
      <c r="J177" s="65">
        <v>0.7</v>
      </c>
      <c r="K177" s="65">
        <v>0.6375</v>
      </c>
      <c r="L177" s="66">
        <v>45676.0</v>
      </c>
      <c r="M177" s="67">
        <v>1.825</v>
      </c>
      <c r="N177" s="64" t="s">
        <v>25</v>
      </c>
      <c r="O177" s="68">
        <f t="shared" si="1"/>
        <v>-0.6375</v>
      </c>
      <c r="P177" s="68">
        <f t="shared" si="4"/>
        <v>12.06004829</v>
      </c>
    </row>
    <row r="178">
      <c r="A178" s="64">
        <f t="shared" si="3"/>
        <v>177</v>
      </c>
      <c r="B178" s="64" t="s">
        <v>26</v>
      </c>
      <c r="C178" s="64" t="s">
        <v>19</v>
      </c>
      <c r="D178" s="64" t="s">
        <v>417</v>
      </c>
      <c r="E178" s="64" t="s">
        <v>204</v>
      </c>
      <c r="F178" s="64" t="s">
        <v>22</v>
      </c>
      <c r="G178" s="64" t="s">
        <v>29</v>
      </c>
      <c r="H178" s="64" t="s">
        <v>39</v>
      </c>
      <c r="I178" s="65">
        <v>-2.75</v>
      </c>
      <c r="J178" s="65">
        <v>0.7</v>
      </c>
      <c r="K178" s="65">
        <v>0.6</v>
      </c>
      <c r="L178" s="66">
        <v>45676.0</v>
      </c>
      <c r="M178" s="67">
        <v>1.975</v>
      </c>
      <c r="N178" s="64" t="s">
        <v>79</v>
      </c>
      <c r="O178" s="68">
        <f t="shared" si="1"/>
        <v>-0.3</v>
      </c>
      <c r="P178" s="68">
        <f t="shared" si="4"/>
        <v>11.76004829</v>
      </c>
    </row>
    <row r="179">
      <c r="A179" s="64">
        <f t="shared" si="3"/>
        <v>178</v>
      </c>
      <c r="B179" s="64" t="s">
        <v>26</v>
      </c>
      <c r="C179" s="64" t="s">
        <v>19</v>
      </c>
      <c r="D179" s="64" t="s">
        <v>418</v>
      </c>
      <c r="E179" s="64" t="s">
        <v>419</v>
      </c>
      <c r="F179" s="64" t="s">
        <v>22</v>
      </c>
      <c r="G179" s="64" t="s">
        <v>225</v>
      </c>
      <c r="H179" s="64" t="s">
        <v>24</v>
      </c>
      <c r="I179" s="65">
        <v>2.5</v>
      </c>
      <c r="J179" s="65">
        <v>0.3</v>
      </c>
      <c r="K179" s="65">
        <v>0.3</v>
      </c>
      <c r="L179" s="66">
        <v>45676.0</v>
      </c>
      <c r="M179" s="67">
        <v>1.9</v>
      </c>
      <c r="N179" s="64" t="s">
        <v>33</v>
      </c>
      <c r="O179" s="68">
        <f t="shared" si="1"/>
        <v>0.27</v>
      </c>
      <c r="P179" s="68">
        <f t="shared" si="4"/>
        <v>12.03004829</v>
      </c>
    </row>
    <row r="180">
      <c r="A180" s="64">
        <f t="shared" si="3"/>
        <v>179</v>
      </c>
      <c r="B180" s="64" t="s">
        <v>26</v>
      </c>
      <c r="C180" s="64" t="s">
        <v>19</v>
      </c>
      <c r="D180" s="64" t="s">
        <v>420</v>
      </c>
      <c r="E180" s="64" t="s">
        <v>91</v>
      </c>
      <c r="F180" s="64" t="s">
        <v>22</v>
      </c>
      <c r="G180" s="64" t="s">
        <v>29</v>
      </c>
      <c r="H180" s="64" t="s">
        <v>24</v>
      </c>
      <c r="I180" s="65">
        <v>-3.0</v>
      </c>
      <c r="J180" s="65">
        <v>0.7</v>
      </c>
      <c r="K180" s="65">
        <v>0.6</v>
      </c>
      <c r="L180" s="66">
        <v>45677.0</v>
      </c>
      <c r="M180" s="67">
        <v>1.9</v>
      </c>
      <c r="N180" s="64" t="s">
        <v>33</v>
      </c>
      <c r="O180" s="68">
        <f t="shared" si="1"/>
        <v>0.54</v>
      </c>
      <c r="P180" s="68">
        <f t="shared" si="4"/>
        <v>12.57004829</v>
      </c>
    </row>
    <row r="181">
      <c r="A181" s="64">
        <f t="shared" si="3"/>
        <v>180</v>
      </c>
      <c r="B181" s="64" t="s">
        <v>35</v>
      </c>
      <c r="C181" s="64" t="s">
        <v>19</v>
      </c>
      <c r="D181" s="64" t="s">
        <v>421</v>
      </c>
      <c r="E181" s="64" t="s">
        <v>167</v>
      </c>
      <c r="F181" s="64" t="s">
        <v>22</v>
      </c>
      <c r="G181" s="64" t="s">
        <v>29</v>
      </c>
      <c r="H181" s="64" t="s">
        <v>39</v>
      </c>
      <c r="I181" s="65">
        <v>-1.25</v>
      </c>
      <c r="J181" s="65">
        <v>0.5</v>
      </c>
      <c r="K181" s="65">
        <v>0.4193</v>
      </c>
      <c r="L181" s="66">
        <v>45678.0</v>
      </c>
      <c r="M181" s="67">
        <v>1.85</v>
      </c>
      <c r="N181" s="64" t="s">
        <v>33</v>
      </c>
      <c r="O181" s="68">
        <f t="shared" si="1"/>
        <v>0.356405</v>
      </c>
      <c r="P181" s="68">
        <f t="shared" si="4"/>
        <v>12.92645329</v>
      </c>
    </row>
    <row r="182">
      <c r="A182" s="64">
        <f t="shared" si="3"/>
        <v>181</v>
      </c>
      <c r="B182" s="64" t="s">
        <v>26</v>
      </c>
      <c r="C182" s="64" t="s">
        <v>19</v>
      </c>
      <c r="D182" s="64" t="s">
        <v>422</v>
      </c>
      <c r="E182" s="64" t="s">
        <v>423</v>
      </c>
      <c r="F182" s="64" t="s">
        <v>22</v>
      </c>
      <c r="G182" s="64" t="s">
        <v>29</v>
      </c>
      <c r="H182" s="64" t="s">
        <v>39</v>
      </c>
      <c r="I182" s="65">
        <v>-2.75</v>
      </c>
      <c r="J182" s="65">
        <v>0.8</v>
      </c>
      <c r="K182" s="65">
        <v>0.8</v>
      </c>
      <c r="L182" s="66">
        <v>45678.0</v>
      </c>
      <c r="M182" s="67">
        <v>1.95</v>
      </c>
      <c r="N182" s="64" t="s">
        <v>33</v>
      </c>
      <c r="O182" s="68">
        <f t="shared" si="1"/>
        <v>0.76</v>
      </c>
      <c r="P182" s="68">
        <f t="shared" si="4"/>
        <v>13.68645329</v>
      </c>
    </row>
    <row r="183">
      <c r="A183" s="64">
        <f t="shared" si="3"/>
        <v>182</v>
      </c>
      <c r="B183" s="64" t="s">
        <v>35</v>
      </c>
      <c r="C183" s="64" t="s">
        <v>19</v>
      </c>
      <c r="D183" s="64" t="s">
        <v>424</v>
      </c>
      <c r="E183" s="64" t="s">
        <v>162</v>
      </c>
      <c r="F183" s="64" t="s">
        <v>22</v>
      </c>
      <c r="G183" s="64" t="s">
        <v>29</v>
      </c>
      <c r="H183" s="64" t="s">
        <v>39</v>
      </c>
      <c r="I183" s="65">
        <v>-1.5</v>
      </c>
      <c r="J183" s="65">
        <v>0.5</v>
      </c>
      <c r="K183" s="65">
        <v>0.375</v>
      </c>
      <c r="L183" s="66">
        <v>45678.0</v>
      </c>
      <c r="M183" s="67">
        <v>1.85</v>
      </c>
      <c r="N183" s="64" t="s">
        <v>25</v>
      </c>
      <c r="O183" s="68">
        <f t="shared" si="1"/>
        <v>-0.375</v>
      </c>
      <c r="P183" s="68">
        <f t="shared" si="4"/>
        <v>13.31145329</v>
      </c>
    </row>
    <row r="184">
      <c r="A184" s="64">
        <f t="shared" si="3"/>
        <v>183</v>
      </c>
      <c r="B184" s="64" t="s">
        <v>35</v>
      </c>
      <c r="C184" s="64" t="s">
        <v>19</v>
      </c>
      <c r="D184" s="64" t="s">
        <v>425</v>
      </c>
      <c r="E184" s="64" t="s">
        <v>167</v>
      </c>
      <c r="F184" s="64" t="s">
        <v>22</v>
      </c>
      <c r="G184" s="64" t="s">
        <v>29</v>
      </c>
      <c r="H184" s="64" t="s">
        <v>39</v>
      </c>
      <c r="I184" s="65">
        <v>-1.0</v>
      </c>
      <c r="J184" s="65">
        <v>0.5</v>
      </c>
      <c r="K184" s="65">
        <v>0.3225</v>
      </c>
      <c r="L184" s="66">
        <v>45678.0</v>
      </c>
      <c r="M184" s="67">
        <v>1.8</v>
      </c>
      <c r="N184" s="64" t="s">
        <v>33</v>
      </c>
      <c r="O184" s="68">
        <f t="shared" si="1"/>
        <v>0.258</v>
      </c>
      <c r="P184" s="68">
        <f t="shared" si="4"/>
        <v>13.56945329</v>
      </c>
    </row>
    <row r="185">
      <c r="A185" s="64">
        <f t="shared" si="3"/>
        <v>184</v>
      </c>
      <c r="B185" s="64" t="s">
        <v>35</v>
      </c>
      <c r="C185" s="64" t="s">
        <v>19</v>
      </c>
      <c r="D185" s="64" t="s">
        <v>426</v>
      </c>
      <c r="E185" s="64" t="s">
        <v>273</v>
      </c>
      <c r="F185" s="64" t="s">
        <v>22</v>
      </c>
      <c r="G185" s="64" t="s">
        <v>29</v>
      </c>
      <c r="H185" s="64" t="s">
        <v>39</v>
      </c>
      <c r="I185" s="65">
        <v>-0.75</v>
      </c>
      <c r="J185" s="65">
        <v>0.5</v>
      </c>
      <c r="K185" s="65">
        <v>0.4464</v>
      </c>
      <c r="L185" s="66">
        <v>45678.0</v>
      </c>
      <c r="M185" s="67">
        <v>2.075</v>
      </c>
      <c r="N185" s="64" t="s">
        <v>79</v>
      </c>
      <c r="O185" s="68">
        <f t="shared" si="1"/>
        <v>-0.2232</v>
      </c>
      <c r="P185" s="68">
        <f t="shared" si="4"/>
        <v>13.34625329</v>
      </c>
    </row>
    <row r="186">
      <c r="A186" s="64">
        <f t="shared" si="3"/>
        <v>185</v>
      </c>
      <c r="B186" s="64" t="s">
        <v>35</v>
      </c>
      <c r="C186" s="64" t="s">
        <v>19</v>
      </c>
      <c r="D186" s="64" t="s">
        <v>427</v>
      </c>
      <c r="E186" s="64" t="s">
        <v>38</v>
      </c>
      <c r="F186" s="64" t="s">
        <v>22</v>
      </c>
      <c r="G186" s="64" t="s">
        <v>29</v>
      </c>
      <c r="H186" s="64" t="s">
        <v>39</v>
      </c>
      <c r="I186" s="65">
        <v>-1.25</v>
      </c>
      <c r="J186" s="65">
        <v>0.5</v>
      </c>
      <c r="K186" s="65">
        <v>0.3965</v>
      </c>
      <c r="L186" s="66">
        <v>45678.0</v>
      </c>
      <c r="M186" s="67">
        <v>1.975</v>
      </c>
      <c r="N186" s="64" t="s">
        <v>25</v>
      </c>
      <c r="O186" s="68">
        <f t="shared" si="1"/>
        <v>-0.3965</v>
      </c>
      <c r="P186" s="68">
        <f t="shared" si="4"/>
        <v>12.94975329</v>
      </c>
    </row>
    <row r="187">
      <c r="A187" s="64">
        <f t="shared" si="3"/>
        <v>186</v>
      </c>
      <c r="B187" s="64" t="s">
        <v>35</v>
      </c>
      <c r="C187" s="64" t="s">
        <v>19</v>
      </c>
      <c r="D187" s="64" t="s">
        <v>428</v>
      </c>
      <c r="E187" s="64" t="s">
        <v>38</v>
      </c>
      <c r="F187" s="64" t="s">
        <v>22</v>
      </c>
      <c r="G187" s="64" t="s">
        <v>29</v>
      </c>
      <c r="H187" s="64" t="s">
        <v>39</v>
      </c>
      <c r="I187" s="65">
        <v>-5.25</v>
      </c>
      <c r="J187" s="65">
        <v>0.5</v>
      </c>
      <c r="K187" s="65">
        <v>0.4655</v>
      </c>
      <c r="L187" s="66">
        <v>45678.0</v>
      </c>
      <c r="M187" s="67">
        <v>1.85</v>
      </c>
      <c r="N187" s="64" t="s">
        <v>30</v>
      </c>
      <c r="O187" s="68">
        <f t="shared" si="1"/>
        <v>0.1978375</v>
      </c>
      <c r="P187" s="68">
        <f t="shared" si="4"/>
        <v>13.14759079</v>
      </c>
    </row>
    <row r="188">
      <c r="A188" s="64">
        <f t="shared" si="3"/>
        <v>187</v>
      </c>
      <c r="B188" s="64" t="s">
        <v>35</v>
      </c>
      <c r="C188" s="64" t="s">
        <v>19</v>
      </c>
      <c r="D188" s="64" t="s">
        <v>429</v>
      </c>
      <c r="E188" s="64" t="s">
        <v>38</v>
      </c>
      <c r="F188" s="64" t="s">
        <v>22</v>
      </c>
      <c r="G188" s="64" t="s">
        <v>29</v>
      </c>
      <c r="H188" s="64" t="s">
        <v>39</v>
      </c>
      <c r="I188" s="65">
        <v>-1.0</v>
      </c>
      <c r="J188" s="65">
        <v>0.5</v>
      </c>
      <c r="K188" s="65">
        <v>0.4655</v>
      </c>
      <c r="L188" s="66">
        <v>45678.0</v>
      </c>
      <c r="M188" s="67">
        <v>1.775</v>
      </c>
      <c r="N188" s="64" t="s">
        <v>33</v>
      </c>
      <c r="O188" s="68">
        <f t="shared" si="1"/>
        <v>0.3607625</v>
      </c>
      <c r="P188" s="68">
        <f t="shared" si="4"/>
        <v>13.50835329</v>
      </c>
    </row>
    <row r="189">
      <c r="A189" s="64">
        <f t="shared" si="3"/>
        <v>188</v>
      </c>
      <c r="B189" s="64" t="s">
        <v>35</v>
      </c>
      <c r="C189" s="64" t="s">
        <v>19</v>
      </c>
      <c r="D189" s="64" t="s">
        <v>430</v>
      </c>
      <c r="E189" s="64" t="s">
        <v>189</v>
      </c>
      <c r="F189" s="64" t="s">
        <v>22</v>
      </c>
      <c r="G189" s="64" t="s">
        <v>29</v>
      </c>
      <c r="H189" s="64" t="s">
        <v>39</v>
      </c>
      <c r="I189" s="65">
        <v>-1.0</v>
      </c>
      <c r="J189" s="65">
        <v>0.5</v>
      </c>
      <c r="K189" s="65">
        <v>0.5</v>
      </c>
      <c r="L189" s="66">
        <v>45679.0</v>
      </c>
      <c r="M189" s="67">
        <v>2.025</v>
      </c>
      <c r="N189" s="64" t="s">
        <v>33</v>
      </c>
      <c r="O189" s="68">
        <f t="shared" si="1"/>
        <v>0.5125</v>
      </c>
      <c r="P189" s="68">
        <f t="shared" si="4"/>
        <v>14.02085329</v>
      </c>
    </row>
    <row r="190">
      <c r="A190" s="64">
        <f t="shared" si="3"/>
        <v>189</v>
      </c>
      <c r="B190" s="64" t="s">
        <v>35</v>
      </c>
      <c r="C190" s="64" t="s">
        <v>40</v>
      </c>
      <c r="D190" s="64" t="s">
        <v>431</v>
      </c>
      <c r="E190" s="64" t="s">
        <v>432</v>
      </c>
      <c r="F190" s="64" t="s">
        <v>22</v>
      </c>
      <c r="G190" s="64" t="s">
        <v>29</v>
      </c>
      <c r="H190" s="64" t="s">
        <v>39</v>
      </c>
      <c r="I190" s="65">
        <v>-3.75</v>
      </c>
      <c r="J190" s="65">
        <v>0.5</v>
      </c>
      <c r="K190" s="65">
        <v>0.5</v>
      </c>
      <c r="L190" s="66">
        <v>45679.0</v>
      </c>
      <c r="M190" s="67">
        <v>1.825</v>
      </c>
      <c r="N190" s="64" t="s">
        <v>33</v>
      </c>
      <c r="O190" s="68">
        <f t="shared" si="1"/>
        <v>0.4125</v>
      </c>
      <c r="P190" s="68">
        <f t="shared" si="4"/>
        <v>14.43335329</v>
      </c>
    </row>
    <row r="191">
      <c r="A191" s="64">
        <f t="shared" si="3"/>
        <v>190</v>
      </c>
      <c r="B191" s="64" t="s">
        <v>26</v>
      </c>
      <c r="C191" s="64" t="s">
        <v>19</v>
      </c>
      <c r="D191" s="64" t="s">
        <v>433</v>
      </c>
      <c r="E191" s="64" t="s">
        <v>233</v>
      </c>
      <c r="F191" s="64" t="s">
        <v>22</v>
      </c>
      <c r="G191" s="64" t="s">
        <v>29</v>
      </c>
      <c r="H191" s="64" t="s">
        <v>24</v>
      </c>
      <c r="I191" s="65">
        <v>-2.0</v>
      </c>
      <c r="J191" s="65">
        <v>0.8</v>
      </c>
      <c r="K191" s="65">
        <v>0.8</v>
      </c>
      <c r="L191" s="66">
        <v>45679.0</v>
      </c>
      <c r="M191" s="67">
        <v>1.8</v>
      </c>
      <c r="N191" s="64" t="s">
        <v>33</v>
      </c>
      <c r="O191" s="68">
        <f t="shared" si="1"/>
        <v>0.64</v>
      </c>
      <c r="P191" s="68">
        <f t="shared" si="4"/>
        <v>15.07335329</v>
      </c>
    </row>
    <row r="192">
      <c r="A192" s="64">
        <f t="shared" si="3"/>
        <v>191</v>
      </c>
      <c r="B192" s="64" t="s">
        <v>26</v>
      </c>
      <c r="C192" s="64" t="s">
        <v>19</v>
      </c>
      <c r="D192" s="64" t="s">
        <v>434</v>
      </c>
      <c r="E192" s="64" t="s">
        <v>86</v>
      </c>
      <c r="F192" s="64" t="s">
        <v>22</v>
      </c>
      <c r="G192" s="64" t="s">
        <v>225</v>
      </c>
      <c r="H192" s="64" t="s">
        <v>24</v>
      </c>
      <c r="I192" s="65">
        <v>2.25</v>
      </c>
      <c r="J192" s="65">
        <v>0.3</v>
      </c>
      <c r="K192" s="65">
        <v>0.3</v>
      </c>
      <c r="L192" s="66">
        <v>45679.0</v>
      </c>
      <c r="M192" s="67">
        <v>1.875</v>
      </c>
      <c r="N192" s="64" t="s">
        <v>25</v>
      </c>
      <c r="O192" s="68">
        <f t="shared" si="1"/>
        <v>-0.3</v>
      </c>
      <c r="P192" s="68">
        <f t="shared" si="4"/>
        <v>14.77335329</v>
      </c>
    </row>
    <row r="193">
      <c r="A193" s="64">
        <f t="shared" si="3"/>
        <v>192</v>
      </c>
      <c r="B193" s="64" t="s">
        <v>26</v>
      </c>
      <c r="C193" s="64" t="s">
        <v>19</v>
      </c>
      <c r="D193" s="64" t="s">
        <v>435</v>
      </c>
      <c r="E193" s="64" t="s">
        <v>86</v>
      </c>
      <c r="F193" s="64" t="s">
        <v>22</v>
      </c>
      <c r="G193" s="64" t="s">
        <v>29</v>
      </c>
      <c r="H193" s="64" t="s">
        <v>24</v>
      </c>
      <c r="I193" s="65">
        <v>-3.5</v>
      </c>
      <c r="J193" s="65">
        <v>0.8</v>
      </c>
      <c r="K193" s="65">
        <v>0.8</v>
      </c>
      <c r="L193" s="66">
        <v>45679.0</v>
      </c>
      <c r="M193" s="67">
        <v>1.85</v>
      </c>
      <c r="N193" s="64" t="s">
        <v>33</v>
      </c>
      <c r="O193" s="68">
        <f t="shared" si="1"/>
        <v>0.68</v>
      </c>
      <c r="P193" s="68">
        <f t="shared" si="4"/>
        <v>15.45335329</v>
      </c>
    </row>
    <row r="194">
      <c r="A194" s="64">
        <f t="shared" si="3"/>
        <v>193</v>
      </c>
      <c r="B194" s="64" t="s">
        <v>26</v>
      </c>
      <c r="C194" s="64" t="s">
        <v>40</v>
      </c>
      <c r="D194" s="64" t="s">
        <v>436</v>
      </c>
      <c r="E194" s="64" t="s">
        <v>38</v>
      </c>
      <c r="F194" s="64" t="s">
        <v>22</v>
      </c>
      <c r="G194" s="64" t="s">
        <v>29</v>
      </c>
      <c r="H194" s="64"/>
      <c r="I194" s="65">
        <v>-2.75</v>
      </c>
      <c r="J194" s="65">
        <v>0.8</v>
      </c>
      <c r="K194" s="65">
        <v>0.8</v>
      </c>
      <c r="L194" s="66">
        <v>45679.0</v>
      </c>
      <c r="M194" s="67">
        <v>1.825</v>
      </c>
      <c r="N194" s="64" t="s">
        <v>79</v>
      </c>
      <c r="O194" s="68">
        <f t="shared" si="1"/>
        <v>-0.4</v>
      </c>
      <c r="P194" s="68">
        <f t="shared" si="4"/>
        <v>15.05335329</v>
      </c>
    </row>
    <row r="195">
      <c r="A195" s="64">
        <f t="shared" si="3"/>
        <v>194</v>
      </c>
      <c r="B195" s="64" t="s">
        <v>35</v>
      </c>
      <c r="C195" s="64" t="s">
        <v>19</v>
      </c>
      <c r="D195" s="64" t="s">
        <v>437</v>
      </c>
      <c r="E195" s="64" t="s">
        <v>182</v>
      </c>
      <c r="F195" s="64" t="s">
        <v>22</v>
      </c>
      <c r="G195" s="64" t="s">
        <v>29</v>
      </c>
      <c r="H195" s="64" t="s">
        <v>39</v>
      </c>
      <c r="I195" s="65">
        <v>-2.25</v>
      </c>
      <c r="J195" s="65">
        <v>0.5</v>
      </c>
      <c r="K195" s="65">
        <v>0.5</v>
      </c>
      <c r="L195" s="66">
        <v>45679.0</v>
      </c>
      <c r="M195" s="67">
        <v>1.975</v>
      </c>
      <c r="N195" s="64" t="s">
        <v>25</v>
      </c>
      <c r="O195" s="68">
        <f t="shared" si="1"/>
        <v>-0.5</v>
      </c>
      <c r="P195" s="68">
        <f t="shared" si="4"/>
        <v>14.55335329</v>
      </c>
    </row>
    <row r="196">
      <c r="A196" s="64">
        <f t="shared" si="3"/>
        <v>195</v>
      </c>
      <c r="B196" s="64" t="s">
        <v>35</v>
      </c>
      <c r="C196" s="64" t="s">
        <v>19</v>
      </c>
      <c r="D196" s="64" t="s">
        <v>438</v>
      </c>
      <c r="E196" s="64" t="s">
        <v>316</v>
      </c>
      <c r="F196" s="64" t="s">
        <v>22</v>
      </c>
      <c r="G196" s="64" t="s">
        <v>29</v>
      </c>
      <c r="H196" s="64" t="s">
        <v>24</v>
      </c>
      <c r="I196" s="65">
        <v>-3.75</v>
      </c>
      <c r="J196" s="65">
        <v>0.7</v>
      </c>
      <c r="K196" s="65">
        <v>0.7</v>
      </c>
      <c r="L196" s="66">
        <v>45679.0</v>
      </c>
      <c r="M196" s="67">
        <v>1.925</v>
      </c>
      <c r="N196" s="64" t="s">
        <v>33</v>
      </c>
      <c r="O196" s="68">
        <f t="shared" si="1"/>
        <v>0.6475</v>
      </c>
      <c r="P196" s="68">
        <f t="shared" si="4"/>
        <v>15.20085329</v>
      </c>
    </row>
    <row r="197">
      <c r="A197" s="64">
        <f t="shared" si="3"/>
        <v>196</v>
      </c>
      <c r="B197" s="64" t="s">
        <v>26</v>
      </c>
      <c r="C197" s="64" t="s">
        <v>19</v>
      </c>
      <c r="D197" s="64" t="s">
        <v>439</v>
      </c>
      <c r="E197" s="64" t="s">
        <v>86</v>
      </c>
      <c r="F197" s="64" t="s">
        <v>22</v>
      </c>
      <c r="G197" s="64" t="s">
        <v>440</v>
      </c>
      <c r="H197" s="64" t="s">
        <v>24</v>
      </c>
      <c r="I197" s="65">
        <v>2.0</v>
      </c>
      <c r="J197" s="65">
        <v>0.2</v>
      </c>
      <c r="K197" s="65">
        <v>0.2</v>
      </c>
      <c r="L197" s="66">
        <v>45679.0</v>
      </c>
      <c r="M197" s="67">
        <v>1.875</v>
      </c>
      <c r="N197" s="64" t="s">
        <v>33</v>
      </c>
      <c r="O197" s="68">
        <f t="shared" si="1"/>
        <v>0.175</v>
      </c>
      <c r="P197" s="68">
        <f t="shared" si="4"/>
        <v>15.37585329</v>
      </c>
    </row>
    <row r="198">
      <c r="A198" s="64">
        <f t="shared" si="3"/>
        <v>197</v>
      </c>
      <c r="B198" s="64" t="s">
        <v>26</v>
      </c>
      <c r="C198" s="64" t="s">
        <v>19</v>
      </c>
      <c r="D198" s="64" t="s">
        <v>441</v>
      </c>
      <c r="E198" s="64" t="s">
        <v>82</v>
      </c>
      <c r="F198" s="64" t="s">
        <v>22</v>
      </c>
      <c r="G198" s="64" t="s">
        <v>440</v>
      </c>
      <c r="H198" s="64"/>
      <c r="I198" s="65">
        <v>2.0</v>
      </c>
      <c r="J198" s="65">
        <v>0.2</v>
      </c>
      <c r="K198" s="65">
        <v>0.2</v>
      </c>
      <c r="L198" s="66">
        <v>45679.0</v>
      </c>
      <c r="M198" s="67">
        <v>1.75</v>
      </c>
      <c r="N198" s="64" t="s">
        <v>33</v>
      </c>
      <c r="O198" s="68">
        <f t="shared" si="1"/>
        <v>0.15</v>
      </c>
      <c r="P198" s="68">
        <f t="shared" si="4"/>
        <v>15.52585329</v>
      </c>
    </row>
    <row r="199">
      <c r="A199" s="64">
        <f t="shared" si="3"/>
        <v>198</v>
      </c>
      <c r="B199" s="64" t="s">
        <v>26</v>
      </c>
      <c r="C199" s="64" t="s">
        <v>19</v>
      </c>
      <c r="D199" s="64" t="s">
        <v>442</v>
      </c>
      <c r="E199" s="64" t="s">
        <v>82</v>
      </c>
      <c r="F199" s="64" t="s">
        <v>22</v>
      </c>
      <c r="G199" s="64" t="s">
        <v>440</v>
      </c>
      <c r="H199" s="64"/>
      <c r="I199" s="65">
        <v>1.75</v>
      </c>
      <c r="J199" s="65">
        <v>0.2</v>
      </c>
      <c r="K199" s="65">
        <v>0.2</v>
      </c>
      <c r="L199" s="66">
        <v>45679.0</v>
      </c>
      <c r="M199" s="67">
        <v>1.775</v>
      </c>
      <c r="N199" s="64" t="s">
        <v>33</v>
      </c>
      <c r="O199" s="68">
        <f t="shared" si="1"/>
        <v>0.155</v>
      </c>
      <c r="P199" s="68">
        <f t="shared" si="4"/>
        <v>15.68085329</v>
      </c>
    </row>
    <row r="200">
      <c r="A200" s="64">
        <f t="shared" si="3"/>
        <v>199</v>
      </c>
      <c r="B200" s="64" t="s">
        <v>26</v>
      </c>
      <c r="C200" s="64" t="s">
        <v>19</v>
      </c>
      <c r="D200" s="64" t="s">
        <v>443</v>
      </c>
      <c r="E200" s="64" t="s">
        <v>82</v>
      </c>
      <c r="F200" s="64" t="s">
        <v>22</v>
      </c>
      <c r="G200" s="64" t="s">
        <v>440</v>
      </c>
      <c r="H200" s="64"/>
      <c r="I200" s="65">
        <v>2.25</v>
      </c>
      <c r="J200" s="65">
        <v>0.2</v>
      </c>
      <c r="K200" s="65">
        <v>0.2</v>
      </c>
      <c r="L200" s="66">
        <v>45679.0</v>
      </c>
      <c r="M200" s="67">
        <v>1.9</v>
      </c>
      <c r="N200" s="64" t="s">
        <v>33</v>
      </c>
      <c r="O200" s="68">
        <f t="shared" si="1"/>
        <v>0.18</v>
      </c>
      <c r="P200" s="68">
        <f t="shared" si="4"/>
        <v>15.86085329</v>
      </c>
    </row>
    <row r="201">
      <c r="A201" s="64">
        <f t="shared" si="3"/>
        <v>200</v>
      </c>
      <c r="B201" s="64" t="s">
        <v>26</v>
      </c>
      <c r="C201" s="64" t="s">
        <v>19</v>
      </c>
      <c r="D201" s="64" t="s">
        <v>444</v>
      </c>
      <c r="E201" s="64" t="s">
        <v>82</v>
      </c>
      <c r="F201" s="64" t="s">
        <v>22</v>
      </c>
      <c r="G201" s="64" t="s">
        <v>440</v>
      </c>
      <c r="H201" s="64"/>
      <c r="I201" s="65">
        <v>2.0</v>
      </c>
      <c r="J201" s="65">
        <v>0.2</v>
      </c>
      <c r="K201" s="65">
        <v>0.2</v>
      </c>
      <c r="L201" s="66">
        <v>45679.0</v>
      </c>
      <c r="M201" s="67">
        <v>1.925</v>
      </c>
      <c r="N201" s="64" t="s">
        <v>70</v>
      </c>
      <c r="O201" s="68">
        <f t="shared" si="1"/>
        <v>0</v>
      </c>
      <c r="P201" s="68">
        <f t="shared" si="4"/>
        <v>15.86085329</v>
      </c>
    </row>
    <row r="202">
      <c r="A202" s="64">
        <f t="shared" si="3"/>
        <v>201</v>
      </c>
      <c r="B202" s="64" t="s">
        <v>35</v>
      </c>
      <c r="C202" s="64" t="s">
        <v>19</v>
      </c>
      <c r="D202" s="64" t="s">
        <v>445</v>
      </c>
      <c r="E202" s="64" t="s">
        <v>82</v>
      </c>
      <c r="F202" s="64" t="s">
        <v>22</v>
      </c>
      <c r="G202" s="64" t="s">
        <v>29</v>
      </c>
      <c r="H202" s="64" t="s">
        <v>24</v>
      </c>
      <c r="I202" s="65">
        <v>-3.5</v>
      </c>
      <c r="J202" s="65">
        <v>0.7</v>
      </c>
      <c r="K202" s="65">
        <v>0.4433</v>
      </c>
      <c r="L202" s="66">
        <v>45679.0</v>
      </c>
      <c r="M202" s="67">
        <v>1.9</v>
      </c>
      <c r="N202" s="64" t="s">
        <v>25</v>
      </c>
      <c r="O202" s="68">
        <f t="shared" si="1"/>
        <v>-0.4433</v>
      </c>
      <c r="P202" s="68">
        <f t="shared" si="4"/>
        <v>15.41755329</v>
      </c>
    </row>
    <row r="203">
      <c r="A203" s="64">
        <f t="shared" si="3"/>
        <v>202</v>
      </c>
      <c r="B203" s="64" t="s">
        <v>26</v>
      </c>
      <c r="C203" s="64" t="s">
        <v>19</v>
      </c>
      <c r="D203" s="64" t="s">
        <v>446</v>
      </c>
      <c r="E203" s="64" t="s">
        <v>231</v>
      </c>
      <c r="F203" s="64" t="s">
        <v>22</v>
      </c>
      <c r="G203" s="64" t="s">
        <v>29</v>
      </c>
      <c r="H203" s="64" t="s">
        <v>24</v>
      </c>
      <c r="I203" s="65">
        <v>-2.0</v>
      </c>
      <c r="J203" s="65">
        <v>0.8</v>
      </c>
      <c r="K203" s="65">
        <v>0.66</v>
      </c>
      <c r="L203" s="66">
        <v>45680.0</v>
      </c>
      <c r="M203" s="67">
        <v>1.9</v>
      </c>
      <c r="N203" s="64" t="s">
        <v>33</v>
      </c>
      <c r="O203" s="68">
        <f t="shared" si="1"/>
        <v>0.594</v>
      </c>
      <c r="P203" s="68">
        <f t="shared" si="4"/>
        <v>16.01155329</v>
      </c>
    </row>
    <row r="204">
      <c r="A204" s="64">
        <f t="shared" si="3"/>
        <v>203</v>
      </c>
      <c r="B204" s="64" t="s">
        <v>35</v>
      </c>
      <c r="C204" s="64" t="s">
        <v>19</v>
      </c>
      <c r="D204" s="64" t="s">
        <v>447</v>
      </c>
      <c r="E204" s="64" t="s">
        <v>448</v>
      </c>
      <c r="F204" s="64" t="s">
        <v>22</v>
      </c>
      <c r="G204" s="64" t="s">
        <v>29</v>
      </c>
      <c r="H204" s="64" t="s">
        <v>39</v>
      </c>
      <c r="I204" s="65">
        <v>-2.25</v>
      </c>
      <c r="J204" s="65">
        <v>0.5</v>
      </c>
      <c r="K204" s="65">
        <v>0.4166</v>
      </c>
      <c r="L204" s="66">
        <v>45680.0</v>
      </c>
      <c r="M204" s="67">
        <v>1.9</v>
      </c>
      <c r="N204" s="64" t="s">
        <v>25</v>
      </c>
      <c r="O204" s="68">
        <f t="shared" si="1"/>
        <v>-0.4166</v>
      </c>
      <c r="P204" s="68">
        <f t="shared" si="4"/>
        <v>15.59495329</v>
      </c>
    </row>
    <row r="205">
      <c r="A205" s="64">
        <f t="shared" si="3"/>
        <v>204</v>
      </c>
      <c r="B205" s="64" t="s">
        <v>35</v>
      </c>
      <c r="C205" s="64" t="s">
        <v>19</v>
      </c>
      <c r="D205" s="64" t="s">
        <v>449</v>
      </c>
      <c r="E205" s="64" t="s">
        <v>423</v>
      </c>
      <c r="F205" s="64" t="s">
        <v>22</v>
      </c>
      <c r="G205" s="64" t="s">
        <v>29</v>
      </c>
      <c r="H205" s="64" t="s">
        <v>39</v>
      </c>
      <c r="I205" s="65">
        <v>-1.5</v>
      </c>
      <c r="J205" s="65">
        <v>0.5</v>
      </c>
      <c r="K205" s="65">
        <v>0.5</v>
      </c>
      <c r="L205" s="66">
        <v>45680.0</v>
      </c>
      <c r="M205" s="67">
        <v>1.85</v>
      </c>
      <c r="N205" s="64" t="s">
        <v>33</v>
      </c>
      <c r="O205" s="68">
        <f t="shared" si="1"/>
        <v>0.425</v>
      </c>
      <c r="P205" s="68">
        <f t="shared" si="4"/>
        <v>16.01995329</v>
      </c>
    </row>
    <row r="206">
      <c r="A206" s="64">
        <f t="shared" si="3"/>
        <v>205</v>
      </c>
      <c r="B206" s="64" t="s">
        <v>35</v>
      </c>
      <c r="C206" s="64" t="s">
        <v>19</v>
      </c>
      <c r="D206" s="64" t="s">
        <v>450</v>
      </c>
      <c r="E206" s="64" t="s">
        <v>423</v>
      </c>
      <c r="F206" s="64" t="s">
        <v>22</v>
      </c>
      <c r="G206" s="64" t="s">
        <v>29</v>
      </c>
      <c r="H206" s="64" t="s">
        <v>39</v>
      </c>
      <c r="I206" s="65">
        <v>-1.25</v>
      </c>
      <c r="J206" s="65">
        <v>0.5</v>
      </c>
      <c r="K206" s="65">
        <v>0.5</v>
      </c>
      <c r="L206" s="66">
        <v>45680.0</v>
      </c>
      <c r="M206" s="67">
        <v>1.975</v>
      </c>
      <c r="N206" s="64" t="s">
        <v>33</v>
      </c>
      <c r="O206" s="68">
        <f t="shared" si="1"/>
        <v>0.4875</v>
      </c>
      <c r="P206" s="68">
        <f t="shared" si="4"/>
        <v>16.50745329</v>
      </c>
    </row>
    <row r="207">
      <c r="A207" s="64">
        <f t="shared" si="3"/>
        <v>206</v>
      </c>
      <c r="B207" s="64" t="s">
        <v>35</v>
      </c>
      <c r="C207" s="64" t="s">
        <v>19</v>
      </c>
      <c r="D207" s="64" t="s">
        <v>451</v>
      </c>
      <c r="E207" s="64" t="s">
        <v>167</v>
      </c>
      <c r="F207" s="64" t="s">
        <v>22</v>
      </c>
      <c r="G207" s="64" t="s">
        <v>29</v>
      </c>
      <c r="H207" s="64" t="s">
        <v>39</v>
      </c>
      <c r="I207" s="65">
        <v>-1.0</v>
      </c>
      <c r="J207" s="65">
        <v>0.5</v>
      </c>
      <c r="K207" s="65">
        <v>0.5</v>
      </c>
      <c r="L207" s="66">
        <v>45680.0</v>
      </c>
      <c r="M207" s="67">
        <v>1.85</v>
      </c>
      <c r="N207" s="64" t="s">
        <v>33</v>
      </c>
      <c r="O207" s="68">
        <f t="shared" si="1"/>
        <v>0.425</v>
      </c>
      <c r="P207" s="68">
        <f t="shared" si="4"/>
        <v>16.93245329</v>
      </c>
    </row>
    <row r="208">
      <c r="A208" s="64">
        <f t="shared" si="3"/>
        <v>207</v>
      </c>
      <c r="B208" s="64" t="s">
        <v>26</v>
      </c>
      <c r="C208" s="64" t="s">
        <v>19</v>
      </c>
      <c r="D208" s="64" t="s">
        <v>452</v>
      </c>
      <c r="E208" s="64" t="s">
        <v>182</v>
      </c>
      <c r="F208" s="64" t="s">
        <v>22</v>
      </c>
      <c r="G208" s="64" t="s">
        <v>29</v>
      </c>
      <c r="H208" s="64" t="s">
        <v>39</v>
      </c>
      <c r="I208" s="65">
        <v>-2.5</v>
      </c>
      <c r="J208" s="65">
        <v>0.8</v>
      </c>
      <c r="K208" s="65">
        <v>0.8</v>
      </c>
      <c r="L208" s="66">
        <v>45680.0</v>
      </c>
      <c r="M208" s="67">
        <v>1.95</v>
      </c>
      <c r="N208" s="64" t="s">
        <v>33</v>
      </c>
      <c r="O208" s="68">
        <f t="shared" si="1"/>
        <v>0.76</v>
      </c>
      <c r="P208" s="68">
        <f t="shared" si="4"/>
        <v>17.69245329</v>
      </c>
    </row>
    <row r="209">
      <c r="A209" s="64">
        <f t="shared" si="3"/>
        <v>208</v>
      </c>
      <c r="B209" s="64" t="s">
        <v>35</v>
      </c>
      <c r="C209" s="64" t="s">
        <v>19</v>
      </c>
      <c r="D209" s="64" t="s">
        <v>453</v>
      </c>
      <c r="E209" s="64" t="s">
        <v>182</v>
      </c>
      <c r="F209" s="64" t="s">
        <v>22</v>
      </c>
      <c r="G209" s="64" t="s">
        <v>29</v>
      </c>
      <c r="H209" s="64" t="s">
        <v>39</v>
      </c>
      <c r="I209" s="65">
        <v>-1.0</v>
      </c>
      <c r="J209" s="65">
        <v>0.5</v>
      </c>
      <c r="K209" s="65">
        <v>0.5</v>
      </c>
      <c r="L209" s="66">
        <v>45680.0</v>
      </c>
      <c r="M209" s="67">
        <v>1.91</v>
      </c>
      <c r="N209" s="64" t="s">
        <v>70</v>
      </c>
      <c r="O209" s="68">
        <f t="shared" si="1"/>
        <v>0</v>
      </c>
      <c r="P209" s="68">
        <f t="shared" si="4"/>
        <v>17.69245329</v>
      </c>
    </row>
    <row r="210">
      <c r="A210" s="64">
        <f t="shared" si="3"/>
        <v>209</v>
      </c>
      <c r="B210" s="64" t="s">
        <v>26</v>
      </c>
      <c r="C210" s="64" t="s">
        <v>19</v>
      </c>
      <c r="D210" s="64" t="s">
        <v>454</v>
      </c>
      <c r="E210" s="64" t="s">
        <v>82</v>
      </c>
      <c r="F210" s="64" t="s">
        <v>22</v>
      </c>
      <c r="G210" s="64" t="s">
        <v>440</v>
      </c>
      <c r="H210" s="64" t="s">
        <v>39</v>
      </c>
      <c r="I210" s="65">
        <v>2.25</v>
      </c>
      <c r="J210" s="65">
        <v>0.2</v>
      </c>
      <c r="K210" s="65">
        <v>0.2</v>
      </c>
      <c r="L210" s="66">
        <v>45680.0</v>
      </c>
      <c r="M210" s="67">
        <v>1.925</v>
      </c>
      <c r="N210" s="64" t="s">
        <v>25</v>
      </c>
      <c r="O210" s="68">
        <f t="shared" si="1"/>
        <v>-0.2</v>
      </c>
      <c r="P210" s="68">
        <f t="shared" si="4"/>
        <v>17.49245329</v>
      </c>
    </row>
    <row r="211">
      <c r="A211" s="64">
        <f t="shared" si="3"/>
        <v>210</v>
      </c>
      <c r="B211" s="64" t="s">
        <v>35</v>
      </c>
      <c r="C211" s="64" t="s">
        <v>19</v>
      </c>
      <c r="D211" s="64" t="s">
        <v>455</v>
      </c>
      <c r="E211" s="64" t="s">
        <v>456</v>
      </c>
      <c r="F211" s="64" t="s">
        <v>22</v>
      </c>
      <c r="G211" s="64" t="s">
        <v>29</v>
      </c>
      <c r="H211" s="64" t="s">
        <v>39</v>
      </c>
      <c r="I211" s="65">
        <v>-1.5</v>
      </c>
      <c r="J211" s="65">
        <v>0.7</v>
      </c>
      <c r="K211" s="65">
        <v>0.7</v>
      </c>
      <c r="L211" s="66">
        <v>45680.0</v>
      </c>
      <c r="M211" s="67">
        <v>1.825</v>
      </c>
      <c r="N211" s="64" t="s">
        <v>33</v>
      </c>
      <c r="O211" s="68">
        <f t="shared" si="1"/>
        <v>0.5775</v>
      </c>
      <c r="P211" s="68">
        <f t="shared" si="4"/>
        <v>18.06995329</v>
      </c>
    </row>
    <row r="212">
      <c r="A212" s="64">
        <f t="shared" si="3"/>
        <v>211</v>
      </c>
      <c r="B212" s="64" t="s">
        <v>26</v>
      </c>
      <c r="C212" s="64" t="s">
        <v>19</v>
      </c>
      <c r="D212" s="64" t="s">
        <v>457</v>
      </c>
      <c r="E212" s="64" t="s">
        <v>167</v>
      </c>
      <c r="F212" s="64" t="s">
        <v>22</v>
      </c>
      <c r="G212" s="64" t="s">
        <v>29</v>
      </c>
      <c r="H212" s="64" t="s">
        <v>39</v>
      </c>
      <c r="I212" s="65">
        <v>-3.25</v>
      </c>
      <c r="J212" s="65">
        <v>0.8</v>
      </c>
      <c r="K212" s="65">
        <v>0.8</v>
      </c>
      <c r="L212" s="66">
        <v>45681.0</v>
      </c>
      <c r="M212" s="67">
        <v>1.825</v>
      </c>
      <c r="N212" s="64" t="s">
        <v>30</v>
      </c>
      <c r="O212" s="68">
        <f t="shared" si="1"/>
        <v>0.33</v>
      </c>
      <c r="P212" s="68">
        <f t="shared" si="4"/>
        <v>18.39995329</v>
      </c>
    </row>
    <row r="213">
      <c r="A213" s="64">
        <f t="shared" si="3"/>
        <v>212</v>
      </c>
      <c r="B213" s="64" t="s">
        <v>35</v>
      </c>
      <c r="C213" s="64" t="s">
        <v>19</v>
      </c>
      <c r="D213" s="64" t="s">
        <v>458</v>
      </c>
      <c r="E213" s="64" t="s">
        <v>167</v>
      </c>
      <c r="F213" s="64" t="s">
        <v>22</v>
      </c>
      <c r="G213" s="64" t="s">
        <v>29</v>
      </c>
      <c r="H213" s="64" t="s">
        <v>39</v>
      </c>
      <c r="I213" s="65">
        <v>-2.75</v>
      </c>
      <c r="J213" s="65">
        <v>0.5</v>
      </c>
      <c r="K213" s="65">
        <v>0.5</v>
      </c>
      <c r="L213" s="66">
        <v>45681.0</v>
      </c>
      <c r="M213" s="67">
        <v>1.9</v>
      </c>
      <c r="N213" s="64" t="s">
        <v>79</v>
      </c>
      <c r="O213" s="68">
        <f t="shared" si="1"/>
        <v>-0.25</v>
      </c>
      <c r="P213" s="68">
        <f t="shared" si="4"/>
        <v>18.14995329</v>
      </c>
    </row>
    <row r="214">
      <c r="A214" s="64">
        <f t="shared" si="3"/>
        <v>213</v>
      </c>
      <c r="B214" s="64" t="s">
        <v>35</v>
      </c>
      <c r="C214" s="64" t="s">
        <v>19</v>
      </c>
      <c r="D214" s="64" t="s">
        <v>459</v>
      </c>
      <c r="E214" s="64" t="s">
        <v>157</v>
      </c>
      <c r="F214" s="64" t="s">
        <v>22</v>
      </c>
      <c r="G214" s="64" t="s">
        <v>29</v>
      </c>
      <c r="H214" s="64" t="s">
        <v>24</v>
      </c>
      <c r="I214" s="65">
        <v>-2.5</v>
      </c>
      <c r="J214" s="65">
        <v>0.7</v>
      </c>
      <c r="K214" s="65">
        <v>0.7</v>
      </c>
      <c r="L214" s="66">
        <v>45681.0</v>
      </c>
      <c r="M214" s="67">
        <v>2.95</v>
      </c>
      <c r="N214" s="64" t="s">
        <v>33</v>
      </c>
      <c r="O214" s="68">
        <f t="shared" si="1"/>
        <v>1.365</v>
      </c>
      <c r="P214" s="68">
        <f t="shared" si="4"/>
        <v>19.51495329</v>
      </c>
    </row>
    <row r="215">
      <c r="A215" s="64">
        <f t="shared" si="3"/>
        <v>214</v>
      </c>
      <c r="B215" s="64" t="s">
        <v>26</v>
      </c>
      <c r="C215" s="64" t="s">
        <v>19</v>
      </c>
      <c r="D215" s="64" t="s">
        <v>460</v>
      </c>
      <c r="E215" s="64" t="s">
        <v>263</v>
      </c>
      <c r="F215" s="64" t="s">
        <v>22</v>
      </c>
      <c r="G215" s="64" t="s">
        <v>29</v>
      </c>
      <c r="H215" s="64"/>
      <c r="I215" s="65">
        <v>-3.5</v>
      </c>
      <c r="J215" s="65">
        <v>0.8</v>
      </c>
      <c r="K215" s="65">
        <v>0.8</v>
      </c>
      <c r="L215" s="66">
        <v>45681.0</v>
      </c>
      <c r="M215" s="67">
        <v>1.95</v>
      </c>
      <c r="N215" s="64" t="s">
        <v>33</v>
      </c>
      <c r="O215" s="68">
        <f t="shared" si="1"/>
        <v>0.76</v>
      </c>
      <c r="P215" s="68">
        <f t="shared" si="4"/>
        <v>20.27495329</v>
      </c>
    </row>
    <row r="216">
      <c r="A216" s="64">
        <f t="shared" si="3"/>
        <v>215</v>
      </c>
      <c r="B216" s="64" t="s">
        <v>35</v>
      </c>
      <c r="C216" s="64" t="s">
        <v>19</v>
      </c>
      <c r="D216" s="64" t="s">
        <v>461</v>
      </c>
      <c r="E216" s="64" t="s">
        <v>167</v>
      </c>
      <c r="F216" s="64" t="s">
        <v>22</v>
      </c>
      <c r="G216" s="64" t="s">
        <v>29</v>
      </c>
      <c r="H216" s="64" t="s">
        <v>39</v>
      </c>
      <c r="I216" s="65">
        <v>-6.5</v>
      </c>
      <c r="J216" s="65">
        <v>0.5</v>
      </c>
      <c r="K216" s="65">
        <v>0.1111</v>
      </c>
      <c r="L216" s="66">
        <v>45681.0</v>
      </c>
      <c r="M216" s="67">
        <v>1.8</v>
      </c>
      <c r="N216" s="64" t="s">
        <v>33</v>
      </c>
      <c r="O216" s="68">
        <f t="shared" si="1"/>
        <v>0.08888</v>
      </c>
      <c r="P216" s="68">
        <f t="shared" si="4"/>
        <v>20.36383329</v>
      </c>
    </row>
    <row r="217">
      <c r="A217" s="64">
        <f t="shared" si="3"/>
        <v>216</v>
      </c>
      <c r="B217" s="64" t="s">
        <v>26</v>
      </c>
      <c r="C217" s="64" t="s">
        <v>19</v>
      </c>
      <c r="D217" s="64" t="s">
        <v>462</v>
      </c>
      <c r="E217" s="64" t="s">
        <v>463</v>
      </c>
      <c r="F217" s="64" t="s">
        <v>22</v>
      </c>
      <c r="G217" s="64" t="s">
        <v>29</v>
      </c>
      <c r="H217" s="64"/>
      <c r="I217" s="65">
        <v>-3.75</v>
      </c>
      <c r="J217" s="65">
        <v>0.8</v>
      </c>
      <c r="K217" s="65">
        <v>0.62</v>
      </c>
      <c r="L217" s="69">
        <v>45681.0</v>
      </c>
      <c r="M217" s="67">
        <v>1.9</v>
      </c>
      <c r="N217" s="64" t="s">
        <v>25</v>
      </c>
      <c r="O217" s="68">
        <f t="shared" si="1"/>
        <v>-0.62</v>
      </c>
      <c r="P217" s="68">
        <f t="shared" si="4"/>
        <v>19.74383329</v>
      </c>
    </row>
    <row r="218">
      <c r="A218" s="64">
        <f t="shared" si="3"/>
        <v>217</v>
      </c>
      <c r="B218" s="64" t="s">
        <v>35</v>
      </c>
      <c r="C218" s="64" t="s">
        <v>40</v>
      </c>
      <c r="D218" s="64" t="s">
        <v>464</v>
      </c>
      <c r="E218" s="64" t="s">
        <v>465</v>
      </c>
      <c r="F218" s="64" t="s">
        <v>22</v>
      </c>
      <c r="G218" s="64" t="s">
        <v>29</v>
      </c>
      <c r="H218" s="64" t="s">
        <v>24</v>
      </c>
      <c r="I218" s="65">
        <v>-3.5</v>
      </c>
      <c r="J218" s="65">
        <v>0.7</v>
      </c>
      <c r="K218" s="65">
        <v>0.5444</v>
      </c>
      <c r="L218" s="66">
        <v>45681.0</v>
      </c>
      <c r="M218" s="67">
        <v>1.925</v>
      </c>
      <c r="N218" s="64" t="s">
        <v>33</v>
      </c>
      <c r="O218" s="68">
        <f t="shared" si="1"/>
        <v>0.50357</v>
      </c>
      <c r="P218" s="68">
        <f t="shared" si="4"/>
        <v>20.24740329</v>
      </c>
    </row>
    <row r="219">
      <c r="A219" s="64">
        <f t="shared" si="3"/>
        <v>218</v>
      </c>
      <c r="B219" s="64" t="s">
        <v>35</v>
      </c>
      <c r="C219" s="64" t="s">
        <v>19</v>
      </c>
      <c r="D219" s="64" t="s">
        <v>466</v>
      </c>
      <c r="E219" s="64" t="s">
        <v>187</v>
      </c>
      <c r="F219" s="64" t="s">
        <v>22</v>
      </c>
      <c r="G219" s="64" t="s">
        <v>29</v>
      </c>
      <c r="H219" s="64" t="s">
        <v>24</v>
      </c>
      <c r="I219" s="65">
        <v>-3.5</v>
      </c>
      <c r="J219" s="65">
        <v>0.7</v>
      </c>
      <c r="K219" s="65">
        <v>0.5444</v>
      </c>
      <c r="L219" s="66">
        <v>45681.0</v>
      </c>
      <c r="M219" s="67">
        <v>2.0</v>
      </c>
      <c r="N219" s="64" t="s">
        <v>25</v>
      </c>
      <c r="O219" s="68">
        <f t="shared" si="1"/>
        <v>-0.5444</v>
      </c>
      <c r="P219" s="68">
        <f t="shared" si="4"/>
        <v>19.70300329</v>
      </c>
    </row>
    <row r="220">
      <c r="A220" s="64">
        <f t="shared" si="3"/>
        <v>219</v>
      </c>
      <c r="B220" s="64" t="s">
        <v>35</v>
      </c>
      <c r="C220" s="64" t="s">
        <v>19</v>
      </c>
      <c r="D220" s="75" t="s">
        <v>467</v>
      </c>
      <c r="E220" s="64" t="s">
        <v>157</v>
      </c>
      <c r="F220" s="64" t="s">
        <v>22</v>
      </c>
      <c r="G220" s="64" t="s">
        <v>29</v>
      </c>
      <c r="H220" s="64" t="s">
        <v>39</v>
      </c>
      <c r="I220" s="65">
        <v>-2.0</v>
      </c>
      <c r="J220" s="65">
        <v>0.5</v>
      </c>
      <c r="K220" s="65">
        <f>0.5*5/7</f>
        <v>0.3571428571</v>
      </c>
      <c r="L220" s="66">
        <v>45681.0</v>
      </c>
      <c r="M220" s="67">
        <v>2.15</v>
      </c>
      <c r="N220" s="64" t="s">
        <v>25</v>
      </c>
      <c r="O220" s="68">
        <f t="shared" si="1"/>
        <v>-0.3571428571</v>
      </c>
      <c r="P220" s="68">
        <f t="shared" si="4"/>
        <v>19.34586043</v>
      </c>
    </row>
    <row r="221">
      <c r="A221" s="64">
        <f t="shared" si="3"/>
        <v>220</v>
      </c>
      <c r="B221" s="64" t="s">
        <v>26</v>
      </c>
      <c r="C221" s="64" t="s">
        <v>19</v>
      </c>
      <c r="D221" s="87" t="s">
        <v>468</v>
      </c>
      <c r="E221" s="64" t="s">
        <v>28</v>
      </c>
      <c r="F221" s="64" t="s">
        <v>22</v>
      </c>
      <c r="G221" s="64" t="s">
        <v>29</v>
      </c>
      <c r="H221" s="64"/>
      <c r="I221" s="65">
        <v>-4.0</v>
      </c>
      <c r="J221" s="65">
        <v>0.8</v>
      </c>
      <c r="K221" s="65">
        <v>0.8</v>
      </c>
      <c r="L221" s="66">
        <v>45681.0</v>
      </c>
      <c r="M221" s="67">
        <v>1.8</v>
      </c>
      <c r="N221" s="64" t="s">
        <v>33</v>
      </c>
      <c r="O221" s="68">
        <f t="shared" si="1"/>
        <v>0.64</v>
      </c>
      <c r="P221" s="68">
        <f t="shared" si="4"/>
        <v>19.98586043</v>
      </c>
    </row>
    <row r="222">
      <c r="A222" s="64">
        <f t="shared" si="3"/>
        <v>221</v>
      </c>
      <c r="B222" s="64" t="s">
        <v>35</v>
      </c>
      <c r="C222" s="64" t="s">
        <v>19</v>
      </c>
      <c r="D222" s="87" t="s">
        <v>469</v>
      </c>
      <c r="E222" s="64" t="s">
        <v>162</v>
      </c>
      <c r="F222" s="64" t="s">
        <v>22</v>
      </c>
      <c r="G222" s="64" t="s">
        <v>29</v>
      </c>
      <c r="H222" s="64" t="s">
        <v>24</v>
      </c>
      <c r="I222" s="65">
        <v>-2.0</v>
      </c>
      <c r="J222" s="65">
        <v>0.7</v>
      </c>
      <c r="K222" s="65">
        <f>0.35*2/11</f>
        <v>0.06363636364</v>
      </c>
      <c r="L222" s="66">
        <v>45681.0</v>
      </c>
      <c r="M222" s="67">
        <v>1.75</v>
      </c>
      <c r="N222" s="64" t="s">
        <v>33</v>
      </c>
      <c r="O222" s="68">
        <f t="shared" si="1"/>
        <v>0.04772727273</v>
      </c>
      <c r="P222" s="68">
        <f t="shared" si="4"/>
        <v>20.03358771</v>
      </c>
    </row>
    <row r="223">
      <c r="A223" s="64">
        <f t="shared" si="3"/>
        <v>222</v>
      </c>
      <c r="B223" s="64" t="s">
        <v>35</v>
      </c>
      <c r="C223" s="64" t="s">
        <v>19</v>
      </c>
      <c r="D223" s="64" t="s">
        <v>470</v>
      </c>
      <c r="E223" s="64" t="s">
        <v>423</v>
      </c>
      <c r="F223" s="64" t="s">
        <v>22</v>
      </c>
      <c r="G223" s="64" t="s">
        <v>29</v>
      </c>
      <c r="H223" s="64" t="s">
        <v>24</v>
      </c>
      <c r="I223" s="65">
        <v>-6.25</v>
      </c>
      <c r="J223" s="65">
        <v>0.5</v>
      </c>
      <c r="K223" s="65">
        <f>0.5*11/13</f>
        <v>0.4230769231</v>
      </c>
      <c r="L223" s="66">
        <v>45681.0</v>
      </c>
      <c r="M223" s="67">
        <v>1.725</v>
      </c>
      <c r="N223" s="64" t="s">
        <v>25</v>
      </c>
      <c r="O223" s="68">
        <f t="shared" si="1"/>
        <v>-0.4230769231</v>
      </c>
      <c r="P223" s="68">
        <f t="shared" si="4"/>
        <v>19.61051078</v>
      </c>
    </row>
    <row r="224">
      <c r="A224" s="64">
        <f t="shared" si="3"/>
        <v>223</v>
      </c>
      <c r="B224" s="64" t="s">
        <v>35</v>
      </c>
      <c r="C224" s="64" t="s">
        <v>19</v>
      </c>
      <c r="D224" s="64" t="s">
        <v>471</v>
      </c>
      <c r="E224" s="64" t="s">
        <v>401</v>
      </c>
      <c r="F224" s="64" t="s">
        <v>22</v>
      </c>
      <c r="G224" s="64" t="s">
        <v>29</v>
      </c>
      <c r="H224" s="64" t="s">
        <v>39</v>
      </c>
      <c r="I224" s="65">
        <v>-3.25</v>
      </c>
      <c r="J224" s="65">
        <v>0.5</v>
      </c>
      <c r="K224" s="65">
        <v>0.5</v>
      </c>
      <c r="L224" s="66">
        <v>45681.0</v>
      </c>
      <c r="M224" s="67">
        <v>1.95</v>
      </c>
      <c r="N224" s="64" t="s">
        <v>25</v>
      </c>
      <c r="O224" s="68">
        <f t="shared" si="1"/>
        <v>-0.5</v>
      </c>
      <c r="P224" s="68">
        <f t="shared" si="4"/>
        <v>19.11051078</v>
      </c>
    </row>
    <row r="225">
      <c r="A225" s="64">
        <f t="shared" si="3"/>
        <v>224</v>
      </c>
      <c r="B225" s="64" t="s">
        <v>35</v>
      </c>
      <c r="C225" s="64" t="s">
        <v>19</v>
      </c>
      <c r="D225" s="64" t="s">
        <v>472</v>
      </c>
      <c r="E225" s="64" t="s">
        <v>216</v>
      </c>
      <c r="F225" s="64" t="s">
        <v>22</v>
      </c>
      <c r="G225" s="64" t="s">
        <v>29</v>
      </c>
      <c r="H225" s="64" t="s">
        <v>24</v>
      </c>
      <c r="I225" s="65">
        <v>-4.5</v>
      </c>
      <c r="J225" s="65">
        <v>0.7</v>
      </c>
      <c r="K225" s="65">
        <f>0.35+0.35*7/21</f>
        <v>0.4666666667</v>
      </c>
      <c r="L225" s="66">
        <v>45681.0</v>
      </c>
      <c r="M225" s="67">
        <v>2.025</v>
      </c>
      <c r="N225" s="64" t="s">
        <v>33</v>
      </c>
      <c r="O225" s="68">
        <f t="shared" si="1"/>
        <v>0.4783333333</v>
      </c>
      <c r="P225" s="68">
        <f t="shared" si="4"/>
        <v>19.58884412</v>
      </c>
    </row>
    <row r="226">
      <c r="A226" s="64">
        <f t="shared" si="3"/>
        <v>225</v>
      </c>
      <c r="B226" s="64" t="s">
        <v>26</v>
      </c>
      <c r="C226" s="64" t="s">
        <v>40</v>
      </c>
      <c r="D226" s="64" t="s">
        <v>473</v>
      </c>
      <c r="E226" s="64" t="s">
        <v>204</v>
      </c>
      <c r="F226" s="64" t="s">
        <v>22</v>
      </c>
      <c r="G226" s="64" t="s">
        <v>29</v>
      </c>
      <c r="H226" s="64" t="s">
        <v>24</v>
      </c>
      <c r="I226" s="65">
        <v>-3.5</v>
      </c>
      <c r="J226" s="65">
        <v>0.8</v>
      </c>
      <c r="K226" s="65">
        <f>0.4*19/21</f>
        <v>0.3619047619</v>
      </c>
      <c r="L226" s="66">
        <v>45681.0</v>
      </c>
      <c r="M226" s="67">
        <v>1.875</v>
      </c>
      <c r="N226" s="64" t="s">
        <v>25</v>
      </c>
      <c r="O226" s="68">
        <f t="shared" si="1"/>
        <v>-0.3619047619</v>
      </c>
      <c r="P226" s="68">
        <f t="shared" si="4"/>
        <v>19.22693936</v>
      </c>
    </row>
    <row r="227">
      <c r="A227" s="64">
        <f t="shared" si="3"/>
        <v>226</v>
      </c>
      <c r="B227" s="64" t="s">
        <v>26</v>
      </c>
      <c r="C227" s="64" t="s">
        <v>19</v>
      </c>
      <c r="D227" s="64" t="s">
        <v>474</v>
      </c>
      <c r="E227" s="64" t="s">
        <v>204</v>
      </c>
      <c r="F227" s="64" t="s">
        <v>22</v>
      </c>
      <c r="G227" s="64" t="s">
        <v>29</v>
      </c>
      <c r="H227" s="64" t="s">
        <v>24</v>
      </c>
      <c r="I227" s="65">
        <v>-2.75</v>
      </c>
      <c r="J227" s="65">
        <v>0.8</v>
      </c>
      <c r="K227" s="65">
        <v>0.4</v>
      </c>
      <c r="L227" s="66">
        <v>45681.0</v>
      </c>
      <c r="M227" s="67">
        <v>1.9</v>
      </c>
      <c r="N227" s="64" t="s">
        <v>33</v>
      </c>
      <c r="O227" s="68">
        <f t="shared" si="1"/>
        <v>0.36</v>
      </c>
      <c r="P227" s="68">
        <f t="shared" si="4"/>
        <v>19.58693936</v>
      </c>
    </row>
    <row r="228">
      <c r="A228" s="64">
        <f t="shared" si="3"/>
        <v>227</v>
      </c>
      <c r="B228" s="64" t="s">
        <v>35</v>
      </c>
      <c r="C228" s="64" t="s">
        <v>19</v>
      </c>
      <c r="D228" s="64" t="s">
        <v>475</v>
      </c>
      <c r="E228" s="64" t="s">
        <v>476</v>
      </c>
      <c r="F228" s="64" t="s">
        <v>22</v>
      </c>
      <c r="G228" s="64" t="s">
        <v>29</v>
      </c>
      <c r="H228" s="64" t="s">
        <v>39</v>
      </c>
      <c r="I228" s="65">
        <v>-1.75</v>
      </c>
      <c r="J228" s="65">
        <v>0.5</v>
      </c>
      <c r="K228" s="65">
        <f>0.5*10/21</f>
        <v>0.2380952381</v>
      </c>
      <c r="L228" s="66">
        <v>45681.0</v>
      </c>
      <c r="M228" s="67">
        <v>2.05</v>
      </c>
      <c r="N228" s="64" t="s">
        <v>79</v>
      </c>
      <c r="O228" s="68">
        <f t="shared" si="1"/>
        <v>-0.119047619</v>
      </c>
      <c r="P228" s="68">
        <f t="shared" si="4"/>
        <v>19.46789174</v>
      </c>
    </row>
    <row r="229">
      <c r="A229" s="64">
        <f t="shared" si="3"/>
        <v>228</v>
      </c>
      <c r="B229" s="64" t="s">
        <v>26</v>
      </c>
      <c r="C229" s="64" t="s">
        <v>19</v>
      </c>
      <c r="D229" s="64" t="s">
        <v>477</v>
      </c>
      <c r="E229" s="64" t="s">
        <v>88</v>
      </c>
      <c r="F229" s="64" t="s">
        <v>22</v>
      </c>
      <c r="G229" s="64" t="s">
        <v>29</v>
      </c>
      <c r="H229" s="64" t="s">
        <v>24</v>
      </c>
      <c r="I229" s="65">
        <v>-3.25</v>
      </c>
      <c r="J229" s="65">
        <v>0.8</v>
      </c>
      <c r="K229" s="65">
        <v>0.8</v>
      </c>
      <c r="L229" s="66">
        <v>45682.0</v>
      </c>
      <c r="M229" s="67">
        <v>2.0</v>
      </c>
      <c r="N229" s="64" t="s">
        <v>33</v>
      </c>
      <c r="O229" s="68">
        <f t="shared" si="1"/>
        <v>0.8</v>
      </c>
      <c r="P229" s="68">
        <f t="shared" si="4"/>
        <v>20.26789174</v>
      </c>
    </row>
    <row r="230">
      <c r="A230" s="64">
        <f t="shared" si="3"/>
        <v>229</v>
      </c>
      <c r="B230" s="64" t="s">
        <v>26</v>
      </c>
      <c r="C230" s="64" t="s">
        <v>19</v>
      </c>
      <c r="D230" s="64" t="s">
        <v>478</v>
      </c>
      <c r="E230" s="64" t="s">
        <v>28</v>
      </c>
      <c r="F230" s="64" t="s">
        <v>22</v>
      </c>
      <c r="G230" s="64" t="s">
        <v>29</v>
      </c>
      <c r="H230" s="64" t="s">
        <v>24</v>
      </c>
      <c r="I230" s="65">
        <v>-3.5</v>
      </c>
      <c r="J230" s="65">
        <v>0.8</v>
      </c>
      <c r="K230" s="65">
        <v>0.8</v>
      </c>
      <c r="L230" s="66">
        <v>45682.0</v>
      </c>
      <c r="M230" s="67">
        <v>2.0</v>
      </c>
      <c r="N230" s="64" t="s">
        <v>33</v>
      </c>
      <c r="O230" s="68">
        <f t="shared" si="1"/>
        <v>0.8</v>
      </c>
      <c r="P230" s="68">
        <f t="shared" si="4"/>
        <v>21.06789174</v>
      </c>
    </row>
    <row r="231">
      <c r="A231" s="64">
        <f t="shared" si="3"/>
        <v>230</v>
      </c>
      <c r="B231" s="64" t="s">
        <v>35</v>
      </c>
      <c r="C231" s="64" t="s">
        <v>19</v>
      </c>
      <c r="D231" s="64" t="s">
        <v>479</v>
      </c>
      <c r="E231" s="64" t="s">
        <v>346</v>
      </c>
      <c r="F231" s="64" t="s">
        <v>22</v>
      </c>
      <c r="G231" s="64" t="s">
        <v>29</v>
      </c>
      <c r="H231" s="64" t="s">
        <v>39</v>
      </c>
      <c r="I231" s="65">
        <v>-1.0</v>
      </c>
      <c r="J231" s="65">
        <v>0.5</v>
      </c>
      <c r="K231" s="65">
        <v>0.5</v>
      </c>
      <c r="L231" s="66">
        <v>45682.0</v>
      </c>
      <c r="M231" s="67">
        <v>1.75</v>
      </c>
      <c r="N231" s="64" t="s">
        <v>33</v>
      </c>
      <c r="O231" s="68">
        <f t="shared" si="1"/>
        <v>0.375</v>
      </c>
      <c r="P231" s="68">
        <f t="shared" si="4"/>
        <v>21.44289174</v>
      </c>
    </row>
    <row r="232">
      <c r="A232" s="64">
        <f t="shared" si="3"/>
        <v>231</v>
      </c>
      <c r="B232" s="64" t="s">
        <v>26</v>
      </c>
      <c r="C232" s="64" t="s">
        <v>19</v>
      </c>
      <c r="D232" s="64" t="s">
        <v>480</v>
      </c>
      <c r="E232" s="64" t="s">
        <v>84</v>
      </c>
      <c r="F232" s="64" t="s">
        <v>22</v>
      </c>
      <c r="G232" s="64" t="s">
        <v>29</v>
      </c>
      <c r="H232" s="64" t="s">
        <v>24</v>
      </c>
      <c r="I232" s="65">
        <v>-3.0</v>
      </c>
      <c r="J232" s="65">
        <v>0.8</v>
      </c>
      <c r="K232" s="65">
        <v>0.8</v>
      </c>
      <c r="L232" s="66">
        <v>45682.0</v>
      </c>
      <c r="M232" s="67">
        <v>1.95</v>
      </c>
      <c r="N232" s="64" t="s">
        <v>25</v>
      </c>
      <c r="O232" s="68">
        <f t="shared" si="1"/>
        <v>-0.8</v>
      </c>
      <c r="P232" s="68">
        <f t="shared" si="4"/>
        <v>20.64289174</v>
      </c>
    </row>
    <row r="233">
      <c r="A233" s="64">
        <f t="shared" si="3"/>
        <v>232</v>
      </c>
      <c r="B233" s="64" t="s">
        <v>35</v>
      </c>
      <c r="C233" s="64" t="s">
        <v>19</v>
      </c>
      <c r="D233" s="64" t="s">
        <v>481</v>
      </c>
      <c r="E233" s="64" t="s">
        <v>28</v>
      </c>
      <c r="F233" s="64" t="s">
        <v>22</v>
      </c>
      <c r="G233" s="64" t="s">
        <v>29</v>
      </c>
      <c r="H233" s="64" t="s">
        <v>24</v>
      </c>
      <c r="I233" s="65">
        <v>-3.75</v>
      </c>
      <c r="J233" s="65">
        <v>0.7</v>
      </c>
      <c r="K233" s="65">
        <v>0.7</v>
      </c>
      <c r="L233" s="66">
        <v>45682.0</v>
      </c>
      <c r="M233" s="67">
        <v>1.825</v>
      </c>
      <c r="N233" s="64" t="s">
        <v>79</v>
      </c>
      <c r="O233" s="68">
        <f t="shared" si="1"/>
        <v>-0.35</v>
      </c>
      <c r="P233" s="68">
        <f t="shared" si="4"/>
        <v>20.29289174</v>
      </c>
    </row>
    <row r="234">
      <c r="A234" s="64">
        <f t="shared" si="3"/>
        <v>233</v>
      </c>
      <c r="B234" s="64" t="s">
        <v>35</v>
      </c>
      <c r="C234" s="64" t="s">
        <v>19</v>
      </c>
      <c r="D234" s="64" t="s">
        <v>482</v>
      </c>
      <c r="E234" s="64" t="s">
        <v>28</v>
      </c>
      <c r="F234" s="64" t="s">
        <v>22</v>
      </c>
      <c r="G234" s="64" t="s">
        <v>29</v>
      </c>
      <c r="H234" s="64" t="s">
        <v>24</v>
      </c>
      <c r="I234" s="65">
        <v>-3.5</v>
      </c>
      <c r="J234" s="65">
        <v>0.7</v>
      </c>
      <c r="K234" s="65">
        <v>0.7</v>
      </c>
      <c r="L234" s="66">
        <v>45682.0</v>
      </c>
      <c r="M234" s="67">
        <v>1.85</v>
      </c>
      <c r="N234" s="64" t="s">
        <v>33</v>
      </c>
      <c r="O234" s="68">
        <f t="shared" si="1"/>
        <v>0.595</v>
      </c>
      <c r="P234" s="68">
        <f t="shared" si="4"/>
        <v>20.88789174</v>
      </c>
    </row>
    <row r="235">
      <c r="A235" s="64">
        <f t="shared" si="3"/>
        <v>234</v>
      </c>
      <c r="B235" s="64" t="s">
        <v>35</v>
      </c>
      <c r="C235" s="64" t="s">
        <v>19</v>
      </c>
      <c r="D235" s="64" t="s">
        <v>483</v>
      </c>
      <c r="E235" s="64" t="s">
        <v>157</v>
      </c>
      <c r="F235" s="64" t="s">
        <v>22</v>
      </c>
      <c r="G235" s="64" t="s">
        <v>29</v>
      </c>
      <c r="H235" s="64" t="s">
        <v>24</v>
      </c>
      <c r="I235" s="65">
        <v>-1.0</v>
      </c>
      <c r="J235" s="65">
        <v>0.7</v>
      </c>
      <c r="K235" s="65">
        <v>0.7</v>
      </c>
      <c r="L235" s="66">
        <v>45682.0</v>
      </c>
      <c r="M235" s="67">
        <v>1.9</v>
      </c>
      <c r="N235" s="64" t="s">
        <v>70</v>
      </c>
      <c r="O235" s="68">
        <f t="shared" si="1"/>
        <v>0</v>
      </c>
      <c r="P235" s="68">
        <f t="shared" si="4"/>
        <v>20.88789174</v>
      </c>
    </row>
    <row r="236">
      <c r="A236" s="64">
        <f t="shared" si="3"/>
        <v>235</v>
      </c>
      <c r="B236" s="64" t="s">
        <v>26</v>
      </c>
      <c r="C236" s="64" t="s">
        <v>19</v>
      </c>
      <c r="D236" s="64" t="s">
        <v>484</v>
      </c>
      <c r="E236" s="64" t="s">
        <v>93</v>
      </c>
      <c r="F236" s="64" t="s">
        <v>22</v>
      </c>
      <c r="G236" s="64" t="s">
        <v>225</v>
      </c>
      <c r="H236" s="64" t="s">
        <v>24</v>
      </c>
      <c r="I236" s="65">
        <v>2.0</v>
      </c>
      <c r="J236" s="65">
        <v>0.3</v>
      </c>
      <c r="K236" s="65">
        <f>0.15+0.15*4/20</f>
        <v>0.18</v>
      </c>
      <c r="L236" s="66">
        <v>45682.0</v>
      </c>
      <c r="M236" s="67">
        <v>1.95</v>
      </c>
      <c r="N236" s="64" t="s">
        <v>25</v>
      </c>
      <c r="O236" s="68">
        <f t="shared" si="1"/>
        <v>-0.18</v>
      </c>
      <c r="P236" s="68">
        <f t="shared" si="4"/>
        <v>20.70789174</v>
      </c>
    </row>
    <row r="237">
      <c r="A237" s="64">
        <f t="shared" si="3"/>
        <v>236</v>
      </c>
      <c r="B237" s="64" t="s">
        <v>26</v>
      </c>
      <c r="C237" s="64" t="s">
        <v>19</v>
      </c>
      <c r="D237" s="64" t="s">
        <v>485</v>
      </c>
      <c r="E237" s="64" t="s">
        <v>231</v>
      </c>
      <c r="F237" s="64" t="s">
        <v>22</v>
      </c>
      <c r="G237" s="64" t="s">
        <v>440</v>
      </c>
      <c r="H237" s="64" t="s">
        <v>24</v>
      </c>
      <c r="I237" s="65">
        <v>1.5</v>
      </c>
      <c r="J237" s="65">
        <v>0.2</v>
      </c>
      <c r="K237" s="65">
        <f>0.1+0.1*17/21</f>
        <v>0.180952381</v>
      </c>
      <c r="L237" s="66">
        <v>45682.0</v>
      </c>
      <c r="M237" s="67">
        <v>2.025</v>
      </c>
      <c r="N237" s="64" t="s">
        <v>33</v>
      </c>
      <c r="O237" s="68">
        <f t="shared" si="1"/>
        <v>0.1854761905</v>
      </c>
      <c r="P237" s="68">
        <f t="shared" si="4"/>
        <v>20.89336793</v>
      </c>
    </row>
    <row r="238">
      <c r="A238" s="64">
        <f t="shared" si="3"/>
        <v>237</v>
      </c>
      <c r="B238" s="64" t="s">
        <v>35</v>
      </c>
      <c r="C238" s="64" t="s">
        <v>19</v>
      </c>
      <c r="D238" s="64" t="s">
        <v>486</v>
      </c>
      <c r="E238" s="64" t="s">
        <v>487</v>
      </c>
      <c r="F238" s="64" t="s">
        <v>22</v>
      </c>
      <c r="G238" s="64" t="s">
        <v>29</v>
      </c>
      <c r="H238" s="64" t="s">
        <v>24</v>
      </c>
      <c r="I238" s="65">
        <v>-3.5</v>
      </c>
      <c r="J238" s="65">
        <v>0.7</v>
      </c>
      <c r="K238" s="65">
        <v>0.7</v>
      </c>
      <c r="L238" s="66">
        <v>45682.0</v>
      </c>
      <c r="M238" s="67">
        <v>1.825</v>
      </c>
      <c r="N238" s="64" t="s">
        <v>33</v>
      </c>
      <c r="O238" s="68">
        <f t="shared" si="1"/>
        <v>0.5775</v>
      </c>
      <c r="P238" s="68">
        <f t="shared" si="4"/>
        <v>21.47086793</v>
      </c>
    </row>
    <row r="239">
      <c r="A239" s="64">
        <f t="shared" si="3"/>
        <v>238</v>
      </c>
      <c r="B239" s="64" t="s">
        <v>35</v>
      </c>
      <c r="C239" s="64" t="s">
        <v>19</v>
      </c>
      <c r="D239" s="64" t="s">
        <v>488</v>
      </c>
      <c r="E239" s="64" t="s">
        <v>229</v>
      </c>
      <c r="F239" s="64" t="s">
        <v>22</v>
      </c>
      <c r="G239" s="64" t="s">
        <v>29</v>
      </c>
      <c r="H239" s="64" t="s">
        <v>24</v>
      </c>
      <c r="I239" s="65">
        <v>-1.0</v>
      </c>
      <c r="J239" s="65">
        <v>0.7</v>
      </c>
      <c r="K239" s="65">
        <f>0.7*18/21</f>
        <v>0.6</v>
      </c>
      <c r="L239" s="66">
        <v>45682.0</v>
      </c>
      <c r="M239" s="67">
        <v>1.825</v>
      </c>
      <c r="N239" s="64" t="s">
        <v>33</v>
      </c>
      <c r="O239" s="68">
        <f t="shared" si="1"/>
        <v>0.495</v>
      </c>
      <c r="P239" s="68">
        <f t="shared" si="4"/>
        <v>21.96586793</v>
      </c>
    </row>
    <row r="240">
      <c r="A240" s="64">
        <f t="shared" si="3"/>
        <v>239</v>
      </c>
      <c r="B240" s="64" t="s">
        <v>26</v>
      </c>
      <c r="C240" s="64" t="s">
        <v>19</v>
      </c>
      <c r="D240" s="64" t="s">
        <v>489</v>
      </c>
      <c r="E240" s="64" t="s">
        <v>273</v>
      </c>
      <c r="F240" s="64" t="s">
        <v>22</v>
      </c>
      <c r="G240" s="64" t="s">
        <v>29</v>
      </c>
      <c r="H240" s="64" t="s">
        <v>24</v>
      </c>
      <c r="I240" s="65">
        <v>-2.75</v>
      </c>
      <c r="J240" s="65">
        <v>0.8</v>
      </c>
      <c r="K240" s="65">
        <f>0.8*18/21</f>
        <v>0.6857142857</v>
      </c>
      <c r="L240" s="66">
        <v>45682.0</v>
      </c>
      <c r="M240" s="67">
        <v>1.875</v>
      </c>
      <c r="N240" s="64" t="s">
        <v>25</v>
      </c>
      <c r="O240" s="68">
        <f t="shared" si="1"/>
        <v>-0.6857142857</v>
      </c>
      <c r="P240" s="68">
        <f t="shared" si="4"/>
        <v>21.28015364</v>
      </c>
    </row>
    <row r="241">
      <c r="A241" s="64">
        <f t="shared" si="3"/>
        <v>240</v>
      </c>
      <c r="B241" s="64" t="s">
        <v>35</v>
      </c>
      <c r="C241" s="64" t="s">
        <v>19</v>
      </c>
      <c r="D241" s="64" t="s">
        <v>490</v>
      </c>
      <c r="E241" s="64" t="s">
        <v>66</v>
      </c>
      <c r="F241" s="64" t="s">
        <v>22</v>
      </c>
      <c r="G241" s="64" t="s">
        <v>29</v>
      </c>
      <c r="H241" s="64" t="s">
        <v>24</v>
      </c>
      <c r="I241" s="65">
        <v>-5.5</v>
      </c>
      <c r="J241" s="65">
        <v>0.7</v>
      </c>
      <c r="K241" s="65">
        <f>0.7*20/22</f>
        <v>0.6363636364</v>
      </c>
      <c r="L241" s="66">
        <v>45682.0</v>
      </c>
      <c r="M241" s="67">
        <v>1.975</v>
      </c>
      <c r="N241" s="64" t="s">
        <v>33</v>
      </c>
      <c r="O241" s="68">
        <f t="shared" si="1"/>
        <v>0.6204545455</v>
      </c>
      <c r="P241" s="68">
        <f t="shared" si="4"/>
        <v>21.90060819</v>
      </c>
    </row>
    <row r="242">
      <c r="A242" s="64">
        <f t="shared" si="3"/>
        <v>241</v>
      </c>
      <c r="B242" s="64" t="s">
        <v>26</v>
      </c>
      <c r="C242" s="64" t="s">
        <v>19</v>
      </c>
      <c r="D242" s="64" t="s">
        <v>491</v>
      </c>
      <c r="E242" s="64" t="s">
        <v>48</v>
      </c>
      <c r="F242" s="64" t="s">
        <v>22</v>
      </c>
      <c r="G242" s="64" t="s">
        <v>225</v>
      </c>
      <c r="H242" s="64" t="s">
        <v>24</v>
      </c>
      <c r="I242" s="65">
        <v>1.75</v>
      </c>
      <c r="J242" s="65">
        <v>0.3</v>
      </c>
      <c r="K242" s="65">
        <f>0.3*20/22</f>
        <v>0.2727272727</v>
      </c>
      <c r="L242" s="66">
        <v>45682.0</v>
      </c>
      <c r="M242" s="67">
        <v>2.0</v>
      </c>
      <c r="N242" s="64" t="s">
        <v>33</v>
      </c>
      <c r="O242" s="68">
        <f t="shared" si="1"/>
        <v>0.2727272727</v>
      </c>
      <c r="P242" s="68">
        <f t="shared" si="4"/>
        <v>22.17333546</v>
      </c>
    </row>
    <row r="243">
      <c r="A243" s="64">
        <f t="shared" si="3"/>
        <v>242</v>
      </c>
      <c r="B243" s="64" t="s">
        <v>26</v>
      </c>
      <c r="C243" s="64" t="s">
        <v>19</v>
      </c>
      <c r="D243" s="64" t="s">
        <v>492</v>
      </c>
      <c r="E243" s="64" t="s">
        <v>106</v>
      </c>
      <c r="F243" s="64" t="s">
        <v>22</v>
      </c>
      <c r="G243" s="64" t="s">
        <v>29</v>
      </c>
      <c r="H243" s="64" t="s">
        <v>24</v>
      </c>
      <c r="I243" s="65">
        <v>-2.0</v>
      </c>
      <c r="J243" s="65">
        <v>0.8</v>
      </c>
      <c r="K243" s="65">
        <v>0.8</v>
      </c>
      <c r="L243" s="66">
        <v>45682.0</v>
      </c>
      <c r="M243" s="67">
        <v>1.95</v>
      </c>
      <c r="N243" s="64" t="s">
        <v>70</v>
      </c>
      <c r="O243" s="68">
        <f t="shared" si="1"/>
        <v>0</v>
      </c>
      <c r="P243" s="68">
        <f t="shared" si="4"/>
        <v>22.17333546</v>
      </c>
    </row>
    <row r="244">
      <c r="A244" s="64">
        <f t="shared" si="3"/>
        <v>243</v>
      </c>
      <c r="B244" s="64" t="s">
        <v>35</v>
      </c>
      <c r="C244" s="64" t="s">
        <v>19</v>
      </c>
      <c r="D244" s="64" t="s">
        <v>493</v>
      </c>
      <c r="E244" s="64" t="s">
        <v>28</v>
      </c>
      <c r="F244" s="64" t="s">
        <v>22</v>
      </c>
      <c r="G244" s="64" t="s">
        <v>29</v>
      </c>
      <c r="H244" s="64" t="s">
        <v>24</v>
      </c>
      <c r="I244" s="65">
        <v>-1.0</v>
      </c>
      <c r="J244" s="65">
        <v>0.7</v>
      </c>
      <c r="K244" s="65">
        <v>0.7</v>
      </c>
      <c r="L244" s="66">
        <v>45682.0</v>
      </c>
      <c r="M244" s="67">
        <v>1.925</v>
      </c>
      <c r="N244" s="64" t="s">
        <v>70</v>
      </c>
      <c r="O244" s="68">
        <f t="shared" si="1"/>
        <v>0</v>
      </c>
      <c r="P244" s="68">
        <f t="shared" si="4"/>
        <v>22.17333546</v>
      </c>
    </row>
    <row r="245">
      <c r="A245" s="64">
        <f t="shared" si="3"/>
        <v>244</v>
      </c>
      <c r="B245" s="64" t="s">
        <v>26</v>
      </c>
      <c r="C245" s="64" t="s">
        <v>19</v>
      </c>
      <c r="D245" s="64" t="s">
        <v>494</v>
      </c>
      <c r="E245" s="64" t="s">
        <v>50</v>
      </c>
      <c r="F245" s="64" t="s">
        <v>22</v>
      </c>
      <c r="G245" s="64" t="s">
        <v>29</v>
      </c>
      <c r="H245" s="64" t="s">
        <v>39</v>
      </c>
      <c r="I245" s="65">
        <v>-2.75</v>
      </c>
      <c r="J245" s="65">
        <v>0.8</v>
      </c>
      <c r="K245" s="65">
        <f>0.8*20/22</f>
        <v>0.7272727273</v>
      </c>
      <c r="L245" s="66">
        <v>45682.0</v>
      </c>
      <c r="M245" s="67">
        <v>1.85</v>
      </c>
      <c r="N245" s="64" t="s">
        <v>33</v>
      </c>
      <c r="O245" s="68">
        <f t="shared" si="1"/>
        <v>0.6181818182</v>
      </c>
      <c r="P245" s="68">
        <f t="shared" si="4"/>
        <v>22.79151728</v>
      </c>
    </row>
    <row r="246">
      <c r="A246" s="64">
        <f t="shared" si="3"/>
        <v>245</v>
      </c>
      <c r="B246" s="64" t="s">
        <v>35</v>
      </c>
      <c r="C246" s="64" t="s">
        <v>19</v>
      </c>
      <c r="D246" s="64" t="s">
        <v>495</v>
      </c>
      <c r="E246" s="64" t="s">
        <v>273</v>
      </c>
      <c r="F246" s="64" t="s">
        <v>22</v>
      </c>
      <c r="G246" s="64" t="s">
        <v>29</v>
      </c>
      <c r="H246" s="64" t="s">
        <v>24</v>
      </c>
      <c r="I246" s="65">
        <v>-3.0</v>
      </c>
      <c r="J246" s="65">
        <v>0.7</v>
      </c>
      <c r="K246" s="65">
        <v>0.7</v>
      </c>
      <c r="L246" s="66">
        <v>45682.0</v>
      </c>
      <c r="M246" s="67">
        <v>1.775</v>
      </c>
      <c r="N246" s="64" t="s">
        <v>70</v>
      </c>
      <c r="O246" s="68">
        <f t="shared" si="1"/>
        <v>0</v>
      </c>
      <c r="P246" s="68">
        <f t="shared" si="4"/>
        <v>22.79151728</v>
      </c>
    </row>
    <row r="247">
      <c r="A247" s="64">
        <f t="shared" si="3"/>
        <v>246</v>
      </c>
      <c r="B247" s="64" t="s">
        <v>26</v>
      </c>
      <c r="C247" s="64" t="s">
        <v>19</v>
      </c>
      <c r="D247" s="64" t="s">
        <v>496</v>
      </c>
      <c r="E247" s="64" t="s">
        <v>214</v>
      </c>
      <c r="F247" s="64" t="s">
        <v>22</v>
      </c>
      <c r="G247" s="64" t="s">
        <v>29</v>
      </c>
      <c r="H247" s="64" t="s">
        <v>39</v>
      </c>
      <c r="I247" s="65">
        <v>-3.25</v>
      </c>
      <c r="J247" s="65">
        <v>0.8</v>
      </c>
      <c r="K247" s="65">
        <f>0.4*19/22+0.4*17/22</f>
        <v>0.6545454545</v>
      </c>
      <c r="L247" s="66">
        <v>45682.0</v>
      </c>
      <c r="M247" s="67">
        <v>1.775</v>
      </c>
      <c r="N247" s="64" t="s">
        <v>30</v>
      </c>
      <c r="O247" s="68">
        <f t="shared" si="1"/>
        <v>0.2536363636</v>
      </c>
      <c r="P247" s="68">
        <f t="shared" si="4"/>
        <v>23.04515364</v>
      </c>
    </row>
    <row r="248">
      <c r="A248" s="64">
        <f t="shared" si="3"/>
        <v>247</v>
      </c>
      <c r="B248" s="64" t="s">
        <v>26</v>
      </c>
      <c r="C248" s="64" t="s">
        <v>19</v>
      </c>
      <c r="D248" s="64" t="s">
        <v>497</v>
      </c>
      <c r="E248" s="64" t="s">
        <v>214</v>
      </c>
      <c r="F248" s="64" t="s">
        <v>22</v>
      </c>
      <c r="G248" s="64" t="s">
        <v>29</v>
      </c>
      <c r="H248" s="64" t="s">
        <v>39</v>
      </c>
      <c r="I248" s="65">
        <v>-4.25</v>
      </c>
      <c r="J248" s="65">
        <v>0.8</v>
      </c>
      <c r="K248" s="65">
        <v>0.72</v>
      </c>
      <c r="L248" s="66">
        <v>45682.0</v>
      </c>
      <c r="M248" s="67">
        <v>1.9</v>
      </c>
      <c r="N248" s="64" t="s">
        <v>33</v>
      </c>
      <c r="O248" s="68">
        <f t="shared" si="1"/>
        <v>0.648</v>
      </c>
      <c r="P248" s="68">
        <f t="shared" si="4"/>
        <v>23.69315364</v>
      </c>
    </row>
    <row r="249">
      <c r="A249" s="64">
        <f t="shared" si="3"/>
        <v>248</v>
      </c>
      <c r="B249" s="64" t="s">
        <v>35</v>
      </c>
      <c r="C249" s="64" t="s">
        <v>19</v>
      </c>
      <c r="D249" s="64" t="s">
        <v>498</v>
      </c>
      <c r="E249" s="64" t="s">
        <v>60</v>
      </c>
      <c r="F249" s="64" t="s">
        <v>22</v>
      </c>
      <c r="G249" s="64" t="s">
        <v>29</v>
      </c>
      <c r="H249" s="64" t="s">
        <v>39</v>
      </c>
      <c r="I249" s="65">
        <v>-0.75</v>
      </c>
      <c r="J249" s="65">
        <f>0.5</f>
        <v>0.5</v>
      </c>
      <c r="K249" s="65">
        <v>0.25</v>
      </c>
      <c r="L249" s="66">
        <v>45682.0</v>
      </c>
      <c r="M249" s="67">
        <v>1.95</v>
      </c>
      <c r="N249" s="64" t="s">
        <v>79</v>
      </c>
      <c r="O249" s="68">
        <f t="shared" si="1"/>
        <v>-0.125</v>
      </c>
      <c r="P249" s="68">
        <f t="shared" si="4"/>
        <v>23.56815364</v>
      </c>
    </row>
    <row r="250">
      <c r="A250" s="64">
        <f t="shared" si="3"/>
        <v>249</v>
      </c>
      <c r="B250" s="64" t="s">
        <v>35</v>
      </c>
      <c r="C250" s="64" t="s">
        <v>19</v>
      </c>
      <c r="D250" s="64" t="s">
        <v>499</v>
      </c>
      <c r="E250" s="64" t="s">
        <v>50</v>
      </c>
      <c r="F250" s="64" t="s">
        <v>22</v>
      </c>
      <c r="G250" s="64" t="s">
        <v>29</v>
      </c>
      <c r="H250" s="64" t="s">
        <v>39</v>
      </c>
      <c r="I250" s="65">
        <v>-3.0</v>
      </c>
      <c r="J250" s="65">
        <v>0.5</v>
      </c>
      <c r="K250" s="65">
        <v>0.25</v>
      </c>
      <c r="L250" s="66">
        <v>45682.0</v>
      </c>
      <c r="M250" s="67">
        <v>2.025</v>
      </c>
      <c r="N250" s="64" t="s">
        <v>70</v>
      </c>
      <c r="O250" s="68">
        <f t="shared" si="1"/>
        <v>0</v>
      </c>
      <c r="P250" s="68">
        <f t="shared" si="4"/>
        <v>23.56815364</v>
      </c>
    </row>
    <row r="251">
      <c r="A251" s="64">
        <f t="shared" si="3"/>
        <v>250</v>
      </c>
      <c r="B251" s="64" t="s">
        <v>26</v>
      </c>
      <c r="C251" s="64" t="s">
        <v>19</v>
      </c>
      <c r="D251" s="64" t="s">
        <v>500</v>
      </c>
      <c r="E251" s="64" t="s">
        <v>84</v>
      </c>
      <c r="F251" s="64" t="s">
        <v>22</v>
      </c>
      <c r="G251" s="64" t="s">
        <v>29</v>
      </c>
      <c r="H251" s="64" t="s">
        <v>24</v>
      </c>
      <c r="I251" s="65">
        <v>-3.0</v>
      </c>
      <c r="J251" s="65">
        <v>0.8</v>
      </c>
      <c r="K251" s="65">
        <v>0.8</v>
      </c>
      <c r="L251" s="69">
        <v>45682.0</v>
      </c>
      <c r="M251" s="67">
        <v>2.0</v>
      </c>
      <c r="N251" s="64" t="s">
        <v>70</v>
      </c>
      <c r="O251" s="68">
        <f t="shared" si="1"/>
        <v>0</v>
      </c>
      <c r="P251" s="68">
        <f t="shared" si="4"/>
        <v>23.56815364</v>
      </c>
    </row>
    <row r="252">
      <c r="A252" s="64">
        <f t="shared" si="3"/>
        <v>251</v>
      </c>
      <c r="B252" s="64" t="s">
        <v>35</v>
      </c>
      <c r="C252" s="64" t="s">
        <v>19</v>
      </c>
      <c r="D252" s="64" t="s">
        <v>501</v>
      </c>
      <c r="E252" s="64" t="s">
        <v>319</v>
      </c>
      <c r="F252" s="64" t="s">
        <v>22</v>
      </c>
      <c r="G252" s="64" t="s">
        <v>29</v>
      </c>
      <c r="H252" s="64" t="s">
        <v>39</v>
      </c>
      <c r="I252" s="65">
        <v>-3.5</v>
      </c>
      <c r="J252" s="65">
        <v>0.5</v>
      </c>
      <c r="K252" s="65">
        <v>0.5</v>
      </c>
      <c r="L252" s="69">
        <v>45682.0</v>
      </c>
      <c r="M252" s="67">
        <v>2.025</v>
      </c>
      <c r="N252" s="64" t="s">
        <v>25</v>
      </c>
      <c r="O252" s="68">
        <f t="shared" si="1"/>
        <v>-0.5</v>
      </c>
      <c r="P252" s="68">
        <f t="shared" si="4"/>
        <v>23.06815364</v>
      </c>
    </row>
    <row r="253">
      <c r="A253" s="64">
        <f t="shared" si="3"/>
        <v>252</v>
      </c>
      <c r="B253" s="64" t="s">
        <v>35</v>
      </c>
      <c r="C253" s="64" t="s">
        <v>19</v>
      </c>
      <c r="D253" s="64" t="s">
        <v>502</v>
      </c>
      <c r="E253" s="64" t="s">
        <v>503</v>
      </c>
      <c r="F253" s="64" t="s">
        <v>22</v>
      </c>
      <c r="G253" s="64" t="s">
        <v>29</v>
      </c>
      <c r="H253" s="64" t="s">
        <v>24</v>
      </c>
      <c r="I253" s="65">
        <v>-0.75</v>
      </c>
      <c r="J253" s="65">
        <v>0.7</v>
      </c>
      <c r="K253" s="65">
        <v>0.7</v>
      </c>
      <c r="L253" s="69">
        <v>45682.0</v>
      </c>
      <c r="M253" s="67">
        <v>1.925</v>
      </c>
      <c r="N253" s="64" t="s">
        <v>33</v>
      </c>
      <c r="O253" s="68">
        <f t="shared" si="1"/>
        <v>0.6475</v>
      </c>
      <c r="P253" s="68">
        <f t="shared" si="4"/>
        <v>23.71565364</v>
      </c>
    </row>
    <row r="254">
      <c r="A254" s="64">
        <f t="shared" si="3"/>
        <v>253</v>
      </c>
      <c r="B254" s="64" t="s">
        <v>35</v>
      </c>
      <c r="C254" s="64" t="s">
        <v>19</v>
      </c>
      <c r="D254" s="64" t="s">
        <v>504</v>
      </c>
      <c r="E254" s="64" t="s">
        <v>401</v>
      </c>
      <c r="F254" s="64" t="s">
        <v>22</v>
      </c>
      <c r="G254" s="64" t="s">
        <v>29</v>
      </c>
      <c r="H254" s="64" t="s">
        <v>39</v>
      </c>
      <c r="I254" s="65">
        <v>-0.75</v>
      </c>
      <c r="J254" s="65">
        <v>0.5</v>
      </c>
      <c r="K254" s="65">
        <v>0.5</v>
      </c>
      <c r="L254" s="69">
        <v>45682.0</v>
      </c>
      <c r="M254" s="67">
        <v>1.975</v>
      </c>
      <c r="N254" s="64" t="s">
        <v>79</v>
      </c>
      <c r="O254" s="68">
        <f t="shared" si="1"/>
        <v>-0.25</v>
      </c>
      <c r="P254" s="68">
        <f t="shared" si="4"/>
        <v>23.46565364</v>
      </c>
    </row>
    <row r="255">
      <c r="A255" s="64">
        <f t="shared" si="3"/>
        <v>254</v>
      </c>
      <c r="B255" s="64" t="s">
        <v>26</v>
      </c>
      <c r="C255" s="64" t="s">
        <v>40</v>
      </c>
      <c r="D255" s="64" t="s">
        <v>505</v>
      </c>
      <c r="E255" s="64" t="s">
        <v>273</v>
      </c>
      <c r="F255" s="64" t="s">
        <v>22</v>
      </c>
      <c r="G255" s="64" t="s">
        <v>225</v>
      </c>
      <c r="H255" s="64" t="s">
        <v>24</v>
      </c>
      <c r="I255" s="65">
        <v>3.0</v>
      </c>
      <c r="J255" s="65">
        <v>0.3</v>
      </c>
      <c r="K255" s="65">
        <v>0.3</v>
      </c>
      <c r="L255" s="66">
        <v>45683.0</v>
      </c>
      <c r="M255" s="67">
        <v>1.85</v>
      </c>
      <c r="N255" s="64" t="s">
        <v>33</v>
      </c>
      <c r="O255" s="68">
        <f t="shared" si="1"/>
        <v>0.255</v>
      </c>
      <c r="P255" s="68">
        <f t="shared" si="4"/>
        <v>23.72065364</v>
      </c>
    </row>
    <row r="256">
      <c r="A256" s="64">
        <f t="shared" si="3"/>
        <v>255</v>
      </c>
      <c r="B256" s="64" t="s">
        <v>26</v>
      </c>
      <c r="C256" s="64" t="s">
        <v>19</v>
      </c>
      <c r="D256" s="64" t="s">
        <v>506</v>
      </c>
      <c r="E256" s="64" t="s">
        <v>91</v>
      </c>
      <c r="F256" s="64" t="s">
        <v>22</v>
      </c>
      <c r="G256" s="64" t="s">
        <v>29</v>
      </c>
      <c r="H256" s="64" t="s">
        <v>24</v>
      </c>
      <c r="I256" s="65">
        <v>-3.5</v>
      </c>
      <c r="J256" s="65">
        <v>0.8</v>
      </c>
      <c r="K256" s="65">
        <v>0.8</v>
      </c>
      <c r="L256" s="66">
        <v>45683.0</v>
      </c>
      <c r="M256" s="67">
        <v>1.9</v>
      </c>
      <c r="N256" s="64" t="s">
        <v>25</v>
      </c>
      <c r="O256" s="68">
        <f t="shared" si="1"/>
        <v>-0.8</v>
      </c>
      <c r="P256" s="68">
        <f t="shared" si="4"/>
        <v>22.92065364</v>
      </c>
    </row>
    <row r="257">
      <c r="A257" s="64">
        <f t="shared" si="3"/>
        <v>256</v>
      </c>
      <c r="B257" s="64" t="s">
        <v>26</v>
      </c>
      <c r="C257" s="64" t="s">
        <v>19</v>
      </c>
      <c r="D257" s="64" t="s">
        <v>507</v>
      </c>
      <c r="E257" s="64" t="s">
        <v>28</v>
      </c>
      <c r="F257" s="64" t="s">
        <v>22</v>
      </c>
      <c r="G257" s="64" t="s">
        <v>29</v>
      </c>
      <c r="H257" s="64" t="s">
        <v>24</v>
      </c>
      <c r="I257" s="65">
        <v>-2.75</v>
      </c>
      <c r="J257" s="65">
        <v>0.8</v>
      </c>
      <c r="K257" s="65">
        <v>0.8</v>
      </c>
      <c r="L257" s="66">
        <v>45683.0</v>
      </c>
      <c r="M257" s="67">
        <v>1.85</v>
      </c>
      <c r="N257" s="64" t="s">
        <v>33</v>
      </c>
      <c r="O257" s="68">
        <f t="shared" si="1"/>
        <v>0.68</v>
      </c>
      <c r="P257" s="68">
        <f t="shared" si="4"/>
        <v>23.60065364</v>
      </c>
    </row>
    <row r="258">
      <c r="A258" s="64">
        <f t="shared" si="3"/>
        <v>257</v>
      </c>
      <c r="B258" s="64" t="s">
        <v>26</v>
      </c>
      <c r="C258" s="64" t="s">
        <v>19</v>
      </c>
      <c r="D258" s="64" t="s">
        <v>508</v>
      </c>
      <c r="E258" s="64" t="s">
        <v>88</v>
      </c>
      <c r="F258" s="64" t="s">
        <v>22</v>
      </c>
      <c r="G258" s="64" t="s">
        <v>29</v>
      </c>
      <c r="H258" s="64" t="s">
        <v>24</v>
      </c>
      <c r="I258" s="65">
        <v>-3.75</v>
      </c>
      <c r="J258" s="65">
        <v>0.8</v>
      </c>
      <c r="K258" s="65">
        <v>0.6</v>
      </c>
      <c r="L258" s="66">
        <v>45683.0</v>
      </c>
      <c r="M258" s="67">
        <v>1.925</v>
      </c>
      <c r="N258" s="64" t="s">
        <v>33</v>
      </c>
      <c r="O258" s="68">
        <f t="shared" si="1"/>
        <v>0.555</v>
      </c>
      <c r="P258" s="68">
        <f t="shared" si="4"/>
        <v>24.15565364</v>
      </c>
    </row>
    <row r="259">
      <c r="A259" s="64">
        <f t="shared" si="3"/>
        <v>258</v>
      </c>
      <c r="B259" s="64" t="s">
        <v>26</v>
      </c>
      <c r="C259" s="64" t="s">
        <v>19</v>
      </c>
      <c r="D259" s="64" t="s">
        <v>509</v>
      </c>
      <c r="E259" s="64" t="s">
        <v>93</v>
      </c>
      <c r="F259" s="64" t="s">
        <v>22</v>
      </c>
      <c r="G259" s="64" t="s">
        <v>29</v>
      </c>
      <c r="H259" s="64" t="s">
        <v>24</v>
      </c>
      <c r="I259" s="65">
        <v>-5.0</v>
      </c>
      <c r="J259" s="65">
        <v>0.8</v>
      </c>
      <c r="K259" s="65">
        <v>0.6</v>
      </c>
      <c r="L259" s="66">
        <v>45683.0</v>
      </c>
      <c r="M259" s="67">
        <v>1.9</v>
      </c>
      <c r="N259" s="64" t="s">
        <v>70</v>
      </c>
      <c r="O259" s="68">
        <f t="shared" si="1"/>
        <v>0</v>
      </c>
      <c r="P259" s="68">
        <f t="shared" si="4"/>
        <v>24.15565364</v>
      </c>
    </row>
    <row r="260">
      <c r="A260" s="64">
        <f t="shared" si="3"/>
        <v>259</v>
      </c>
      <c r="B260" s="64" t="s">
        <v>26</v>
      </c>
      <c r="C260" s="64" t="s">
        <v>19</v>
      </c>
      <c r="D260" s="64" t="s">
        <v>510</v>
      </c>
      <c r="E260" s="64" t="s">
        <v>93</v>
      </c>
      <c r="F260" s="64" t="s">
        <v>22</v>
      </c>
      <c r="G260" s="64" t="s">
        <v>440</v>
      </c>
      <c r="H260" s="64" t="s">
        <v>39</v>
      </c>
      <c r="I260" s="65">
        <v>2.0</v>
      </c>
      <c r="J260" s="65">
        <v>0.2</v>
      </c>
      <c r="K260" s="65">
        <v>0.2</v>
      </c>
      <c r="L260" s="66">
        <v>45683.0</v>
      </c>
      <c r="M260" s="67">
        <v>1.975</v>
      </c>
      <c r="N260" s="64" t="s">
        <v>70</v>
      </c>
      <c r="O260" s="68">
        <f t="shared" si="1"/>
        <v>0</v>
      </c>
      <c r="P260" s="68">
        <f t="shared" si="4"/>
        <v>24.15565364</v>
      </c>
    </row>
    <row r="261">
      <c r="A261" s="64">
        <f t="shared" si="3"/>
        <v>260</v>
      </c>
      <c r="B261" s="64" t="s">
        <v>35</v>
      </c>
      <c r="C261" s="64" t="s">
        <v>19</v>
      </c>
      <c r="D261" s="64" t="s">
        <v>511</v>
      </c>
      <c r="E261" s="64" t="s">
        <v>28</v>
      </c>
      <c r="F261" s="64" t="s">
        <v>22</v>
      </c>
      <c r="G261" s="64" t="s">
        <v>29</v>
      </c>
      <c r="H261" s="64" t="s">
        <v>24</v>
      </c>
      <c r="I261" s="65">
        <v>-4.0</v>
      </c>
      <c r="J261" s="65">
        <v>0.7</v>
      </c>
      <c r="K261" s="65">
        <v>0.35</v>
      </c>
      <c r="L261" s="66">
        <v>45683.0</v>
      </c>
      <c r="M261" s="67">
        <v>1.85</v>
      </c>
      <c r="N261" s="64" t="s">
        <v>25</v>
      </c>
      <c r="O261" s="68">
        <f t="shared" si="1"/>
        <v>-0.35</v>
      </c>
      <c r="P261" s="68">
        <f t="shared" si="4"/>
        <v>23.80565364</v>
      </c>
    </row>
    <row r="262">
      <c r="A262" s="64">
        <f t="shared" si="3"/>
        <v>261</v>
      </c>
      <c r="B262" s="64" t="s">
        <v>26</v>
      </c>
      <c r="C262" s="64" t="s">
        <v>19</v>
      </c>
      <c r="D262" s="64" t="s">
        <v>512</v>
      </c>
      <c r="E262" s="64" t="s">
        <v>513</v>
      </c>
      <c r="F262" s="64" t="s">
        <v>22</v>
      </c>
      <c r="G262" s="64" t="s">
        <v>29</v>
      </c>
      <c r="H262" s="64" t="s">
        <v>39</v>
      </c>
      <c r="I262" s="65">
        <v>-2.75</v>
      </c>
      <c r="J262" s="65">
        <v>0.8</v>
      </c>
      <c r="K262" s="65">
        <v>0.8</v>
      </c>
      <c r="L262" s="66">
        <v>45683.0</v>
      </c>
      <c r="M262" s="67">
        <v>1.95</v>
      </c>
      <c r="N262" s="64" t="s">
        <v>33</v>
      </c>
      <c r="O262" s="68">
        <f t="shared" si="1"/>
        <v>0.76</v>
      </c>
      <c r="P262" s="68">
        <f t="shared" si="4"/>
        <v>24.56565364</v>
      </c>
    </row>
    <row r="263">
      <c r="A263" s="64">
        <f t="shared" si="3"/>
        <v>262</v>
      </c>
      <c r="B263" s="64" t="s">
        <v>35</v>
      </c>
      <c r="C263" s="64" t="s">
        <v>19</v>
      </c>
      <c r="D263" s="64" t="s">
        <v>514</v>
      </c>
      <c r="E263" s="64" t="s">
        <v>229</v>
      </c>
      <c r="F263" s="64" t="s">
        <v>22</v>
      </c>
      <c r="G263" s="64" t="s">
        <v>29</v>
      </c>
      <c r="H263" s="64" t="s">
        <v>39</v>
      </c>
      <c r="I263" s="65">
        <v>-1.0</v>
      </c>
      <c r="J263" s="65">
        <v>0.5</v>
      </c>
      <c r="K263" s="65">
        <v>0.5</v>
      </c>
      <c r="L263" s="66">
        <v>45683.0</v>
      </c>
      <c r="M263" s="67">
        <v>2.0</v>
      </c>
      <c r="N263" s="64" t="s">
        <v>25</v>
      </c>
      <c r="O263" s="68">
        <f t="shared" si="1"/>
        <v>-0.5</v>
      </c>
      <c r="P263" s="68">
        <f t="shared" si="4"/>
        <v>24.06565364</v>
      </c>
    </row>
    <row r="264">
      <c r="A264" s="64">
        <f t="shared" si="3"/>
        <v>263</v>
      </c>
      <c r="B264" s="64" t="s">
        <v>35</v>
      </c>
      <c r="C264" s="64" t="s">
        <v>19</v>
      </c>
      <c r="D264" s="64" t="s">
        <v>515</v>
      </c>
      <c r="E264" s="64" t="s">
        <v>229</v>
      </c>
      <c r="F264" s="64" t="s">
        <v>22</v>
      </c>
      <c r="G264" s="64" t="s">
        <v>29</v>
      </c>
      <c r="H264" s="64" t="s">
        <v>24</v>
      </c>
      <c r="I264" s="65">
        <v>-2.0</v>
      </c>
      <c r="J264" s="65">
        <v>0.7</v>
      </c>
      <c r="K264" s="65">
        <f>0.35+0.35/2</f>
        <v>0.525</v>
      </c>
      <c r="L264" s="66">
        <v>45683.0</v>
      </c>
      <c r="M264" s="67">
        <v>2.05</v>
      </c>
      <c r="N264" s="64" t="s">
        <v>25</v>
      </c>
      <c r="O264" s="68">
        <f t="shared" si="1"/>
        <v>-0.525</v>
      </c>
      <c r="P264" s="68">
        <f t="shared" si="4"/>
        <v>23.54065364</v>
      </c>
    </row>
    <row r="265">
      <c r="A265" s="64">
        <f t="shared" si="3"/>
        <v>264</v>
      </c>
      <c r="B265" s="64" t="s">
        <v>35</v>
      </c>
      <c r="C265" s="64" t="s">
        <v>19</v>
      </c>
      <c r="D265" s="64" t="s">
        <v>516</v>
      </c>
      <c r="E265" s="64" t="s">
        <v>21</v>
      </c>
      <c r="F265" s="64" t="s">
        <v>22</v>
      </c>
      <c r="G265" s="64" t="s">
        <v>29</v>
      </c>
      <c r="H265" s="64" t="s">
        <v>39</v>
      </c>
      <c r="I265" s="65">
        <v>-2.25</v>
      </c>
      <c r="J265" s="65">
        <v>0.5</v>
      </c>
      <c r="K265" s="65">
        <v>0.5</v>
      </c>
      <c r="L265" s="66">
        <v>45683.0</v>
      </c>
      <c r="M265" s="67">
        <v>2.1</v>
      </c>
      <c r="N265" s="64" t="s">
        <v>25</v>
      </c>
      <c r="O265" s="68">
        <f t="shared" si="1"/>
        <v>-0.5</v>
      </c>
      <c r="P265" s="68">
        <f t="shared" si="4"/>
        <v>23.04065364</v>
      </c>
    </row>
    <row r="266">
      <c r="A266" s="64">
        <f t="shared" si="3"/>
        <v>265</v>
      </c>
      <c r="B266" s="64" t="s">
        <v>35</v>
      </c>
      <c r="C266" s="64" t="s">
        <v>19</v>
      </c>
      <c r="D266" s="64" t="s">
        <v>517</v>
      </c>
      <c r="E266" s="64" t="s">
        <v>401</v>
      </c>
      <c r="F266" s="64" t="s">
        <v>22</v>
      </c>
      <c r="G266" s="64" t="s">
        <v>29</v>
      </c>
      <c r="H266" s="64" t="s">
        <v>39</v>
      </c>
      <c r="I266" s="65">
        <v>-1.0</v>
      </c>
      <c r="J266" s="65">
        <v>0.5</v>
      </c>
      <c r="K266" s="65">
        <v>0.5</v>
      </c>
      <c r="L266" s="66">
        <v>45683.0</v>
      </c>
      <c r="M266" s="67">
        <v>2.05</v>
      </c>
      <c r="N266" s="64" t="s">
        <v>70</v>
      </c>
      <c r="O266" s="68">
        <f t="shared" si="1"/>
        <v>0</v>
      </c>
      <c r="P266" s="68">
        <f t="shared" si="4"/>
        <v>23.04065364</v>
      </c>
    </row>
    <row r="267">
      <c r="A267" s="64">
        <f t="shared" si="3"/>
        <v>266</v>
      </c>
      <c r="B267" s="64" t="s">
        <v>26</v>
      </c>
      <c r="C267" s="64" t="s">
        <v>19</v>
      </c>
      <c r="D267" s="64" t="s">
        <v>518</v>
      </c>
      <c r="E267" s="64" t="s">
        <v>50</v>
      </c>
      <c r="F267" s="64" t="s">
        <v>22</v>
      </c>
      <c r="G267" s="64" t="s">
        <v>29</v>
      </c>
      <c r="H267" s="64" t="s">
        <v>39</v>
      </c>
      <c r="I267" s="65">
        <v>-2.75</v>
      </c>
      <c r="J267" s="65">
        <v>0.8</v>
      </c>
      <c r="K267" s="65">
        <v>0.6</v>
      </c>
      <c r="L267" s="66">
        <v>45683.0</v>
      </c>
      <c r="M267" s="67">
        <v>2.0</v>
      </c>
      <c r="N267" s="64" t="s">
        <v>79</v>
      </c>
      <c r="O267" s="68">
        <f t="shared" si="1"/>
        <v>-0.3</v>
      </c>
      <c r="P267" s="68">
        <f t="shared" si="4"/>
        <v>22.74065364</v>
      </c>
    </row>
    <row r="268">
      <c r="A268" s="64">
        <f t="shared" si="3"/>
        <v>267</v>
      </c>
      <c r="B268" s="64" t="s">
        <v>26</v>
      </c>
      <c r="C268" s="64" t="s">
        <v>19</v>
      </c>
      <c r="D268" s="64" t="s">
        <v>519</v>
      </c>
      <c r="E268" s="64" t="s">
        <v>82</v>
      </c>
      <c r="F268" s="64" t="s">
        <v>22</v>
      </c>
      <c r="G268" s="64" t="s">
        <v>440</v>
      </c>
      <c r="H268" s="64" t="s">
        <v>39</v>
      </c>
      <c r="I268" s="65">
        <v>2.0</v>
      </c>
      <c r="J268" s="65">
        <v>0.2</v>
      </c>
      <c r="K268" s="65">
        <v>0.2</v>
      </c>
      <c r="L268" s="66">
        <v>45683.0</v>
      </c>
      <c r="M268" s="67">
        <v>1.975</v>
      </c>
      <c r="N268" s="64" t="s">
        <v>33</v>
      </c>
      <c r="O268" s="68">
        <f t="shared" si="1"/>
        <v>0.195</v>
      </c>
      <c r="P268" s="68">
        <f t="shared" si="4"/>
        <v>22.93565364</v>
      </c>
    </row>
    <row r="269">
      <c r="A269" s="64">
        <f t="shared" si="3"/>
        <v>268</v>
      </c>
      <c r="B269" s="64" t="s">
        <v>26</v>
      </c>
      <c r="C269" s="64" t="s">
        <v>19</v>
      </c>
      <c r="D269" s="64" t="s">
        <v>520</v>
      </c>
      <c r="E269" s="64" t="s">
        <v>50</v>
      </c>
      <c r="F269" s="64" t="s">
        <v>22</v>
      </c>
      <c r="G269" s="64" t="s">
        <v>225</v>
      </c>
      <c r="H269" s="64" t="s">
        <v>24</v>
      </c>
      <c r="I269" s="65">
        <v>1.75</v>
      </c>
      <c r="J269" s="65">
        <v>0.3</v>
      </c>
      <c r="K269" s="65">
        <v>0.3</v>
      </c>
      <c r="L269" s="66">
        <v>45683.0</v>
      </c>
      <c r="M269" s="67">
        <v>1.85</v>
      </c>
      <c r="N269" s="64" t="s">
        <v>25</v>
      </c>
      <c r="O269" s="68">
        <f t="shared" si="1"/>
        <v>-0.3</v>
      </c>
      <c r="P269" s="68">
        <f t="shared" si="4"/>
        <v>22.63565364</v>
      </c>
    </row>
    <row r="270">
      <c r="A270" s="64">
        <f t="shared" si="3"/>
        <v>269</v>
      </c>
      <c r="B270" s="64" t="s">
        <v>26</v>
      </c>
      <c r="C270" s="64" t="s">
        <v>19</v>
      </c>
      <c r="D270" s="64" t="s">
        <v>521</v>
      </c>
      <c r="E270" s="64" t="s">
        <v>50</v>
      </c>
      <c r="F270" s="64" t="s">
        <v>22</v>
      </c>
      <c r="G270" s="64" t="s">
        <v>29</v>
      </c>
      <c r="H270" s="64" t="s">
        <v>24</v>
      </c>
      <c r="I270" s="65">
        <v>-3.25</v>
      </c>
      <c r="J270" s="65">
        <v>0.8</v>
      </c>
      <c r="K270" s="65">
        <v>0.4</v>
      </c>
      <c r="L270" s="66">
        <v>45683.0</v>
      </c>
      <c r="M270" s="67">
        <v>1.9</v>
      </c>
      <c r="N270" s="64" t="s">
        <v>30</v>
      </c>
      <c r="O270" s="68">
        <f t="shared" si="1"/>
        <v>0.18</v>
      </c>
      <c r="P270" s="68">
        <f t="shared" si="4"/>
        <v>22.81565364</v>
      </c>
    </row>
    <row r="271">
      <c r="A271" s="64">
        <f t="shared" si="3"/>
        <v>270</v>
      </c>
      <c r="B271" s="64" t="s">
        <v>26</v>
      </c>
      <c r="C271" s="64" t="s">
        <v>19</v>
      </c>
      <c r="D271" s="64" t="s">
        <v>522</v>
      </c>
      <c r="E271" s="64" t="s">
        <v>50</v>
      </c>
      <c r="F271" s="64" t="s">
        <v>22</v>
      </c>
      <c r="G271" s="64" t="s">
        <v>29</v>
      </c>
      <c r="H271" s="64" t="s">
        <v>24</v>
      </c>
      <c r="I271" s="65">
        <v>-3.75</v>
      </c>
      <c r="J271" s="65">
        <v>0.8</v>
      </c>
      <c r="K271" s="65">
        <v>0.8</v>
      </c>
      <c r="L271" s="66">
        <v>45683.0</v>
      </c>
      <c r="M271" s="67">
        <v>1.875</v>
      </c>
      <c r="N271" s="64" t="s">
        <v>25</v>
      </c>
      <c r="O271" s="68">
        <f t="shared" si="1"/>
        <v>-0.8</v>
      </c>
      <c r="P271" s="68">
        <f t="shared" si="4"/>
        <v>22.01565364</v>
      </c>
    </row>
    <row r="272">
      <c r="A272" s="64">
        <f t="shared" si="3"/>
        <v>271</v>
      </c>
      <c r="B272" s="64" t="s">
        <v>35</v>
      </c>
      <c r="C272" s="64" t="s">
        <v>19</v>
      </c>
      <c r="D272" s="64" t="s">
        <v>523</v>
      </c>
      <c r="E272" s="64" t="s">
        <v>513</v>
      </c>
      <c r="F272" s="64" t="s">
        <v>22</v>
      </c>
      <c r="G272" s="64" t="s">
        <v>29</v>
      </c>
      <c r="H272" s="64" t="s">
        <v>24</v>
      </c>
      <c r="I272" s="65">
        <v>-3.5</v>
      </c>
      <c r="J272" s="65">
        <v>0.7</v>
      </c>
      <c r="K272" s="65">
        <f>0.35*2/3</f>
        <v>0.2333333333</v>
      </c>
      <c r="L272" s="66">
        <v>45683.0</v>
      </c>
      <c r="M272" s="67">
        <v>1.975</v>
      </c>
      <c r="N272" s="64" t="s">
        <v>25</v>
      </c>
      <c r="O272" s="68">
        <f t="shared" si="1"/>
        <v>-0.2333333333</v>
      </c>
      <c r="P272" s="68">
        <f t="shared" si="4"/>
        <v>21.78232031</v>
      </c>
    </row>
    <row r="273">
      <c r="A273" s="64">
        <f t="shared" si="3"/>
        <v>272</v>
      </c>
      <c r="B273" s="64" t="s">
        <v>35</v>
      </c>
      <c r="C273" s="64" t="s">
        <v>19</v>
      </c>
      <c r="D273" s="64" t="s">
        <v>524</v>
      </c>
      <c r="E273" s="64" t="s">
        <v>525</v>
      </c>
      <c r="F273" s="64" t="s">
        <v>22</v>
      </c>
      <c r="G273" s="64" t="s">
        <v>29</v>
      </c>
      <c r="H273" s="64" t="s">
        <v>24</v>
      </c>
      <c r="I273" s="65">
        <v>-3.5</v>
      </c>
      <c r="J273" s="65">
        <v>0.7</v>
      </c>
      <c r="K273" s="65">
        <f>0.7*2/3</f>
        <v>0.4666666667</v>
      </c>
      <c r="L273" s="66">
        <v>45683.0</v>
      </c>
      <c r="M273" s="67">
        <v>1.85</v>
      </c>
      <c r="N273" s="64" t="s">
        <v>33</v>
      </c>
      <c r="O273" s="68">
        <f t="shared" si="1"/>
        <v>0.3966666667</v>
      </c>
      <c r="P273" s="68">
        <f t="shared" si="4"/>
        <v>22.17898697</v>
      </c>
    </row>
    <row r="274">
      <c r="A274" s="64">
        <f t="shared" si="3"/>
        <v>273</v>
      </c>
      <c r="B274" s="64" t="s">
        <v>26</v>
      </c>
      <c r="C274" s="64" t="s">
        <v>40</v>
      </c>
      <c r="D274" s="64" t="s">
        <v>526</v>
      </c>
      <c r="E274" s="64" t="s">
        <v>38</v>
      </c>
      <c r="F274" s="64" t="s">
        <v>22</v>
      </c>
      <c r="G274" s="64" t="s">
        <v>29</v>
      </c>
      <c r="H274" s="64" t="s">
        <v>24</v>
      </c>
      <c r="I274" s="65">
        <v>-5.25</v>
      </c>
      <c r="J274" s="65">
        <v>0.8</v>
      </c>
      <c r="K274" s="65">
        <f>0.8*5/6</f>
        <v>0.6666666667</v>
      </c>
      <c r="L274" s="66">
        <v>45683.0</v>
      </c>
      <c r="M274" s="67">
        <v>1.95</v>
      </c>
      <c r="N274" s="64" t="s">
        <v>33</v>
      </c>
      <c r="O274" s="68">
        <f t="shared" si="1"/>
        <v>0.6333333333</v>
      </c>
      <c r="P274" s="68">
        <f t="shared" si="4"/>
        <v>22.81232031</v>
      </c>
    </row>
    <row r="275">
      <c r="A275" s="64">
        <f t="shared" si="3"/>
        <v>274</v>
      </c>
      <c r="B275" s="64" t="s">
        <v>35</v>
      </c>
      <c r="C275" s="64" t="s">
        <v>19</v>
      </c>
      <c r="D275" s="64" t="s">
        <v>527</v>
      </c>
      <c r="E275" s="64" t="s">
        <v>48</v>
      </c>
      <c r="F275" s="64" t="s">
        <v>22</v>
      </c>
      <c r="G275" s="64" t="s">
        <v>29</v>
      </c>
      <c r="H275" s="64" t="s">
        <v>24</v>
      </c>
      <c r="I275" s="65" t="s">
        <v>528</v>
      </c>
      <c r="J275" s="65">
        <v>0.7</v>
      </c>
      <c r="K275" s="65">
        <v>0.7</v>
      </c>
      <c r="L275" s="66">
        <v>45683.0</v>
      </c>
      <c r="M275" s="67">
        <v>1.8</v>
      </c>
      <c r="N275" s="64" t="s">
        <v>70</v>
      </c>
      <c r="O275" s="68">
        <f t="shared" si="1"/>
        <v>0</v>
      </c>
      <c r="P275" s="68">
        <f t="shared" si="4"/>
        <v>22.81232031</v>
      </c>
    </row>
    <row r="276">
      <c r="A276" s="64">
        <f t="shared" si="3"/>
        <v>275</v>
      </c>
      <c r="B276" s="64" t="s">
        <v>35</v>
      </c>
      <c r="C276" s="64" t="s">
        <v>40</v>
      </c>
      <c r="D276" s="64" t="s">
        <v>529</v>
      </c>
      <c r="E276" s="64" t="s">
        <v>58</v>
      </c>
      <c r="F276" s="64" t="s">
        <v>22</v>
      </c>
      <c r="G276" s="64" t="s">
        <v>29</v>
      </c>
      <c r="H276" s="64" t="s">
        <v>39</v>
      </c>
      <c r="I276" s="65">
        <v>-2.25</v>
      </c>
      <c r="J276" s="65">
        <v>0.5</v>
      </c>
      <c r="K276" s="65">
        <v>0.5</v>
      </c>
      <c r="L276" s="66">
        <v>45683.0</v>
      </c>
      <c r="M276" s="67">
        <v>2.025</v>
      </c>
      <c r="N276" s="64" t="s">
        <v>25</v>
      </c>
      <c r="O276" s="68">
        <f t="shared" si="1"/>
        <v>-0.5</v>
      </c>
      <c r="P276" s="68">
        <f t="shared" si="4"/>
        <v>22.31232031</v>
      </c>
    </row>
    <row r="277">
      <c r="A277" s="64">
        <f t="shared" si="3"/>
        <v>276</v>
      </c>
      <c r="B277" s="64" t="s">
        <v>26</v>
      </c>
      <c r="C277" s="64" t="s">
        <v>19</v>
      </c>
      <c r="D277" s="64" t="s">
        <v>530</v>
      </c>
      <c r="E277" s="64" t="s">
        <v>423</v>
      </c>
      <c r="F277" s="64" t="s">
        <v>22</v>
      </c>
      <c r="G277" s="64" t="s">
        <v>29</v>
      </c>
      <c r="H277" s="64" t="s">
        <v>24</v>
      </c>
      <c r="I277" s="65">
        <v>-2.75</v>
      </c>
      <c r="J277" s="65">
        <v>0.8</v>
      </c>
      <c r="K277" s="65">
        <f>0.8*5/6</f>
        <v>0.6666666667</v>
      </c>
      <c r="L277" s="66">
        <v>45683.0</v>
      </c>
      <c r="M277" s="67">
        <v>1.9</v>
      </c>
      <c r="N277" s="64" t="s">
        <v>25</v>
      </c>
      <c r="O277" s="68">
        <f t="shared" si="1"/>
        <v>-0.6666666667</v>
      </c>
      <c r="P277" s="68">
        <f t="shared" si="4"/>
        <v>21.64565364</v>
      </c>
    </row>
    <row r="278">
      <c r="A278" s="64">
        <f t="shared" si="3"/>
        <v>277</v>
      </c>
      <c r="B278" s="64" t="s">
        <v>26</v>
      </c>
      <c r="C278" s="64" t="s">
        <v>19</v>
      </c>
      <c r="D278" s="64" t="s">
        <v>531</v>
      </c>
      <c r="E278" s="64" t="s">
        <v>423</v>
      </c>
      <c r="F278" s="64" t="s">
        <v>22</v>
      </c>
      <c r="G278" s="64" t="s">
        <v>29</v>
      </c>
      <c r="H278" s="64" t="s">
        <v>24</v>
      </c>
      <c r="I278" s="65">
        <v>-2.75</v>
      </c>
      <c r="J278" s="65">
        <v>0.8</v>
      </c>
      <c r="K278" s="65">
        <f>0.8*2/3</f>
        <v>0.5333333333</v>
      </c>
      <c r="L278" s="66">
        <v>45683.0</v>
      </c>
      <c r="M278" s="67">
        <v>1.825</v>
      </c>
      <c r="N278" s="64" t="s">
        <v>79</v>
      </c>
      <c r="O278" s="68">
        <f t="shared" si="1"/>
        <v>-0.2666666667</v>
      </c>
      <c r="P278" s="68">
        <f t="shared" si="4"/>
        <v>21.37898697</v>
      </c>
    </row>
    <row r="279">
      <c r="A279" s="64">
        <f t="shared" si="3"/>
        <v>278</v>
      </c>
      <c r="B279" s="64" t="s">
        <v>35</v>
      </c>
      <c r="C279" s="64" t="s">
        <v>19</v>
      </c>
      <c r="D279" s="64" t="s">
        <v>532</v>
      </c>
      <c r="E279" s="64" t="s">
        <v>42</v>
      </c>
      <c r="F279" s="64" t="s">
        <v>22</v>
      </c>
      <c r="G279" s="64" t="s">
        <v>29</v>
      </c>
      <c r="H279" s="64" t="s">
        <v>24</v>
      </c>
      <c r="I279" s="65">
        <v>-0.75</v>
      </c>
      <c r="J279" s="65">
        <v>0.7</v>
      </c>
      <c r="K279" s="65">
        <f>0.35+0.35*2/3</f>
        <v>0.5833333333</v>
      </c>
      <c r="L279" s="66">
        <v>45683.0</v>
      </c>
      <c r="M279" s="67">
        <v>2.0</v>
      </c>
      <c r="N279" s="64" t="s">
        <v>33</v>
      </c>
      <c r="O279" s="68">
        <f t="shared" si="1"/>
        <v>0.5833333333</v>
      </c>
      <c r="P279" s="68">
        <f t="shared" si="4"/>
        <v>21.96232031</v>
      </c>
    </row>
    <row r="280">
      <c r="A280" s="64">
        <f t="shared" si="3"/>
        <v>279</v>
      </c>
      <c r="B280" s="64" t="s">
        <v>26</v>
      </c>
      <c r="C280" s="64" t="s">
        <v>19</v>
      </c>
      <c r="D280" s="64" t="s">
        <v>533</v>
      </c>
      <c r="E280" s="64" t="s">
        <v>93</v>
      </c>
      <c r="F280" s="64" t="s">
        <v>22</v>
      </c>
      <c r="G280" s="64" t="s">
        <v>29</v>
      </c>
      <c r="H280" s="64"/>
      <c r="I280" s="65">
        <v>-2.0</v>
      </c>
      <c r="J280" s="65">
        <v>0.8</v>
      </c>
      <c r="K280" s="65">
        <v>0.8</v>
      </c>
      <c r="L280" s="66">
        <v>45683.0</v>
      </c>
      <c r="M280" s="67">
        <v>1.975</v>
      </c>
      <c r="N280" s="64" t="s">
        <v>70</v>
      </c>
      <c r="O280" s="68">
        <f t="shared" si="1"/>
        <v>0</v>
      </c>
      <c r="P280" s="68">
        <f t="shared" si="4"/>
        <v>21.96232031</v>
      </c>
    </row>
    <row r="281">
      <c r="A281" s="64">
        <f t="shared" si="3"/>
        <v>280</v>
      </c>
      <c r="B281" s="64" t="s">
        <v>26</v>
      </c>
      <c r="C281" s="64" t="s">
        <v>40</v>
      </c>
      <c r="D281" s="64" t="s">
        <v>534</v>
      </c>
      <c r="E281" s="64" t="s">
        <v>401</v>
      </c>
      <c r="F281" s="64" t="s">
        <v>22</v>
      </c>
      <c r="G281" s="64" t="s">
        <v>29</v>
      </c>
      <c r="H281" s="64" t="s">
        <v>39</v>
      </c>
      <c r="I281" s="65">
        <v>-3.75</v>
      </c>
      <c r="J281" s="65">
        <v>0.8</v>
      </c>
      <c r="K281" s="65">
        <v>0.6</v>
      </c>
      <c r="L281" s="66">
        <v>45683.0</v>
      </c>
      <c r="M281" s="67">
        <v>1.875</v>
      </c>
      <c r="N281" s="64" t="s">
        <v>79</v>
      </c>
      <c r="O281" s="68">
        <f t="shared" si="1"/>
        <v>-0.3</v>
      </c>
      <c r="P281" s="68">
        <f t="shared" si="4"/>
        <v>21.66232031</v>
      </c>
    </row>
    <row r="282">
      <c r="A282" s="64">
        <f t="shared" si="3"/>
        <v>281</v>
      </c>
      <c r="B282" s="64" t="s">
        <v>26</v>
      </c>
      <c r="C282" s="64" t="s">
        <v>19</v>
      </c>
      <c r="D282" s="64" t="s">
        <v>535</v>
      </c>
      <c r="E282" s="64" t="s">
        <v>93</v>
      </c>
      <c r="F282" s="64" t="s">
        <v>22</v>
      </c>
      <c r="G282" s="64" t="s">
        <v>29</v>
      </c>
      <c r="H282" s="64" t="s">
        <v>24</v>
      </c>
      <c r="I282" s="65">
        <v>-2.75</v>
      </c>
      <c r="J282" s="65">
        <v>0.8</v>
      </c>
      <c r="K282" s="65">
        <v>0.8</v>
      </c>
      <c r="L282" s="66">
        <v>45683.0</v>
      </c>
      <c r="M282" s="67">
        <v>1.95</v>
      </c>
      <c r="N282" s="64" t="s">
        <v>79</v>
      </c>
      <c r="O282" s="68">
        <f t="shared" si="1"/>
        <v>-0.4</v>
      </c>
      <c r="P282" s="68">
        <f t="shared" si="4"/>
        <v>21.26232031</v>
      </c>
    </row>
    <row r="283">
      <c r="A283" s="64">
        <f t="shared" si="3"/>
        <v>282</v>
      </c>
      <c r="B283" s="64" t="s">
        <v>35</v>
      </c>
      <c r="C283" s="64" t="s">
        <v>19</v>
      </c>
      <c r="D283" s="64" t="s">
        <v>536</v>
      </c>
      <c r="E283" s="64" t="s">
        <v>66</v>
      </c>
      <c r="F283" s="64" t="s">
        <v>22</v>
      </c>
      <c r="G283" s="64" t="s">
        <v>29</v>
      </c>
      <c r="H283" s="64" t="s">
        <v>39</v>
      </c>
      <c r="I283" s="65">
        <v>-1.0</v>
      </c>
      <c r="J283" s="65">
        <v>0.5</v>
      </c>
      <c r="K283" s="65">
        <v>0.5</v>
      </c>
      <c r="L283" s="66">
        <v>45683.0</v>
      </c>
      <c r="M283" s="67">
        <v>2.0</v>
      </c>
      <c r="N283" s="64" t="s">
        <v>70</v>
      </c>
      <c r="O283" s="68">
        <f t="shared" si="1"/>
        <v>0</v>
      </c>
      <c r="P283" s="68">
        <f t="shared" si="4"/>
        <v>21.26232031</v>
      </c>
    </row>
    <row r="284">
      <c r="A284" s="64">
        <f t="shared" si="3"/>
        <v>283</v>
      </c>
      <c r="B284" s="64" t="s">
        <v>35</v>
      </c>
      <c r="C284" s="64" t="s">
        <v>19</v>
      </c>
      <c r="D284" s="64" t="s">
        <v>537</v>
      </c>
      <c r="E284" s="64" t="s">
        <v>121</v>
      </c>
      <c r="F284" s="64" t="s">
        <v>22</v>
      </c>
      <c r="G284" s="64" t="s">
        <v>29</v>
      </c>
      <c r="H284" s="64" t="s">
        <v>39</v>
      </c>
      <c r="I284" s="65">
        <v>-1.0</v>
      </c>
      <c r="J284" s="65">
        <v>0.5</v>
      </c>
      <c r="K284" s="65">
        <v>0.5</v>
      </c>
      <c r="L284" s="66">
        <v>45683.0</v>
      </c>
      <c r="M284" s="67">
        <v>1.775</v>
      </c>
      <c r="N284" s="64" t="s">
        <v>70</v>
      </c>
      <c r="O284" s="68">
        <f t="shared" si="1"/>
        <v>0</v>
      </c>
      <c r="P284" s="68">
        <f t="shared" si="4"/>
        <v>21.26232031</v>
      </c>
    </row>
    <row r="285">
      <c r="A285" s="64">
        <f t="shared" si="3"/>
        <v>284</v>
      </c>
      <c r="B285" s="64" t="s">
        <v>35</v>
      </c>
      <c r="C285" s="64" t="s">
        <v>19</v>
      </c>
      <c r="D285" s="64" t="s">
        <v>538</v>
      </c>
      <c r="E285" s="64" t="s">
        <v>86</v>
      </c>
      <c r="F285" s="64" t="s">
        <v>22</v>
      </c>
      <c r="G285" s="64" t="s">
        <v>29</v>
      </c>
      <c r="H285" s="64" t="s">
        <v>39</v>
      </c>
      <c r="I285" s="65">
        <v>-2.25</v>
      </c>
      <c r="J285" s="65">
        <v>0.5</v>
      </c>
      <c r="K285" s="65">
        <v>0.5</v>
      </c>
      <c r="L285" s="66">
        <v>45683.0</v>
      </c>
      <c r="M285" s="67">
        <v>1.875</v>
      </c>
      <c r="N285" s="64" t="s">
        <v>30</v>
      </c>
      <c r="O285" s="68">
        <f t="shared" si="1"/>
        <v>0.21875</v>
      </c>
      <c r="P285" s="68">
        <f t="shared" si="4"/>
        <v>21.48107031</v>
      </c>
    </row>
    <row r="286">
      <c r="A286" s="64">
        <f t="shared" si="3"/>
        <v>285</v>
      </c>
      <c r="B286" s="64" t="s">
        <v>26</v>
      </c>
      <c r="C286" s="64" t="s">
        <v>19</v>
      </c>
      <c r="D286" s="64" t="s">
        <v>539</v>
      </c>
      <c r="E286" s="64" t="s">
        <v>82</v>
      </c>
      <c r="F286" s="64" t="s">
        <v>22</v>
      </c>
      <c r="G286" s="64" t="s">
        <v>29</v>
      </c>
      <c r="H286" s="64"/>
      <c r="I286" s="65">
        <v>-3.0</v>
      </c>
      <c r="J286" s="65">
        <v>0.8</v>
      </c>
      <c r="K286" s="65">
        <v>0.8</v>
      </c>
      <c r="L286" s="66">
        <v>45683.0</v>
      </c>
      <c r="M286" s="67">
        <v>1.95</v>
      </c>
      <c r="N286" s="64" t="s">
        <v>33</v>
      </c>
      <c r="O286" s="68">
        <f t="shared" si="1"/>
        <v>0.76</v>
      </c>
      <c r="P286" s="68">
        <f t="shared" si="4"/>
        <v>22.24107031</v>
      </c>
    </row>
    <row r="287">
      <c r="A287" s="64">
        <f t="shared" si="3"/>
        <v>286</v>
      </c>
      <c r="B287" s="64" t="s">
        <v>26</v>
      </c>
      <c r="C287" s="64" t="s">
        <v>40</v>
      </c>
      <c r="D287" s="64" t="s">
        <v>540</v>
      </c>
      <c r="E287" s="64" t="s">
        <v>58</v>
      </c>
      <c r="F287" s="64" t="s">
        <v>22</v>
      </c>
      <c r="G287" s="64" t="s">
        <v>29</v>
      </c>
      <c r="H287" s="64"/>
      <c r="I287" s="65">
        <v>-3.5</v>
      </c>
      <c r="J287" s="65">
        <v>0.8</v>
      </c>
      <c r="K287" s="65">
        <v>0.8</v>
      </c>
      <c r="L287" s="66">
        <v>45683.0</v>
      </c>
      <c r="M287" s="67">
        <v>1.925</v>
      </c>
      <c r="N287" s="64" t="s">
        <v>25</v>
      </c>
      <c r="O287" s="68">
        <f t="shared" si="1"/>
        <v>-0.8</v>
      </c>
      <c r="P287" s="68">
        <f t="shared" si="4"/>
        <v>21.44107031</v>
      </c>
    </row>
    <row r="288">
      <c r="A288" s="64">
        <f t="shared" si="3"/>
        <v>287</v>
      </c>
      <c r="B288" s="64" t="s">
        <v>26</v>
      </c>
      <c r="C288" s="64" t="s">
        <v>19</v>
      </c>
      <c r="D288" s="64" t="s">
        <v>541</v>
      </c>
      <c r="E288" s="64" t="s">
        <v>216</v>
      </c>
      <c r="F288" s="64" t="s">
        <v>22</v>
      </c>
      <c r="G288" s="64" t="s">
        <v>29</v>
      </c>
      <c r="H288" s="64"/>
      <c r="I288" s="65">
        <v>-3.5</v>
      </c>
      <c r="J288" s="65">
        <v>0.8</v>
      </c>
      <c r="K288" s="65">
        <v>0.8</v>
      </c>
      <c r="L288" s="66">
        <v>45683.0</v>
      </c>
      <c r="M288" s="67">
        <v>1.875</v>
      </c>
      <c r="N288" s="64" t="s">
        <v>25</v>
      </c>
      <c r="O288" s="68">
        <f t="shared" si="1"/>
        <v>-0.8</v>
      </c>
      <c r="P288" s="68">
        <f t="shared" si="4"/>
        <v>20.64107031</v>
      </c>
    </row>
    <row r="289">
      <c r="A289" s="64">
        <f t="shared" si="3"/>
        <v>288</v>
      </c>
      <c r="B289" s="64" t="s">
        <v>26</v>
      </c>
      <c r="C289" s="64" t="s">
        <v>19</v>
      </c>
      <c r="D289" s="64" t="s">
        <v>542</v>
      </c>
      <c r="E289" s="64" t="s">
        <v>82</v>
      </c>
      <c r="F289" s="64" t="s">
        <v>22</v>
      </c>
      <c r="G289" s="64" t="s">
        <v>440</v>
      </c>
      <c r="H289" s="64"/>
      <c r="I289" s="65">
        <v>2.25</v>
      </c>
      <c r="J289" s="65">
        <v>0.2</v>
      </c>
      <c r="K289" s="65">
        <v>0.2</v>
      </c>
      <c r="L289" s="66">
        <v>45683.0</v>
      </c>
      <c r="M289" s="67">
        <v>1.925</v>
      </c>
      <c r="N289" s="64" t="s">
        <v>33</v>
      </c>
      <c r="O289" s="68">
        <f t="shared" si="1"/>
        <v>0.185</v>
      </c>
      <c r="P289" s="68">
        <f t="shared" si="4"/>
        <v>20.82607031</v>
      </c>
    </row>
    <row r="290">
      <c r="A290" s="64">
        <f t="shared" si="3"/>
        <v>289</v>
      </c>
      <c r="B290" s="64" t="s">
        <v>26</v>
      </c>
      <c r="C290" s="64" t="s">
        <v>19</v>
      </c>
      <c r="D290" s="64" t="s">
        <v>543</v>
      </c>
      <c r="E290" s="64" t="s">
        <v>419</v>
      </c>
      <c r="F290" s="64" t="s">
        <v>22</v>
      </c>
      <c r="G290" s="64" t="s">
        <v>29</v>
      </c>
      <c r="H290" s="64"/>
      <c r="I290" s="65">
        <v>-3.25</v>
      </c>
      <c r="J290" s="65">
        <v>0.8</v>
      </c>
      <c r="K290" s="65">
        <v>0.8</v>
      </c>
      <c r="L290" s="66">
        <v>45683.0</v>
      </c>
      <c r="M290" s="67">
        <v>1.9</v>
      </c>
      <c r="N290" s="64" t="s">
        <v>30</v>
      </c>
      <c r="O290" s="68">
        <f t="shared" si="1"/>
        <v>0.36</v>
      </c>
      <c r="P290" s="68">
        <f t="shared" si="4"/>
        <v>21.18607031</v>
      </c>
    </row>
    <row r="291">
      <c r="A291" s="64">
        <f t="shared" si="3"/>
        <v>290</v>
      </c>
      <c r="B291" s="64" t="s">
        <v>35</v>
      </c>
      <c r="C291" s="64" t="s">
        <v>19</v>
      </c>
      <c r="D291" s="64" t="s">
        <v>544</v>
      </c>
      <c r="E291" s="64" t="s">
        <v>157</v>
      </c>
      <c r="F291" s="64" t="s">
        <v>22</v>
      </c>
      <c r="G291" s="64" t="s">
        <v>29</v>
      </c>
      <c r="H291" s="64" t="s">
        <v>39</v>
      </c>
      <c r="I291" s="65">
        <v>-3.75</v>
      </c>
      <c r="J291" s="65">
        <v>0.5</v>
      </c>
      <c r="K291" s="65">
        <v>0.5</v>
      </c>
      <c r="L291" s="69">
        <v>45684.0</v>
      </c>
      <c r="M291" s="67">
        <v>1.95</v>
      </c>
      <c r="N291" s="64" t="s">
        <v>33</v>
      </c>
      <c r="O291" s="68">
        <f t="shared" si="1"/>
        <v>0.475</v>
      </c>
      <c r="P291" s="68">
        <f t="shared" si="4"/>
        <v>21.66107031</v>
      </c>
    </row>
    <row r="292">
      <c r="A292" s="64">
        <f t="shared" si="3"/>
        <v>291</v>
      </c>
      <c r="B292" s="64" t="s">
        <v>35</v>
      </c>
      <c r="C292" s="64" t="s">
        <v>19</v>
      </c>
      <c r="D292" s="64" t="s">
        <v>545</v>
      </c>
      <c r="E292" s="75" t="s">
        <v>88</v>
      </c>
      <c r="F292" s="75" t="s">
        <v>22</v>
      </c>
      <c r="G292" s="75" t="s">
        <v>29</v>
      </c>
      <c r="H292" s="64" t="s">
        <v>39</v>
      </c>
      <c r="I292" s="76">
        <v>-1.0</v>
      </c>
      <c r="J292" s="65">
        <v>0.5</v>
      </c>
      <c r="K292" s="65">
        <v>0.5</v>
      </c>
      <c r="L292" s="66">
        <v>45684.0</v>
      </c>
      <c r="M292" s="67">
        <v>1.9</v>
      </c>
      <c r="N292" s="64" t="s">
        <v>33</v>
      </c>
      <c r="O292" s="68">
        <f t="shared" si="1"/>
        <v>0.45</v>
      </c>
      <c r="P292" s="68">
        <f t="shared" si="4"/>
        <v>22.11107031</v>
      </c>
    </row>
    <row r="293">
      <c r="A293" s="64">
        <f t="shared" si="3"/>
        <v>292</v>
      </c>
      <c r="B293" s="64" t="s">
        <v>26</v>
      </c>
      <c r="C293" s="64" t="s">
        <v>19</v>
      </c>
      <c r="D293" s="64" t="s">
        <v>546</v>
      </c>
      <c r="E293" s="75" t="s">
        <v>423</v>
      </c>
      <c r="F293" s="75" t="s">
        <v>22</v>
      </c>
      <c r="G293" s="75" t="s">
        <v>440</v>
      </c>
      <c r="H293" s="64"/>
      <c r="I293" s="76">
        <v>1.75</v>
      </c>
      <c r="J293" s="65">
        <v>0.3</v>
      </c>
      <c r="K293" s="65">
        <v>0.3</v>
      </c>
      <c r="L293" s="66">
        <v>45684.0</v>
      </c>
      <c r="M293" s="67">
        <v>1.8</v>
      </c>
      <c r="N293" s="64" t="s">
        <v>25</v>
      </c>
      <c r="O293" s="68">
        <f t="shared" si="1"/>
        <v>-0.3</v>
      </c>
      <c r="P293" s="68">
        <f t="shared" si="4"/>
        <v>21.81107031</v>
      </c>
    </row>
    <row r="294">
      <c r="A294" s="64">
        <f t="shared" si="3"/>
        <v>293</v>
      </c>
      <c r="B294" s="64" t="s">
        <v>26</v>
      </c>
      <c r="C294" s="64" t="s">
        <v>19</v>
      </c>
      <c r="D294" s="64" t="s">
        <v>547</v>
      </c>
      <c r="E294" s="87" t="s">
        <v>162</v>
      </c>
      <c r="F294" s="87" t="s">
        <v>22</v>
      </c>
      <c r="G294" s="87" t="s">
        <v>29</v>
      </c>
      <c r="H294" s="64"/>
      <c r="I294" s="65">
        <v>-3.0</v>
      </c>
      <c r="J294" s="65">
        <v>1.0</v>
      </c>
      <c r="K294" s="65">
        <v>1.0</v>
      </c>
      <c r="L294" s="66">
        <v>45684.0</v>
      </c>
      <c r="M294" s="67">
        <v>1.825</v>
      </c>
      <c r="N294" s="64" t="s">
        <v>70</v>
      </c>
      <c r="O294" s="68">
        <f t="shared" si="1"/>
        <v>0</v>
      </c>
      <c r="P294" s="68">
        <f t="shared" si="4"/>
        <v>21.81107031</v>
      </c>
    </row>
    <row r="295">
      <c r="A295" s="64">
        <f t="shared" si="3"/>
        <v>294</v>
      </c>
      <c r="B295" s="64" t="s">
        <v>35</v>
      </c>
      <c r="C295" s="64" t="s">
        <v>19</v>
      </c>
      <c r="D295" s="64" t="s">
        <v>548</v>
      </c>
      <c r="E295" s="64" t="s">
        <v>121</v>
      </c>
      <c r="F295" s="64" t="s">
        <v>22</v>
      </c>
      <c r="G295" s="64" t="s">
        <v>29</v>
      </c>
      <c r="H295" s="64" t="s">
        <v>39</v>
      </c>
      <c r="I295" s="65">
        <v>-2.0</v>
      </c>
      <c r="J295" s="65">
        <v>0.7</v>
      </c>
      <c r="K295" s="65">
        <v>0.7</v>
      </c>
      <c r="L295" s="66">
        <v>45684.0</v>
      </c>
      <c r="M295" s="67">
        <v>2.0</v>
      </c>
      <c r="N295" s="64" t="s">
        <v>33</v>
      </c>
      <c r="O295" s="68">
        <f t="shared" si="1"/>
        <v>0.7</v>
      </c>
      <c r="P295" s="68">
        <f t="shared" si="4"/>
        <v>22.51107031</v>
      </c>
    </row>
    <row r="296">
      <c r="A296" s="64">
        <f t="shared" si="3"/>
        <v>295</v>
      </c>
      <c r="B296" s="64" t="s">
        <v>35</v>
      </c>
      <c r="C296" s="64" t="s">
        <v>19</v>
      </c>
      <c r="D296" s="64" t="s">
        <v>549</v>
      </c>
      <c r="E296" s="64" t="s">
        <v>174</v>
      </c>
      <c r="F296" s="64" t="s">
        <v>22</v>
      </c>
      <c r="G296" s="64" t="s">
        <v>29</v>
      </c>
      <c r="H296" s="64" t="s">
        <v>24</v>
      </c>
      <c r="I296" s="65">
        <v>-0.75</v>
      </c>
      <c r="J296" s="65">
        <v>1.0</v>
      </c>
      <c r="K296" s="65">
        <v>1.0</v>
      </c>
      <c r="L296" s="66">
        <v>45685.0</v>
      </c>
      <c r="M296" s="67">
        <v>1.975</v>
      </c>
      <c r="N296" s="64" t="s">
        <v>33</v>
      </c>
      <c r="O296" s="68">
        <f t="shared" si="1"/>
        <v>0.975</v>
      </c>
      <c r="P296" s="68">
        <f t="shared" si="4"/>
        <v>23.48607031</v>
      </c>
    </row>
    <row r="297">
      <c r="A297" s="64">
        <f t="shared" si="3"/>
        <v>296</v>
      </c>
      <c r="B297" s="64" t="s">
        <v>26</v>
      </c>
      <c r="C297" s="64" t="s">
        <v>19</v>
      </c>
      <c r="D297" s="64" t="s">
        <v>550</v>
      </c>
      <c r="E297" s="64" t="s">
        <v>28</v>
      </c>
      <c r="F297" s="64" t="s">
        <v>22</v>
      </c>
      <c r="G297" s="64" t="s">
        <v>29</v>
      </c>
      <c r="H297" s="64"/>
      <c r="I297" s="65">
        <v>-3.0</v>
      </c>
      <c r="J297" s="65">
        <v>1.0</v>
      </c>
      <c r="K297" s="65">
        <v>1.0</v>
      </c>
      <c r="L297" s="66">
        <v>45686.0</v>
      </c>
      <c r="M297" s="67">
        <v>2.0</v>
      </c>
      <c r="N297" s="64" t="s">
        <v>33</v>
      </c>
      <c r="O297" s="68">
        <f t="shared" si="1"/>
        <v>1</v>
      </c>
      <c r="P297" s="68">
        <f t="shared" si="4"/>
        <v>24.48607031</v>
      </c>
    </row>
    <row r="298">
      <c r="A298" s="64">
        <f t="shared" si="3"/>
        <v>297</v>
      </c>
      <c r="B298" s="64" t="s">
        <v>26</v>
      </c>
      <c r="C298" s="64" t="s">
        <v>19</v>
      </c>
      <c r="D298" s="64" t="s">
        <v>551</v>
      </c>
      <c r="E298" s="64" t="s">
        <v>28</v>
      </c>
      <c r="F298" s="64" t="s">
        <v>22</v>
      </c>
      <c r="G298" s="64" t="s">
        <v>29</v>
      </c>
      <c r="H298" s="64"/>
      <c r="I298" s="65">
        <v>-3.0</v>
      </c>
      <c r="J298" s="65">
        <v>1.0</v>
      </c>
      <c r="K298" s="65">
        <v>1.0</v>
      </c>
      <c r="L298" s="66">
        <v>45686.0</v>
      </c>
      <c r="M298" s="67">
        <v>1.7</v>
      </c>
      <c r="N298" s="64" t="s">
        <v>33</v>
      </c>
      <c r="O298" s="68">
        <f t="shared" si="1"/>
        <v>0.7</v>
      </c>
      <c r="P298" s="68">
        <f t="shared" si="4"/>
        <v>25.18607031</v>
      </c>
    </row>
    <row r="299">
      <c r="A299" s="64">
        <f t="shared" si="3"/>
        <v>298</v>
      </c>
      <c r="B299" s="64" t="s">
        <v>35</v>
      </c>
      <c r="C299" s="64" t="s">
        <v>19</v>
      </c>
      <c r="D299" s="64" t="s">
        <v>552</v>
      </c>
      <c r="E299" s="64" t="s">
        <v>157</v>
      </c>
      <c r="F299" s="64" t="s">
        <v>22</v>
      </c>
      <c r="G299" s="64" t="s">
        <v>29</v>
      </c>
      <c r="H299" s="64" t="s">
        <v>24</v>
      </c>
      <c r="I299" s="65">
        <v>-1.0</v>
      </c>
      <c r="J299" s="65">
        <v>1.0</v>
      </c>
      <c r="K299" s="65">
        <v>1.0</v>
      </c>
      <c r="L299" s="66">
        <v>45686.0</v>
      </c>
      <c r="M299" s="67">
        <v>1.875</v>
      </c>
      <c r="N299" s="64" t="s">
        <v>33</v>
      </c>
      <c r="O299" s="68">
        <f t="shared" si="1"/>
        <v>0.875</v>
      </c>
      <c r="P299" s="68">
        <f t="shared" si="4"/>
        <v>26.06107031</v>
      </c>
    </row>
    <row r="300">
      <c r="A300" s="64">
        <f t="shared" si="3"/>
        <v>299</v>
      </c>
      <c r="B300" s="64" t="s">
        <v>26</v>
      </c>
      <c r="C300" s="64" t="s">
        <v>40</v>
      </c>
      <c r="D300" s="64" t="s">
        <v>553</v>
      </c>
      <c r="E300" s="64" t="s">
        <v>233</v>
      </c>
      <c r="F300" s="64" t="s">
        <v>22</v>
      </c>
      <c r="G300" s="64" t="s">
        <v>29</v>
      </c>
      <c r="H300" s="64"/>
      <c r="I300" s="65">
        <v>-2.5</v>
      </c>
      <c r="J300" s="65">
        <v>1.0</v>
      </c>
      <c r="K300" s="65">
        <v>1.0</v>
      </c>
      <c r="L300" s="66">
        <v>45686.0</v>
      </c>
      <c r="M300" s="67">
        <v>1.9</v>
      </c>
      <c r="N300" s="64" t="s">
        <v>25</v>
      </c>
      <c r="O300" s="68">
        <f t="shared" si="1"/>
        <v>-1</v>
      </c>
      <c r="P300" s="68">
        <f t="shared" si="4"/>
        <v>25.06107031</v>
      </c>
    </row>
    <row r="301">
      <c r="A301" s="64">
        <f t="shared" si="3"/>
        <v>300</v>
      </c>
      <c r="B301" s="64" t="s">
        <v>26</v>
      </c>
      <c r="C301" s="64" t="s">
        <v>19</v>
      </c>
      <c r="D301" s="64" t="s">
        <v>554</v>
      </c>
      <c r="E301" s="64" t="s">
        <v>86</v>
      </c>
      <c r="F301" s="64" t="s">
        <v>22</v>
      </c>
      <c r="G301" s="64" t="s">
        <v>29</v>
      </c>
      <c r="H301" s="75"/>
      <c r="I301" s="65">
        <v>-3.5</v>
      </c>
      <c r="J301" s="65">
        <v>1.0</v>
      </c>
      <c r="K301" s="65">
        <v>0.6666</v>
      </c>
      <c r="L301" s="66">
        <v>45686.0</v>
      </c>
      <c r="M301" s="67">
        <v>1.8</v>
      </c>
      <c r="N301" s="64" t="s">
        <v>25</v>
      </c>
      <c r="O301" s="68">
        <f t="shared" si="1"/>
        <v>-0.6666</v>
      </c>
      <c r="P301" s="68">
        <f t="shared" si="4"/>
        <v>24.39447031</v>
      </c>
    </row>
    <row r="302">
      <c r="A302" s="64">
        <f t="shared" si="3"/>
        <v>301</v>
      </c>
      <c r="B302" s="64" t="s">
        <v>35</v>
      </c>
      <c r="C302" s="64" t="s">
        <v>19</v>
      </c>
      <c r="D302" s="64" t="s">
        <v>555</v>
      </c>
      <c r="E302" s="64" t="s">
        <v>28</v>
      </c>
      <c r="F302" s="64" t="s">
        <v>22</v>
      </c>
      <c r="G302" s="64" t="s">
        <v>29</v>
      </c>
      <c r="H302" s="75" t="s">
        <v>24</v>
      </c>
      <c r="I302" s="65">
        <v>-4.5</v>
      </c>
      <c r="J302" s="65">
        <v>1.0</v>
      </c>
      <c r="K302" s="65">
        <v>0.5476</v>
      </c>
      <c r="L302" s="66">
        <v>45686.0</v>
      </c>
      <c r="M302" s="67">
        <v>1.975</v>
      </c>
      <c r="N302" s="64" t="s">
        <v>33</v>
      </c>
      <c r="O302" s="68">
        <f t="shared" si="1"/>
        <v>0.53391</v>
      </c>
      <c r="P302" s="68">
        <f t="shared" si="4"/>
        <v>24.92838031</v>
      </c>
    </row>
    <row r="303">
      <c r="A303" s="64">
        <f t="shared" si="3"/>
        <v>302</v>
      </c>
      <c r="B303" s="64" t="s">
        <v>35</v>
      </c>
      <c r="C303" s="64" t="s">
        <v>19</v>
      </c>
      <c r="D303" s="64" t="s">
        <v>556</v>
      </c>
      <c r="E303" s="64" t="s">
        <v>38</v>
      </c>
      <c r="F303" s="64" t="s">
        <v>22</v>
      </c>
      <c r="G303" s="64" t="s">
        <v>29</v>
      </c>
      <c r="H303" s="75" t="s">
        <v>39</v>
      </c>
      <c r="I303" s="65">
        <v>-1.0</v>
      </c>
      <c r="J303" s="65">
        <v>0.35</v>
      </c>
      <c r="K303" s="65">
        <v>0.0437</v>
      </c>
      <c r="L303" s="66">
        <v>45686.0</v>
      </c>
      <c r="M303" s="67">
        <v>2.05</v>
      </c>
      <c r="N303" s="64" t="s">
        <v>25</v>
      </c>
      <c r="O303" s="68">
        <f t="shared" si="1"/>
        <v>-0.0437</v>
      </c>
      <c r="P303" s="68">
        <f t="shared" si="4"/>
        <v>24.88468031</v>
      </c>
    </row>
    <row r="304">
      <c r="A304" s="64">
        <f t="shared" si="3"/>
        <v>303</v>
      </c>
      <c r="B304" s="64" t="s">
        <v>35</v>
      </c>
      <c r="C304" s="64" t="s">
        <v>19</v>
      </c>
      <c r="D304" s="64" t="s">
        <v>557</v>
      </c>
      <c r="E304" s="64" t="s">
        <v>82</v>
      </c>
      <c r="F304" s="64" t="s">
        <v>22</v>
      </c>
      <c r="G304" s="64" t="s">
        <v>29</v>
      </c>
      <c r="H304" s="75" t="s">
        <v>39</v>
      </c>
      <c r="I304" s="65">
        <v>-0.75</v>
      </c>
      <c r="J304" s="65">
        <v>0.7</v>
      </c>
      <c r="K304" s="65">
        <v>0.6708</v>
      </c>
      <c r="L304" s="66">
        <v>45686.0</v>
      </c>
      <c r="M304" s="67">
        <v>2.025</v>
      </c>
      <c r="N304" s="64" t="s">
        <v>79</v>
      </c>
      <c r="O304" s="68">
        <f t="shared" si="1"/>
        <v>-0.3354</v>
      </c>
      <c r="P304" s="68">
        <f t="shared" si="4"/>
        <v>24.54928031</v>
      </c>
    </row>
    <row r="305">
      <c r="A305" s="64">
        <f t="shared" si="3"/>
        <v>304</v>
      </c>
      <c r="B305" s="64" t="s">
        <v>35</v>
      </c>
      <c r="C305" s="64" t="s">
        <v>19</v>
      </c>
      <c r="D305" s="64" t="s">
        <v>558</v>
      </c>
      <c r="E305" s="64" t="s">
        <v>559</v>
      </c>
      <c r="F305" s="64" t="s">
        <v>22</v>
      </c>
      <c r="G305" s="64" t="s">
        <v>29</v>
      </c>
      <c r="H305" s="75" t="s">
        <v>39</v>
      </c>
      <c r="I305" s="65">
        <v>-4.0</v>
      </c>
      <c r="J305" s="65">
        <v>0.7</v>
      </c>
      <c r="K305" s="65">
        <v>0.7</v>
      </c>
      <c r="L305" s="66">
        <v>45686.0</v>
      </c>
      <c r="M305" s="67">
        <v>1.95</v>
      </c>
      <c r="N305" s="64" t="s">
        <v>33</v>
      </c>
      <c r="O305" s="68">
        <f t="shared" si="1"/>
        <v>0.665</v>
      </c>
      <c r="P305" s="68">
        <f t="shared" si="4"/>
        <v>25.21428031</v>
      </c>
    </row>
    <row r="306">
      <c r="A306" s="64">
        <f t="shared" si="3"/>
        <v>305</v>
      </c>
      <c r="B306" s="64" t="s">
        <v>26</v>
      </c>
      <c r="C306" s="64" t="s">
        <v>40</v>
      </c>
      <c r="D306" s="64" t="s">
        <v>560</v>
      </c>
      <c r="E306" s="64" t="s">
        <v>204</v>
      </c>
      <c r="F306" s="64" t="s">
        <v>22</v>
      </c>
      <c r="G306" s="64" t="s">
        <v>29</v>
      </c>
      <c r="H306" s="75"/>
      <c r="I306" s="65">
        <v>-3.75</v>
      </c>
      <c r="J306" s="65">
        <v>1.0</v>
      </c>
      <c r="K306" s="65">
        <v>0.8958</v>
      </c>
      <c r="L306" s="66">
        <v>45686.0</v>
      </c>
      <c r="M306" s="67">
        <v>1.975</v>
      </c>
      <c r="N306" s="64" t="s">
        <v>33</v>
      </c>
      <c r="O306" s="68">
        <f t="shared" si="1"/>
        <v>0.873405</v>
      </c>
      <c r="P306" s="68">
        <f t="shared" si="4"/>
        <v>26.08768531</v>
      </c>
    </row>
    <row r="307">
      <c r="A307" s="64">
        <f t="shared" si="3"/>
        <v>306</v>
      </c>
      <c r="B307" s="64" t="s">
        <v>26</v>
      </c>
      <c r="C307" s="64" t="s">
        <v>19</v>
      </c>
      <c r="D307" s="64" t="s">
        <v>561</v>
      </c>
      <c r="E307" s="64" t="s">
        <v>221</v>
      </c>
      <c r="F307" s="64" t="s">
        <v>22</v>
      </c>
      <c r="G307" s="64" t="s">
        <v>29</v>
      </c>
      <c r="H307" s="75"/>
      <c r="I307" s="65">
        <v>-3.5</v>
      </c>
      <c r="J307" s="65">
        <v>1.0</v>
      </c>
      <c r="K307" s="65">
        <v>0.9583</v>
      </c>
      <c r="L307" s="66">
        <v>45686.0</v>
      </c>
      <c r="M307" s="67">
        <v>1.95</v>
      </c>
      <c r="N307" s="64" t="s">
        <v>25</v>
      </c>
      <c r="O307" s="68">
        <f t="shared" si="1"/>
        <v>-0.9583</v>
      </c>
      <c r="P307" s="68">
        <f t="shared" si="4"/>
        <v>25.12938531</v>
      </c>
    </row>
    <row r="308">
      <c r="A308" s="64">
        <f t="shared" si="3"/>
        <v>307</v>
      </c>
      <c r="B308" s="64" t="s">
        <v>26</v>
      </c>
      <c r="C308" s="64" t="s">
        <v>40</v>
      </c>
      <c r="D308" s="64" t="s">
        <v>562</v>
      </c>
      <c r="E308" s="64" t="s">
        <v>233</v>
      </c>
      <c r="F308" s="64" t="s">
        <v>22</v>
      </c>
      <c r="G308" s="64" t="s">
        <v>29</v>
      </c>
      <c r="H308" s="64"/>
      <c r="I308" s="65">
        <v>-3.0</v>
      </c>
      <c r="J308" s="65">
        <v>1.0</v>
      </c>
      <c r="K308" s="65">
        <v>1.0</v>
      </c>
      <c r="L308" s="66">
        <v>45687.0</v>
      </c>
      <c r="M308" s="67">
        <v>1.8</v>
      </c>
      <c r="N308" s="64" t="s">
        <v>70</v>
      </c>
      <c r="O308" s="68">
        <f t="shared" si="1"/>
        <v>0</v>
      </c>
      <c r="P308" s="68">
        <f t="shared" si="4"/>
        <v>25.12938531</v>
      </c>
    </row>
    <row r="309">
      <c r="A309" s="64">
        <f t="shared" si="3"/>
        <v>308</v>
      </c>
      <c r="B309" s="64" t="s">
        <v>35</v>
      </c>
      <c r="C309" s="64" t="s">
        <v>19</v>
      </c>
      <c r="D309" s="64" t="s">
        <v>563</v>
      </c>
      <c r="E309" s="64" t="s">
        <v>397</v>
      </c>
      <c r="F309" s="64" t="s">
        <v>22</v>
      </c>
      <c r="G309" s="64" t="s">
        <v>29</v>
      </c>
      <c r="H309" s="64" t="s">
        <v>39</v>
      </c>
      <c r="I309" s="65">
        <v>-0.75</v>
      </c>
      <c r="J309" s="65">
        <v>0.7</v>
      </c>
      <c r="K309" s="65">
        <v>0.7</v>
      </c>
      <c r="L309" s="66">
        <v>45687.0</v>
      </c>
      <c r="M309" s="67">
        <v>1.95</v>
      </c>
      <c r="N309" s="64" t="s">
        <v>33</v>
      </c>
      <c r="O309" s="68">
        <f t="shared" si="1"/>
        <v>0.665</v>
      </c>
      <c r="P309" s="68">
        <f t="shared" si="4"/>
        <v>25.79438531</v>
      </c>
    </row>
    <row r="310">
      <c r="A310" s="64">
        <f t="shared" si="3"/>
        <v>309</v>
      </c>
      <c r="B310" s="64" t="s">
        <v>35</v>
      </c>
      <c r="C310" s="64" t="s">
        <v>19</v>
      </c>
      <c r="D310" s="64" t="s">
        <v>564</v>
      </c>
      <c r="E310" s="64" t="s">
        <v>248</v>
      </c>
      <c r="F310" s="64" t="s">
        <v>22</v>
      </c>
      <c r="G310" s="64" t="s">
        <v>29</v>
      </c>
      <c r="H310" s="64" t="s">
        <v>24</v>
      </c>
      <c r="I310" s="65">
        <v>-0.75</v>
      </c>
      <c r="J310" s="65">
        <v>1.0</v>
      </c>
      <c r="K310" s="65">
        <f>15/(17+16)</f>
        <v>0.4545454545</v>
      </c>
      <c r="L310" s="69">
        <v>45687.0</v>
      </c>
      <c r="M310" s="67">
        <v>1.7</v>
      </c>
      <c r="N310" s="64" t="s">
        <v>33</v>
      </c>
      <c r="O310" s="68">
        <f t="shared" si="1"/>
        <v>0.3181818182</v>
      </c>
      <c r="P310" s="68">
        <f t="shared" si="4"/>
        <v>26.11256713</v>
      </c>
    </row>
    <row r="311">
      <c r="A311" s="64">
        <f t="shared" si="3"/>
        <v>310</v>
      </c>
      <c r="B311" s="64" t="s">
        <v>26</v>
      </c>
      <c r="C311" s="64" t="s">
        <v>19</v>
      </c>
      <c r="D311" s="64" t="s">
        <v>565</v>
      </c>
      <c r="E311" s="64" t="s">
        <v>319</v>
      </c>
      <c r="F311" s="64" t="s">
        <v>22</v>
      </c>
      <c r="G311" s="64" t="s">
        <v>29</v>
      </c>
      <c r="H311" s="64"/>
      <c r="I311" s="65">
        <v>-3.25</v>
      </c>
      <c r="J311" s="65">
        <v>0.3</v>
      </c>
      <c r="K311" s="65">
        <v>0.288</v>
      </c>
      <c r="L311" s="66">
        <v>45687.0</v>
      </c>
      <c r="M311" s="67">
        <v>2.025</v>
      </c>
      <c r="N311" s="64" t="s">
        <v>30</v>
      </c>
      <c r="O311" s="68">
        <f t="shared" si="1"/>
        <v>0.1476</v>
      </c>
      <c r="P311" s="68">
        <f t="shared" si="4"/>
        <v>26.26016713</v>
      </c>
    </row>
    <row r="312">
      <c r="A312" s="64">
        <f t="shared" si="3"/>
        <v>311</v>
      </c>
      <c r="B312" s="64" t="s">
        <v>26</v>
      </c>
      <c r="C312" s="64" t="s">
        <v>19</v>
      </c>
      <c r="D312" s="64" t="s">
        <v>566</v>
      </c>
      <c r="E312" s="64" t="s">
        <v>147</v>
      </c>
      <c r="F312" s="64" t="s">
        <v>22</v>
      </c>
      <c r="G312" s="64" t="s">
        <v>29</v>
      </c>
      <c r="H312" s="64"/>
      <c r="I312" s="65">
        <v>-3.0</v>
      </c>
      <c r="J312" s="65">
        <v>1.0</v>
      </c>
      <c r="K312" s="65">
        <v>0.94</v>
      </c>
      <c r="L312" s="66">
        <v>45687.0</v>
      </c>
      <c r="M312" s="67">
        <v>1.875</v>
      </c>
      <c r="N312" s="64" t="s">
        <v>25</v>
      </c>
      <c r="O312" s="68">
        <f t="shared" si="1"/>
        <v>-0.94</v>
      </c>
      <c r="P312" s="68">
        <f t="shared" si="4"/>
        <v>25.32016713</v>
      </c>
    </row>
    <row r="313">
      <c r="A313" s="64">
        <f t="shared" si="3"/>
        <v>312</v>
      </c>
      <c r="B313" s="64" t="s">
        <v>35</v>
      </c>
      <c r="C313" s="64" t="s">
        <v>19</v>
      </c>
      <c r="D313" s="64" t="s">
        <v>567</v>
      </c>
      <c r="E313" s="64" t="s">
        <v>204</v>
      </c>
      <c r="F313" s="64" t="s">
        <v>22</v>
      </c>
      <c r="G313" s="64" t="s">
        <v>29</v>
      </c>
      <c r="H313" s="64" t="s">
        <v>39</v>
      </c>
      <c r="I313" s="65">
        <v>-5.5</v>
      </c>
      <c r="J313" s="65">
        <v>0.7</v>
      </c>
      <c r="K313" s="65">
        <v>0.462</v>
      </c>
      <c r="L313" s="66">
        <v>45687.0</v>
      </c>
      <c r="M313" s="67">
        <v>2.0</v>
      </c>
      <c r="N313" s="64" t="s">
        <v>33</v>
      </c>
      <c r="O313" s="68">
        <f t="shared" si="1"/>
        <v>0.462</v>
      </c>
      <c r="P313" s="68">
        <f t="shared" si="4"/>
        <v>25.78216713</v>
      </c>
    </row>
    <row r="314">
      <c r="A314" s="64">
        <f t="shared" si="3"/>
        <v>313</v>
      </c>
      <c r="B314" s="64" t="s">
        <v>35</v>
      </c>
      <c r="C314" s="64" t="s">
        <v>19</v>
      </c>
      <c r="D314" s="64" t="s">
        <v>568</v>
      </c>
      <c r="E314" s="64" t="s">
        <v>456</v>
      </c>
      <c r="F314" s="64" t="s">
        <v>22</v>
      </c>
      <c r="G314" s="64" t="s">
        <v>29</v>
      </c>
      <c r="H314" s="64" t="s">
        <v>39</v>
      </c>
      <c r="I314" s="65">
        <v>-0.75</v>
      </c>
      <c r="J314" s="65">
        <v>0.7</v>
      </c>
      <c r="K314" s="65">
        <v>0.588</v>
      </c>
      <c r="L314" s="66">
        <v>45687.0</v>
      </c>
      <c r="M314" s="67">
        <v>2.1</v>
      </c>
      <c r="N314" s="64" t="s">
        <v>33</v>
      </c>
      <c r="O314" s="68">
        <f t="shared" si="1"/>
        <v>0.6468</v>
      </c>
      <c r="P314" s="68">
        <f t="shared" si="4"/>
        <v>26.42896713</v>
      </c>
    </row>
    <row r="315">
      <c r="A315" s="64">
        <f t="shared" si="3"/>
        <v>314</v>
      </c>
      <c r="B315" s="64" t="s">
        <v>35</v>
      </c>
      <c r="C315" s="64" t="s">
        <v>19</v>
      </c>
      <c r="D315" s="64" t="s">
        <v>569</v>
      </c>
      <c r="E315" s="64" t="s">
        <v>82</v>
      </c>
      <c r="F315" s="64" t="s">
        <v>22</v>
      </c>
      <c r="G315" s="64" t="s">
        <v>29</v>
      </c>
      <c r="H315" s="64" t="s">
        <v>24</v>
      </c>
      <c r="I315" s="65">
        <v>-5.0</v>
      </c>
      <c r="J315" s="65">
        <v>1.0</v>
      </c>
      <c r="K315" s="65">
        <v>0.5</v>
      </c>
      <c r="L315" s="66">
        <v>45687.0</v>
      </c>
      <c r="M315" s="67">
        <v>1.975</v>
      </c>
      <c r="N315" s="64" t="s">
        <v>70</v>
      </c>
      <c r="O315" s="68">
        <f t="shared" si="1"/>
        <v>0</v>
      </c>
      <c r="P315" s="68">
        <f t="shared" si="4"/>
        <v>26.42896713</v>
      </c>
    </row>
    <row r="316">
      <c r="A316" s="64">
        <f t="shared" si="3"/>
        <v>315</v>
      </c>
      <c r="B316" s="64" t="s">
        <v>26</v>
      </c>
      <c r="C316" s="64" t="s">
        <v>19</v>
      </c>
      <c r="D316" s="64" t="s">
        <v>570</v>
      </c>
      <c r="E316" s="64" t="s">
        <v>84</v>
      </c>
      <c r="F316" s="64" t="s">
        <v>22</v>
      </c>
      <c r="G316" s="64" t="s">
        <v>29</v>
      </c>
      <c r="H316" s="64"/>
      <c r="I316" s="65">
        <v>-3.5</v>
      </c>
      <c r="J316" s="65">
        <v>1.0</v>
      </c>
      <c r="K316" s="65">
        <v>0.92</v>
      </c>
      <c r="L316" s="66">
        <v>45688.0</v>
      </c>
      <c r="M316" s="67">
        <v>1.8</v>
      </c>
      <c r="N316" s="64" t="s">
        <v>25</v>
      </c>
      <c r="O316" s="68">
        <f t="shared" si="1"/>
        <v>-0.92</v>
      </c>
      <c r="P316" s="68">
        <f t="shared" si="4"/>
        <v>25.50896713</v>
      </c>
    </row>
    <row r="317">
      <c r="A317" s="64">
        <f t="shared" si="3"/>
        <v>316</v>
      </c>
      <c r="B317" s="64" t="s">
        <v>26</v>
      </c>
      <c r="C317" s="64" t="s">
        <v>19</v>
      </c>
      <c r="D317" s="64" t="s">
        <v>571</v>
      </c>
      <c r="E317" s="64" t="s">
        <v>167</v>
      </c>
      <c r="F317" s="64" t="s">
        <v>22</v>
      </c>
      <c r="G317" s="64" t="s">
        <v>29</v>
      </c>
      <c r="H317" s="64"/>
      <c r="I317" s="65">
        <v>-3.25</v>
      </c>
      <c r="J317" s="65">
        <v>1.0</v>
      </c>
      <c r="K317" s="65">
        <v>0.94</v>
      </c>
      <c r="L317" s="66">
        <v>45688.0</v>
      </c>
      <c r="M317" s="67">
        <v>1.9</v>
      </c>
      <c r="N317" s="64" t="s">
        <v>25</v>
      </c>
      <c r="O317" s="68">
        <f t="shared" si="1"/>
        <v>-0.94</v>
      </c>
      <c r="P317" s="68">
        <f t="shared" si="4"/>
        <v>24.56896713</v>
      </c>
    </row>
    <row r="318">
      <c r="A318" s="64">
        <f t="shared" si="3"/>
        <v>317</v>
      </c>
      <c r="B318" s="64" t="s">
        <v>35</v>
      </c>
      <c r="C318" s="64" t="s">
        <v>19</v>
      </c>
      <c r="D318" s="64" t="s">
        <v>572</v>
      </c>
      <c r="E318" s="64" t="s">
        <v>167</v>
      </c>
      <c r="F318" s="64" t="s">
        <v>22</v>
      </c>
      <c r="G318" s="64" t="s">
        <v>29</v>
      </c>
      <c r="H318" s="75" t="s">
        <v>39</v>
      </c>
      <c r="I318" s="65">
        <v>-1.0</v>
      </c>
      <c r="J318" s="65">
        <v>0.7</v>
      </c>
      <c r="K318" s="65">
        <v>0.6416</v>
      </c>
      <c r="L318" s="69">
        <v>45688.0</v>
      </c>
      <c r="M318" s="67">
        <v>1.825</v>
      </c>
      <c r="N318" s="64" t="s">
        <v>25</v>
      </c>
      <c r="O318" s="68">
        <f t="shared" si="1"/>
        <v>-0.6416</v>
      </c>
      <c r="P318" s="68">
        <f t="shared" si="4"/>
        <v>23.92736713</v>
      </c>
    </row>
    <row r="319">
      <c r="A319" s="64">
        <f t="shared" si="3"/>
        <v>318</v>
      </c>
      <c r="B319" s="64" t="s">
        <v>26</v>
      </c>
      <c r="C319" s="64" t="s">
        <v>19</v>
      </c>
      <c r="D319" s="64" t="s">
        <v>573</v>
      </c>
      <c r="E319" s="64" t="s">
        <v>487</v>
      </c>
      <c r="F319" s="64" t="s">
        <v>22</v>
      </c>
      <c r="G319" s="64" t="s">
        <v>29</v>
      </c>
      <c r="H319" s="64"/>
      <c r="I319" s="65">
        <v>-3.75</v>
      </c>
      <c r="J319" s="65">
        <v>1.0</v>
      </c>
      <c r="K319" s="65">
        <v>0.923</v>
      </c>
      <c r="L319" s="69">
        <v>45688.0</v>
      </c>
      <c r="M319" s="67">
        <v>1.95</v>
      </c>
      <c r="N319" s="64" t="s">
        <v>79</v>
      </c>
      <c r="O319" s="68">
        <f t="shared" si="1"/>
        <v>-0.4615</v>
      </c>
      <c r="P319" s="68">
        <f t="shared" si="4"/>
        <v>23.46586713</v>
      </c>
    </row>
    <row r="320">
      <c r="A320" s="64">
        <f t="shared" si="3"/>
        <v>319</v>
      </c>
      <c r="B320" s="64" t="s">
        <v>35</v>
      </c>
      <c r="C320" s="64" t="s">
        <v>19</v>
      </c>
      <c r="D320" s="64" t="s">
        <v>574</v>
      </c>
      <c r="E320" s="64" t="s">
        <v>525</v>
      </c>
      <c r="F320" s="64" t="s">
        <v>22</v>
      </c>
      <c r="G320" s="64" t="s">
        <v>29</v>
      </c>
      <c r="H320" s="64" t="s">
        <v>24</v>
      </c>
      <c r="I320" s="65">
        <v>-1.0</v>
      </c>
      <c r="J320" s="65">
        <v>1.0</v>
      </c>
      <c r="K320" s="65">
        <v>0.8148</v>
      </c>
      <c r="L320" s="69">
        <v>45688.0</v>
      </c>
      <c r="M320" s="67">
        <v>1.75</v>
      </c>
      <c r="N320" s="64" t="s">
        <v>33</v>
      </c>
      <c r="O320" s="68">
        <f t="shared" si="1"/>
        <v>0.6111</v>
      </c>
      <c r="P320" s="68">
        <f t="shared" si="4"/>
        <v>24.07696713</v>
      </c>
    </row>
    <row r="321">
      <c r="A321" s="64">
        <f t="shared" si="3"/>
        <v>320</v>
      </c>
      <c r="B321" s="64" t="s">
        <v>35</v>
      </c>
      <c r="C321" s="64" t="s">
        <v>19</v>
      </c>
      <c r="D321" s="64" t="s">
        <v>575</v>
      </c>
      <c r="E321" s="64" t="s">
        <v>525</v>
      </c>
      <c r="F321" s="64" t="s">
        <v>22</v>
      </c>
      <c r="G321" s="64" t="s">
        <v>29</v>
      </c>
      <c r="H321" s="64" t="s">
        <v>24</v>
      </c>
      <c r="I321" s="65">
        <v>-0.75</v>
      </c>
      <c r="J321" s="65">
        <v>1.0</v>
      </c>
      <c r="K321" s="65">
        <v>0.9814</v>
      </c>
      <c r="L321" s="69">
        <v>45688.0</v>
      </c>
      <c r="M321" s="67">
        <v>2.05</v>
      </c>
      <c r="N321" s="64" t="s">
        <v>33</v>
      </c>
      <c r="O321" s="68">
        <f t="shared" si="1"/>
        <v>1.03047</v>
      </c>
      <c r="P321" s="68">
        <f t="shared" si="4"/>
        <v>25.10743713</v>
      </c>
    </row>
    <row r="322">
      <c r="A322" s="64">
        <f t="shared" si="3"/>
        <v>321</v>
      </c>
      <c r="B322" s="64" t="s">
        <v>26</v>
      </c>
      <c r="C322" s="64" t="s">
        <v>19</v>
      </c>
      <c r="D322" s="64" t="s">
        <v>576</v>
      </c>
      <c r="E322" s="64" t="s">
        <v>28</v>
      </c>
      <c r="F322" s="64" t="s">
        <v>22</v>
      </c>
      <c r="G322" s="64" t="s">
        <v>29</v>
      </c>
      <c r="H322" s="64" t="s">
        <v>39</v>
      </c>
      <c r="I322" s="65">
        <v>-3.5</v>
      </c>
      <c r="J322" s="65">
        <v>1.5</v>
      </c>
      <c r="K322" s="65">
        <v>1.5</v>
      </c>
      <c r="L322" s="66">
        <v>45688.0</v>
      </c>
      <c r="M322" s="67">
        <v>1.825</v>
      </c>
      <c r="N322" s="64" t="s">
        <v>33</v>
      </c>
      <c r="O322" s="68">
        <f t="shared" si="1"/>
        <v>1.2375</v>
      </c>
      <c r="P322" s="68">
        <f t="shared" si="4"/>
        <v>26.34493713</v>
      </c>
    </row>
    <row r="323">
      <c r="A323" s="64">
        <f t="shared" si="3"/>
        <v>322</v>
      </c>
      <c r="B323" s="64" t="s">
        <v>26</v>
      </c>
      <c r="C323" s="64" t="s">
        <v>40</v>
      </c>
      <c r="D323" s="64" t="s">
        <v>577</v>
      </c>
      <c r="E323" s="64" t="s">
        <v>42</v>
      </c>
      <c r="F323" s="64" t="s">
        <v>22</v>
      </c>
      <c r="G323" s="64" t="s">
        <v>29</v>
      </c>
      <c r="H323" s="64" t="s">
        <v>24</v>
      </c>
      <c r="I323" s="65">
        <v>-2.75</v>
      </c>
      <c r="J323" s="65">
        <v>1.0</v>
      </c>
      <c r="K323" s="65">
        <v>1.0</v>
      </c>
      <c r="L323" s="66">
        <v>45688.0</v>
      </c>
      <c r="M323" s="67">
        <v>1.95</v>
      </c>
      <c r="N323" s="64" t="s">
        <v>33</v>
      </c>
      <c r="O323" s="68">
        <f t="shared" si="1"/>
        <v>0.95</v>
      </c>
      <c r="P323" s="68">
        <f t="shared" si="4"/>
        <v>27.29493713</v>
      </c>
    </row>
    <row r="324">
      <c r="A324" s="64">
        <f t="shared" si="3"/>
        <v>323</v>
      </c>
      <c r="B324" s="64" t="s">
        <v>35</v>
      </c>
      <c r="C324" s="64" t="s">
        <v>19</v>
      </c>
      <c r="D324" s="64" t="s">
        <v>578</v>
      </c>
      <c r="E324" s="64" t="s">
        <v>96</v>
      </c>
      <c r="F324" s="64" t="s">
        <v>22</v>
      </c>
      <c r="G324" s="64" t="s">
        <v>29</v>
      </c>
      <c r="H324" s="64" t="s">
        <v>24</v>
      </c>
      <c r="I324" s="65">
        <v>-0.75</v>
      </c>
      <c r="J324" s="65">
        <v>1.0</v>
      </c>
      <c r="K324" s="65">
        <v>0.9629</v>
      </c>
      <c r="L324" s="66">
        <v>45688.0</v>
      </c>
      <c r="M324" s="67">
        <v>2.025</v>
      </c>
      <c r="N324" s="64" t="s">
        <v>33</v>
      </c>
      <c r="O324" s="68">
        <f t="shared" si="1"/>
        <v>0.9869725</v>
      </c>
      <c r="P324" s="68">
        <f t="shared" si="4"/>
        <v>28.28190963</v>
      </c>
    </row>
    <row r="325">
      <c r="A325" s="64">
        <f t="shared" si="3"/>
        <v>324</v>
      </c>
      <c r="B325" s="64" t="s">
        <v>26</v>
      </c>
      <c r="C325" s="64" t="s">
        <v>19</v>
      </c>
      <c r="D325" s="64" t="s">
        <v>579</v>
      </c>
      <c r="E325" s="64" t="s">
        <v>28</v>
      </c>
      <c r="F325" s="64" t="s">
        <v>22</v>
      </c>
      <c r="G325" s="64" t="s">
        <v>29</v>
      </c>
      <c r="H325" s="64"/>
      <c r="I325" s="65">
        <v>-3.0</v>
      </c>
      <c r="J325" s="65">
        <v>0.3</v>
      </c>
      <c r="K325" s="65">
        <v>0.3</v>
      </c>
      <c r="L325" s="66">
        <v>45688.0</v>
      </c>
      <c r="M325" s="67">
        <v>2.0</v>
      </c>
      <c r="N325" s="64" t="s">
        <v>33</v>
      </c>
      <c r="O325" s="68">
        <f t="shared" si="1"/>
        <v>0.3</v>
      </c>
      <c r="P325" s="68">
        <f t="shared" si="4"/>
        <v>28.58190963</v>
      </c>
    </row>
    <row r="326">
      <c r="A326" s="64">
        <f t="shared" si="3"/>
        <v>325</v>
      </c>
      <c r="B326" s="64" t="s">
        <v>35</v>
      </c>
      <c r="C326" s="64" t="s">
        <v>19</v>
      </c>
      <c r="D326" s="64" t="s">
        <v>580</v>
      </c>
      <c r="E326" s="64" t="s">
        <v>581</v>
      </c>
      <c r="F326" s="64" t="s">
        <v>22</v>
      </c>
      <c r="G326" s="64" t="s">
        <v>29</v>
      </c>
      <c r="H326" s="64" t="s">
        <v>39</v>
      </c>
      <c r="I326" s="65">
        <v>-0.75</v>
      </c>
      <c r="J326" s="65">
        <v>0.7</v>
      </c>
      <c r="K326" s="65">
        <v>0.7</v>
      </c>
      <c r="L326" s="66">
        <v>45688.0</v>
      </c>
      <c r="M326" s="67">
        <v>1.925</v>
      </c>
      <c r="N326" s="64" t="s">
        <v>33</v>
      </c>
      <c r="O326" s="68">
        <f t="shared" si="1"/>
        <v>0.6475</v>
      </c>
      <c r="P326" s="68">
        <f t="shared" si="4"/>
        <v>29.22940963</v>
      </c>
    </row>
    <row r="327">
      <c r="A327" s="64">
        <f t="shared" si="3"/>
        <v>326</v>
      </c>
      <c r="B327" s="64" t="s">
        <v>35</v>
      </c>
      <c r="C327" s="64" t="s">
        <v>19</v>
      </c>
      <c r="D327" s="64" t="s">
        <v>582</v>
      </c>
      <c r="E327" s="64" t="s">
        <v>583</v>
      </c>
      <c r="F327" s="64" t="s">
        <v>22</v>
      </c>
      <c r="G327" s="64" t="s">
        <v>29</v>
      </c>
      <c r="H327" s="64" t="s">
        <v>39</v>
      </c>
      <c r="I327" s="65">
        <v>-0.75</v>
      </c>
      <c r="J327" s="65">
        <v>0.7</v>
      </c>
      <c r="K327" s="65">
        <v>0.7</v>
      </c>
      <c r="L327" s="66">
        <v>45688.0</v>
      </c>
      <c r="M327" s="67">
        <v>1.975</v>
      </c>
      <c r="N327" s="64" t="s">
        <v>33</v>
      </c>
      <c r="O327" s="68">
        <f t="shared" si="1"/>
        <v>0.6825</v>
      </c>
      <c r="P327" s="68">
        <f t="shared" si="4"/>
        <v>29.91190963</v>
      </c>
    </row>
    <row r="328">
      <c r="A328" s="64">
        <f t="shared" si="3"/>
        <v>327</v>
      </c>
      <c r="B328" s="64" t="s">
        <v>35</v>
      </c>
      <c r="C328" s="64" t="s">
        <v>19</v>
      </c>
      <c r="D328" s="64" t="s">
        <v>584</v>
      </c>
      <c r="E328" s="64" t="s">
        <v>44</v>
      </c>
      <c r="F328" s="64" t="s">
        <v>22</v>
      </c>
      <c r="G328" s="64" t="s">
        <v>29</v>
      </c>
      <c r="H328" s="64" t="s">
        <v>39</v>
      </c>
      <c r="I328" s="65">
        <v>-0.75</v>
      </c>
      <c r="J328" s="65">
        <v>0.7</v>
      </c>
      <c r="K328" s="65">
        <v>0.7</v>
      </c>
      <c r="L328" s="66">
        <v>45688.0</v>
      </c>
      <c r="M328" s="67">
        <v>2.075</v>
      </c>
      <c r="N328" s="64" t="s">
        <v>33</v>
      </c>
      <c r="O328" s="68">
        <f t="shared" si="1"/>
        <v>0.7525</v>
      </c>
      <c r="P328" s="68">
        <f t="shared" si="4"/>
        <v>30.66440963</v>
      </c>
    </row>
    <row r="329">
      <c r="A329" s="64">
        <f t="shared" si="3"/>
        <v>328</v>
      </c>
      <c r="B329" s="64" t="s">
        <v>35</v>
      </c>
      <c r="C329" s="64" t="s">
        <v>19</v>
      </c>
      <c r="D329" s="64" t="s">
        <v>585</v>
      </c>
      <c r="E329" s="64" t="s">
        <v>44</v>
      </c>
      <c r="F329" s="64" t="s">
        <v>22</v>
      </c>
      <c r="G329" s="64" t="s">
        <v>29</v>
      </c>
      <c r="H329" s="64" t="s">
        <v>39</v>
      </c>
      <c r="I329" s="65">
        <v>-2.0</v>
      </c>
      <c r="J329" s="65">
        <v>0.7</v>
      </c>
      <c r="K329" s="65">
        <f>0.7*23/29</f>
        <v>0.5551724138</v>
      </c>
      <c r="L329" s="66">
        <v>45688.0</v>
      </c>
      <c r="M329" s="67">
        <v>2.06</v>
      </c>
      <c r="N329" s="64" t="s">
        <v>33</v>
      </c>
      <c r="O329" s="68">
        <f t="shared" si="1"/>
        <v>0.5884827586</v>
      </c>
      <c r="P329" s="68">
        <f t="shared" si="4"/>
        <v>31.25289238</v>
      </c>
    </row>
    <row r="330">
      <c r="A330" s="64">
        <f t="shared" si="3"/>
        <v>329</v>
      </c>
      <c r="B330" s="64" t="s">
        <v>26</v>
      </c>
      <c r="C330" s="64" t="s">
        <v>19</v>
      </c>
      <c r="D330" s="64" t="s">
        <v>586</v>
      </c>
      <c r="E330" s="64" t="s">
        <v>147</v>
      </c>
      <c r="F330" s="64" t="s">
        <v>22</v>
      </c>
      <c r="G330" s="64" t="s">
        <v>29</v>
      </c>
      <c r="H330" s="64"/>
      <c r="I330" s="65">
        <v>-3.5</v>
      </c>
      <c r="J330" s="65">
        <v>1.0</v>
      </c>
      <c r="K330" s="65">
        <f>0.49+0.5*13/29</f>
        <v>0.714137931</v>
      </c>
      <c r="L330" s="66">
        <v>45688.0</v>
      </c>
      <c r="M330" s="67">
        <v>1.925</v>
      </c>
      <c r="N330" s="64" t="s">
        <v>33</v>
      </c>
      <c r="O330" s="68">
        <f t="shared" si="1"/>
        <v>0.6605775862</v>
      </c>
      <c r="P330" s="68">
        <f t="shared" si="4"/>
        <v>31.91346997</v>
      </c>
    </row>
    <row r="331">
      <c r="A331" s="64">
        <f t="shared" si="3"/>
        <v>330</v>
      </c>
      <c r="B331" s="64" t="s">
        <v>35</v>
      </c>
      <c r="C331" s="64" t="s">
        <v>19</v>
      </c>
      <c r="D331" s="64" t="s">
        <v>587</v>
      </c>
      <c r="E331" s="64" t="s">
        <v>60</v>
      </c>
      <c r="F331" s="64" t="s">
        <v>22</v>
      </c>
      <c r="G331" s="64" t="s">
        <v>29</v>
      </c>
      <c r="H331" s="64" t="s">
        <v>39</v>
      </c>
      <c r="I331" s="65">
        <v>-2.0</v>
      </c>
      <c r="J331" s="65">
        <v>0.7</v>
      </c>
      <c r="K331" s="65">
        <v>0.7</v>
      </c>
      <c r="L331" s="66">
        <v>45688.0</v>
      </c>
      <c r="M331" s="67">
        <v>1.8</v>
      </c>
      <c r="N331" s="64" t="s">
        <v>33</v>
      </c>
      <c r="O331" s="68">
        <f t="shared" si="1"/>
        <v>0.56</v>
      </c>
      <c r="P331" s="68">
        <f t="shared" si="4"/>
        <v>32.47346997</v>
      </c>
    </row>
    <row r="332">
      <c r="A332" s="64">
        <f t="shared" si="3"/>
        <v>331</v>
      </c>
      <c r="B332" s="64" t="s">
        <v>26</v>
      </c>
      <c r="C332" s="64" t="s">
        <v>19</v>
      </c>
      <c r="D332" s="64" t="s">
        <v>588</v>
      </c>
      <c r="E332" s="64" t="s">
        <v>147</v>
      </c>
      <c r="F332" s="64" t="s">
        <v>22</v>
      </c>
      <c r="G332" s="64" t="s">
        <v>29</v>
      </c>
      <c r="H332" s="64" t="s">
        <v>24</v>
      </c>
      <c r="I332" s="65">
        <v>-3.75</v>
      </c>
      <c r="J332" s="65">
        <v>0.3</v>
      </c>
      <c r="K332" s="65">
        <v>0.3</v>
      </c>
      <c r="L332" s="66">
        <v>45688.0</v>
      </c>
      <c r="M332" s="67">
        <f>0.19/0.15</f>
        <v>1.266666667</v>
      </c>
      <c r="N332" s="64" t="s">
        <v>33</v>
      </c>
      <c r="O332" s="68">
        <f t="shared" si="1"/>
        <v>0.08</v>
      </c>
      <c r="P332" s="68">
        <f t="shared" si="4"/>
        <v>32.55346997</v>
      </c>
    </row>
    <row r="333">
      <c r="A333" s="64">
        <f t="shared" si="3"/>
        <v>332</v>
      </c>
      <c r="B333" s="64" t="s">
        <v>26</v>
      </c>
      <c r="C333" s="64" t="s">
        <v>19</v>
      </c>
      <c r="D333" s="64" t="s">
        <v>589</v>
      </c>
      <c r="E333" s="64" t="s">
        <v>216</v>
      </c>
      <c r="F333" s="64" t="s">
        <v>22</v>
      </c>
      <c r="G333" s="64" t="s">
        <v>29</v>
      </c>
      <c r="H333" s="64" t="s">
        <v>24</v>
      </c>
      <c r="I333" s="65">
        <v>-3.75</v>
      </c>
      <c r="J333" s="65">
        <v>1.0</v>
      </c>
      <c r="K333" s="65">
        <f>0.5*4/29+0.5*9/29</f>
        <v>0.224137931</v>
      </c>
      <c r="L333" s="66">
        <v>45688.0</v>
      </c>
      <c r="M333" s="67">
        <v>1.95</v>
      </c>
      <c r="N333" s="64" t="s">
        <v>25</v>
      </c>
      <c r="O333" s="68">
        <f t="shared" si="1"/>
        <v>-0.224137931</v>
      </c>
      <c r="P333" s="68">
        <f t="shared" si="4"/>
        <v>32.32933204</v>
      </c>
    </row>
    <row r="334">
      <c r="A334" s="64">
        <f t="shared" si="3"/>
        <v>333</v>
      </c>
      <c r="B334" s="64" t="s">
        <v>18</v>
      </c>
      <c r="C334" s="64" t="s">
        <v>19</v>
      </c>
      <c r="D334" s="64" t="s">
        <v>590</v>
      </c>
      <c r="E334" s="64" t="s">
        <v>117</v>
      </c>
      <c r="F334" s="64" t="s">
        <v>22</v>
      </c>
      <c r="G334" s="64" t="s">
        <v>23</v>
      </c>
      <c r="H334" s="64" t="s">
        <v>39</v>
      </c>
      <c r="I334" s="65">
        <v>-9.5</v>
      </c>
      <c r="J334" s="65">
        <v>0.02</v>
      </c>
      <c r="K334" s="65">
        <v>0.02</v>
      </c>
      <c r="L334" s="66">
        <v>45688.0</v>
      </c>
      <c r="M334" s="67">
        <v>2.0</v>
      </c>
      <c r="N334" s="64" t="s">
        <v>33</v>
      </c>
      <c r="O334" s="68">
        <f t="shared" si="1"/>
        <v>0.02</v>
      </c>
      <c r="P334" s="68">
        <f t="shared" si="4"/>
        <v>32.34933204</v>
      </c>
    </row>
    <row r="335">
      <c r="A335" s="64">
        <f t="shared" si="3"/>
        <v>334</v>
      </c>
      <c r="B335" s="64"/>
      <c r="C335" s="64"/>
      <c r="D335" s="64"/>
      <c r="E335" s="64"/>
      <c r="F335" s="64"/>
      <c r="G335" s="64"/>
      <c r="H335" s="64"/>
      <c r="I335" s="65"/>
      <c r="J335" s="65"/>
      <c r="K335" s="65"/>
      <c r="L335" s="88"/>
      <c r="M335" s="67"/>
      <c r="N335" s="64"/>
      <c r="O335" s="68" t="str">
        <f t="shared" si="1"/>
        <v/>
      </c>
      <c r="P335" s="68">
        <f t="shared" si="4"/>
        <v>32.34933204</v>
      </c>
    </row>
    <row r="336">
      <c r="A336" s="64">
        <f t="shared" si="3"/>
        <v>335</v>
      </c>
      <c r="B336" s="64"/>
      <c r="C336" s="64"/>
      <c r="D336" s="64"/>
      <c r="E336" s="64"/>
      <c r="F336" s="64"/>
      <c r="G336" s="64"/>
      <c r="H336" s="64"/>
      <c r="I336" s="65"/>
      <c r="J336" s="65"/>
      <c r="K336" s="65"/>
      <c r="L336" s="88"/>
      <c r="M336" s="67"/>
      <c r="N336" s="64"/>
      <c r="O336" s="68" t="str">
        <f t="shared" si="1"/>
        <v/>
      </c>
      <c r="P336" s="68">
        <f t="shared" si="4"/>
        <v>32.34933204</v>
      </c>
    </row>
    <row r="337">
      <c r="A337" s="64">
        <f t="shared" si="3"/>
        <v>336</v>
      </c>
      <c r="B337" s="64"/>
      <c r="C337" s="64"/>
      <c r="D337" s="64"/>
      <c r="E337" s="64"/>
      <c r="F337" s="64"/>
      <c r="G337" s="64"/>
      <c r="H337" s="64"/>
      <c r="I337" s="65"/>
      <c r="J337" s="65"/>
      <c r="K337" s="65"/>
      <c r="L337" s="88"/>
      <c r="M337" s="67"/>
      <c r="N337" s="64"/>
      <c r="O337" s="68" t="str">
        <f t="shared" si="1"/>
        <v/>
      </c>
      <c r="P337" s="68">
        <f t="shared" si="4"/>
        <v>32.34933204</v>
      </c>
    </row>
    <row r="338">
      <c r="A338" s="64">
        <f t="shared" si="3"/>
        <v>337</v>
      </c>
      <c r="B338" s="64"/>
      <c r="C338" s="64"/>
      <c r="D338" s="64"/>
      <c r="E338" s="64"/>
      <c r="F338" s="64"/>
      <c r="G338" s="64"/>
      <c r="H338" s="64"/>
      <c r="I338" s="65"/>
      <c r="J338" s="65"/>
      <c r="K338" s="65"/>
      <c r="L338" s="88"/>
      <c r="M338" s="67"/>
      <c r="N338" s="64"/>
      <c r="O338" s="68" t="str">
        <f t="shared" si="1"/>
        <v/>
      </c>
      <c r="P338" s="68">
        <f t="shared" si="4"/>
        <v>32.34933204</v>
      </c>
    </row>
    <row r="339">
      <c r="A339" s="64">
        <f t="shared" si="3"/>
        <v>338</v>
      </c>
      <c r="B339" s="64"/>
      <c r="C339" s="64"/>
      <c r="D339" s="64"/>
      <c r="E339" s="64"/>
      <c r="F339" s="64"/>
      <c r="G339" s="64"/>
      <c r="H339" s="64"/>
      <c r="I339" s="65"/>
      <c r="J339" s="65"/>
      <c r="K339" s="65"/>
      <c r="L339" s="88"/>
      <c r="M339" s="67"/>
      <c r="N339" s="64"/>
      <c r="O339" s="68" t="str">
        <f t="shared" si="1"/>
        <v/>
      </c>
      <c r="P339" s="68">
        <f t="shared" si="4"/>
        <v>32.34933204</v>
      </c>
    </row>
    <row r="340">
      <c r="A340" s="64">
        <f t="shared" si="3"/>
        <v>339</v>
      </c>
      <c r="B340" s="64"/>
      <c r="C340" s="64"/>
      <c r="D340" s="64"/>
      <c r="E340" s="64"/>
      <c r="F340" s="64"/>
      <c r="G340" s="64"/>
      <c r="H340" s="64"/>
      <c r="I340" s="64"/>
      <c r="J340" s="65"/>
      <c r="K340" s="65"/>
      <c r="L340" s="88"/>
      <c r="M340" s="67"/>
      <c r="N340" s="64"/>
      <c r="O340" s="68" t="str">
        <f t="shared" si="1"/>
        <v/>
      </c>
      <c r="P340" s="68">
        <f t="shared" si="4"/>
        <v>32.34933204</v>
      </c>
    </row>
    <row r="341">
      <c r="A341" s="64">
        <f t="shared" si="3"/>
        <v>340</v>
      </c>
      <c r="B341" s="64"/>
      <c r="C341" s="64"/>
      <c r="D341" s="64"/>
      <c r="E341" s="64"/>
      <c r="F341" s="64"/>
      <c r="G341" s="64"/>
      <c r="H341" s="64"/>
      <c r="I341" s="65"/>
      <c r="J341" s="65"/>
      <c r="K341" s="65"/>
      <c r="L341" s="88"/>
      <c r="M341" s="67"/>
      <c r="N341" s="64"/>
      <c r="O341" s="68" t="str">
        <f t="shared" si="1"/>
        <v/>
      </c>
      <c r="P341" s="68">
        <f t="shared" si="4"/>
        <v>32.34933204</v>
      </c>
    </row>
    <row r="342">
      <c r="A342" s="64">
        <f t="shared" si="3"/>
        <v>341</v>
      </c>
      <c r="B342" s="64"/>
      <c r="C342" s="64"/>
      <c r="D342" s="64"/>
      <c r="E342" s="64"/>
      <c r="F342" s="64"/>
      <c r="G342" s="64"/>
      <c r="H342" s="64"/>
      <c r="I342" s="65"/>
      <c r="J342" s="65"/>
      <c r="K342" s="65"/>
      <c r="L342" s="88"/>
      <c r="M342" s="67"/>
      <c r="N342" s="64"/>
      <c r="O342" s="68" t="str">
        <f t="shared" si="1"/>
        <v/>
      </c>
      <c r="P342" s="68">
        <f t="shared" si="4"/>
        <v>32.34933204</v>
      </c>
    </row>
    <row r="343">
      <c r="A343" s="64">
        <f t="shared" si="3"/>
        <v>342</v>
      </c>
      <c r="B343" s="64"/>
      <c r="C343" s="64"/>
      <c r="D343" s="64"/>
      <c r="E343" s="64"/>
      <c r="F343" s="64"/>
      <c r="G343" s="64"/>
      <c r="H343" s="64"/>
      <c r="I343" s="65"/>
      <c r="J343" s="65"/>
      <c r="K343" s="65"/>
      <c r="L343" s="88"/>
      <c r="M343" s="67"/>
      <c r="N343" s="64"/>
      <c r="O343" s="68" t="str">
        <f t="shared" si="1"/>
        <v/>
      </c>
      <c r="P343" s="68">
        <f t="shared" si="4"/>
        <v>32.34933204</v>
      </c>
    </row>
    <row r="344">
      <c r="A344" s="64">
        <f t="shared" si="3"/>
        <v>343</v>
      </c>
      <c r="B344" s="64"/>
      <c r="C344" s="64"/>
      <c r="D344" s="64"/>
      <c r="E344" s="64"/>
      <c r="F344" s="64"/>
      <c r="G344" s="64"/>
      <c r="H344" s="64"/>
      <c r="I344" s="65"/>
      <c r="J344" s="65"/>
      <c r="K344" s="65"/>
      <c r="L344" s="88"/>
      <c r="M344" s="67"/>
      <c r="N344" s="64"/>
      <c r="O344" s="68" t="str">
        <f t="shared" si="1"/>
        <v/>
      </c>
      <c r="P344" s="68">
        <f t="shared" si="4"/>
        <v>32.34933204</v>
      </c>
    </row>
    <row r="345">
      <c r="A345" s="64">
        <f t="shared" si="3"/>
        <v>344</v>
      </c>
      <c r="B345" s="64"/>
      <c r="C345" s="64"/>
      <c r="D345" s="64"/>
      <c r="E345" s="64"/>
      <c r="F345" s="64"/>
      <c r="G345" s="64"/>
      <c r="H345" s="64"/>
      <c r="I345" s="65"/>
      <c r="J345" s="65"/>
      <c r="K345" s="65"/>
      <c r="L345" s="88"/>
      <c r="M345" s="67"/>
      <c r="N345" s="64"/>
      <c r="O345" s="68" t="str">
        <f t="shared" si="1"/>
        <v/>
      </c>
      <c r="P345" s="68">
        <f t="shared" si="4"/>
        <v>32.34933204</v>
      </c>
    </row>
    <row r="346">
      <c r="A346" s="64">
        <f t="shared" si="3"/>
        <v>345</v>
      </c>
      <c r="B346" s="64"/>
      <c r="C346" s="64"/>
      <c r="D346" s="64"/>
      <c r="E346" s="64"/>
      <c r="F346" s="64"/>
      <c r="G346" s="64"/>
      <c r="H346" s="64"/>
      <c r="I346" s="65"/>
      <c r="J346" s="65"/>
      <c r="K346" s="65"/>
      <c r="L346" s="88"/>
      <c r="M346" s="67"/>
      <c r="N346" s="64"/>
      <c r="O346" s="68" t="str">
        <f t="shared" si="1"/>
        <v/>
      </c>
      <c r="P346" s="68">
        <f t="shared" si="4"/>
        <v>32.34933204</v>
      </c>
    </row>
    <row r="347">
      <c r="A347" s="64">
        <f t="shared" si="3"/>
        <v>346</v>
      </c>
      <c r="B347" s="64"/>
      <c r="C347" s="64"/>
      <c r="D347" s="64"/>
      <c r="E347" s="64"/>
      <c r="F347" s="64"/>
      <c r="G347" s="64"/>
      <c r="H347" s="64"/>
      <c r="I347" s="65"/>
      <c r="J347" s="65"/>
      <c r="K347" s="65"/>
      <c r="L347" s="88"/>
      <c r="M347" s="67"/>
      <c r="N347" s="64"/>
      <c r="O347" s="68" t="str">
        <f t="shared" si="1"/>
        <v/>
      </c>
      <c r="P347" s="68">
        <f t="shared" si="4"/>
        <v>32.34933204</v>
      </c>
    </row>
    <row r="348">
      <c r="A348" s="64">
        <f t="shared" si="3"/>
        <v>347</v>
      </c>
      <c r="B348" s="64"/>
      <c r="C348" s="64"/>
      <c r="D348" s="64"/>
      <c r="E348" s="64"/>
      <c r="F348" s="64"/>
      <c r="G348" s="64"/>
      <c r="H348" s="64"/>
      <c r="I348" s="65"/>
      <c r="J348" s="65"/>
      <c r="K348" s="65"/>
      <c r="L348" s="88"/>
      <c r="M348" s="67"/>
      <c r="N348" s="64"/>
      <c r="O348" s="68" t="str">
        <f t="shared" si="1"/>
        <v/>
      </c>
      <c r="P348" s="68">
        <f t="shared" si="4"/>
        <v>32.34933204</v>
      </c>
    </row>
    <row r="349">
      <c r="A349" s="64">
        <f t="shared" si="3"/>
        <v>348</v>
      </c>
      <c r="B349" s="64"/>
      <c r="C349" s="64"/>
      <c r="D349" s="64"/>
      <c r="E349" s="64"/>
      <c r="F349" s="64"/>
      <c r="G349" s="64"/>
      <c r="H349" s="64"/>
      <c r="I349" s="65"/>
      <c r="J349" s="65"/>
      <c r="K349" s="65"/>
      <c r="L349" s="88"/>
      <c r="M349" s="67"/>
      <c r="N349" s="64"/>
      <c r="O349" s="68" t="str">
        <f t="shared" si="1"/>
        <v/>
      </c>
      <c r="P349" s="68">
        <f t="shared" si="4"/>
        <v>32.34933204</v>
      </c>
    </row>
    <row r="350">
      <c r="A350" s="64">
        <f t="shared" si="3"/>
        <v>349</v>
      </c>
      <c r="B350" s="64"/>
      <c r="C350" s="64"/>
      <c r="D350" s="64"/>
      <c r="E350" s="64"/>
      <c r="F350" s="64"/>
      <c r="G350" s="64"/>
      <c r="H350" s="64"/>
      <c r="I350" s="65"/>
      <c r="J350" s="65"/>
      <c r="K350" s="65"/>
      <c r="L350" s="88"/>
      <c r="M350" s="67"/>
      <c r="N350" s="64"/>
      <c r="O350" s="68" t="str">
        <f t="shared" si="1"/>
        <v/>
      </c>
      <c r="P350" s="68">
        <f t="shared" si="4"/>
        <v>32.34933204</v>
      </c>
    </row>
    <row r="351">
      <c r="A351" s="64">
        <f t="shared" si="3"/>
        <v>350</v>
      </c>
      <c r="B351" s="64"/>
      <c r="C351" s="64"/>
      <c r="D351" s="64"/>
      <c r="E351" s="64"/>
      <c r="F351" s="64"/>
      <c r="G351" s="64"/>
      <c r="H351" s="64"/>
      <c r="I351" s="65"/>
      <c r="J351" s="65"/>
      <c r="K351" s="65"/>
      <c r="L351" s="88"/>
      <c r="M351" s="67"/>
      <c r="N351" s="64"/>
      <c r="O351" s="68" t="str">
        <f t="shared" si="1"/>
        <v/>
      </c>
      <c r="P351" s="68">
        <f t="shared" si="4"/>
        <v>32.34933204</v>
      </c>
    </row>
    <row r="352">
      <c r="A352" s="64">
        <f t="shared" si="3"/>
        <v>351</v>
      </c>
      <c r="B352" s="64"/>
      <c r="C352" s="64"/>
      <c r="D352" s="64"/>
      <c r="E352" s="64"/>
      <c r="F352" s="64"/>
      <c r="G352" s="64"/>
      <c r="H352" s="64"/>
      <c r="I352" s="65"/>
      <c r="J352" s="65"/>
      <c r="K352" s="65"/>
      <c r="L352" s="88"/>
      <c r="M352" s="67"/>
      <c r="N352" s="64"/>
      <c r="O352" s="68" t="str">
        <f t="shared" si="1"/>
        <v/>
      </c>
      <c r="P352" s="68">
        <f t="shared" si="4"/>
        <v>32.34933204</v>
      </c>
    </row>
    <row r="353">
      <c r="A353" s="64">
        <f t="shared" si="3"/>
        <v>352</v>
      </c>
      <c r="B353" s="64"/>
      <c r="C353" s="64"/>
      <c r="D353" s="64"/>
      <c r="E353" s="64"/>
      <c r="F353" s="64"/>
      <c r="G353" s="64"/>
      <c r="H353" s="64"/>
      <c r="I353" s="65"/>
      <c r="J353" s="65"/>
      <c r="K353" s="65"/>
      <c r="L353" s="88"/>
      <c r="M353" s="67"/>
      <c r="N353" s="64"/>
      <c r="O353" s="68" t="str">
        <f t="shared" si="1"/>
        <v/>
      </c>
      <c r="P353" s="68">
        <f t="shared" si="4"/>
        <v>32.34933204</v>
      </c>
    </row>
    <row r="354">
      <c r="A354" s="64">
        <f t="shared" si="3"/>
        <v>353</v>
      </c>
      <c r="B354" s="64"/>
      <c r="C354" s="64"/>
      <c r="D354" s="64"/>
      <c r="E354" s="64"/>
      <c r="F354" s="64"/>
      <c r="G354" s="64"/>
      <c r="H354" s="64"/>
      <c r="I354" s="65"/>
      <c r="J354" s="65"/>
      <c r="K354" s="65"/>
      <c r="L354" s="88"/>
      <c r="M354" s="67"/>
      <c r="N354" s="64"/>
      <c r="O354" s="68" t="str">
        <f t="shared" si="1"/>
        <v/>
      </c>
      <c r="P354" s="68">
        <f t="shared" si="4"/>
        <v>32.34933204</v>
      </c>
    </row>
    <row r="355">
      <c r="A355" s="64">
        <f t="shared" si="3"/>
        <v>354</v>
      </c>
      <c r="B355" s="64"/>
      <c r="C355" s="64"/>
      <c r="D355" s="64"/>
      <c r="E355" s="64"/>
      <c r="F355" s="64"/>
      <c r="G355" s="64"/>
      <c r="H355" s="64"/>
      <c r="I355" s="65"/>
      <c r="J355" s="65"/>
      <c r="K355" s="65"/>
      <c r="L355" s="88"/>
      <c r="M355" s="67"/>
      <c r="N355" s="64"/>
      <c r="O355" s="68" t="str">
        <f t="shared" si="1"/>
        <v/>
      </c>
      <c r="P355" s="68">
        <f t="shared" si="4"/>
        <v>32.34933204</v>
      </c>
    </row>
    <row r="356">
      <c r="A356" s="64">
        <f t="shared" si="3"/>
        <v>355</v>
      </c>
      <c r="B356" s="64"/>
      <c r="C356" s="64"/>
      <c r="D356" s="64"/>
      <c r="E356" s="64"/>
      <c r="F356" s="64"/>
      <c r="G356" s="64"/>
      <c r="H356" s="64"/>
      <c r="I356" s="65"/>
      <c r="J356" s="65"/>
      <c r="K356" s="65"/>
      <c r="L356" s="66"/>
      <c r="M356" s="67"/>
      <c r="N356" s="64"/>
      <c r="O356" s="68" t="str">
        <f t="shared" si="1"/>
        <v/>
      </c>
      <c r="P356" s="68">
        <f t="shared" si="4"/>
        <v>32.34933204</v>
      </c>
    </row>
    <row r="357">
      <c r="A357" s="64">
        <f t="shared" si="3"/>
        <v>356</v>
      </c>
      <c r="B357" s="64"/>
      <c r="C357" s="64"/>
      <c r="D357" s="64"/>
      <c r="E357" s="64"/>
      <c r="F357" s="64"/>
      <c r="G357" s="64"/>
      <c r="H357" s="64"/>
      <c r="I357" s="65"/>
      <c r="J357" s="65"/>
      <c r="K357" s="65"/>
      <c r="L357" s="66"/>
      <c r="M357" s="67"/>
      <c r="N357" s="64"/>
      <c r="O357" s="68" t="str">
        <f t="shared" si="1"/>
        <v/>
      </c>
      <c r="P357" s="68">
        <f t="shared" si="4"/>
        <v>32.34933204</v>
      </c>
    </row>
    <row r="358">
      <c r="A358" s="64">
        <f t="shared" si="3"/>
        <v>357</v>
      </c>
      <c r="B358" s="64"/>
      <c r="C358" s="64"/>
      <c r="D358" s="64"/>
      <c r="E358" s="64"/>
      <c r="F358" s="64"/>
      <c r="G358" s="64"/>
      <c r="H358" s="64"/>
      <c r="I358" s="65"/>
      <c r="J358" s="65"/>
      <c r="K358" s="65"/>
      <c r="L358" s="66"/>
      <c r="M358" s="67"/>
      <c r="N358" s="64"/>
      <c r="O358" s="68" t="str">
        <f t="shared" si="1"/>
        <v/>
      </c>
      <c r="P358" s="68">
        <f t="shared" si="4"/>
        <v>32.34933204</v>
      </c>
    </row>
    <row r="359">
      <c r="A359" s="64">
        <f t="shared" si="3"/>
        <v>358</v>
      </c>
      <c r="B359" s="64"/>
      <c r="C359" s="64"/>
      <c r="D359" s="64"/>
      <c r="E359" s="64"/>
      <c r="F359" s="64"/>
      <c r="G359" s="64"/>
      <c r="H359" s="64"/>
      <c r="I359" s="64"/>
      <c r="J359" s="65"/>
      <c r="K359" s="65"/>
      <c r="L359" s="66"/>
      <c r="M359" s="67"/>
      <c r="N359" s="64"/>
      <c r="O359" s="68" t="str">
        <f t="shared" si="1"/>
        <v/>
      </c>
      <c r="P359" s="68">
        <f t="shared" si="4"/>
        <v>32.34933204</v>
      </c>
    </row>
    <row r="360">
      <c r="A360" s="64">
        <f t="shared" si="3"/>
        <v>359</v>
      </c>
      <c r="B360" s="64"/>
      <c r="C360" s="64"/>
      <c r="D360" s="64"/>
      <c r="E360" s="64"/>
      <c r="F360" s="64"/>
      <c r="G360" s="64"/>
      <c r="H360" s="64"/>
      <c r="I360" s="64"/>
      <c r="J360" s="65"/>
      <c r="K360" s="65"/>
      <c r="L360" s="66"/>
      <c r="M360" s="67"/>
      <c r="N360" s="64"/>
      <c r="O360" s="68" t="str">
        <f t="shared" si="1"/>
        <v/>
      </c>
      <c r="P360" s="68">
        <f t="shared" si="4"/>
        <v>32.34933204</v>
      </c>
    </row>
    <row r="361">
      <c r="A361" s="64">
        <f t="shared" si="3"/>
        <v>360</v>
      </c>
      <c r="B361" s="64"/>
      <c r="C361" s="64"/>
      <c r="D361" s="64"/>
      <c r="E361" s="64"/>
      <c r="F361" s="64"/>
      <c r="G361" s="64"/>
      <c r="H361" s="64"/>
      <c r="I361" s="65"/>
      <c r="J361" s="65"/>
      <c r="K361" s="65"/>
      <c r="L361" s="66"/>
      <c r="M361" s="67"/>
      <c r="N361" s="64"/>
      <c r="O361" s="68" t="str">
        <f t="shared" si="1"/>
        <v/>
      </c>
      <c r="P361" s="68">
        <f t="shared" si="4"/>
        <v>32.34933204</v>
      </c>
    </row>
    <row r="362">
      <c r="A362" s="64">
        <f t="shared" si="3"/>
        <v>361</v>
      </c>
      <c r="B362" s="64"/>
      <c r="C362" s="64"/>
      <c r="D362" s="64"/>
      <c r="E362" s="64"/>
      <c r="F362" s="64"/>
      <c r="G362" s="64"/>
      <c r="H362" s="64"/>
      <c r="I362" s="65"/>
      <c r="J362" s="65"/>
      <c r="K362" s="65"/>
      <c r="L362" s="66"/>
      <c r="M362" s="67"/>
      <c r="N362" s="64"/>
      <c r="O362" s="68" t="str">
        <f t="shared" si="1"/>
        <v/>
      </c>
      <c r="P362" s="68">
        <f t="shared" si="4"/>
        <v>32.34933204</v>
      </c>
    </row>
    <row r="363">
      <c r="A363" s="64">
        <f t="shared" si="3"/>
        <v>362</v>
      </c>
      <c r="B363" s="64"/>
      <c r="C363" s="64"/>
      <c r="D363" s="64"/>
      <c r="E363" s="64"/>
      <c r="F363" s="64"/>
      <c r="G363" s="64"/>
      <c r="H363" s="64"/>
      <c r="I363" s="65"/>
      <c r="J363" s="65"/>
      <c r="K363" s="65"/>
      <c r="L363" s="66"/>
      <c r="M363" s="67"/>
      <c r="N363" s="64"/>
      <c r="O363" s="68" t="str">
        <f t="shared" si="1"/>
        <v/>
      </c>
      <c r="P363" s="68">
        <f t="shared" si="4"/>
        <v>32.34933204</v>
      </c>
    </row>
    <row r="364">
      <c r="A364" s="64">
        <f t="shared" si="3"/>
        <v>363</v>
      </c>
      <c r="B364" s="64"/>
      <c r="C364" s="64"/>
      <c r="D364" s="64"/>
      <c r="E364" s="64"/>
      <c r="F364" s="64"/>
      <c r="G364" s="64"/>
      <c r="H364" s="64"/>
      <c r="I364" s="65"/>
      <c r="J364" s="65"/>
      <c r="K364" s="65"/>
      <c r="L364" s="66"/>
      <c r="M364" s="67"/>
      <c r="N364" s="64"/>
      <c r="O364" s="68" t="str">
        <f t="shared" si="1"/>
        <v/>
      </c>
      <c r="P364" s="68">
        <f t="shared" si="4"/>
        <v>32.34933204</v>
      </c>
    </row>
    <row r="365">
      <c r="A365" s="64">
        <f t="shared" si="3"/>
        <v>364</v>
      </c>
      <c r="B365" s="64"/>
      <c r="C365" s="64"/>
      <c r="D365" s="64"/>
      <c r="E365" s="64"/>
      <c r="F365" s="64"/>
      <c r="G365" s="64"/>
      <c r="H365" s="64"/>
      <c r="I365" s="65"/>
      <c r="J365" s="65"/>
      <c r="K365" s="65"/>
      <c r="L365" s="66"/>
      <c r="M365" s="67"/>
      <c r="N365" s="64"/>
      <c r="O365" s="68" t="str">
        <f t="shared" si="1"/>
        <v/>
      </c>
      <c r="P365" s="68">
        <f t="shared" si="4"/>
        <v>32.34933204</v>
      </c>
    </row>
    <row r="366">
      <c r="A366" s="64">
        <f t="shared" si="3"/>
        <v>365</v>
      </c>
      <c r="B366" s="64"/>
      <c r="C366" s="64"/>
      <c r="D366" s="64"/>
      <c r="E366" s="64"/>
      <c r="F366" s="64"/>
      <c r="G366" s="64"/>
      <c r="H366" s="64"/>
      <c r="I366" s="65"/>
      <c r="J366" s="65"/>
      <c r="K366" s="65"/>
      <c r="L366" s="66"/>
      <c r="M366" s="67"/>
      <c r="N366" s="64"/>
      <c r="O366" s="68" t="str">
        <f t="shared" si="1"/>
        <v/>
      </c>
      <c r="P366" s="68">
        <f t="shared" si="4"/>
        <v>32.34933204</v>
      </c>
    </row>
    <row r="367">
      <c r="A367" s="64">
        <f t="shared" si="3"/>
        <v>366</v>
      </c>
      <c r="B367" s="64"/>
      <c r="C367" s="64"/>
      <c r="D367" s="64"/>
      <c r="E367" s="64"/>
      <c r="F367" s="64"/>
      <c r="G367" s="64"/>
      <c r="H367" s="64"/>
      <c r="I367" s="65"/>
      <c r="J367" s="65"/>
      <c r="K367" s="65"/>
      <c r="L367" s="66"/>
      <c r="M367" s="67"/>
      <c r="N367" s="64"/>
      <c r="O367" s="68" t="str">
        <f t="shared" si="1"/>
        <v/>
      </c>
      <c r="P367" s="68">
        <f t="shared" si="4"/>
        <v>32.34933204</v>
      </c>
    </row>
    <row r="368">
      <c r="A368" s="64">
        <f t="shared" si="3"/>
        <v>367</v>
      </c>
      <c r="B368" s="64"/>
      <c r="C368" s="64"/>
      <c r="D368" s="64"/>
      <c r="E368" s="64"/>
      <c r="F368" s="64"/>
      <c r="G368" s="64"/>
      <c r="H368" s="64"/>
      <c r="I368" s="65"/>
      <c r="J368" s="65"/>
      <c r="K368" s="65"/>
      <c r="L368" s="66"/>
      <c r="M368" s="67"/>
      <c r="N368" s="64"/>
      <c r="O368" s="68" t="str">
        <f t="shared" si="1"/>
        <v/>
      </c>
      <c r="P368" s="68">
        <f t="shared" si="4"/>
        <v>32.34933204</v>
      </c>
    </row>
    <row r="369">
      <c r="A369" s="64">
        <f t="shared" si="3"/>
        <v>368</v>
      </c>
      <c r="B369" s="64"/>
      <c r="C369" s="64"/>
      <c r="D369" s="64"/>
      <c r="E369" s="64"/>
      <c r="F369" s="64"/>
      <c r="G369" s="64"/>
      <c r="H369" s="64"/>
      <c r="I369" s="65"/>
      <c r="J369" s="65"/>
      <c r="K369" s="65"/>
      <c r="L369" s="66"/>
      <c r="M369" s="67"/>
      <c r="N369" s="64"/>
      <c r="O369" s="68" t="str">
        <f t="shared" si="1"/>
        <v/>
      </c>
      <c r="P369" s="68">
        <f t="shared" si="4"/>
        <v>32.34933204</v>
      </c>
    </row>
    <row r="370">
      <c r="A370" s="64">
        <f t="shared" si="3"/>
        <v>369</v>
      </c>
      <c r="B370" s="64"/>
      <c r="C370" s="64"/>
      <c r="D370" s="64"/>
      <c r="E370" s="64"/>
      <c r="F370" s="64"/>
      <c r="G370" s="64"/>
      <c r="H370" s="64"/>
      <c r="I370" s="65"/>
      <c r="J370" s="65"/>
      <c r="K370" s="65"/>
      <c r="L370" s="66"/>
      <c r="M370" s="67"/>
      <c r="N370" s="64"/>
      <c r="O370" s="68" t="str">
        <f t="shared" si="1"/>
        <v/>
      </c>
      <c r="P370" s="68">
        <f t="shared" si="4"/>
        <v>32.34933204</v>
      </c>
    </row>
    <row r="371">
      <c r="A371" s="64">
        <f t="shared" si="3"/>
        <v>370</v>
      </c>
      <c r="B371" s="64"/>
      <c r="C371" s="64"/>
      <c r="D371" s="64"/>
      <c r="E371" s="64"/>
      <c r="F371" s="64"/>
      <c r="G371" s="64"/>
      <c r="H371" s="64"/>
      <c r="I371" s="65"/>
      <c r="J371" s="65"/>
      <c r="K371" s="65"/>
      <c r="L371" s="66"/>
      <c r="M371" s="67"/>
      <c r="N371" s="64"/>
      <c r="O371" s="68" t="str">
        <f t="shared" si="1"/>
        <v/>
      </c>
      <c r="P371" s="68">
        <f t="shared" si="4"/>
        <v>32.34933204</v>
      </c>
    </row>
    <row r="372">
      <c r="A372" s="64">
        <f t="shared" si="3"/>
        <v>371</v>
      </c>
      <c r="B372" s="64"/>
      <c r="C372" s="64"/>
      <c r="D372" s="64"/>
      <c r="E372" s="64"/>
      <c r="F372" s="64"/>
      <c r="G372" s="64"/>
      <c r="H372" s="64"/>
      <c r="I372" s="65"/>
      <c r="J372" s="65"/>
      <c r="K372" s="65"/>
      <c r="L372" s="66"/>
      <c r="M372" s="67"/>
      <c r="N372" s="64"/>
      <c r="O372" s="68" t="str">
        <f t="shared" si="1"/>
        <v/>
      </c>
      <c r="P372" s="68">
        <f t="shared" si="4"/>
        <v>32.34933204</v>
      </c>
    </row>
    <row r="373">
      <c r="A373" s="64">
        <f t="shared" si="3"/>
        <v>372</v>
      </c>
      <c r="B373" s="64"/>
      <c r="C373" s="64"/>
      <c r="D373" s="64"/>
      <c r="E373" s="64"/>
      <c r="F373" s="64"/>
      <c r="G373" s="64"/>
      <c r="H373" s="64"/>
      <c r="I373" s="65"/>
      <c r="J373" s="65"/>
      <c r="K373" s="65"/>
      <c r="L373" s="66"/>
      <c r="M373" s="67"/>
      <c r="N373" s="64"/>
      <c r="O373" s="68" t="str">
        <f t="shared" si="1"/>
        <v/>
      </c>
      <c r="P373" s="68">
        <f t="shared" si="4"/>
        <v>32.34933204</v>
      </c>
    </row>
    <row r="374">
      <c r="A374" s="64">
        <f t="shared" si="3"/>
        <v>373</v>
      </c>
      <c r="B374" s="64"/>
      <c r="C374" s="64"/>
      <c r="D374" s="64"/>
      <c r="E374" s="64"/>
      <c r="F374" s="64"/>
      <c r="G374" s="64"/>
      <c r="H374" s="64"/>
      <c r="I374" s="65"/>
      <c r="J374" s="65"/>
      <c r="K374" s="65"/>
      <c r="L374" s="66"/>
      <c r="M374" s="67"/>
      <c r="N374" s="64"/>
      <c r="O374" s="68" t="str">
        <f t="shared" si="1"/>
        <v/>
      </c>
      <c r="P374" s="68">
        <f t="shared" si="4"/>
        <v>32.34933204</v>
      </c>
    </row>
    <row r="375">
      <c r="A375" s="64">
        <f t="shared" si="3"/>
        <v>374</v>
      </c>
      <c r="B375" s="64"/>
      <c r="C375" s="64"/>
      <c r="D375" s="64"/>
      <c r="E375" s="64"/>
      <c r="F375" s="64"/>
      <c r="G375" s="64"/>
      <c r="H375" s="64"/>
      <c r="I375" s="65"/>
      <c r="J375" s="65"/>
      <c r="K375" s="65"/>
      <c r="L375" s="66"/>
      <c r="M375" s="67"/>
      <c r="N375" s="64"/>
      <c r="O375" s="68" t="str">
        <f t="shared" si="1"/>
        <v/>
      </c>
      <c r="P375" s="68">
        <f t="shared" si="4"/>
        <v>32.34933204</v>
      </c>
    </row>
    <row r="376">
      <c r="A376" s="64">
        <f t="shared" si="3"/>
        <v>375</v>
      </c>
      <c r="B376" s="64"/>
      <c r="C376" s="64"/>
      <c r="D376" s="64"/>
      <c r="E376" s="64"/>
      <c r="F376" s="64"/>
      <c r="G376" s="64"/>
      <c r="H376" s="64"/>
      <c r="I376" s="65"/>
      <c r="J376" s="65"/>
      <c r="K376" s="65"/>
      <c r="L376" s="66"/>
      <c r="M376" s="67"/>
      <c r="N376" s="64"/>
      <c r="O376" s="68" t="str">
        <f t="shared" si="1"/>
        <v/>
      </c>
      <c r="P376" s="68">
        <f t="shared" si="4"/>
        <v>32.34933204</v>
      </c>
    </row>
    <row r="377">
      <c r="A377" s="64">
        <f t="shared" si="3"/>
        <v>376</v>
      </c>
      <c r="B377" s="64"/>
      <c r="C377" s="64"/>
      <c r="D377" s="64"/>
      <c r="E377" s="64"/>
      <c r="F377" s="64"/>
      <c r="G377" s="64"/>
      <c r="H377" s="64"/>
      <c r="I377" s="65"/>
      <c r="J377" s="65"/>
      <c r="K377" s="65"/>
      <c r="L377" s="66"/>
      <c r="M377" s="67"/>
      <c r="N377" s="64"/>
      <c r="O377" s="68" t="str">
        <f t="shared" si="1"/>
        <v/>
      </c>
      <c r="P377" s="68">
        <f t="shared" si="4"/>
        <v>32.34933204</v>
      </c>
    </row>
    <row r="378">
      <c r="A378" s="64">
        <f t="shared" si="3"/>
        <v>377</v>
      </c>
      <c r="B378" s="64"/>
      <c r="C378" s="64"/>
      <c r="D378" s="64"/>
      <c r="E378" s="64"/>
      <c r="F378" s="64"/>
      <c r="G378" s="64"/>
      <c r="H378" s="64"/>
      <c r="I378" s="65"/>
      <c r="J378" s="65"/>
      <c r="K378" s="65"/>
      <c r="L378" s="66"/>
      <c r="M378" s="67"/>
      <c r="N378" s="64"/>
      <c r="O378" s="68" t="str">
        <f t="shared" si="1"/>
        <v/>
      </c>
      <c r="P378" s="68">
        <f t="shared" si="4"/>
        <v>32.34933204</v>
      </c>
    </row>
    <row r="379">
      <c r="A379" s="64">
        <f t="shared" si="3"/>
        <v>378</v>
      </c>
      <c r="B379" s="64"/>
      <c r="C379" s="64"/>
      <c r="D379" s="64"/>
      <c r="E379" s="64"/>
      <c r="F379" s="64"/>
      <c r="G379" s="64"/>
      <c r="H379" s="64"/>
      <c r="I379" s="65"/>
      <c r="J379" s="65"/>
      <c r="K379" s="65"/>
      <c r="L379" s="66"/>
      <c r="M379" s="67"/>
      <c r="N379" s="64"/>
      <c r="O379" s="68" t="str">
        <f t="shared" si="1"/>
        <v/>
      </c>
      <c r="P379" s="68">
        <f t="shared" si="4"/>
        <v>32.34933204</v>
      </c>
    </row>
    <row r="380">
      <c r="A380" s="64">
        <f t="shared" si="3"/>
        <v>379</v>
      </c>
      <c r="B380" s="64"/>
      <c r="C380" s="64"/>
      <c r="D380" s="64"/>
      <c r="E380" s="64"/>
      <c r="F380" s="64"/>
      <c r="G380" s="64"/>
      <c r="H380" s="64"/>
      <c r="I380" s="65"/>
      <c r="J380" s="64"/>
      <c r="K380" s="64"/>
      <c r="L380" s="66"/>
      <c r="M380" s="67"/>
      <c r="N380" s="64"/>
      <c r="O380" s="68" t="str">
        <f t="shared" si="1"/>
        <v/>
      </c>
      <c r="P380" s="68">
        <f t="shared" si="4"/>
        <v>32.34933204</v>
      </c>
    </row>
    <row r="381">
      <c r="A381" s="64">
        <f t="shared" si="3"/>
        <v>380</v>
      </c>
      <c r="B381" s="64"/>
      <c r="C381" s="64"/>
      <c r="D381" s="64"/>
      <c r="E381" s="64"/>
      <c r="F381" s="64"/>
      <c r="G381" s="64"/>
      <c r="H381" s="64"/>
      <c r="I381" s="65"/>
      <c r="J381" s="64"/>
      <c r="K381" s="64"/>
      <c r="L381" s="66"/>
      <c r="M381" s="67"/>
      <c r="N381" s="64"/>
      <c r="O381" s="68" t="str">
        <f t="shared" si="1"/>
        <v/>
      </c>
      <c r="P381" s="68">
        <f t="shared" si="4"/>
        <v>32.34933204</v>
      </c>
    </row>
    <row r="382">
      <c r="A382" s="64">
        <f t="shared" si="3"/>
        <v>381</v>
      </c>
      <c r="B382" s="64"/>
      <c r="C382" s="64"/>
      <c r="D382" s="64"/>
      <c r="E382" s="64"/>
      <c r="F382" s="64"/>
      <c r="G382" s="64"/>
      <c r="H382" s="64"/>
      <c r="I382" s="65"/>
      <c r="J382" s="65"/>
      <c r="K382" s="65"/>
      <c r="L382" s="66"/>
      <c r="M382" s="67"/>
      <c r="N382" s="64"/>
      <c r="O382" s="68" t="str">
        <f t="shared" si="1"/>
        <v/>
      </c>
      <c r="P382" s="68">
        <f t="shared" si="4"/>
        <v>32.34933204</v>
      </c>
    </row>
    <row r="383">
      <c r="A383" s="64">
        <f t="shared" si="3"/>
        <v>382</v>
      </c>
      <c r="B383" s="64"/>
      <c r="C383" s="64"/>
      <c r="D383" s="64"/>
      <c r="E383" s="64"/>
      <c r="F383" s="64"/>
      <c r="G383" s="64"/>
      <c r="H383" s="64"/>
      <c r="I383" s="65"/>
      <c r="J383" s="65"/>
      <c r="K383" s="65"/>
      <c r="L383" s="66"/>
      <c r="M383" s="67"/>
      <c r="N383" s="64"/>
      <c r="O383" s="68" t="str">
        <f t="shared" si="1"/>
        <v/>
      </c>
      <c r="P383" s="68">
        <f t="shared" si="4"/>
        <v>32.34933204</v>
      </c>
    </row>
    <row r="384">
      <c r="A384" s="64">
        <f t="shared" si="3"/>
        <v>383</v>
      </c>
      <c r="B384" s="64"/>
      <c r="C384" s="64"/>
      <c r="D384" s="64"/>
      <c r="E384" s="64"/>
      <c r="F384" s="64"/>
      <c r="G384" s="64"/>
      <c r="H384" s="64"/>
      <c r="I384" s="65"/>
      <c r="J384" s="65"/>
      <c r="K384" s="65"/>
      <c r="L384" s="66"/>
      <c r="M384" s="67"/>
      <c r="N384" s="64"/>
      <c r="O384" s="68" t="str">
        <f t="shared" si="1"/>
        <v/>
      </c>
      <c r="P384" s="68">
        <f t="shared" si="4"/>
        <v>32.34933204</v>
      </c>
    </row>
    <row r="385">
      <c r="A385" s="64">
        <f t="shared" si="3"/>
        <v>384</v>
      </c>
      <c r="B385" s="64"/>
      <c r="C385" s="64"/>
      <c r="D385" s="64"/>
      <c r="E385" s="64"/>
      <c r="F385" s="64"/>
      <c r="G385" s="64"/>
      <c r="H385" s="64"/>
      <c r="I385" s="65"/>
      <c r="J385" s="65"/>
      <c r="K385" s="65"/>
      <c r="L385" s="66"/>
      <c r="M385" s="67"/>
      <c r="N385" s="64"/>
      <c r="O385" s="68" t="str">
        <f t="shared" si="1"/>
        <v/>
      </c>
      <c r="P385" s="68">
        <f t="shared" si="4"/>
        <v>32.34933204</v>
      </c>
    </row>
    <row r="386">
      <c r="A386" s="64">
        <f t="shared" si="3"/>
        <v>385</v>
      </c>
      <c r="B386" s="64"/>
      <c r="C386" s="64"/>
      <c r="D386" s="64"/>
      <c r="E386" s="64"/>
      <c r="F386" s="64"/>
      <c r="G386" s="64"/>
      <c r="H386" s="64"/>
      <c r="I386" s="65"/>
      <c r="J386" s="65"/>
      <c r="K386" s="65"/>
      <c r="L386" s="66"/>
      <c r="M386" s="67"/>
      <c r="N386" s="64"/>
      <c r="O386" s="68" t="str">
        <f t="shared" si="1"/>
        <v/>
      </c>
      <c r="P386" s="68">
        <f t="shared" si="4"/>
        <v>32.34933204</v>
      </c>
    </row>
    <row r="387">
      <c r="A387" s="64">
        <f t="shared" si="3"/>
        <v>386</v>
      </c>
      <c r="B387" s="64"/>
      <c r="C387" s="64"/>
      <c r="D387" s="64"/>
      <c r="E387" s="64"/>
      <c r="F387" s="64"/>
      <c r="G387" s="64"/>
      <c r="H387" s="64"/>
      <c r="I387" s="65"/>
      <c r="J387" s="65"/>
      <c r="K387" s="65"/>
      <c r="L387" s="66"/>
      <c r="M387" s="67"/>
      <c r="N387" s="64"/>
      <c r="O387" s="68" t="str">
        <f t="shared" si="1"/>
        <v/>
      </c>
      <c r="P387" s="68">
        <f t="shared" si="4"/>
        <v>32.34933204</v>
      </c>
    </row>
    <row r="388">
      <c r="A388" s="64">
        <f t="shared" si="3"/>
        <v>387</v>
      </c>
      <c r="B388" s="64"/>
      <c r="C388" s="64"/>
      <c r="D388" s="64"/>
      <c r="E388" s="64"/>
      <c r="F388" s="64"/>
      <c r="G388" s="64"/>
      <c r="H388" s="64"/>
      <c r="I388" s="65"/>
      <c r="J388" s="65"/>
      <c r="K388" s="65"/>
      <c r="L388" s="66"/>
      <c r="M388" s="67"/>
      <c r="N388" s="64"/>
      <c r="O388" s="68" t="str">
        <f t="shared" si="1"/>
        <v/>
      </c>
      <c r="P388" s="68">
        <f t="shared" si="4"/>
        <v>32.34933204</v>
      </c>
    </row>
    <row r="389">
      <c r="A389" s="64">
        <f t="shared" si="3"/>
        <v>388</v>
      </c>
      <c r="B389" s="64"/>
      <c r="C389" s="64"/>
      <c r="D389" s="64"/>
      <c r="E389" s="64"/>
      <c r="F389" s="64"/>
      <c r="G389" s="64"/>
      <c r="H389" s="64"/>
      <c r="I389" s="65"/>
      <c r="J389" s="65"/>
      <c r="K389" s="65"/>
      <c r="L389" s="66"/>
      <c r="M389" s="67"/>
      <c r="N389" s="64"/>
      <c r="O389" s="68" t="str">
        <f t="shared" si="1"/>
        <v/>
      </c>
      <c r="P389" s="68">
        <f t="shared" si="4"/>
        <v>32.34933204</v>
      </c>
    </row>
    <row r="390">
      <c r="A390" s="64">
        <f t="shared" si="3"/>
        <v>389</v>
      </c>
      <c r="B390" s="64"/>
      <c r="C390" s="64"/>
      <c r="D390" s="64"/>
      <c r="E390" s="64"/>
      <c r="F390" s="64"/>
      <c r="G390" s="64"/>
      <c r="H390" s="64"/>
      <c r="I390" s="65"/>
      <c r="J390" s="65"/>
      <c r="K390" s="65"/>
      <c r="L390" s="88"/>
      <c r="M390" s="67"/>
      <c r="N390" s="64"/>
      <c r="O390" s="68" t="str">
        <f t="shared" si="1"/>
        <v/>
      </c>
      <c r="P390" s="68">
        <f t="shared" si="4"/>
        <v>32.34933204</v>
      </c>
    </row>
    <row r="391">
      <c r="A391" s="64">
        <f t="shared" si="3"/>
        <v>390</v>
      </c>
      <c r="B391" s="64"/>
      <c r="C391" s="64"/>
      <c r="D391" s="64"/>
      <c r="E391" s="64"/>
      <c r="F391" s="64"/>
      <c r="G391" s="64"/>
      <c r="H391" s="64"/>
      <c r="I391" s="65"/>
      <c r="J391" s="65"/>
      <c r="K391" s="65"/>
      <c r="L391" s="66"/>
      <c r="M391" s="67"/>
      <c r="N391" s="64"/>
      <c r="O391" s="68" t="str">
        <f t="shared" si="1"/>
        <v/>
      </c>
      <c r="P391" s="68">
        <f t="shared" si="4"/>
        <v>32.34933204</v>
      </c>
    </row>
    <row r="392">
      <c r="A392" s="64">
        <f t="shared" si="3"/>
        <v>391</v>
      </c>
      <c r="B392" s="64"/>
      <c r="C392" s="64"/>
      <c r="D392" s="64"/>
      <c r="E392" s="64"/>
      <c r="F392" s="64"/>
      <c r="G392" s="64"/>
      <c r="H392" s="64"/>
      <c r="I392" s="65"/>
      <c r="J392" s="65"/>
      <c r="K392" s="65"/>
      <c r="L392" s="66"/>
      <c r="M392" s="67"/>
      <c r="N392" s="64"/>
      <c r="O392" s="68" t="str">
        <f t="shared" si="1"/>
        <v/>
      </c>
      <c r="P392" s="68">
        <f t="shared" si="4"/>
        <v>32.34933204</v>
      </c>
    </row>
    <row r="393">
      <c r="A393" s="64">
        <f t="shared" si="3"/>
        <v>392</v>
      </c>
      <c r="B393" s="64"/>
      <c r="C393" s="64"/>
      <c r="D393" s="64"/>
      <c r="E393" s="64"/>
      <c r="F393" s="64"/>
      <c r="G393" s="64"/>
      <c r="H393" s="64"/>
      <c r="I393" s="65"/>
      <c r="J393" s="65"/>
      <c r="K393" s="65"/>
      <c r="L393" s="66"/>
      <c r="M393" s="67"/>
      <c r="N393" s="64"/>
      <c r="O393" s="68" t="str">
        <f t="shared" si="1"/>
        <v/>
      </c>
      <c r="P393" s="68">
        <f t="shared" si="4"/>
        <v>32.34933204</v>
      </c>
    </row>
    <row r="394">
      <c r="A394" s="64">
        <f t="shared" si="3"/>
        <v>393</v>
      </c>
      <c r="B394" s="64"/>
      <c r="C394" s="64"/>
      <c r="D394" s="64"/>
      <c r="E394" s="64"/>
      <c r="F394" s="64"/>
      <c r="G394" s="64"/>
      <c r="H394" s="64"/>
      <c r="I394" s="65"/>
      <c r="J394" s="65"/>
      <c r="K394" s="65"/>
      <c r="L394" s="66"/>
      <c r="M394" s="67"/>
      <c r="N394" s="64"/>
      <c r="O394" s="68" t="str">
        <f t="shared" si="1"/>
        <v/>
      </c>
      <c r="P394" s="68">
        <f t="shared" si="4"/>
        <v>32.34933204</v>
      </c>
    </row>
    <row r="395">
      <c r="A395" s="64">
        <f t="shared" si="3"/>
        <v>394</v>
      </c>
      <c r="B395" s="64"/>
      <c r="C395" s="64"/>
      <c r="D395" s="64"/>
      <c r="E395" s="64"/>
      <c r="F395" s="64"/>
      <c r="G395" s="64"/>
      <c r="H395" s="64"/>
      <c r="I395" s="65"/>
      <c r="J395" s="65"/>
      <c r="K395" s="65"/>
      <c r="L395" s="66"/>
      <c r="M395" s="67"/>
      <c r="N395" s="64"/>
      <c r="O395" s="68" t="str">
        <f t="shared" si="1"/>
        <v/>
      </c>
      <c r="P395" s="68">
        <f t="shared" si="4"/>
        <v>32.34933204</v>
      </c>
    </row>
    <row r="396">
      <c r="A396" s="64">
        <f t="shared" si="3"/>
        <v>395</v>
      </c>
      <c r="B396" s="64"/>
      <c r="C396" s="64"/>
      <c r="D396" s="64"/>
      <c r="E396" s="64"/>
      <c r="F396" s="64"/>
      <c r="G396" s="64"/>
      <c r="H396" s="64"/>
      <c r="I396" s="65"/>
      <c r="J396" s="65"/>
      <c r="K396" s="65"/>
      <c r="L396" s="66"/>
      <c r="M396" s="67"/>
      <c r="N396" s="64"/>
      <c r="O396" s="68" t="str">
        <f t="shared" si="1"/>
        <v/>
      </c>
      <c r="P396" s="68">
        <f t="shared" si="4"/>
        <v>32.34933204</v>
      </c>
    </row>
    <row r="397">
      <c r="A397" s="64">
        <f t="shared" si="3"/>
        <v>396</v>
      </c>
      <c r="B397" s="64"/>
      <c r="C397" s="64"/>
      <c r="D397" s="64"/>
      <c r="E397" s="64"/>
      <c r="F397" s="64"/>
      <c r="G397" s="64"/>
      <c r="H397" s="64"/>
      <c r="I397" s="65"/>
      <c r="J397" s="65"/>
      <c r="K397" s="65"/>
      <c r="L397" s="66"/>
      <c r="M397" s="67"/>
      <c r="N397" s="64"/>
      <c r="O397" s="68" t="str">
        <f t="shared" si="1"/>
        <v/>
      </c>
      <c r="P397" s="68">
        <f t="shared" si="4"/>
        <v>32.34933204</v>
      </c>
    </row>
    <row r="398">
      <c r="A398" s="64">
        <f t="shared" si="3"/>
        <v>397</v>
      </c>
      <c r="B398" s="64"/>
      <c r="C398" s="64"/>
      <c r="D398" s="64"/>
      <c r="E398" s="64"/>
      <c r="F398" s="64"/>
      <c r="G398" s="64"/>
      <c r="H398" s="64"/>
      <c r="I398" s="65"/>
      <c r="J398" s="65"/>
      <c r="K398" s="65"/>
      <c r="L398" s="66"/>
      <c r="M398" s="67"/>
      <c r="N398" s="64"/>
      <c r="O398" s="68" t="str">
        <f t="shared" si="1"/>
        <v/>
      </c>
      <c r="P398" s="68">
        <f t="shared" si="4"/>
        <v>32.34933204</v>
      </c>
    </row>
    <row r="399">
      <c r="A399" s="64">
        <f t="shared" si="3"/>
        <v>398</v>
      </c>
      <c r="B399" s="64"/>
      <c r="C399" s="64"/>
      <c r="D399" s="64"/>
      <c r="E399" s="64"/>
      <c r="F399" s="64"/>
      <c r="G399" s="64"/>
      <c r="H399" s="64"/>
      <c r="I399" s="65"/>
      <c r="J399" s="65"/>
      <c r="K399" s="65"/>
      <c r="L399" s="66"/>
      <c r="M399" s="67"/>
      <c r="N399" s="64"/>
      <c r="O399" s="68" t="str">
        <f t="shared" si="1"/>
        <v/>
      </c>
      <c r="P399" s="68">
        <f t="shared" si="4"/>
        <v>32.34933204</v>
      </c>
    </row>
    <row r="400">
      <c r="A400" s="64">
        <f t="shared" si="3"/>
        <v>399</v>
      </c>
      <c r="B400" s="64"/>
      <c r="C400" s="64"/>
      <c r="D400" s="64"/>
      <c r="E400" s="64"/>
      <c r="F400" s="64"/>
      <c r="G400" s="64"/>
      <c r="H400" s="64"/>
      <c r="I400" s="65"/>
      <c r="J400" s="65"/>
      <c r="K400" s="65"/>
      <c r="L400" s="66"/>
      <c r="M400" s="67"/>
      <c r="N400" s="64"/>
      <c r="O400" s="68" t="str">
        <f t="shared" si="1"/>
        <v/>
      </c>
      <c r="P400" s="68">
        <f t="shared" si="4"/>
        <v>32.34933204</v>
      </c>
    </row>
    <row r="401">
      <c r="A401" s="64">
        <f t="shared" si="3"/>
        <v>400</v>
      </c>
      <c r="B401" s="64"/>
      <c r="C401" s="64"/>
      <c r="D401" s="64"/>
      <c r="E401" s="64"/>
      <c r="F401" s="64"/>
      <c r="G401" s="64"/>
      <c r="H401" s="64"/>
      <c r="I401" s="65"/>
      <c r="J401" s="65"/>
      <c r="K401" s="65"/>
      <c r="L401" s="66"/>
      <c r="M401" s="67"/>
      <c r="N401" s="64"/>
      <c r="O401" s="68" t="str">
        <f t="shared" si="1"/>
        <v/>
      </c>
      <c r="P401" s="68">
        <f t="shared" si="4"/>
        <v>32.34933204</v>
      </c>
    </row>
    <row r="402">
      <c r="A402" s="64">
        <f t="shared" si="3"/>
        <v>401</v>
      </c>
      <c r="B402" s="64"/>
      <c r="C402" s="64"/>
      <c r="D402" s="64"/>
      <c r="E402" s="64"/>
      <c r="F402" s="64"/>
      <c r="G402" s="64"/>
      <c r="H402" s="64"/>
      <c r="I402" s="65"/>
      <c r="J402" s="65"/>
      <c r="K402" s="65"/>
      <c r="L402" s="66"/>
      <c r="M402" s="67"/>
      <c r="N402" s="64"/>
      <c r="O402" s="68" t="str">
        <f t="shared" si="1"/>
        <v/>
      </c>
      <c r="P402" s="68">
        <f t="shared" si="4"/>
        <v>32.34933204</v>
      </c>
    </row>
    <row r="403">
      <c r="A403" s="64">
        <f t="shared" si="3"/>
        <v>402</v>
      </c>
      <c r="B403" s="64"/>
      <c r="C403" s="64"/>
      <c r="D403" s="64"/>
      <c r="E403" s="64"/>
      <c r="F403" s="64"/>
      <c r="G403" s="64"/>
      <c r="H403" s="64"/>
      <c r="I403" s="65"/>
      <c r="J403" s="65"/>
      <c r="K403" s="65"/>
      <c r="L403" s="66"/>
      <c r="M403" s="67"/>
      <c r="N403" s="64"/>
      <c r="O403" s="68" t="str">
        <f t="shared" si="1"/>
        <v/>
      </c>
      <c r="P403" s="68">
        <f t="shared" si="4"/>
        <v>32.34933204</v>
      </c>
    </row>
    <row r="404">
      <c r="A404" s="64">
        <f t="shared" si="3"/>
        <v>403</v>
      </c>
      <c r="B404" s="64"/>
      <c r="C404" s="64"/>
      <c r="D404" s="64"/>
      <c r="E404" s="64"/>
      <c r="F404" s="64"/>
      <c r="G404" s="64"/>
      <c r="H404" s="64"/>
      <c r="I404" s="65"/>
      <c r="J404" s="65"/>
      <c r="K404" s="65"/>
      <c r="L404" s="66"/>
      <c r="M404" s="67"/>
      <c r="N404" s="64"/>
      <c r="O404" s="68" t="str">
        <f t="shared" si="1"/>
        <v/>
      </c>
      <c r="P404" s="68">
        <f t="shared" si="4"/>
        <v>32.34933204</v>
      </c>
    </row>
    <row r="405">
      <c r="A405" s="64">
        <f t="shared" si="3"/>
        <v>404</v>
      </c>
      <c r="B405" s="64"/>
      <c r="C405" s="64"/>
      <c r="D405" s="64"/>
      <c r="E405" s="64"/>
      <c r="F405" s="64"/>
      <c r="G405" s="64"/>
      <c r="H405" s="64"/>
      <c r="I405" s="65"/>
      <c r="J405" s="65"/>
      <c r="K405" s="65"/>
      <c r="L405" s="66"/>
      <c r="M405" s="67"/>
      <c r="N405" s="64"/>
      <c r="O405" s="68" t="str">
        <f t="shared" si="1"/>
        <v/>
      </c>
      <c r="P405" s="68">
        <f t="shared" si="4"/>
        <v>32.34933204</v>
      </c>
    </row>
    <row r="406">
      <c r="A406" s="64">
        <f t="shared" si="3"/>
        <v>405</v>
      </c>
      <c r="B406" s="64"/>
      <c r="C406" s="64"/>
      <c r="D406" s="64"/>
      <c r="E406" s="64"/>
      <c r="F406" s="64"/>
      <c r="G406" s="64"/>
      <c r="H406" s="64"/>
      <c r="I406" s="65"/>
      <c r="J406" s="65"/>
      <c r="K406" s="65"/>
      <c r="L406" s="66"/>
      <c r="M406" s="67"/>
      <c r="N406" s="64"/>
      <c r="O406" s="68" t="str">
        <f t="shared" si="1"/>
        <v/>
      </c>
      <c r="P406" s="68">
        <f t="shared" si="4"/>
        <v>32.34933204</v>
      </c>
    </row>
    <row r="407">
      <c r="A407" s="64">
        <f t="shared" si="3"/>
        <v>406</v>
      </c>
      <c r="B407" s="64"/>
      <c r="C407" s="64"/>
      <c r="D407" s="64"/>
      <c r="E407" s="64"/>
      <c r="F407" s="64"/>
      <c r="G407" s="64"/>
      <c r="H407" s="64"/>
      <c r="I407" s="65"/>
      <c r="J407" s="65"/>
      <c r="K407" s="65"/>
      <c r="L407" s="66"/>
      <c r="M407" s="67"/>
      <c r="N407" s="64"/>
      <c r="O407" s="68" t="str">
        <f t="shared" si="1"/>
        <v/>
      </c>
      <c r="P407" s="68">
        <f t="shared" si="4"/>
        <v>32.34933204</v>
      </c>
    </row>
    <row r="408">
      <c r="A408" s="64">
        <f t="shared" si="3"/>
        <v>407</v>
      </c>
      <c r="B408" s="64"/>
      <c r="C408" s="64"/>
      <c r="D408" s="64"/>
      <c r="E408" s="64"/>
      <c r="F408" s="64"/>
      <c r="G408" s="64"/>
      <c r="H408" s="64"/>
      <c r="I408" s="65"/>
      <c r="J408" s="65"/>
      <c r="K408" s="65"/>
      <c r="L408" s="66"/>
      <c r="M408" s="67"/>
      <c r="N408" s="64"/>
      <c r="O408" s="68" t="str">
        <f t="shared" si="1"/>
        <v/>
      </c>
      <c r="P408" s="68">
        <f t="shared" si="4"/>
        <v>32.34933204</v>
      </c>
    </row>
    <row r="409">
      <c r="A409" s="64">
        <f t="shared" si="3"/>
        <v>408</v>
      </c>
      <c r="B409" s="64"/>
      <c r="C409" s="64"/>
      <c r="D409" s="64"/>
      <c r="E409" s="64"/>
      <c r="F409" s="64"/>
      <c r="G409" s="64"/>
      <c r="H409" s="64"/>
      <c r="I409" s="65"/>
      <c r="J409" s="65"/>
      <c r="K409" s="65"/>
      <c r="L409" s="66"/>
      <c r="M409" s="67"/>
      <c r="N409" s="64"/>
      <c r="O409" s="68" t="str">
        <f t="shared" si="1"/>
        <v/>
      </c>
      <c r="P409" s="68">
        <f t="shared" si="4"/>
        <v>32.34933204</v>
      </c>
    </row>
    <row r="410">
      <c r="A410" s="64">
        <f t="shared" si="3"/>
        <v>409</v>
      </c>
      <c r="B410" s="64"/>
      <c r="C410" s="64"/>
      <c r="D410" s="64"/>
      <c r="E410" s="64"/>
      <c r="F410" s="64"/>
      <c r="G410" s="64"/>
      <c r="H410" s="64"/>
      <c r="I410" s="65"/>
      <c r="J410" s="65"/>
      <c r="K410" s="65"/>
      <c r="L410" s="66"/>
      <c r="M410" s="67"/>
      <c r="N410" s="64"/>
      <c r="O410" s="68" t="str">
        <f t="shared" si="1"/>
        <v/>
      </c>
      <c r="P410" s="68">
        <f t="shared" si="4"/>
        <v>32.34933204</v>
      </c>
    </row>
    <row r="411">
      <c r="A411" s="64">
        <f t="shared" si="3"/>
        <v>410</v>
      </c>
      <c r="B411" s="64"/>
      <c r="C411" s="64"/>
      <c r="D411" s="64"/>
      <c r="E411" s="64"/>
      <c r="F411" s="64"/>
      <c r="G411" s="64"/>
      <c r="H411" s="64"/>
      <c r="I411" s="65"/>
      <c r="J411" s="65"/>
      <c r="K411" s="65"/>
      <c r="L411" s="88"/>
      <c r="M411" s="67"/>
      <c r="N411" s="64"/>
      <c r="O411" s="68" t="str">
        <f t="shared" si="1"/>
        <v/>
      </c>
      <c r="P411" s="68">
        <f t="shared" si="4"/>
        <v>32.34933204</v>
      </c>
    </row>
    <row r="412">
      <c r="A412" s="64">
        <f t="shared" si="3"/>
        <v>411</v>
      </c>
      <c r="B412" s="64"/>
      <c r="C412" s="64"/>
      <c r="D412" s="64"/>
      <c r="E412" s="64"/>
      <c r="F412" s="64"/>
      <c r="G412" s="64"/>
      <c r="H412" s="64"/>
      <c r="I412" s="65"/>
      <c r="J412" s="65"/>
      <c r="K412" s="65"/>
      <c r="L412" s="66"/>
      <c r="M412" s="67"/>
      <c r="N412" s="64"/>
      <c r="O412" s="68" t="str">
        <f t="shared" si="1"/>
        <v/>
      </c>
      <c r="P412" s="68">
        <f t="shared" si="4"/>
        <v>32.34933204</v>
      </c>
    </row>
    <row r="413">
      <c r="A413" s="64">
        <f t="shared" si="3"/>
        <v>412</v>
      </c>
      <c r="B413" s="64"/>
      <c r="C413" s="64"/>
      <c r="D413" s="64"/>
      <c r="E413" s="64"/>
      <c r="F413" s="64"/>
      <c r="G413" s="64"/>
      <c r="H413" s="64"/>
      <c r="I413" s="65"/>
      <c r="J413" s="65"/>
      <c r="K413" s="65"/>
      <c r="L413" s="66"/>
      <c r="M413" s="67"/>
      <c r="N413" s="64"/>
      <c r="O413" s="68" t="str">
        <f t="shared" si="1"/>
        <v/>
      </c>
      <c r="P413" s="68">
        <f t="shared" si="4"/>
        <v>32.34933204</v>
      </c>
    </row>
    <row r="414">
      <c r="A414" s="64">
        <f t="shared" si="3"/>
        <v>413</v>
      </c>
      <c r="B414" s="64"/>
      <c r="C414" s="64"/>
      <c r="D414" s="64"/>
      <c r="E414" s="64"/>
      <c r="F414" s="64"/>
      <c r="G414" s="64"/>
      <c r="H414" s="64"/>
      <c r="I414" s="65"/>
      <c r="J414" s="65"/>
      <c r="K414" s="65"/>
      <c r="L414" s="66"/>
      <c r="M414" s="67"/>
      <c r="N414" s="64"/>
      <c r="O414" s="68" t="str">
        <f t="shared" si="1"/>
        <v/>
      </c>
      <c r="P414" s="68">
        <f t="shared" si="4"/>
        <v>32.34933204</v>
      </c>
    </row>
    <row r="415">
      <c r="A415" s="64">
        <f t="shared" si="3"/>
        <v>414</v>
      </c>
      <c r="B415" s="64"/>
      <c r="C415" s="64"/>
      <c r="D415" s="64"/>
      <c r="E415" s="64"/>
      <c r="F415" s="64"/>
      <c r="G415" s="64"/>
      <c r="H415" s="64"/>
      <c r="I415" s="65"/>
      <c r="J415" s="65"/>
      <c r="K415" s="65"/>
      <c r="L415" s="66"/>
      <c r="M415" s="67"/>
      <c r="N415" s="64"/>
      <c r="O415" s="68" t="str">
        <f t="shared" si="1"/>
        <v/>
      </c>
      <c r="P415" s="68">
        <f t="shared" si="4"/>
        <v>32.34933204</v>
      </c>
    </row>
    <row r="416">
      <c r="A416" s="64">
        <f t="shared" si="3"/>
        <v>415</v>
      </c>
      <c r="B416" s="64"/>
      <c r="C416" s="64"/>
      <c r="D416" s="64"/>
      <c r="E416" s="64"/>
      <c r="F416" s="64"/>
      <c r="G416" s="64"/>
      <c r="H416" s="64"/>
      <c r="I416" s="65"/>
      <c r="J416" s="65"/>
      <c r="K416" s="65"/>
      <c r="L416" s="66"/>
      <c r="M416" s="67"/>
      <c r="N416" s="64"/>
      <c r="O416" s="68" t="str">
        <f t="shared" si="1"/>
        <v/>
      </c>
      <c r="P416" s="68">
        <f t="shared" si="4"/>
        <v>32.34933204</v>
      </c>
    </row>
    <row r="417">
      <c r="A417" s="64">
        <f t="shared" si="3"/>
        <v>416</v>
      </c>
      <c r="B417" s="64"/>
      <c r="C417" s="64"/>
      <c r="D417" s="64"/>
      <c r="E417" s="64"/>
      <c r="F417" s="64"/>
      <c r="G417" s="64"/>
      <c r="H417" s="64"/>
      <c r="I417" s="65"/>
      <c r="J417" s="65"/>
      <c r="K417" s="65"/>
      <c r="L417" s="66"/>
      <c r="M417" s="67"/>
      <c r="N417" s="64"/>
      <c r="O417" s="68" t="str">
        <f t="shared" si="1"/>
        <v/>
      </c>
      <c r="P417" s="68">
        <f t="shared" si="4"/>
        <v>32.34933204</v>
      </c>
    </row>
    <row r="418">
      <c r="A418" s="64">
        <f t="shared" si="3"/>
        <v>417</v>
      </c>
      <c r="B418" s="64"/>
      <c r="C418" s="64"/>
      <c r="D418" s="64"/>
      <c r="E418" s="64"/>
      <c r="F418" s="64"/>
      <c r="G418" s="64"/>
      <c r="H418" s="64"/>
      <c r="I418" s="65"/>
      <c r="J418" s="65"/>
      <c r="K418" s="65"/>
      <c r="L418" s="66"/>
      <c r="M418" s="67"/>
      <c r="N418" s="64"/>
      <c r="O418" s="68" t="str">
        <f t="shared" si="1"/>
        <v/>
      </c>
      <c r="P418" s="68">
        <f t="shared" si="4"/>
        <v>32.34933204</v>
      </c>
    </row>
    <row r="419">
      <c r="A419" s="64">
        <f t="shared" si="3"/>
        <v>418</v>
      </c>
      <c r="B419" s="64"/>
      <c r="C419" s="64"/>
      <c r="D419" s="64"/>
      <c r="E419" s="64"/>
      <c r="F419" s="64"/>
      <c r="G419" s="64"/>
      <c r="H419" s="64"/>
      <c r="I419" s="65"/>
      <c r="J419" s="65"/>
      <c r="K419" s="65"/>
      <c r="L419" s="66"/>
      <c r="M419" s="67"/>
      <c r="N419" s="64"/>
      <c r="O419" s="68" t="str">
        <f t="shared" si="1"/>
        <v/>
      </c>
      <c r="P419" s="68">
        <f t="shared" si="4"/>
        <v>32.34933204</v>
      </c>
    </row>
    <row r="420">
      <c r="A420" s="64">
        <f t="shared" si="3"/>
        <v>419</v>
      </c>
      <c r="B420" s="64"/>
      <c r="C420" s="64"/>
      <c r="D420" s="64"/>
      <c r="E420" s="64"/>
      <c r="F420" s="64"/>
      <c r="G420" s="64"/>
      <c r="H420" s="64"/>
      <c r="I420" s="65"/>
      <c r="J420" s="65"/>
      <c r="K420" s="65"/>
      <c r="L420" s="66"/>
      <c r="M420" s="67"/>
      <c r="N420" s="64"/>
      <c r="O420" s="68" t="str">
        <f t="shared" si="1"/>
        <v/>
      </c>
      <c r="P420" s="68">
        <f t="shared" si="4"/>
        <v>32.34933204</v>
      </c>
    </row>
    <row r="421">
      <c r="A421" s="64">
        <f t="shared" si="3"/>
        <v>420</v>
      </c>
      <c r="B421" s="64"/>
      <c r="C421" s="64"/>
      <c r="D421" s="64"/>
      <c r="E421" s="64"/>
      <c r="F421" s="64"/>
      <c r="G421" s="64"/>
      <c r="H421" s="64"/>
      <c r="I421" s="65"/>
      <c r="J421" s="65"/>
      <c r="K421" s="65"/>
      <c r="L421" s="66"/>
      <c r="M421" s="67"/>
      <c r="N421" s="64"/>
      <c r="O421" s="68" t="str">
        <f t="shared" si="1"/>
        <v/>
      </c>
      <c r="P421" s="68">
        <f t="shared" si="4"/>
        <v>32.34933204</v>
      </c>
    </row>
    <row r="422">
      <c r="A422" s="64">
        <f t="shared" si="3"/>
        <v>421</v>
      </c>
      <c r="B422" s="64"/>
      <c r="C422" s="64"/>
      <c r="D422" s="64"/>
      <c r="E422" s="64"/>
      <c r="F422" s="64"/>
      <c r="G422" s="64"/>
      <c r="H422" s="64"/>
      <c r="I422" s="65"/>
      <c r="J422" s="65"/>
      <c r="K422" s="65"/>
      <c r="L422" s="66"/>
      <c r="M422" s="67"/>
      <c r="N422" s="64"/>
      <c r="O422" s="68" t="str">
        <f t="shared" si="1"/>
        <v/>
      </c>
      <c r="P422" s="68">
        <f t="shared" si="4"/>
        <v>32.34933204</v>
      </c>
    </row>
    <row r="423">
      <c r="A423" s="64">
        <f t="shared" si="3"/>
        <v>422</v>
      </c>
      <c r="B423" s="64"/>
      <c r="C423" s="64"/>
      <c r="D423" s="64"/>
      <c r="E423" s="64"/>
      <c r="F423" s="64"/>
      <c r="G423" s="64"/>
      <c r="H423" s="64"/>
      <c r="I423" s="65"/>
      <c r="J423" s="65"/>
      <c r="K423" s="65"/>
      <c r="L423" s="66"/>
      <c r="M423" s="67"/>
      <c r="N423" s="64"/>
      <c r="O423" s="68" t="str">
        <f t="shared" si="1"/>
        <v/>
      </c>
      <c r="P423" s="68">
        <f t="shared" si="4"/>
        <v>32.34933204</v>
      </c>
    </row>
    <row r="424">
      <c r="A424" s="64">
        <f t="shared" si="3"/>
        <v>423</v>
      </c>
      <c r="B424" s="64"/>
      <c r="C424" s="64"/>
      <c r="D424" s="64"/>
      <c r="E424" s="64"/>
      <c r="F424" s="64"/>
      <c r="G424" s="64"/>
      <c r="H424" s="64"/>
      <c r="I424" s="65"/>
      <c r="J424" s="65"/>
      <c r="K424" s="65"/>
      <c r="L424" s="66"/>
      <c r="M424" s="67"/>
      <c r="N424" s="64"/>
      <c r="O424" s="68" t="str">
        <f t="shared" si="1"/>
        <v/>
      </c>
      <c r="P424" s="68">
        <f t="shared" si="4"/>
        <v>32.34933204</v>
      </c>
    </row>
    <row r="425">
      <c r="A425" s="64">
        <f t="shared" si="3"/>
        <v>424</v>
      </c>
      <c r="B425" s="64"/>
      <c r="C425" s="64"/>
      <c r="D425" s="64"/>
      <c r="E425" s="64"/>
      <c r="F425" s="64"/>
      <c r="G425" s="64"/>
      <c r="H425" s="64"/>
      <c r="I425" s="65"/>
      <c r="J425" s="65"/>
      <c r="K425" s="65"/>
      <c r="L425" s="66"/>
      <c r="M425" s="67"/>
      <c r="N425" s="64"/>
      <c r="O425" s="68" t="str">
        <f t="shared" si="1"/>
        <v/>
      </c>
      <c r="P425" s="68">
        <f t="shared" si="4"/>
        <v>32.34933204</v>
      </c>
    </row>
    <row r="426">
      <c r="A426" s="64">
        <f t="shared" si="3"/>
        <v>425</v>
      </c>
      <c r="B426" s="64"/>
      <c r="C426" s="64"/>
      <c r="D426" s="64"/>
      <c r="E426" s="64"/>
      <c r="F426" s="64"/>
      <c r="G426" s="64"/>
      <c r="H426" s="64"/>
      <c r="I426" s="65"/>
      <c r="J426" s="65"/>
      <c r="K426" s="65"/>
      <c r="L426" s="66"/>
      <c r="M426" s="67"/>
      <c r="N426" s="64"/>
      <c r="O426" s="68" t="str">
        <f t="shared" si="1"/>
        <v/>
      </c>
      <c r="P426" s="68">
        <f t="shared" si="4"/>
        <v>32.34933204</v>
      </c>
    </row>
    <row r="427">
      <c r="A427" s="64">
        <f t="shared" si="3"/>
        <v>426</v>
      </c>
      <c r="B427" s="64"/>
      <c r="C427" s="64"/>
      <c r="D427" s="64"/>
      <c r="E427" s="64"/>
      <c r="F427" s="64"/>
      <c r="G427" s="64"/>
      <c r="H427" s="64"/>
      <c r="I427" s="65"/>
      <c r="J427" s="65"/>
      <c r="K427" s="65"/>
      <c r="L427" s="66"/>
      <c r="M427" s="67"/>
      <c r="N427" s="64"/>
      <c r="O427" s="68" t="str">
        <f t="shared" si="1"/>
        <v/>
      </c>
      <c r="P427" s="68">
        <f t="shared" si="4"/>
        <v>32.34933204</v>
      </c>
    </row>
    <row r="428">
      <c r="A428" s="64">
        <f t="shared" si="3"/>
        <v>427</v>
      </c>
      <c r="B428" s="64"/>
      <c r="C428" s="64"/>
      <c r="D428" s="64"/>
      <c r="E428" s="64"/>
      <c r="F428" s="64"/>
      <c r="G428" s="64"/>
      <c r="H428" s="64"/>
      <c r="I428" s="65"/>
      <c r="J428" s="65"/>
      <c r="K428" s="65"/>
      <c r="L428" s="66"/>
      <c r="M428" s="67"/>
      <c r="N428" s="64"/>
      <c r="O428" s="68" t="str">
        <f t="shared" si="1"/>
        <v/>
      </c>
      <c r="P428" s="68">
        <f t="shared" si="4"/>
        <v>32.34933204</v>
      </c>
    </row>
    <row r="429">
      <c r="A429" s="64">
        <f t="shared" si="3"/>
        <v>428</v>
      </c>
      <c r="B429" s="64"/>
      <c r="C429" s="64"/>
      <c r="D429" s="64"/>
      <c r="E429" s="64"/>
      <c r="F429" s="64"/>
      <c r="G429" s="64"/>
      <c r="H429" s="64"/>
      <c r="I429" s="65"/>
      <c r="J429" s="65"/>
      <c r="K429" s="65"/>
      <c r="L429" s="66"/>
      <c r="M429" s="67"/>
      <c r="N429" s="64"/>
      <c r="O429" s="68" t="str">
        <f t="shared" si="1"/>
        <v/>
      </c>
      <c r="P429" s="68">
        <f t="shared" si="4"/>
        <v>32.34933204</v>
      </c>
    </row>
    <row r="430">
      <c r="A430" s="64">
        <f t="shared" si="3"/>
        <v>429</v>
      </c>
      <c r="B430" s="64"/>
      <c r="C430" s="64"/>
      <c r="D430" s="64"/>
      <c r="E430" s="64"/>
      <c r="F430" s="64"/>
      <c r="G430" s="64"/>
      <c r="H430" s="64"/>
      <c r="I430" s="65"/>
      <c r="J430" s="65"/>
      <c r="K430" s="65"/>
      <c r="L430" s="66"/>
      <c r="M430" s="67"/>
      <c r="N430" s="64"/>
      <c r="O430" s="68" t="str">
        <f t="shared" si="1"/>
        <v/>
      </c>
      <c r="P430" s="68">
        <f t="shared" si="4"/>
        <v>32.34933204</v>
      </c>
    </row>
    <row r="431">
      <c r="A431" s="64">
        <f t="shared" si="3"/>
        <v>430</v>
      </c>
      <c r="B431" s="64"/>
      <c r="C431" s="64"/>
      <c r="D431" s="64"/>
      <c r="E431" s="64"/>
      <c r="F431" s="64"/>
      <c r="G431" s="64"/>
      <c r="H431" s="64"/>
      <c r="I431" s="65"/>
      <c r="J431" s="65"/>
      <c r="K431" s="65"/>
      <c r="L431" s="66"/>
      <c r="M431" s="67"/>
      <c r="N431" s="64"/>
      <c r="O431" s="68" t="str">
        <f t="shared" si="1"/>
        <v/>
      </c>
      <c r="P431" s="68">
        <f t="shared" si="4"/>
        <v>32.34933204</v>
      </c>
    </row>
    <row r="432">
      <c r="A432" s="64">
        <f t="shared" si="3"/>
        <v>431</v>
      </c>
      <c r="B432" s="64"/>
      <c r="C432" s="64"/>
      <c r="D432" s="64"/>
      <c r="E432" s="64"/>
      <c r="F432" s="64"/>
      <c r="G432" s="64"/>
      <c r="H432" s="64"/>
      <c r="I432" s="65"/>
      <c r="J432" s="65"/>
      <c r="K432" s="65"/>
      <c r="L432" s="66"/>
      <c r="M432" s="67"/>
      <c r="N432" s="64"/>
      <c r="O432" s="68" t="str">
        <f t="shared" si="1"/>
        <v/>
      </c>
      <c r="P432" s="68">
        <f t="shared" si="4"/>
        <v>32.34933204</v>
      </c>
    </row>
    <row r="433">
      <c r="A433" s="64">
        <f t="shared" si="3"/>
        <v>432</v>
      </c>
      <c r="B433" s="64"/>
      <c r="C433" s="64"/>
      <c r="D433" s="64"/>
      <c r="E433" s="64"/>
      <c r="F433" s="64"/>
      <c r="G433" s="64"/>
      <c r="H433" s="64"/>
      <c r="I433" s="65"/>
      <c r="J433" s="65"/>
      <c r="K433" s="65"/>
      <c r="L433" s="66"/>
      <c r="M433" s="67"/>
      <c r="N433" s="64"/>
      <c r="O433" s="68" t="str">
        <f t="shared" si="1"/>
        <v/>
      </c>
      <c r="P433" s="68">
        <f t="shared" si="4"/>
        <v>32.34933204</v>
      </c>
    </row>
    <row r="434">
      <c r="A434" s="64">
        <f t="shared" si="3"/>
        <v>433</v>
      </c>
      <c r="B434" s="64"/>
      <c r="C434" s="64"/>
      <c r="D434" s="64"/>
      <c r="E434" s="64"/>
      <c r="F434" s="64"/>
      <c r="G434" s="64"/>
      <c r="H434" s="64"/>
      <c r="I434" s="65"/>
      <c r="J434" s="65"/>
      <c r="K434" s="65"/>
      <c r="L434" s="66"/>
      <c r="M434" s="67"/>
      <c r="N434" s="64"/>
      <c r="O434" s="68" t="str">
        <f t="shared" si="1"/>
        <v/>
      </c>
      <c r="P434" s="68">
        <f t="shared" si="4"/>
        <v>32.34933204</v>
      </c>
    </row>
    <row r="435">
      <c r="A435" s="64">
        <f t="shared" si="3"/>
        <v>434</v>
      </c>
      <c r="B435" s="64"/>
      <c r="C435" s="64"/>
      <c r="D435" s="64"/>
      <c r="E435" s="64"/>
      <c r="F435" s="64"/>
      <c r="G435" s="64"/>
      <c r="H435" s="64"/>
      <c r="I435" s="65"/>
      <c r="J435" s="65"/>
      <c r="K435" s="65"/>
      <c r="L435" s="66"/>
      <c r="M435" s="67"/>
      <c r="N435" s="64"/>
      <c r="O435" s="68" t="str">
        <f t="shared" si="1"/>
        <v/>
      </c>
      <c r="P435" s="68">
        <f t="shared" si="4"/>
        <v>32.34933204</v>
      </c>
    </row>
    <row r="436">
      <c r="A436" s="64">
        <f t="shared" si="3"/>
        <v>435</v>
      </c>
      <c r="B436" s="64"/>
      <c r="C436" s="64"/>
      <c r="D436" s="64"/>
      <c r="E436" s="64"/>
      <c r="F436" s="64"/>
      <c r="G436" s="64"/>
      <c r="H436" s="64"/>
      <c r="I436" s="65"/>
      <c r="J436" s="65"/>
      <c r="K436" s="65"/>
      <c r="L436" s="66"/>
      <c r="M436" s="67"/>
      <c r="N436" s="64"/>
      <c r="O436" s="68" t="str">
        <f t="shared" si="1"/>
        <v/>
      </c>
      <c r="P436" s="68">
        <f t="shared" si="4"/>
        <v>32.34933204</v>
      </c>
    </row>
    <row r="437">
      <c r="A437" s="64">
        <f t="shared" si="3"/>
        <v>436</v>
      </c>
      <c r="B437" s="64"/>
      <c r="C437" s="64"/>
      <c r="D437" s="64"/>
      <c r="E437" s="64"/>
      <c r="F437" s="64"/>
      <c r="G437" s="64"/>
      <c r="H437" s="64"/>
      <c r="I437" s="65"/>
      <c r="J437" s="65"/>
      <c r="K437" s="65"/>
      <c r="L437" s="66"/>
      <c r="M437" s="67"/>
      <c r="N437" s="64"/>
      <c r="O437" s="68" t="str">
        <f t="shared" si="1"/>
        <v/>
      </c>
      <c r="P437" s="68">
        <f t="shared" si="4"/>
        <v>32.34933204</v>
      </c>
    </row>
    <row r="438">
      <c r="A438" s="64">
        <f t="shared" si="3"/>
        <v>437</v>
      </c>
      <c r="B438" s="64"/>
      <c r="C438" s="64"/>
      <c r="D438" s="64"/>
      <c r="E438" s="64"/>
      <c r="F438" s="64"/>
      <c r="G438" s="64"/>
      <c r="H438" s="64"/>
      <c r="I438" s="65"/>
      <c r="J438" s="65"/>
      <c r="K438" s="65"/>
      <c r="L438" s="66"/>
      <c r="M438" s="67"/>
      <c r="N438" s="64"/>
      <c r="O438" s="68" t="str">
        <f t="shared" si="1"/>
        <v/>
      </c>
      <c r="P438" s="68">
        <f t="shared" si="4"/>
        <v>32.34933204</v>
      </c>
    </row>
    <row r="439">
      <c r="A439" s="64">
        <f t="shared" si="3"/>
        <v>438</v>
      </c>
      <c r="B439" s="64"/>
      <c r="C439" s="64"/>
      <c r="D439" s="64"/>
      <c r="E439" s="64"/>
      <c r="F439" s="64"/>
      <c r="G439" s="64"/>
      <c r="H439" s="64"/>
      <c r="I439" s="65"/>
      <c r="J439" s="65"/>
      <c r="K439" s="65"/>
      <c r="L439" s="66"/>
      <c r="M439" s="67"/>
      <c r="N439" s="64"/>
      <c r="O439" s="68" t="str">
        <f t="shared" si="1"/>
        <v/>
      </c>
      <c r="P439" s="68">
        <f t="shared" si="4"/>
        <v>32.34933204</v>
      </c>
    </row>
    <row r="440">
      <c r="A440" s="64">
        <f t="shared" si="3"/>
        <v>439</v>
      </c>
      <c r="B440" s="64"/>
      <c r="C440" s="64"/>
      <c r="D440" s="64"/>
      <c r="E440" s="64"/>
      <c r="F440" s="64"/>
      <c r="G440" s="64"/>
      <c r="H440" s="64"/>
      <c r="I440" s="65"/>
      <c r="J440" s="65"/>
      <c r="K440" s="65"/>
      <c r="L440" s="66"/>
      <c r="M440" s="67"/>
      <c r="N440" s="64"/>
      <c r="O440" s="68" t="str">
        <f t="shared" si="1"/>
        <v/>
      </c>
      <c r="P440" s="68">
        <f t="shared" si="4"/>
        <v>32.34933204</v>
      </c>
    </row>
    <row r="441">
      <c r="A441" s="64">
        <f t="shared" si="3"/>
        <v>440</v>
      </c>
      <c r="B441" s="64"/>
      <c r="C441" s="64"/>
      <c r="D441" s="64"/>
      <c r="E441" s="64"/>
      <c r="F441" s="64"/>
      <c r="G441" s="64"/>
      <c r="H441" s="64"/>
      <c r="I441" s="65"/>
      <c r="J441" s="65"/>
      <c r="K441" s="65"/>
      <c r="L441" s="66"/>
      <c r="M441" s="67"/>
      <c r="N441" s="64"/>
      <c r="O441" s="68" t="str">
        <f t="shared" si="1"/>
        <v/>
      </c>
      <c r="P441" s="68">
        <f t="shared" si="4"/>
        <v>32.34933204</v>
      </c>
    </row>
    <row r="442">
      <c r="A442" s="64">
        <f t="shared" si="3"/>
        <v>441</v>
      </c>
      <c r="B442" s="64"/>
      <c r="C442" s="64"/>
      <c r="D442" s="64"/>
      <c r="E442" s="64"/>
      <c r="F442" s="64"/>
      <c r="G442" s="64"/>
      <c r="H442" s="64"/>
      <c r="I442" s="65"/>
      <c r="J442" s="65"/>
      <c r="K442" s="65"/>
      <c r="L442" s="66"/>
      <c r="M442" s="67"/>
      <c r="N442" s="64"/>
      <c r="O442" s="68" t="str">
        <f t="shared" si="1"/>
        <v/>
      </c>
      <c r="P442" s="68">
        <f t="shared" si="4"/>
        <v>32.34933204</v>
      </c>
    </row>
    <row r="443">
      <c r="A443" s="64">
        <f t="shared" si="3"/>
        <v>442</v>
      </c>
      <c r="B443" s="64"/>
      <c r="C443" s="64"/>
      <c r="D443" s="64"/>
      <c r="E443" s="64"/>
      <c r="F443" s="64"/>
      <c r="G443" s="64"/>
      <c r="H443" s="64"/>
      <c r="I443" s="65"/>
      <c r="J443" s="65"/>
      <c r="K443" s="65"/>
      <c r="L443" s="66"/>
      <c r="M443" s="67"/>
      <c r="N443" s="64"/>
      <c r="O443" s="68" t="str">
        <f t="shared" si="1"/>
        <v/>
      </c>
      <c r="P443" s="68">
        <f t="shared" si="4"/>
        <v>32.34933204</v>
      </c>
    </row>
    <row r="444">
      <c r="A444" s="64">
        <f t="shared" si="3"/>
        <v>443</v>
      </c>
      <c r="B444" s="64"/>
      <c r="C444" s="64"/>
      <c r="D444" s="64"/>
      <c r="E444" s="64"/>
      <c r="F444" s="64"/>
      <c r="G444" s="64"/>
      <c r="H444" s="64"/>
      <c r="I444" s="65"/>
      <c r="J444" s="65"/>
      <c r="K444" s="65"/>
      <c r="L444" s="88"/>
      <c r="M444" s="67"/>
      <c r="N444" s="64"/>
      <c r="O444" s="68" t="str">
        <f t="shared" si="1"/>
        <v/>
      </c>
      <c r="P444" s="68">
        <f t="shared" si="4"/>
        <v>32.34933204</v>
      </c>
    </row>
    <row r="445">
      <c r="A445" s="64">
        <f t="shared" si="3"/>
        <v>444</v>
      </c>
      <c r="B445" s="64"/>
      <c r="C445" s="64"/>
      <c r="D445" s="64"/>
      <c r="E445" s="64"/>
      <c r="F445" s="64"/>
      <c r="G445" s="64"/>
      <c r="H445" s="64"/>
      <c r="I445" s="65"/>
      <c r="J445" s="65"/>
      <c r="K445" s="65"/>
      <c r="L445" s="66"/>
      <c r="M445" s="67"/>
      <c r="N445" s="64"/>
      <c r="O445" s="68" t="str">
        <f t="shared" si="1"/>
        <v/>
      </c>
      <c r="P445" s="68">
        <f t="shared" si="4"/>
        <v>32.34933204</v>
      </c>
    </row>
    <row r="446">
      <c r="A446" s="64">
        <f t="shared" si="3"/>
        <v>445</v>
      </c>
      <c r="B446" s="64"/>
      <c r="C446" s="64"/>
      <c r="D446" s="64"/>
      <c r="E446" s="64"/>
      <c r="F446" s="64"/>
      <c r="G446" s="64"/>
      <c r="H446" s="64"/>
      <c r="I446" s="65"/>
      <c r="J446" s="65"/>
      <c r="K446" s="65"/>
      <c r="L446" s="66"/>
      <c r="M446" s="67"/>
      <c r="N446" s="64"/>
      <c r="O446" s="68" t="str">
        <f t="shared" si="1"/>
        <v/>
      </c>
      <c r="P446" s="68">
        <f t="shared" si="4"/>
        <v>32.34933204</v>
      </c>
    </row>
    <row r="447">
      <c r="A447" s="64">
        <f t="shared" si="3"/>
        <v>446</v>
      </c>
      <c r="B447" s="64"/>
      <c r="C447" s="64"/>
      <c r="D447" s="64"/>
      <c r="E447" s="64"/>
      <c r="F447" s="64"/>
      <c r="G447" s="64"/>
      <c r="H447" s="64"/>
      <c r="I447" s="65"/>
      <c r="J447" s="65"/>
      <c r="K447" s="65"/>
      <c r="L447" s="66"/>
      <c r="M447" s="67"/>
      <c r="N447" s="64"/>
      <c r="O447" s="68" t="str">
        <f t="shared" si="1"/>
        <v/>
      </c>
      <c r="P447" s="68">
        <f t="shared" si="4"/>
        <v>32.34933204</v>
      </c>
    </row>
    <row r="448">
      <c r="A448" s="64">
        <f t="shared" si="3"/>
        <v>447</v>
      </c>
      <c r="B448" s="64"/>
      <c r="C448" s="64"/>
      <c r="D448" s="64"/>
      <c r="E448" s="64"/>
      <c r="F448" s="64"/>
      <c r="G448" s="64"/>
      <c r="H448" s="64"/>
      <c r="I448" s="65"/>
      <c r="J448" s="65"/>
      <c r="K448" s="65"/>
      <c r="L448" s="66"/>
      <c r="M448" s="67"/>
      <c r="N448" s="64"/>
      <c r="O448" s="68" t="str">
        <f t="shared" si="1"/>
        <v/>
      </c>
      <c r="P448" s="68">
        <f t="shared" si="4"/>
        <v>32.34933204</v>
      </c>
    </row>
    <row r="449">
      <c r="A449" s="64">
        <f t="shared" si="3"/>
        <v>448</v>
      </c>
      <c r="B449" s="64"/>
      <c r="C449" s="64"/>
      <c r="D449" s="64"/>
      <c r="E449" s="64"/>
      <c r="F449" s="64"/>
      <c r="G449" s="64"/>
      <c r="H449" s="64"/>
      <c r="I449" s="65"/>
      <c r="J449" s="65"/>
      <c r="K449" s="65"/>
      <c r="L449" s="66"/>
      <c r="M449" s="67"/>
      <c r="N449" s="64"/>
      <c r="O449" s="68" t="str">
        <f t="shared" si="1"/>
        <v/>
      </c>
      <c r="P449" s="68">
        <f t="shared" si="4"/>
        <v>32.34933204</v>
      </c>
    </row>
    <row r="450">
      <c r="A450" s="64">
        <f t="shared" si="3"/>
        <v>449</v>
      </c>
      <c r="B450" s="64"/>
      <c r="C450" s="64"/>
      <c r="D450" s="64"/>
      <c r="E450" s="64"/>
      <c r="F450" s="64"/>
      <c r="G450" s="64"/>
      <c r="H450" s="64"/>
      <c r="I450" s="65"/>
      <c r="J450" s="65"/>
      <c r="K450" s="65"/>
      <c r="L450" s="66"/>
      <c r="M450" s="67"/>
      <c r="N450" s="64"/>
      <c r="O450" s="68" t="str">
        <f t="shared" si="1"/>
        <v/>
      </c>
      <c r="P450" s="68">
        <f t="shared" si="4"/>
        <v>32.34933204</v>
      </c>
    </row>
    <row r="451">
      <c r="A451" s="64">
        <f t="shared" si="3"/>
        <v>450</v>
      </c>
      <c r="B451" s="64"/>
      <c r="C451" s="64"/>
      <c r="D451" s="64"/>
      <c r="E451" s="64"/>
      <c r="F451" s="64"/>
      <c r="G451" s="64"/>
      <c r="H451" s="64"/>
      <c r="I451" s="65"/>
      <c r="J451" s="65"/>
      <c r="K451" s="65"/>
      <c r="L451" s="66"/>
      <c r="M451" s="67"/>
      <c r="N451" s="64"/>
      <c r="O451" s="68" t="str">
        <f t="shared" si="1"/>
        <v/>
      </c>
      <c r="P451" s="68">
        <f t="shared" si="4"/>
        <v>32.34933204</v>
      </c>
    </row>
    <row r="452">
      <c r="A452" s="64">
        <f t="shared" si="3"/>
        <v>451</v>
      </c>
      <c r="B452" s="64"/>
      <c r="C452" s="64"/>
      <c r="D452" s="64"/>
      <c r="E452" s="64"/>
      <c r="F452" s="64"/>
      <c r="G452" s="64"/>
      <c r="H452" s="64"/>
      <c r="I452" s="65"/>
      <c r="J452" s="65"/>
      <c r="K452" s="65"/>
      <c r="L452" s="88"/>
      <c r="M452" s="67"/>
      <c r="N452" s="64"/>
      <c r="O452" s="68" t="str">
        <f t="shared" si="1"/>
        <v/>
      </c>
      <c r="P452" s="68">
        <f t="shared" si="4"/>
        <v>32.34933204</v>
      </c>
    </row>
    <row r="453">
      <c r="A453" s="64">
        <f t="shared" si="3"/>
        <v>452</v>
      </c>
      <c r="B453" s="64"/>
      <c r="C453" s="64"/>
      <c r="D453" s="64"/>
      <c r="E453" s="64"/>
      <c r="F453" s="64"/>
      <c r="G453" s="64"/>
      <c r="H453" s="64"/>
      <c r="I453" s="65"/>
      <c r="J453" s="65"/>
      <c r="K453" s="65"/>
      <c r="L453" s="66"/>
      <c r="M453" s="67"/>
      <c r="N453" s="64"/>
      <c r="O453" s="68" t="str">
        <f t="shared" si="1"/>
        <v/>
      </c>
      <c r="P453" s="68">
        <f t="shared" si="4"/>
        <v>32.34933204</v>
      </c>
    </row>
    <row r="454">
      <c r="A454" s="64">
        <f t="shared" si="3"/>
        <v>453</v>
      </c>
      <c r="B454" s="64"/>
      <c r="C454" s="64"/>
      <c r="D454" s="64"/>
      <c r="E454" s="64"/>
      <c r="F454" s="64"/>
      <c r="G454" s="64"/>
      <c r="H454" s="64"/>
      <c r="I454" s="65"/>
      <c r="J454" s="65"/>
      <c r="K454" s="65"/>
      <c r="L454" s="66"/>
      <c r="M454" s="67"/>
      <c r="N454" s="64"/>
      <c r="O454" s="68" t="str">
        <f t="shared" si="1"/>
        <v/>
      </c>
      <c r="P454" s="68">
        <f t="shared" si="4"/>
        <v>32.34933204</v>
      </c>
    </row>
    <row r="455">
      <c r="A455" s="64">
        <f t="shared" si="3"/>
        <v>454</v>
      </c>
      <c r="B455" s="64"/>
      <c r="C455" s="64"/>
      <c r="D455" s="64"/>
      <c r="E455" s="64"/>
      <c r="F455" s="64"/>
      <c r="G455" s="64"/>
      <c r="H455" s="64"/>
      <c r="I455" s="65"/>
      <c r="J455" s="65"/>
      <c r="K455" s="65"/>
      <c r="L455" s="66"/>
      <c r="M455" s="67"/>
      <c r="N455" s="64"/>
      <c r="O455" s="68" t="str">
        <f t="shared" si="1"/>
        <v/>
      </c>
      <c r="P455" s="68">
        <f t="shared" si="4"/>
        <v>32.34933204</v>
      </c>
    </row>
    <row r="456">
      <c r="A456" s="64">
        <f t="shared" si="3"/>
        <v>455</v>
      </c>
      <c r="B456" s="64"/>
      <c r="C456" s="64"/>
      <c r="D456" s="64"/>
      <c r="E456" s="64"/>
      <c r="F456" s="64"/>
      <c r="G456" s="64"/>
      <c r="H456" s="64"/>
      <c r="I456" s="65"/>
      <c r="J456" s="65"/>
      <c r="K456" s="65"/>
      <c r="L456" s="66"/>
      <c r="M456" s="67"/>
      <c r="N456" s="64"/>
      <c r="O456" s="68" t="str">
        <f t="shared" si="1"/>
        <v/>
      </c>
      <c r="P456" s="68">
        <f t="shared" si="4"/>
        <v>32.34933204</v>
      </c>
    </row>
    <row r="457">
      <c r="A457" s="64">
        <f t="shared" si="3"/>
        <v>456</v>
      </c>
      <c r="B457" s="64"/>
      <c r="C457" s="64"/>
      <c r="D457" s="64"/>
      <c r="E457" s="64"/>
      <c r="F457" s="64"/>
      <c r="G457" s="64"/>
      <c r="H457" s="64"/>
      <c r="I457" s="65"/>
      <c r="J457" s="65"/>
      <c r="K457" s="65"/>
      <c r="L457" s="66"/>
      <c r="M457" s="67"/>
      <c r="N457" s="64"/>
      <c r="O457" s="68" t="str">
        <f t="shared" si="1"/>
        <v/>
      </c>
      <c r="P457" s="68">
        <f t="shared" si="4"/>
        <v>32.34933204</v>
      </c>
    </row>
    <row r="458">
      <c r="A458" s="64">
        <f t="shared" si="3"/>
        <v>457</v>
      </c>
      <c r="B458" s="64"/>
      <c r="C458" s="64"/>
      <c r="D458" s="64"/>
      <c r="E458" s="64"/>
      <c r="F458" s="64"/>
      <c r="G458" s="64"/>
      <c r="H458" s="64"/>
      <c r="I458" s="65"/>
      <c r="J458" s="65"/>
      <c r="K458" s="65"/>
      <c r="L458" s="66"/>
      <c r="M458" s="67"/>
      <c r="N458" s="64"/>
      <c r="O458" s="68" t="str">
        <f t="shared" si="1"/>
        <v/>
      </c>
      <c r="P458" s="68">
        <f t="shared" si="4"/>
        <v>32.34933204</v>
      </c>
    </row>
    <row r="459">
      <c r="A459" s="64">
        <f t="shared" si="3"/>
        <v>458</v>
      </c>
      <c r="B459" s="64"/>
      <c r="C459" s="64"/>
      <c r="D459" s="64"/>
      <c r="E459" s="64"/>
      <c r="F459" s="64"/>
      <c r="G459" s="64"/>
      <c r="H459" s="64"/>
      <c r="I459" s="65"/>
      <c r="J459" s="65"/>
      <c r="K459" s="65"/>
      <c r="L459" s="66"/>
      <c r="M459" s="67"/>
      <c r="N459" s="64"/>
      <c r="O459" s="68" t="str">
        <f t="shared" si="1"/>
        <v/>
      </c>
      <c r="P459" s="68">
        <f t="shared" si="4"/>
        <v>32.34933204</v>
      </c>
    </row>
    <row r="460">
      <c r="A460" s="64">
        <f t="shared" si="3"/>
        <v>459</v>
      </c>
      <c r="B460" s="64"/>
      <c r="C460" s="64"/>
      <c r="D460" s="64"/>
      <c r="E460" s="64"/>
      <c r="F460" s="64"/>
      <c r="G460" s="64"/>
      <c r="H460" s="64"/>
      <c r="I460" s="65"/>
      <c r="J460" s="65"/>
      <c r="K460" s="65"/>
      <c r="L460" s="66"/>
      <c r="M460" s="67"/>
      <c r="N460" s="64"/>
      <c r="O460" s="68" t="str">
        <f t="shared" si="1"/>
        <v/>
      </c>
      <c r="P460" s="68">
        <f t="shared" si="4"/>
        <v>32.34933204</v>
      </c>
    </row>
    <row r="461">
      <c r="A461" s="64">
        <f t="shared" si="3"/>
        <v>460</v>
      </c>
      <c r="B461" s="64"/>
      <c r="C461" s="64"/>
      <c r="D461" s="64"/>
      <c r="E461" s="64"/>
      <c r="F461" s="64"/>
      <c r="G461" s="64"/>
      <c r="H461" s="64"/>
      <c r="I461" s="65"/>
      <c r="J461" s="65"/>
      <c r="K461" s="65"/>
      <c r="L461" s="66"/>
      <c r="M461" s="67"/>
      <c r="N461" s="64"/>
      <c r="O461" s="68" t="str">
        <f t="shared" si="1"/>
        <v/>
      </c>
      <c r="P461" s="68">
        <f t="shared" si="4"/>
        <v>32.34933204</v>
      </c>
    </row>
    <row r="462">
      <c r="A462" s="64">
        <f t="shared" si="3"/>
        <v>461</v>
      </c>
      <c r="B462" s="64"/>
      <c r="C462" s="64"/>
      <c r="D462" s="64"/>
      <c r="E462" s="64"/>
      <c r="F462" s="64"/>
      <c r="G462" s="64"/>
      <c r="H462" s="64"/>
      <c r="I462" s="65"/>
      <c r="J462" s="65"/>
      <c r="K462" s="65"/>
      <c r="L462" s="66"/>
      <c r="M462" s="67"/>
      <c r="N462" s="64"/>
      <c r="O462" s="68" t="str">
        <f t="shared" si="1"/>
        <v/>
      </c>
      <c r="P462" s="68">
        <f t="shared" si="4"/>
        <v>32.34933204</v>
      </c>
    </row>
    <row r="463">
      <c r="A463" s="64">
        <f t="shared" si="3"/>
        <v>462</v>
      </c>
      <c r="B463" s="64"/>
      <c r="C463" s="64"/>
      <c r="D463" s="64"/>
      <c r="E463" s="64"/>
      <c r="F463" s="64"/>
      <c r="G463" s="64"/>
      <c r="H463" s="64"/>
      <c r="I463" s="65"/>
      <c r="J463" s="65"/>
      <c r="K463" s="65"/>
      <c r="L463" s="66"/>
      <c r="M463" s="67"/>
      <c r="N463" s="64"/>
      <c r="O463" s="68" t="str">
        <f t="shared" si="1"/>
        <v/>
      </c>
      <c r="P463" s="68">
        <f t="shared" si="4"/>
        <v>32.34933204</v>
      </c>
    </row>
    <row r="464">
      <c r="A464" s="64">
        <f t="shared" si="3"/>
        <v>463</v>
      </c>
      <c r="B464" s="64"/>
      <c r="C464" s="64"/>
      <c r="D464" s="64"/>
      <c r="E464" s="64"/>
      <c r="F464" s="64"/>
      <c r="G464" s="64"/>
      <c r="H464" s="64"/>
      <c r="I464" s="65"/>
      <c r="J464" s="65"/>
      <c r="K464" s="65"/>
      <c r="L464" s="66"/>
      <c r="M464" s="67"/>
      <c r="N464" s="64"/>
      <c r="O464" s="68" t="str">
        <f t="shared" si="1"/>
        <v/>
      </c>
      <c r="P464" s="68">
        <f t="shared" si="4"/>
        <v>32.34933204</v>
      </c>
    </row>
    <row r="465">
      <c r="A465" s="64">
        <f t="shared" si="3"/>
        <v>464</v>
      </c>
      <c r="B465" s="64"/>
      <c r="C465" s="64"/>
      <c r="D465" s="64"/>
      <c r="E465" s="64"/>
      <c r="F465" s="64"/>
      <c r="G465" s="64"/>
      <c r="H465" s="64"/>
      <c r="I465" s="65"/>
      <c r="J465" s="65"/>
      <c r="K465" s="65"/>
      <c r="L465" s="66"/>
      <c r="M465" s="67"/>
      <c r="N465" s="64"/>
      <c r="O465" s="68" t="str">
        <f t="shared" si="1"/>
        <v/>
      </c>
      <c r="P465" s="68">
        <f t="shared" si="4"/>
        <v>32.34933204</v>
      </c>
    </row>
    <row r="466">
      <c r="A466" s="64">
        <f t="shared" si="3"/>
        <v>465</v>
      </c>
      <c r="B466" s="64"/>
      <c r="C466" s="64"/>
      <c r="D466" s="64"/>
      <c r="E466" s="64"/>
      <c r="F466" s="64"/>
      <c r="G466" s="64"/>
      <c r="H466" s="64"/>
      <c r="I466" s="65"/>
      <c r="J466" s="65"/>
      <c r="K466" s="65"/>
      <c r="L466" s="66"/>
      <c r="M466" s="67"/>
      <c r="N466" s="64"/>
      <c r="O466" s="68" t="str">
        <f t="shared" si="1"/>
        <v/>
      </c>
      <c r="P466" s="68">
        <f t="shared" si="4"/>
        <v>32.34933204</v>
      </c>
    </row>
    <row r="467">
      <c r="A467" s="64">
        <f t="shared" si="3"/>
        <v>466</v>
      </c>
      <c r="B467" s="64"/>
      <c r="C467" s="64"/>
      <c r="D467" s="64"/>
      <c r="E467" s="64"/>
      <c r="F467" s="64"/>
      <c r="G467" s="64"/>
      <c r="H467" s="64"/>
      <c r="I467" s="65"/>
      <c r="J467" s="65"/>
      <c r="K467" s="65"/>
      <c r="L467" s="66"/>
      <c r="M467" s="67"/>
      <c r="N467" s="64"/>
      <c r="O467" s="68" t="str">
        <f t="shared" si="1"/>
        <v/>
      </c>
      <c r="P467" s="68">
        <f t="shared" si="4"/>
        <v>32.34933204</v>
      </c>
    </row>
    <row r="468">
      <c r="A468" s="64">
        <f t="shared" si="3"/>
        <v>467</v>
      </c>
      <c r="B468" s="64"/>
      <c r="C468" s="64"/>
      <c r="D468" s="64"/>
      <c r="E468" s="64"/>
      <c r="F468" s="64"/>
      <c r="G468" s="64"/>
      <c r="H468" s="64"/>
      <c r="I468" s="65"/>
      <c r="J468" s="65"/>
      <c r="K468" s="65"/>
      <c r="L468" s="88"/>
      <c r="M468" s="67"/>
      <c r="N468" s="64"/>
      <c r="O468" s="68" t="str">
        <f t="shared" si="1"/>
        <v/>
      </c>
      <c r="P468" s="68">
        <f t="shared" si="4"/>
        <v>32.34933204</v>
      </c>
    </row>
    <row r="469">
      <c r="A469" s="64">
        <f t="shared" si="3"/>
        <v>468</v>
      </c>
      <c r="B469" s="64"/>
      <c r="C469" s="64"/>
      <c r="D469" s="64"/>
      <c r="E469" s="64"/>
      <c r="F469" s="64"/>
      <c r="G469" s="64"/>
      <c r="H469" s="64"/>
      <c r="I469" s="65"/>
      <c r="J469" s="65"/>
      <c r="K469" s="65"/>
      <c r="L469" s="88"/>
      <c r="M469" s="67"/>
      <c r="N469" s="64"/>
      <c r="O469" s="68" t="str">
        <f t="shared" si="1"/>
        <v/>
      </c>
      <c r="P469" s="68">
        <f t="shared" si="4"/>
        <v>32.34933204</v>
      </c>
    </row>
    <row r="470">
      <c r="A470" s="64">
        <f t="shared" si="3"/>
        <v>469</v>
      </c>
      <c r="B470" s="64"/>
      <c r="C470" s="64"/>
      <c r="D470" s="64"/>
      <c r="E470" s="64"/>
      <c r="F470" s="64"/>
      <c r="G470" s="64"/>
      <c r="H470" s="64"/>
      <c r="I470" s="65"/>
      <c r="J470" s="65"/>
      <c r="K470" s="65"/>
      <c r="L470" s="66"/>
      <c r="M470" s="67"/>
      <c r="N470" s="64"/>
      <c r="O470" s="68" t="str">
        <f t="shared" si="1"/>
        <v/>
      </c>
      <c r="P470" s="68">
        <f t="shared" si="4"/>
        <v>32.34933204</v>
      </c>
    </row>
    <row r="471">
      <c r="A471" s="64">
        <f t="shared" si="3"/>
        <v>470</v>
      </c>
      <c r="B471" s="64"/>
      <c r="C471" s="64"/>
      <c r="D471" s="64"/>
      <c r="E471" s="64"/>
      <c r="F471" s="64"/>
      <c r="G471" s="64"/>
      <c r="H471" s="64"/>
      <c r="I471" s="65"/>
      <c r="J471" s="65"/>
      <c r="K471" s="65"/>
      <c r="L471" s="66"/>
      <c r="M471" s="67"/>
      <c r="N471" s="64"/>
      <c r="O471" s="68" t="str">
        <f t="shared" si="1"/>
        <v/>
      </c>
      <c r="P471" s="68">
        <f t="shared" si="4"/>
        <v>32.34933204</v>
      </c>
    </row>
    <row r="472">
      <c r="A472" s="64">
        <f t="shared" si="3"/>
        <v>471</v>
      </c>
      <c r="B472" s="64"/>
      <c r="C472" s="64"/>
      <c r="D472" s="64"/>
      <c r="E472" s="64"/>
      <c r="F472" s="64"/>
      <c r="G472" s="64"/>
      <c r="H472" s="64"/>
      <c r="I472" s="65"/>
      <c r="J472" s="65"/>
      <c r="K472" s="65"/>
      <c r="L472" s="66"/>
      <c r="M472" s="67"/>
      <c r="N472" s="64"/>
      <c r="O472" s="68" t="str">
        <f t="shared" si="1"/>
        <v/>
      </c>
      <c r="P472" s="68">
        <f t="shared" si="4"/>
        <v>32.34933204</v>
      </c>
    </row>
    <row r="473">
      <c r="A473" s="64">
        <f t="shared" si="3"/>
        <v>472</v>
      </c>
      <c r="B473" s="64"/>
      <c r="C473" s="64"/>
      <c r="D473" s="64"/>
      <c r="E473" s="64"/>
      <c r="F473" s="64"/>
      <c r="G473" s="64"/>
      <c r="H473" s="64"/>
      <c r="I473" s="65"/>
      <c r="J473" s="65"/>
      <c r="K473" s="65"/>
      <c r="L473" s="66"/>
      <c r="M473" s="67"/>
      <c r="N473" s="64"/>
      <c r="O473" s="68" t="str">
        <f t="shared" si="1"/>
        <v/>
      </c>
      <c r="P473" s="68">
        <f t="shared" si="4"/>
        <v>32.34933204</v>
      </c>
    </row>
    <row r="474">
      <c r="A474" s="64">
        <f t="shared" si="3"/>
        <v>473</v>
      </c>
      <c r="B474" s="64"/>
      <c r="C474" s="64"/>
      <c r="D474" s="64"/>
      <c r="E474" s="64"/>
      <c r="F474" s="64"/>
      <c r="G474" s="64"/>
      <c r="H474" s="64"/>
      <c r="I474" s="65"/>
      <c r="J474" s="65"/>
      <c r="K474" s="65"/>
      <c r="L474" s="66"/>
      <c r="M474" s="67"/>
      <c r="N474" s="64"/>
      <c r="O474" s="68" t="str">
        <f t="shared" si="1"/>
        <v/>
      </c>
      <c r="P474" s="68">
        <f t="shared" si="4"/>
        <v>32.34933204</v>
      </c>
    </row>
    <row r="475">
      <c r="A475" s="64">
        <f t="shared" si="3"/>
        <v>474</v>
      </c>
      <c r="B475" s="64"/>
      <c r="C475" s="64"/>
      <c r="D475" s="64"/>
      <c r="E475" s="64"/>
      <c r="F475" s="64"/>
      <c r="G475" s="64"/>
      <c r="H475" s="64"/>
      <c r="I475" s="65"/>
      <c r="J475" s="65"/>
      <c r="K475" s="65"/>
      <c r="L475" s="66"/>
      <c r="M475" s="67"/>
      <c r="N475" s="64"/>
      <c r="O475" s="68" t="str">
        <f t="shared" si="1"/>
        <v/>
      </c>
      <c r="P475" s="68">
        <f t="shared" si="4"/>
        <v>32.34933204</v>
      </c>
    </row>
    <row r="476">
      <c r="A476" s="64">
        <f t="shared" si="3"/>
        <v>475</v>
      </c>
      <c r="B476" s="64"/>
      <c r="C476" s="64"/>
      <c r="D476" s="64"/>
      <c r="E476" s="64"/>
      <c r="F476" s="64"/>
      <c r="G476" s="64"/>
      <c r="H476" s="64"/>
      <c r="I476" s="65"/>
      <c r="J476" s="65"/>
      <c r="K476" s="65"/>
      <c r="L476" s="88"/>
      <c r="M476" s="67"/>
      <c r="N476" s="64"/>
      <c r="O476" s="68" t="str">
        <f t="shared" si="1"/>
        <v/>
      </c>
      <c r="P476" s="68">
        <f t="shared" si="4"/>
        <v>32.34933204</v>
      </c>
    </row>
    <row r="477">
      <c r="A477" s="64">
        <f t="shared" si="3"/>
        <v>476</v>
      </c>
      <c r="B477" s="64"/>
      <c r="C477" s="64"/>
      <c r="D477" s="64"/>
      <c r="E477" s="64"/>
      <c r="F477" s="64"/>
      <c r="G477" s="64"/>
      <c r="H477" s="64"/>
      <c r="I477" s="65"/>
      <c r="J477" s="65"/>
      <c r="K477" s="65"/>
      <c r="L477" s="66"/>
      <c r="M477" s="67"/>
      <c r="N477" s="64"/>
      <c r="O477" s="68" t="str">
        <f t="shared" si="1"/>
        <v/>
      </c>
      <c r="P477" s="68">
        <f t="shared" si="4"/>
        <v>32.34933204</v>
      </c>
    </row>
    <row r="478">
      <c r="A478" s="64">
        <f t="shared" si="3"/>
        <v>477</v>
      </c>
      <c r="B478" s="64"/>
      <c r="C478" s="64"/>
      <c r="D478" s="64"/>
      <c r="E478" s="64"/>
      <c r="F478" s="64"/>
      <c r="G478" s="64"/>
      <c r="H478" s="64"/>
      <c r="I478" s="65"/>
      <c r="J478" s="65"/>
      <c r="K478" s="65"/>
      <c r="L478" s="66"/>
      <c r="M478" s="67"/>
      <c r="N478" s="64"/>
      <c r="O478" s="68" t="str">
        <f t="shared" si="1"/>
        <v/>
      </c>
      <c r="P478" s="68">
        <f t="shared" si="4"/>
        <v>32.34933204</v>
      </c>
    </row>
    <row r="479">
      <c r="A479" s="64">
        <f t="shared" si="3"/>
        <v>478</v>
      </c>
      <c r="B479" s="64"/>
      <c r="C479" s="64"/>
      <c r="D479" s="64"/>
      <c r="E479" s="64"/>
      <c r="F479" s="64"/>
      <c r="G479" s="64"/>
      <c r="H479" s="64"/>
      <c r="I479" s="65"/>
      <c r="J479" s="65"/>
      <c r="K479" s="65"/>
      <c r="L479" s="66"/>
      <c r="M479" s="67"/>
      <c r="N479" s="64"/>
      <c r="O479" s="68" t="str">
        <f t="shared" si="1"/>
        <v/>
      </c>
      <c r="P479" s="68">
        <f t="shared" si="4"/>
        <v>32.34933204</v>
      </c>
    </row>
    <row r="480">
      <c r="A480" s="64">
        <f t="shared" si="3"/>
        <v>479</v>
      </c>
      <c r="B480" s="64"/>
      <c r="C480" s="64"/>
      <c r="D480" s="64"/>
      <c r="E480" s="64"/>
      <c r="F480" s="64"/>
      <c r="G480" s="64"/>
      <c r="H480" s="64"/>
      <c r="I480" s="65"/>
      <c r="J480" s="65"/>
      <c r="K480" s="65"/>
      <c r="L480" s="66"/>
      <c r="M480" s="67"/>
      <c r="N480" s="64"/>
      <c r="O480" s="68" t="str">
        <f t="shared" si="1"/>
        <v/>
      </c>
      <c r="P480" s="68">
        <f t="shared" si="4"/>
        <v>32.34933204</v>
      </c>
    </row>
    <row r="481">
      <c r="A481" s="64">
        <f t="shared" si="3"/>
        <v>480</v>
      </c>
      <c r="B481" s="64"/>
      <c r="C481" s="64"/>
      <c r="D481" s="64"/>
      <c r="E481" s="64"/>
      <c r="F481" s="64"/>
      <c r="G481" s="64"/>
      <c r="H481" s="64"/>
      <c r="I481" s="65"/>
      <c r="J481" s="65"/>
      <c r="K481" s="65"/>
      <c r="L481" s="66"/>
      <c r="M481" s="67"/>
      <c r="N481" s="64"/>
      <c r="O481" s="68" t="str">
        <f t="shared" si="1"/>
        <v/>
      </c>
      <c r="P481" s="68">
        <f t="shared" si="4"/>
        <v>32.34933204</v>
      </c>
    </row>
    <row r="482">
      <c r="A482" s="64">
        <f t="shared" si="3"/>
        <v>481</v>
      </c>
      <c r="B482" s="64"/>
      <c r="C482" s="64"/>
      <c r="D482" s="64"/>
      <c r="E482" s="64"/>
      <c r="F482" s="64"/>
      <c r="G482" s="64"/>
      <c r="H482" s="64"/>
      <c r="I482" s="65"/>
      <c r="J482" s="65"/>
      <c r="K482" s="65"/>
      <c r="L482" s="66"/>
      <c r="M482" s="67"/>
      <c r="N482" s="64"/>
      <c r="O482" s="68" t="str">
        <f t="shared" si="1"/>
        <v/>
      </c>
      <c r="P482" s="68">
        <f t="shared" si="4"/>
        <v>32.34933204</v>
      </c>
    </row>
    <row r="483">
      <c r="A483" s="64">
        <f t="shared" si="3"/>
        <v>482</v>
      </c>
      <c r="B483" s="64"/>
      <c r="C483" s="64"/>
      <c r="D483" s="64"/>
      <c r="E483" s="64"/>
      <c r="F483" s="64"/>
      <c r="G483" s="64"/>
      <c r="H483" s="64"/>
      <c r="I483" s="65"/>
      <c r="J483" s="65"/>
      <c r="K483" s="65"/>
      <c r="L483" s="66"/>
      <c r="M483" s="67"/>
      <c r="N483" s="64"/>
      <c r="O483" s="68" t="str">
        <f t="shared" si="1"/>
        <v/>
      </c>
      <c r="P483" s="68">
        <f t="shared" si="4"/>
        <v>32.34933204</v>
      </c>
    </row>
    <row r="484">
      <c r="A484" s="64">
        <f t="shared" si="3"/>
        <v>483</v>
      </c>
      <c r="B484" s="64"/>
      <c r="C484" s="64"/>
      <c r="D484" s="64"/>
      <c r="E484" s="64"/>
      <c r="F484" s="64"/>
      <c r="G484" s="64"/>
      <c r="H484" s="64"/>
      <c r="I484" s="65"/>
      <c r="J484" s="65"/>
      <c r="K484" s="65"/>
      <c r="L484" s="88"/>
      <c r="M484" s="67"/>
      <c r="N484" s="64"/>
      <c r="O484" s="68" t="str">
        <f t="shared" si="1"/>
        <v/>
      </c>
      <c r="P484" s="68">
        <f t="shared" si="4"/>
        <v>32.34933204</v>
      </c>
    </row>
    <row r="485">
      <c r="A485" s="64">
        <f t="shared" si="3"/>
        <v>484</v>
      </c>
      <c r="B485" s="64"/>
      <c r="C485" s="64"/>
      <c r="D485" s="64"/>
      <c r="E485" s="64"/>
      <c r="F485" s="64"/>
      <c r="G485" s="64"/>
      <c r="H485" s="64"/>
      <c r="I485" s="65"/>
      <c r="J485" s="65"/>
      <c r="K485" s="65"/>
      <c r="L485" s="66"/>
      <c r="M485" s="67"/>
      <c r="N485" s="64"/>
      <c r="O485" s="68" t="str">
        <f t="shared" si="1"/>
        <v/>
      </c>
      <c r="P485" s="68">
        <f t="shared" si="4"/>
        <v>32.34933204</v>
      </c>
    </row>
    <row r="486">
      <c r="A486" s="64">
        <f t="shared" si="3"/>
        <v>485</v>
      </c>
      <c r="B486" s="64"/>
      <c r="C486" s="64"/>
      <c r="D486" s="64"/>
      <c r="E486" s="64"/>
      <c r="F486" s="64"/>
      <c r="G486" s="64"/>
      <c r="H486" s="64"/>
      <c r="I486" s="65"/>
      <c r="J486" s="65"/>
      <c r="K486" s="65"/>
      <c r="L486" s="66"/>
      <c r="M486" s="67"/>
      <c r="N486" s="64"/>
      <c r="O486" s="68" t="str">
        <f t="shared" si="1"/>
        <v/>
      </c>
      <c r="P486" s="68">
        <f t="shared" si="4"/>
        <v>32.34933204</v>
      </c>
    </row>
    <row r="487">
      <c r="A487" s="64">
        <f t="shared" si="3"/>
        <v>486</v>
      </c>
      <c r="B487" s="64"/>
      <c r="C487" s="64"/>
      <c r="D487" s="64"/>
      <c r="E487" s="64"/>
      <c r="F487" s="64"/>
      <c r="G487" s="64"/>
      <c r="H487" s="64"/>
      <c r="I487" s="65"/>
      <c r="J487" s="65"/>
      <c r="K487" s="65"/>
      <c r="L487" s="66"/>
      <c r="M487" s="67"/>
      <c r="N487" s="64"/>
      <c r="O487" s="68" t="str">
        <f t="shared" si="1"/>
        <v/>
      </c>
      <c r="P487" s="68">
        <f t="shared" si="4"/>
        <v>32.34933204</v>
      </c>
    </row>
    <row r="488">
      <c r="A488" s="64">
        <f t="shared" si="3"/>
        <v>487</v>
      </c>
      <c r="B488" s="64"/>
      <c r="C488" s="64"/>
      <c r="D488" s="64"/>
      <c r="E488" s="64"/>
      <c r="F488" s="64"/>
      <c r="G488" s="64"/>
      <c r="H488" s="64"/>
      <c r="I488" s="65"/>
      <c r="J488" s="65"/>
      <c r="K488" s="65"/>
      <c r="L488" s="66"/>
      <c r="M488" s="67"/>
      <c r="N488" s="64"/>
      <c r="O488" s="68" t="str">
        <f t="shared" si="1"/>
        <v/>
      </c>
      <c r="P488" s="68">
        <f t="shared" si="4"/>
        <v>32.34933204</v>
      </c>
    </row>
    <row r="489">
      <c r="A489" s="64">
        <f t="shared" si="3"/>
        <v>488</v>
      </c>
      <c r="B489" s="64"/>
      <c r="C489" s="64"/>
      <c r="D489" s="64"/>
      <c r="E489" s="64"/>
      <c r="F489" s="64"/>
      <c r="G489" s="64"/>
      <c r="H489" s="64"/>
      <c r="I489" s="65"/>
      <c r="J489" s="65"/>
      <c r="K489" s="65"/>
      <c r="L489" s="66"/>
      <c r="M489" s="67"/>
      <c r="N489" s="64"/>
      <c r="O489" s="68" t="str">
        <f t="shared" si="1"/>
        <v/>
      </c>
      <c r="P489" s="68">
        <f t="shared" si="4"/>
        <v>32.34933204</v>
      </c>
    </row>
    <row r="490">
      <c r="A490" s="64">
        <f t="shared" si="3"/>
        <v>489</v>
      </c>
      <c r="B490" s="64"/>
      <c r="C490" s="64"/>
      <c r="D490" s="64"/>
      <c r="E490" s="64"/>
      <c r="F490" s="64"/>
      <c r="G490" s="64"/>
      <c r="H490" s="64"/>
      <c r="I490" s="65"/>
      <c r="J490" s="65"/>
      <c r="K490" s="65"/>
      <c r="L490" s="66"/>
      <c r="M490" s="67"/>
      <c r="N490" s="64"/>
      <c r="O490" s="68" t="str">
        <f t="shared" si="1"/>
        <v/>
      </c>
      <c r="P490" s="68">
        <f t="shared" si="4"/>
        <v>32.34933204</v>
      </c>
    </row>
    <row r="491">
      <c r="A491" s="64">
        <f t="shared" si="3"/>
        <v>490</v>
      </c>
      <c r="B491" s="64"/>
      <c r="C491" s="64"/>
      <c r="D491" s="64"/>
      <c r="E491" s="64"/>
      <c r="F491" s="64"/>
      <c r="G491" s="64"/>
      <c r="H491" s="64"/>
      <c r="I491" s="65"/>
      <c r="J491" s="65"/>
      <c r="K491" s="65"/>
      <c r="L491" s="66"/>
      <c r="M491" s="67"/>
      <c r="N491" s="64"/>
      <c r="O491" s="68" t="str">
        <f t="shared" si="1"/>
        <v/>
      </c>
      <c r="P491" s="68">
        <f t="shared" si="4"/>
        <v>32.34933204</v>
      </c>
    </row>
    <row r="492">
      <c r="A492" s="64">
        <f t="shared" si="3"/>
        <v>491</v>
      </c>
      <c r="B492" s="64"/>
      <c r="C492" s="64"/>
      <c r="D492" s="64"/>
      <c r="E492" s="64"/>
      <c r="F492" s="64"/>
      <c r="G492" s="64"/>
      <c r="H492" s="64"/>
      <c r="I492" s="65"/>
      <c r="J492" s="65"/>
      <c r="K492" s="65"/>
      <c r="L492" s="88"/>
      <c r="M492" s="67"/>
      <c r="N492" s="64"/>
      <c r="O492" s="68" t="str">
        <f t="shared" si="1"/>
        <v/>
      </c>
      <c r="P492" s="68">
        <f t="shared" si="4"/>
        <v>32.34933204</v>
      </c>
    </row>
    <row r="493">
      <c r="A493" s="64">
        <f t="shared" si="3"/>
        <v>492</v>
      </c>
      <c r="B493" s="64"/>
      <c r="C493" s="64"/>
      <c r="D493" s="64"/>
      <c r="E493" s="64"/>
      <c r="F493" s="64"/>
      <c r="G493" s="64"/>
      <c r="H493" s="64"/>
      <c r="I493" s="65"/>
      <c r="J493" s="65"/>
      <c r="K493" s="65"/>
      <c r="L493" s="66"/>
      <c r="M493" s="67"/>
      <c r="N493" s="64"/>
      <c r="O493" s="68" t="str">
        <f t="shared" si="1"/>
        <v/>
      </c>
      <c r="P493" s="68">
        <f t="shared" si="4"/>
        <v>32.34933204</v>
      </c>
    </row>
    <row r="494">
      <c r="A494" s="64">
        <f t="shared" si="3"/>
        <v>493</v>
      </c>
      <c r="B494" s="64"/>
      <c r="C494" s="64"/>
      <c r="D494" s="64"/>
      <c r="E494" s="64"/>
      <c r="F494" s="64"/>
      <c r="G494" s="64"/>
      <c r="H494" s="64"/>
      <c r="I494" s="65"/>
      <c r="J494" s="65"/>
      <c r="K494" s="65"/>
      <c r="L494" s="66"/>
      <c r="M494" s="67"/>
      <c r="N494" s="64"/>
      <c r="O494" s="68" t="str">
        <f t="shared" si="1"/>
        <v/>
      </c>
      <c r="P494" s="68">
        <f t="shared" si="4"/>
        <v>32.34933204</v>
      </c>
    </row>
    <row r="495">
      <c r="A495" s="64">
        <f t="shared" si="3"/>
        <v>494</v>
      </c>
      <c r="B495" s="64"/>
      <c r="C495" s="64"/>
      <c r="D495" s="64"/>
      <c r="E495" s="64"/>
      <c r="F495" s="64"/>
      <c r="G495" s="64"/>
      <c r="H495" s="64"/>
      <c r="I495" s="65"/>
      <c r="J495" s="65"/>
      <c r="K495" s="65"/>
      <c r="L495" s="66"/>
      <c r="M495" s="67"/>
      <c r="N495" s="64"/>
      <c r="O495" s="68" t="str">
        <f t="shared" si="1"/>
        <v/>
      </c>
      <c r="P495" s="68">
        <f t="shared" si="4"/>
        <v>32.34933204</v>
      </c>
    </row>
    <row r="496">
      <c r="A496" s="64">
        <f t="shared" si="3"/>
        <v>495</v>
      </c>
      <c r="B496" s="64"/>
      <c r="C496" s="64"/>
      <c r="D496" s="64"/>
      <c r="E496" s="64"/>
      <c r="F496" s="64"/>
      <c r="G496" s="64"/>
      <c r="H496" s="64"/>
      <c r="I496" s="65"/>
      <c r="J496" s="65"/>
      <c r="K496" s="65"/>
      <c r="L496" s="66"/>
      <c r="M496" s="67"/>
      <c r="N496" s="64"/>
      <c r="O496" s="68" t="str">
        <f t="shared" si="1"/>
        <v/>
      </c>
      <c r="P496" s="68">
        <f t="shared" si="4"/>
        <v>32.34933204</v>
      </c>
    </row>
    <row r="497">
      <c r="A497" s="64">
        <f t="shared" si="3"/>
        <v>496</v>
      </c>
      <c r="B497" s="64"/>
      <c r="C497" s="64"/>
      <c r="D497" s="64"/>
      <c r="E497" s="64"/>
      <c r="F497" s="64"/>
      <c r="G497" s="64"/>
      <c r="H497" s="64"/>
      <c r="I497" s="65"/>
      <c r="J497" s="65"/>
      <c r="K497" s="65"/>
      <c r="L497" s="66"/>
      <c r="M497" s="67"/>
      <c r="N497" s="64"/>
      <c r="O497" s="68" t="str">
        <f t="shared" si="1"/>
        <v/>
      </c>
      <c r="P497" s="68">
        <f t="shared" si="4"/>
        <v>32.34933204</v>
      </c>
    </row>
    <row r="498">
      <c r="A498" s="64">
        <f t="shared" si="3"/>
        <v>497</v>
      </c>
      <c r="B498" s="64"/>
      <c r="C498" s="64"/>
      <c r="D498" s="64"/>
      <c r="E498" s="64"/>
      <c r="F498" s="64"/>
      <c r="G498" s="64"/>
      <c r="H498" s="64"/>
      <c r="I498" s="65"/>
      <c r="J498" s="65"/>
      <c r="K498" s="65"/>
      <c r="L498" s="88"/>
      <c r="M498" s="67"/>
      <c r="N498" s="64"/>
      <c r="O498" s="68" t="str">
        <f t="shared" si="1"/>
        <v/>
      </c>
      <c r="P498" s="68">
        <f t="shared" si="4"/>
        <v>32.34933204</v>
      </c>
    </row>
    <row r="499">
      <c r="A499" s="64">
        <f t="shared" si="3"/>
        <v>498</v>
      </c>
      <c r="B499" s="64"/>
      <c r="C499" s="64"/>
      <c r="D499" s="64"/>
      <c r="E499" s="64"/>
      <c r="F499" s="64"/>
      <c r="G499" s="64"/>
      <c r="H499" s="64"/>
      <c r="I499" s="65"/>
      <c r="J499" s="65"/>
      <c r="K499" s="65"/>
      <c r="L499" s="88"/>
      <c r="M499" s="67"/>
      <c r="N499" s="64"/>
      <c r="O499" s="68" t="str">
        <f t="shared" si="1"/>
        <v/>
      </c>
      <c r="P499" s="68">
        <f t="shared" si="4"/>
        <v>32.34933204</v>
      </c>
    </row>
    <row r="500">
      <c r="A500" s="64">
        <f t="shared" si="3"/>
        <v>499</v>
      </c>
      <c r="B500" s="64"/>
      <c r="C500" s="64"/>
      <c r="D500" s="64"/>
      <c r="E500" s="64"/>
      <c r="F500" s="64"/>
      <c r="G500" s="64"/>
      <c r="H500" s="64"/>
      <c r="I500" s="65"/>
      <c r="J500" s="65"/>
      <c r="K500" s="65"/>
      <c r="L500" s="88"/>
      <c r="M500" s="67"/>
      <c r="N500" s="64"/>
      <c r="O500" s="68" t="str">
        <f t="shared" si="1"/>
        <v/>
      </c>
      <c r="P500" s="68">
        <f t="shared" si="4"/>
        <v>32.34933204</v>
      </c>
    </row>
    <row r="501">
      <c r="A501" s="64">
        <f t="shared" si="3"/>
        <v>500</v>
      </c>
      <c r="B501" s="64"/>
      <c r="C501" s="64"/>
      <c r="D501" s="64"/>
      <c r="E501" s="64"/>
      <c r="F501" s="64"/>
      <c r="G501" s="64"/>
      <c r="H501" s="64"/>
      <c r="I501" s="65"/>
      <c r="J501" s="65"/>
      <c r="K501" s="65"/>
      <c r="L501" s="88"/>
      <c r="M501" s="67"/>
      <c r="N501" s="64"/>
      <c r="O501" s="68" t="str">
        <f t="shared" si="1"/>
        <v/>
      </c>
      <c r="P501" s="68">
        <f t="shared" si="4"/>
        <v>32.34933204</v>
      </c>
    </row>
    <row r="502">
      <c r="A502" s="64">
        <f t="shared" si="3"/>
        <v>501</v>
      </c>
      <c r="B502" s="64"/>
      <c r="C502" s="64"/>
      <c r="D502" s="64"/>
      <c r="E502" s="64"/>
      <c r="F502" s="64"/>
      <c r="G502" s="64"/>
      <c r="H502" s="64"/>
      <c r="I502" s="65"/>
      <c r="J502" s="65"/>
      <c r="K502" s="65"/>
      <c r="L502" s="88"/>
      <c r="M502" s="67"/>
      <c r="N502" s="64"/>
      <c r="O502" s="68" t="str">
        <f t="shared" si="1"/>
        <v/>
      </c>
      <c r="P502" s="68">
        <f t="shared" si="4"/>
        <v>32.34933204</v>
      </c>
    </row>
    <row r="503">
      <c r="A503" s="64">
        <f t="shared" si="3"/>
        <v>502</v>
      </c>
      <c r="B503" s="64"/>
      <c r="C503" s="64"/>
      <c r="D503" s="64"/>
      <c r="E503" s="64"/>
      <c r="F503" s="64"/>
      <c r="G503" s="64"/>
      <c r="H503" s="64"/>
      <c r="I503" s="65"/>
      <c r="J503" s="65"/>
      <c r="K503" s="65"/>
      <c r="L503" s="88"/>
      <c r="M503" s="67"/>
      <c r="N503" s="64"/>
      <c r="O503" s="68" t="str">
        <f t="shared" si="1"/>
        <v/>
      </c>
      <c r="P503" s="68">
        <f t="shared" si="4"/>
        <v>32.34933204</v>
      </c>
    </row>
    <row r="504">
      <c r="A504" s="64">
        <f t="shared" si="3"/>
        <v>503</v>
      </c>
      <c r="B504" s="89"/>
      <c r="C504" s="89"/>
      <c r="D504" s="64"/>
      <c r="E504" s="89"/>
      <c r="F504" s="64"/>
      <c r="G504" s="64"/>
      <c r="H504" s="89"/>
      <c r="I504" s="65"/>
      <c r="J504" s="65"/>
      <c r="K504" s="65"/>
      <c r="L504" s="88"/>
      <c r="M504" s="67"/>
      <c r="N504" s="64"/>
      <c r="O504" s="68" t="str">
        <f t="shared" si="1"/>
        <v/>
      </c>
      <c r="P504" s="68">
        <f t="shared" si="4"/>
        <v>32.34933204</v>
      </c>
    </row>
    <row r="505">
      <c r="A505" s="64">
        <f t="shared" si="3"/>
        <v>504</v>
      </c>
      <c r="B505" s="89"/>
      <c r="C505" s="89"/>
      <c r="D505" s="64"/>
      <c r="E505" s="89"/>
      <c r="F505" s="64"/>
      <c r="G505" s="64"/>
      <c r="H505" s="89"/>
      <c r="I505" s="65"/>
      <c r="J505" s="65"/>
      <c r="K505" s="65"/>
      <c r="L505" s="88"/>
      <c r="M505" s="67"/>
      <c r="N505" s="64"/>
      <c r="O505" s="68" t="str">
        <f t="shared" si="1"/>
        <v/>
      </c>
      <c r="P505" s="68">
        <f t="shared" si="4"/>
        <v>32.34933204</v>
      </c>
    </row>
    <row r="506">
      <c r="A506" s="64">
        <f t="shared" si="3"/>
        <v>505</v>
      </c>
      <c r="B506" s="89"/>
      <c r="C506" s="89"/>
      <c r="D506" s="64"/>
      <c r="E506" s="89"/>
      <c r="F506" s="64"/>
      <c r="G506" s="64"/>
      <c r="H506" s="89"/>
      <c r="I506" s="65"/>
      <c r="J506" s="65"/>
      <c r="K506" s="65"/>
      <c r="L506" s="88"/>
      <c r="M506" s="67"/>
      <c r="N506" s="64"/>
      <c r="O506" s="68" t="str">
        <f t="shared" si="1"/>
        <v/>
      </c>
      <c r="P506" s="68">
        <f t="shared" si="4"/>
        <v>32.34933204</v>
      </c>
    </row>
    <row r="507">
      <c r="A507" s="64">
        <f t="shared" si="3"/>
        <v>506</v>
      </c>
      <c r="B507" s="89"/>
      <c r="C507" s="89"/>
      <c r="D507" s="64"/>
      <c r="E507" s="89"/>
      <c r="F507" s="64"/>
      <c r="G507" s="64"/>
      <c r="H507" s="89"/>
      <c r="I507" s="65"/>
      <c r="J507" s="65"/>
      <c r="K507" s="65"/>
      <c r="L507" s="88"/>
      <c r="M507" s="67"/>
      <c r="N507" s="64"/>
      <c r="O507" s="68" t="str">
        <f t="shared" si="1"/>
        <v/>
      </c>
      <c r="P507" s="68">
        <f t="shared" si="4"/>
        <v>32.34933204</v>
      </c>
    </row>
    <row r="508">
      <c r="A508" s="64">
        <f t="shared" si="3"/>
        <v>507</v>
      </c>
      <c r="B508" s="89"/>
      <c r="C508" s="89"/>
      <c r="D508" s="64"/>
      <c r="E508" s="89"/>
      <c r="F508" s="64"/>
      <c r="G508" s="64"/>
      <c r="H508" s="89"/>
      <c r="I508" s="65"/>
      <c r="J508" s="65"/>
      <c r="K508" s="65"/>
      <c r="L508" s="88"/>
      <c r="M508" s="67"/>
      <c r="N508" s="64"/>
      <c r="O508" s="68" t="str">
        <f t="shared" si="1"/>
        <v/>
      </c>
      <c r="P508" s="68">
        <f t="shared" si="4"/>
        <v>32.34933204</v>
      </c>
    </row>
    <row r="509">
      <c r="A509" s="64">
        <f t="shared" si="3"/>
        <v>508</v>
      </c>
      <c r="B509" s="89"/>
      <c r="C509" s="89"/>
      <c r="D509" s="64"/>
      <c r="E509" s="89"/>
      <c r="F509" s="64"/>
      <c r="G509" s="64"/>
      <c r="H509" s="89"/>
      <c r="I509" s="65"/>
      <c r="J509" s="65"/>
      <c r="K509" s="65"/>
      <c r="L509" s="88"/>
      <c r="M509" s="67"/>
      <c r="N509" s="64"/>
      <c r="O509" s="68" t="str">
        <f t="shared" si="1"/>
        <v/>
      </c>
      <c r="P509" s="68">
        <f t="shared" si="4"/>
        <v>32.34933204</v>
      </c>
    </row>
    <row r="510">
      <c r="A510" s="64">
        <f t="shared" si="3"/>
        <v>509</v>
      </c>
      <c r="B510" s="89"/>
      <c r="C510" s="89"/>
      <c r="D510" s="64"/>
      <c r="E510" s="89"/>
      <c r="F510" s="64"/>
      <c r="G510" s="64"/>
      <c r="H510" s="89"/>
      <c r="I510" s="65"/>
      <c r="J510" s="65"/>
      <c r="K510" s="65"/>
      <c r="L510" s="88"/>
      <c r="M510" s="67"/>
      <c r="N510" s="64"/>
      <c r="O510" s="68" t="str">
        <f t="shared" si="1"/>
        <v/>
      </c>
      <c r="P510" s="68">
        <f t="shared" si="4"/>
        <v>32.34933204</v>
      </c>
    </row>
    <row r="511">
      <c r="A511" s="64">
        <f t="shared" si="3"/>
        <v>510</v>
      </c>
      <c r="B511" s="89"/>
      <c r="C511" s="89"/>
      <c r="D511" s="64"/>
      <c r="E511" s="89"/>
      <c r="F511" s="64"/>
      <c r="G511" s="64"/>
      <c r="H511" s="89"/>
      <c r="I511" s="65"/>
      <c r="J511" s="65"/>
      <c r="K511" s="65"/>
      <c r="L511" s="88"/>
      <c r="M511" s="67"/>
      <c r="N511" s="64"/>
      <c r="O511" s="68" t="str">
        <f t="shared" si="1"/>
        <v/>
      </c>
      <c r="P511" s="68">
        <f t="shared" si="4"/>
        <v>32.34933204</v>
      </c>
    </row>
    <row r="512">
      <c r="A512" s="64">
        <f t="shared" si="3"/>
        <v>511</v>
      </c>
      <c r="B512" s="89"/>
      <c r="C512" s="89"/>
      <c r="D512" s="64"/>
      <c r="E512" s="90"/>
      <c r="F512" s="64"/>
      <c r="G512" s="64"/>
      <c r="H512" s="89"/>
      <c r="I512" s="65"/>
      <c r="J512" s="65"/>
      <c r="K512" s="65"/>
      <c r="L512" s="88"/>
      <c r="M512" s="67"/>
      <c r="N512" s="64"/>
      <c r="O512" s="68" t="str">
        <f t="shared" si="1"/>
        <v/>
      </c>
      <c r="P512" s="68">
        <f t="shared" si="4"/>
        <v>32.34933204</v>
      </c>
    </row>
    <row r="513">
      <c r="A513" s="64">
        <f t="shared" si="3"/>
        <v>512</v>
      </c>
      <c r="B513" s="89"/>
      <c r="C513" s="89"/>
      <c r="D513" s="64"/>
      <c r="E513" s="89"/>
      <c r="F513" s="64"/>
      <c r="G513" s="64"/>
      <c r="H513" s="89"/>
      <c r="I513" s="65"/>
      <c r="J513" s="65"/>
      <c r="K513" s="65"/>
      <c r="L513" s="88"/>
      <c r="M513" s="67"/>
      <c r="N513" s="64"/>
      <c r="O513" s="68" t="str">
        <f t="shared" si="1"/>
        <v/>
      </c>
      <c r="P513" s="68">
        <f t="shared" si="4"/>
        <v>32.34933204</v>
      </c>
    </row>
    <row r="514">
      <c r="A514" s="64">
        <f t="shared" si="3"/>
        <v>513</v>
      </c>
      <c r="B514" s="89"/>
      <c r="C514" s="89"/>
      <c r="D514" s="64"/>
      <c r="E514" s="89"/>
      <c r="F514" s="64"/>
      <c r="G514" s="64"/>
      <c r="H514" s="89"/>
      <c r="I514" s="65"/>
      <c r="J514" s="65"/>
      <c r="K514" s="65"/>
      <c r="L514" s="88"/>
      <c r="M514" s="67"/>
      <c r="N514" s="64"/>
      <c r="O514" s="68" t="str">
        <f t="shared" si="1"/>
        <v/>
      </c>
      <c r="P514" s="68">
        <f t="shared" si="4"/>
        <v>32.34933204</v>
      </c>
    </row>
    <row r="515">
      <c r="A515" s="64">
        <f t="shared" si="3"/>
        <v>514</v>
      </c>
      <c r="B515" s="89"/>
      <c r="C515" s="89"/>
      <c r="D515" s="64"/>
      <c r="E515" s="89"/>
      <c r="F515" s="64"/>
      <c r="G515" s="64"/>
      <c r="H515" s="89"/>
      <c r="I515" s="65"/>
      <c r="J515" s="65"/>
      <c r="K515" s="65"/>
      <c r="L515" s="88"/>
      <c r="M515" s="67"/>
      <c r="N515" s="64"/>
      <c r="O515" s="68" t="str">
        <f t="shared" si="1"/>
        <v/>
      </c>
      <c r="P515" s="68">
        <f t="shared" si="4"/>
        <v>32.34933204</v>
      </c>
    </row>
    <row r="516">
      <c r="A516" s="64">
        <f t="shared" si="3"/>
        <v>515</v>
      </c>
      <c r="B516" s="89"/>
      <c r="C516" s="89"/>
      <c r="D516" s="64"/>
      <c r="E516" s="89"/>
      <c r="F516" s="64"/>
      <c r="G516" s="64"/>
      <c r="H516" s="89"/>
      <c r="I516" s="65"/>
      <c r="J516" s="65"/>
      <c r="K516" s="65"/>
      <c r="L516" s="88"/>
      <c r="M516" s="67"/>
      <c r="N516" s="64"/>
      <c r="O516" s="68" t="str">
        <f t="shared" si="1"/>
        <v/>
      </c>
      <c r="P516" s="68">
        <f t="shared" si="4"/>
        <v>32.34933204</v>
      </c>
    </row>
    <row r="517">
      <c r="A517" s="64">
        <f t="shared" si="3"/>
        <v>516</v>
      </c>
      <c r="B517" s="89"/>
      <c r="C517" s="89"/>
      <c r="D517" s="64"/>
      <c r="E517" s="89"/>
      <c r="F517" s="64"/>
      <c r="G517" s="64"/>
      <c r="H517" s="89"/>
      <c r="I517" s="65"/>
      <c r="J517" s="65"/>
      <c r="K517" s="65"/>
      <c r="L517" s="88"/>
      <c r="M517" s="67"/>
      <c r="N517" s="64"/>
      <c r="O517" s="68" t="str">
        <f t="shared" si="1"/>
        <v/>
      </c>
      <c r="P517" s="68">
        <f t="shared" si="4"/>
        <v>32.34933204</v>
      </c>
    </row>
    <row r="518">
      <c r="A518" s="64">
        <f t="shared" si="3"/>
        <v>517</v>
      </c>
      <c r="B518" s="89"/>
      <c r="C518" s="89"/>
      <c r="D518" s="64"/>
      <c r="E518" s="89"/>
      <c r="F518" s="64"/>
      <c r="G518" s="64"/>
      <c r="H518" s="89"/>
      <c r="I518" s="65"/>
      <c r="J518" s="65"/>
      <c r="K518" s="65"/>
      <c r="L518" s="88"/>
      <c r="M518" s="67"/>
      <c r="N518" s="64"/>
      <c r="O518" s="68" t="str">
        <f t="shared" si="1"/>
        <v/>
      </c>
      <c r="P518" s="68">
        <f t="shared" si="4"/>
        <v>32.34933204</v>
      </c>
    </row>
    <row r="519">
      <c r="A519" s="64">
        <f t="shared" si="3"/>
        <v>518</v>
      </c>
      <c r="B519" s="89"/>
      <c r="C519" s="89"/>
      <c r="D519" s="64"/>
      <c r="E519" s="89"/>
      <c r="F519" s="64"/>
      <c r="G519" s="64"/>
      <c r="H519" s="89"/>
      <c r="I519" s="65"/>
      <c r="J519" s="65"/>
      <c r="K519" s="65"/>
      <c r="L519" s="88"/>
      <c r="M519" s="67"/>
      <c r="N519" s="64"/>
      <c r="O519" s="68" t="str">
        <f t="shared" si="1"/>
        <v/>
      </c>
      <c r="P519" s="68">
        <f t="shared" si="4"/>
        <v>32.34933204</v>
      </c>
    </row>
    <row r="520">
      <c r="A520" s="64">
        <f t="shared" si="3"/>
        <v>519</v>
      </c>
      <c r="B520" s="89"/>
      <c r="C520" s="89"/>
      <c r="D520" s="64"/>
      <c r="E520" s="89"/>
      <c r="F520" s="64"/>
      <c r="G520" s="64"/>
      <c r="H520" s="89"/>
      <c r="I520" s="65"/>
      <c r="J520" s="65"/>
      <c r="K520" s="65"/>
      <c r="L520" s="88"/>
      <c r="M520" s="67"/>
      <c r="N520" s="64"/>
      <c r="O520" s="68" t="str">
        <f t="shared" si="1"/>
        <v/>
      </c>
      <c r="P520" s="68">
        <f t="shared" si="4"/>
        <v>32.34933204</v>
      </c>
    </row>
    <row r="521">
      <c r="A521" s="64">
        <f t="shared" si="3"/>
        <v>520</v>
      </c>
      <c r="B521" s="89"/>
      <c r="C521" s="89"/>
      <c r="D521" s="64"/>
      <c r="E521" s="89"/>
      <c r="F521" s="64"/>
      <c r="G521" s="64"/>
      <c r="H521" s="89"/>
      <c r="I521" s="65"/>
      <c r="J521" s="65"/>
      <c r="K521" s="65"/>
      <c r="L521" s="88"/>
      <c r="M521" s="67"/>
      <c r="N521" s="64"/>
      <c r="O521" s="68" t="str">
        <f t="shared" si="1"/>
        <v/>
      </c>
      <c r="P521" s="68">
        <f t="shared" si="4"/>
        <v>32.34933204</v>
      </c>
    </row>
    <row r="522">
      <c r="A522" s="64">
        <f t="shared" si="3"/>
        <v>521</v>
      </c>
      <c r="B522" s="89"/>
      <c r="C522" s="89"/>
      <c r="D522" s="64"/>
      <c r="E522" s="89"/>
      <c r="F522" s="64"/>
      <c r="G522" s="64"/>
      <c r="H522" s="89"/>
      <c r="I522" s="65"/>
      <c r="J522" s="65"/>
      <c r="K522" s="65"/>
      <c r="L522" s="88"/>
      <c r="M522" s="67"/>
      <c r="N522" s="64"/>
      <c r="O522" s="68" t="str">
        <f t="shared" si="1"/>
        <v/>
      </c>
      <c r="P522" s="68">
        <f t="shared" si="4"/>
        <v>32.34933204</v>
      </c>
    </row>
    <row r="523">
      <c r="A523" s="64">
        <f t="shared" si="3"/>
        <v>522</v>
      </c>
      <c r="B523" s="89"/>
      <c r="C523" s="89"/>
      <c r="D523" s="64"/>
      <c r="E523" s="89"/>
      <c r="F523" s="64"/>
      <c r="G523" s="64"/>
      <c r="H523" s="89"/>
      <c r="I523" s="65"/>
      <c r="J523" s="65"/>
      <c r="K523" s="65"/>
      <c r="L523" s="88"/>
      <c r="M523" s="67"/>
      <c r="N523" s="64"/>
      <c r="O523" s="68" t="str">
        <f t="shared" si="1"/>
        <v/>
      </c>
      <c r="P523" s="68">
        <f t="shared" si="4"/>
        <v>32.34933204</v>
      </c>
    </row>
    <row r="524">
      <c r="A524" s="64">
        <f t="shared" si="3"/>
        <v>523</v>
      </c>
      <c r="B524" s="89"/>
      <c r="C524" s="89"/>
      <c r="D524" s="64"/>
      <c r="E524" s="89"/>
      <c r="F524" s="64"/>
      <c r="G524" s="64"/>
      <c r="H524" s="89"/>
      <c r="I524" s="65"/>
      <c r="J524" s="65"/>
      <c r="K524" s="65"/>
      <c r="L524" s="88"/>
      <c r="M524" s="67"/>
      <c r="N524" s="64"/>
      <c r="O524" s="68" t="str">
        <f t="shared" si="1"/>
        <v/>
      </c>
      <c r="P524" s="68">
        <f t="shared" si="4"/>
        <v>32.34933204</v>
      </c>
    </row>
    <row r="525">
      <c r="A525" s="64">
        <f t="shared" si="3"/>
        <v>524</v>
      </c>
      <c r="B525" s="89"/>
      <c r="C525" s="89"/>
      <c r="D525" s="64"/>
      <c r="E525" s="89"/>
      <c r="F525" s="64"/>
      <c r="G525" s="64"/>
      <c r="H525" s="89"/>
      <c r="I525" s="65"/>
      <c r="J525" s="65"/>
      <c r="K525" s="65"/>
      <c r="L525" s="88"/>
      <c r="M525" s="67"/>
      <c r="N525" s="64"/>
      <c r="O525" s="68" t="str">
        <f t="shared" si="1"/>
        <v/>
      </c>
      <c r="P525" s="68">
        <f t="shared" si="4"/>
        <v>32.34933204</v>
      </c>
    </row>
    <row r="526">
      <c r="A526" s="64">
        <f t="shared" si="3"/>
        <v>525</v>
      </c>
      <c r="B526" s="89"/>
      <c r="C526" s="89"/>
      <c r="D526" s="64"/>
      <c r="E526" s="89"/>
      <c r="F526" s="64"/>
      <c r="G526" s="64"/>
      <c r="H526" s="89"/>
      <c r="I526" s="65"/>
      <c r="J526" s="65"/>
      <c r="K526" s="65"/>
      <c r="L526" s="88"/>
      <c r="M526" s="67"/>
      <c r="N526" s="64"/>
      <c r="O526" s="68" t="str">
        <f t="shared" si="1"/>
        <v/>
      </c>
      <c r="P526" s="89"/>
    </row>
    <row r="527">
      <c r="A527" s="64">
        <f t="shared" si="3"/>
        <v>526</v>
      </c>
      <c r="B527" s="89"/>
      <c r="C527" s="89"/>
      <c r="D527" s="64"/>
      <c r="E527" s="89"/>
      <c r="F527" s="64"/>
      <c r="G527" s="64"/>
      <c r="H527" s="89"/>
      <c r="I527" s="65"/>
      <c r="J527" s="65"/>
      <c r="K527" s="65"/>
      <c r="L527" s="88"/>
      <c r="M527" s="67"/>
      <c r="N527" s="64"/>
      <c r="O527" s="68" t="str">
        <f t="shared" si="1"/>
        <v/>
      </c>
      <c r="P527" s="89"/>
    </row>
    <row r="528">
      <c r="A528" s="64">
        <f t="shared" si="3"/>
        <v>527</v>
      </c>
      <c r="B528" s="89"/>
      <c r="C528" s="89"/>
      <c r="D528" s="64"/>
      <c r="E528" s="89"/>
      <c r="F528" s="64"/>
      <c r="G528" s="64"/>
      <c r="H528" s="89"/>
      <c r="I528" s="65"/>
      <c r="J528" s="65"/>
      <c r="K528" s="65"/>
      <c r="L528" s="88"/>
      <c r="M528" s="67"/>
      <c r="N528" s="64"/>
      <c r="O528" s="68" t="str">
        <f t="shared" si="1"/>
        <v/>
      </c>
      <c r="P528" s="89"/>
    </row>
    <row r="529">
      <c r="A529" s="64">
        <f t="shared" si="3"/>
        <v>528</v>
      </c>
      <c r="B529" s="89"/>
      <c r="C529" s="89"/>
      <c r="D529" s="64"/>
      <c r="E529" s="89"/>
      <c r="F529" s="64"/>
      <c r="G529" s="64"/>
      <c r="H529" s="89"/>
      <c r="I529" s="89"/>
      <c r="J529" s="65"/>
      <c r="K529" s="89"/>
      <c r="L529" s="88"/>
      <c r="M529" s="91"/>
      <c r="N529" s="89"/>
      <c r="O529" s="68" t="str">
        <f>IF(N530="ganha",(K529*(M529-1)),IF(N530="perdida",-K529,IF(N530="devolvida",0,IF(N530="ganha/devolvida",((K529*(M529-1)))/2,IF(N530="perdida/devolvida",-K529/2,IF(N530="Aguardando",0,""))))))</f>
        <v/>
      </c>
      <c r="P529" s="89"/>
    </row>
    <row r="530">
      <c r="A530" s="64">
        <f t="shared" si="3"/>
        <v>529</v>
      </c>
      <c r="B530" s="89"/>
      <c r="C530" s="89"/>
      <c r="D530" s="64"/>
      <c r="E530" s="89"/>
      <c r="F530" s="64"/>
      <c r="G530" s="64"/>
      <c r="H530" s="89"/>
      <c r="I530" s="89"/>
      <c r="J530" s="65"/>
      <c r="K530" s="89"/>
      <c r="L530" s="88"/>
      <c r="M530" s="91"/>
      <c r="N530" s="89"/>
      <c r="O530" s="89"/>
      <c r="P530" s="89"/>
    </row>
    <row r="531">
      <c r="A531" s="64">
        <f t="shared" si="3"/>
        <v>530</v>
      </c>
      <c r="B531" s="89"/>
      <c r="C531" s="89"/>
      <c r="D531" s="64"/>
      <c r="E531" s="89"/>
      <c r="F531" s="64"/>
      <c r="G531" s="64"/>
      <c r="H531" s="89"/>
      <c r="I531" s="89"/>
      <c r="J531" s="65"/>
      <c r="K531" s="89"/>
      <c r="L531" s="88"/>
      <c r="M531" s="91"/>
      <c r="N531" s="89"/>
      <c r="O531" s="89"/>
      <c r="P531" s="89"/>
    </row>
    <row r="532">
      <c r="A532" s="64">
        <f t="shared" si="3"/>
        <v>531</v>
      </c>
      <c r="B532" s="89"/>
      <c r="C532" s="89"/>
      <c r="D532" s="64"/>
      <c r="E532" s="89"/>
      <c r="F532" s="64"/>
      <c r="G532" s="64"/>
      <c r="H532" s="89"/>
      <c r="I532" s="89"/>
      <c r="J532" s="65"/>
      <c r="K532" s="89"/>
      <c r="L532" s="88"/>
      <c r="M532" s="91"/>
      <c r="N532" s="89"/>
      <c r="O532" s="89"/>
      <c r="P532" s="89"/>
    </row>
    <row r="533">
      <c r="A533" s="64">
        <f t="shared" si="3"/>
        <v>532</v>
      </c>
      <c r="B533" s="89"/>
      <c r="C533" s="89"/>
      <c r="D533" s="64"/>
      <c r="E533" s="89"/>
      <c r="F533" s="64"/>
      <c r="G533" s="64"/>
      <c r="H533" s="89"/>
      <c r="I533" s="89"/>
      <c r="J533" s="65"/>
      <c r="K533" s="89"/>
      <c r="L533" s="88"/>
      <c r="M533" s="91"/>
      <c r="N533" s="89"/>
      <c r="O533" s="89"/>
      <c r="P533" s="89"/>
    </row>
    <row r="534">
      <c r="A534" s="64">
        <f t="shared" si="3"/>
        <v>533</v>
      </c>
      <c r="B534" s="89"/>
      <c r="C534" s="89"/>
      <c r="D534" s="64"/>
      <c r="E534" s="89"/>
      <c r="F534" s="64"/>
      <c r="G534" s="64"/>
      <c r="H534" s="89"/>
      <c r="I534" s="89"/>
      <c r="J534" s="65"/>
      <c r="K534" s="89"/>
      <c r="L534" s="88"/>
      <c r="M534" s="91"/>
      <c r="N534" s="89"/>
      <c r="O534" s="89"/>
      <c r="P534" s="89"/>
    </row>
    <row r="535">
      <c r="A535" s="64">
        <f t="shared" si="3"/>
        <v>534</v>
      </c>
      <c r="B535" s="89"/>
      <c r="C535" s="89"/>
      <c r="D535" s="64"/>
      <c r="E535" s="89"/>
      <c r="F535" s="64"/>
      <c r="G535" s="64"/>
      <c r="H535" s="89"/>
      <c r="I535" s="89"/>
      <c r="J535" s="65"/>
      <c r="K535" s="89"/>
      <c r="L535" s="88"/>
      <c r="M535" s="91"/>
      <c r="N535" s="89"/>
      <c r="O535" s="89"/>
      <c r="P535" s="89"/>
    </row>
    <row r="536">
      <c r="A536" s="64">
        <f t="shared" si="3"/>
        <v>535</v>
      </c>
      <c r="B536" s="89"/>
      <c r="C536" s="89"/>
      <c r="D536" s="64"/>
      <c r="E536" s="89"/>
      <c r="F536" s="64"/>
      <c r="G536" s="64"/>
      <c r="H536" s="89"/>
      <c r="I536" s="89"/>
      <c r="J536" s="65"/>
      <c r="K536" s="89"/>
      <c r="L536" s="88"/>
      <c r="M536" s="91"/>
      <c r="N536" s="89"/>
      <c r="O536" s="89"/>
      <c r="P536" s="89"/>
    </row>
    <row r="537">
      <c r="A537" s="64">
        <f t="shared" si="3"/>
        <v>536</v>
      </c>
      <c r="B537" s="89"/>
      <c r="C537" s="89"/>
      <c r="D537" s="89"/>
      <c r="E537" s="89"/>
      <c r="F537" s="64"/>
      <c r="G537" s="64"/>
      <c r="H537" s="89"/>
      <c r="I537" s="89"/>
      <c r="J537" s="65"/>
      <c r="K537" s="89"/>
      <c r="L537" s="88"/>
      <c r="M537" s="91"/>
      <c r="N537" s="89"/>
      <c r="O537" s="89"/>
      <c r="P537" s="89"/>
    </row>
    <row r="538">
      <c r="A538" s="64">
        <f t="shared" si="3"/>
        <v>537</v>
      </c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91"/>
      <c r="N538" s="89"/>
      <c r="O538" s="89"/>
      <c r="P538" s="89"/>
    </row>
    <row r="539">
      <c r="A539" s="64">
        <f t="shared" si="3"/>
        <v>538</v>
      </c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91"/>
      <c r="N539" s="89"/>
      <c r="O539" s="89"/>
      <c r="P539" s="89"/>
    </row>
    <row r="540">
      <c r="A540" s="64">
        <f t="shared" si="3"/>
        <v>539</v>
      </c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91"/>
      <c r="N540" s="89"/>
      <c r="O540" s="89"/>
      <c r="P540" s="89"/>
    </row>
    <row r="541">
      <c r="A541" s="64">
        <f t="shared" si="3"/>
        <v>540</v>
      </c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91"/>
      <c r="N541" s="89"/>
      <c r="O541" s="89"/>
      <c r="P541" s="89"/>
    </row>
    <row r="542">
      <c r="A542" s="64">
        <f t="shared" si="3"/>
        <v>541</v>
      </c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91"/>
      <c r="N542" s="89"/>
      <c r="O542" s="89"/>
      <c r="P542" s="89"/>
    </row>
    <row r="543">
      <c r="A543" s="64">
        <f t="shared" si="3"/>
        <v>542</v>
      </c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91"/>
      <c r="N543" s="89"/>
      <c r="O543" s="89"/>
      <c r="P543" s="89"/>
    </row>
    <row r="544">
      <c r="A544" s="64">
        <f t="shared" si="3"/>
        <v>543</v>
      </c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91"/>
      <c r="N544" s="89"/>
      <c r="O544" s="89"/>
      <c r="P544" s="89"/>
    </row>
    <row r="545">
      <c r="A545" s="64">
        <f t="shared" si="3"/>
        <v>544</v>
      </c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91"/>
      <c r="N545" s="89"/>
      <c r="O545" s="89"/>
      <c r="P545" s="89"/>
    </row>
    <row r="546">
      <c r="A546" s="64">
        <f t="shared" si="3"/>
        <v>545</v>
      </c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91"/>
      <c r="N546" s="89"/>
      <c r="O546" s="89"/>
      <c r="P546" s="89"/>
    </row>
    <row r="547">
      <c r="A547" s="64">
        <f t="shared" si="3"/>
        <v>546</v>
      </c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91"/>
      <c r="N547" s="89"/>
      <c r="O547" s="89"/>
      <c r="P547" s="89"/>
    </row>
    <row r="548">
      <c r="A548" s="64">
        <f t="shared" si="3"/>
        <v>547</v>
      </c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91"/>
      <c r="N548" s="89"/>
      <c r="O548" s="89"/>
      <c r="P548" s="89"/>
    </row>
    <row r="549">
      <c r="A549" s="64">
        <f t="shared" si="3"/>
        <v>548</v>
      </c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91"/>
      <c r="N549" s="89"/>
      <c r="O549" s="89"/>
      <c r="P549" s="89"/>
    </row>
    <row r="550">
      <c r="A550" s="64">
        <f t="shared" si="3"/>
        <v>549</v>
      </c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91"/>
      <c r="N550" s="89"/>
      <c r="O550" s="89"/>
      <c r="P550" s="89"/>
    </row>
    <row r="551">
      <c r="A551" s="64">
        <f t="shared" si="3"/>
        <v>550</v>
      </c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91"/>
      <c r="N551" s="89"/>
      <c r="O551" s="89"/>
      <c r="P551" s="89"/>
    </row>
    <row r="552">
      <c r="A552" s="64">
        <f t="shared" si="3"/>
        <v>551</v>
      </c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91"/>
      <c r="N552" s="89"/>
      <c r="O552" s="89"/>
      <c r="P552" s="89"/>
    </row>
    <row r="553">
      <c r="A553" s="64">
        <f t="shared" si="3"/>
        <v>552</v>
      </c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91"/>
      <c r="N553" s="89"/>
      <c r="O553" s="89"/>
      <c r="P553" s="89"/>
    </row>
    <row r="554">
      <c r="A554" s="64">
        <f t="shared" si="3"/>
        <v>553</v>
      </c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91"/>
      <c r="N554" s="89"/>
      <c r="O554" s="89"/>
      <c r="P554" s="89"/>
    </row>
    <row r="555">
      <c r="A555" s="64">
        <f t="shared" si="3"/>
        <v>554</v>
      </c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91"/>
      <c r="N555" s="89"/>
      <c r="O555" s="89"/>
      <c r="P555" s="89"/>
    </row>
    <row r="556">
      <c r="A556" s="64">
        <f t="shared" si="3"/>
        <v>555</v>
      </c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91"/>
      <c r="N556" s="89"/>
      <c r="O556" s="89"/>
      <c r="P556" s="89"/>
    </row>
    <row r="557">
      <c r="A557" s="64">
        <f t="shared" si="3"/>
        <v>556</v>
      </c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91"/>
      <c r="N557" s="89"/>
      <c r="O557" s="89"/>
      <c r="P557" s="89"/>
    </row>
    <row r="558">
      <c r="A558" s="64">
        <f t="shared" si="3"/>
        <v>557</v>
      </c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91"/>
      <c r="N558" s="89"/>
      <c r="O558" s="89"/>
      <c r="P558" s="89"/>
    </row>
    <row r="559">
      <c r="A559" s="64">
        <f t="shared" si="3"/>
        <v>558</v>
      </c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91"/>
      <c r="N559" s="89"/>
      <c r="O559" s="89"/>
      <c r="P559" s="89"/>
    </row>
    <row r="560">
      <c r="A560" s="64">
        <f t="shared" si="3"/>
        <v>559</v>
      </c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91"/>
      <c r="N560" s="89"/>
      <c r="O560" s="89"/>
      <c r="P560" s="89"/>
    </row>
    <row r="561">
      <c r="A561" s="64">
        <f t="shared" si="3"/>
        <v>560</v>
      </c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91"/>
      <c r="N561" s="89"/>
      <c r="O561" s="89"/>
      <c r="P561" s="89"/>
    </row>
    <row r="562">
      <c r="A562" s="64">
        <f t="shared" si="3"/>
        <v>561</v>
      </c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91"/>
      <c r="N562" s="89"/>
      <c r="O562" s="89"/>
      <c r="P562" s="89"/>
    </row>
    <row r="563">
      <c r="A563" s="64">
        <f t="shared" si="3"/>
        <v>562</v>
      </c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91"/>
      <c r="N563" s="89"/>
      <c r="O563" s="89"/>
      <c r="P563" s="89"/>
    </row>
    <row r="564">
      <c r="A564" s="64">
        <f t="shared" si="3"/>
        <v>563</v>
      </c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91"/>
      <c r="N564" s="89"/>
      <c r="O564" s="89"/>
      <c r="P564" s="89"/>
    </row>
    <row r="565">
      <c r="A565" s="64">
        <f t="shared" si="3"/>
        <v>564</v>
      </c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91"/>
      <c r="N565" s="89"/>
      <c r="O565" s="89"/>
      <c r="P565" s="89"/>
    </row>
    <row r="566">
      <c r="A566" s="64">
        <f t="shared" si="3"/>
        <v>565</v>
      </c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91"/>
      <c r="N566" s="89"/>
      <c r="O566" s="89"/>
      <c r="P566" s="89"/>
    </row>
    <row r="567">
      <c r="A567" s="64">
        <f t="shared" si="3"/>
        <v>566</v>
      </c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91"/>
      <c r="N567" s="89"/>
      <c r="O567" s="89"/>
      <c r="P567" s="89"/>
    </row>
    <row r="568">
      <c r="A568" s="64">
        <f t="shared" si="3"/>
        <v>567</v>
      </c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91"/>
      <c r="N568" s="89"/>
      <c r="O568" s="89"/>
      <c r="P568" s="89"/>
    </row>
    <row r="569">
      <c r="A569" s="64">
        <f t="shared" si="3"/>
        <v>568</v>
      </c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91"/>
      <c r="N569" s="89"/>
      <c r="O569" s="89"/>
      <c r="P569" s="89"/>
    </row>
    <row r="570">
      <c r="A570" s="64">
        <f t="shared" si="3"/>
        <v>569</v>
      </c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91"/>
      <c r="N570" s="89"/>
      <c r="O570" s="89"/>
      <c r="P570" s="89"/>
    </row>
    <row r="571">
      <c r="A571" s="64">
        <f t="shared" si="3"/>
        <v>570</v>
      </c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91"/>
      <c r="N571" s="89"/>
      <c r="O571" s="89"/>
      <c r="P571" s="89"/>
    </row>
    <row r="572">
      <c r="A572" s="64">
        <f t="shared" si="3"/>
        <v>571</v>
      </c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91"/>
      <c r="N572" s="89"/>
      <c r="O572" s="89"/>
      <c r="P572" s="89"/>
    </row>
    <row r="573">
      <c r="A573" s="64">
        <f t="shared" si="3"/>
        <v>572</v>
      </c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91"/>
      <c r="N573" s="89"/>
      <c r="O573" s="89"/>
      <c r="P573" s="89"/>
    </row>
    <row r="574">
      <c r="A574" s="64">
        <f t="shared" si="3"/>
        <v>573</v>
      </c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91"/>
      <c r="N574" s="89"/>
      <c r="O574" s="89"/>
      <c r="P574" s="89"/>
    </row>
    <row r="575">
      <c r="A575" s="64">
        <f t="shared" si="3"/>
        <v>574</v>
      </c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91"/>
      <c r="N575" s="89"/>
      <c r="O575" s="89"/>
      <c r="P575" s="89"/>
    </row>
    <row r="576">
      <c r="A576" s="64">
        <f t="shared" si="3"/>
        <v>575</v>
      </c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91"/>
      <c r="N576" s="89"/>
      <c r="O576" s="89"/>
      <c r="P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91"/>
      <c r="N577" s="89"/>
      <c r="O577" s="89"/>
      <c r="P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91"/>
      <c r="N578" s="89"/>
      <c r="O578" s="89"/>
      <c r="P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91"/>
      <c r="N579" s="89"/>
      <c r="O579" s="89"/>
      <c r="P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91"/>
      <c r="N580" s="89"/>
      <c r="O580" s="89"/>
      <c r="P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91"/>
      <c r="N581" s="89"/>
      <c r="O581" s="89"/>
      <c r="P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91"/>
      <c r="N582" s="89"/>
      <c r="O582" s="89"/>
      <c r="P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91"/>
      <c r="N583" s="89"/>
      <c r="O583" s="89"/>
      <c r="P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91"/>
      <c r="N584" s="89"/>
      <c r="O584" s="89"/>
      <c r="P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91"/>
      <c r="N585" s="89"/>
      <c r="O585" s="89"/>
      <c r="P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91"/>
      <c r="N586" s="89"/>
      <c r="O586" s="89"/>
      <c r="P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91"/>
      <c r="N587" s="89"/>
      <c r="O587" s="89"/>
      <c r="P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91"/>
      <c r="N588" s="89"/>
      <c r="O588" s="89"/>
      <c r="P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91"/>
      <c r="N589" s="89"/>
      <c r="O589" s="89"/>
      <c r="P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91"/>
      <c r="N590" s="89"/>
      <c r="O590" s="89"/>
      <c r="P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91"/>
      <c r="N591" s="89"/>
      <c r="O591" s="89"/>
      <c r="P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91"/>
      <c r="N592" s="89"/>
      <c r="O592" s="89"/>
      <c r="P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91"/>
      <c r="N593" s="89"/>
      <c r="O593" s="89"/>
      <c r="P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91"/>
      <c r="N594" s="89"/>
      <c r="O594" s="89"/>
      <c r="P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91"/>
      <c r="N595" s="89"/>
      <c r="O595" s="89"/>
      <c r="P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91"/>
      <c r="N596" s="89"/>
      <c r="O596" s="89"/>
      <c r="P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91"/>
      <c r="N597" s="89"/>
      <c r="O597" s="89"/>
      <c r="P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91"/>
      <c r="N598" s="89"/>
      <c r="O598" s="89"/>
      <c r="P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91"/>
      <c r="N599" s="89"/>
      <c r="O599" s="89"/>
      <c r="P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91"/>
      <c r="N600" s="89"/>
      <c r="O600" s="89"/>
      <c r="P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91"/>
      <c r="N601" s="89"/>
      <c r="O601" s="89"/>
      <c r="P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91"/>
      <c r="N602" s="89"/>
      <c r="O602" s="89"/>
      <c r="P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91"/>
      <c r="N603" s="89"/>
      <c r="O603" s="89"/>
      <c r="P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91"/>
      <c r="N604" s="89"/>
      <c r="O604" s="89"/>
      <c r="P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91"/>
      <c r="N605" s="89"/>
      <c r="O605" s="89"/>
      <c r="P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91"/>
      <c r="N606" s="89"/>
      <c r="O606" s="89"/>
      <c r="P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91"/>
      <c r="N607" s="89"/>
      <c r="O607" s="89"/>
      <c r="P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91"/>
      <c r="N608" s="89"/>
      <c r="O608" s="89"/>
      <c r="P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91"/>
      <c r="N609" s="89"/>
      <c r="O609" s="89"/>
      <c r="P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91"/>
      <c r="N610" s="89"/>
      <c r="O610" s="89"/>
      <c r="P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91"/>
      <c r="N611" s="89"/>
      <c r="O611" s="89"/>
      <c r="P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91"/>
      <c r="N612" s="89"/>
      <c r="O612" s="89"/>
      <c r="P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91"/>
      <c r="N613" s="89"/>
      <c r="O613" s="89"/>
      <c r="P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91"/>
      <c r="N614" s="89"/>
      <c r="O614" s="89"/>
      <c r="P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91"/>
      <c r="N615" s="89"/>
      <c r="O615" s="89"/>
      <c r="P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91"/>
      <c r="N616" s="89"/>
      <c r="O616" s="89"/>
      <c r="P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91"/>
      <c r="N617" s="89"/>
      <c r="O617" s="89"/>
      <c r="P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91"/>
      <c r="N618" s="89"/>
      <c r="O618" s="89"/>
      <c r="P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91"/>
      <c r="N619" s="89"/>
      <c r="O619" s="89"/>
      <c r="P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91"/>
      <c r="N620" s="89"/>
      <c r="O620" s="89"/>
      <c r="P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91"/>
      <c r="N621" s="89"/>
      <c r="O621" s="89"/>
      <c r="P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91"/>
      <c r="N622" s="89"/>
      <c r="O622" s="89"/>
      <c r="P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91"/>
      <c r="N623" s="89"/>
      <c r="O623" s="89"/>
      <c r="P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91"/>
      <c r="N624" s="89"/>
      <c r="O624" s="89"/>
      <c r="P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91"/>
      <c r="N625" s="89"/>
      <c r="O625" s="89"/>
      <c r="P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91"/>
      <c r="N626" s="89"/>
      <c r="O626" s="89"/>
      <c r="P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91"/>
      <c r="N627" s="89"/>
      <c r="O627" s="89"/>
      <c r="P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91"/>
      <c r="N628" s="89"/>
      <c r="O628" s="89"/>
      <c r="P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91"/>
      <c r="N629" s="89"/>
      <c r="O629" s="89"/>
      <c r="P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91"/>
      <c r="N630" s="89"/>
      <c r="O630" s="89"/>
      <c r="P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91"/>
      <c r="N631" s="89"/>
      <c r="O631" s="89"/>
      <c r="P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91"/>
      <c r="N632" s="89"/>
      <c r="O632" s="89"/>
      <c r="P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91"/>
      <c r="N633" s="89"/>
      <c r="O633" s="89"/>
      <c r="P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91"/>
      <c r="N634" s="89"/>
      <c r="O634" s="89"/>
      <c r="P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91"/>
      <c r="N635" s="89"/>
      <c r="O635" s="89"/>
      <c r="P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91"/>
      <c r="N636" s="89"/>
      <c r="O636" s="89"/>
      <c r="P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91"/>
      <c r="N637" s="89"/>
      <c r="O637" s="89"/>
      <c r="P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91"/>
      <c r="N638" s="89"/>
      <c r="O638" s="89"/>
      <c r="P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91"/>
      <c r="N639" s="89"/>
      <c r="O639" s="89"/>
      <c r="P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91"/>
      <c r="N640" s="89"/>
      <c r="O640" s="89"/>
      <c r="P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91"/>
      <c r="N641" s="89"/>
      <c r="O641" s="89"/>
      <c r="P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91"/>
      <c r="N642" s="89"/>
      <c r="O642" s="89"/>
      <c r="P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91"/>
      <c r="N643" s="89"/>
      <c r="O643" s="89"/>
      <c r="P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91"/>
      <c r="N644" s="89"/>
      <c r="O644" s="89"/>
      <c r="P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91"/>
      <c r="N645" s="89"/>
      <c r="O645" s="89"/>
      <c r="P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91"/>
      <c r="N646" s="89"/>
      <c r="O646" s="89"/>
      <c r="P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91"/>
      <c r="N647" s="89"/>
      <c r="O647" s="89"/>
      <c r="P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91"/>
      <c r="N648" s="89"/>
      <c r="O648" s="89"/>
      <c r="P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91"/>
      <c r="N649" s="89"/>
      <c r="O649" s="89"/>
      <c r="P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91"/>
      <c r="N650" s="89"/>
      <c r="O650" s="89"/>
      <c r="P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91"/>
      <c r="N651" s="89"/>
      <c r="O651" s="89"/>
      <c r="P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91"/>
      <c r="N652" s="89"/>
      <c r="O652" s="89"/>
      <c r="P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91"/>
      <c r="N653" s="89"/>
      <c r="O653" s="89"/>
      <c r="P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91"/>
      <c r="N654" s="89"/>
      <c r="O654" s="89"/>
      <c r="P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91"/>
      <c r="N655" s="89"/>
      <c r="O655" s="89"/>
      <c r="P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91"/>
      <c r="N656" s="89"/>
      <c r="O656" s="89"/>
      <c r="P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91"/>
      <c r="N657" s="89"/>
      <c r="O657" s="89"/>
      <c r="P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91"/>
      <c r="N658" s="89"/>
      <c r="O658" s="89"/>
      <c r="P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91"/>
      <c r="N659" s="89"/>
      <c r="O659" s="89"/>
      <c r="P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91"/>
      <c r="N660" s="89"/>
      <c r="O660" s="89"/>
      <c r="P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91"/>
      <c r="N661" s="89"/>
      <c r="O661" s="89"/>
      <c r="P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91"/>
      <c r="N662" s="89"/>
      <c r="O662" s="89"/>
      <c r="P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91"/>
      <c r="N663" s="89"/>
      <c r="O663" s="89"/>
      <c r="P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91"/>
      <c r="N664" s="89"/>
      <c r="O664" s="89"/>
      <c r="P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91"/>
      <c r="N665" s="89"/>
      <c r="O665" s="89"/>
      <c r="P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91"/>
      <c r="N666" s="89"/>
      <c r="O666" s="89"/>
      <c r="P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91"/>
      <c r="N667" s="89"/>
      <c r="O667" s="89"/>
      <c r="P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91"/>
      <c r="N668" s="89"/>
      <c r="O668" s="89"/>
      <c r="P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91"/>
      <c r="N669" s="89"/>
      <c r="O669" s="89"/>
      <c r="P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91"/>
      <c r="N670" s="89"/>
      <c r="O670" s="89"/>
      <c r="P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91"/>
      <c r="N671" s="89"/>
      <c r="O671" s="89"/>
      <c r="P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91"/>
      <c r="N672" s="89"/>
      <c r="O672" s="89"/>
      <c r="P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91"/>
      <c r="N673" s="89"/>
      <c r="O673" s="89"/>
      <c r="P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91"/>
      <c r="N674" s="89"/>
      <c r="O674" s="89"/>
      <c r="P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91"/>
      <c r="N675" s="89"/>
      <c r="O675" s="89"/>
      <c r="P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91"/>
      <c r="N676" s="89"/>
      <c r="O676" s="89"/>
      <c r="P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91"/>
      <c r="N677" s="89"/>
      <c r="O677" s="89"/>
      <c r="P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91"/>
      <c r="N678" s="89"/>
      <c r="O678" s="89"/>
      <c r="P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91"/>
      <c r="N679" s="89"/>
      <c r="O679" s="89"/>
      <c r="P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91"/>
      <c r="N680" s="89"/>
      <c r="O680" s="89"/>
      <c r="P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91"/>
      <c r="N681" s="89"/>
      <c r="O681" s="89"/>
      <c r="P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91"/>
      <c r="N682" s="89"/>
      <c r="O682" s="89"/>
      <c r="P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91"/>
      <c r="N683" s="89"/>
      <c r="O683" s="89"/>
      <c r="P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91"/>
      <c r="N684" s="89"/>
      <c r="O684" s="89"/>
      <c r="P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91"/>
      <c r="N685" s="89"/>
      <c r="O685" s="89"/>
      <c r="P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91"/>
      <c r="N686" s="89"/>
      <c r="O686" s="89"/>
      <c r="P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91"/>
      <c r="N687" s="89"/>
      <c r="O687" s="89"/>
      <c r="P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91"/>
      <c r="N688" s="89"/>
      <c r="O688" s="89"/>
      <c r="P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91"/>
      <c r="N689" s="89"/>
      <c r="O689" s="89"/>
      <c r="P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91"/>
      <c r="N690" s="89"/>
      <c r="O690" s="89"/>
      <c r="P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91"/>
      <c r="N691" s="89"/>
      <c r="O691" s="89"/>
      <c r="P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91"/>
      <c r="N692" s="89"/>
      <c r="O692" s="89"/>
      <c r="P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91"/>
      <c r="N693" s="89"/>
      <c r="O693" s="89"/>
      <c r="P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91"/>
      <c r="N694" s="89"/>
      <c r="O694" s="89"/>
      <c r="P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91"/>
      <c r="N695" s="89"/>
      <c r="O695" s="89"/>
      <c r="P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91"/>
      <c r="N696" s="89"/>
      <c r="O696" s="89"/>
      <c r="P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91"/>
      <c r="N697" s="89"/>
      <c r="O697" s="89"/>
      <c r="P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91"/>
      <c r="N698" s="89"/>
      <c r="O698" s="89"/>
      <c r="P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91"/>
      <c r="N699" s="89"/>
      <c r="O699" s="89"/>
      <c r="P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91"/>
      <c r="N700" s="89"/>
      <c r="O700" s="89"/>
      <c r="P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91"/>
      <c r="N701" s="89"/>
      <c r="O701" s="89"/>
      <c r="P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91"/>
      <c r="N702" s="89"/>
      <c r="O702" s="89"/>
      <c r="P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91"/>
      <c r="N703" s="89"/>
      <c r="O703" s="89"/>
      <c r="P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91"/>
      <c r="N704" s="89"/>
      <c r="O704" s="89"/>
      <c r="P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91"/>
      <c r="N705" s="89"/>
      <c r="O705" s="89"/>
      <c r="P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91"/>
      <c r="N706" s="89"/>
      <c r="O706" s="89"/>
      <c r="P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91"/>
      <c r="N707" s="89"/>
      <c r="O707" s="89"/>
      <c r="P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91"/>
      <c r="N708" s="89"/>
      <c r="O708" s="89"/>
      <c r="P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91"/>
      <c r="N709" s="89"/>
      <c r="O709" s="89"/>
      <c r="P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91"/>
      <c r="N710" s="89"/>
      <c r="O710" s="89"/>
      <c r="P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91"/>
      <c r="N711" s="89"/>
      <c r="O711" s="89"/>
      <c r="P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91"/>
      <c r="N712" s="89"/>
      <c r="O712" s="89"/>
      <c r="P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91"/>
      <c r="N713" s="89"/>
      <c r="O713" s="89"/>
      <c r="P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91"/>
      <c r="N714" s="89"/>
      <c r="O714" s="89"/>
      <c r="P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91"/>
      <c r="N715" s="89"/>
      <c r="O715" s="89"/>
      <c r="P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91"/>
      <c r="N716" s="89"/>
      <c r="O716" s="89"/>
      <c r="P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91"/>
      <c r="N717" s="89"/>
      <c r="O717" s="89"/>
      <c r="P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91"/>
      <c r="N718" s="89"/>
      <c r="O718" s="89"/>
      <c r="P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91"/>
      <c r="N719" s="89"/>
      <c r="O719" s="89"/>
      <c r="P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91"/>
      <c r="N720" s="89"/>
      <c r="O720" s="89"/>
      <c r="P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91"/>
      <c r="N721" s="89"/>
      <c r="O721" s="89"/>
      <c r="P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91"/>
      <c r="N722" s="89"/>
      <c r="O722" s="89"/>
      <c r="P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91"/>
      <c r="N723" s="89"/>
      <c r="O723" s="89"/>
      <c r="P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91"/>
      <c r="N724" s="89"/>
      <c r="O724" s="89"/>
      <c r="P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91"/>
      <c r="N725" s="89"/>
      <c r="O725" s="89"/>
      <c r="P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91"/>
      <c r="N726" s="89"/>
      <c r="O726" s="89"/>
      <c r="P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91"/>
      <c r="N727" s="89"/>
      <c r="O727" s="89"/>
      <c r="P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91"/>
      <c r="N728" s="89"/>
      <c r="O728" s="89"/>
      <c r="P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91"/>
      <c r="N729" s="89"/>
      <c r="O729" s="89"/>
      <c r="P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91"/>
      <c r="N730" s="89"/>
      <c r="O730" s="89"/>
      <c r="P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91"/>
      <c r="N731" s="89"/>
      <c r="O731" s="89"/>
      <c r="P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91"/>
      <c r="N732" s="89"/>
      <c r="O732" s="89"/>
      <c r="P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91"/>
      <c r="N733" s="89"/>
      <c r="O733" s="89"/>
      <c r="P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91"/>
      <c r="N734" s="89"/>
      <c r="O734" s="89"/>
      <c r="P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91"/>
      <c r="N735" s="89"/>
      <c r="O735" s="89"/>
      <c r="P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91"/>
      <c r="N736" s="89"/>
      <c r="O736" s="89"/>
      <c r="P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91"/>
      <c r="N737" s="89"/>
      <c r="O737" s="89"/>
      <c r="P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91"/>
      <c r="N738" s="89"/>
      <c r="O738" s="89"/>
      <c r="P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91"/>
      <c r="N739" s="89"/>
      <c r="O739" s="89"/>
      <c r="P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91"/>
      <c r="N740" s="89"/>
      <c r="O740" s="89"/>
      <c r="P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91"/>
      <c r="N741" s="89"/>
      <c r="O741" s="89"/>
      <c r="P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91"/>
      <c r="N742" s="89"/>
      <c r="O742" s="89"/>
      <c r="P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91"/>
      <c r="N743" s="89"/>
      <c r="O743" s="89"/>
      <c r="P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91"/>
      <c r="N744" s="89"/>
      <c r="O744" s="89"/>
      <c r="P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91"/>
      <c r="N745" s="89"/>
      <c r="O745" s="89"/>
      <c r="P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91"/>
      <c r="N746" s="89"/>
      <c r="O746" s="89"/>
      <c r="P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91"/>
      <c r="N747" s="89"/>
      <c r="O747" s="89"/>
      <c r="P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91"/>
      <c r="N748" s="89"/>
      <c r="O748" s="89"/>
      <c r="P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91"/>
      <c r="N749" s="89"/>
      <c r="O749" s="89"/>
      <c r="P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91"/>
      <c r="N750" s="89"/>
      <c r="O750" s="89"/>
      <c r="P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91"/>
      <c r="N751" s="89"/>
      <c r="O751" s="89"/>
      <c r="P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91"/>
      <c r="N752" s="89"/>
      <c r="O752" s="89"/>
      <c r="P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91"/>
      <c r="N753" s="89"/>
      <c r="O753" s="89"/>
      <c r="P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91"/>
      <c r="N754" s="89"/>
      <c r="O754" s="89"/>
      <c r="P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91"/>
      <c r="N755" s="89"/>
      <c r="O755" s="89"/>
      <c r="P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91"/>
      <c r="N756" s="89"/>
      <c r="O756" s="89"/>
      <c r="P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91"/>
      <c r="N757" s="89"/>
      <c r="O757" s="89"/>
      <c r="P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91"/>
      <c r="N758" s="89"/>
      <c r="O758" s="89"/>
      <c r="P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91"/>
      <c r="N759" s="89"/>
      <c r="O759" s="89"/>
      <c r="P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91"/>
      <c r="N760" s="89"/>
      <c r="O760" s="89"/>
      <c r="P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91"/>
      <c r="N761" s="89"/>
      <c r="O761" s="89"/>
      <c r="P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91"/>
      <c r="N762" s="89"/>
      <c r="O762" s="89"/>
      <c r="P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91"/>
      <c r="N763" s="89"/>
      <c r="O763" s="89"/>
      <c r="P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91"/>
      <c r="N764" s="89"/>
      <c r="O764" s="89"/>
      <c r="P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91"/>
      <c r="N765" s="89"/>
      <c r="O765" s="89"/>
      <c r="P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91"/>
      <c r="N766" s="89"/>
      <c r="O766" s="89"/>
      <c r="P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91"/>
      <c r="N767" s="89"/>
      <c r="O767" s="89"/>
      <c r="P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91"/>
      <c r="N768" s="89"/>
      <c r="O768" s="89"/>
      <c r="P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91"/>
      <c r="N769" s="89"/>
      <c r="O769" s="89"/>
      <c r="P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91"/>
      <c r="N770" s="89"/>
      <c r="O770" s="89"/>
      <c r="P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91"/>
      <c r="N771" s="89"/>
      <c r="O771" s="89"/>
      <c r="P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91"/>
      <c r="N772" s="89"/>
      <c r="O772" s="89"/>
      <c r="P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91"/>
      <c r="N773" s="89"/>
      <c r="O773" s="89"/>
      <c r="P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91"/>
      <c r="N774" s="89"/>
      <c r="O774" s="89"/>
      <c r="P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91"/>
      <c r="N775" s="89"/>
      <c r="O775" s="89"/>
      <c r="P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91"/>
      <c r="N776" s="89"/>
      <c r="O776" s="89"/>
      <c r="P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91"/>
      <c r="N777" s="89"/>
      <c r="O777" s="89"/>
      <c r="P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91"/>
      <c r="N778" s="89"/>
      <c r="O778" s="89"/>
      <c r="P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91"/>
      <c r="N779" s="89"/>
      <c r="O779" s="89"/>
      <c r="P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91"/>
      <c r="N780" s="89"/>
      <c r="O780" s="89"/>
      <c r="P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91"/>
      <c r="N781" s="89"/>
      <c r="O781" s="89"/>
      <c r="P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91"/>
      <c r="N782" s="89"/>
      <c r="O782" s="89"/>
      <c r="P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91"/>
      <c r="N783" s="89"/>
      <c r="O783" s="89"/>
      <c r="P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91"/>
      <c r="N784" s="89"/>
      <c r="O784" s="89"/>
      <c r="P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91"/>
      <c r="N785" s="89"/>
      <c r="O785" s="89"/>
      <c r="P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91"/>
      <c r="N786" s="89"/>
      <c r="O786" s="89"/>
      <c r="P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91"/>
      <c r="N787" s="89"/>
      <c r="O787" s="89"/>
      <c r="P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91"/>
      <c r="N788" s="89"/>
      <c r="O788" s="89"/>
      <c r="P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91"/>
      <c r="N789" s="89"/>
      <c r="O789" s="89"/>
      <c r="P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91"/>
      <c r="N790" s="89"/>
      <c r="O790" s="89"/>
      <c r="P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91"/>
      <c r="N791" s="89"/>
      <c r="O791" s="89"/>
      <c r="P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91"/>
      <c r="N792" s="89"/>
      <c r="O792" s="89"/>
      <c r="P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91"/>
      <c r="N793" s="89"/>
      <c r="O793" s="89"/>
      <c r="P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91"/>
      <c r="N794" s="89"/>
      <c r="O794" s="89"/>
      <c r="P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91"/>
      <c r="N795" s="89"/>
      <c r="O795" s="89"/>
      <c r="P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91"/>
      <c r="N796" s="89"/>
      <c r="O796" s="89"/>
      <c r="P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91"/>
      <c r="N797" s="89"/>
      <c r="O797" s="89"/>
      <c r="P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91"/>
      <c r="N798" s="89"/>
      <c r="O798" s="89"/>
      <c r="P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91"/>
      <c r="N799" s="89"/>
      <c r="O799" s="89"/>
      <c r="P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91"/>
      <c r="N800" s="89"/>
      <c r="O800" s="89"/>
      <c r="P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91"/>
      <c r="N801" s="89"/>
      <c r="O801" s="89"/>
      <c r="P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91"/>
      <c r="N802" s="89"/>
      <c r="O802" s="89"/>
      <c r="P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91"/>
      <c r="N803" s="89"/>
      <c r="O803" s="89"/>
      <c r="P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91"/>
      <c r="N804" s="89"/>
      <c r="O804" s="89"/>
      <c r="P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91"/>
      <c r="N805" s="89"/>
      <c r="O805" s="89"/>
      <c r="P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91"/>
      <c r="N806" s="89"/>
      <c r="O806" s="89"/>
      <c r="P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91"/>
      <c r="N807" s="89"/>
      <c r="O807" s="89"/>
      <c r="P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91"/>
      <c r="N808" s="89"/>
      <c r="O808" s="89"/>
      <c r="P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91"/>
      <c r="N809" s="89"/>
      <c r="O809" s="89"/>
      <c r="P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91"/>
      <c r="N810" s="89"/>
      <c r="O810" s="89"/>
      <c r="P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91"/>
      <c r="N811" s="89"/>
      <c r="O811" s="89"/>
      <c r="P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91"/>
      <c r="N812" s="89"/>
      <c r="O812" s="89"/>
      <c r="P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91"/>
      <c r="N813" s="89"/>
      <c r="O813" s="89"/>
      <c r="P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91"/>
      <c r="N814" s="89"/>
      <c r="O814" s="89"/>
      <c r="P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91"/>
      <c r="N815" s="89"/>
      <c r="O815" s="89"/>
      <c r="P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91"/>
      <c r="N816" s="89"/>
      <c r="O816" s="89"/>
      <c r="P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91"/>
      <c r="N817" s="89"/>
      <c r="O817" s="89"/>
      <c r="P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91"/>
      <c r="N818" s="89"/>
      <c r="O818" s="89"/>
      <c r="P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91"/>
      <c r="N819" s="89"/>
      <c r="O819" s="89"/>
      <c r="P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91"/>
      <c r="N820" s="89"/>
      <c r="O820" s="89"/>
      <c r="P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91"/>
      <c r="N821" s="89"/>
      <c r="O821" s="89"/>
      <c r="P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91"/>
      <c r="N822" s="89"/>
      <c r="O822" s="89"/>
      <c r="P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91"/>
      <c r="N823" s="89"/>
      <c r="O823" s="89"/>
      <c r="P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91"/>
      <c r="N824" s="89"/>
      <c r="O824" s="89"/>
      <c r="P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91"/>
      <c r="N825" s="89"/>
      <c r="O825" s="89"/>
      <c r="P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91"/>
      <c r="N826" s="89"/>
      <c r="O826" s="89"/>
      <c r="P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91"/>
      <c r="N827" s="89"/>
      <c r="O827" s="89"/>
      <c r="P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91"/>
      <c r="N828" s="89"/>
      <c r="O828" s="89"/>
      <c r="P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91"/>
      <c r="N829" s="89"/>
      <c r="O829" s="89"/>
      <c r="P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91"/>
      <c r="N830" s="89"/>
      <c r="O830" s="89"/>
      <c r="P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91"/>
      <c r="N831" s="89"/>
      <c r="O831" s="89"/>
      <c r="P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91"/>
      <c r="N832" s="89"/>
      <c r="O832" s="89"/>
      <c r="P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91"/>
      <c r="N833" s="89"/>
      <c r="O833" s="89"/>
      <c r="P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91"/>
      <c r="N834" s="89"/>
      <c r="O834" s="89"/>
      <c r="P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91"/>
      <c r="N835" s="89"/>
      <c r="O835" s="89"/>
      <c r="P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91"/>
      <c r="N836" s="89"/>
      <c r="O836" s="89"/>
      <c r="P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91"/>
      <c r="N837" s="89"/>
      <c r="O837" s="89"/>
      <c r="P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91"/>
      <c r="N838" s="89"/>
      <c r="O838" s="89"/>
      <c r="P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91"/>
      <c r="N839" s="89"/>
      <c r="O839" s="89"/>
      <c r="P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91"/>
      <c r="N840" s="89"/>
      <c r="O840" s="89"/>
      <c r="P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91"/>
      <c r="N841" s="89"/>
      <c r="O841" s="89"/>
      <c r="P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91"/>
      <c r="N842" s="89"/>
      <c r="O842" s="89"/>
      <c r="P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91"/>
      <c r="N843" s="89"/>
      <c r="O843" s="89"/>
      <c r="P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91"/>
      <c r="N844" s="89"/>
      <c r="O844" s="89"/>
      <c r="P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91"/>
      <c r="N845" s="89"/>
      <c r="O845" s="89"/>
      <c r="P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91"/>
      <c r="N846" s="89"/>
      <c r="O846" s="89"/>
      <c r="P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91"/>
      <c r="N847" s="89"/>
      <c r="O847" s="89"/>
      <c r="P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91"/>
      <c r="N848" s="89"/>
      <c r="O848" s="89"/>
      <c r="P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91"/>
      <c r="N849" s="89"/>
      <c r="O849" s="89"/>
      <c r="P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91"/>
      <c r="N850" s="89"/>
      <c r="O850" s="89"/>
      <c r="P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91"/>
      <c r="N851" s="89"/>
      <c r="O851" s="89"/>
      <c r="P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91"/>
      <c r="N852" s="89"/>
      <c r="O852" s="89"/>
      <c r="P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91"/>
      <c r="N853" s="89"/>
      <c r="O853" s="89"/>
      <c r="P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91"/>
      <c r="N854" s="89"/>
      <c r="O854" s="89"/>
      <c r="P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91"/>
      <c r="N855" s="89"/>
      <c r="O855" s="89"/>
      <c r="P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91"/>
      <c r="N856" s="89"/>
      <c r="O856" s="89"/>
      <c r="P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91"/>
      <c r="N857" s="89"/>
      <c r="O857" s="89"/>
      <c r="P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91"/>
      <c r="N858" s="89"/>
      <c r="O858" s="89"/>
      <c r="P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91"/>
      <c r="N859" s="89"/>
      <c r="O859" s="89"/>
      <c r="P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91"/>
      <c r="N860" s="89"/>
      <c r="O860" s="89"/>
      <c r="P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91"/>
      <c r="N861" s="89"/>
      <c r="O861" s="89"/>
      <c r="P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91"/>
      <c r="N862" s="89"/>
      <c r="O862" s="89"/>
      <c r="P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91"/>
      <c r="N863" s="89"/>
      <c r="O863" s="89"/>
      <c r="P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91"/>
      <c r="N864" s="89"/>
      <c r="O864" s="89"/>
      <c r="P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91"/>
      <c r="N865" s="89"/>
      <c r="O865" s="89"/>
      <c r="P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91"/>
      <c r="N866" s="89"/>
      <c r="O866" s="89"/>
      <c r="P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91"/>
      <c r="N867" s="89"/>
      <c r="O867" s="89"/>
      <c r="P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91"/>
      <c r="N868" s="89"/>
      <c r="O868" s="89"/>
      <c r="P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91"/>
      <c r="N869" s="89"/>
      <c r="O869" s="89"/>
      <c r="P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91"/>
      <c r="N870" s="89"/>
      <c r="O870" s="89"/>
      <c r="P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91"/>
      <c r="N871" s="89"/>
      <c r="O871" s="89"/>
      <c r="P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91"/>
      <c r="N872" s="89"/>
      <c r="O872" s="89"/>
      <c r="P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91"/>
      <c r="N873" s="89"/>
      <c r="O873" s="89"/>
      <c r="P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91"/>
      <c r="N874" s="89"/>
      <c r="O874" s="89"/>
      <c r="P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91"/>
      <c r="N875" s="89"/>
      <c r="O875" s="89"/>
      <c r="P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91"/>
      <c r="N876" s="89"/>
      <c r="O876" s="89"/>
      <c r="P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91"/>
      <c r="N877" s="89"/>
      <c r="O877" s="89"/>
      <c r="P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91"/>
      <c r="N878" s="89"/>
      <c r="O878" s="89"/>
      <c r="P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91"/>
      <c r="N879" s="89"/>
      <c r="O879" s="89"/>
      <c r="P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91"/>
      <c r="N880" s="89"/>
      <c r="O880" s="89"/>
      <c r="P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91"/>
      <c r="N881" s="89"/>
      <c r="O881" s="89"/>
      <c r="P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91"/>
      <c r="N882" s="89"/>
      <c r="O882" s="89"/>
      <c r="P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91"/>
      <c r="N883" s="89"/>
      <c r="O883" s="89"/>
      <c r="P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91"/>
      <c r="N884" s="89"/>
      <c r="O884" s="89"/>
      <c r="P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91"/>
      <c r="N885" s="89"/>
      <c r="O885" s="89"/>
      <c r="P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91"/>
      <c r="N886" s="89"/>
      <c r="O886" s="89"/>
      <c r="P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91"/>
      <c r="N887" s="89"/>
      <c r="O887" s="89"/>
      <c r="P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91"/>
      <c r="N888" s="89"/>
      <c r="O888" s="89"/>
      <c r="P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91"/>
      <c r="N889" s="89"/>
      <c r="O889" s="89"/>
      <c r="P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91"/>
      <c r="N890" s="89"/>
      <c r="O890" s="89"/>
      <c r="P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91"/>
      <c r="N891" s="89"/>
      <c r="O891" s="89"/>
      <c r="P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91"/>
      <c r="N892" s="89"/>
      <c r="O892" s="89"/>
      <c r="P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91"/>
      <c r="N893" s="89"/>
      <c r="O893" s="89"/>
      <c r="P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91"/>
      <c r="N894" s="89"/>
      <c r="O894" s="89"/>
      <c r="P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91"/>
      <c r="N895" s="89"/>
      <c r="O895" s="89"/>
      <c r="P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91"/>
      <c r="N896" s="89"/>
      <c r="O896" s="89"/>
      <c r="P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91"/>
      <c r="N897" s="89"/>
      <c r="O897" s="89"/>
      <c r="P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91"/>
      <c r="N898" s="89"/>
      <c r="O898" s="89"/>
      <c r="P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91"/>
      <c r="N899" s="89"/>
      <c r="O899" s="89"/>
      <c r="P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91"/>
      <c r="N900" s="89"/>
      <c r="O900" s="89"/>
      <c r="P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91"/>
      <c r="N901" s="89"/>
      <c r="O901" s="89"/>
      <c r="P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91"/>
      <c r="N902" s="89"/>
      <c r="O902" s="89"/>
      <c r="P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91"/>
      <c r="N903" s="89"/>
      <c r="O903" s="89"/>
      <c r="P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91"/>
      <c r="N904" s="89"/>
      <c r="O904" s="89"/>
      <c r="P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91"/>
      <c r="N905" s="89"/>
      <c r="O905" s="89"/>
      <c r="P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91"/>
      <c r="N906" s="89"/>
      <c r="O906" s="89"/>
      <c r="P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91"/>
      <c r="N907" s="89"/>
      <c r="O907" s="89"/>
      <c r="P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91"/>
      <c r="N908" s="89"/>
      <c r="O908" s="89"/>
      <c r="P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91"/>
      <c r="N909" s="89"/>
      <c r="O909" s="89"/>
      <c r="P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91"/>
      <c r="N910" s="89"/>
      <c r="O910" s="89"/>
      <c r="P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91"/>
      <c r="N911" s="89"/>
      <c r="O911" s="89"/>
      <c r="P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91"/>
      <c r="N912" s="89"/>
      <c r="O912" s="89"/>
      <c r="P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91"/>
      <c r="N913" s="89"/>
      <c r="O913" s="89"/>
      <c r="P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91"/>
      <c r="N914" s="89"/>
      <c r="O914" s="89"/>
      <c r="P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91"/>
      <c r="N915" s="89"/>
      <c r="O915" s="89"/>
      <c r="P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91"/>
      <c r="N916" s="89"/>
      <c r="O916" s="89"/>
      <c r="P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91"/>
      <c r="N917" s="89"/>
      <c r="O917" s="89"/>
      <c r="P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91"/>
      <c r="N918" s="89"/>
      <c r="O918" s="89"/>
      <c r="P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91"/>
      <c r="N919" s="89"/>
      <c r="O919" s="89"/>
      <c r="P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91"/>
      <c r="N920" s="89"/>
      <c r="O920" s="89"/>
      <c r="P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91"/>
      <c r="N921" s="89"/>
      <c r="O921" s="89"/>
      <c r="P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91"/>
      <c r="N922" s="89"/>
      <c r="O922" s="89"/>
      <c r="P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91"/>
      <c r="N923" s="89"/>
      <c r="O923" s="89"/>
      <c r="P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91"/>
      <c r="N924" s="89"/>
      <c r="O924" s="89"/>
      <c r="P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91"/>
      <c r="N925" s="89"/>
      <c r="O925" s="89"/>
      <c r="P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91"/>
      <c r="N926" s="89"/>
      <c r="O926" s="89"/>
      <c r="P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91"/>
      <c r="N927" s="89"/>
      <c r="O927" s="89"/>
      <c r="P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91"/>
      <c r="N928" s="89"/>
      <c r="O928" s="89"/>
      <c r="P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91"/>
      <c r="N929" s="89"/>
      <c r="O929" s="89"/>
      <c r="P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91"/>
      <c r="N930" s="89"/>
      <c r="O930" s="89"/>
      <c r="P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91"/>
      <c r="N931" s="89"/>
      <c r="O931" s="89"/>
      <c r="P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91"/>
      <c r="N932" s="89"/>
      <c r="O932" s="89"/>
      <c r="P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91"/>
      <c r="N933" s="89"/>
      <c r="O933" s="89"/>
      <c r="P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91"/>
      <c r="N934" s="89"/>
      <c r="O934" s="89"/>
      <c r="P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91"/>
      <c r="N935" s="89"/>
      <c r="O935" s="89"/>
      <c r="P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91"/>
      <c r="N936" s="89"/>
      <c r="O936" s="89"/>
      <c r="P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91"/>
      <c r="N937" s="89"/>
      <c r="O937" s="89"/>
      <c r="P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91"/>
      <c r="N938" s="89"/>
      <c r="O938" s="89"/>
      <c r="P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91"/>
      <c r="N939" s="89"/>
      <c r="O939" s="89"/>
      <c r="P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91"/>
      <c r="N940" s="89"/>
      <c r="O940" s="89"/>
      <c r="P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91"/>
      <c r="N941" s="89"/>
      <c r="O941" s="89"/>
      <c r="P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91"/>
      <c r="N942" s="89"/>
      <c r="O942" s="89"/>
      <c r="P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91"/>
      <c r="N943" s="89"/>
      <c r="O943" s="89"/>
      <c r="P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91"/>
      <c r="N944" s="89"/>
      <c r="O944" s="89"/>
      <c r="P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91"/>
      <c r="N945" s="89"/>
      <c r="O945" s="89"/>
      <c r="P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91"/>
      <c r="N946" s="89"/>
      <c r="O946" s="89"/>
      <c r="P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91"/>
      <c r="N947" s="89"/>
      <c r="O947" s="89"/>
      <c r="P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91"/>
      <c r="N948" s="89"/>
      <c r="O948" s="89"/>
      <c r="P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91"/>
      <c r="N949" s="89"/>
      <c r="O949" s="89"/>
      <c r="P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91"/>
      <c r="N950" s="89"/>
      <c r="O950" s="89"/>
      <c r="P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91"/>
      <c r="N951" s="89"/>
      <c r="O951" s="89"/>
      <c r="P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91"/>
      <c r="N952" s="89"/>
      <c r="O952" s="89"/>
      <c r="P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91"/>
      <c r="N953" s="89"/>
      <c r="O953" s="89"/>
      <c r="P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91"/>
      <c r="N954" s="89"/>
      <c r="O954" s="89"/>
      <c r="P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91"/>
      <c r="N955" s="89"/>
      <c r="O955" s="89"/>
      <c r="P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91"/>
      <c r="N956" s="89"/>
      <c r="O956" s="89"/>
      <c r="P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91"/>
      <c r="N957" s="89"/>
      <c r="O957" s="89"/>
      <c r="P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91"/>
      <c r="N958" s="89"/>
      <c r="O958" s="89"/>
      <c r="P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91"/>
      <c r="N959" s="89"/>
      <c r="O959" s="89"/>
      <c r="P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91"/>
      <c r="N960" s="89"/>
      <c r="O960" s="89"/>
      <c r="P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91"/>
      <c r="N961" s="89"/>
      <c r="O961" s="89"/>
      <c r="P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91"/>
      <c r="N962" s="89"/>
      <c r="O962" s="89"/>
      <c r="P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91"/>
      <c r="N963" s="89"/>
      <c r="O963" s="89"/>
      <c r="P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91"/>
      <c r="N964" s="89"/>
      <c r="O964" s="89"/>
      <c r="P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91"/>
      <c r="N965" s="89"/>
      <c r="O965" s="89"/>
      <c r="P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91"/>
      <c r="N966" s="89"/>
      <c r="O966" s="89"/>
      <c r="P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91"/>
      <c r="N967" s="89"/>
      <c r="O967" s="89"/>
      <c r="P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91"/>
      <c r="N968" s="89"/>
      <c r="O968" s="89"/>
      <c r="P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91"/>
      <c r="N969" s="89"/>
      <c r="O969" s="89"/>
      <c r="P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91"/>
      <c r="N970" s="89"/>
      <c r="O970" s="89"/>
      <c r="P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91"/>
      <c r="N971" s="89"/>
      <c r="O971" s="89"/>
      <c r="P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91"/>
      <c r="N972" s="89"/>
      <c r="O972" s="89"/>
      <c r="P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91"/>
      <c r="N973" s="89"/>
      <c r="O973" s="89"/>
      <c r="P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91"/>
      <c r="N974" s="89"/>
      <c r="O974" s="89"/>
      <c r="P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91"/>
      <c r="N975" s="89"/>
      <c r="O975" s="89"/>
      <c r="P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91"/>
      <c r="N976" s="89"/>
      <c r="O976" s="89"/>
      <c r="P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91"/>
      <c r="N977" s="89"/>
      <c r="O977" s="89"/>
      <c r="P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91"/>
      <c r="N978" s="89"/>
      <c r="O978" s="89"/>
      <c r="P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91"/>
      <c r="N979" s="89"/>
      <c r="O979" s="89"/>
      <c r="P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91"/>
      <c r="N980" s="89"/>
      <c r="O980" s="89"/>
      <c r="P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91"/>
      <c r="N981" s="89"/>
      <c r="O981" s="89"/>
      <c r="P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91"/>
      <c r="N982" s="89"/>
      <c r="O982" s="89"/>
      <c r="P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91"/>
      <c r="N983" s="89"/>
      <c r="O983" s="89"/>
      <c r="P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91"/>
      <c r="N984" s="89"/>
      <c r="O984" s="89"/>
      <c r="P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91"/>
      <c r="N985" s="89"/>
      <c r="O985" s="89"/>
      <c r="P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91"/>
      <c r="N986" s="89"/>
      <c r="O986" s="89"/>
      <c r="P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91"/>
      <c r="N987" s="89"/>
      <c r="O987" s="89"/>
      <c r="P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91"/>
      <c r="N988" s="89"/>
      <c r="O988" s="89"/>
      <c r="P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91"/>
      <c r="N989" s="89"/>
      <c r="O989" s="89"/>
      <c r="P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91"/>
      <c r="N990" s="89"/>
      <c r="O990" s="89"/>
      <c r="P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91"/>
      <c r="N991" s="89"/>
      <c r="O991" s="89"/>
      <c r="P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91"/>
      <c r="N992" s="89"/>
      <c r="O992" s="89"/>
      <c r="P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91"/>
      <c r="N993" s="89"/>
      <c r="O993" s="89"/>
      <c r="P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91"/>
      <c r="N994" s="89"/>
      <c r="O994" s="89"/>
      <c r="P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91"/>
      <c r="N995" s="89"/>
      <c r="O995" s="89"/>
      <c r="P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91"/>
      <c r="N996" s="89"/>
      <c r="O996" s="89"/>
      <c r="P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91"/>
      <c r="N997" s="89"/>
      <c r="O997" s="89"/>
      <c r="P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91"/>
      <c r="N998" s="89"/>
      <c r="O998" s="89"/>
      <c r="P998" s="89"/>
    </row>
    <row r="999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91"/>
      <c r="N999" s="89"/>
      <c r="O999" s="89"/>
      <c r="P999" s="89"/>
    </row>
    <row r="1000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91"/>
      <c r="N1000" s="89"/>
      <c r="O1000" s="89"/>
      <c r="P1000" s="89"/>
    </row>
    <row r="1001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91"/>
      <c r="N1001" s="89"/>
      <c r="O1001" s="89"/>
      <c r="P1001" s="89"/>
    </row>
    <row r="1002">
      <c r="A1002" s="89"/>
      <c r="B1002" s="89"/>
      <c r="C1002" s="89"/>
      <c r="D1002" s="89"/>
      <c r="E1002" s="89"/>
      <c r="F1002" s="89"/>
      <c r="G1002" s="89"/>
      <c r="H1002" s="89"/>
      <c r="I1002" s="89"/>
      <c r="J1002" s="89"/>
      <c r="K1002" s="89"/>
      <c r="L1002" s="89"/>
      <c r="M1002" s="91"/>
      <c r="N1002" s="89"/>
      <c r="O1002" s="89"/>
      <c r="P1002" s="89"/>
    </row>
    <row r="1003">
      <c r="A1003" s="89"/>
      <c r="B1003" s="89"/>
      <c r="C1003" s="89"/>
      <c r="D1003" s="89"/>
      <c r="E1003" s="89"/>
      <c r="F1003" s="89"/>
      <c r="G1003" s="89"/>
      <c r="H1003" s="89"/>
      <c r="I1003" s="89"/>
      <c r="J1003" s="89"/>
      <c r="K1003" s="89"/>
      <c r="L1003" s="89"/>
      <c r="M1003" s="91"/>
      <c r="N1003" s="89"/>
      <c r="O1003" s="89"/>
      <c r="P1003" s="89"/>
    </row>
    <row r="1004">
      <c r="A1004" s="89"/>
      <c r="B1004" s="89"/>
      <c r="C1004" s="89"/>
      <c r="D1004" s="89"/>
      <c r="E1004" s="89"/>
      <c r="F1004" s="89"/>
      <c r="G1004" s="89"/>
      <c r="H1004" s="89"/>
      <c r="I1004" s="89"/>
      <c r="J1004" s="89"/>
      <c r="K1004" s="89"/>
      <c r="L1004" s="89"/>
      <c r="M1004" s="91"/>
      <c r="N1004" s="89"/>
      <c r="O1004" s="89"/>
      <c r="P1004" s="89"/>
    </row>
    <row r="1005">
      <c r="A1005" s="89"/>
      <c r="B1005" s="89"/>
      <c r="C1005" s="89"/>
      <c r="D1005" s="89"/>
      <c r="E1005" s="89"/>
      <c r="F1005" s="89"/>
      <c r="G1005" s="89"/>
      <c r="H1005" s="89"/>
      <c r="I1005" s="89"/>
      <c r="J1005" s="89"/>
      <c r="K1005" s="89"/>
      <c r="L1005" s="89"/>
      <c r="M1005" s="91"/>
      <c r="N1005" s="89"/>
      <c r="O1005" s="89"/>
      <c r="P1005" s="89"/>
    </row>
    <row r="1006">
      <c r="A1006" s="92"/>
      <c r="B1006" s="92"/>
      <c r="C1006" s="92"/>
      <c r="D1006" s="92"/>
      <c r="E1006" s="92"/>
      <c r="F1006" s="92"/>
      <c r="G1006" s="92"/>
      <c r="H1006" s="92"/>
      <c r="I1006" s="92"/>
      <c r="J1006" s="92"/>
      <c r="K1006" s="92"/>
      <c r="L1006" s="92"/>
      <c r="M1006" s="93"/>
      <c r="N1006" s="89"/>
      <c r="O1006" s="92"/>
      <c r="P1006" s="92"/>
    </row>
  </sheetData>
  <customSheetViews>
    <customSheetView guid="{C0AB1544-F4B4-45C0-8975-97F745A006DC}" filter="1" showAutoFilter="1">
      <autoFilter ref="$A$1:$T$487"/>
    </customSheetView>
    <customSheetView guid="{9B5C888F-E11A-4842-8D0B-62F1614802A4}" filter="1" showAutoFilter="1">
      <autoFilter ref="$A$1:$O$291">
        <filterColumn colId="6">
          <filters>
            <filter val="AH+"/>
          </filters>
        </filterColumn>
      </autoFilter>
    </customSheetView>
    <customSheetView guid="{3D13BECD-F97B-4CC8-B9FC-728C2CBFEBF1}" filter="1" showAutoFilter="1">
      <autoFilter ref="$A$1:$P$487">
        <filterColumn colId="4">
          <filters>
            <filter val="Myanmar"/>
            <filter val="Finlândia"/>
            <filter val="Nigéria"/>
            <filter val="País de Gales"/>
            <filter val="Líbano"/>
            <filter val="Blangadesh"/>
            <filter val="Escócia"/>
            <filter val="Zagreb"/>
            <filter val="Mali"/>
            <filter val="Panamá"/>
            <filter val="Islândia"/>
            <filter val="México"/>
            <filter val="Em. Árabes"/>
            <filter val="Austrália"/>
            <filter val="Namibia"/>
            <filter val="UAE"/>
            <filter val="Nicarágua"/>
            <filter val="Honduras"/>
            <filter val="Catar"/>
            <filter val="Jamaica"/>
            <filter val="Paraguai"/>
            <filter val="Africa do Sul"/>
            <filter val="Singapura"/>
            <filter val="Trinidad e Tob."/>
            <filter val="Hong Kong"/>
            <filter val="Holanda"/>
            <filter val="Ruanda"/>
            <filter val="Árabia Saudita"/>
            <filter val="Vietnã"/>
            <filter val="Costa Rica"/>
            <filter val="Bahrein"/>
            <filter val="Andorra"/>
            <filter val="Europa"/>
            <filter val="Kuwait"/>
            <filter val="Togo"/>
            <filter val="Grécia"/>
            <filter val="Niger"/>
            <filter val="Índia"/>
            <filter val="Paises Baixos"/>
            <filter val="Venezuela"/>
            <filter val="Barbados"/>
            <filter val="Uruguai"/>
            <filter val="Camarões"/>
          </filters>
        </filterColumn>
      </autoFilter>
    </customSheetView>
    <customSheetView guid="{9BA04A38-02DA-4F02-BBBB-302FC15326E0}" filter="1" showAutoFilter="1">
      <autoFilter ref="$A$1:$P$487">
        <filterColumn colId="6">
          <filters/>
        </filterColumn>
      </autoFilter>
    </customSheetView>
    <customSheetView guid="{978C25F2-69C0-4E3B-8EFC-6A6EC3E48DD3}" filter="1" showAutoFilter="1">
      <autoFilter ref="$A$1:$T$487"/>
    </customSheetView>
    <customSheetView guid="{BA551338-6311-4C02-9137-137E692B7D93}" filter="1" showAutoFilter="1">
      <autoFilter ref="$A$1:$P$487">
        <filterColumn colId="8">
          <filters>
            <filter val="2.50"/>
            <filter val="3.25"/>
            <filter val="-9.50"/>
            <filter val="0.75"/>
            <filter val="1.00"/>
            <filter val="3.00"/>
            <filter val="-4.50"/>
            <filter val="-6.50"/>
            <filter val="-5.00"/>
            <filter val="-2.50"/>
            <filter val="-2.75"/>
            <filter val="0.25"/>
            <filter val="-4.75"/>
            <filter val="-3.25"/>
            <filter val="-0.75"/>
            <filter val="-3.00"/>
            <filter val="´-1"/>
            <filter val="-1.00"/>
            <filter val="-5.25"/>
            <filter val="-1.25"/>
            <filter val="2.25"/>
            <filter val="2.00"/>
            <filter val="1.75"/>
            <filter val="1.50"/>
            <filter val="-3.50"/>
            <filter val="-5.50"/>
            <filter val="-3.75"/>
            <filter val="-1.50"/>
            <filter val="-4.00"/>
            <filter val="-2.00"/>
            <filter val="-4.25"/>
            <filter val="-1.75"/>
            <filter val="-6.25"/>
            <filter val="-2.25"/>
          </filters>
        </filterColumn>
      </autoFilter>
    </customSheetView>
    <customSheetView guid="{D9D1A42E-DDFC-4032-8664-60A2E47E0D40}" filter="1" showAutoFilter="1">
      <autoFilter ref="$A$1:$O$291"/>
    </customSheetView>
    <customSheetView guid="{F477B962-7F95-4B58-B796-7F91B20D0221}" filter="1" showAutoFilter="1">
      <autoFilter ref="$A$1:$T$487">
        <filterColumn colId="6">
          <filters>
            <filter val="Under"/>
          </filters>
        </filterColumn>
      </autoFilter>
    </customSheetView>
    <customSheetView guid="{8BE028A4-B37D-4082-AE82-07BBC89EBB11}" filter="1" showAutoFilter="1">
      <autoFilter ref="$A$1:$P$487"/>
    </customSheetView>
    <customSheetView guid="{B1E9CC24-145D-4007-8A11-90FD9E435072}" filter="1" showAutoFilter="1">
      <autoFilter ref="$A$1:$T$487">
        <filterColumn colId="4">
          <filters>
            <filter val="Myanmar"/>
            <filter val="Polônia"/>
            <filter val="Nigéria"/>
            <filter val="País de Gales"/>
            <filter val="Blangadesh"/>
            <filter val="Escócia"/>
            <filter val="El Salvador"/>
            <filter val="Zagreb"/>
            <filter val="Mali"/>
            <filter val="Panamá"/>
            <filter val="Noruega"/>
            <filter val="Guatemala"/>
            <filter val="Romênia"/>
            <filter val="Islândia"/>
            <filter val="Chile"/>
            <filter val="Omã"/>
            <filter val="Em. Árabes"/>
            <filter val="Bélgica"/>
            <filter val="Ásia"/>
            <filter val="Quênia"/>
            <filter val="Namibia"/>
            <filter val="Croácia"/>
            <filter val="Eslováquia"/>
            <filter val="UAE"/>
            <filter val="Nicarágua"/>
            <filter val="Honduras"/>
            <filter val="Catar"/>
            <filter val="Jamaica"/>
            <filter val="Paraguai"/>
            <filter val="Africa do Sul"/>
            <filter val="Singapura"/>
            <filter val="Burundi"/>
            <filter val="Trinidad e Tob."/>
            <filter val="Hong Kong"/>
            <filter val="Árabia Saudita"/>
            <filter val="Vietnã"/>
            <filter val="Costa Rica"/>
            <filter val="Bahrein"/>
            <filter val="Irlanda Norte"/>
            <filter val="Andorra"/>
            <filter val="Europa"/>
            <filter val="Kuwait"/>
            <filter val="Irlanda"/>
            <filter val="Togo"/>
            <filter val="Niger"/>
            <filter val="Amistoso"/>
            <filter val="Áustria"/>
            <filter val="Venezuela"/>
            <filter val="Barbados"/>
            <filter val="Uruguai"/>
            <filter val="Camarões"/>
          </filters>
        </filterColumn>
      </autoFilter>
    </customSheetView>
  </customSheetViews>
  <mergeCells count="14">
    <mergeCell ref="R71:T71"/>
    <mergeCell ref="R72:T72"/>
    <mergeCell ref="R73:T73"/>
    <mergeCell ref="R74:T74"/>
    <mergeCell ref="R75:T75"/>
    <mergeCell ref="R76:T76"/>
    <mergeCell ref="R77:T77"/>
    <mergeCell ref="R64:T64"/>
    <mergeCell ref="R65:T65"/>
    <mergeCell ref="R66:T66"/>
    <mergeCell ref="R67:T67"/>
    <mergeCell ref="R68:T68"/>
    <mergeCell ref="R69:T69"/>
    <mergeCell ref="R70:T70"/>
  </mergeCells>
  <conditionalFormatting sqref="N2:N528">
    <cfRule type="cellIs" dxfId="0" priority="1" operator="equal">
      <formula>"Ganha"</formula>
    </cfRule>
  </conditionalFormatting>
  <conditionalFormatting sqref="N2:N528">
    <cfRule type="cellIs" dxfId="1" priority="2" operator="equal">
      <formula>"Ganha/devolvida"</formula>
    </cfRule>
  </conditionalFormatting>
  <conditionalFormatting sqref="N2:N528">
    <cfRule type="cellIs" dxfId="2" priority="3" operator="equal">
      <formula>"Devolvida"</formula>
    </cfRule>
  </conditionalFormatting>
  <conditionalFormatting sqref="N2:N528">
    <cfRule type="cellIs" dxfId="3" priority="4" operator="equal">
      <formula>"Perdida/devolvida"</formula>
    </cfRule>
  </conditionalFormatting>
  <conditionalFormatting sqref="N2:N528">
    <cfRule type="cellIs" dxfId="4" priority="5" operator="equal">
      <formula>"Perdida"</formula>
    </cfRule>
  </conditionalFormatting>
  <conditionalFormatting sqref="O2:O529 P2:P1006 S2:S36">
    <cfRule type="cellIs" dxfId="0" priority="6" operator="greaterThan">
      <formula>0</formula>
    </cfRule>
  </conditionalFormatting>
  <conditionalFormatting sqref="O2:O529 P2:P1006 S2:S36">
    <cfRule type="cellIs" dxfId="4" priority="7" operator="lessThan">
      <formula>0</formula>
    </cfRule>
  </conditionalFormatting>
  <conditionalFormatting sqref="O2:O1006 P2:P14 S2:S36">
    <cfRule type="cellIs" dxfId="2" priority="8" operator="equal">
      <formula>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  <tableParts count="3"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3" width="3.88"/>
    <col customWidth="1" min="4" max="4" width="60.88"/>
    <col customWidth="1" min="5" max="5" width="11.63"/>
    <col customWidth="1" min="6" max="6" width="4.5"/>
    <col customWidth="1" min="7" max="7" width="8.13"/>
    <col customWidth="1" min="8" max="8" width="9.5"/>
    <col customWidth="1" min="9" max="12" width="5.88"/>
    <col customWidth="1" min="13" max="13" width="6.5"/>
    <col customWidth="1" min="14" max="14" width="14.75"/>
    <col customWidth="1" min="15" max="15" width="7.38"/>
    <col customWidth="1" min="16" max="16" width="7.25"/>
    <col customWidth="1" min="17" max="17" width="4.13"/>
    <col customWidth="1" min="18" max="18" width="6.25"/>
    <col customWidth="1" min="19" max="19" width="6.5"/>
    <col customWidth="1" min="20" max="20" width="11.63"/>
  </cols>
  <sheetData>
    <row r="1">
      <c r="A1" s="1" t="s">
        <v>212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4" t="s">
        <v>8</v>
      </c>
      <c r="J1" s="5" t="s">
        <v>9</v>
      </c>
      <c r="K1" s="4" t="s">
        <v>10</v>
      </c>
      <c r="L1" s="6" t="s">
        <v>11</v>
      </c>
      <c r="M1" s="7" t="s">
        <v>12</v>
      </c>
      <c r="N1" s="3" t="s">
        <v>13</v>
      </c>
      <c r="O1" s="5" t="s">
        <v>14</v>
      </c>
      <c r="P1" s="4" t="s">
        <v>15</v>
      </c>
      <c r="R1" s="3" t="s">
        <v>16</v>
      </c>
      <c r="S1" s="3" t="s">
        <v>15</v>
      </c>
      <c r="T1" s="3" t="s">
        <v>17</v>
      </c>
    </row>
    <row r="2">
      <c r="A2" s="64">
        <f>1</f>
        <v>1</v>
      </c>
      <c r="B2" s="64" t="s">
        <v>26</v>
      </c>
      <c r="C2" s="64" t="s">
        <v>19</v>
      </c>
      <c r="D2" s="64" t="s">
        <v>591</v>
      </c>
      <c r="E2" s="64" t="s">
        <v>93</v>
      </c>
      <c r="F2" s="64" t="s">
        <v>22</v>
      </c>
      <c r="G2" s="64" t="s">
        <v>29</v>
      </c>
      <c r="H2" s="64" t="s">
        <v>39</v>
      </c>
      <c r="I2" s="65">
        <v>-2.5</v>
      </c>
      <c r="J2" s="65">
        <v>0.5</v>
      </c>
      <c r="K2" s="65">
        <v>0.4642</v>
      </c>
      <c r="L2" s="66">
        <v>45627.0</v>
      </c>
      <c r="M2" s="67">
        <v>1.9</v>
      </c>
      <c r="N2" s="64" t="s">
        <v>25</v>
      </c>
      <c r="O2" s="68">
        <f t="shared" ref="O2:O525" si="1">IF(N2="ganha",(K2*(M2-1)),IF(N2="perdida",-K2,IF(N2="devolvida",0,IF(N2="ganha/devolvida",((K2*(M2-1)))/2,IF(N2="perdida/devolvida",-K2/2,IF(N2="Aguardando",0,""))))))</f>
        <v>-0.4642</v>
      </c>
      <c r="P2" s="68">
        <f>O2</f>
        <v>-0.4642</v>
      </c>
      <c r="R2" s="66">
        <v>45627.0</v>
      </c>
      <c r="S2" s="13">
        <f t="shared" ref="S2:S33" si="2">SUMIF($L$2:$L$2986,R2,$O$2:$O$2986)</f>
        <v>-2.625975</v>
      </c>
      <c r="T2" s="14">
        <f>SUMIF($N$2:$N$2986,"Aguardando",$K$2:$K$2986)</f>
        <v>0</v>
      </c>
    </row>
    <row r="3" ht="16.5" customHeight="1">
      <c r="A3" s="64">
        <f t="shared" ref="A3:A573" si="3">A2+1</f>
        <v>2</v>
      </c>
      <c r="B3" s="64" t="s">
        <v>26</v>
      </c>
      <c r="C3" s="64" t="s">
        <v>19</v>
      </c>
      <c r="D3" s="64" t="s">
        <v>592</v>
      </c>
      <c r="E3" s="64" t="s">
        <v>593</v>
      </c>
      <c r="F3" s="64" t="s">
        <v>22</v>
      </c>
      <c r="G3" s="64" t="s">
        <v>29</v>
      </c>
      <c r="H3" s="64" t="s">
        <v>39</v>
      </c>
      <c r="I3" s="65">
        <v>-3.75</v>
      </c>
      <c r="J3" s="65">
        <v>0.25</v>
      </c>
      <c r="K3" s="65">
        <v>0.244</v>
      </c>
      <c r="L3" s="66">
        <v>45627.0</v>
      </c>
      <c r="M3" s="67">
        <v>1.85</v>
      </c>
      <c r="N3" s="64" t="s">
        <v>25</v>
      </c>
      <c r="O3" s="68">
        <f t="shared" si="1"/>
        <v>-0.244</v>
      </c>
      <c r="P3" s="68">
        <f t="shared" ref="P3:P522" si="4">P2+O3</f>
        <v>-0.7082</v>
      </c>
      <c r="R3" s="66">
        <v>45628.0</v>
      </c>
      <c r="S3" s="13">
        <f t="shared" si="2"/>
        <v>-0.5</v>
      </c>
    </row>
    <row r="4">
      <c r="A4" s="64">
        <f t="shared" si="3"/>
        <v>3</v>
      </c>
      <c r="B4" s="64" t="s">
        <v>26</v>
      </c>
      <c r="C4" s="64" t="s">
        <v>19</v>
      </c>
      <c r="D4" s="64" t="s">
        <v>594</v>
      </c>
      <c r="E4" s="64" t="s">
        <v>93</v>
      </c>
      <c r="F4" s="64" t="s">
        <v>22</v>
      </c>
      <c r="G4" s="64" t="s">
        <v>225</v>
      </c>
      <c r="H4" s="64" t="s">
        <v>24</v>
      </c>
      <c r="I4" s="65">
        <v>1.0</v>
      </c>
      <c r="J4" s="65">
        <v>0.3</v>
      </c>
      <c r="K4" s="65">
        <v>0.2785</v>
      </c>
      <c r="L4" s="66">
        <v>45627.0</v>
      </c>
      <c r="M4" s="67">
        <v>1.875</v>
      </c>
      <c r="N4" s="64" t="s">
        <v>25</v>
      </c>
      <c r="O4" s="68">
        <f t="shared" si="1"/>
        <v>-0.2785</v>
      </c>
      <c r="P4" s="68">
        <f t="shared" si="4"/>
        <v>-0.9867</v>
      </c>
      <c r="R4" s="66">
        <v>45629.0</v>
      </c>
      <c r="S4" s="13">
        <f t="shared" si="2"/>
        <v>-0.7021075</v>
      </c>
      <c r="T4" s="3" t="s">
        <v>34</v>
      </c>
    </row>
    <row r="5">
      <c r="A5" s="64">
        <f t="shared" si="3"/>
        <v>4</v>
      </c>
      <c r="B5" s="64" t="s">
        <v>26</v>
      </c>
      <c r="C5" s="64" t="s">
        <v>19</v>
      </c>
      <c r="D5" s="64" t="s">
        <v>595</v>
      </c>
      <c r="E5" s="64" t="s">
        <v>93</v>
      </c>
      <c r="F5" s="64" t="s">
        <v>22</v>
      </c>
      <c r="G5" s="64" t="s">
        <v>225</v>
      </c>
      <c r="H5" s="64" t="s">
        <v>24</v>
      </c>
      <c r="I5" s="65">
        <v>3.0</v>
      </c>
      <c r="J5" s="65">
        <v>0.3</v>
      </c>
      <c r="K5" s="65">
        <v>0.2857</v>
      </c>
      <c r="L5" s="66">
        <v>45627.0</v>
      </c>
      <c r="M5" s="67">
        <v>1.9</v>
      </c>
      <c r="N5" s="64" t="s">
        <v>25</v>
      </c>
      <c r="O5" s="68">
        <f t="shared" si="1"/>
        <v>-0.2857</v>
      </c>
      <c r="P5" s="68">
        <f t="shared" si="4"/>
        <v>-1.2724</v>
      </c>
      <c r="R5" s="66">
        <v>45630.0</v>
      </c>
      <c r="S5" s="13">
        <f t="shared" si="2"/>
        <v>-0.27216</v>
      </c>
      <c r="T5" s="20">
        <f>sum(K2:K1019)</f>
        <v>95.421</v>
      </c>
    </row>
    <row r="6">
      <c r="A6" s="64">
        <f t="shared" si="3"/>
        <v>5</v>
      </c>
      <c r="B6" s="64" t="s">
        <v>35</v>
      </c>
      <c r="C6" s="64" t="s">
        <v>19</v>
      </c>
      <c r="D6" s="64" t="s">
        <v>596</v>
      </c>
      <c r="E6" s="64" t="s">
        <v>93</v>
      </c>
      <c r="F6" s="64" t="s">
        <v>22</v>
      </c>
      <c r="G6" s="64" t="s">
        <v>29</v>
      </c>
      <c r="H6" s="64" t="s">
        <v>39</v>
      </c>
      <c r="I6" s="65">
        <v>-0.75</v>
      </c>
      <c r="J6" s="65">
        <v>0.25</v>
      </c>
      <c r="K6" s="65">
        <v>0.238</v>
      </c>
      <c r="L6" s="66">
        <v>45627.0</v>
      </c>
      <c r="M6" s="67">
        <v>1.775</v>
      </c>
      <c r="N6" s="64" t="s">
        <v>79</v>
      </c>
      <c r="O6" s="68">
        <f t="shared" si="1"/>
        <v>-0.119</v>
      </c>
      <c r="P6" s="68">
        <f t="shared" si="4"/>
        <v>-1.3914</v>
      </c>
      <c r="R6" s="66">
        <v>45631.0</v>
      </c>
      <c r="S6" s="13">
        <f t="shared" si="2"/>
        <v>0.757</v>
      </c>
    </row>
    <row r="7">
      <c r="A7" s="64">
        <f t="shared" si="3"/>
        <v>6</v>
      </c>
      <c r="B7" s="64" t="s">
        <v>26</v>
      </c>
      <c r="C7" s="64" t="s">
        <v>19</v>
      </c>
      <c r="D7" s="64" t="s">
        <v>597</v>
      </c>
      <c r="E7" s="64" t="s">
        <v>60</v>
      </c>
      <c r="F7" s="64" t="s">
        <v>598</v>
      </c>
      <c r="G7" s="64" t="s">
        <v>225</v>
      </c>
      <c r="H7" s="64" t="s">
        <v>24</v>
      </c>
      <c r="I7" s="65">
        <v>1.0</v>
      </c>
      <c r="J7" s="65">
        <v>0.3</v>
      </c>
      <c r="K7" s="65">
        <v>0.3</v>
      </c>
      <c r="L7" s="66">
        <v>45627.0</v>
      </c>
      <c r="M7" s="67">
        <v>2.0</v>
      </c>
      <c r="N7" s="64" t="s">
        <v>33</v>
      </c>
      <c r="O7" s="68">
        <f t="shared" si="1"/>
        <v>0.3</v>
      </c>
      <c r="P7" s="68">
        <f t="shared" si="4"/>
        <v>-1.0914</v>
      </c>
      <c r="R7" s="66">
        <v>45632.0</v>
      </c>
      <c r="S7" s="13">
        <f t="shared" si="2"/>
        <v>0.483445</v>
      </c>
    </row>
    <row r="8">
      <c r="A8" s="64">
        <f t="shared" si="3"/>
        <v>7</v>
      </c>
      <c r="B8" s="64" t="s">
        <v>35</v>
      </c>
      <c r="C8" s="64" t="s">
        <v>19</v>
      </c>
      <c r="D8" s="64" t="s">
        <v>599</v>
      </c>
      <c r="E8" s="64" t="s">
        <v>93</v>
      </c>
      <c r="F8" s="64" t="s">
        <v>22</v>
      </c>
      <c r="G8" s="64" t="s">
        <v>29</v>
      </c>
      <c r="H8" s="64" t="s">
        <v>39</v>
      </c>
      <c r="I8" s="65">
        <v>-2.0</v>
      </c>
      <c r="J8" s="65">
        <v>0.25</v>
      </c>
      <c r="K8" s="65">
        <v>0.25</v>
      </c>
      <c r="L8" s="66">
        <v>45627.0</v>
      </c>
      <c r="M8" s="67">
        <v>1.925</v>
      </c>
      <c r="N8" s="64" t="s">
        <v>70</v>
      </c>
      <c r="O8" s="68">
        <f t="shared" si="1"/>
        <v>0</v>
      </c>
      <c r="P8" s="68">
        <f t="shared" si="4"/>
        <v>-1.0914</v>
      </c>
      <c r="R8" s="66">
        <v>45633.0</v>
      </c>
      <c r="S8" s="13">
        <f t="shared" si="2"/>
        <v>-0.8711675</v>
      </c>
      <c r="T8" s="3" t="s">
        <v>45</v>
      </c>
    </row>
    <row r="9">
      <c r="A9" s="64">
        <f t="shared" si="3"/>
        <v>8</v>
      </c>
      <c r="B9" s="64" t="s">
        <v>35</v>
      </c>
      <c r="C9" s="64" t="s">
        <v>19</v>
      </c>
      <c r="D9" s="64" t="s">
        <v>600</v>
      </c>
      <c r="E9" s="64" t="s">
        <v>88</v>
      </c>
      <c r="F9" s="64" t="s">
        <v>22</v>
      </c>
      <c r="G9" s="64" t="s">
        <v>29</v>
      </c>
      <c r="H9" s="64" t="s">
        <v>24</v>
      </c>
      <c r="I9" s="65">
        <v>-1.0</v>
      </c>
      <c r="J9" s="65">
        <v>0.5</v>
      </c>
      <c r="K9" s="65">
        <v>0.5</v>
      </c>
      <c r="L9" s="66">
        <v>45627.0</v>
      </c>
      <c r="M9" s="67">
        <v>2.025</v>
      </c>
      <c r="N9" s="64" t="s">
        <v>70</v>
      </c>
      <c r="O9" s="68">
        <f t="shared" si="1"/>
        <v>0</v>
      </c>
      <c r="P9" s="68">
        <f t="shared" si="4"/>
        <v>-1.0914</v>
      </c>
      <c r="R9" s="66">
        <v>45634.0</v>
      </c>
      <c r="S9" s="13">
        <f t="shared" si="2"/>
        <v>0.892845</v>
      </c>
      <c r="T9" s="21">
        <f>S34/(SUM(K2:K4939)-T2)</f>
        <v>-0.01793473135</v>
      </c>
    </row>
    <row r="10">
      <c r="A10" s="64">
        <f t="shared" si="3"/>
        <v>9</v>
      </c>
      <c r="B10" s="64" t="s">
        <v>26</v>
      </c>
      <c r="C10" s="64" t="s">
        <v>40</v>
      </c>
      <c r="D10" s="64" t="s">
        <v>601</v>
      </c>
      <c r="E10" s="64" t="s">
        <v>42</v>
      </c>
      <c r="F10" s="64" t="s">
        <v>22</v>
      </c>
      <c r="G10" s="64" t="s">
        <v>29</v>
      </c>
      <c r="H10" s="64" t="s">
        <v>24</v>
      </c>
      <c r="I10" s="65">
        <v>-3.0</v>
      </c>
      <c r="J10" s="65">
        <v>0.5</v>
      </c>
      <c r="K10" s="65">
        <v>0.4761</v>
      </c>
      <c r="L10" s="66">
        <v>45627.0</v>
      </c>
      <c r="M10" s="67">
        <v>1.8</v>
      </c>
      <c r="N10" s="64" t="s">
        <v>25</v>
      </c>
      <c r="O10" s="68">
        <f t="shared" si="1"/>
        <v>-0.4761</v>
      </c>
      <c r="P10" s="68">
        <f t="shared" si="4"/>
        <v>-1.5675</v>
      </c>
      <c r="R10" s="66">
        <v>45635.0</v>
      </c>
      <c r="S10" s="13">
        <f t="shared" si="2"/>
        <v>-0.57217125</v>
      </c>
    </row>
    <row r="11">
      <c r="A11" s="64">
        <f t="shared" si="3"/>
        <v>10</v>
      </c>
      <c r="B11" s="64" t="s">
        <v>26</v>
      </c>
      <c r="C11" s="64" t="s">
        <v>19</v>
      </c>
      <c r="D11" s="64" t="s">
        <v>602</v>
      </c>
      <c r="E11" s="64" t="s">
        <v>121</v>
      </c>
      <c r="F11" s="64" t="s">
        <v>22</v>
      </c>
      <c r="G11" s="64" t="s">
        <v>225</v>
      </c>
      <c r="H11" s="64" t="s">
        <v>24</v>
      </c>
      <c r="I11" s="65">
        <v>0.75</v>
      </c>
      <c r="J11" s="65">
        <v>0.3</v>
      </c>
      <c r="K11" s="65">
        <v>0.3</v>
      </c>
      <c r="L11" s="66">
        <v>45627.0</v>
      </c>
      <c r="M11" s="67">
        <v>1.8</v>
      </c>
      <c r="N11" s="64" t="s">
        <v>33</v>
      </c>
      <c r="O11" s="68">
        <f t="shared" si="1"/>
        <v>0.24</v>
      </c>
      <c r="P11" s="68">
        <f t="shared" si="4"/>
        <v>-1.3275</v>
      </c>
      <c r="R11" s="66">
        <v>45636.0</v>
      </c>
      <c r="S11" s="13">
        <f t="shared" si="2"/>
        <v>-0.261025</v>
      </c>
      <c r="T11" s="2" t="s">
        <v>51</v>
      </c>
    </row>
    <row r="12">
      <c r="A12" s="64">
        <f t="shared" si="3"/>
        <v>11</v>
      </c>
      <c r="B12" s="64" t="s">
        <v>26</v>
      </c>
      <c r="C12" s="64" t="s">
        <v>19</v>
      </c>
      <c r="D12" s="64" t="s">
        <v>603</v>
      </c>
      <c r="E12" s="64" t="s">
        <v>121</v>
      </c>
      <c r="F12" s="64" t="s">
        <v>22</v>
      </c>
      <c r="G12" s="64" t="s">
        <v>225</v>
      </c>
      <c r="H12" s="64" t="s">
        <v>24</v>
      </c>
      <c r="I12" s="65">
        <v>0.75</v>
      </c>
      <c r="J12" s="65">
        <v>0.3</v>
      </c>
      <c r="K12" s="65">
        <v>0.2857</v>
      </c>
      <c r="L12" s="66">
        <v>45627.0</v>
      </c>
      <c r="M12" s="67">
        <v>1.8</v>
      </c>
      <c r="N12" s="64" t="s">
        <v>79</v>
      </c>
      <c r="O12" s="68">
        <f t="shared" si="1"/>
        <v>-0.14285</v>
      </c>
      <c r="P12" s="68">
        <f t="shared" si="4"/>
        <v>-1.47035</v>
      </c>
      <c r="R12" s="66">
        <v>45637.0</v>
      </c>
      <c r="S12" s="13">
        <f t="shared" si="2"/>
        <v>-0.77825</v>
      </c>
      <c r="T12" s="14">
        <f>average(K2:K1005)</f>
        <v>0.3508125</v>
      </c>
    </row>
    <row r="13">
      <c r="A13" s="64">
        <f t="shared" si="3"/>
        <v>12</v>
      </c>
      <c r="B13" s="64" t="s">
        <v>26</v>
      </c>
      <c r="C13" s="64" t="s">
        <v>19</v>
      </c>
      <c r="D13" s="64" t="s">
        <v>604</v>
      </c>
      <c r="E13" s="64" t="s">
        <v>50</v>
      </c>
      <c r="F13" s="64" t="s">
        <v>22</v>
      </c>
      <c r="G13" s="64" t="s">
        <v>225</v>
      </c>
      <c r="H13" s="64" t="s">
        <v>24</v>
      </c>
      <c r="I13" s="65">
        <v>1.0</v>
      </c>
      <c r="J13" s="65">
        <v>0.25</v>
      </c>
      <c r="K13" s="65">
        <v>0.238</v>
      </c>
      <c r="L13" s="66">
        <v>45627.0</v>
      </c>
      <c r="M13" s="67">
        <v>1.95</v>
      </c>
      <c r="N13" s="64" t="s">
        <v>25</v>
      </c>
      <c r="O13" s="68">
        <f t="shared" si="1"/>
        <v>-0.238</v>
      </c>
      <c r="P13" s="68">
        <f t="shared" si="4"/>
        <v>-1.70835</v>
      </c>
      <c r="R13" s="66">
        <v>45638.0</v>
      </c>
      <c r="S13" s="13">
        <f t="shared" si="2"/>
        <v>1.407105</v>
      </c>
    </row>
    <row r="14">
      <c r="A14" s="64">
        <f t="shared" si="3"/>
        <v>13</v>
      </c>
      <c r="B14" s="64" t="s">
        <v>26</v>
      </c>
      <c r="C14" s="64" t="s">
        <v>19</v>
      </c>
      <c r="D14" s="64" t="s">
        <v>605</v>
      </c>
      <c r="E14" s="64" t="s">
        <v>50</v>
      </c>
      <c r="F14" s="64" t="s">
        <v>22</v>
      </c>
      <c r="G14" s="64" t="s">
        <v>29</v>
      </c>
      <c r="H14" s="64" t="s">
        <v>24</v>
      </c>
      <c r="I14" s="65">
        <v>-3.0</v>
      </c>
      <c r="J14" s="65">
        <v>0.5</v>
      </c>
      <c r="K14" s="65">
        <v>0.4761</v>
      </c>
      <c r="L14" s="66">
        <v>45627.0</v>
      </c>
      <c r="M14" s="67">
        <v>1.95</v>
      </c>
      <c r="N14" s="64" t="s">
        <v>70</v>
      </c>
      <c r="O14" s="68">
        <f t="shared" si="1"/>
        <v>0</v>
      </c>
      <c r="P14" s="68">
        <f t="shared" si="4"/>
        <v>-1.70835</v>
      </c>
      <c r="R14" s="66">
        <v>45639.0</v>
      </c>
      <c r="S14" s="13">
        <f t="shared" si="2"/>
        <v>1.65045</v>
      </c>
      <c r="T14" s="2" t="s">
        <v>55</v>
      </c>
    </row>
    <row r="15">
      <c r="A15" s="64">
        <f t="shared" si="3"/>
        <v>14</v>
      </c>
      <c r="B15" s="64" t="s">
        <v>26</v>
      </c>
      <c r="C15" s="64" t="s">
        <v>40</v>
      </c>
      <c r="D15" s="64" t="s">
        <v>606</v>
      </c>
      <c r="E15" s="64" t="s">
        <v>607</v>
      </c>
      <c r="F15" s="64" t="s">
        <v>22</v>
      </c>
      <c r="G15" s="64" t="s">
        <v>225</v>
      </c>
      <c r="H15" s="64" t="s">
        <v>24</v>
      </c>
      <c r="I15" s="65">
        <v>2.75</v>
      </c>
      <c r="J15" s="65">
        <v>0.3</v>
      </c>
      <c r="K15" s="65">
        <v>0.2892</v>
      </c>
      <c r="L15" s="66">
        <v>45627.0</v>
      </c>
      <c r="M15" s="67">
        <v>1.9</v>
      </c>
      <c r="N15" s="64" t="s">
        <v>33</v>
      </c>
      <c r="O15" s="68">
        <f t="shared" si="1"/>
        <v>0.26028</v>
      </c>
      <c r="P15" s="68">
        <f t="shared" si="4"/>
        <v>-1.44807</v>
      </c>
      <c r="R15" s="66">
        <v>45640.0</v>
      </c>
      <c r="S15" s="13">
        <f t="shared" si="2"/>
        <v>1.1043325</v>
      </c>
      <c r="T15" s="21">
        <f>(SUMPRODUCT(--(J2:J1005 = K2:K1005))-countif(J2:J1005,""))/countif(J2:J1005,"&gt;0")</f>
        <v>0.4485294118</v>
      </c>
    </row>
    <row r="16">
      <c r="A16" s="64">
        <f t="shared" si="3"/>
        <v>15</v>
      </c>
      <c r="B16" s="64" t="s">
        <v>35</v>
      </c>
      <c r="C16" s="64" t="s">
        <v>19</v>
      </c>
      <c r="D16" s="64" t="s">
        <v>608</v>
      </c>
      <c r="E16" s="64" t="s">
        <v>354</v>
      </c>
      <c r="F16" s="64" t="s">
        <v>22</v>
      </c>
      <c r="G16" s="64" t="s">
        <v>29</v>
      </c>
      <c r="H16" s="64" t="s">
        <v>24</v>
      </c>
      <c r="I16" s="65">
        <v>-1.0</v>
      </c>
      <c r="J16" s="65">
        <v>0.5</v>
      </c>
      <c r="K16" s="65">
        <v>0.4642</v>
      </c>
      <c r="L16" s="66">
        <v>45627.0</v>
      </c>
      <c r="M16" s="67">
        <v>1.75</v>
      </c>
      <c r="N16" s="64" t="s">
        <v>70</v>
      </c>
      <c r="O16" s="68">
        <f t="shared" si="1"/>
        <v>0</v>
      </c>
      <c r="P16" s="68">
        <f t="shared" si="4"/>
        <v>-1.44807</v>
      </c>
      <c r="R16" s="66">
        <v>45641.0</v>
      </c>
      <c r="S16" s="13">
        <f t="shared" si="2"/>
        <v>-1.47764</v>
      </c>
    </row>
    <row r="17">
      <c r="A17" s="64">
        <f t="shared" si="3"/>
        <v>16</v>
      </c>
      <c r="B17" s="64" t="s">
        <v>26</v>
      </c>
      <c r="C17" s="64" t="s">
        <v>40</v>
      </c>
      <c r="D17" s="64" t="s">
        <v>609</v>
      </c>
      <c r="E17" s="64" t="s">
        <v>42</v>
      </c>
      <c r="F17" s="64" t="s">
        <v>22</v>
      </c>
      <c r="G17" s="64" t="s">
        <v>225</v>
      </c>
      <c r="H17" s="64" t="s">
        <v>24</v>
      </c>
      <c r="I17" s="65">
        <v>2.5</v>
      </c>
      <c r="J17" s="65">
        <v>0.3</v>
      </c>
      <c r="K17" s="65">
        <v>0.2857</v>
      </c>
      <c r="L17" s="66">
        <v>45627.0</v>
      </c>
      <c r="M17" s="67">
        <v>1.95</v>
      </c>
      <c r="N17" s="64" t="s">
        <v>25</v>
      </c>
      <c r="O17" s="68">
        <f t="shared" si="1"/>
        <v>-0.2857</v>
      </c>
      <c r="P17" s="68">
        <f t="shared" si="4"/>
        <v>-1.73377</v>
      </c>
      <c r="R17" s="66">
        <v>45642.0</v>
      </c>
      <c r="S17" s="13">
        <f t="shared" si="2"/>
        <v>0.3125</v>
      </c>
      <c r="T17" s="2" t="s">
        <v>61</v>
      </c>
    </row>
    <row r="18">
      <c r="A18" s="64">
        <f t="shared" si="3"/>
        <v>17</v>
      </c>
      <c r="B18" s="64" t="s">
        <v>26</v>
      </c>
      <c r="C18" s="64" t="s">
        <v>19</v>
      </c>
      <c r="D18" s="64" t="s">
        <v>610</v>
      </c>
      <c r="E18" s="64" t="s">
        <v>93</v>
      </c>
      <c r="F18" s="64" t="s">
        <v>22</v>
      </c>
      <c r="G18" s="64" t="s">
        <v>29</v>
      </c>
      <c r="H18" s="64" t="s">
        <v>39</v>
      </c>
      <c r="I18" s="65">
        <v>-4.75</v>
      </c>
      <c r="J18" s="65">
        <v>0.5</v>
      </c>
      <c r="K18" s="65">
        <v>0.4702</v>
      </c>
      <c r="L18" s="66">
        <v>45627.0</v>
      </c>
      <c r="M18" s="67">
        <v>1.975</v>
      </c>
      <c r="N18" s="64" t="s">
        <v>25</v>
      </c>
      <c r="O18" s="68">
        <f t="shared" si="1"/>
        <v>-0.4702</v>
      </c>
      <c r="P18" s="68">
        <f t="shared" si="4"/>
        <v>-2.20397</v>
      </c>
      <c r="R18" s="66">
        <v>45643.0</v>
      </c>
      <c r="S18" s="13">
        <f t="shared" si="2"/>
        <v>0.46703125</v>
      </c>
      <c r="T18" s="22">
        <f>average(M2:M203)</f>
        <v>1.891242574</v>
      </c>
    </row>
    <row r="19">
      <c r="A19" s="64">
        <f t="shared" si="3"/>
        <v>18</v>
      </c>
      <c r="B19" s="64" t="s">
        <v>35</v>
      </c>
      <c r="C19" s="64" t="s">
        <v>19</v>
      </c>
      <c r="D19" s="64" t="s">
        <v>611</v>
      </c>
      <c r="E19" s="64" t="s">
        <v>612</v>
      </c>
      <c r="F19" s="64" t="s">
        <v>22</v>
      </c>
      <c r="G19" s="64" t="s">
        <v>29</v>
      </c>
      <c r="H19" s="64" t="s">
        <v>24</v>
      </c>
      <c r="I19" s="65">
        <v>-1.0</v>
      </c>
      <c r="J19" s="65">
        <v>0.5</v>
      </c>
      <c r="K19" s="65">
        <v>0.2976</v>
      </c>
      <c r="L19" s="66">
        <v>45627.0</v>
      </c>
      <c r="M19" s="67">
        <v>1.875</v>
      </c>
      <c r="N19" s="64" t="s">
        <v>70</v>
      </c>
      <c r="O19" s="68">
        <f t="shared" si="1"/>
        <v>0</v>
      </c>
      <c r="P19" s="68">
        <f t="shared" si="4"/>
        <v>-2.20397</v>
      </c>
      <c r="R19" s="66">
        <v>45644.0</v>
      </c>
      <c r="S19" s="13">
        <f t="shared" si="2"/>
        <v>-0.35935</v>
      </c>
    </row>
    <row r="20">
      <c r="A20" s="64">
        <f t="shared" si="3"/>
        <v>19</v>
      </c>
      <c r="B20" s="64" t="s">
        <v>35</v>
      </c>
      <c r="C20" s="64" t="s">
        <v>19</v>
      </c>
      <c r="D20" s="64" t="s">
        <v>613</v>
      </c>
      <c r="E20" s="64" t="s">
        <v>273</v>
      </c>
      <c r="F20" s="64" t="s">
        <v>22</v>
      </c>
      <c r="G20" s="64" t="s">
        <v>29</v>
      </c>
      <c r="H20" s="64" t="s">
        <v>39</v>
      </c>
      <c r="I20" s="65">
        <v>-1.0</v>
      </c>
      <c r="J20" s="65">
        <v>0.25</v>
      </c>
      <c r="K20" s="65">
        <v>0.25</v>
      </c>
      <c r="L20" s="66">
        <v>45627.0</v>
      </c>
      <c r="M20" s="67">
        <v>1.9</v>
      </c>
      <c r="N20" s="64" t="s">
        <v>70</v>
      </c>
      <c r="O20" s="68">
        <f t="shared" si="1"/>
        <v>0</v>
      </c>
      <c r="P20" s="68">
        <f t="shared" si="4"/>
        <v>-2.20397</v>
      </c>
      <c r="R20" s="66">
        <v>45645.0</v>
      </c>
      <c r="S20" s="13">
        <f t="shared" si="2"/>
        <v>-0.8983875</v>
      </c>
    </row>
    <row r="21">
      <c r="A21" s="64">
        <f t="shared" si="3"/>
        <v>20</v>
      </c>
      <c r="B21" s="64" t="s">
        <v>35</v>
      </c>
      <c r="C21" s="64" t="s">
        <v>19</v>
      </c>
      <c r="D21" s="64" t="s">
        <v>614</v>
      </c>
      <c r="E21" s="64" t="s">
        <v>196</v>
      </c>
      <c r="F21" s="64" t="s">
        <v>22</v>
      </c>
      <c r="G21" s="64" t="s">
        <v>29</v>
      </c>
      <c r="H21" s="64" t="s">
        <v>39</v>
      </c>
      <c r="I21" s="65">
        <v>-3.0</v>
      </c>
      <c r="J21" s="65">
        <v>0.25</v>
      </c>
      <c r="K21" s="65">
        <v>0.238</v>
      </c>
      <c r="L21" s="69">
        <v>45627.0</v>
      </c>
      <c r="M21" s="67">
        <v>1.925</v>
      </c>
      <c r="N21" s="64" t="s">
        <v>25</v>
      </c>
      <c r="O21" s="68">
        <f t="shared" si="1"/>
        <v>-0.238</v>
      </c>
      <c r="P21" s="68">
        <f t="shared" si="4"/>
        <v>-2.44197</v>
      </c>
      <c r="R21" s="66">
        <v>45646.0</v>
      </c>
      <c r="S21" s="13">
        <f t="shared" si="2"/>
        <v>0.96225</v>
      </c>
    </row>
    <row r="22">
      <c r="A22" s="64">
        <f t="shared" si="3"/>
        <v>21</v>
      </c>
      <c r="B22" s="64" t="s">
        <v>26</v>
      </c>
      <c r="C22" s="64" t="s">
        <v>19</v>
      </c>
      <c r="D22" s="64" t="s">
        <v>615</v>
      </c>
      <c r="E22" s="64" t="s">
        <v>616</v>
      </c>
      <c r="F22" s="64" t="s">
        <v>22</v>
      </c>
      <c r="G22" s="64" t="s">
        <v>225</v>
      </c>
      <c r="H22" s="64" t="s">
        <v>24</v>
      </c>
      <c r="I22" s="65">
        <v>0.75</v>
      </c>
      <c r="J22" s="65">
        <v>0.3</v>
      </c>
      <c r="K22" s="65">
        <v>0.2857</v>
      </c>
      <c r="L22" s="69">
        <v>45627.0</v>
      </c>
      <c r="M22" s="67">
        <v>2.025</v>
      </c>
      <c r="N22" s="64" t="s">
        <v>79</v>
      </c>
      <c r="O22" s="68">
        <f t="shared" si="1"/>
        <v>-0.14285</v>
      </c>
      <c r="P22" s="68">
        <f t="shared" si="4"/>
        <v>-2.58482</v>
      </c>
      <c r="R22" s="66">
        <v>45647.0</v>
      </c>
      <c r="S22" s="13">
        <f t="shared" si="2"/>
        <v>0.3782589286</v>
      </c>
    </row>
    <row r="23">
      <c r="A23" s="64">
        <f t="shared" si="3"/>
        <v>22</v>
      </c>
      <c r="B23" s="64" t="s">
        <v>26</v>
      </c>
      <c r="C23" s="64" t="s">
        <v>19</v>
      </c>
      <c r="D23" s="64" t="s">
        <v>617</v>
      </c>
      <c r="E23" s="64" t="s">
        <v>74</v>
      </c>
      <c r="F23" s="64" t="s">
        <v>22</v>
      </c>
      <c r="G23" s="64" t="s">
        <v>29</v>
      </c>
      <c r="H23" s="64" t="s">
        <v>24</v>
      </c>
      <c r="I23" s="65">
        <v>-3.0</v>
      </c>
      <c r="J23" s="65">
        <v>0.25</v>
      </c>
      <c r="K23" s="65">
        <v>0.119</v>
      </c>
      <c r="L23" s="66">
        <v>45627.0</v>
      </c>
      <c r="M23" s="67">
        <v>1.875</v>
      </c>
      <c r="N23" s="64" t="s">
        <v>70</v>
      </c>
      <c r="O23" s="68">
        <f t="shared" si="1"/>
        <v>0</v>
      </c>
      <c r="P23" s="68">
        <f t="shared" si="4"/>
        <v>-2.58482</v>
      </c>
      <c r="R23" s="66">
        <v>45648.0</v>
      </c>
      <c r="S23" s="13">
        <f t="shared" si="2"/>
        <v>-0.46845</v>
      </c>
    </row>
    <row r="24">
      <c r="A24" s="64">
        <f t="shared" si="3"/>
        <v>23</v>
      </c>
      <c r="B24" s="64" t="s">
        <v>35</v>
      </c>
      <c r="C24" s="64" t="s">
        <v>19</v>
      </c>
      <c r="D24" s="64" t="s">
        <v>618</v>
      </c>
      <c r="E24" s="64" t="s">
        <v>99</v>
      </c>
      <c r="F24" s="64" t="s">
        <v>22</v>
      </c>
      <c r="G24" s="64" t="s">
        <v>29</v>
      </c>
      <c r="H24" s="64" t="s">
        <v>39</v>
      </c>
      <c r="I24" s="65">
        <v>-0.75</v>
      </c>
      <c r="J24" s="65">
        <v>0.25</v>
      </c>
      <c r="K24" s="65">
        <v>0.238</v>
      </c>
      <c r="L24" s="66">
        <v>45627.0</v>
      </c>
      <c r="M24" s="67">
        <v>1.95</v>
      </c>
      <c r="N24" s="64" t="s">
        <v>79</v>
      </c>
      <c r="O24" s="68">
        <f t="shared" si="1"/>
        <v>-0.119</v>
      </c>
      <c r="P24" s="68">
        <f t="shared" si="4"/>
        <v>-2.70382</v>
      </c>
      <c r="R24" s="66">
        <v>45649.0</v>
      </c>
      <c r="S24" s="13">
        <f t="shared" si="2"/>
        <v>0.504</v>
      </c>
    </row>
    <row r="25">
      <c r="A25" s="64">
        <f t="shared" si="3"/>
        <v>24</v>
      </c>
      <c r="B25" s="64" t="s">
        <v>35</v>
      </c>
      <c r="C25" s="64" t="s">
        <v>19</v>
      </c>
      <c r="D25" s="64" t="s">
        <v>619</v>
      </c>
      <c r="E25" s="64" t="s">
        <v>174</v>
      </c>
      <c r="F25" s="64" t="s">
        <v>22</v>
      </c>
      <c r="G25" s="64" t="s">
        <v>29</v>
      </c>
      <c r="H25" s="64" t="s">
        <v>39</v>
      </c>
      <c r="I25" s="65">
        <v>-0.75</v>
      </c>
      <c r="J25" s="70">
        <v>0.25</v>
      </c>
      <c r="K25" s="71">
        <v>0.053</v>
      </c>
      <c r="L25" s="66">
        <v>45627.0</v>
      </c>
      <c r="M25" s="67">
        <v>1.95</v>
      </c>
      <c r="N25" s="64" t="s">
        <v>79</v>
      </c>
      <c r="O25" s="68">
        <f t="shared" si="1"/>
        <v>-0.0265</v>
      </c>
      <c r="P25" s="68">
        <f t="shared" si="4"/>
        <v>-2.73032</v>
      </c>
      <c r="R25" s="66">
        <v>45650.0</v>
      </c>
      <c r="S25" s="13">
        <f t="shared" si="2"/>
        <v>-0.4285714286</v>
      </c>
    </row>
    <row r="26">
      <c r="A26" s="64">
        <f t="shared" si="3"/>
        <v>25</v>
      </c>
      <c r="B26" s="64" t="s">
        <v>26</v>
      </c>
      <c r="C26" s="64" t="s">
        <v>40</v>
      </c>
      <c r="D26" s="64" t="s">
        <v>620</v>
      </c>
      <c r="E26" s="64" t="s">
        <v>372</v>
      </c>
      <c r="F26" s="64" t="s">
        <v>22</v>
      </c>
      <c r="G26" s="64" t="s">
        <v>29</v>
      </c>
      <c r="H26" s="64" t="s">
        <v>24</v>
      </c>
      <c r="I26" s="65">
        <v>-3.25</v>
      </c>
      <c r="J26" s="72">
        <v>0.5</v>
      </c>
      <c r="K26" s="73">
        <v>0.4702</v>
      </c>
      <c r="L26" s="66">
        <v>45627.0</v>
      </c>
      <c r="M26" s="67">
        <v>1.95</v>
      </c>
      <c r="N26" s="64" t="s">
        <v>30</v>
      </c>
      <c r="O26" s="68">
        <f t="shared" si="1"/>
        <v>0.223345</v>
      </c>
      <c r="P26" s="68">
        <f t="shared" si="4"/>
        <v>-2.506975</v>
      </c>
      <c r="R26" s="66">
        <v>45651.0</v>
      </c>
      <c r="S26" s="13">
        <f t="shared" si="2"/>
        <v>0</v>
      </c>
    </row>
    <row r="27">
      <c r="A27" s="64">
        <f t="shared" si="3"/>
        <v>26</v>
      </c>
      <c r="B27" s="64" t="s">
        <v>35</v>
      </c>
      <c r="C27" s="64" t="s">
        <v>19</v>
      </c>
      <c r="D27" s="64" t="s">
        <v>621</v>
      </c>
      <c r="E27" s="64" t="s">
        <v>121</v>
      </c>
      <c r="F27" s="64" t="s">
        <v>22</v>
      </c>
      <c r="G27" s="64" t="s">
        <v>29</v>
      </c>
      <c r="H27" s="64" t="s">
        <v>39</v>
      </c>
      <c r="I27" s="65">
        <v>-2.75</v>
      </c>
      <c r="J27" s="65">
        <v>0.25</v>
      </c>
      <c r="K27" s="65">
        <v>0.238</v>
      </c>
      <c r="L27" s="66">
        <v>45627.0</v>
      </c>
      <c r="M27" s="67">
        <v>2.15</v>
      </c>
      <c r="N27" s="64" t="s">
        <v>79</v>
      </c>
      <c r="O27" s="68">
        <f t="shared" si="1"/>
        <v>-0.119</v>
      </c>
      <c r="P27" s="68">
        <f t="shared" si="4"/>
        <v>-2.625975</v>
      </c>
      <c r="R27" s="66">
        <v>45652.0</v>
      </c>
      <c r="S27" s="13">
        <f t="shared" si="2"/>
        <v>-0.5</v>
      </c>
    </row>
    <row r="28">
      <c r="A28" s="64">
        <f t="shared" si="3"/>
        <v>27</v>
      </c>
      <c r="B28" s="64" t="s">
        <v>35</v>
      </c>
      <c r="C28" s="64" t="s">
        <v>19</v>
      </c>
      <c r="D28" s="64" t="s">
        <v>622</v>
      </c>
      <c r="E28" s="64" t="s">
        <v>147</v>
      </c>
      <c r="F28" s="64" t="s">
        <v>22</v>
      </c>
      <c r="G28" s="64" t="s">
        <v>29</v>
      </c>
      <c r="H28" s="64"/>
      <c r="I28" s="65">
        <v>-3.25</v>
      </c>
      <c r="J28" s="65">
        <v>0.5</v>
      </c>
      <c r="K28" s="65">
        <v>0.5</v>
      </c>
      <c r="L28" s="66">
        <v>45628.0</v>
      </c>
      <c r="M28" s="67">
        <v>1.95</v>
      </c>
      <c r="N28" s="64" t="s">
        <v>25</v>
      </c>
      <c r="O28" s="68">
        <f t="shared" si="1"/>
        <v>-0.5</v>
      </c>
      <c r="P28" s="68">
        <f t="shared" si="4"/>
        <v>-3.125975</v>
      </c>
      <c r="R28" s="66">
        <v>45653.0</v>
      </c>
      <c r="S28" s="13">
        <f t="shared" si="2"/>
        <v>0.9303125</v>
      </c>
    </row>
    <row r="29">
      <c r="A29" s="64">
        <f t="shared" si="3"/>
        <v>28</v>
      </c>
      <c r="B29" s="64" t="s">
        <v>26</v>
      </c>
      <c r="C29" s="64" t="s">
        <v>19</v>
      </c>
      <c r="D29" s="64" t="s">
        <v>623</v>
      </c>
      <c r="E29" s="64" t="s">
        <v>624</v>
      </c>
      <c r="F29" s="64" t="s">
        <v>22</v>
      </c>
      <c r="G29" s="64" t="s">
        <v>225</v>
      </c>
      <c r="H29" s="64"/>
      <c r="I29" s="65">
        <v>2.0</v>
      </c>
      <c r="J29" s="65">
        <v>0.3</v>
      </c>
      <c r="K29" s="65">
        <v>0.3</v>
      </c>
      <c r="L29" s="69">
        <v>45629.0</v>
      </c>
      <c r="M29" s="67">
        <v>1.85</v>
      </c>
      <c r="N29" s="64" t="s">
        <v>33</v>
      </c>
      <c r="O29" s="68">
        <f t="shared" si="1"/>
        <v>0.255</v>
      </c>
      <c r="P29" s="68">
        <f t="shared" si="4"/>
        <v>-2.870975</v>
      </c>
      <c r="R29" s="66">
        <v>45654.0</v>
      </c>
      <c r="S29" s="13">
        <f t="shared" si="2"/>
        <v>-0.3971875</v>
      </c>
    </row>
    <row r="30">
      <c r="A30" s="64">
        <f t="shared" si="3"/>
        <v>29</v>
      </c>
      <c r="B30" s="64" t="s">
        <v>35</v>
      </c>
      <c r="C30" s="64" t="s">
        <v>40</v>
      </c>
      <c r="D30" s="64" t="s">
        <v>625</v>
      </c>
      <c r="E30" s="64" t="s">
        <v>182</v>
      </c>
      <c r="F30" s="64" t="s">
        <v>22</v>
      </c>
      <c r="G30" s="64" t="s">
        <v>29</v>
      </c>
      <c r="H30" s="64" t="s">
        <v>39</v>
      </c>
      <c r="I30" s="65">
        <v>-2.0</v>
      </c>
      <c r="J30" s="65">
        <v>0.25</v>
      </c>
      <c r="K30" s="65">
        <v>0.25</v>
      </c>
      <c r="L30" s="66">
        <v>45629.0</v>
      </c>
      <c r="M30" s="67">
        <v>2.025</v>
      </c>
      <c r="N30" s="64" t="s">
        <v>33</v>
      </c>
      <c r="O30" s="68">
        <f t="shared" si="1"/>
        <v>0.25625</v>
      </c>
      <c r="P30" s="68">
        <f t="shared" si="4"/>
        <v>-2.614725</v>
      </c>
      <c r="R30" s="66">
        <v>45655.0</v>
      </c>
      <c r="S30" s="13">
        <f t="shared" si="2"/>
        <v>-0.3984375</v>
      </c>
    </row>
    <row r="31">
      <c r="A31" s="64">
        <f t="shared" si="3"/>
        <v>30</v>
      </c>
      <c r="B31" s="64" t="s">
        <v>26</v>
      </c>
      <c r="C31" s="64" t="s">
        <v>19</v>
      </c>
      <c r="D31" s="64" t="s">
        <v>626</v>
      </c>
      <c r="E31" s="64" t="s">
        <v>38</v>
      </c>
      <c r="F31" s="64" t="s">
        <v>22</v>
      </c>
      <c r="G31" s="64" t="s">
        <v>29</v>
      </c>
      <c r="H31" s="64"/>
      <c r="I31" s="65">
        <v>-4.25</v>
      </c>
      <c r="J31" s="65">
        <v>0.5</v>
      </c>
      <c r="K31" s="65">
        <v>0.5</v>
      </c>
      <c r="L31" s="66">
        <v>45629.0</v>
      </c>
      <c r="M31" s="67">
        <v>1.975</v>
      </c>
      <c r="N31" s="64" t="s">
        <v>25</v>
      </c>
      <c r="O31" s="68">
        <f t="shared" si="1"/>
        <v>-0.5</v>
      </c>
      <c r="P31" s="68">
        <f t="shared" si="4"/>
        <v>-3.114725</v>
      </c>
      <c r="R31" s="66">
        <v>45656.0</v>
      </c>
      <c r="S31" s="13">
        <f t="shared" si="2"/>
        <v>-0.05</v>
      </c>
    </row>
    <row r="32">
      <c r="A32" s="64">
        <f t="shared" si="3"/>
        <v>31</v>
      </c>
      <c r="B32" s="64" t="s">
        <v>26</v>
      </c>
      <c r="C32" s="64" t="s">
        <v>19</v>
      </c>
      <c r="D32" s="64" t="s">
        <v>627</v>
      </c>
      <c r="E32" s="64" t="s">
        <v>38</v>
      </c>
      <c r="F32" s="64" t="s">
        <v>22</v>
      </c>
      <c r="G32" s="64" t="s">
        <v>29</v>
      </c>
      <c r="H32" s="64"/>
      <c r="I32" s="65">
        <v>-3.75</v>
      </c>
      <c r="J32" s="65">
        <v>0.5</v>
      </c>
      <c r="K32" s="65">
        <v>0.5</v>
      </c>
      <c r="L32" s="66">
        <v>45629.0</v>
      </c>
      <c r="M32" s="67">
        <v>1.825</v>
      </c>
      <c r="N32" s="64" t="s">
        <v>25</v>
      </c>
      <c r="O32" s="68">
        <f t="shared" si="1"/>
        <v>-0.5</v>
      </c>
      <c r="P32" s="68">
        <f t="shared" si="4"/>
        <v>-3.614725</v>
      </c>
      <c r="R32" s="66">
        <v>45657.0</v>
      </c>
      <c r="S32" s="13">
        <f t="shared" si="2"/>
        <v>0</v>
      </c>
    </row>
    <row r="33">
      <c r="A33" s="64">
        <f t="shared" si="3"/>
        <v>32</v>
      </c>
      <c r="B33" s="64" t="s">
        <v>35</v>
      </c>
      <c r="C33" s="64" t="s">
        <v>19</v>
      </c>
      <c r="D33" s="64" t="s">
        <v>628</v>
      </c>
      <c r="E33" s="64" t="s">
        <v>121</v>
      </c>
      <c r="F33" s="64" t="s">
        <v>22</v>
      </c>
      <c r="G33" s="64" t="s">
        <v>29</v>
      </c>
      <c r="H33" s="64" t="s">
        <v>39</v>
      </c>
      <c r="I33" s="65">
        <v>-1.0</v>
      </c>
      <c r="J33" s="65">
        <v>0.25</v>
      </c>
      <c r="K33" s="65">
        <v>0.25</v>
      </c>
      <c r="L33" s="66">
        <v>45629.0</v>
      </c>
      <c r="M33" s="67">
        <v>2.05</v>
      </c>
      <c r="N33" s="64" t="s">
        <v>70</v>
      </c>
      <c r="O33" s="68">
        <f t="shared" si="1"/>
        <v>0</v>
      </c>
      <c r="P33" s="68">
        <f t="shared" si="4"/>
        <v>-3.614725</v>
      </c>
      <c r="R33" s="66"/>
      <c r="S33" s="13">
        <f t="shared" si="2"/>
        <v>0</v>
      </c>
    </row>
    <row r="34">
      <c r="A34" s="64">
        <f t="shared" si="3"/>
        <v>33</v>
      </c>
      <c r="B34" s="64" t="s">
        <v>35</v>
      </c>
      <c r="C34" s="64" t="s">
        <v>19</v>
      </c>
      <c r="D34" s="64" t="s">
        <v>629</v>
      </c>
      <c r="E34" s="64" t="s">
        <v>167</v>
      </c>
      <c r="F34" s="64" t="s">
        <v>22</v>
      </c>
      <c r="G34" s="64" t="s">
        <v>29</v>
      </c>
      <c r="H34" s="64"/>
      <c r="I34" s="65">
        <v>-3.0</v>
      </c>
      <c r="J34" s="65">
        <v>0.5</v>
      </c>
      <c r="K34" s="65">
        <v>0.5</v>
      </c>
      <c r="L34" s="69">
        <v>45629.0</v>
      </c>
      <c r="M34" s="67">
        <v>1.75</v>
      </c>
      <c r="N34" s="64" t="s">
        <v>70</v>
      </c>
      <c r="O34" s="68">
        <f t="shared" si="1"/>
        <v>0</v>
      </c>
      <c r="P34" s="68">
        <f t="shared" si="4"/>
        <v>-3.614725</v>
      </c>
      <c r="R34" s="94" t="s">
        <v>89</v>
      </c>
      <c r="S34" s="28">
        <f>SUM(S2:S33)</f>
        <v>-1.71135</v>
      </c>
    </row>
    <row r="35">
      <c r="A35" s="64">
        <f t="shared" si="3"/>
        <v>34</v>
      </c>
      <c r="B35" s="64" t="s">
        <v>35</v>
      </c>
      <c r="C35" s="64" t="s">
        <v>19</v>
      </c>
      <c r="D35" s="64" t="s">
        <v>630</v>
      </c>
      <c r="E35" s="64" t="s">
        <v>172</v>
      </c>
      <c r="F35" s="64" t="s">
        <v>22</v>
      </c>
      <c r="G35" s="64" t="s">
        <v>29</v>
      </c>
      <c r="H35" s="64" t="s">
        <v>24</v>
      </c>
      <c r="I35" s="65">
        <v>-3.0</v>
      </c>
      <c r="J35" s="65">
        <v>0.5</v>
      </c>
      <c r="K35" s="65">
        <v>0.3177</v>
      </c>
      <c r="L35" s="66">
        <v>45629.0</v>
      </c>
      <c r="M35" s="67">
        <v>1.775</v>
      </c>
      <c r="N35" s="64" t="s">
        <v>70</v>
      </c>
      <c r="O35" s="68">
        <f t="shared" si="1"/>
        <v>0</v>
      </c>
      <c r="P35" s="68">
        <f t="shared" si="4"/>
        <v>-3.614725</v>
      </c>
    </row>
    <row r="36">
      <c r="A36" s="64">
        <f t="shared" si="3"/>
        <v>35</v>
      </c>
      <c r="B36" s="64" t="s">
        <v>35</v>
      </c>
      <c r="C36" s="64" t="s">
        <v>19</v>
      </c>
      <c r="D36" s="64" t="s">
        <v>631</v>
      </c>
      <c r="E36" s="64" t="s">
        <v>167</v>
      </c>
      <c r="F36" s="64" t="s">
        <v>22</v>
      </c>
      <c r="G36" s="64" t="s">
        <v>29</v>
      </c>
      <c r="H36" s="64" t="s">
        <v>39</v>
      </c>
      <c r="I36" s="65">
        <v>-2.0</v>
      </c>
      <c r="J36" s="65">
        <v>0.25</v>
      </c>
      <c r="K36" s="65">
        <v>0.25</v>
      </c>
      <c r="L36" s="66">
        <v>45629.0</v>
      </c>
      <c r="M36" s="67">
        <v>1.975</v>
      </c>
      <c r="N36" s="64" t="s">
        <v>33</v>
      </c>
      <c r="O36" s="68">
        <f t="shared" si="1"/>
        <v>0.24375</v>
      </c>
      <c r="P36" s="68">
        <f t="shared" si="4"/>
        <v>-3.370975</v>
      </c>
      <c r="R36" s="29"/>
    </row>
    <row r="37">
      <c r="A37" s="64">
        <f t="shared" si="3"/>
        <v>36</v>
      </c>
      <c r="B37" s="64" t="s">
        <v>26</v>
      </c>
      <c r="C37" s="64" t="s">
        <v>19</v>
      </c>
      <c r="D37" s="64" t="s">
        <v>632</v>
      </c>
      <c r="E37" s="64" t="s">
        <v>38</v>
      </c>
      <c r="F37" s="64" t="s">
        <v>22</v>
      </c>
      <c r="G37" s="64" t="s">
        <v>29</v>
      </c>
      <c r="H37" s="64"/>
      <c r="I37" s="65">
        <v>-4.25</v>
      </c>
      <c r="J37" s="65">
        <v>0.5</v>
      </c>
      <c r="K37" s="65">
        <v>0.5</v>
      </c>
      <c r="L37" s="66">
        <v>45629.0</v>
      </c>
      <c r="M37" s="67">
        <v>1.775</v>
      </c>
      <c r="N37" s="64" t="s">
        <v>25</v>
      </c>
      <c r="O37" s="68">
        <f t="shared" si="1"/>
        <v>-0.5</v>
      </c>
      <c r="P37" s="68">
        <f t="shared" si="4"/>
        <v>-3.870975</v>
      </c>
      <c r="R37" s="30"/>
    </row>
    <row r="38">
      <c r="A38" s="64">
        <f t="shared" si="3"/>
        <v>37</v>
      </c>
      <c r="B38" s="64" t="s">
        <v>35</v>
      </c>
      <c r="C38" s="64" t="s">
        <v>19</v>
      </c>
      <c r="D38" s="64" t="s">
        <v>633</v>
      </c>
      <c r="E38" s="64" t="s">
        <v>162</v>
      </c>
      <c r="F38" s="64" t="s">
        <v>22</v>
      </c>
      <c r="G38" s="64" t="s">
        <v>29</v>
      </c>
      <c r="H38" s="64" t="s">
        <v>39</v>
      </c>
      <c r="I38" s="65">
        <v>-2.5</v>
      </c>
      <c r="J38" s="65">
        <v>0.25</v>
      </c>
      <c r="K38" s="65">
        <v>0.0714</v>
      </c>
      <c r="L38" s="69">
        <v>45629.0</v>
      </c>
      <c r="M38" s="67">
        <v>1.825</v>
      </c>
      <c r="N38" s="64" t="s">
        <v>25</v>
      </c>
      <c r="O38" s="68">
        <f t="shared" si="1"/>
        <v>-0.0714</v>
      </c>
      <c r="P38" s="68">
        <f t="shared" si="4"/>
        <v>-3.942375</v>
      </c>
      <c r="R38" s="30"/>
    </row>
    <row r="39">
      <c r="A39" s="64">
        <f t="shared" si="3"/>
        <v>38</v>
      </c>
      <c r="B39" s="64" t="s">
        <v>35</v>
      </c>
      <c r="C39" s="64" t="s">
        <v>19</v>
      </c>
      <c r="D39" s="64" t="s">
        <v>634</v>
      </c>
      <c r="E39" s="64" t="s">
        <v>635</v>
      </c>
      <c r="F39" s="64" t="s">
        <v>22</v>
      </c>
      <c r="G39" s="64" t="s">
        <v>29</v>
      </c>
      <c r="H39" s="64" t="s">
        <v>39</v>
      </c>
      <c r="I39" s="65">
        <v>-4.0</v>
      </c>
      <c r="J39" s="65">
        <v>0.25</v>
      </c>
      <c r="K39" s="65">
        <v>0.061</v>
      </c>
      <c r="L39" s="66">
        <v>45629.0</v>
      </c>
      <c r="M39" s="67">
        <v>1.9</v>
      </c>
      <c r="N39" s="64" t="s">
        <v>25</v>
      </c>
      <c r="O39" s="68">
        <f t="shared" si="1"/>
        <v>-0.061</v>
      </c>
      <c r="P39" s="68">
        <f t="shared" si="4"/>
        <v>-4.003375</v>
      </c>
      <c r="R39" s="30"/>
    </row>
    <row r="40">
      <c r="A40" s="64">
        <f t="shared" si="3"/>
        <v>39</v>
      </c>
      <c r="B40" s="64" t="s">
        <v>35</v>
      </c>
      <c r="C40" s="64" t="s">
        <v>19</v>
      </c>
      <c r="D40" s="64" t="s">
        <v>636</v>
      </c>
      <c r="E40" s="64" t="s">
        <v>38</v>
      </c>
      <c r="F40" s="64" t="s">
        <v>22</v>
      </c>
      <c r="G40" s="64" t="s">
        <v>29</v>
      </c>
      <c r="H40" s="64" t="s">
        <v>39</v>
      </c>
      <c r="I40" s="65">
        <v>-2.25</v>
      </c>
      <c r="J40" s="65">
        <v>0.5</v>
      </c>
      <c r="K40" s="65">
        <v>0.4846</v>
      </c>
      <c r="L40" s="66">
        <v>45629.0</v>
      </c>
      <c r="M40" s="67">
        <v>1.85</v>
      </c>
      <c r="N40" s="64" t="s">
        <v>30</v>
      </c>
      <c r="O40" s="68">
        <f t="shared" si="1"/>
        <v>0.205955</v>
      </c>
      <c r="P40" s="68">
        <f t="shared" si="4"/>
        <v>-3.79742</v>
      </c>
      <c r="R40" s="30"/>
    </row>
    <row r="41">
      <c r="A41" s="64">
        <f t="shared" si="3"/>
        <v>40</v>
      </c>
      <c r="B41" s="64" t="s">
        <v>35</v>
      </c>
      <c r="C41" s="64" t="s">
        <v>19</v>
      </c>
      <c r="D41" s="64" t="s">
        <v>637</v>
      </c>
      <c r="E41" s="64" t="s">
        <v>38</v>
      </c>
      <c r="F41" s="64" t="s">
        <v>22</v>
      </c>
      <c r="G41" s="64" t="s">
        <v>29</v>
      </c>
      <c r="H41" s="64" t="s">
        <v>24</v>
      </c>
      <c r="I41" s="65">
        <v>-1.0</v>
      </c>
      <c r="J41" s="65">
        <v>0.5</v>
      </c>
      <c r="K41" s="65">
        <v>0.4438</v>
      </c>
      <c r="L41" s="66">
        <v>45629.0</v>
      </c>
      <c r="M41" s="67">
        <v>2.0</v>
      </c>
      <c r="N41" s="64" t="s">
        <v>25</v>
      </c>
      <c r="O41" s="68">
        <f t="shared" si="1"/>
        <v>-0.4438</v>
      </c>
      <c r="P41" s="68">
        <f t="shared" si="4"/>
        <v>-4.24122</v>
      </c>
      <c r="R41" s="30"/>
    </row>
    <row r="42">
      <c r="A42" s="64">
        <f t="shared" si="3"/>
        <v>41</v>
      </c>
      <c r="B42" s="74" t="s">
        <v>35</v>
      </c>
      <c r="C42" s="75" t="s">
        <v>19</v>
      </c>
      <c r="D42" s="75" t="s">
        <v>638</v>
      </c>
      <c r="E42" s="75" t="s">
        <v>38</v>
      </c>
      <c r="F42" s="75" t="s">
        <v>22</v>
      </c>
      <c r="G42" s="75" t="s">
        <v>29</v>
      </c>
      <c r="H42" s="64" t="s">
        <v>24</v>
      </c>
      <c r="I42" s="76">
        <v>-4.25</v>
      </c>
      <c r="J42" s="76">
        <v>0.5</v>
      </c>
      <c r="K42" s="76">
        <v>0.4744</v>
      </c>
      <c r="L42" s="77">
        <v>45629.0</v>
      </c>
      <c r="M42" s="78">
        <v>1.75</v>
      </c>
      <c r="N42" s="64" t="s">
        <v>30</v>
      </c>
      <c r="O42" s="68">
        <f t="shared" si="1"/>
        <v>0.1779</v>
      </c>
      <c r="P42" s="68">
        <f t="shared" si="4"/>
        <v>-4.06332</v>
      </c>
      <c r="R42" s="30"/>
    </row>
    <row r="43">
      <c r="A43" s="64">
        <f t="shared" si="3"/>
        <v>42</v>
      </c>
      <c r="B43" s="64" t="s">
        <v>35</v>
      </c>
      <c r="C43" s="64" t="s">
        <v>19</v>
      </c>
      <c r="D43" s="64" t="s">
        <v>639</v>
      </c>
      <c r="E43" s="64" t="s">
        <v>38</v>
      </c>
      <c r="F43" s="64" t="s">
        <v>22</v>
      </c>
      <c r="G43" s="64" t="s">
        <v>29</v>
      </c>
      <c r="H43" s="64" t="s">
        <v>24</v>
      </c>
      <c r="I43" s="65">
        <v>-1.0</v>
      </c>
      <c r="J43" s="65">
        <v>0.5</v>
      </c>
      <c r="K43" s="65">
        <v>0.2755</v>
      </c>
      <c r="L43" s="66">
        <v>45629.0</v>
      </c>
      <c r="M43" s="67">
        <v>2.05</v>
      </c>
      <c r="N43" s="64" t="s">
        <v>70</v>
      </c>
      <c r="O43" s="68">
        <f t="shared" si="1"/>
        <v>0</v>
      </c>
      <c r="P43" s="68">
        <f t="shared" si="4"/>
        <v>-4.06332</v>
      </c>
      <c r="R43" s="30"/>
    </row>
    <row r="44">
      <c r="A44" s="64">
        <f t="shared" si="3"/>
        <v>43</v>
      </c>
      <c r="B44" s="64" t="s">
        <v>35</v>
      </c>
      <c r="C44" s="64" t="s">
        <v>19</v>
      </c>
      <c r="D44" s="64" t="s">
        <v>640</v>
      </c>
      <c r="E44" s="64" t="s">
        <v>38</v>
      </c>
      <c r="F44" s="64" t="s">
        <v>22</v>
      </c>
      <c r="G44" s="64" t="s">
        <v>29</v>
      </c>
      <c r="H44" s="64" t="s">
        <v>39</v>
      </c>
      <c r="I44" s="65">
        <v>-1.75</v>
      </c>
      <c r="J44" s="65">
        <v>0.25</v>
      </c>
      <c r="K44" s="65">
        <v>0.2295</v>
      </c>
      <c r="L44" s="66">
        <v>45629.0</v>
      </c>
      <c r="M44" s="67">
        <v>2.025</v>
      </c>
      <c r="N44" s="64" t="s">
        <v>33</v>
      </c>
      <c r="O44" s="68">
        <f t="shared" si="1"/>
        <v>0.2352375</v>
      </c>
      <c r="P44" s="68">
        <f t="shared" si="4"/>
        <v>-3.8280825</v>
      </c>
      <c r="R44" s="30"/>
    </row>
    <row r="45">
      <c r="A45" s="64">
        <f t="shared" si="3"/>
        <v>44</v>
      </c>
      <c r="B45" s="64" t="s">
        <v>35</v>
      </c>
      <c r="C45" s="64" t="s">
        <v>19</v>
      </c>
      <c r="D45" s="64" t="s">
        <v>641</v>
      </c>
      <c r="E45" s="64" t="s">
        <v>642</v>
      </c>
      <c r="F45" s="64" t="s">
        <v>22</v>
      </c>
      <c r="G45" s="64" t="s">
        <v>29</v>
      </c>
      <c r="H45" s="64"/>
      <c r="I45" s="65">
        <v>-3.0</v>
      </c>
      <c r="J45" s="65">
        <v>0.25</v>
      </c>
      <c r="K45" s="65">
        <v>0.1428</v>
      </c>
      <c r="L45" s="66">
        <v>45630.0</v>
      </c>
      <c r="M45" s="67">
        <v>1.9</v>
      </c>
      <c r="N45" s="64" t="s">
        <v>70</v>
      </c>
      <c r="O45" s="68">
        <f t="shared" si="1"/>
        <v>0</v>
      </c>
      <c r="P45" s="68">
        <f t="shared" si="4"/>
        <v>-3.8280825</v>
      </c>
      <c r="R45" s="30"/>
    </row>
    <row r="46">
      <c r="A46" s="64">
        <f t="shared" si="3"/>
        <v>45</v>
      </c>
      <c r="B46" s="64" t="s">
        <v>35</v>
      </c>
      <c r="C46" s="64" t="s">
        <v>19</v>
      </c>
      <c r="D46" s="64" t="s">
        <v>643</v>
      </c>
      <c r="E46" s="64" t="s">
        <v>644</v>
      </c>
      <c r="F46" s="64" t="s">
        <v>22</v>
      </c>
      <c r="G46" s="64" t="s">
        <v>29</v>
      </c>
      <c r="H46" s="64" t="s">
        <v>24</v>
      </c>
      <c r="I46" s="65">
        <v>-2.0</v>
      </c>
      <c r="J46" s="65">
        <v>0.25</v>
      </c>
      <c r="K46" s="65">
        <v>0.25</v>
      </c>
      <c r="L46" s="66">
        <v>45630.0</v>
      </c>
      <c r="M46" s="67">
        <v>1.85</v>
      </c>
      <c r="N46" s="64" t="s">
        <v>70</v>
      </c>
      <c r="O46" s="68">
        <f t="shared" si="1"/>
        <v>0</v>
      </c>
      <c r="P46" s="68">
        <f t="shared" si="4"/>
        <v>-3.8280825</v>
      </c>
    </row>
    <row r="47">
      <c r="A47" s="64">
        <f t="shared" si="3"/>
        <v>46</v>
      </c>
      <c r="B47" s="64" t="s">
        <v>35</v>
      </c>
      <c r="C47" s="64" t="s">
        <v>19</v>
      </c>
      <c r="D47" s="64" t="s">
        <v>645</v>
      </c>
      <c r="E47" s="64" t="s">
        <v>646</v>
      </c>
      <c r="F47" s="64" t="s">
        <v>22</v>
      </c>
      <c r="G47" s="64" t="s">
        <v>29</v>
      </c>
      <c r="H47" s="64" t="s">
        <v>24</v>
      </c>
      <c r="I47" s="65">
        <v>-3.0</v>
      </c>
      <c r="J47" s="65">
        <v>0.5</v>
      </c>
      <c r="K47" s="65">
        <v>0.28</v>
      </c>
      <c r="L47" s="66">
        <v>45630.0</v>
      </c>
      <c r="M47" s="67">
        <v>1.8</v>
      </c>
      <c r="N47" s="64" t="s">
        <v>33</v>
      </c>
      <c r="O47" s="68">
        <f t="shared" si="1"/>
        <v>0.224</v>
      </c>
      <c r="P47" s="68">
        <f t="shared" si="4"/>
        <v>-3.6040825</v>
      </c>
    </row>
    <row r="48">
      <c r="A48" s="64">
        <f t="shared" si="3"/>
        <v>47</v>
      </c>
      <c r="B48" s="64" t="s">
        <v>35</v>
      </c>
      <c r="C48" s="64" t="s">
        <v>19</v>
      </c>
      <c r="D48" s="64" t="s">
        <v>647</v>
      </c>
      <c r="E48" s="64" t="s">
        <v>248</v>
      </c>
      <c r="F48" s="64" t="s">
        <v>22</v>
      </c>
      <c r="G48" s="64" t="s">
        <v>29</v>
      </c>
      <c r="H48" s="64" t="s">
        <v>24</v>
      </c>
      <c r="I48" s="65">
        <v>-0.75</v>
      </c>
      <c r="J48" s="65">
        <v>0.5</v>
      </c>
      <c r="K48" s="65">
        <v>0.4</v>
      </c>
      <c r="L48" s="66">
        <v>45630.0</v>
      </c>
      <c r="M48" s="67">
        <v>2.0</v>
      </c>
      <c r="N48" s="64" t="s">
        <v>79</v>
      </c>
      <c r="O48" s="68">
        <f t="shared" si="1"/>
        <v>-0.2</v>
      </c>
      <c r="P48" s="68">
        <f t="shared" si="4"/>
        <v>-3.8040825</v>
      </c>
    </row>
    <row r="49">
      <c r="A49" s="64">
        <f t="shared" si="3"/>
        <v>48</v>
      </c>
      <c r="B49" s="64" t="s">
        <v>35</v>
      </c>
      <c r="C49" s="64" t="s">
        <v>19</v>
      </c>
      <c r="D49" s="64" t="s">
        <v>648</v>
      </c>
      <c r="E49" s="64" t="s">
        <v>319</v>
      </c>
      <c r="F49" s="64" t="s">
        <v>22</v>
      </c>
      <c r="G49" s="64" t="s">
        <v>29</v>
      </c>
      <c r="H49" s="64" t="s">
        <v>24</v>
      </c>
      <c r="I49" s="65">
        <v>-5.0</v>
      </c>
      <c r="J49" s="65">
        <v>0.25</v>
      </c>
      <c r="K49" s="65">
        <v>0.1224</v>
      </c>
      <c r="L49" s="69">
        <v>45630.0</v>
      </c>
      <c r="M49" s="67">
        <v>1.85</v>
      </c>
      <c r="N49" s="64" t="s">
        <v>25</v>
      </c>
      <c r="O49" s="68">
        <f t="shared" si="1"/>
        <v>-0.1224</v>
      </c>
      <c r="P49" s="68">
        <f t="shared" si="4"/>
        <v>-3.9264825</v>
      </c>
    </row>
    <row r="50">
      <c r="A50" s="64">
        <f t="shared" si="3"/>
        <v>49</v>
      </c>
      <c r="B50" s="64" t="s">
        <v>35</v>
      </c>
      <c r="C50" s="64" t="s">
        <v>19</v>
      </c>
      <c r="D50" s="64" t="s">
        <v>649</v>
      </c>
      <c r="E50" s="64" t="s">
        <v>167</v>
      </c>
      <c r="F50" s="64" t="s">
        <v>22</v>
      </c>
      <c r="G50" s="64" t="s">
        <v>29</v>
      </c>
      <c r="H50" s="64" t="s">
        <v>39</v>
      </c>
      <c r="I50" s="65">
        <v>-2.0</v>
      </c>
      <c r="J50" s="65">
        <v>0.25</v>
      </c>
      <c r="K50" s="65">
        <v>0.2448</v>
      </c>
      <c r="L50" s="66">
        <v>45630.0</v>
      </c>
      <c r="M50" s="67">
        <v>1.85</v>
      </c>
      <c r="N50" s="64" t="s">
        <v>25</v>
      </c>
      <c r="O50" s="68">
        <f t="shared" si="1"/>
        <v>-0.2448</v>
      </c>
      <c r="P50" s="68">
        <f t="shared" si="4"/>
        <v>-4.1712825</v>
      </c>
    </row>
    <row r="51">
      <c r="A51" s="64">
        <f t="shared" si="3"/>
        <v>50</v>
      </c>
      <c r="B51" s="64" t="s">
        <v>35</v>
      </c>
      <c r="C51" s="64" t="s">
        <v>19</v>
      </c>
      <c r="D51" s="64" t="s">
        <v>650</v>
      </c>
      <c r="E51" s="64" t="s">
        <v>60</v>
      </c>
      <c r="F51" s="64" t="s">
        <v>22</v>
      </c>
      <c r="G51" s="64" t="s">
        <v>29</v>
      </c>
      <c r="H51" s="64" t="s">
        <v>24</v>
      </c>
      <c r="I51" s="65">
        <v>-6.25</v>
      </c>
      <c r="J51" s="65">
        <v>0.5</v>
      </c>
      <c r="K51" s="65">
        <v>0.2704</v>
      </c>
      <c r="L51" s="66">
        <v>45630.0</v>
      </c>
      <c r="M51" s="67">
        <v>1.725</v>
      </c>
      <c r="N51" s="64" t="s">
        <v>33</v>
      </c>
      <c r="O51" s="68">
        <f t="shared" si="1"/>
        <v>0.19604</v>
      </c>
      <c r="P51" s="68">
        <f t="shared" si="4"/>
        <v>-3.9752425</v>
      </c>
    </row>
    <row r="52">
      <c r="A52" s="64">
        <f t="shared" si="3"/>
        <v>51</v>
      </c>
      <c r="B52" s="64" t="s">
        <v>35</v>
      </c>
      <c r="C52" s="64" t="s">
        <v>19</v>
      </c>
      <c r="D52" s="64" t="s">
        <v>651</v>
      </c>
      <c r="E52" s="64" t="s">
        <v>93</v>
      </c>
      <c r="F52" s="64" t="s">
        <v>22</v>
      </c>
      <c r="G52" s="64" t="s">
        <v>29</v>
      </c>
      <c r="H52" s="64" t="s">
        <v>39</v>
      </c>
      <c r="I52" s="65">
        <v>-3.75</v>
      </c>
      <c r="J52" s="65">
        <v>0.25</v>
      </c>
      <c r="K52" s="65">
        <v>0.25</v>
      </c>
      <c r="L52" s="66">
        <v>45630.0</v>
      </c>
      <c r="M52" s="67">
        <v>1.975</v>
      </c>
      <c r="N52" s="64" t="s">
        <v>79</v>
      </c>
      <c r="O52" s="68">
        <f t="shared" si="1"/>
        <v>-0.125</v>
      </c>
      <c r="P52" s="68">
        <f t="shared" si="4"/>
        <v>-4.1002425</v>
      </c>
      <c r="Q52" s="40"/>
      <c r="R52" s="41" t="s">
        <v>125</v>
      </c>
      <c r="S52" s="41" t="s">
        <v>126</v>
      </c>
      <c r="T52" s="41" t="s">
        <v>45</v>
      </c>
    </row>
    <row r="53">
      <c r="A53" s="64">
        <f t="shared" si="3"/>
        <v>52</v>
      </c>
      <c r="B53" s="64" t="s">
        <v>35</v>
      </c>
      <c r="C53" s="79" t="s">
        <v>19</v>
      </c>
      <c r="D53" s="79" t="s">
        <v>652</v>
      </c>
      <c r="E53" s="64" t="s">
        <v>229</v>
      </c>
      <c r="F53" s="64" t="s">
        <v>22</v>
      </c>
      <c r="G53" s="64" t="s">
        <v>29</v>
      </c>
      <c r="H53" s="64" t="s">
        <v>39</v>
      </c>
      <c r="I53" s="73">
        <v>-3.0</v>
      </c>
      <c r="J53" s="73">
        <v>0.25</v>
      </c>
      <c r="K53" s="73">
        <v>0.175</v>
      </c>
      <c r="L53" s="66">
        <v>45631.0</v>
      </c>
      <c r="M53" s="80">
        <v>2.125</v>
      </c>
      <c r="N53" s="64" t="s">
        <v>25</v>
      </c>
      <c r="O53" s="68">
        <f t="shared" si="1"/>
        <v>-0.175</v>
      </c>
      <c r="P53" s="68">
        <f t="shared" si="4"/>
        <v>-4.2752425</v>
      </c>
      <c r="Q53" s="41" t="s">
        <v>18</v>
      </c>
      <c r="R53" s="45">
        <f t="shared" ref="R53:R59" si="5">SUMIF($B$2:$B$2986,Q53,$O$2:$O$2986)</f>
        <v>0</v>
      </c>
      <c r="S53" s="45">
        <f t="shared" ref="S53:S59" si="6">SUMIF($B$2:$B$2986,Q53,$K$2:$K$2986)</f>
        <v>0</v>
      </c>
      <c r="T53" s="46" t="str">
        <f t="shared" ref="T53:T59" si="7">R53/S53</f>
        <v>#DIV/0!</v>
      </c>
    </row>
    <row r="54">
      <c r="A54" s="64">
        <f t="shared" si="3"/>
        <v>53</v>
      </c>
      <c r="B54" s="64" t="s">
        <v>35</v>
      </c>
      <c r="C54" s="64" t="s">
        <v>19</v>
      </c>
      <c r="D54" s="79" t="s">
        <v>653</v>
      </c>
      <c r="E54" s="64" t="s">
        <v>157</v>
      </c>
      <c r="F54" s="64" t="s">
        <v>22</v>
      </c>
      <c r="G54" s="64" t="s">
        <v>29</v>
      </c>
      <c r="H54" s="64" t="s">
        <v>24</v>
      </c>
      <c r="I54" s="73">
        <v>-2.75</v>
      </c>
      <c r="J54" s="73">
        <v>0.5</v>
      </c>
      <c r="K54" s="73">
        <v>0.21</v>
      </c>
      <c r="L54" s="66">
        <v>45631.0</v>
      </c>
      <c r="M54" s="67">
        <v>1.95</v>
      </c>
      <c r="N54" s="64" t="s">
        <v>33</v>
      </c>
      <c r="O54" s="68">
        <f t="shared" si="1"/>
        <v>0.1995</v>
      </c>
      <c r="P54" s="68">
        <f t="shared" si="4"/>
        <v>-4.0757425</v>
      </c>
      <c r="Q54" s="41" t="s">
        <v>129</v>
      </c>
      <c r="R54" s="45">
        <f t="shared" si="5"/>
        <v>0.3025</v>
      </c>
      <c r="S54" s="45">
        <f t="shared" si="6"/>
        <v>0.45</v>
      </c>
      <c r="T54" s="46">
        <f t="shared" si="7"/>
        <v>0.6722222222</v>
      </c>
    </row>
    <row r="55">
      <c r="A55" s="64">
        <f t="shared" si="3"/>
        <v>54</v>
      </c>
      <c r="B55" s="64" t="s">
        <v>35</v>
      </c>
      <c r="C55" s="64" t="s">
        <v>19</v>
      </c>
      <c r="D55" s="79" t="s">
        <v>654</v>
      </c>
      <c r="E55" s="64" t="s">
        <v>167</v>
      </c>
      <c r="F55" s="64" t="s">
        <v>22</v>
      </c>
      <c r="G55" s="64" t="s">
        <v>29</v>
      </c>
      <c r="H55" s="64"/>
      <c r="I55" s="65">
        <v>-2.0</v>
      </c>
      <c r="J55" s="65">
        <v>0.5</v>
      </c>
      <c r="K55" s="65">
        <v>0.5</v>
      </c>
      <c r="L55" s="69">
        <v>45631.0</v>
      </c>
      <c r="M55" s="67">
        <v>2.0</v>
      </c>
      <c r="N55" s="64" t="s">
        <v>33</v>
      </c>
      <c r="O55" s="68">
        <f t="shared" si="1"/>
        <v>0.5</v>
      </c>
      <c r="P55" s="68">
        <f t="shared" si="4"/>
        <v>-3.5757425</v>
      </c>
      <c r="Q55" s="41" t="s">
        <v>131</v>
      </c>
      <c r="R55" s="45">
        <f t="shared" si="5"/>
        <v>-0.025</v>
      </c>
      <c r="S55" s="45">
        <f t="shared" si="6"/>
        <v>0.5</v>
      </c>
      <c r="T55" s="46">
        <f t="shared" si="7"/>
        <v>-0.05</v>
      </c>
    </row>
    <row r="56">
      <c r="A56" s="64">
        <f t="shared" si="3"/>
        <v>55</v>
      </c>
      <c r="B56" s="64" t="s">
        <v>26</v>
      </c>
      <c r="C56" s="64" t="s">
        <v>19</v>
      </c>
      <c r="D56" s="64" t="s">
        <v>655</v>
      </c>
      <c r="E56" s="64" t="s">
        <v>167</v>
      </c>
      <c r="F56" s="64" t="s">
        <v>22</v>
      </c>
      <c r="G56" s="64" t="s">
        <v>29</v>
      </c>
      <c r="H56" s="64" t="s">
        <v>39</v>
      </c>
      <c r="I56" s="65">
        <v>-3.0</v>
      </c>
      <c r="J56" s="65">
        <v>0.25</v>
      </c>
      <c r="K56" s="65">
        <v>0.25</v>
      </c>
      <c r="L56" s="69">
        <v>45631.0</v>
      </c>
      <c r="M56" s="67">
        <v>2.0</v>
      </c>
      <c r="N56" s="64" t="s">
        <v>70</v>
      </c>
      <c r="O56" s="68">
        <f t="shared" si="1"/>
        <v>0</v>
      </c>
      <c r="P56" s="68">
        <f t="shared" si="4"/>
        <v>-3.5757425</v>
      </c>
      <c r="Q56" s="41" t="s">
        <v>26</v>
      </c>
      <c r="R56" s="45">
        <f t="shared" si="5"/>
        <v>-2.04365875</v>
      </c>
      <c r="S56" s="45">
        <f t="shared" si="6"/>
        <v>43.894</v>
      </c>
      <c r="T56" s="46">
        <f t="shared" si="7"/>
        <v>-0.04655895453</v>
      </c>
    </row>
    <row r="57">
      <c r="A57" s="64">
        <f t="shared" si="3"/>
        <v>56</v>
      </c>
      <c r="B57" s="64" t="s">
        <v>35</v>
      </c>
      <c r="C57" s="64" t="s">
        <v>19</v>
      </c>
      <c r="D57" s="64" t="s">
        <v>656</v>
      </c>
      <c r="E57" s="64" t="s">
        <v>38</v>
      </c>
      <c r="F57" s="64" t="s">
        <v>22</v>
      </c>
      <c r="G57" s="64" t="s">
        <v>29</v>
      </c>
      <c r="H57" s="64" t="s">
        <v>39</v>
      </c>
      <c r="I57" s="65">
        <v>-2.25</v>
      </c>
      <c r="J57" s="65">
        <v>0.25</v>
      </c>
      <c r="K57" s="65">
        <v>0.25</v>
      </c>
      <c r="L57" s="69">
        <v>45631.0</v>
      </c>
      <c r="M57" s="67">
        <v>1.93</v>
      </c>
      <c r="N57" s="64" t="s">
        <v>33</v>
      </c>
      <c r="O57" s="68">
        <f t="shared" si="1"/>
        <v>0.2325</v>
      </c>
      <c r="P57" s="68">
        <f t="shared" si="4"/>
        <v>-3.3432425</v>
      </c>
      <c r="Q57" s="41" t="s">
        <v>35</v>
      </c>
      <c r="R57" s="45">
        <f t="shared" si="5"/>
        <v>0.53480875</v>
      </c>
      <c r="S57" s="45">
        <f t="shared" si="6"/>
        <v>50.577</v>
      </c>
      <c r="T57" s="46">
        <f t="shared" si="7"/>
        <v>0.01057414932</v>
      </c>
    </row>
    <row r="58">
      <c r="A58" s="64">
        <f t="shared" si="3"/>
        <v>57</v>
      </c>
      <c r="B58" s="64" t="s">
        <v>131</v>
      </c>
      <c r="C58" s="64" t="s">
        <v>19</v>
      </c>
      <c r="D58" s="64" t="s">
        <v>657</v>
      </c>
      <c r="E58" s="64" t="s">
        <v>167</v>
      </c>
      <c r="F58" s="64" t="s">
        <v>22</v>
      </c>
      <c r="G58" s="64" t="s">
        <v>29</v>
      </c>
      <c r="H58" s="64" t="s">
        <v>24</v>
      </c>
      <c r="I58" s="65">
        <v>-2.5</v>
      </c>
      <c r="J58" s="65">
        <v>0.25</v>
      </c>
      <c r="K58" s="65">
        <v>0.25</v>
      </c>
      <c r="L58" s="69">
        <v>45632.0</v>
      </c>
      <c r="M58" s="67">
        <v>1.9</v>
      </c>
      <c r="N58" s="64" t="s">
        <v>33</v>
      </c>
      <c r="O58" s="68">
        <f t="shared" si="1"/>
        <v>0.225</v>
      </c>
      <c r="P58" s="68">
        <f t="shared" si="4"/>
        <v>-3.1182425</v>
      </c>
      <c r="Q58" s="41" t="s">
        <v>135</v>
      </c>
      <c r="R58" s="45">
        <f t="shared" si="5"/>
        <v>0</v>
      </c>
      <c r="S58" s="45">
        <f t="shared" si="6"/>
        <v>0</v>
      </c>
      <c r="T58" s="46" t="str">
        <f t="shared" si="7"/>
        <v>#DIV/0!</v>
      </c>
    </row>
    <row r="59">
      <c r="A59" s="64">
        <f t="shared" si="3"/>
        <v>58</v>
      </c>
      <c r="B59" s="64" t="s">
        <v>26</v>
      </c>
      <c r="C59" s="64" t="s">
        <v>19</v>
      </c>
      <c r="D59" s="79" t="s">
        <v>658</v>
      </c>
      <c r="E59" s="64" t="s">
        <v>659</v>
      </c>
      <c r="F59" s="64" t="s">
        <v>22</v>
      </c>
      <c r="G59" s="64" t="s">
        <v>29</v>
      </c>
      <c r="H59" s="64" t="s">
        <v>24</v>
      </c>
      <c r="I59" s="65">
        <v>-1.0</v>
      </c>
      <c r="J59" s="65">
        <v>0.5</v>
      </c>
      <c r="K59" s="65">
        <v>0.4711</v>
      </c>
      <c r="L59" s="66">
        <v>45632.0</v>
      </c>
      <c r="M59" s="67">
        <v>1.75</v>
      </c>
      <c r="N59" s="64" t="s">
        <v>70</v>
      </c>
      <c r="O59" s="68">
        <f t="shared" si="1"/>
        <v>0</v>
      </c>
      <c r="P59" s="68">
        <f t="shared" si="4"/>
        <v>-3.1182425</v>
      </c>
      <c r="Q59" s="41" t="s">
        <v>137</v>
      </c>
      <c r="R59" s="45">
        <f t="shared" si="5"/>
        <v>0</v>
      </c>
      <c r="S59" s="45">
        <f t="shared" si="6"/>
        <v>0</v>
      </c>
      <c r="T59" s="46" t="str">
        <f t="shared" si="7"/>
        <v>#DIV/0!</v>
      </c>
    </row>
    <row r="60">
      <c r="A60" s="64">
        <f t="shared" si="3"/>
        <v>59</v>
      </c>
      <c r="B60" s="64" t="s">
        <v>35</v>
      </c>
      <c r="C60" s="64" t="s">
        <v>19</v>
      </c>
      <c r="D60" s="79" t="s">
        <v>660</v>
      </c>
      <c r="E60" s="64" t="s">
        <v>167</v>
      </c>
      <c r="F60" s="64" t="s">
        <v>22</v>
      </c>
      <c r="G60" s="64" t="s">
        <v>29</v>
      </c>
      <c r="H60" s="64" t="s">
        <v>39</v>
      </c>
      <c r="I60" s="65">
        <v>-0.75</v>
      </c>
      <c r="J60" s="65">
        <v>0.25</v>
      </c>
      <c r="K60" s="65">
        <v>0.25</v>
      </c>
      <c r="L60" s="69">
        <v>45632.0</v>
      </c>
      <c r="M60" s="67">
        <v>2.0</v>
      </c>
      <c r="N60" s="64" t="s">
        <v>33</v>
      </c>
      <c r="O60" s="68">
        <f t="shared" si="1"/>
        <v>0.25</v>
      </c>
      <c r="P60" s="81">
        <f t="shared" si="4"/>
        <v>-2.8682425</v>
      </c>
    </row>
    <row r="61">
      <c r="A61" s="64">
        <f t="shared" si="3"/>
        <v>60</v>
      </c>
      <c r="B61" s="64" t="s">
        <v>26</v>
      </c>
      <c r="C61" s="64" t="s">
        <v>19</v>
      </c>
      <c r="D61" s="79" t="s">
        <v>661</v>
      </c>
      <c r="E61" s="64" t="s">
        <v>583</v>
      </c>
      <c r="F61" s="64" t="s">
        <v>22</v>
      </c>
      <c r="G61" s="64" t="s">
        <v>225</v>
      </c>
      <c r="H61" s="64" t="s">
        <v>24</v>
      </c>
      <c r="I61" s="73">
        <v>2.25</v>
      </c>
      <c r="J61" s="65">
        <v>0.2</v>
      </c>
      <c r="K61" s="65">
        <v>0.2</v>
      </c>
      <c r="L61" s="66">
        <v>45632.0</v>
      </c>
      <c r="M61" s="67">
        <v>1.8</v>
      </c>
      <c r="N61" s="64" t="s">
        <v>25</v>
      </c>
      <c r="O61" s="68">
        <f t="shared" si="1"/>
        <v>-0.2</v>
      </c>
      <c r="P61" s="81">
        <f t="shared" si="4"/>
        <v>-3.0682425</v>
      </c>
      <c r="Q61" s="50"/>
      <c r="R61" s="50"/>
    </row>
    <row r="62">
      <c r="A62" s="64">
        <f t="shared" si="3"/>
        <v>61</v>
      </c>
      <c r="B62" s="64" t="s">
        <v>26</v>
      </c>
      <c r="C62" s="64" t="s">
        <v>19</v>
      </c>
      <c r="D62" s="79" t="s">
        <v>662</v>
      </c>
      <c r="E62" s="64" t="s">
        <v>583</v>
      </c>
      <c r="F62" s="64" t="s">
        <v>22</v>
      </c>
      <c r="G62" s="64" t="s">
        <v>225</v>
      </c>
      <c r="H62" s="64" t="s">
        <v>24</v>
      </c>
      <c r="I62" s="73">
        <v>1.75</v>
      </c>
      <c r="J62" s="65">
        <v>0.2</v>
      </c>
      <c r="K62" s="65">
        <v>0.2</v>
      </c>
      <c r="L62" s="66">
        <v>45632.0</v>
      </c>
      <c r="M62" s="67">
        <v>1.825</v>
      </c>
      <c r="N62" s="64" t="s">
        <v>79</v>
      </c>
      <c r="O62" s="68">
        <f t="shared" si="1"/>
        <v>-0.1</v>
      </c>
      <c r="P62" s="81">
        <f t="shared" si="4"/>
        <v>-3.1682425</v>
      </c>
      <c r="Q62" s="51"/>
      <c r="R62" s="52"/>
    </row>
    <row r="63">
      <c r="A63" s="64">
        <f t="shared" si="3"/>
        <v>62</v>
      </c>
      <c r="B63" s="64" t="s">
        <v>35</v>
      </c>
      <c r="C63" s="64" t="s">
        <v>19</v>
      </c>
      <c r="D63" s="79" t="s">
        <v>663</v>
      </c>
      <c r="E63" s="64" t="s">
        <v>245</v>
      </c>
      <c r="F63" s="64" t="s">
        <v>22</v>
      </c>
      <c r="G63" s="64" t="s">
        <v>29</v>
      </c>
      <c r="H63" s="64" t="s">
        <v>39</v>
      </c>
      <c r="I63" s="73">
        <v>-3.0</v>
      </c>
      <c r="J63" s="65">
        <v>0.25</v>
      </c>
      <c r="K63" s="65">
        <v>0.25</v>
      </c>
      <c r="L63" s="66">
        <v>45632.0</v>
      </c>
      <c r="M63" s="67">
        <v>1.75</v>
      </c>
      <c r="N63" s="64" t="s">
        <v>70</v>
      </c>
      <c r="O63" s="68">
        <f t="shared" si="1"/>
        <v>0</v>
      </c>
      <c r="P63" s="81">
        <f t="shared" si="4"/>
        <v>-3.1682425</v>
      </c>
      <c r="Q63" s="51"/>
      <c r="R63" s="52"/>
    </row>
    <row r="64">
      <c r="A64" s="64">
        <f t="shared" si="3"/>
        <v>63</v>
      </c>
      <c r="B64" s="64" t="s">
        <v>35</v>
      </c>
      <c r="C64" s="64" t="s">
        <v>19</v>
      </c>
      <c r="D64" s="79" t="s">
        <v>664</v>
      </c>
      <c r="E64" s="64" t="s">
        <v>612</v>
      </c>
      <c r="F64" s="64" t="s">
        <v>22</v>
      </c>
      <c r="G64" s="64" t="s">
        <v>29</v>
      </c>
      <c r="H64" s="64" t="s">
        <v>24</v>
      </c>
      <c r="I64" s="73">
        <v>-0.75</v>
      </c>
      <c r="J64" s="65">
        <v>0.5</v>
      </c>
      <c r="K64" s="65">
        <v>0.4182</v>
      </c>
      <c r="L64" s="66">
        <v>45632.0</v>
      </c>
      <c r="M64" s="67">
        <v>2.05</v>
      </c>
      <c r="N64" s="64" t="s">
        <v>79</v>
      </c>
      <c r="O64" s="68">
        <f t="shared" si="1"/>
        <v>-0.2091</v>
      </c>
      <c r="P64" s="81">
        <f t="shared" si="4"/>
        <v>-3.3773425</v>
      </c>
      <c r="Q64" s="51"/>
      <c r="R64" s="52"/>
    </row>
    <row r="65">
      <c r="A65" s="64">
        <f t="shared" si="3"/>
        <v>64</v>
      </c>
      <c r="B65" s="64" t="s">
        <v>26</v>
      </c>
      <c r="C65" s="64" t="s">
        <v>19</v>
      </c>
      <c r="D65" s="79" t="s">
        <v>665</v>
      </c>
      <c r="E65" s="64" t="s">
        <v>68</v>
      </c>
      <c r="F65" s="64" t="s">
        <v>22</v>
      </c>
      <c r="G65" s="64" t="s">
        <v>29</v>
      </c>
      <c r="H65" s="64"/>
      <c r="I65" s="73">
        <v>-2.0</v>
      </c>
      <c r="J65" s="65">
        <v>0.5</v>
      </c>
      <c r="K65" s="65">
        <v>0.5</v>
      </c>
      <c r="L65" s="66">
        <v>45632.0</v>
      </c>
      <c r="M65" s="67">
        <v>1.875</v>
      </c>
      <c r="N65" s="64" t="s">
        <v>70</v>
      </c>
      <c r="O65" s="68">
        <f t="shared" si="1"/>
        <v>0</v>
      </c>
      <c r="P65" s="81">
        <f t="shared" si="4"/>
        <v>-3.3773425</v>
      </c>
      <c r="Q65" s="51"/>
      <c r="R65" s="52"/>
    </row>
    <row r="66">
      <c r="A66" s="64">
        <f t="shared" si="3"/>
        <v>65</v>
      </c>
      <c r="B66" s="64" t="s">
        <v>26</v>
      </c>
      <c r="C66" s="64" t="s">
        <v>19</v>
      </c>
      <c r="D66" s="79" t="s">
        <v>666</v>
      </c>
      <c r="E66" s="64" t="s">
        <v>162</v>
      </c>
      <c r="F66" s="64" t="s">
        <v>22</v>
      </c>
      <c r="G66" s="64" t="s">
        <v>29</v>
      </c>
      <c r="H66" s="64"/>
      <c r="I66" s="65">
        <v>-3.0</v>
      </c>
      <c r="J66" s="65">
        <v>0.5</v>
      </c>
      <c r="K66" s="65">
        <v>0.5</v>
      </c>
      <c r="L66" s="66">
        <v>45632.0</v>
      </c>
      <c r="M66" s="67">
        <v>1.9</v>
      </c>
      <c r="N66" s="64" t="s">
        <v>70</v>
      </c>
      <c r="O66" s="68">
        <f t="shared" si="1"/>
        <v>0</v>
      </c>
      <c r="P66" s="81">
        <f t="shared" si="4"/>
        <v>-3.3773425</v>
      </c>
      <c r="Q66" s="51"/>
      <c r="R66" s="52"/>
    </row>
    <row r="67">
      <c r="A67" s="64">
        <f t="shared" si="3"/>
        <v>66</v>
      </c>
      <c r="B67" s="64" t="s">
        <v>26</v>
      </c>
      <c r="C67" s="64" t="s">
        <v>19</v>
      </c>
      <c r="D67" s="79" t="s">
        <v>667</v>
      </c>
      <c r="E67" s="64" t="s">
        <v>38</v>
      </c>
      <c r="F67" s="64" t="s">
        <v>22</v>
      </c>
      <c r="G67" s="64" t="s">
        <v>29</v>
      </c>
      <c r="H67" s="64"/>
      <c r="I67" s="65">
        <v>-3.75</v>
      </c>
      <c r="J67" s="65">
        <v>0.5</v>
      </c>
      <c r="K67" s="65">
        <v>0.3461</v>
      </c>
      <c r="L67" s="66">
        <v>45632.0</v>
      </c>
      <c r="M67" s="67">
        <v>1.95</v>
      </c>
      <c r="N67" s="64" t="s">
        <v>33</v>
      </c>
      <c r="O67" s="68">
        <f t="shared" si="1"/>
        <v>0.328795</v>
      </c>
      <c r="P67" s="81">
        <f t="shared" si="4"/>
        <v>-3.0485475</v>
      </c>
      <c r="Q67" s="51"/>
      <c r="R67" s="52"/>
    </row>
    <row r="68">
      <c r="A68" s="64">
        <f t="shared" si="3"/>
        <v>67</v>
      </c>
      <c r="B68" s="64" t="s">
        <v>35</v>
      </c>
      <c r="C68" s="64" t="s">
        <v>19</v>
      </c>
      <c r="D68" s="79" t="s">
        <v>668</v>
      </c>
      <c r="E68" s="64" t="s">
        <v>612</v>
      </c>
      <c r="F68" s="64" t="s">
        <v>22</v>
      </c>
      <c r="G68" s="64" t="s">
        <v>29</v>
      </c>
      <c r="H68" s="64"/>
      <c r="I68" s="65">
        <v>-1.25</v>
      </c>
      <c r="J68" s="65">
        <v>0.5</v>
      </c>
      <c r="K68" s="65">
        <v>0.25</v>
      </c>
      <c r="L68" s="66">
        <v>45632.0</v>
      </c>
      <c r="M68" s="67">
        <v>1.725</v>
      </c>
      <c r="N68" s="64" t="s">
        <v>25</v>
      </c>
      <c r="O68" s="68">
        <f t="shared" si="1"/>
        <v>-0.25</v>
      </c>
      <c r="P68" s="81">
        <f t="shared" si="4"/>
        <v>-3.2985475</v>
      </c>
      <c r="Q68" s="51"/>
      <c r="R68" s="52"/>
    </row>
    <row r="69">
      <c r="A69" s="64">
        <f t="shared" si="3"/>
        <v>68</v>
      </c>
      <c r="B69" s="64" t="s">
        <v>26</v>
      </c>
      <c r="C69" s="64" t="s">
        <v>40</v>
      </c>
      <c r="D69" s="79" t="s">
        <v>669</v>
      </c>
      <c r="E69" s="64" t="s">
        <v>78</v>
      </c>
      <c r="F69" s="64" t="s">
        <v>22</v>
      </c>
      <c r="G69" s="64" t="s">
        <v>225</v>
      </c>
      <c r="H69" s="64" t="s">
        <v>24</v>
      </c>
      <c r="I69" s="71">
        <v>1.25</v>
      </c>
      <c r="J69" s="65">
        <v>0.2</v>
      </c>
      <c r="K69" s="65">
        <v>0.2</v>
      </c>
      <c r="L69" s="66">
        <v>45632.0</v>
      </c>
      <c r="M69" s="67">
        <v>1.975</v>
      </c>
      <c r="N69" s="64" t="s">
        <v>33</v>
      </c>
      <c r="O69" s="68">
        <f t="shared" si="1"/>
        <v>0.195</v>
      </c>
      <c r="P69" s="81">
        <f t="shared" si="4"/>
        <v>-3.1035475</v>
      </c>
      <c r="Q69" s="51"/>
      <c r="R69" s="52"/>
    </row>
    <row r="70">
      <c r="A70" s="64">
        <f t="shared" si="3"/>
        <v>69</v>
      </c>
      <c r="B70" s="64" t="s">
        <v>26</v>
      </c>
      <c r="C70" s="64" t="s">
        <v>40</v>
      </c>
      <c r="D70" s="79" t="s">
        <v>670</v>
      </c>
      <c r="E70" s="82" t="s">
        <v>78</v>
      </c>
      <c r="F70" s="64" t="s">
        <v>22</v>
      </c>
      <c r="G70" s="64" t="s">
        <v>29</v>
      </c>
      <c r="H70" s="64"/>
      <c r="I70" s="71">
        <v>-3.0</v>
      </c>
      <c r="J70" s="65">
        <v>0.5</v>
      </c>
      <c r="K70" s="65">
        <v>0.4759</v>
      </c>
      <c r="L70" s="66">
        <v>45632.0</v>
      </c>
      <c r="M70" s="67">
        <v>1.825</v>
      </c>
      <c r="N70" s="64" t="s">
        <v>70</v>
      </c>
      <c r="O70" s="68">
        <f t="shared" si="1"/>
        <v>0</v>
      </c>
      <c r="P70" s="81">
        <f t="shared" si="4"/>
        <v>-3.1035475</v>
      </c>
      <c r="Q70" s="51"/>
      <c r="R70" s="52"/>
    </row>
    <row r="71">
      <c r="A71" s="64">
        <f t="shared" si="3"/>
        <v>70</v>
      </c>
      <c r="B71" s="83" t="s">
        <v>35</v>
      </c>
      <c r="C71" s="82" t="s">
        <v>19</v>
      </c>
      <c r="D71" s="79" t="s">
        <v>671</v>
      </c>
      <c r="E71" s="82" t="s">
        <v>38</v>
      </c>
      <c r="F71" s="82" t="s">
        <v>22</v>
      </c>
      <c r="G71" s="82" t="s">
        <v>29</v>
      </c>
      <c r="H71" s="64"/>
      <c r="I71" s="71">
        <v>-1.25</v>
      </c>
      <c r="J71" s="71">
        <v>0.25</v>
      </c>
      <c r="K71" s="82">
        <v>0.25</v>
      </c>
      <c r="L71" s="84">
        <v>45632.0</v>
      </c>
      <c r="M71" s="85">
        <v>1.975</v>
      </c>
      <c r="N71" s="64" t="s">
        <v>33</v>
      </c>
      <c r="O71" s="68">
        <f t="shared" si="1"/>
        <v>0.24375</v>
      </c>
      <c r="P71" s="81">
        <f t="shared" si="4"/>
        <v>-2.8597975</v>
      </c>
      <c r="Q71" s="51"/>
      <c r="R71" s="52"/>
    </row>
    <row r="72">
      <c r="A72" s="64">
        <f t="shared" si="3"/>
        <v>71</v>
      </c>
      <c r="B72" s="83" t="s">
        <v>35</v>
      </c>
      <c r="C72" s="82" t="s">
        <v>19</v>
      </c>
      <c r="D72" s="79" t="s">
        <v>672</v>
      </c>
      <c r="E72" s="82" t="s">
        <v>583</v>
      </c>
      <c r="F72" s="82" t="s">
        <v>22</v>
      </c>
      <c r="G72" s="82" t="s">
        <v>29</v>
      </c>
      <c r="H72" s="64" t="s">
        <v>24</v>
      </c>
      <c r="I72" s="71">
        <v>-3.5</v>
      </c>
      <c r="J72" s="71">
        <v>0.5</v>
      </c>
      <c r="K72" s="71">
        <v>0.5</v>
      </c>
      <c r="L72" s="84">
        <v>45633.0</v>
      </c>
      <c r="M72" s="85">
        <v>1.85</v>
      </c>
      <c r="N72" s="64" t="s">
        <v>25</v>
      </c>
      <c r="O72" s="68">
        <f t="shared" si="1"/>
        <v>-0.5</v>
      </c>
      <c r="P72" s="81">
        <f t="shared" si="4"/>
        <v>-3.3597975</v>
      </c>
      <c r="Q72" s="51"/>
      <c r="R72" s="52"/>
    </row>
    <row r="73">
      <c r="A73" s="64">
        <f t="shared" si="3"/>
        <v>72</v>
      </c>
      <c r="B73" s="64" t="s">
        <v>35</v>
      </c>
      <c r="C73" s="64" t="s">
        <v>19</v>
      </c>
      <c r="D73" s="79" t="s">
        <v>673</v>
      </c>
      <c r="E73" s="82" t="s">
        <v>121</v>
      </c>
      <c r="F73" s="82" t="s">
        <v>22</v>
      </c>
      <c r="G73" s="64" t="s">
        <v>29</v>
      </c>
      <c r="H73" s="64" t="s">
        <v>39</v>
      </c>
      <c r="I73" s="65">
        <v>-4.25</v>
      </c>
      <c r="J73" s="65">
        <v>0.25</v>
      </c>
      <c r="K73" s="65">
        <v>0.0865</v>
      </c>
      <c r="L73" s="84">
        <v>45633.0</v>
      </c>
      <c r="M73" s="67">
        <v>1.975</v>
      </c>
      <c r="N73" s="64" t="s">
        <v>25</v>
      </c>
      <c r="O73" s="68">
        <f t="shared" si="1"/>
        <v>-0.0865</v>
      </c>
      <c r="P73" s="81">
        <f t="shared" si="4"/>
        <v>-3.4462975</v>
      </c>
      <c r="Q73" s="51"/>
      <c r="R73" s="52"/>
    </row>
    <row r="74">
      <c r="A74" s="64">
        <f t="shared" si="3"/>
        <v>73</v>
      </c>
      <c r="B74" s="64" t="s">
        <v>26</v>
      </c>
      <c r="C74" s="64" t="s">
        <v>19</v>
      </c>
      <c r="D74" s="79" t="s">
        <v>674</v>
      </c>
      <c r="E74" s="64" t="s">
        <v>675</v>
      </c>
      <c r="F74" s="64" t="s">
        <v>22</v>
      </c>
      <c r="G74" s="64" t="s">
        <v>29</v>
      </c>
      <c r="H74" s="64"/>
      <c r="I74" s="65">
        <v>-2.75</v>
      </c>
      <c r="J74" s="65">
        <v>0.5</v>
      </c>
      <c r="K74" s="65">
        <v>0.5</v>
      </c>
      <c r="L74" s="66">
        <v>45633.0</v>
      </c>
      <c r="M74" s="67">
        <v>1.625</v>
      </c>
      <c r="N74" s="64" t="s">
        <v>25</v>
      </c>
      <c r="O74" s="68">
        <f t="shared" si="1"/>
        <v>-0.5</v>
      </c>
      <c r="P74" s="81">
        <f t="shared" si="4"/>
        <v>-3.9462975</v>
      </c>
      <c r="Q74" s="51"/>
      <c r="R74" s="52"/>
    </row>
    <row r="75">
      <c r="A75" s="64">
        <f t="shared" si="3"/>
        <v>74</v>
      </c>
      <c r="B75" s="64" t="s">
        <v>35</v>
      </c>
      <c r="C75" s="64" t="s">
        <v>19</v>
      </c>
      <c r="D75" s="79" t="s">
        <v>676</v>
      </c>
      <c r="E75" s="64" t="s">
        <v>229</v>
      </c>
      <c r="F75" s="64" t="s">
        <v>22</v>
      </c>
      <c r="G75" s="64" t="s">
        <v>29</v>
      </c>
      <c r="H75" s="64" t="s">
        <v>39</v>
      </c>
      <c r="I75" s="65">
        <v>-2.0</v>
      </c>
      <c r="J75" s="65">
        <v>0.25</v>
      </c>
      <c r="K75" s="65">
        <v>0.25</v>
      </c>
      <c r="L75" s="66">
        <v>45633.0</v>
      </c>
      <c r="M75" s="67">
        <v>1.925</v>
      </c>
      <c r="N75" s="64" t="s">
        <v>70</v>
      </c>
      <c r="O75" s="68">
        <f t="shared" si="1"/>
        <v>0</v>
      </c>
      <c r="P75" s="81">
        <f t="shared" si="4"/>
        <v>-3.9462975</v>
      </c>
    </row>
    <row r="76">
      <c r="A76" s="64">
        <f t="shared" si="3"/>
        <v>75</v>
      </c>
      <c r="B76" s="64" t="s">
        <v>26</v>
      </c>
      <c r="C76" s="64" t="s">
        <v>19</v>
      </c>
      <c r="D76" s="79" t="s">
        <v>677</v>
      </c>
      <c r="E76" s="64" t="s">
        <v>583</v>
      </c>
      <c r="F76" s="64" t="s">
        <v>22</v>
      </c>
      <c r="G76" s="64" t="s">
        <v>29</v>
      </c>
      <c r="H76" s="64"/>
      <c r="I76" s="65">
        <v>-2.75</v>
      </c>
      <c r="J76" s="65">
        <v>0.5</v>
      </c>
      <c r="K76" s="65">
        <v>0.5</v>
      </c>
      <c r="L76" s="66">
        <v>45633.0</v>
      </c>
      <c r="M76" s="67">
        <v>1.95</v>
      </c>
      <c r="N76" s="64" t="s">
        <v>25</v>
      </c>
      <c r="O76" s="68">
        <f t="shared" si="1"/>
        <v>-0.5</v>
      </c>
      <c r="P76" s="81">
        <f t="shared" si="4"/>
        <v>-4.4462975</v>
      </c>
    </row>
    <row r="77">
      <c r="A77" s="64">
        <f t="shared" si="3"/>
        <v>76</v>
      </c>
      <c r="B77" s="64" t="s">
        <v>26</v>
      </c>
      <c r="C77" s="64" t="s">
        <v>19</v>
      </c>
      <c r="D77" s="79" t="s">
        <v>678</v>
      </c>
      <c r="E77" s="64" t="s">
        <v>583</v>
      </c>
      <c r="F77" s="64" t="s">
        <v>22</v>
      </c>
      <c r="G77" s="64" t="s">
        <v>225</v>
      </c>
      <c r="H77" s="64" t="s">
        <v>24</v>
      </c>
      <c r="I77" s="65">
        <v>1.25</v>
      </c>
      <c r="J77" s="65">
        <v>0.2</v>
      </c>
      <c r="K77" s="65">
        <v>0.2</v>
      </c>
      <c r="L77" s="66">
        <v>45633.0</v>
      </c>
      <c r="M77" s="67">
        <v>1.95</v>
      </c>
      <c r="N77" s="64" t="s">
        <v>33</v>
      </c>
      <c r="O77" s="68">
        <f t="shared" si="1"/>
        <v>0.19</v>
      </c>
      <c r="P77" s="81">
        <f t="shared" si="4"/>
        <v>-4.2562975</v>
      </c>
    </row>
    <row r="78">
      <c r="A78" s="64">
        <f t="shared" si="3"/>
        <v>77</v>
      </c>
      <c r="B78" s="64" t="s">
        <v>35</v>
      </c>
      <c r="C78" s="64" t="s">
        <v>40</v>
      </c>
      <c r="D78" s="79" t="s">
        <v>679</v>
      </c>
      <c r="E78" s="64" t="s">
        <v>42</v>
      </c>
      <c r="F78" s="64" t="s">
        <v>22</v>
      </c>
      <c r="G78" s="64" t="s">
        <v>29</v>
      </c>
      <c r="H78" s="64" t="s">
        <v>39</v>
      </c>
      <c r="I78" s="65">
        <v>-1.0</v>
      </c>
      <c r="J78" s="65">
        <v>0.25</v>
      </c>
      <c r="K78" s="65">
        <v>0.25</v>
      </c>
      <c r="L78" s="66">
        <v>45633.0</v>
      </c>
      <c r="M78" s="67">
        <v>1.9</v>
      </c>
      <c r="N78" s="64" t="s">
        <v>70</v>
      </c>
      <c r="O78" s="68">
        <f t="shared" si="1"/>
        <v>0</v>
      </c>
      <c r="P78" s="68">
        <f t="shared" si="4"/>
        <v>-4.2562975</v>
      </c>
    </row>
    <row r="79">
      <c r="A79" s="64">
        <f t="shared" si="3"/>
        <v>78</v>
      </c>
      <c r="B79" s="64" t="s">
        <v>26</v>
      </c>
      <c r="C79" s="64" t="s">
        <v>19</v>
      </c>
      <c r="D79" s="79" t="s">
        <v>680</v>
      </c>
      <c r="E79" s="64" t="s">
        <v>66</v>
      </c>
      <c r="F79" s="64" t="s">
        <v>22</v>
      </c>
      <c r="G79" s="64" t="s">
        <v>225</v>
      </c>
      <c r="H79" s="64" t="s">
        <v>24</v>
      </c>
      <c r="I79" s="65">
        <v>1.25</v>
      </c>
      <c r="J79" s="65">
        <v>0.2</v>
      </c>
      <c r="K79" s="65">
        <v>0.2</v>
      </c>
      <c r="L79" s="66">
        <v>45633.0</v>
      </c>
      <c r="M79" s="67">
        <v>1.925</v>
      </c>
      <c r="N79" s="64" t="s">
        <v>30</v>
      </c>
      <c r="O79" s="68">
        <f t="shared" si="1"/>
        <v>0.0925</v>
      </c>
      <c r="P79" s="68">
        <f t="shared" si="4"/>
        <v>-4.1637975</v>
      </c>
    </row>
    <row r="80">
      <c r="A80" s="64">
        <f t="shared" si="3"/>
        <v>79</v>
      </c>
      <c r="B80" s="64" t="s">
        <v>26</v>
      </c>
      <c r="C80" s="64" t="s">
        <v>19</v>
      </c>
      <c r="D80" s="64" t="s">
        <v>681</v>
      </c>
      <c r="E80" s="64" t="s">
        <v>66</v>
      </c>
      <c r="F80" s="64" t="s">
        <v>22</v>
      </c>
      <c r="G80" s="64" t="s">
        <v>29</v>
      </c>
      <c r="H80" s="64"/>
      <c r="I80" s="65">
        <v>-2.75</v>
      </c>
      <c r="J80" s="65">
        <v>0.5</v>
      </c>
      <c r="K80" s="65">
        <v>0.4855</v>
      </c>
      <c r="L80" s="66">
        <v>45633.0</v>
      </c>
      <c r="M80" s="67">
        <v>1.9</v>
      </c>
      <c r="N80" s="64" t="s">
        <v>25</v>
      </c>
      <c r="O80" s="68">
        <f t="shared" si="1"/>
        <v>-0.4855</v>
      </c>
      <c r="P80" s="68">
        <f t="shared" si="4"/>
        <v>-4.6492975</v>
      </c>
    </row>
    <row r="81">
      <c r="A81" s="64">
        <f t="shared" si="3"/>
        <v>80</v>
      </c>
      <c r="B81" s="64" t="s">
        <v>35</v>
      </c>
      <c r="C81" s="64" t="s">
        <v>19</v>
      </c>
      <c r="D81" s="64" t="s">
        <v>682</v>
      </c>
      <c r="E81" s="64" t="s">
        <v>683</v>
      </c>
      <c r="F81" s="64" t="s">
        <v>22</v>
      </c>
      <c r="G81" s="64" t="s">
        <v>29</v>
      </c>
      <c r="H81" s="64"/>
      <c r="I81" s="65">
        <v>-0.75</v>
      </c>
      <c r="J81" s="65">
        <v>0.5</v>
      </c>
      <c r="K81" s="65">
        <v>0.4903</v>
      </c>
      <c r="L81" s="66">
        <v>45633.0</v>
      </c>
      <c r="M81" s="67">
        <v>1.825</v>
      </c>
      <c r="N81" s="64" t="s">
        <v>79</v>
      </c>
      <c r="O81" s="68">
        <f t="shared" si="1"/>
        <v>-0.24515</v>
      </c>
      <c r="P81" s="68">
        <f t="shared" si="4"/>
        <v>-4.8944475</v>
      </c>
    </row>
    <row r="82">
      <c r="A82" s="64">
        <f t="shared" si="3"/>
        <v>81</v>
      </c>
      <c r="B82" s="64" t="s">
        <v>26</v>
      </c>
      <c r="C82" s="64" t="s">
        <v>19</v>
      </c>
      <c r="D82" s="64" t="s">
        <v>684</v>
      </c>
      <c r="E82" s="64" t="s">
        <v>93</v>
      </c>
      <c r="F82" s="64" t="s">
        <v>22</v>
      </c>
      <c r="G82" s="64" t="s">
        <v>225</v>
      </c>
      <c r="H82" s="64" t="s">
        <v>24</v>
      </c>
      <c r="I82" s="65">
        <v>1.5</v>
      </c>
      <c r="J82" s="65">
        <v>0.2</v>
      </c>
      <c r="K82" s="65">
        <v>0.1942</v>
      </c>
      <c r="L82" s="66">
        <v>45633.0</v>
      </c>
      <c r="M82" s="67">
        <v>1.775</v>
      </c>
      <c r="N82" s="64" t="s">
        <v>25</v>
      </c>
      <c r="O82" s="68">
        <f t="shared" si="1"/>
        <v>-0.1942</v>
      </c>
      <c r="P82" s="68">
        <f t="shared" si="4"/>
        <v>-5.0886475</v>
      </c>
    </row>
    <row r="83">
      <c r="A83" s="64">
        <f t="shared" si="3"/>
        <v>82</v>
      </c>
      <c r="B83" s="64" t="s">
        <v>26</v>
      </c>
      <c r="C83" s="64" t="s">
        <v>19</v>
      </c>
      <c r="D83" s="64" t="s">
        <v>685</v>
      </c>
      <c r="E83" s="64" t="s">
        <v>93</v>
      </c>
      <c r="F83" s="64" t="s">
        <v>22</v>
      </c>
      <c r="G83" s="64" t="s">
        <v>225</v>
      </c>
      <c r="H83" s="64" t="s">
        <v>24</v>
      </c>
      <c r="I83" s="65">
        <v>1.5</v>
      </c>
      <c r="J83" s="65">
        <v>0.2</v>
      </c>
      <c r="K83" s="65">
        <v>0.1942</v>
      </c>
      <c r="L83" s="69">
        <v>45633.0</v>
      </c>
      <c r="M83" s="67">
        <v>1.9</v>
      </c>
      <c r="N83" s="64" t="s">
        <v>33</v>
      </c>
      <c r="O83" s="68">
        <f t="shared" si="1"/>
        <v>0.17478</v>
      </c>
      <c r="P83" s="68">
        <f t="shared" si="4"/>
        <v>-4.9138675</v>
      </c>
    </row>
    <row r="84">
      <c r="A84" s="64">
        <f t="shared" si="3"/>
        <v>83</v>
      </c>
      <c r="B84" s="64" t="s">
        <v>26</v>
      </c>
      <c r="C84" s="64" t="s">
        <v>19</v>
      </c>
      <c r="D84" s="64" t="s">
        <v>686</v>
      </c>
      <c r="E84" s="64" t="s">
        <v>93</v>
      </c>
      <c r="F84" s="64" t="s">
        <v>22</v>
      </c>
      <c r="G84" s="64" t="s">
        <v>29</v>
      </c>
      <c r="H84" s="64"/>
      <c r="I84" s="65">
        <v>-3.0</v>
      </c>
      <c r="J84" s="65">
        <v>0.5</v>
      </c>
      <c r="K84" s="65">
        <v>0.2259</v>
      </c>
      <c r="L84" s="69">
        <v>45633.0</v>
      </c>
      <c r="M84" s="67">
        <v>1.875</v>
      </c>
      <c r="N84" s="64" t="s">
        <v>25</v>
      </c>
      <c r="O84" s="68">
        <f t="shared" si="1"/>
        <v>-0.2259</v>
      </c>
      <c r="P84" s="68">
        <f t="shared" si="4"/>
        <v>-5.1397675</v>
      </c>
    </row>
    <row r="85">
      <c r="A85" s="64">
        <f t="shared" si="3"/>
        <v>84</v>
      </c>
      <c r="B85" s="64" t="s">
        <v>26</v>
      </c>
      <c r="C85" s="64" t="s">
        <v>19</v>
      </c>
      <c r="D85" s="64" t="s">
        <v>687</v>
      </c>
      <c r="E85" s="64" t="s">
        <v>248</v>
      </c>
      <c r="F85" s="64" t="s">
        <v>22</v>
      </c>
      <c r="G85" s="64" t="s">
        <v>29</v>
      </c>
      <c r="H85" s="64"/>
      <c r="I85" s="65">
        <v>-2.0</v>
      </c>
      <c r="J85" s="65">
        <v>0.25</v>
      </c>
      <c r="K85" s="65">
        <v>0.25</v>
      </c>
      <c r="L85" s="69">
        <v>45633.0</v>
      </c>
      <c r="M85" s="67">
        <v>1.775</v>
      </c>
      <c r="N85" s="64" t="s">
        <v>33</v>
      </c>
      <c r="O85" s="68">
        <f t="shared" si="1"/>
        <v>0.19375</v>
      </c>
      <c r="P85" s="68">
        <f t="shared" si="4"/>
        <v>-4.9460175</v>
      </c>
    </row>
    <row r="86">
      <c r="A86" s="64">
        <f t="shared" si="3"/>
        <v>85</v>
      </c>
      <c r="B86" s="64" t="s">
        <v>35</v>
      </c>
      <c r="C86" s="64" t="s">
        <v>19</v>
      </c>
      <c r="D86" s="64" t="s">
        <v>688</v>
      </c>
      <c r="E86" s="64" t="s">
        <v>229</v>
      </c>
      <c r="F86" s="64" t="s">
        <v>22</v>
      </c>
      <c r="G86" s="64" t="s">
        <v>29</v>
      </c>
      <c r="H86" s="64" t="s">
        <v>39</v>
      </c>
      <c r="I86" s="65">
        <v>-1.0</v>
      </c>
      <c r="J86" s="65">
        <v>0.25</v>
      </c>
      <c r="K86" s="65">
        <v>0.25</v>
      </c>
      <c r="L86" s="69">
        <v>45633.0</v>
      </c>
      <c r="M86" s="67">
        <v>1.925</v>
      </c>
      <c r="N86" s="64" t="s">
        <v>70</v>
      </c>
      <c r="O86" s="68">
        <f t="shared" si="1"/>
        <v>0</v>
      </c>
      <c r="P86" s="68">
        <f t="shared" si="4"/>
        <v>-4.9460175</v>
      </c>
    </row>
    <row r="87">
      <c r="A87" s="64">
        <f t="shared" si="3"/>
        <v>86</v>
      </c>
      <c r="B87" s="64" t="s">
        <v>35</v>
      </c>
      <c r="C87" s="64" t="s">
        <v>19</v>
      </c>
      <c r="D87" s="64" t="s">
        <v>689</v>
      </c>
      <c r="E87" s="64" t="s">
        <v>68</v>
      </c>
      <c r="F87" s="64" t="s">
        <v>22</v>
      </c>
      <c r="G87" s="64" t="s">
        <v>29</v>
      </c>
      <c r="H87" s="64" t="s">
        <v>24</v>
      </c>
      <c r="I87" s="65">
        <v>-0.75</v>
      </c>
      <c r="J87" s="65">
        <v>0.5</v>
      </c>
      <c r="K87" s="65">
        <v>0.4807</v>
      </c>
      <c r="L87" s="69">
        <v>45633.0</v>
      </c>
      <c r="M87" s="67">
        <v>1.825</v>
      </c>
      <c r="N87" s="64" t="s">
        <v>33</v>
      </c>
      <c r="O87" s="68">
        <f t="shared" si="1"/>
        <v>0.3965775</v>
      </c>
      <c r="P87" s="68">
        <f t="shared" si="4"/>
        <v>-4.54944</v>
      </c>
    </row>
    <row r="88">
      <c r="A88" s="64">
        <f t="shared" si="3"/>
        <v>87</v>
      </c>
      <c r="B88" s="64" t="s">
        <v>35</v>
      </c>
      <c r="C88" s="64" t="s">
        <v>19</v>
      </c>
      <c r="D88" s="64" t="s">
        <v>690</v>
      </c>
      <c r="E88" s="64" t="s">
        <v>50</v>
      </c>
      <c r="F88" s="64" t="s">
        <v>22</v>
      </c>
      <c r="G88" s="64" t="s">
        <v>29</v>
      </c>
      <c r="H88" s="64" t="s">
        <v>39</v>
      </c>
      <c r="I88" s="65">
        <v>-5.25</v>
      </c>
      <c r="J88" s="65">
        <v>0.25</v>
      </c>
      <c r="K88" s="65">
        <v>0.25</v>
      </c>
      <c r="L88" s="66">
        <v>45633.0</v>
      </c>
      <c r="M88" s="67">
        <v>2.0</v>
      </c>
      <c r="N88" s="64" t="s">
        <v>33</v>
      </c>
      <c r="O88" s="68">
        <f t="shared" si="1"/>
        <v>0.25</v>
      </c>
      <c r="P88" s="68">
        <f t="shared" si="4"/>
        <v>-4.29944</v>
      </c>
    </row>
    <row r="89">
      <c r="A89" s="64">
        <f t="shared" si="3"/>
        <v>88</v>
      </c>
      <c r="B89" s="64" t="s">
        <v>35</v>
      </c>
      <c r="C89" s="64" t="s">
        <v>19</v>
      </c>
      <c r="D89" s="64" t="s">
        <v>691</v>
      </c>
      <c r="E89" s="64" t="s">
        <v>66</v>
      </c>
      <c r="F89" s="64" t="s">
        <v>22</v>
      </c>
      <c r="G89" s="64" t="s">
        <v>29</v>
      </c>
      <c r="H89" s="64"/>
      <c r="I89" s="65">
        <v>-1.75</v>
      </c>
      <c r="J89" s="65">
        <v>0.25</v>
      </c>
      <c r="K89" s="65">
        <v>0.25</v>
      </c>
      <c r="L89" s="69">
        <v>45633.0</v>
      </c>
      <c r="M89" s="67">
        <v>1.875</v>
      </c>
      <c r="N89" s="64" t="s">
        <v>33</v>
      </c>
      <c r="O89" s="68">
        <f t="shared" si="1"/>
        <v>0.21875</v>
      </c>
      <c r="P89" s="68">
        <f t="shared" si="4"/>
        <v>-4.08069</v>
      </c>
    </row>
    <row r="90">
      <c r="A90" s="64">
        <f t="shared" si="3"/>
        <v>89</v>
      </c>
      <c r="B90" s="64" t="s">
        <v>35</v>
      </c>
      <c r="C90" s="64" t="s">
        <v>19</v>
      </c>
      <c r="D90" s="64" t="s">
        <v>692</v>
      </c>
      <c r="E90" s="64" t="s">
        <v>60</v>
      </c>
      <c r="F90" s="64" t="s">
        <v>22</v>
      </c>
      <c r="G90" s="64" t="s">
        <v>29</v>
      </c>
      <c r="H90" s="64" t="s">
        <v>39</v>
      </c>
      <c r="I90" s="65">
        <v>-2.0</v>
      </c>
      <c r="J90" s="65">
        <v>0.25</v>
      </c>
      <c r="K90" s="65">
        <v>0.2355</v>
      </c>
      <c r="L90" s="66">
        <v>45633.0</v>
      </c>
      <c r="M90" s="67">
        <v>1.925</v>
      </c>
      <c r="N90" s="64" t="s">
        <v>70</v>
      </c>
      <c r="O90" s="68">
        <f t="shared" si="1"/>
        <v>0</v>
      </c>
      <c r="P90" s="68">
        <f t="shared" si="4"/>
        <v>-4.08069</v>
      </c>
    </row>
    <row r="91">
      <c r="A91" s="64">
        <f t="shared" si="3"/>
        <v>90</v>
      </c>
      <c r="B91" s="64" t="s">
        <v>26</v>
      </c>
      <c r="C91" s="64" t="s">
        <v>19</v>
      </c>
      <c r="D91" s="64" t="s">
        <v>693</v>
      </c>
      <c r="E91" s="64" t="s">
        <v>694</v>
      </c>
      <c r="F91" s="64" t="s">
        <v>22</v>
      </c>
      <c r="G91" s="64" t="s">
        <v>29</v>
      </c>
      <c r="H91" s="64"/>
      <c r="I91" s="65">
        <v>-5.25</v>
      </c>
      <c r="J91" s="65">
        <v>0.5</v>
      </c>
      <c r="K91" s="65">
        <v>0.4663</v>
      </c>
      <c r="L91" s="66">
        <v>45633.0</v>
      </c>
      <c r="M91" s="67">
        <v>1.75</v>
      </c>
      <c r="N91" s="64" t="s">
        <v>33</v>
      </c>
      <c r="O91" s="68">
        <f t="shared" si="1"/>
        <v>0.349725</v>
      </c>
      <c r="P91" s="68">
        <f t="shared" si="4"/>
        <v>-3.730965</v>
      </c>
    </row>
    <row r="92">
      <c r="A92" s="64">
        <f t="shared" si="3"/>
        <v>91</v>
      </c>
      <c r="B92" s="64" t="s">
        <v>26</v>
      </c>
      <c r="C92" s="64" t="s">
        <v>19</v>
      </c>
      <c r="D92" s="64" t="s">
        <v>695</v>
      </c>
      <c r="E92" s="64" t="s">
        <v>221</v>
      </c>
      <c r="F92" s="64" t="s">
        <v>22</v>
      </c>
      <c r="G92" s="64" t="s">
        <v>225</v>
      </c>
      <c r="H92" s="64" t="s">
        <v>24</v>
      </c>
      <c r="I92" s="65">
        <v>2.0</v>
      </c>
      <c r="J92" s="65">
        <v>0.2</v>
      </c>
      <c r="K92" s="65">
        <v>0.2</v>
      </c>
      <c r="L92" s="66">
        <v>45634.0</v>
      </c>
      <c r="M92" s="67">
        <v>2.0</v>
      </c>
      <c r="N92" s="64" t="s">
        <v>33</v>
      </c>
      <c r="O92" s="68">
        <f t="shared" si="1"/>
        <v>0.2</v>
      </c>
      <c r="P92" s="68">
        <f t="shared" si="4"/>
        <v>-3.530965</v>
      </c>
    </row>
    <row r="93">
      <c r="A93" s="64">
        <f t="shared" si="3"/>
        <v>92</v>
      </c>
      <c r="B93" s="64" t="s">
        <v>26</v>
      </c>
      <c r="C93" s="64" t="s">
        <v>19</v>
      </c>
      <c r="D93" s="64" t="s">
        <v>696</v>
      </c>
      <c r="E93" s="64" t="s">
        <v>50</v>
      </c>
      <c r="F93" s="64" t="s">
        <v>22</v>
      </c>
      <c r="G93" s="64" t="s">
        <v>29</v>
      </c>
      <c r="H93" s="64"/>
      <c r="I93" s="65">
        <v>-3.5</v>
      </c>
      <c r="J93" s="65">
        <v>0.5</v>
      </c>
      <c r="K93" s="65">
        <v>0.4663</v>
      </c>
      <c r="L93" s="66">
        <v>45634.0</v>
      </c>
      <c r="M93" s="67">
        <v>1.975</v>
      </c>
      <c r="N93" s="64" t="s">
        <v>33</v>
      </c>
      <c r="O93" s="68">
        <f t="shared" si="1"/>
        <v>0.4546425</v>
      </c>
      <c r="P93" s="68">
        <f t="shared" si="4"/>
        <v>-3.0763225</v>
      </c>
    </row>
    <row r="94">
      <c r="A94" s="64">
        <f t="shared" si="3"/>
        <v>93</v>
      </c>
      <c r="B94" s="64" t="s">
        <v>26</v>
      </c>
      <c r="C94" s="64" t="s">
        <v>19</v>
      </c>
      <c r="D94" s="64" t="s">
        <v>697</v>
      </c>
      <c r="E94" s="64" t="s">
        <v>93</v>
      </c>
      <c r="F94" s="64" t="s">
        <v>22</v>
      </c>
      <c r="G94" s="64" t="s">
        <v>29</v>
      </c>
      <c r="H94" s="64"/>
      <c r="I94" s="65">
        <v>-2.75</v>
      </c>
      <c r="J94" s="65">
        <v>0.5</v>
      </c>
      <c r="K94" s="65">
        <v>0.5</v>
      </c>
      <c r="L94" s="69">
        <v>45634.0</v>
      </c>
      <c r="M94" s="67">
        <v>1.975</v>
      </c>
      <c r="N94" s="64" t="s">
        <v>33</v>
      </c>
      <c r="O94" s="68">
        <f t="shared" si="1"/>
        <v>0.4875</v>
      </c>
      <c r="P94" s="68">
        <f t="shared" si="4"/>
        <v>-2.5888225</v>
      </c>
    </row>
    <row r="95">
      <c r="A95" s="64">
        <f t="shared" si="3"/>
        <v>94</v>
      </c>
      <c r="B95" s="64" t="s">
        <v>26</v>
      </c>
      <c r="C95" s="64" t="s">
        <v>19</v>
      </c>
      <c r="D95" s="64" t="s">
        <v>698</v>
      </c>
      <c r="E95" s="64" t="s">
        <v>50</v>
      </c>
      <c r="F95" s="64" t="s">
        <v>22</v>
      </c>
      <c r="G95" s="64" t="s">
        <v>29</v>
      </c>
      <c r="H95" s="64"/>
      <c r="I95" s="65">
        <v>-3.5</v>
      </c>
      <c r="J95" s="65">
        <v>0.5</v>
      </c>
      <c r="K95" s="65">
        <v>0.5</v>
      </c>
      <c r="L95" s="66">
        <v>45634.0</v>
      </c>
      <c r="M95" s="67">
        <v>1.9</v>
      </c>
      <c r="N95" s="64" t="s">
        <v>25</v>
      </c>
      <c r="O95" s="68">
        <f t="shared" si="1"/>
        <v>-0.5</v>
      </c>
      <c r="P95" s="68">
        <f t="shared" si="4"/>
        <v>-3.0888225</v>
      </c>
    </row>
    <row r="96">
      <c r="A96" s="64">
        <f t="shared" si="3"/>
        <v>95</v>
      </c>
      <c r="B96" s="64" t="s">
        <v>26</v>
      </c>
      <c r="C96" s="64" t="s">
        <v>40</v>
      </c>
      <c r="D96" s="64" t="s">
        <v>699</v>
      </c>
      <c r="E96" s="64" t="s">
        <v>93</v>
      </c>
      <c r="F96" s="64" t="s">
        <v>22</v>
      </c>
      <c r="G96" s="64" t="s">
        <v>29</v>
      </c>
      <c r="H96" s="64"/>
      <c r="I96" s="65">
        <v>-3.25</v>
      </c>
      <c r="J96" s="65">
        <v>0.5</v>
      </c>
      <c r="K96" s="65">
        <v>0.4326</v>
      </c>
      <c r="L96" s="69">
        <v>45634.0</v>
      </c>
      <c r="M96" s="67">
        <v>1.9</v>
      </c>
      <c r="N96" s="64" t="s">
        <v>25</v>
      </c>
      <c r="O96" s="68">
        <f t="shared" si="1"/>
        <v>-0.4326</v>
      </c>
      <c r="P96" s="68">
        <f t="shared" si="4"/>
        <v>-3.5214225</v>
      </c>
    </row>
    <row r="97">
      <c r="A97" s="64">
        <f t="shared" si="3"/>
        <v>96</v>
      </c>
      <c r="B97" s="64" t="s">
        <v>35</v>
      </c>
      <c r="C97" s="64" t="s">
        <v>19</v>
      </c>
      <c r="D97" s="64" t="s">
        <v>700</v>
      </c>
      <c r="E97" s="64" t="s">
        <v>157</v>
      </c>
      <c r="F97" s="64" t="s">
        <v>22</v>
      </c>
      <c r="G97" s="64" t="s">
        <v>29</v>
      </c>
      <c r="H97" s="64" t="s">
        <v>24</v>
      </c>
      <c r="I97" s="65">
        <v>-4.75</v>
      </c>
      <c r="J97" s="65">
        <v>0.5</v>
      </c>
      <c r="K97" s="65">
        <v>0.1875</v>
      </c>
      <c r="L97" s="66">
        <v>45634.0</v>
      </c>
      <c r="M97" s="67">
        <v>1.85</v>
      </c>
      <c r="N97" s="64" t="s">
        <v>33</v>
      </c>
      <c r="O97" s="68">
        <f t="shared" si="1"/>
        <v>0.159375</v>
      </c>
      <c r="P97" s="68">
        <f t="shared" si="4"/>
        <v>-3.3620475</v>
      </c>
    </row>
    <row r="98">
      <c r="A98" s="64">
        <f t="shared" si="3"/>
        <v>97</v>
      </c>
      <c r="B98" s="64" t="s">
        <v>35</v>
      </c>
      <c r="C98" s="64" t="s">
        <v>19</v>
      </c>
      <c r="D98" s="64" t="s">
        <v>701</v>
      </c>
      <c r="E98" s="64" t="s">
        <v>93</v>
      </c>
      <c r="F98" s="64" t="s">
        <v>22</v>
      </c>
      <c r="G98" s="64" t="s">
        <v>29</v>
      </c>
      <c r="H98" s="64" t="s">
        <v>24</v>
      </c>
      <c r="I98" s="65">
        <v>-3.0</v>
      </c>
      <c r="J98" s="65">
        <v>0.5</v>
      </c>
      <c r="K98" s="65">
        <v>0.4903</v>
      </c>
      <c r="L98" s="66">
        <v>45634.0</v>
      </c>
      <c r="M98" s="67">
        <v>1.8</v>
      </c>
      <c r="N98" s="64" t="s">
        <v>25</v>
      </c>
      <c r="O98" s="68">
        <f t="shared" si="1"/>
        <v>-0.4903</v>
      </c>
      <c r="P98" s="68">
        <f t="shared" si="4"/>
        <v>-3.8523475</v>
      </c>
    </row>
    <row r="99">
      <c r="A99" s="64">
        <f t="shared" si="3"/>
        <v>98</v>
      </c>
      <c r="B99" s="64" t="s">
        <v>26</v>
      </c>
      <c r="C99" s="64" t="s">
        <v>19</v>
      </c>
      <c r="D99" s="64" t="s">
        <v>702</v>
      </c>
      <c r="E99" s="64" t="s">
        <v>703</v>
      </c>
      <c r="F99" s="64" t="s">
        <v>22</v>
      </c>
      <c r="G99" s="64" t="s">
        <v>225</v>
      </c>
      <c r="H99" s="64" t="s">
        <v>24</v>
      </c>
      <c r="I99" s="65">
        <v>2.25</v>
      </c>
      <c r="J99" s="65">
        <v>0.1</v>
      </c>
      <c r="K99" s="65">
        <v>0.075</v>
      </c>
      <c r="L99" s="66">
        <v>45634.0</v>
      </c>
      <c r="M99" s="67">
        <v>1.8</v>
      </c>
      <c r="N99" s="64" t="s">
        <v>25</v>
      </c>
      <c r="O99" s="68">
        <f t="shared" si="1"/>
        <v>-0.075</v>
      </c>
      <c r="P99" s="68">
        <f t="shared" si="4"/>
        <v>-3.9273475</v>
      </c>
    </row>
    <row r="100">
      <c r="A100" s="64">
        <f t="shared" si="3"/>
        <v>99</v>
      </c>
      <c r="B100" s="64" t="s">
        <v>35</v>
      </c>
      <c r="C100" s="64" t="s">
        <v>19</v>
      </c>
      <c r="D100" s="64" t="s">
        <v>704</v>
      </c>
      <c r="E100" s="64" t="s">
        <v>42</v>
      </c>
      <c r="F100" s="64" t="s">
        <v>22</v>
      </c>
      <c r="G100" s="64" t="s">
        <v>29</v>
      </c>
      <c r="H100" s="64"/>
      <c r="I100" s="65">
        <v>-2.0</v>
      </c>
      <c r="J100" s="65">
        <v>0.5</v>
      </c>
      <c r="K100" s="65">
        <v>0.4855</v>
      </c>
      <c r="L100" s="69">
        <v>45634.0</v>
      </c>
      <c r="M100" s="67">
        <v>2.025</v>
      </c>
      <c r="N100" s="64" t="s">
        <v>25</v>
      </c>
      <c r="O100" s="68">
        <f t="shared" si="1"/>
        <v>-0.4855</v>
      </c>
      <c r="P100" s="68">
        <f t="shared" si="4"/>
        <v>-4.4128475</v>
      </c>
    </row>
    <row r="101">
      <c r="A101" s="64">
        <f t="shared" si="3"/>
        <v>100</v>
      </c>
      <c r="B101" s="64" t="s">
        <v>35</v>
      </c>
      <c r="C101" s="64" t="s">
        <v>40</v>
      </c>
      <c r="D101" s="64" t="s">
        <v>705</v>
      </c>
      <c r="E101" s="64" t="s">
        <v>38</v>
      </c>
      <c r="F101" s="64" t="s">
        <v>22</v>
      </c>
      <c r="G101" s="64" t="s">
        <v>29</v>
      </c>
      <c r="H101" s="64" t="s">
        <v>39</v>
      </c>
      <c r="I101" s="65">
        <v>-4.0</v>
      </c>
      <c r="J101" s="65">
        <v>0.5</v>
      </c>
      <c r="K101" s="65">
        <v>0.3317</v>
      </c>
      <c r="L101" s="66">
        <v>45634.0</v>
      </c>
      <c r="M101" s="67">
        <v>1.825</v>
      </c>
      <c r="N101" s="64" t="s">
        <v>70</v>
      </c>
      <c r="O101" s="68">
        <f t="shared" si="1"/>
        <v>0</v>
      </c>
      <c r="P101" s="68">
        <f t="shared" si="4"/>
        <v>-4.4128475</v>
      </c>
    </row>
    <row r="102">
      <c r="A102" s="64">
        <f t="shared" si="3"/>
        <v>101</v>
      </c>
      <c r="B102" s="64" t="s">
        <v>131</v>
      </c>
      <c r="C102" s="64" t="s">
        <v>19</v>
      </c>
      <c r="D102" s="64" t="s">
        <v>706</v>
      </c>
      <c r="E102" s="64" t="s">
        <v>121</v>
      </c>
      <c r="F102" s="64" t="s">
        <v>22</v>
      </c>
      <c r="G102" s="64" t="s">
        <v>29</v>
      </c>
      <c r="H102" s="64"/>
      <c r="I102" s="65">
        <v>-2.0</v>
      </c>
      <c r="J102" s="65">
        <v>0.25</v>
      </c>
      <c r="K102" s="65">
        <v>0.25</v>
      </c>
      <c r="L102" s="69">
        <v>45634.0</v>
      </c>
      <c r="M102" s="67">
        <v>1.9</v>
      </c>
      <c r="N102" s="64" t="s">
        <v>25</v>
      </c>
      <c r="O102" s="68">
        <f t="shared" si="1"/>
        <v>-0.25</v>
      </c>
      <c r="P102" s="68">
        <f t="shared" si="4"/>
        <v>-4.6628475</v>
      </c>
    </row>
    <row r="103">
      <c r="A103" s="64">
        <f t="shared" si="3"/>
        <v>102</v>
      </c>
      <c r="B103" s="64" t="s">
        <v>35</v>
      </c>
      <c r="C103" s="64" t="s">
        <v>19</v>
      </c>
      <c r="D103" s="64" t="s">
        <v>707</v>
      </c>
      <c r="E103" s="64" t="s">
        <v>44</v>
      </c>
      <c r="F103" s="64" t="s">
        <v>22</v>
      </c>
      <c r="G103" s="64" t="s">
        <v>29</v>
      </c>
      <c r="H103" s="64" t="s">
        <v>24</v>
      </c>
      <c r="I103" s="65">
        <v>-1.0</v>
      </c>
      <c r="J103" s="65">
        <v>0.5</v>
      </c>
      <c r="K103" s="65">
        <v>0.4038</v>
      </c>
      <c r="L103" s="66">
        <v>45634.0</v>
      </c>
      <c r="M103" s="67">
        <v>1.8</v>
      </c>
      <c r="N103" s="64" t="s">
        <v>25</v>
      </c>
      <c r="O103" s="68">
        <f t="shared" si="1"/>
        <v>-0.4038</v>
      </c>
      <c r="P103" s="68">
        <f t="shared" si="4"/>
        <v>-5.0666475</v>
      </c>
    </row>
    <row r="104">
      <c r="A104" s="64">
        <f t="shared" si="3"/>
        <v>103</v>
      </c>
      <c r="B104" s="64" t="s">
        <v>35</v>
      </c>
      <c r="C104" s="64" t="s">
        <v>40</v>
      </c>
      <c r="D104" s="64" t="s">
        <v>708</v>
      </c>
      <c r="E104" s="64" t="s">
        <v>38</v>
      </c>
      <c r="F104" s="64" t="s">
        <v>22</v>
      </c>
      <c r="G104" s="64" t="s">
        <v>29</v>
      </c>
      <c r="H104" s="64" t="s">
        <v>24</v>
      </c>
      <c r="I104" s="65">
        <v>-3.25</v>
      </c>
      <c r="J104" s="65">
        <v>0.5</v>
      </c>
      <c r="K104" s="65">
        <v>0.3317</v>
      </c>
      <c r="L104" s="66">
        <v>45634.0</v>
      </c>
      <c r="M104" s="67">
        <v>1.8</v>
      </c>
      <c r="N104" s="64" t="s">
        <v>33</v>
      </c>
      <c r="O104" s="68">
        <f t="shared" si="1"/>
        <v>0.26536</v>
      </c>
      <c r="P104" s="68">
        <f t="shared" si="4"/>
        <v>-4.8012875</v>
      </c>
    </row>
    <row r="105">
      <c r="A105" s="64">
        <f t="shared" si="3"/>
        <v>104</v>
      </c>
      <c r="B105" s="64" t="s">
        <v>35</v>
      </c>
      <c r="C105" s="64" t="s">
        <v>19</v>
      </c>
      <c r="D105" s="64" t="s">
        <v>709</v>
      </c>
      <c r="E105" s="64" t="s">
        <v>193</v>
      </c>
      <c r="F105" s="64" t="s">
        <v>22</v>
      </c>
      <c r="G105" s="64" t="s">
        <v>29</v>
      </c>
      <c r="H105" s="64" t="s">
        <v>39</v>
      </c>
      <c r="I105" s="65">
        <v>-0.75</v>
      </c>
      <c r="J105" s="65">
        <v>0.25</v>
      </c>
      <c r="K105" s="65">
        <v>0.25</v>
      </c>
      <c r="L105" s="66">
        <v>45634.0</v>
      </c>
      <c r="M105" s="67">
        <v>1.85</v>
      </c>
      <c r="N105" s="64" t="s">
        <v>33</v>
      </c>
      <c r="O105" s="68">
        <f t="shared" si="1"/>
        <v>0.2125</v>
      </c>
      <c r="P105" s="68">
        <f t="shared" si="4"/>
        <v>-4.5887875</v>
      </c>
    </row>
    <row r="106">
      <c r="A106" s="64">
        <f t="shared" si="3"/>
        <v>105</v>
      </c>
      <c r="B106" s="64" t="s">
        <v>35</v>
      </c>
      <c r="C106" s="64" t="s">
        <v>19</v>
      </c>
      <c r="D106" s="64" t="s">
        <v>710</v>
      </c>
      <c r="E106" s="64" t="s">
        <v>50</v>
      </c>
      <c r="F106" s="64" t="s">
        <v>22</v>
      </c>
      <c r="G106" s="64" t="s">
        <v>29</v>
      </c>
      <c r="H106" s="64" t="s">
        <v>24</v>
      </c>
      <c r="I106" s="65">
        <v>-1.0</v>
      </c>
      <c r="J106" s="65">
        <v>0.5</v>
      </c>
      <c r="K106" s="65">
        <v>0.4375</v>
      </c>
      <c r="L106" s="66">
        <v>45634.0</v>
      </c>
      <c r="M106" s="67">
        <v>2.0</v>
      </c>
      <c r="N106" s="64" t="s">
        <v>25</v>
      </c>
      <c r="O106" s="68">
        <f t="shared" si="1"/>
        <v>-0.4375</v>
      </c>
      <c r="P106" s="68">
        <f t="shared" si="4"/>
        <v>-5.0262875</v>
      </c>
    </row>
    <row r="107">
      <c r="A107" s="64">
        <f t="shared" si="3"/>
        <v>106</v>
      </c>
      <c r="B107" s="64" t="s">
        <v>35</v>
      </c>
      <c r="C107" s="64" t="s">
        <v>19</v>
      </c>
      <c r="D107" s="64" t="s">
        <v>711</v>
      </c>
      <c r="E107" s="64" t="s">
        <v>121</v>
      </c>
      <c r="F107" s="64" t="s">
        <v>22</v>
      </c>
      <c r="G107" s="64" t="s">
        <v>29</v>
      </c>
      <c r="H107" s="64" t="s">
        <v>24</v>
      </c>
      <c r="I107" s="65">
        <v>-0.75</v>
      </c>
      <c r="J107" s="65">
        <v>0.5</v>
      </c>
      <c r="K107" s="65">
        <v>0.5</v>
      </c>
      <c r="L107" s="69">
        <v>45634.0</v>
      </c>
      <c r="M107" s="67">
        <v>2.025</v>
      </c>
      <c r="N107" s="64" t="s">
        <v>33</v>
      </c>
      <c r="O107" s="68">
        <f t="shared" si="1"/>
        <v>0.5125</v>
      </c>
      <c r="P107" s="68">
        <f t="shared" si="4"/>
        <v>-4.5137875</v>
      </c>
    </row>
    <row r="108">
      <c r="A108" s="64">
        <f t="shared" si="3"/>
        <v>107</v>
      </c>
      <c r="B108" s="64" t="s">
        <v>35</v>
      </c>
      <c r="C108" s="64" t="s">
        <v>19</v>
      </c>
      <c r="D108" s="64" t="s">
        <v>712</v>
      </c>
      <c r="E108" s="64" t="s">
        <v>42</v>
      </c>
      <c r="F108" s="64" t="s">
        <v>22</v>
      </c>
      <c r="G108" s="64" t="s">
        <v>29</v>
      </c>
      <c r="H108" s="64" t="s">
        <v>24</v>
      </c>
      <c r="I108" s="65">
        <v>-2.0</v>
      </c>
      <c r="J108" s="65">
        <v>0.5</v>
      </c>
      <c r="K108" s="65">
        <v>0.4759</v>
      </c>
      <c r="L108" s="66">
        <v>45634.0</v>
      </c>
      <c r="M108" s="67">
        <v>1.975</v>
      </c>
      <c r="N108" s="64" t="s">
        <v>33</v>
      </c>
      <c r="O108" s="68">
        <f t="shared" si="1"/>
        <v>0.4640025</v>
      </c>
      <c r="P108" s="68">
        <f t="shared" si="4"/>
        <v>-4.049785</v>
      </c>
    </row>
    <row r="109">
      <c r="A109" s="64">
        <f t="shared" si="3"/>
        <v>108</v>
      </c>
      <c r="B109" s="64" t="s">
        <v>26</v>
      </c>
      <c r="C109" s="64" t="s">
        <v>19</v>
      </c>
      <c r="D109" s="64" t="s">
        <v>713</v>
      </c>
      <c r="E109" s="64" t="s">
        <v>714</v>
      </c>
      <c r="F109" s="64" t="s">
        <v>22</v>
      </c>
      <c r="G109" s="64" t="s">
        <v>225</v>
      </c>
      <c r="H109" s="64" t="s">
        <v>24</v>
      </c>
      <c r="I109" s="65">
        <v>1.0</v>
      </c>
      <c r="J109" s="65">
        <v>0.2</v>
      </c>
      <c r="K109" s="65">
        <v>0.2</v>
      </c>
      <c r="L109" s="66">
        <v>45634.0</v>
      </c>
      <c r="M109" s="67">
        <v>1.85</v>
      </c>
      <c r="N109" s="64" t="s">
        <v>33</v>
      </c>
      <c r="O109" s="68">
        <f t="shared" si="1"/>
        <v>0.17</v>
      </c>
      <c r="P109" s="68">
        <f t="shared" si="4"/>
        <v>-3.879785</v>
      </c>
    </row>
    <row r="110">
      <c r="A110" s="64">
        <f t="shared" si="3"/>
        <v>109</v>
      </c>
      <c r="B110" s="64" t="s">
        <v>35</v>
      </c>
      <c r="C110" s="64" t="s">
        <v>19</v>
      </c>
      <c r="D110" s="64" t="s">
        <v>715</v>
      </c>
      <c r="E110" s="64" t="s">
        <v>716</v>
      </c>
      <c r="F110" s="64" t="s">
        <v>22</v>
      </c>
      <c r="G110" s="64" t="s">
        <v>29</v>
      </c>
      <c r="H110" s="64" t="s">
        <v>24</v>
      </c>
      <c r="I110" s="65">
        <v>-0.75</v>
      </c>
      <c r="J110" s="65">
        <v>0.5</v>
      </c>
      <c r="K110" s="65">
        <v>0.3413</v>
      </c>
      <c r="L110" s="66">
        <v>45634.0</v>
      </c>
      <c r="M110" s="67">
        <v>1.85</v>
      </c>
      <c r="N110" s="64" t="s">
        <v>33</v>
      </c>
      <c r="O110" s="68">
        <f t="shared" si="1"/>
        <v>0.290105</v>
      </c>
      <c r="P110" s="68">
        <f t="shared" si="4"/>
        <v>-3.58968</v>
      </c>
    </row>
    <row r="111">
      <c r="A111" s="64">
        <f t="shared" si="3"/>
        <v>110</v>
      </c>
      <c r="B111" s="64" t="s">
        <v>35</v>
      </c>
      <c r="C111" s="64" t="s">
        <v>19</v>
      </c>
      <c r="D111" s="64" t="s">
        <v>717</v>
      </c>
      <c r="E111" s="64" t="s">
        <v>60</v>
      </c>
      <c r="F111" s="64" t="s">
        <v>22</v>
      </c>
      <c r="G111" s="64" t="s">
        <v>29</v>
      </c>
      <c r="H111" s="64" t="s">
        <v>39</v>
      </c>
      <c r="I111" s="65">
        <v>-1.0</v>
      </c>
      <c r="J111" s="65">
        <v>0.25</v>
      </c>
      <c r="K111" s="65">
        <v>0.2259</v>
      </c>
      <c r="L111" s="66">
        <v>45634.0</v>
      </c>
      <c r="M111" s="67">
        <v>2.1</v>
      </c>
      <c r="N111" s="64" t="s">
        <v>33</v>
      </c>
      <c r="O111" s="68">
        <f t="shared" si="1"/>
        <v>0.24849</v>
      </c>
      <c r="P111" s="68">
        <f t="shared" si="4"/>
        <v>-3.34119</v>
      </c>
    </row>
    <row r="112">
      <c r="A112" s="64">
        <f t="shared" si="3"/>
        <v>111</v>
      </c>
      <c r="B112" s="64" t="s">
        <v>35</v>
      </c>
      <c r="C112" s="64" t="s">
        <v>19</v>
      </c>
      <c r="D112" s="64" t="s">
        <v>718</v>
      </c>
      <c r="E112" s="64" t="s">
        <v>121</v>
      </c>
      <c r="F112" s="64" t="s">
        <v>22</v>
      </c>
      <c r="G112" s="64" t="s">
        <v>29</v>
      </c>
      <c r="H112" s="64" t="s">
        <v>24</v>
      </c>
      <c r="I112" s="65">
        <v>-1.0</v>
      </c>
      <c r="J112" s="65">
        <v>0.25</v>
      </c>
      <c r="K112" s="65">
        <v>0.1105</v>
      </c>
      <c r="L112" s="66">
        <v>45634.0</v>
      </c>
      <c r="M112" s="67">
        <v>1.7</v>
      </c>
      <c r="N112" s="64" t="s">
        <v>33</v>
      </c>
      <c r="O112" s="68">
        <f t="shared" si="1"/>
        <v>0.07735</v>
      </c>
      <c r="P112" s="68">
        <f t="shared" si="4"/>
        <v>-3.26384</v>
      </c>
    </row>
    <row r="113">
      <c r="A113" s="64">
        <f t="shared" si="3"/>
        <v>112</v>
      </c>
      <c r="B113" s="64" t="s">
        <v>35</v>
      </c>
      <c r="C113" s="64" t="s">
        <v>19</v>
      </c>
      <c r="D113" s="64" t="s">
        <v>719</v>
      </c>
      <c r="E113" s="64" t="s">
        <v>42</v>
      </c>
      <c r="F113" s="64" t="s">
        <v>22</v>
      </c>
      <c r="G113" s="64" t="s">
        <v>29</v>
      </c>
      <c r="H113" s="64" t="s">
        <v>24</v>
      </c>
      <c r="I113" s="65">
        <v>-0.75</v>
      </c>
      <c r="J113" s="65">
        <v>0.5</v>
      </c>
      <c r="K113" s="65">
        <v>0.5</v>
      </c>
      <c r="L113" s="66">
        <v>45634.0</v>
      </c>
      <c r="M113" s="67">
        <v>1.825</v>
      </c>
      <c r="N113" s="64" t="s">
        <v>33</v>
      </c>
      <c r="O113" s="68">
        <f t="shared" si="1"/>
        <v>0.4125</v>
      </c>
      <c r="P113" s="68">
        <f t="shared" si="4"/>
        <v>-2.85134</v>
      </c>
    </row>
    <row r="114">
      <c r="A114" s="64">
        <f t="shared" si="3"/>
        <v>113</v>
      </c>
      <c r="B114" s="64" t="s">
        <v>35</v>
      </c>
      <c r="C114" s="64" t="s">
        <v>19</v>
      </c>
      <c r="D114" s="64" t="s">
        <v>720</v>
      </c>
      <c r="E114" s="64" t="s">
        <v>178</v>
      </c>
      <c r="F114" s="64" t="s">
        <v>22</v>
      </c>
      <c r="G114" s="64" t="s">
        <v>29</v>
      </c>
      <c r="H114" s="64" t="s">
        <v>39</v>
      </c>
      <c r="I114" s="65">
        <v>-2.0</v>
      </c>
      <c r="J114" s="65">
        <v>0.25</v>
      </c>
      <c r="K114" s="65">
        <v>0.25</v>
      </c>
      <c r="L114" s="66">
        <v>45634.0</v>
      </c>
      <c r="M114" s="67">
        <v>2.1</v>
      </c>
      <c r="N114" s="64" t="s">
        <v>70</v>
      </c>
      <c r="O114" s="68">
        <f t="shared" si="1"/>
        <v>0</v>
      </c>
      <c r="P114" s="68">
        <f t="shared" si="4"/>
        <v>-2.85134</v>
      </c>
    </row>
    <row r="115">
      <c r="A115" s="64">
        <f t="shared" si="3"/>
        <v>114</v>
      </c>
      <c r="B115" s="64" t="s">
        <v>35</v>
      </c>
      <c r="C115" s="64" t="s">
        <v>19</v>
      </c>
      <c r="D115" s="64" t="s">
        <v>721</v>
      </c>
      <c r="E115" s="64" t="s">
        <v>714</v>
      </c>
      <c r="F115" s="64" t="s">
        <v>22</v>
      </c>
      <c r="G115" s="64" t="s">
        <v>29</v>
      </c>
      <c r="H115" s="64" t="s">
        <v>24</v>
      </c>
      <c r="I115" s="65">
        <v>-0.75</v>
      </c>
      <c r="J115" s="65">
        <v>0.5</v>
      </c>
      <c r="K115" s="65">
        <v>0.4423</v>
      </c>
      <c r="L115" s="66">
        <v>45634.0</v>
      </c>
      <c r="M115" s="67">
        <v>2.0</v>
      </c>
      <c r="N115" s="64" t="s">
        <v>79</v>
      </c>
      <c r="O115" s="68">
        <f t="shared" si="1"/>
        <v>-0.22115</v>
      </c>
      <c r="P115" s="68">
        <f t="shared" si="4"/>
        <v>-3.07249</v>
      </c>
    </row>
    <row r="116">
      <c r="A116" s="64">
        <f t="shared" si="3"/>
        <v>115</v>
      </c>
      <c r="B116" s="64" t="s">
        <v>35</v>
      </c>
      <c r="C116" s="64" t="s">
        <v>19</v>
      </c>
      <c r="D116" s="64" t="s">
        <v>722</v>
      </c>
      <c r="E116" s="64" t="s">
        <v>50</v>
      </c>
      <c r="F116" s="64" t="s">
        <v>22</v>
      </c>
      <c r="G116" s="64" t="s">
        <v>29</v>
      </c>
      <c r="H116" s="64" t="s">
        <v>39</v>
      </c>
      <c r="I116" s="65">
        <v>-0.75</v>
      </c>
      <c r="J116" s="65">
        <v>0.25</v>
      </c>
      <c r="K116" s="65">
        <v>0.25</v>
      </c>
      <c r="L116" s="66">
        <v>45634.0</v>
      </c>
      <c r="M116" s="67">
        <v>2.1</v>
      </c>
      <c r="N116" s="64" t="s">
        <v>33</v>
      </c>
      <c r="O116" s="68">
        <f t="shared" si="1"/>
        <v>0.275</v>
      </c>
      <c r="P116" s="68">
        <f t="shared" si="4"/>
        <v>-2.79749</v>
      </c>
    </row>
    <row r="117">
      <c r="A117" s="64">
        <f t="shared" si="3"/>
        <v>116</v>
      </c>
      <c r="B117" s="64" t="s">
        <v>35</v>
      </c>
      <c r="C117" s="64" t="s">
        <v>19</v>
      </c>
      <c r="D117" s="64" t="s">
        <v>723</v>
      </c>
      <c r="E117" s="64" t="s">
        <v>185</v>
      </c>
      <c r="F117" s="64" t="s">
        <v>22</v>
      </c>
      <c r="G117" s="64" t="s">
        <v>29</v>
      </c>
      <c r="H117" s="64" t="s">
        <v>39</v>
      </c>
      <c r="I117" s="65">
        <v>-1.0</v>
      </c>
      <c r="J117" s="65">
        <v>0.25</v>
      </c>
      <c r="K117" s="65">
        <v>0.1298</v>
      </c>
      <c r="L117" s="66">
        <v>45634.0</v>
      </c>
      <c r="M117" s="67">
        <v>1.65</v>
      </c>
      <c r="N117" s="64" t="s">
        <v>33</v>
      </c>
      <c r="O117" s="68">
        <f t="shared" si="1"/>
        <v>0.08437</v>
      </c>
      <c r="P117" s="68">
        <f t="shared" si="4"/>
        <v>-2.71312</v>
      </c>
    </row>
    <row r="118">
      <c r="A118" s="64">
        <f t="shared" si="3"/>
        <v>117</v>
      </c>
      <c r="B118" s="64" t="s">
        <v>35</v>
      </c>
      <c r="C118" s="64" t="s">
        <v>19</v>
      </c>
      <c r="D118" s="64" t="s">
        <v>724</v>
      </c>
      <c r="E118" s="64" t="s">
        <v>93</v>
      </c>
      <c r="F118" s="64" t="s">
        <v>22</v>
      </c>
      <c r="G118" s="64" t="s">
        <v>29</v>
      </c>
      <c r="H118" s="64" t="s">
        <v>39</v>
      </c>
      <c r="I118" s="65">
        <v>-0.75</v>
      </c>
      <c r="J118" s="65">
        <v>0.25</v>
      </c>
      <c r="K118" s="65">
        <v>0.25</v>
      </c>
      <c r="L118" s="66">
        <v>45634.0</v>
      </c>
      <c r="M118" s="67">
        <v>1.875</v>
      </c>
      <c r="N118" s="64" t="s">
        <v>79</v>
      </c>
      <c r="O118" s="68">
        <f t="shared" si="1"/>
        <v>-0.125</v>
      </c>
      <c r="P118" s="68">
        <f t="shared" si="4"/>
        <v>-2.83812</v>
      </c>
    </row>
    <row r="119" ht="15.0" customHeight="1">
      <c r="A119" s="64">
        <f t="shared" si="3"/>
        <v>118</v>
      </c>
      <c r="B119" s="64" t="s">
        <v>26</v>
      </c>
      <c r="C119" s="64" t="s">
        <v>19</v>
      </c>
      <c r="D119" s="64" t="s">
        <v>725</v>
      </c>
      <c r="E119" s="64" t="s">
        <v>157</v>
      </c>
      <c r="F119" s="64" t="s">
        <v>22</v>
      </c>
      <c r="G119" s="64" t="s">
        <v>29</v>
      </c>
      <c r="H119" s="64" t="s">
        <v>24</v>
      </c>
      <c r="I119" s="65">
        <v>-2.75</v>
      </c>
      <c r="J119" s="65">
        <v>0.5</v>
      </c>
      <c r="K119" s="65">
        <v>0.2019</v>
      </c>
      <c r="L119" s="66">
        <v>45635.0</v>
      </c>
      <c r="M119" s="67">
        <v>1.9</v>
      </c>
      <c r="N119" s="64" t="s">
        <v>33</v>
      </c>
      <c r="O119" s="68">
        <f t="shared" si="1"/>
        <v>0.18171</v>
      </c>
      <c r="P119" s="68">
        <f t="shared" si="4"/>
        <v>-2.65641</v>
      </c>
    </row>
    <row r="120">
      <c r="A120" s="64">
        <f t="shared" si="3"/>
        <v>119</v>
      </c>
      <c r="B120" s="64" t="s">
        <v>26</v>
      </c>
      <c r="C120" s="64" t="s">
        <v>19</v>
      </c>
      <c r="D120" s="64" t="s">
        <v>726</v>
      </c>
      <c r="E120" s="64" t="s">
        <v>38</v>
      </c>
      <c r="F120" s="64" t="s">
        <v>22</v>
      </c>
      <c r="G120" s="64" t="s">
        <v>29</v>
      </c>
      <c r="H120" s="64"/>
      <c r="I120" s="65">
        <v>-3.75</v>
      </c>
      <c r="J120" s="65">
        <v>0.5</v>
      </c>
      <c r="K120" s="65">
        <v>0.4901</v>
      </c>
      <c r="L120" s="66">
        <v>45635.0</v>
      </c>
      <c r="M120" s="67">
        <v>1.975</v>
      </c>
      <c r="N120" s="64" t="s">
        <v>79</v>
      </c>
      <c r="O120" s="68">
        <f t="shared" si="1"/>
        <v>-0.24505</v>
      </c>
      <c r="P120" s="68">
        <f t="shared" si="4"/>
        <v>-2.90146</v>
      </c>
    </row>
    <row r="121">
      <c r="A121" s="64">
        <f t="shared" si="3"/>
        <v>120</v>
      </c>
      <c r="B121" s="64" t="s">
        <v>35</v>
      </c>
      <c r="C121" s="64" t="s">
        <v>19</v>
      </c>
      <c r="D121" s="64" t="s">
        <v>727</v>
      </c>
      <c r="E121" s="64" t="s">
        <v>229</v>
      </c>
      <c r="F121" s="64" t="s">
        <v>22</v>
      </c>
      <c r="G121" s="64" t="s">
        <v>29</v>
      </c>
      <c r="H121" s="64" t="s">
        <v>39</v>
      </c>
      <c r="I121" s="65">
        <v>-1.0</v>
      </c>
      <c r="J121" s="65">
        <v>0.25</v>
      </c>
      <c r="K121" s="65">
        <v>0.053</v>
      </c>
      <c r="L121" s="66">
        <v>45635.0</v>
      </c>
      <c r="M121" s="67">
        <v>1.725</v>
      </c>
      <c r="N121" s="64" t="s">
        <v>70</v>
      </c>
      <c r="O121" s="68">
        <f t="shared" si="1"/>
        <v>0</v>
      </c>
      <c r="P121" s="68">
        <f t="shared" si="4"/>
        <v>-2.90146</v>
      </c>
    </row>
    <row r="122">
      <c r="A122" s="64">
        <f t="shared" si="3"/>
        <v>121</v>
      </c>
      <c r="B122" s="64" t="s">
        <v>26</v>
      </c>
      <c r="C122" s="64" t="s">
        <v>19</v>
      </c>
      <c r="D122" s="64" t="s">
        <v>728</v>
      </c>
      <c r="E122" s="64" t="s">
        <v>372</v>
      </c>
      <c r="F122" s="64" t="s">
        <v>22</v>
      </c>
      <c r="G122" s="64" t="s">
        <v>29</v>
      </c>
      <c r="H122" s="64"/>
      <c r="I122" s="65">
        <v>-2.75</v>
      </c>
      <c r="J122" s="65">
        <v>0.5</v>
      </c>
      <c r="K122" s="65">
        <v>0.4901</v>
      </c>
      <c r="L122" s="66">
        <v>45635.0</v>
      </c>
      <c r="M122" s="67">
        <v>1.925</v>
      </c>
      <c r="N122" s="64" t="s">
        <v>79</v>
      </c>
      <c r="O122" s="68">
        <f t="shared" si="1"/>
        <v>-0.24505</v>
      </c>
      <c r="P122" s="68">
        <f t="shared" si="4"/>
        <v>-3.14651</v>
      </c>
    </row>
    <row r="123">
      <c r="A123" s="64">
        <f t="shared" si="3"/>
        <v>122</v>
      </c>
      <c r="B123" s="64" t="s">
        <v>35</v>
      </c>
      <c r="C123" s="64" t="s">
        <v>19</v>
      </c>
      <c r="D123" s="64" t="s">
        <v>729</v>
      </c>
      <c r="E123" s="64" t="s">
        <v>432</v>
      </c>
      <c r="F123" s="64" t="s">
        <v>22</v>
      </c>
      <c r="G123" s="64" t="s">
        <v>29</v>
      </c>
      <c r="H123" s="64"/>
      <c r="I123" s="65">
        <v>-0.75</v>
      </c>
      <c r="J123" s="65">
        <v>0.25</v>
      </c>
      <c r="K123" s="65">
        <v>0.1029</v>
      </c>
      <c r="L123" s="66">
        <v>45635.0</v>
      </c>
      <c r="M123" s="67">
        <v>2.15</v>
      </c>
      <c r="N123" s="64" t="s">
        <v>33</v>
      </c>
      <c r="O123" s="68">
        <f t="shared" si="1"/>
        <v>0.118335</v>
      </c>
      <c r="P123" s="68">
        <f t="shared" si="4"/>
        <v>-3.028175</v>
      </c>
    </row>
    <row r="124">
      <c r="A124" s="64">
        <f t="shared" si="3"/>
        <v>123</v>
      </c>
      <c r="B124" s="64" t="s">
        <v>35</v>
      </c>
      <c r="C124" s="64" t="s">
        <v>19</v>
      </c>
      <c r="D124" s="64" t="s">
        <v>730</v>
      </c>
      <c r="E124" s="64" t="s">
        <v>372</v>
      </c>
      <c r="F124" s="64" t="s">
        <v>22</v>
      </c>
      <c r="G124" s="64" t="s">
        <v>29</v>
      </c>
      <c r="H124" s="64" t="s">
        <v>39</v>
      </c>
      <c r="I124" s="65">
        <v>-1.25</v>
      </c>
      <c r="J124" s="65">
        <v>0.25</v>
      </c>
      <c r="K124" s="65">
        <v>0.2303</v>
      </c>
      <c r="L124" s="66">
        <v>45635.0</v>
      </c>
      <c r="M124" s="67">
        <v>1.725</v>
      </c>
      <c r="N124" s="64" t="s">
        <v>30</v>
      </c>
      <c r="O124" s="68">
        <f t="shared" si="1"/>
        <v>0.08348375</v>
      </c>
      <c r="P124" s="68">
        <f t="shared" si="4"/>
        <v>-2.94469125</v>
      </c>
    </row>
    <row r="125">
      <c r="A125" s="64">
        <f t="shared" si="3"/>
        <v>124</v>
      </c>
      <c r="B125" s="64" t="s">
        <v>26</v>
      </c>
      <c r="C125" s="64" t="s">
        <v>19</v>
      </c>
      <c r="D125" s="64" t="s">
        <v>731</v>
      </c>
      <c r="E125" s="64" t="s">
        <v>456</v>
      </c>
      <c r="F125" s="64" t="s">
        <v>22</v>
      </c>
      <c r="G125" s="64" t="s">
        <v>29</v>
      </c>
      <c r="H125" s="64"/>
      <c r="I125" s="65">
        <v>-2.75</v>
      </c>
      <c r="J125" s="65">
        <v>0.5</v>
      </c>
      <c r="K125" s="65">
        <v>0.4656</v>
      </c>
      <c r="L125" s="66">
        <v>45635.0</v>
      </c>
      <c r="M125" s="67">
        <v>1.825</v>
      </c>
      <c r="N125" s="64" t="s">
        <v>25</v>
      </c>
      <c r="O125" s="68">
        <f t="shared" si="1"/>
        <v>-0.4656</v>
      </c>
      <c r="P125" s="68">
        <f t="shared" si="4"/>
        <v>-3.41029125</v>
      </c>
    </row>
    <row r="126">
      <c r="A126" s="64">
        <f t="shared" si="3"/>
        <v>125</v>
      </c>
      <c r="B126" s="64" t="s">
        <v>35</v>
      </c>
      <c r="C126" s="64" t="s">
        <v>19</v>
      </c>
      <c r="D126" s="95" t="s">
        <v>732</v>
      </c>
      <c r="E126" s="64" t="s">
        <v>642</v>
      </c>
      <c r="F126" s="64" t="s">
        <v>22</v>
      </c>
      <c r="G126" s="64" t="s">
        <v>29</v>
      </c>
      <c r="H126" s="64"/>
      <c r="I126" s="65">
        <v>-6.5</v>
      </c>
      <c r="J126" s="65">
        <v>0.5</v>
      </c>
      <c r="K126" s="65">
        <v>0.147</v>
      </c>
      <c r="L126" s="66">
        <v>45636.0</v>
      </c>
      <c r="M126" s="67">
        <v>1.95</v>
      </c>
      <c r="N126" s="64" t="s">
        <v>25</v>
      </c>
      <c r="O126" s="68">
        <f t="shared" si="1"/>
        <v>-0.147</v>
      </c>
      <c r="P126" s="68">
        <f t="shared" si="4"/>
        <v>-3.55729125</v>
      </c>
    </row>
    <row r="127">
      <c r="A127" s="64">
        <f t="shared" si="3"/>
        <v>126</v>
      </c>
      <c r="B127" s="64" t="s">
        <v>26</v>
      </c>
      <c r="C127" s="64" t="s">
        <v>19</v>
      </c>
      <c r="D127" s="64" t="s">
        <v>733</v>
      </c>
      <c r="E127" s="64" t="s">
        <v>50</v>
      </c>
      <c r="F127" s="64" t="s">
        <v>22</v>
      </c>
      <c r="G127" s="64" t="s">
        <v>29</v>
      </c>
      <c r="H127" s="64"/>
      <c r="I127" s="65">
        <v>-4.0</v>
      </c>
      <c r="J127" s="65">
        <v>0.5</v>
      </c>
      <c r="K127" s="65">
        <v>0.3039</v>
      </c>
      <c r="L127" s="66">
        <v>45636.0</v>
      </c>
      <c r="M127" s="67">
        <v>1.875</v>
      </c>
      <c r="N127" s="64" t="s">
        <v>25</v>
      </c>
      <c r="O127" s="68">
        <f t="shared" si="1"/>
        <v>-0.3039</v>
      </c>
      <c r="P127" s="68">
        <f t="shared" si="4"/>
        <v>-3.86119125</v>
      </c>
    </row>
    <row r="128">
      <c r="A128" s="64">
        <f t="shared" si="3"/>
        <v>127</v>
      </c>
      <c r="B128" s="64" t="s">
        <v>35</v>
      </c>
      <c r="C128" s="64" t="s">
        <v>19</v>
      </c>
      <c r="D128" s="64" t="s">
        <v>734</v>
      </c>
      <c r="E128" s="64" t="s">
        <v>169</v>
      </c>
      <c r="F128" s="64" t="s">
        <v>22</v>
      </c>
      <c r="G128" s="64" t="s">
        <v>29</v>
      </c>
      <c r="H128" s="64"/>
      <c r="I128" s="65">
        <v>-3.0</v>
      </c>
      <c r="J128" s="65">
        <v>0.5</v>
      </c>
      <c r="K128" s="65">
        <v>0.245</v>
      </c>
      <c r="L128" s="66">
        <v>45636.0</v>
      </c>
      <c r="M128" s="67">
        <v>1.775</v>
      </c>
      <c r="N128" s="64" t="s">
        <v>33</v>
      </c>
      <c r="O128" s="68">
        <f t="shared" si="1"/>
        <v>0.189875</v>
      </c>
      <c r="P128" s="68">
        <f t="shared" si="4"/>
        <v>-3.67131625</v>
      </c>
    </row>
    <row r="129">
      <c r="A129" s="64">
        <f t="shared" si="3"/>
        <v>128</v>
      </c>
      <c r="B129" s="64" t="s">
        <v>35</v>
      </c>
      <c r="C129" s="64" t="s">
        <v>19</v>
      </c>
      <c r="D129" s="64" t="s">
        <v>735</v>
      </c>
      <c r="E129" s="64" t="s">
        <v>38</v>
      </c>
      <c r="F129" s="64" t="s">
        <v>22</v>
      </c>
      <c r="G129" s="64" t="s">
        <v>29</v>
      </c>
      <c r="H129" s="64"/>
      <c r="I129" s="65">
        <v>-3.0</v>
      </c>
      <c r="J129" s="65">
        <v>0.5</v>
      </c>
      <c r="K129" s="65">
        <v>0.3039</v>
      </c>
      <c r="L129" s="66">
        <v>45636.0</v>
      </c>
      <c r="M129" s="67">
        <v>1.95</v>
      </c>
      <c r="N129" s="64" t="s">
        <v>70</v>
      </c>
      <c r="O129" s="68">
        <f t="shared" si="1"/>
        <v>0</v>
      </c>
      <c r="P129" s="68">
        <f t="shared" si="4"/>
        <v>-3.67131625</v>
      </c>
    </row>
    <row r="130">
      <c r="A130" s="64">
        <f t="shared" si="3"/>
        <v>129</v>
      </c>
      <c r="B130" s="64" t="s">
        <v>26</v>
      </c>
      <c r="C130" s="64" t="s">
        <v>19</v>
      </c>
      <c r="D130" s="64" t="s">
        <v>736</v>
      </c>
      <c r="E130" s="64" t="s">
        <v>635</v>
      </c>
      <c r="F130" s="64" t="s">
        <v>22</v>
      </c>
      <c r="G130" s="64" t="s">
        <v>29</v>
      </c>
      <c r="H130" s="64"/>
      <c r="I130" s="65">
        <v>-3.5</v>
      </c>
      <c r="J130" s="65">
        <v>0.5</v>
      </c>
      <c r="K130" s="65">
        <v>0.5</v>
      </c>
      <c r="L130" s="66">
        <v>45637.0</v>
      </c>
      <c r="M130" s="67">
        <v>1.925</v>
      </c>
      <c r="N130" s="64" t="s">
        <v>25</v>
      </c>
      <c r="O130" s="68">
        <f t="shared" si="1"/>
        <v>-0.5</v>
      </c>
      <c r="P130" s="68">
        <f t="shared" si="4"/>
        <v>-4.17131625</v>
      </c>
    </row>
    <row r="131">
      <c r="A131" s="64">
        <f t="shared" si="3"/>
        <v>130</v>
      </c>
      <c r="B131" s="64" t="s">
        <v>35</v>
      </c>
      <c r="C131" s="64" t="s">
        <v>19</v>
      </c>
      <c r="D131" s="64" t="s">
        <v>737</v>
      </c>
      <c r="E131" s="64" t="s">
        <v>187</v>
      </c>
      <c r="F131" s="64" t="s">
        <v>22</v>
      </c>
      <c r="G131" s="64" t="s">
        <v>29</v>
      </c>
      <c r="H131" s="64" t="s">
        <v>39</v>
      </c>
      <c r="I131" s="65">
        <v>-1.5</v>
      </c>
      <c r="J131" s="65">
        <v>0.25</v>
      </c>
      <c r="K131" s="65">
        <v>0.029</v>
      </c>
      <c r="L131" s="66">
        <v>45637.0</v>
      </c>
      <c r="M131" s="67">
        <v>1.75</v>
      </c>
      <c r="N131" s="64" t="s">
        <v>33</v>
      </c>
      <c r="O131" s="68">
        <f t="shared" si="1"/>
        <v>0.02175</v>
      </c>
      <c r="P131" s="68">
        <f t="shared" si="4"/>
        <v>-4.14956625</v>
      </c>
    </row>
    <row r="132">
      <c r="A132" s="64">
        <f t="shared" si="3"/>
        <v>131</v>
      </c>
      <c r="B132" s="64" t="s">
        <v>35</v>
      </c>
      <c r="C132" s="64" t="s">
        <v>19</v>
      </c>
      <c r="D132" s="64" t="s">
        <v>738</v>
      </c>
      <c r="E132" s="64" t="s">
        <v>415</v>
      </c>
      <c r="F132" s="64" t="s">
        <v>22</v>
      </c>
      <c r="G132" s="64" t="s">
        <v>29</v>
      </c>
      <c r="H132" s="64" t="s">
        <v>39</v>
      </c>
      <c r="I132" s="65">
        <v>-1.0</v>
      </c>
      <c r="J132" s="65">
        <v>0.3</v>
      </c>
      <c r="K132" s="65">
        <v>0.3</v>
      </c>
      <c r="L132" s="66">
        <v>45637.0</v>
      </c>
      <c r="M132" s="67">
        <v>1.775</v>
      </c>
      <c r="N132" s="64" t="s">
        <v>25</v>
      </c>
      <c r="O132" s="68">
        <f t="shared" si="1"/>
        <v>-0.3</v>
      </c>
      <c r="P132" s="68">
        <f t="shared" si="4"/>
        <v>-4.44956625</v>
      </c>
    </row>
    <row r="133">
      <c r="A133" s="64">
        <f t="shared" si="3"/>
        <v>132</v>
      </c>
      <c r="B133" s="64" t="s">
        <v>35</v>
      </c>
      <c r="C133" s="64" t="s">
        <v>19</v>
      </c>
      <c r="D133" s="64" t="s">
        <v>739</v>
      </c>
      <c r="E133" s="64" t="s">
        <v>740</v>
      </c>
      <c r="F133" s="64" t="s">
        <v>22</v>
      </c>
      <c r="G133" s="64" t="s">
        <v>29</v>
      </c>
      <c r="H133" s="64" t="s">
        <v>24</v>
      </c>
      <c r="I133" s="65">
        <v>-1.25</v>
      </c>
      <c r="J133" s="65">
        <v>0.5</v>
      </c>
      <c r="K133" s="65">
        <v>0.5</v>
      </c>
      <c r="L133" s="66">
        <v>45638.0</v>
      </c>
      <c r="M133" s="67">
        <v>1.825</v>
      </c>
      <c r="N133" s="64" t="s">
        <v>30</v>
      </c>
      <c r="O133" s="68">
        <f t="shared" si="1"/>
        <v>0.20625</v>
      </c>
      <c r="P133" s="68">
        <f t="shared" si="4"/>
        <v>-4.24331625</v>
      </c>
    </row>
    <row r="134">
      <c r="A134" s="64">
        <f t="shared" si="3"/>
        <v>133</v>
      </c>
      <c r="B134" s="64" t="s">
        <v>35</v>
      </c>
      <c r="C134" s="64" t="s">
        <v>40</v>
      </c>
      <c r="D134" s="64" t="s">
        <v>741</v>
      </c>
      <c r="E134" s="64" t="s">
        <v>167</v>
      </c>
      <c r="F134" s="64" t="s">
        <v>22</v>
      </c>
      <c r="G134" s="64" t="s">
        <v>29</v>
      </c>
      <c r="H134" s="64" t="s">
        <v>24</v>
      </c>
      <c r="I134" s="65">
        <v>-1.0</v>
      </c>
      <c r="J134" s="65">
        <v>0.5</v>
      </c>
      <c r="K134" s="65">
        <v>0.5</v>
      </c>
      <c r="L134" s="66">
        <v>45638.0</v>
      </c>
      <c r="M134" s="67">
        <v>2.0</v>
      </c>
      <c r="N134" s="64" t="s">
        <v>33</v>
      </c>
      <c r="O134" s="68">
        <f t="shared" si="1"/>
        <v>0.5</v>
      </c>
      <c r="P134" s="68">
        <f t="shared" si="4"/>
        <v>-3.74331625</v>
      </c>
    </row>
    <row r="135">
      <c r="A135" s="64">
        <f t="shared" si="3"/>
        <v>134</v>
      </c>
      <c r="B135" s="64" t="s">
        <v>35</v>
      </c>
      <c r="C135" s="64" t="s">
        <v>19</v>
      </c>
      <c r="D135" s="64" t="s">
        <v>742</v>
      </c>
      <c r="E135" s="64" t="s">
        <v>248</v>
      </c>
      <c r="F135" s="64" t="s">
        <v>22</v>
      </c>
      <c r="G135" s="64" t="s">
        <v>29</v>
      </c>
      <c r="H135" s="64" t="s">
        <v>24</v>
      </c>
      <c r="I135" s="65">
        <v>-0.75</v>
      </c>
      <c r="J135" s="65">
        <v>0.5</v>
      </c>
      <c r="K135" s="65">
        <v>0.5</v>
      </c>
      <c r="L135" s="66">
        <v>45638.0</v>
      </c>
      <c r="M135" s="67">
        <v>2.0</v>
      </c>
      <c r="N135" s="64" t="s">
        <v>33</v>
      </c>
      <c r="O135" s="68">
        <f t="shared" si="1"/>
        <v>0.5</v>
      </c>
      <c r="P135" s="68">
        <f t="shared" si="4"/>
        <v>-3.24331625</v>
      </c>
    </row>
    <row r="136">
      <c r="A136" s="64">
        <f t="shared" si="3"/>
        <v>135</v>
      </c>
      <c r="B136" s="64" t="s">
        <v>35</v>
      </c>
      <c r="C136" s="64" t="s">
        <v>19</v>
      </c>
      <c r="D136" s="64" t="s">
        <v>743</v>
      </c>
      <c r="E136" s="64" t="s">
        <v>82</v>
      </c>
      <c r="F136" s="64" t="s">
        <v>22</v>
      </c>
      <c r="G136" s="64" t="s">
        <v>29</v>
      </c>
      <c r="H136" s="64" t="s">
        <v>39</v>
      </c>
      <c r="I136" s="65">
        <v>-1.0</v>
      </c>
      <c r="J136" s="65">
        <v>0.3</v>
      </c>
      <c r="K136" s="65">
        <v>0.2363</v>
      </c>
      <c r="L136" s="66">
        <v>45638.0</v>
      </c>
      <c r="M136" s="67">
        <v>1.85</v>
      </c>
      <c r="N136" s="64" t="s">
        <v>33</v>
      </c>
      <c r="O136" s="68">
        <f t="shared" si="1"/>
        <v>0.200855</v>
      </c>
      <c r="P136" s="68">
        <f t="shared" si="4"/>
        <v>-3.04246125</v>
      </c>
    </row>
    <row r="137">
      <c r="A137" s="64">
        <f t="shared" si="3"/>
        <v>136</v>
      </c>
      <c r="B137" s="64" t="s">
        <v>35</v>
      </c>
      <c r="C137" s="64" t="s">
        <v>19</v>
      </c>
      <c r="D137" s="64" t="s">
        <v>744</v>
      </c>
      <c r="E137" s="64" t="s">
        <v>167</v>
      </c>
      <c r="F137" s="64" t="s">
        <v>22</v>
      </c>
      <c r="G137" s="64" t="s">
        <v>29</v>
      </c>
      <c r="H137" s="64" t="s">
        <v>24</v>
      </c>
      <c r="I137" s="65">
        <v>-6.0</v>
      </c>
      <c r="J137" s="65">
        <v>0.5</v>
      </c>
      <c r="K137" s="65">
        <v>0.37</v>
      </c>
      <c r="L137" s="66">
        <v>45639.0</v>
      </c>
      <c r="M137" s="67">
        <v>1.775</v>
      </c>
      <c r="N137" s="64" t="s">
        <v>33</v>
      </c>
      <c r="O137" s="68">
        <f t="shared" si="1"/>
        <v>0.28675</v>
      </c>
      <c r="P137" s="68">
        <f t="shared" si="4"/>
        <v>-2.75571125</v>
      </c>
    </row>
    <row r="138">
      <c r="A138" s="64">
        <f t="shared" si="3"/>
        <v>137</v>
      </c>
      <c r="B138" s="64" t="s">
        <v>35</v>
      </c>
      <c r="C138" s="64" t="s">
        <v>19</v>
      </c>
      <c r="D138" s="64" t="s">
        <v>745</v>
      </c>
      <c r="E138" s="64" t="s">
        <v>207</v>
      </c>
      <c r="F138" s="64" t="s">
        <v>22</v>
      </c>
      <c r="G138" s="64" t="s">
        <v>29</v>
      </c>
      <c r="H138" s="64" t="s">
        <v>39</v>
      </c>
      <c r="I138" s="65">
        <v>-1.0</v>
      </c>
      <c r="J138" s="65">
        <v>0.3</v>
      </c>
      <c r="K138" s="65">
        <v>0.3</v>
      </c>
      <c r="L138" s="66">
        <v>45639.0</v>
      </c>
      <c r="M138" s="67">
        <v>1.725</v>
      </c>
      <c r="N138" s="64" t="s">
        <v>33</v>
      </c>
      <c r="O138" s="68">
        <f t="shared" si="1"/>
        <v>0.2175</v>
      </c>
      <c r="P138" s="68">
        <f t="shared" si="4"/>
        <v>-2.53821125</v>
      </c>
    </row>
    <row r="139">
      <c r="A139" s="64">
        <f t="shared" si="3"/>
        <v>138</v>
      </c>
      <c r="B139" s="64" t="s">
        <v>35</v>
      </c>
      <c r="C139" s="64" t="s">
        <v>19</v>
      </c>
      <c r="D139" s="64" t="s">
        <v>746</v>
      </c>
      <c r="E139" s="64" t="s">
        <v>167</v>
      </c>
      <c r="F139" s="64" t="s">
        <v>22</v>
      </c>
      <c r="G139" s="64" t="s">
        <v>29</v>
      </c>
      <c r="H139" s="64" t="s">
        <v>39</v>
      </c>
      <c r="I139" s="65">
        <v>-4.75</v>
      </c>
      <c r="J139" s="65">
        <v>0.3</v>
      </c>
      <c r="K139" s="65">
        <v>0.3</v>
      </c>
      <c r="L139" s="66">
        <v>45639.0</v>
      </c>
      <c r="M139" s="67">
        <v>1.95</v>
      </c>
      <c r="N139" s="64" t="s">
        <v>33</v>
      </c>
      <c r="O139" s="68">
        <f t="shared" si="1"/>
        <v>0.285</v>
      </c>
      <c r="P139" s="68">
        <f t="shared" si="4"/>
        <v>-2.25321125</v>
      </c>
    </row>
    <row r="140">
      <c r="A140" s="64">
        <f t="shared" si="3"/>
        <v>139</v>
      </c>
      <c r="B140" s="64" t="s">
        <v>26</v>
      </c>
      <c r="C140" s="64" t="s">
        <v>19</v>
      </c>
      <c r="D140" s="64" t="s">
        <v>747</v>
      </c>
      <c r="E140" s="64" t="s">
        <v>642</v>
      </c>
      <c r="F140" s="64" t="s">
        <v>22</v>
      </c>
      <c r="G140" s="64" t="s">
        <v>29</v>
      </c>
      <c r="H140" s="64" t="s">
        <v>39</v>
      </c>
      <c r="I140" s="65">
        <v>-4.0</v>
      </c>
      <c r="J140" s="65">
        <v>0.5</v>
      </c>
      <c r="K140" s="65">
        <v>0.5</v>
      </c>
      <c r="L140" s="66">
        <v>45639.0</v>
      </c>
      <c r="M140" s="67">
        <v>1.9</v>
      </c>
      <c r="N140" s="64" t="s">
        <v>33</v>
      </c>
      <c r="O140" s="68">
        <f t="shared" si="1"/>
        <v>0.45</v>
      </c>
      <c r="P140" s="68">
        <f t="shared" si="4"/>
        <v>-1.80321125</v>
      </c>
    </row>
    <row r="141">
      <c r="A141" s="64">
        <f t="shared" si="3"/>
        <v>140</v>
      </c>
      <c r="B141" s="64" t="s">
        <v>26</v>
      </c>
      <c r="C141" s="64" t="s">
        <v>19</v>
      </c>
      <c r="D141" s="64" t="s">
        <v>748</v>
      </c>
      <c r="E141" s="64" t="s">
        <v>423</v>
      </c>
      <c r="F141" s="64" t="s">
        <v>22</v>
      </c>
      <c r="G141" s="64" t="s">
        <v>29</v>
      </c>
      <c r="H141" s="64" t="s">
        <v>39</v>
      </c>
      <c r="I141" s="65">
        <v>-3.25</v>
      </c>
      <c r="J141" s="65">
        <v>0.5</v>
      </c>
      <c r="K141" s="65">
        <v>0.48</v>
      </c>
      <c r="L141" s="66">
        <v>45639.0</v>
      </c>
      <c r="M141" s="67">
        <v>1.826</v>
      </c>
      <c r="N141" s="64" t="s">
        <v>33</v>
      </c>
      <c r="O141" s="68">
        <f t="shared" si="1"/>
        <v>0.39648</v>
      </c>
      <c r="P141" s="68">
        <f t="shared" si="4"/>
        <v>-1.40673125</v>
      </c>
    </row>
    <row r="142">
      <c r="A142" s="64">
        <f t="shared" si="3"/>
        <v>141</v>
      </c>
      <c r="B142" s="64" t="s">
        <v>35</v>
      </c>
      <c r="C142" s="64" t="s">
        <v>19</v>
      </c>
      <c r="D142" s="64" t="s">
        <v>749</v>
      </c>
      <c r="E142" s="64" t="s">
        <v>248</v>
      </c>
      <c r="F142" s="64" t="s">
        <v>22</v>
      </c>
      <c r="G142" s="64" t="s">
        <v>29</v>
      </c>
      <c r="H142" s="64" t="s">
        <v>24</v>
      </c>
      <c r="I142" s="65">
        <v>-0.75</v>
      </c>
      <c r="J142" s="65">
        <v>0.5</v>
      </c>
      <c r="K142" s="65">
        <v>0.1357</v>
      </c>
      <c r="L142" s="69">
        <v>45639.0</v>
      </c>
      <c r="M142" s="67">
        <v>1.95</v>
      </c>
      <c r="N142" s="64" t="s">
        <v>25</v>
      </c>
      <c r="O142" s="68">
        <f t="shared" si="1"/>
        <v>-0.1357</v>
      </c>
      <c r="P142" s="68">
        <f t="shared" si="4"/>
        <v>-1.54243125</v>
      </c>
    </row>
    <row r="143">
      <c r="A143" s="64">
        <f t="shared" si="3"/>
        <v>142</v>
      </c>
      <c r="B143" s="64" t="s">
        <v>35</v>
      </c>
      <c r="C143" s="64" t="s">
        <v>19</v>
      </c>
      <c r="D143" s="64" t="s">
        <v>750</v>
      </c>
      <c r="E143" s="64" t="s">
        <v>229</v>
      </c>
      <c r="F143" s="64" t="s">
        <v>22</v>
      </c>
      <c r="G143" s="64" t="s">
        <v>29</v>
      </c>
      <c r="H143" s="64" t="s">
        <v>39</v>
      </c>
      <c r="I143" s="65">
        <v>-1.25</v>
      </c>
      <c r="J143" s="65">
        <v>0.3</v>
      </c>
      <c r="K143" s="65">
        <v>0.2914</v>
      </c>
      <c r="L143" s="69">
        <v>45639.0</v>
      </c>
      <c r="M143" s="67">
        <v>1.8</v>
      </c>
      <c r="N143" s="64" t="s">
        <v>30</v>
      </c>
      <c r="O143" s="68">
        <f t="shared" si="1"/>
        <v>0.11656</v>
      </c>
      <c r="P143" s="68">
        <f t="shared" si="4"/>
        <v>-1.42587125</v>
      </c>
    </row>
    <row r="144">
      <c r="A144" s="64">
        <f t="shared" si="3"/>
        <v>143</v>
      </c>
      <c r="B144" s="64" t="s">
        <v>35</v>
      </c>
      <c r="C144" s="64" t="s">
        <v>19</v>
      </c>
      <c r="D144" s="64" t="s">
        <v>751</v>
      </c>
      <c r="E144" s="64" t="s">
        <v>60</v>
      </c>
      <c r="F144" s="64" t="s">
        <v>22</v>
      </c>
      <c r="G144" s="64" t="s">
        <v>29</v>
      </c>
      <c r="H144" s="64" t="s">
        <v>39</v>
      </c>
      <c r="I144" s="65">
        <v>-3.0</v>
      </c>
      <c r="J144" s="65">
        <v>0.3</v>
      </c>
      <c r="K144" s="65">
        <v>0.2914</v>
      </c>
      <c r="L144" s="66">
        <v>45639.0</v>
      </c>
      <c r="M144" s="67">
        <v>1.85</v>
      </c>
      <c r="N144" s="64" t="s">
        <v>25</v>
      </c>
      <c r="O144" s="68">
        <f t="shared" si="1"/>
        <v>-0.2914</v>
      </c>
      <c r="P144" s="68">
        <f t="shared" si="4"/>
        <v>-1.71727125</v>
      </c>
    </row>
    <row r="145">
      <c r="A145" s="64">
        <f t="shared" si="3"/>
        <v>144</v>
      </c>
      <c r="B145" s="64" t="s">
        <v>26</v>
      </c>
      <c r="C145" s="64" t="s">
        <v>19</v>
      </c>
      <c r="D145" s="64" t="s">
        <v>752</v>
      </c>
      <c r="E145" s="64" t="s">
        <v>753</v>
      </c>
      <c r="F145" s="64" t="s">
        <v>22</v>
      </c>
      <c r="G145" s="64" t="s">
        <v>29</v>
      </c>
      <c r="H145" s="64"/>
      <c r="I145" s="65">
        <v>-3.25</v>
      </c>
      <c r="J145" s="65">
        <v>0.5</v>
      </c>
      <c r="K145" s="65">
        <v>0.5</v>
      </c>
      <c r="L145" s="66">
        <v>45639.0</v>
      </c>
      <c r="M145" s="67">
        <v>1.9</v>
      </c>
      <c r="N145" s="64" t="s">
        <v>30</v>
      </c>
      <c r="O145" s="68">
        <f t="shared" si="1"/>
        <v>0.225</v>
      </c>
      <c r="P145" s="68">
        <f t="shared" si="4"/>
        <v>-1.49227125</v>
      </c>
    </row>
    <row r="146">
      <c r="A146" s="64">
        <f t="shared" si="3"/>
        <v>145</v>
      </c>
      <c r="B146" s="64" t="s">
        <v>35</v>
      </c>
      <c r="C146" s="64" t="s">
        <v>19</v>
      </c>
      <c r="D146" s="64" t="s">
        <v>754</v>
      </c>
      <c r="E146" s="64" t="s">
        <v>635</v>
      </c>
      <c r="F146" s="64" t="s">
        <v>22</v>
      </c>
      <c r="G146" s="64" t="s">
        <v>29</v>
      </c>
      <c r="H146" s="64" t="s">
        <v>39</v>
      </c>
      <c r="I146" s="65">
        <v>-5.25</v>
      </c>
      <c r="J146" s="65">
        <v>0.3</v>
      </c>
      <c r="K146" s="65">
        <v>0.2228</v>
      </c>
      <c r="L146" s="66">
        <v>45639.0</v>
      </c>
      <c r="M146" s="67">
        <v>1.9</v>
      </c>
      <c r="N146" s="64" t="s">
        <v>30</v>
      </c>
      <c r="O146" s="68">
        <f t="shared" si="1"/>
        <v>0.10026</v>
      </c>
      <c r="P146" s="68">
        <f t="shared" si="4"/>
        <v>-1.39201125</v>
      </c>
    </row>
    <row r="147">
      <c r="A147" s="64">
        <f t="shared" si="3"/>
        <v>146</v>
      </c>
      <c r="B147" s="64" t="s">
        <v>35</v>
      </c>
      <c r="C147" s="64" t="s">
        <v>40</v>
      </c>
      <c r="D147" s="64" t="s">
        <v>755</v>
      </c>
      <c r="E147" s="64" t="s">
        <v>115</v>
      </c>
      <c r="F147" s="64" t="s">
        <v>22</v>
      </c>
      <c r="G147" s="64" t="s">
        <v>29</v>
      </c>
      <c r="H147" s="64" t="s">
        <v>39</v>
      </c>
      <c r="I147" s="65">
        <v>-1.0</v>
      </c>
      <c r="J147" s="65">
        <v>0.3</v>
      </c>
      <c r="K147" s="65">
        <v>0.3</v>
      </c>
      <c r="L147" s="66">
        <v>45640.0</v>
      </c>
      <c r="M147" s="67">
        <v>1.725</v>
      </c>
      <c r="N147" s="64" t="s">
        <v>33</v>
      </c>
      <c r="O147" s="68">
        <f t="shared" si="1"/>
        <v>0.2175</v>
      </c>
      <c r="P147" s="68">
        <f t="shared" si="4"/>
        <v>-1.17451125</v>
      </c>
    </row>
    <row r="148">
      <c r="A148" s="64">
        <f t="shared" si="3"/>
        <v>147</v>
      </c>
      <c r="B148" s="64" t="s">
        <v>35</v>
      </c>
      <c r="C148" s="64" t="s">
        <v>19</v>
      </c>
      <c r="D148" s="64" t="s">
        <v>756</v>
      </c>
      <c r="E148" s="64" t="s">
        <v>167</v>
      </c>
      <c r="F148" s="64" t="s">
        <v>22</v>
      </c>
      <c r="G148" s="64" t="s">
        <v>29</v>
      </c>
      <c r="H148" s="64" t="s">
        <v>39</v>
      </c>
      <c r="I148" s="65">
        <v>-1.0</v>
      </c>
      <c r="J148" s="65">
        <v>0.3</v>
      </c>
      <c r="K148" s="65">
        <v>0.3</v>
      </c>
      <c r="L148" s="88">
        <v>45640.0</v>
      </c>
      <c r="M148" s="67">
        <v>1.85</v>
      </c>
      <c r="N148" s="64" t="s">
        <v>25</v>
      </c>
      <c r="O148" s="68">
        <f t="shared" si="1"/>
        <v>-0.3</v>
      </c>
      <c r="P148" s="68">
        <f t="shared" si="4"/>
        <v>-1.47451125</v>
      </c>
    </row>
    <row r="149">
      <c r="A149" s="64">
        <f t="shared" si="3"/>
        <v>148</v>
      </c>
      <c r="B149" s="64" t="s">
        <v>35</v>
      </c>
      <c r="C149" s="64" t="s">
        <v>19</v>
      </c>
      <c r="D149" s="64" t="s">
        <v>757</v>
      </c>
      <c r="E149" s="64" t="s">
        <v>229</v>
      </c>
      <c r="F149" s="64" t="s">
        <v>22</v>
      </c>
      <c r="G149" s="64" t="s">
        <v>29</v>
      </c>
      <c r="H149" s="64" t="s">
        <v>24</v>
      </c>
      <c r="I149" s="65">
        <v>-0.75</v>
      </c>
      <c r="J149" s="65">
        <v>0.5</v>
      </c>
      <c r="K149" s="65">
        <v>0.5</v>
      </c>
      <c r="L149" s="66">
        <v>45640.0</v>
      </c>
      <c r="M149" s="67">
        <v>1.975</v>
      </c>
      <c r="N149" s="64" t="s">
        <v>33</v>
      </c>
      <c r="O149" s="68">
        <f t="shared" si="1"/>
        <v>0.4875</v>
      </c>
      <c r="P149" s="68">
        <f t="shared" si="4"/>
        <v>-0.98701125</v>
      </c>
    </row>
    <row r="150">
      <c r="A150" s="64">
        <f t="shared" si="3"/>
        <v>149</v>
      </c>
      <c r="B150" s="64" t="s">
        <v>26</v>
      </c>
      <c r="C150" s="64" t="s">
        <v>19</v>
      </c>
      <c r="D150" s="64" t="s">
        <v>758</v>
      </c>
      <c r="E150" s="64" t="s">
        <v>273</v>
      </c>
      <c r="F150" s="64" t="s">
        <v>22</v>
      </c>
      <c r="G150" s="64" t="s">
        <v>29</v>
      </c>
      <c r="H150" s="64" t="s">
        <v>39</v>
      </c>
      <c r="I150" s="65">
        <v>-2.5</v>
      </c>
      <c r="J150" s="65">
        <v>0.5</v>
      </c>
      <c r="K150" s="65">
        <v>0.5</v>
      </c>
      <c r="L150" s="66">
        <v>45640.0</v>
      </c>
      <c r="M150" s="67">
        <v>2.0</v>
      </c>
      <c r="N150" s="64" t="s">
        <v>33</v>
      </c>
      <c r="O150" s="68">
        <f t="shared" si="1"/>
        <v>0.5</v>
      </c>
      <c r="P150" s="68">
        <f t="shared" si="4"/>
        <v>-0.48701125</v>
      </c>
    </row>
    <row r="151">
      <c r="A151" s="64">
        <f t="shared" si="3"/>
        <v>150</v>
      </c>
      <c r="B151" s="64" t="s">
        <v>35</v>
      </c>
      <c r="C151" s="64" t="s">
        <v>19</v>
      </c>
      <c r="D151" s="64" t="s">
        <v>759</v>
      </c>
      <c r="E151" s="64" t="s">
        <v>273</v>
      </c>
      <c r="F151" s="64" t="s">
        <v>22</v>
      </c>
      <c r="G151" s="64" t="s">
        <v>29</v>
      </c>
      <c r="H151" s="64" t="s">
        <v>24</v>
      </c>
      <c r="I151" s="65">
        <v>-1.0</v>
      </c>
      <c r="J151" s="65">
        <v>0.5</v>
      </c>
      <c r="K151" s="65">
        <v>0.3812</v>
      </c>
      <c r="L151" s="66">
        <v>45640.0</v>
      </c>
      <c r="M151" s="67">
        <v>1.75</v>
      </c>
      <c r="N151" s="64" t="s">
        <v>25</v>
      </c>
      <c r="O151" s="68">
        <f t="shared" si="1"/>
        <v>-0.3812</v>
      </c>
      <c r="P151" s="68">
        <f t="shared" si="4"/>
        <v>-0.86821125</v>
      </c>
    </row>
    <row r="152">
      <c r="A152" s="64">
        <f t="shared" si="3"/>
        <v>151</v>
      </c>
      <c r="B152" s="64" t="s">
        <v>26</v>
      </c>
      <c r="C152" s="64" t="s">
        <v>19</v>
      </c>
      <c r="D152" s="64" t="s">
        <v>760</v>
      </c>
      <c r="E152" s="64" t="s">
        <v>42</v>
      </c>
      <c r="F152" s="64" t="s">
        <v>22</v>
      </c>
      <c r="G152" s="64" t="s">
        <v>29</v>
      </c>
      <c r="H152" s="64" t="s">
        <v>24</v>
      </c>
      <c r="I152" s="65">
        <v>-2.25</v>
      </c>
      <c r="J152" s="65">
        <v>0.5</v>
      </c>
      <c r="K152" s="65">
        <v>0.4937</v>
      </c>
      <c r="L152" s="66">
        <v>45640.0</v>
      </c>
      <c r="M152" s="67">
        <v>1.85</v>
      </c>
      <c r="N152" s="64" t="s">
        <v>33</v>
      </c>
      <c r="O152" s="68">
        <f t="shared" si="1"/>
        <v>0.419645</v>
      </c>
      <c r="P152" s="68">
        <f t="shared" si="4"/>
        <v>-0.44856625</v>
      </c>
    </row>
    <row r="153">
      <c r="A153" s="64">
        <f t="shared" si="3"/>
        <v>152</v>
      </c>
      <c r="B153" s="64" t="s">
        <v>35</v>
      </c>
      <c r="C153" s="64" t="s">
        <v>19</v>
      </c>
      <c r="D153" s="64" t="s">
        <v>761</v>
      </c>
      <c r="E153" s="64" t="s">
        <v>263</v>
      </c>
      <c r="F153" s="64" t="s">
        <v>22</v>
      </c>
      <c r="G153" s="64" t="s">
        <v>29</v>
      </c>
      <c r="H153" s="64" t="s">
        <v>39</v>
      </c>
      <c r="I153" s="65">
        <v>-1.0</v>
      </c>
      <c r="J153" s="65">
        <v>0.3</v>
      </c>
      <c r="K153" s="65">
        <v>0.2175</v>
      </c>
      <c r="L153" s="66">
        <v>45640.0</v>
      </c>
      <c r="M153" s="67">
        <v>1.7</v>
      </c>
      <c r="N153" s="64" t="s">
        <v>25</v>
      </c>
      <c r="O153" s="68">
        <f t="shared" si="1"/>
        <v>-0.2175</v>
      </c>
      <c r="P153" s="68">
        <f t="shared" si="4"/>
        <v>-0.66606625</v>
      </c>
    </row>
    <row r="154">
      <c r="A154" s="64">
        <f t="shared" si="3"/>
        <v>153</v>
      </c>
      <c r="B154" s="64" t="s">
        <v>26</v>
      </c>
      <c r="C154" s="64" t="s">
        <v>40</v>
      </c>
      <c r="D154" s="64" t="s">
        <v>762</v>
      </c>
      <c r="E154" s="64" t="s">
        <v>93</v>
      </c>
      <c r="F154" s="64" t="s">
        <v>22</v>
      </c>
      <c r="G154" s="64" t="s">
        <v>29</v>
      </c>
      <c r="H154" s="64" t="s">
        <v>39</v>
      </c>
      <c r="I154" s="65">
        <v>-3.0</v>
      </c>
      <c r="J154" s="65">
        <v>0.5</v>
      </c>
      <c r="K154" s="65">
        <v>0.4937</v>
      </c>
      <c r="L154" s="66">
        <v>45640.0</v>
      </c>
      <c r="M154" s="67">
        <v>1.85</v>
      </c>
      <c r="N154" s="64" t="s">
        <v>25</v>
      </c>
      <c r="O154" s="68">
        <f t="shared" si="1"/>
        <v>-0.4937</v>
      </c>
      <c r="P154" s="68">
        <f t="shared" si="4"/>
        <v>-1.15976625</v>
      </c>
    </row>
    <row r="155">
      <c r="A155" s="64">
        <f t="shared" si="3"/>
        <v>154</v>
      </c>
      <c r="B155" s="64" t="s">
        <v>129</v>
      </c>
      <c r="C155" s="64" t="s">
        <v>19</v>
      </c>
      <c r="D155" s="64" t="s">
        <v>763</v>
      </c>
      <c r="E155" s="64" t="s">
        <v>66</v>
      </c>
      <c r="F155" s="64" t="s">
        <v>22</v>
      </c>
      <c r="G155" s="64" t="s">
        <v>225</v>
      </c>
      <c r="H155" s="64" t="s">
        <v>24</v>
      </c>
      <c r="I155" s="65">
        <v>0.0</v>
      </c>
      <c r="J155" s="65">
        <v>0.25</v>
      </c>
      <c r="K155" s="65">
        <v>0.25</v>
      </c>
      <c r="L155" s="66">
        <v>45640.0</v>
      </c>
      <c r="M155" s="67">
        <v>1.9</v>
      </c>
      <c r="N155" s="64" t="s">
        <v>33</v>
      </c>
      <c r="O155" s="68">
        <f t="shared" si="1"/>
        <v>0.225</v>
      </c>
      <c r="P155" s="68">
        <f t="shared" si="4"/>
        <v>-0.93476625</v>
      </c>
    </row>
    <row r="156">
      <c r="A156" s="64">
        <f t="shared" si="3"/>
        <v>155</v>
      </c>
      <c r="B156" s="64" t="s">
        <v>26</v>
      </c>
      <c r="C156" s="64" t="s">
        <v>40</v>
      </c>
      <c r="D156" s="64" t="s">
        <v>764</v>
      </c>
      <c r="E156" s="64" t="s">
        <v>66</v>
      </c>
      <c r="F156" s="64" t="s">
        <v>22</v>
      </c>
      <c r="G156" s="64" t="s">
        <v>29</v>
      </c>
      <c r="H156" s="64" t="s">
        <v>39</v>
      </c>
      <c r="I156" s="65">
        <v>-3.5</v>
      </c>
      <c r="J156" s="65">
        <v>0.5</v>
      </c>
      <c r="K156" s="65">
        <v>0.5</v>
      </c>
      <c r="L156" s="66">
        <v>45640.0</v>
      </c>
      <c r="M156" s="67">
        <v>1.875</v>
      </c>
      <c r="N156" s="64" t="s">
        <v>33</v>
      </c>
      <c r="O156" s="68">
        <f t="shared" si="1"/>
        <v>0.4375</v>
      </c>
      <c r="P156" s="68">
        <f t="shared" si="4"/>
        <v>-0.49726625</v>
      </c>
    </row>
    <row r="157">
      <c r="A157" s="64">
        <f t="shared" si="3"/>
        <v>156</v>
      </c>
      <c r="B157" s="64" t="s">
        <v>129</v>
      </c>
      <c r="C157" s="64" t="s">
        <v>40</v>
      </c>
      <c r="D157" s="64" t="s">
        <v>765</v>
      </c>
      <c r="E157" s="64" t="s">
        <v>93</v>
      </c>
      <c r="F157" s="64" t="s">
        <v>22</v>
      </c>
      <c r="G157" s="64" t="s">
        <v>225</v>
      </c>
      <c r="H157" s="64" t="s">
        <v>24</v>
      </c>
      <c r="I157" s="65">
        <v>0.25</v>
      </c>
      <c r="J157" s="65">
        <v>0.2</v>
      </c>
      <c r="K157" s="65">
        <v>0.2</v>
      </c>
      <c r="L157" s="66">
        <v>45640.0</v>
      </c>
      <c r="M157" s="67">
        <v>1.775</v>
      </c>
      <c r="N157" s="64" t="s">
        <v>30</v>
      </c>
      <c r="O157" s="68">
        <f t="shared" si="1"/>
        <v>0.0775</v>
      </c>
      <c r="P157" s="68">
        <f t="shared" si="4"/>
        <v>-0.41976625</v>
      </c>
    </row>
    <row r="158">
      <c r="A158" s="64">
        <f t="shared" si="3"/>
        <v>157</v>
      </c>
      <c r="B158" s="64" t="s">
        <v>35</v>
      </c>
      <c r="C158" s="64" t="s">
        <v>19</v>
      </c>
      <c r="D158" s="64" t="s">
        <v>766</v>
      </c>
      <c r="E158" s="64" t="s">
        <v>50</v>
      </c>
      <c r="F158" s="64" t="s">
        <v>22</v>
      </c>
      <c r="G158" s="64" t="s">
        <v>29</v>
      </c>
      <c r="H158" s="64" t="s">
        <v>39</v>
      </c>
      <c r="I158" s="65">
        <v>-1.0</v>
      </c>
      <c r="J158" s="65">
        <v>0.3</v>
      </c>
      <c r="K158" s="65">
        <v>0.0675</v>
      </c>
      <c r="L158" s="69">
        <v>45640.0</v>
      </c>
      <c r="M158" s="67">
        <v>1.725</v>
      </c>
      <c r="N158" s="64" t="s">
        <v>33</v>
      </c>
      <c r="O158" s="68">
        <f t="shared" si="1"/>
        <v>0.0489375</v>
      </c>
      <c r="P158" s="68">
        <f t="shared" si="4"/>
        <v>-0.37082875</v>
      </c>
    </row>
    <row r="159">
      <c r="A159" s="64">
        <f t="shared" si="3"/>
        <v>158</v>
      </c>
      <c r="B159" s="64" t="s">
        <v>35</v>
      </c>
      <c r="C159" s="64" t="s">
        <v>40</v>
      </c>
      <c r="D159" s="64" t="s">
        <v>767</v>
      </c>
      <c r="E159" s="64" t="s">
        <v>768</v>
      </c>
      <c r="F159" s="64" t="s">
        <v>22</v>
      </c>
      <c r="G159" s="64" t="s">
        <v>29</v>
      </c>
      <c r="H159" s="64" t="s">
        <v>24</v>
      </c>
      <c r="I159" s="65">
        <v>-0.75</v>
      </c>
      <c r="J159" s="65">
        <v>0.5</v>
      </c>
      <c r="K159" s="65">
        <v>0.4937</v>
      </c>
      <c r="L159" s="66">
        <v>45640.0</v>
      </c>
      <c r="M159" s="67">
        <v>2.0</v>
      </c>
      <c r="N159" s="64" t="s">
        <v>79</v>
      </c>
      <c r="O159" s="68">
        <f t="shared" si="1"/>
        <v>-0.24685</v>
      </c>
      <c r="P159" s="68">
        <f t="shared" si="4"/>
        <v>-0.61767875</v>
      </c>
    </row>
    <row r="160">
      <c r="A160" s="64">
        <f t="shared" si="3"/>
        <v>159</v>
      </c>
      <c r="B160" s="64" t="s">
        <v>35</v>
      </c>
      <c r="C160" s="64" t="s">
        <v>19</v>
      </c>
      <c r="D160" s="64" t="s">
        <v>769</v>
      </c>
      <c r="E160" s="64" t="s">
        <v>78</v>
      </c>
      <c r="F160" s="64" t="s">
        <v>22</v>
      </c>
      <c r="G160" s="64" t="s">
        <v>29</v>
      </c>
      <c r="H160" s="64" t="s">
        <v>39</v>
      </c>
      <c r="I160" s="65">
        <v>-0.75</v>
      </c>
      <c r="J160" s="65">
        <v>0.3</v>
      </c>
      <c r="K160" s="65">
        <v>0.3</v>
      </c>
      <c r="L160" s="66">
        <v>45640.0</v>
      </c>
      <c r="M160" s="67">
        <v>2.1</v>
      </c>
      <c r="N160" s="64" t="s">
        <v>33</v>
      </c>
      <c r="O160" s="68">
        <f t="shared" si="1"/>
        <v>0.33</v>
      </c>
      <c r="P160" s="68">
        <f t="shared" si="4"/>
        <v>-0.28767875</v>
      </c>
    </row>
    <row r="161">
      <c r="A161" s="64">
        <f t="shared" si="3"/>
        <v>160</v>
      </c>
      <c r="B161" s="64" t="s">
        <v>35</v>
      </c>
      <c r="C161" s="64" t="s">
        <v>19</v>
      </c>
      <c r="D161" s="64" t="s">
        <v>770</v>
      </c>
      <c r="E161" s="64" t="s">
        <v>88</v>
      </c>
      <c r="F161" s="64" t="s">
        <v>22</v>
      </c>
      <c r="G161" s="64" t="s">
        <v>29</v>
      </c>
      <c r="H161" s="64" t="s">
        <v>39</v>
      </c>
      <c r="I161" s="65">
        <v>-1.0</v>
      </c>
      <c r="J161" s="65">
        <v>0.3</v>
      </c>
      <c r="K161" s="65">
        <v>0.3</v>
      </c>
      <c r="L161" s="66">
        <v>45641.0</v>
      </c>
      <c r="M161" s="67">
        <v>1.8</v>
      </c>
      <c r="N161" s="64" t="s">
        <v>33</v>
      </c>
      <c r="O161" s="68">
        <f t="shared" si="1"/>
        <v>0.24</v>
      </c>
      <c r="P161" s="68">
        <f t="shared" si="4"/>
        <v>-0.04767875</v>
      </c>
    </row>
    <row r="162">
      <c r="A162" s="64">
        <f t="shared" si="3"/>
        <v>161</v>
      </c>
      <c r="B162" s="64" t="s">
        <v>35</v>
      </c>
      <c r="C162" s="64" t="s">
        <v>19</v>
      </c>
      <c r="D162" s="64" t="s">
        <v>771</v>
      </c>
      <c r="E162" s="64" t="s">
        <v>48</v>
      </c>
      <c r="F162" s="64" t="s">
        <v>22</v>
      </c>
      <c r="G162" s="64" t="s">
        <v>29</v>
      </c>
      <c r="H162" s="64" t="s">
        <v>24</v>
      </c>
      <c r="I162" s="65">
        <v>-0.75</v>
      </c>
      <c r="J162" s="65">
        <v>0.5</v>
      </c>
      <c r="K162" s="65">
        <v>0.4875</v>
      </c>
      <c r="L162" s="69">
        <v>45641.0</v>
      </c>
      <c r="M162" s="67">
        <v>2.0</v>
      </c>
      <c r="N162" s="64" t="s">
        <v>25</v>
      </c>
      <c r="O162" s="68">
        <f t="shared" si="1"/>
        <v>-0.4875</v>
      </c>
      <c r="P162" s="68">
        <f t="shared" si="4"/>
        <v>-0.53517875</v>
      </c>
    </row>
    <row r="163">
      <c r="A163" s="64">
        <f t="shared" si="3"/>
        <v>162</v>
      </c>
      <c r="B163" s="64" t="s">
        <v>35</v>
      </c>
      <c r="C163" s="64" t="s">
        <v>19</v>
      </c>
      <c r="D163" s="64" t="s">
        <v>772</v>
      </c>
      <c r="E163" s="64" t="s">
        <v>93</v>
      </c>
      <c r="F163" s="64" t="s">
        <v>22</v>
      </c>
      <c r="G163" s="64" t="s">
        <v>29</v>
      </c>
      <c r="H163" s="64" t="s">
        <v>39</v>
      </c>
      <c r="I163" s="65">
        <v>-1.0</v>
      </c>
      <c r="J163" s="65">
        <v>0.3</v>
      </c>
      <c r="K163" s="65">
        <v>0.3</v>
      </c>
      <c r="L163" s="66">
        <v>45641.0</v>
      </c>
      <c r="M163" s="67">
        <v>1.7</v>
      </c>
      <c r="N163" s="64" t="s">
        <v>25</v>
      </c>
      <c r="O163" s="68">
        <f t="shared" si="1"/>
        <v>-0.3</v>
      </c>
      <c r="P163" s="68">
        <f t="shared" si="4"/>
        <v>-0.83517875</v>
      </c>
    </row>
    <row r="164">
      <c r="A164" s="64">
        <f t="shared" si="3"/>
        <v>163</v>
      </c>
      <c r="B164" s="64" t="s">
        <v>26</v>
      </c>
      <c r="C164" s="64" t="s">
        <v>19</v>
      </c>
      <c r="D164" s="64" t="s">
        <v>773</v>
      </c>
      <c r="E164" s="64" t="s">
        <v>162</v>
      </c>
      <c r="F164" s="64" t="s">
        <v>22</v>
      </c>
      <c r="G164" s="64" t="s">
        <v>29</v>
      </c>
      <c r="H164" s="64" t="s">
        <v>39</v>
      </c>
      <c r="I164" s="65">
        <v>-2.75</v>
      </c>
      <c r="J164" s="65">
        <v>0.5</v>
      </c>
      <c r="K164" s="65">
        <v>0.5</v>
      </c>
      <c r="L164" s="66">
        <v>45641.0</v>
      </c>
      <c r="M164" s="67">
        <v>1.85</v>
      </c>
      <c r="N164" s="64" t="s">
        <v>33</v>
      </c>
      <c r="O164" s="68">
        <f t="shared" si="1"/>
        <v>0.425</v>
      </c>
      <c r="P164" s="68">
        <f t="shared" si="4"/>
        <v>-0.41017875</v>
      </c>
    </row>
    <row r="165">
      <c r="A165" s="64">
        <f t="shared" si="3"/>
        <v>164</v>
      </c>
      <c r="B165" s="64" t="s">
        <v>35</v>
      </c>
      <c r="C165" s="64" t="s">
        <v>19</v>
      </c>
      <c r="D165" s="64" t="s">
        <v>774</v>
      </c>
      <c r="E165" s="64" t="s">
        <v>93</v>
      </c>
      <c r="F165" s="64" t="s">
        <v>22</v>
      </c>
      <c r="G165" s="64" t="s">
        <v>29</v>
      </c>
      <c r="H165" s="64" t="s">
        <v>39</v>
      </c>
      <c r="I165" s="65">
        <v>-0.75</v>
      </c>
      <c r="J165" s="65">
        <v>0.3</v>
      </c>
      <c r="K165" s="65">
        <v>0.3</v>
      </c>
      <c r="L165" s="66">
        <v>45641.0</v>
      </c>
      <c r="M165" s="67">
        <v>2.0</v>
      </c>
      <c r="N165" s="64" t="s">
        <v>79</v>
      </c>
      <c r="O165" s="68">
        <f t="shared" si="1"/>
        <v>-0.15</v>
      </c>
      <c r="P165" s="68">
        <f t="shared" si="4"/>
        <v>-0.56017875</v>
      </c>
    </row>
    <row r="166">
      <c r="A166" s="64">
        <f t="shared" si="3"/>
        <v>165</v>
      </c>
      <c r="B166" s="64" t="s">
        <v>35</v>
      </c>
      <c r="C166" s="64" t="s">
        <v>19</v>
      </c>
      <c r="D166" s="64" t="s">
        <v>775</v>
      </c>
      <c r="E166" s="64" t="s">
        <v>229</v>
      </c>
      <c r="F166" s="64" t="s">
        <v>22</v>
      </c>
      <c r="G166" s="64" t="s">
        <v>29</v>
      </c>
      <c r="H166" s="64" t="s">
        <v>24</v>
      </c>
      <c r="I166" s="65">
        <v>-1.0</v>
      </c>
      <c r="J166" s="65">
        <v>0.5</v>
      </c>
      <c r="K166" s="65">
        <v>0.3937</v>
      </c>
      <c r="L166" s="66">
        <v>45641.0</v>
      </c>
      <c r="M166" s="67">
        <v>1.7</v>
      </c>
      <c r="N166" s="64" t="s">
        <v>70</v>
      </c>
      <c r="O166" s="68">
        <f t="shared" si="1"/>
        <v>0</v>
      </c>
      <c r="P166" s="68">
        <f t="shared" si="4"/>
        <v>-0.56017875</v>
      </c>
    </row>
    <row r="167">
      <c r="A167" s="64">
        <f t="shared" si="3"/>
        <v>166</v>
      </c>
      <c r="B167" s="64" t="s">
        <v>35</v>
      </c>
      <c r="C167" s="64" t="s">
        <v>19</v>
      </c>
      <c r="D167" s="64" t="s">
        <v>776</v>
      </c>
      <c r="E167" s="64" t="s">
        <v>93</v>
      </c>
      <c r="F167" s="64" t="s">
        <v>22</v>
      </c>
      <c r="G167" s="64" t="s">
        <v>29</v>
      </c>
      <c r="H167" s="64" t="s">
        <v>39</v>
      </c>
      <c r="I167" s="65">
        <v>-1.0</v>
      </c>
      <c r="J167" s="65">
        <v>0.3</v>
      </c>
      <c r="K167" s="65">
        <v>0.045</v>
      </c>
      <c r="L167" s="66">
        <v>45641.0</v>
      </c>
      <c r="M167" s="67">
        <v>1.725</v>
      </c>
      <c r="N167" s="64" t="s">
        <v>33</v>
      </c>
      <c r="O167" s="68">
        <f t="shared" si="1"/>
        <v>0.032625</v>
      </c>
      <c r="P167" s="68">
        <f t="shared" si="4"/>
        <v>-0.52755375</v>
      </c>
    </row>
    <row r="168">
      <c r="A168" s="64">
        <f t="shared" si="3"/>
        <v>167</v>
      </c>
      <c r="B168" s="64" t="s">
        <v>26</v>
      </c>
      <c r="C168" s="64" t="s">
        <v>19</v>
      </c>
      <c r="D168" s="64" t="s">
        <v>777</v>
      </c>
      <c r="E168" s="64" t="s">
        <v>642</v>
      </c>
      <c r="F168" s="64" t="s">
        <v>22</v>
      </c>
      <c r="G168" s="64" t="s">
        <v>29</v>
      </c>
      <c r="H168" s="64" t="s">
        <v>39</v>
      </c>
      <c r="I168" s="65">
        <v>-2.75</v>
      </c>
      <c r="J168" s="65">
        <v>0.5</v>
      </c>
      <c r="K168" s="65">
        <v>0.4937</v>
      </c>
      <c r="L168" s="66">
        <v>45641.0</v>
      </c>
      <c r="M168" s="67">
        <v>1.85</v>
      </c>
      <c r="N168" s="64" t="s">
        <v>33</v>
      </c>
      <c r="O168" s="68">
        <f t="shared" si="1"/>
        <v>0.419645</v>
      </c>
      <c r="P168" s="68">
        <f t="shared" si="4"/>
        <v>-0.10790875</v>
      </c>
    </row>
    <row r="169">
      <c r="A169" s="64">
        <f t="shared" si="3"/>
        <v>168</v>
      </c>
      <c r="B169" s="64" t="s">
        <v>35</v>
      </c>
      <c r="C169" s="64" t="s">
        <v>40</v>
      </c>
      <c r="D169" s="64" t="s">
        <v>778</v>
      </c>
      <c r="E169" s="64" t="s">
        <v>93</v>
      </c>
      <c r="F169" s="64" t="s">
        <v>22</v>
      </c>
      <c r="G169" s="64" t="s">
        <v>29</v>
      </c>
      <c r="H169" s="64" t="s">
        <v>39</v>
      </c>
      <c r="I169" s="65">
        <v>-1.25</v>
      </c>
      <c r="J169" s="65">
        <v>0.3</v>
      </c>
      <c r="K169" s="65">
        <v>0.3</v>
      </c>
      <c r="L169" s="66">
        <v>45641.0</v>
      </c>
      <c r="M169" s="67">
        <v>1.95</v>
      </c>
      <c r="N169" s="64" t="s">
        <v>25</v>
      </c>
      <c r="O169" s="68">
        <f t="shared" si="1"/>
        <v>-0.3</v>
      </c>
      <c r="P169" s="68">
        <f t="shared" si="4"/>
        <v>-0.40790875</v>
      </c>
    </row>
    <row r="170">
      <c r="A170" s="64">
        <f t="shared" si="3"/>
        <v>169</v>
      </c>
      <c r="B170" s="64" t="s">
        <v>35</v>
      </c>
      <c r="C170" s="64" t="s">
        <v>19</v>
      </c>
      <c r="D170" s="64" t="s">
        <v>779</v>
      </c>
      <c r="E170" s="64" t="s">
        <v>48</v>
      </c>
      <c r="F170" s="64" t="s">
        <v>22</v>
      </c>
      <c r="G170" s="64" t="s">
        <v>29</v>
      </c>
      <c r="H170" s="64" t="s">
        <v>39</v>
      </c>
      <c r="I170" s="65">
        <v>-1.0</v>
      </c>
      <c r="J170" s="65">
        <v>0.3</v>
      </c>
      <c r="K170" s="65">
        <v>0.3</v>
      </c>
      <c r="L170" s="66">
        <v>45641.0</v>
      </c>
      <c r="M170" s="67">
        <v>1.975</v>
      </c>
      <c r="N170" s="64" t="s">
        <v>25</v>
      </c>
      <c r="O170" s="68">
        <f t="shared" si="1"/>
        <v>-0.3</v>
      </c>
      <c r="P170" s="68">
        <f t="shared" si="4"/>
        <v>-0.70790875</v>
      </c>
    </row>
    <row r="171">
      <c r="A171" s="64">
        <f t="shared" si="3"/>
        <v>170</v>
      </c>
      <c r="B171" s="64" t="s">
        <v>35</v>
      </c>
      <c r="C171" s="64" t="s">
        <v>19</v>
      </c>
      <c r="D171" s="64" t="s">
        <v>780</v>
      </c>
      <c r="E171" s="64" t="s">
        <v>48</v>
      </c>
      <c r="F171" s="64" t="s">
        <v>22</v>
      </c>
      <c r="G171" s="64" t="s">
        <v>29</v>
      </c>
      <c r="H171" s="64" t="s">
        <v>24</v>
      </c>
      <c r="I171" s="65">
        <v>-0.75</v>
      </c>
      <c r="J171" s="65">
        <v>0.5</v>
      </c>
      <c r="K171" s="65">
        <v>0.5</v>
      </c>
      <c r="L171" s="66">
        <v>45641.0</v>
      </c>
      <c r="M171" s="67">
        <v>2.0</v>
      </c>
      <c r="N171" s="64" t="s">
        <v>33</v>
      </c>
      <c r="O171" s="68">
        <f t="shared" si="1"/>
        <v>0.5</v>
      </c>
      <c r="P171" s="68">
        <f t="shared" si="4"/>
        <v>-0.20790875</v>
      </c>
    </row>
    <row r="172">
      <c r="A172" s="64">
        <f t="shared" si="3"/>
        <v>171</v>
      </c>
      <c r="B172" s="64" t="s">
        <v>35</v>
      </c>
      <c r="C172" s="64" t="s">
        <v>19</v>
      </c>
      <c r="D172" s="64" t="s">
        <v>781</v>
      </c>
      <c r="E172" s="64" t="s">
        <v>121</v>
      </c>
      <c r="F172" s="64" t="s">
        <v>22</v>
      </c>
      <c r="G172" s="64" t="s">
        <v>29</v>
      </c>
      <c r="H172" s="64" t="s">
        <v>24</v>
      </c>
      <c r="I172" s="65">
        <v>-0.75</v>
      </c>
      <c r="J172" s="65">
        <v>0.5</v>
      </c>
      <c r="K172" s="65">
        <v>0.5</v>
      </c>
      <c r="L172" s="66">
        <v>45641.0</v>
      </c>
      <c r="M172" s="67">
        <v>2.025</v>
      </c>
      <c r="N172" s="64" t="s">
        <v>79</v>
      </c>
      <c r="O172" s="68">
        <f t="shared" si="1"/>
        <v>-0.25</v>
      </c>
      <c r="P172" s="68">
        <f t="shared" si="4"/>
        <v>-0.45790875</v>
      </c>
    </row>
    <row r="173">
      <c r="A173" s="64">
        <f t="shared" si="3"/>
        <v>172</v>
      </c>
      <c r="B173" s="64" t="s">
        <v>35</v>
      </c>
      <c r="C173" s="64" t="s">
        <v>19</v>
      </c>
      <c r="D173" s="64" t="s">
        <v>782</v>
      </c>
      <c r="E173" s="64" t="s">
        <v>121</v>
      </c>
      <c r="F173" s="64" t="s">
        <v>22</v>
      </c>
      <c r="G173" s="64" t="s">
        <v>29</v>
      </c>
      <c r="H173" s="64" t="s">
        <v>24</v>
      </c>
      <c r="I173" s="65">
        <v>-0.75</v>
      </c>
      <c r="J173" s="65">
        <v>0.5</v>
      </c>
      <c r="K173" s="65">
        <v>0.5</v>
      </c>
      <c r="L173" s="66">
        <v>45641.0</v>
      </c>
      <c r="M173" s="67">
        <v>1.95</v>
      </c>
      <c r="N173" s="64" t="s">
        <v>79</v>
      </c>
      <c r="O173" s="68">
        <f t="shared" si="1"/>
        <v>-0.25</v>
      </c>
      <c r="P173" s="68">
        <f t="shared" si="4"/>
        <v>-0.70790875</v>
      </c>
    </row>
    <row r="174">
      <c r="A174" s="64">
        <f t="shared" si="3"/>
        <v>173</v>
      </c>
      <c r="B174" s="64" t="s">
        <v>35</v>
      </c>
      <c r="C174" s="64" t="s">
        <v>19</v>
      </c>
      <c r="D174" s="64" t="s">
        <v>783</v>
      </c>
      <c r="E174" s="64" t="s">
        <v>121</v>
      </c>
      <c r="F174" s="64" t="s">
        <v>22</v>
      </c>
      <c r="G174" s="64" t="s">
        <v>29</v>
      </c>
      <c r="H174" s="64" t="s">
        <v>24</v>
      </c>
      <c r="I174" s="65">
        <v>-4.0</v>
      </c>
      <c r="J174" s="65">
        <v>0.5</v>
      </c>
      <c r="K174" s="65">
        <v>0.5</v>
      </c>
      <c r="L174" s="66">
        <v>45641.0</v>
      </c>
      <c r="M174" s="67">
        <v>1.85</v>
      </c>
      <c r="N174" s="64" t="s">
        <v>33</v>
      </c>
      <c r="O174" s="68">
        <f t="shared" si="1"/>
        <v>0.425</v>
      </c>
      <c r="P174" s="68">
        <f t="shared" si="4"/>
        <v>-0.28290875</v>
      </c>
    </row>
    <row r="175">
      <c r="A175" s="64">
        <f t="shared" si="3"/>
        <v>174</v>
      </c>
      <c r="B175" s="64" t="s">
        <v>26</v>
      </c>
      <c r="C175" s="64" t="s">
        <v>40</v>
      </c>
      <c r="D175" s="64" t="s">
        <v>784</v>
      </c>
      <c r="E175" s="64" t="s">
        <v>93</v>
      </c>
      <c r="F175" s="64" t="s">
        <v>22</v>
      </c>
      <c r="G175" s="64" t="s">
        <v>29</v>
      </c>
      <c r="H175" s="64" t="s">
        <v>39</v>
      </c>
      <c r="I175" s="65">
        <v>-2.75</v>
      </c>
      <c r="J175" s="65">
        <v>0.25</v>
      </c>
      <c r="K175" s="65">
        <v>0.2062</v>
      </c>
      <c r="L175" s="66">
        <v>45641.0</v>
      </c>
      <c r="M175" s="67">
        <v>1.825</v>
      </c>
      <c r="N175" s="64" t="s">
        <v>79</v>
      </c>
      <c r="O175" s="68">
        <f t="shared" si="1"/>
        <v>-0.1031</v>
      </c>
      <c r="P175" s="68">
        <f t="shared" si="4"/>
        <v>-0.38600875</v>
      </c>
    </row>
    <row r="176">
      <c r="A176" s="64">
        <f t="shared" si="3"/>
        <v>175</v>
      </c>
      <c r="B176" s="64" t="s">
        <v>35</v>
      </c>
      <c r="C176" s="64" t="s">
        <v>19</v>
      </c>
      <c r="D176" s="64" t="s">
        <v>785</v>
      </c>
      <c r="E176" s="64" t="s">
        <v>60</v>
      </c>
      <c r="F176" s="64" t="s">
        <v>22</v>
      </c>
      <c r="G176" s="64" t="s">
        <v>29</v>
      </c>
      <c r="H176" s="64" t="s">
        <v>39</v>
      </c>
      <c r="I176" s="65">
        <v>-0.75</v>
      </c>
      <c r="J176" s="65">
        <v>0.3</v>
      </c>
      <c r="K176" s="65">
        <v>0.3</v>
      </c>
      <c r="L176" s="66">
        <v>45641.0</v>
      </c>
      <c r="M176" s="67">
        <v>2.0</v>
      </c>
      <c r="N176" s="64" t="s">
        <v>33</v>
      </c>
      <c r="O176" s="68">
        <f t="shared" si="1"/>
        <v>0.3</v>
      </c>
      <c r="P176" s="68">
        <f t="shared" si="4"/>
        <v>-0.08600875</v>
      </c>
    </row>
    <row r="177">
      <c r="A177" s="64">
        <f t="shared" si="3"/>
        <v>176</v>
      </c>
      <c r="B177" s="64" t="s">
        <v>35</v>
      </c>
      <c r="C177" s="64" t="s">
        <v>19</v>
      </c>
      <c r="D177" s="64" t="s">
        <v>786</v>
      </c>
      <c r="E177" s="64" t="s">
        <v>42</v>
      </c>
      <c r="F177" s="64" t="s">
        <v>22</v>
      </c>
      <c r="G177" s="64" t="s">
        <v>29</v>
      </c>
      <c r="H177" s="64" t="s">
        <v>24</v>
      </c>
      <c r="I177" s="65">
        <v>-0.75</v>
      </c>
      <c r="J177" s="65">
        <v>0.5</v>
      </c>
      <c r="K177" s="65">
        <v>0.5</v>
      </c>
      <c r="L177" s="66">
        <v>45641.0</v>
      </c>
      <c r="M177" s="67">
        <v>1.8</v>
      </c>
      <c r="N177" s="64" t="s">
        <v>25</v>
      </c>
      <c r="O177" s="68">
        <f t="shared" si="1"/>
        <v>-0.5</v>
      </c>
      <c r="P177" s="68">
        <f t="shared" si="4"/>
        <v>-0.58600875</v>
      </c>
    </row>
    <row r="178">
      <c r="A178" s="64">
        <f t="shared" si="3"/>
        <v>177</v>
      </c>
      <c r="B178" s="64" t="s">
        <v>35</v>
      </c>
      <c r="C178" s="64" t="s">
        <v>19</v>
      </c>
      <c r="D178" s="64" t="s">
        <v>787</v>
      </c>
      <c r="E178" s="64" t="s">
        <v>612</v>
      </c>
      <c r="F178" s="64" t="s">
        <v>22</v>
      </c>
      <c r="G178" s="64" t="s">
        <v>29</v>
      </c>
      <c r="H178" s="64" t="s">
        <v>24</v>
      </c>
      <c r="I178" s="65">
        <v>-1.0</v>
      </c>
      <c r="J178" s="65">
        <v>0.5</v>
      </c>
      <c r="K178" s="65">
        <v>0.4</v>
      </c>
      <c r="L178" s="69">
        <v>45641.0</v>
      </c>
      <c r="M178" s="67">
        <v>1.7</v>
      </c>
      <c r="N178" s="64" t="s">
        <v>25</v>
      </c>
      <c r="O178" s="68">
        <f t="shared" si="1"/>
        <v>-0.4</v>
      </c>
      <c r="P178" s="68">
        <f t="shared" si="4"/>
        <v>-0.98600875</v>
      </c>
    </row>
    <row r="179">
      <c r="A179" s="64">
        <f t="shared" si="3"/>
        <v>178</v>
      </c>
      <c r="B179" s="64" t="s">
        <v>35</v>
      </c>
      <c r="C179" s="64" t="s">
        <v>19</v>
      </c>
      <c r="D179" s="64" t="s">
        <v>788</v>
      </c>
      <c r="E179" s="64" t="s">
        <v>66</v>
      </c>
      <c r="F179" s="64" t="s">
        <v>22</v>
      </c>
      <c r="G179" s="64" t="s">
        <v>29</v>
      </c>
      <c r="H179" s="64" t="s">
        <v>24</v>
      </c>
      <c r="I179" s="65">
        <v>-1.0</v>
      </c>
      <c r="J179" s="65">
        <v>0.5</v>
      </c>
      <c r="K179" s="65">
        <v>0.5</v>
      </c>
      <c r="L179" s="66">
        <v>45641.0</v>
      </c>
      <c r="M179" s="67">
        <v>1.775</v>
      </c>
      <c r="N179" s="64" t="s">
        <v>33</v>
      </c>
      <c r="O179" s="68">
        <f t="shared" si="1"/>
        <v>0.3875</v>
      </c>
      <c r="P179" s="68">
        <f t="shared" si="4"/>
        <v>-0.59850875</v>
      </c>
    </row>
    <row r="180">
      <c r="A180" s="64">
        <f t="shared" si="3"/>
        <v>179</v>
      </c>
      <c r="B180" s="64" t="s">
        <v>35</v>
      </c>
      <c r="C180" s="64" t="s">
        <v>19</v>
      </c>
      <c r="D180" s="64" t="s">
        <v>789</v>
      </c>
      <c r="E180" s="64" t="s">
        <v>93</v>
      </c>
      <c r="F180" s="64" t="s">
        <v>22</v>
      </c>
      <c r="G180" s="64" t="s">
        <v>29</v>
      </c>
      <c r="H180" s="64" t="s">
        <v>24</v>
      </c>
      <c r="I180" s="65">
        <v>-1.0</v>
      </c>
      <c r="J180" s="65">
        <v>0.5</v>
      </c>
      <c r="K180" s="65">
        <v>0.3</v>
      </c>
      <c r="L180" s="66">
        <v>45641.0</v>
      </c>
      <c r="M180" s="67">
        <v>1.7</v>
      </c>
      <c r="N180" s="64" t="s">
        <v>25</v>
      </c>
      <c r="O180" s="68">
        <f t="shared" si="1"/>
        <v>-0.3</v>
      </c>
      <c r="P180" s="68">
        <f t="shared" si="4"/>
        <v>-0.89850875</v>
      </c>
    </row>
    <row r="181">
      <c r="A181" s="64">
        <f t="shared" si="3"/>
        <v>180</v>
      </c>
      <c r="B181" s="64" t="s">
        <v>35</v>
      </c>
      <c r="C181" s="64" t="s">
        <v>19</v>
      </c>
      <c r="D181" s="64" t="s">
        <v>790</v>
      </c>
      <c r="E181" s="64" t="s">
        <v>263</v>
      </c>
      <c r="F181" s="64" t="s">
        <v>22</v>
      </c>
      <c r="G181" s="64" t="s">
        <v>29</v>
      </c>
      <c r="H181" s="64" t="s">
        <v>39</v>
      </c>
      <c r="I181" s="65">
        <v>-2.25</v>
      </c>
      <c r="J181" s="65">
        <v>0.3</v>
      </c>
      <c r="K181" s="65">
        <v>0.3</v>
      </c>
      <c r="L181" s="66">
        <v>45641.0</v>
      </c>
      <c r="M181" s="67">
        <v>1.925</v>
      </c>
      <c r="N181" s="64" t="s">
        <v>25</v>
      </c>
      <c r="O181" s="68">
        <f t="shared" si="1"/>
        <v>-0.3</v>
      </c>
      <c r="P181" s="68">
        <f t="shared" si="4"/>
        <v>-1.19850875</v>
      </c>
    </row>
    <row r="182">
      <c r="A182" s="64">
        <f t="shared" si="3"/>
        <v>181</v>
      </c>
      <c r="B182" s="64" t="s">
        <v>35</v>
      </c>
      <c r="C182" s="64" t="s">
        <v>19</v>
      </c>
      <c r="D182" s="64" t="s">
        <v>791</v>
      </c>
      <c r="E182" s="64" t="s">
        <v>93</v>
      </c>
      <c r="F182" s="64" t="s">
        <v>22</v>
      </c>
      <c r="G182" s="64" t="s">
        <v>29</v>
      </c>
      <c r="H182" s="64" t="s">
        <v>24</v>
      </c>
      <c r="I182" s="65">
        <v>-1.0</v>
      </c>
      <c r="J182" s="65">
        <v>0.5</v>
      </c>
      <c r="K182" s="65">
        <v>0.2437</v>
      </c>
      <c r="L182" s="66">
        <v>45641.0</v>
      </c>
      <c r="M182" s="67">
        <v>1.7</v>
      </c>
      <c r="N182" s="64" t="s">
        <v>33</v>
      </c>
      <c r="O182" s="68">
        <f t="shared" si="1"/>
        <v>0.17059</v>
      </c>
      <c r="P182" s="68">
        <f t="shared" si="4"/>
        <v>-1.02791875</v>
      </c>
    </row>
    <row r="183">
      <c r="A183" s="64">
        <f t="shared" si="3"/>
        <v>182</v>
      </c>
      <c r="B183" s="64" t="s">
        <v>35</v>
      </c>
      <c r="C183" s="64" t="s">
        <v>19</v>
      </c>
      <c r="D183" s="64" t="s">
        <v>792</v>
      </c>
      <c r="E183" s="64" t="s">
        <v>196</v>
      </c>
      <c r="F183" s="64" t="s">
        <v>22</v>
      </c>
      <c r="G183" s="64" t="s">
        <v>29</v>
      </c>
      <c r="H183" s="64" t="s">
        <v>24</v>
      </c>
      <c r="I183" s="65">
        <v>-1.0</v>
      </c>
      <c r="J183" s="65">
        <v>0.5</v>
      </c>
      <c r="K183" s="65">
        <v>0.4937</v>
      </c>
      <c r="L183" s="66">
        <v>45641.0</v>
      </c>
      <c r="M183" s="67">
        <v>2.05</v>
      </c>
      <c r="N183" s="64" t="s">
        <v>25</v>
      </c>
      <c r="O183" s="68">
        <f t="shared" si="1"/>
        <v>-0.4937</v>
      </c>
      <c r="P183" s="68">
        <f t="shared" si="4"/>
        <v>-1.52161875</v>
      </c>
    </row>
    <row r="184">
      <c r="A184" s="64">
        <f t="shared" si="3"/>
        <v>183</v>
      </c>
      <c r="B184" s="64" t="s">
        <v>35</v>
      </c>
      <c r="C184" s="64" t="s">
        <v>19</v>
      </c>
      <c r="D184" s="64" t="s">
        <v>793</v>
      </c>
      <c r="E184" s="64" t="s">
        <v>794</v>
      </c>
      <c r="F184" s="64" t="s">
        <v>22</v>
      </c>
      <c r="G184" s="64" t="s">
        <v>29</v>
      </c>
      <c r="H184" s="64" t="s">
        <v>24</v>
      </c>
      <c r="I184" s="65">
        <v>-1.0</v>
      </c>
      <c r="J184" s="65">
        <v>0.5</v>
      </c>
      <c r="K184" s="65">
        <v>0.2437</v>
      </c>
      <c r="L184" s="66">
        <v>45641.0</v>
      </c>
      <c r="M184" s="67">
        <v>1.95</v>
      </c>
      <c r="N184" s="64" t="s">
        <v>25</v>
      </c>
      <c r="O184" s="68">
        <f t="shared" si="1"/>
        <v>-0.2437</v>
      </c>
      <c r="P184" s="68">
        <f t="shared" si="4"/>
        <v>-1.76531875</v>
      </c>
    </row>
    <row r="185">
      <c r="A185" s="64">
        <f t="shared" si="3"/>
        <v>184</v>
      </c>
      <c r="B185" s="64" t="s">
        <v>26</v>
      </c>
      <c r="C185" s="64" t="s">
        <v>19</v>
      </c>
      <c r="D185" s="64" t="s">
        <v>795</v>
      </c>
      <c r="E185" s="64" t="s">
        <v>231</v>
      </c>
      <c r="F185" s="64" t="s">
        <v>22</v>
      </c>
      <c r="G185" s="64" t="s">
        <v>29</v>
      </c>
      <c r="H185" s="64" t="s">
        <v>24</v>
      </c>
      <c r="I185" s="65">
        <v>-2.0</v>
      </c>
      <c r="J185" s="65">
        <v>0.5</v>
      </c>
      <c r="K185" s="65">
        <v>0.5</v>
      </c>
      <c r="L185" s="66">
        <v>45642.0</v>
      </c>
      <c r="M185" s="67">
        <v>1.8</v>
      </c>
      <c r="N185" s="64" t="s">
        <v>33</v>
      </c>
      <c r="O185" s="68">
        <f t="shared" si="1"/>
        <v>0.4</v>
      </c>
      <c r="P185" s="68">
        <f t="shared" si="4"/>
        <v>-1.36531875</v>
      </c>
    </row>
    <row r="186">
      <c r="A186" s="64">
        <f t="shared" si="3"/>
        <v>185</v>
      </c>
      <c r="B186" s="64" t="s">
        <v>35</v>
      </c>
      <c r="C186" s="64" t="s">
        <v>19</v>
      </c>
      <c r="D186" s="64" t="s">
        <v>796</v>
      </c>
      <c r="E186" s="64" t="s">
        <v>88</v>
      </c>
      <c r="F186" s="64" t="s">
        <v>22</v>
      </c>
      <c r="G186" s="64" t="s">
        <v>29</v>
      </c>
      <c r="H186" s="64" t="s">
        <v>24</v>
      </c>
      <c r="I186" s="65">
        <v>-1.0</v>
      </c>
      <c r="J186" s="65">
        <v>0.5</v>
      </c>
      <c r="K186" s="65">
        <v>0.5</v>
      </c>
      <c r="L186" s="66">
        <v>45642.0</v>
      </c>
      <c r="M186" s="67">
        <v>1.825</v>
      </c>
      <c r="N186" s="64" t="s">
        <v>33</v>
      </c>
      <c r="O186" s="68">
        <f t="shared" si="1"/>
        <v>0.4125</v>
      </c>
      <c r="P186" s="68">
        <f t="shared" si="4"/>
        <v>-0.95281875</v>
      </c>
    </row>
    <row r="187">
      <c r="A187" s="64">
        <f t="shared" si="3"/>
        <v>186</v>
      </c>
      <c r="B187" s="64" t="s">
        <v>26</v>
      </c>
      <c r="C187" s="64" t="s">
        <v>19</v>
      </c>
      <c r="D187" s="64" t="s">
        <v>797</v>
      </c>
      <c r="E187" s="64" t="s">
        <v>50</v>
      </c>
      <c r="F187" s="64" t="s">
        <v>22</v>
      </c>
      <c r="G187" s="64" t="s">
        <v>29</v>
      </c>
      <c r="H187" s="64" t="s">
        <v>39</v>
      </c>
      <c r="I187" s="65">
        <v>-2.5</v>
      </c>
      <c r="J187" s="65">
        <v>0.5</v>
      </c>
      <c r="K187" s="65">
        <v>0.5</v>
      </c>
      <c r="L187" s="88">
        <v>45642.0</v>
      </c>
      <c r="M187" s="67">
        <v>1.925</v>
      </c>
      <c r="N187" s="64" t="s">
        <v>25</v>
      </c>
      <c r="O187" s="68">
        <f t="shared" si="1"/>
        <v>-0.5</v>
      </c>
      <c r="P187" s="68">
        <f t="shared" si="4"/>
        <v>-1.45281875</v>
      </c>
    </row>
    <row r="188">
      <c r="A188" s="64">
        <f t="shared" si="3"/>
        <v>187</v>
      </c>
      <c r="B188" s="64" t="s">
        <v>26</v>
      </c>
      <c r="C188" s="64" t="s">
        <v>19</v>
      </c>
      <c r="D188" s="64" t="s">
        <v>798</v>
      </c>
      <c r="E188" s="64" t="s">
        <v>167</v>
      </c>
      <c r="F188" s="64" t="s">
        <v>22</v>
      </c>
      <c r="G188" s="64" t="s">
        <v>29</v>
      </c>
      <c r="H188" s="64" t="s">
        <v>24</v>
      </c>
      <c r="I188" s="65">
        <v>-3.25</v>
      </c>
      <c r="J188" s="65">
        <v>0.5</v>
      </c>
      <c r="K188" s="65">
        <v>0.3125</v>
      </c>
      <c r="L188" s="66">
        <v>45643.0</v>
      </c>
      <c r="M188" s="67">
        <v>1.925</v>
      </c>
      <c r="N188" s="64" t="s">
        <v>30</v>
      </c>
      <c r="O188" s="68">
        <f t="shared" si="1"/>
        <v>0.14453125</v>
      </c>
      <c r="P188" s="68">
        <f t="shared" si="4"/>
        <v>-1.3082875</v>
      </c>
    </row>
    <row r="189">
      <c r="A189" s="64">
        <f t="shared" si="3"/>
        <v>188</v>
      </c>
      <c r="B189" s="64" t="s">
        <v>26</v>
      </c>
      <c r="C189" s="64" t="s">
        <v>19</v>
      </c>
      <c r="D189" s="64" t="s">
        <v>799</v>
      </c>
      <c r="E189" s="64" t="s">
        <v>642</v>
      </c>
      <c r="F189" s="64" t="s">
        <v>22</v>
      </c>
      <c r="G189" s="64" t="s">
        <v>29</v>
      </c>
      <c r="H189" s="64" t="s">
        <v>39</v>
      </c>
      <c r="I189" s="65">
        <v>-3.75</v>
      </c>
      <c r="J189" s="65">
        <v>0.5</v>
      </c>
      <c r="K189" s="65">
        <v>0.17</v>
      </c>
      <c r="L189" s="66">
        <v>45643.0</v>
      </c>
      <c r="M189" s="67">
        <v>1.9</v>
      </c>
      <c r="N189" s="64" t="s">
        <v>25</v>
      </c>
      <c r="O189" s="68">
        <f t="shared" si="1"/>
        <v>-0.17</v>
      </c>
      <c r="P189" s="68">
        <f t="shared" si="4"/>
        <v>-1.4782875</v>
      </c>
    </row>
    <row r="190">
      <c r="A190" s="64">
        <f t="shared" si="3"/>
        <v>189</v>
      </c>
      <c r="B190" s="64" t="s">
        <v>26</v>
      </c>
      <c r="C190" s="64" t="s">
        <v>19</v>
      </c>
      <c r="D190" s="64" t="s">
        <v>800</v>
      </c>
      <c r="E190" s="64" t="s">
        <v>167</v>
      </c>
      <c r="F190" s="64" t="s">
        <v>22</v>
      </c>
      <c r="G190" s="64" t="s">
        <v>29</v>
      </c>
      <c r="H190" s="64" t="s">
        <v>39</v>
      </c>
      <c r="I190" s="65">
        <v>-3.25</v>
      </c>
      <c r="J190" s="65">
        <v>0.5</v>
      </c>
      <c r="K190" s="65">
        <v>0.5</v>
      </c>
      <c r="L190" s="66">
        <v>45643.0</v>
      </c>
      <c r="M190" s="67">
        <v>1.95</v>
      </c>
      <c r="N190" s="64" t="s">
        <v>30</v>
      </c>
      <c r="O190" s="68">
        <f t="shared" si="1"/>
        <v>0.2375</v>
      </c>
      <c r="P190" s="68">
        <f t="shared" si="4"/>
        <v>-1.2407875</v>
      </c>
    </row>
    <row r="191">
      <c r="A191" s="64">
        <f t="shared" si="3"/>
        <v>190</v>
      </c>
      <c r="B191" s="64" t="s">
        <v>35</v>
      </c>
      <c r="C191" s="64" t="s">
        <v>19</v>
      </c>
      <c r="D191" s="64" t="s">
        <v>801</v>
      </c>
      <c r="E191" s="64" t="s">
        <v>607</v>
      </c>
      <c r="F191" s="64" t="s">
        <v>22</v>
      </c>
      <c r="G191" s="64" t="s">
        <v>29</v>
      </c>
      <c r="H191" s="64" t="s">
        <v>39</v>
      </c>
      <c r="I191" s="65">
        <v>-3.75</v>
      </c>
      <c r="J191" s="65">
        <v>0.3</v>
      </c>
      <c r="K191" s="65">
        <v>0.3</v>
      </c>
      <c r="L191" s="66">
        <v>45643.0</v>
      </c>
      <c r="M191" s="67">
        <v>1.85</v>
      </c>
      <c r="N191" s="64" t="s">
        <v>33</v>
      </c>
      <c r="O191" s="68">
        <f t="shared" si="1"/>
        <v>0.255</v>
      </c>
      <c r="P191" s="68">
        <f t="shared" si="4"/>
        <v>-0.9857875</v>
      </c>
    </row>
    <row r="192">
      <c r="A192" s="64">
        <f t="shared" si="3"/>
        <v>191</v>
      </c>
      <c r="B192" s="64" t="s">
        <v>35</v>
      </c>
      <c r="C192" s="64" t="s">
        <v>19</v>
      </c>
      <c r="D192" s="64" t="s">
        <v>802</v>
      </c>
      <c r="E192" s="64" t="s">
        <v>189</v>
      </c>
      <c r="F192" s="64" t="s">
        <v>22</v>
      </c>
      <c r="G192" s="64" t="s">
        <v>29</v>
      </c>
      <c r="H192" s="64" t="s">
        <v>24</v>
      </c>
      <c r="I192" s="65">
        <v>-2.5</v>
      </c>
      <c r="J192" s="65">
        <v>0.5</v>
      </c>
      <c r="K192" s="65">
        <v>0.4</v>
      </c>
      <c r="L192" s="66">
        <v>45644.0</v>
      </c>
      <c r="M192" s="67">
        <v>1.9</v>
      </c>
      <c r="N192" s="64" t="s">
        <v>25</v>
      </c>
      <c r="O192" s="68">
        <f t="shared" si="1"/>
        <v>-0.4</v>
      </c>
      <c r="P192" s="68">
        <f t="shared" si="4"/>
        <v>-1.3857875</v>
      </c>
    </row>
    <row r="193">
      <c r="A193" s="64">
        <f t="shared" si="3"/>
        <v>192</v>
      </c>
      <c r="B193" s="64" t="s">
        <v>26</v>
      </c>
      <c r="C193" s="64" t="s">
        <v>40</v>
      </c>
      <c r="D193" s="64" t="s">
        <v>803</v>
      </c>
      <c r="E193" s="64" t="s">
        <v>193</v>
      </c>
      <c r="F193" s="64" t="s">
        <v>22</v>
      </c>
      <c r="G193" s="64" t="s">
        <v>29</v>
      </c>
      <c r="H193" s="64" t="s">
        <v>24</v>
      </c>
      <c r="I193" s="65">
        <v>-4.25</v>
      </c>
      <c r="J193" s="65">
        <v>0.5</v>
      </c>
      <c r="K193" s="65">
        <v>0.5</v>
      </c>
      <c r="L193" s="66">
        <v>45644.0</v>
      </c>
      <c r="M193" s="67">
        <v>1.95</v>
      </c>
      <c r="N193" s="64" t="s">
        <v>30</v>
      </c>
      <c r="O193" s="68">
        <f t="shared" si="1"/>
        <v>0.2375</v>
      </c>
      <c r="P193" s="68">
        <f t="shared" si="4"/>
        <v>-1.1482875</v>
      </c>
    </row>
    <row r="194">
      <c r="A194" s="64">
        <f t="shared" si="3"/>
        <v>193</v>
      </c>
      <c r="B194" s="64" t="s">
        <v>26</v>
      </c>
      <c r="C194" s="64" t="s">
        <v>19</v>
      </c>
      <c r="D194" s="64" t="s">
        <v>804</v>
      </c>
      <c r="E194" s="64" t="s">
        <v>42</v>
      </c>
      <c r="F194" s="64" t="s">
        <v>22</v>
      </c>
      <c r="G194" s="64" t="s">
        <v>29</v>
      </c>
      <c r="H194" s="64" t="s">
        <v>24</v>
      </c>
      <c r="I194" s="65">
        <v>-2.0</v>
      </c>
      <c r="J194" s="65">
        <v>0.5</v>
      </c>
      <c r="K194" s="65">
        <v>0.3875</v>
      </c>
      <c r="L194" s="66">
        <v>45644.0</v>
      </c>
      <c r="M194" s="67">
        <v>1.9</v>
      </c>
      <c r="N194" s="64" t="s">
        <v>25</v>
      </c>
      <c r="O194" s="68">
        <f t="shared" si="1"/>
        <v>-0.3875</v>
      </c>
      <c r="P194" s="68">
        <f t="shared" si="4"/>
        <v>-1.5357875</v>
      </c>
    </row>
    <row r="195">
      <c r="A195" s="64">
        <f t="shared" si="3"/>
        <v>194</v>
      </c>
      <c r="B195" s="64" t="s">
        <v>26</v>
      </c>
      <c r="C195" s="64" t="s">
        <v>19</v>
      </c>
      <c r="D195" s="64" t="s">
        <v>805</v>
      </c>
      <c r="E195" s="64" t="s">
        <v>806</v>
      </c>
      <c r="F195" s="64" t="s">
        <v>22</v>
      </c>
      <c r="G195" s="64" t="s">
        <v>29</v>
      </c>
      <c r="H195" s="64" t="s">
        <v>24</v>
      </c>
      <c r="I195" s="65">
        <v>-1.75</v>
      </c>
      <c r="J195" s="65">
        <v>0.25</v>
      </c>
      <c r="K195" s="65">
        <v>0.2437</v>
      </c>
      <c r="L195" s="66">
        <v>45644.0</v>
      </c>
      <c r="M195" s="67">
        <v>2.0</v>
      </c>
      <c r="N195" s="64" t="s">
        <v>79</v>
      </c>
      <c r="O195" s="68">
        <f t="shared" si="1"/>
        <v>-0.12185</v>
      </c>
      <c r="P195" s="68">
        <f t="shared" si="4"/>
        <v>-1.6576375</v>
      </c>
    </row>
    <row r="196">
      <c r="A196" s="64">
        <f t="shared" si="3"/>
        <v>195</v>
      </c>
      <c r="B196" s="64" t="s">
        <v>35</v>
      </c>
      <c r="C196" s="64" t="s">
        <v>19</v>
      </c>
      <c r="D196" s="64" t="s">
        <v>807</v>
      </c>
      <c r="E196" s="64" t="s">
        <v>157</v>
      </c>
      <c r="F196" s="64" t="s">
        <v>22</v>
      </c>
      <c r="G196" s="64" t="s">
        <v>29</v>
      </c>
      <c r="H196" s="64" t="s">
        <v>39</v>
      </c>
      <c r="I196" s="65">
        <v>-3.25</v>
      </c>
      <c r="J196" s="65">
        <v>0.3</v>
      </c>
      <c r="K196" s="65">
        <v>0.285</v>
      </c>
      <c r="L196" s="66">
        <v>45644.0</v>
      </c>
      <c r="M196" s="67">
        <v>2.025</v>
      </c>
      <c r="N196" s="64" t="s">
        <v>25</v>
      </c>
      <c r="O196" s="68">
        <f t="shared" si="1"/>
        <v>-0.285</v>
      </c>
      <c r="P196" s="68">
        <f t="shared" si="4"/>
        <v>-1.9426375</v>
      </c>
    </row>
    <row r="197">
      <c r="A197" s="64">
        <f t="shared" si="3"/>
        <v>196</v>
      </c>
      <c r="B197" s="64" t="s">
        <v>35</v>
      </c>
      <c r="C197" s="64" t="s">
        <v>19</v>
      </c>
      <c r="D197" s="64" t="s">
        <v>808</v>
      </c>
      <c r="E197" s="64" t="s">
        <v>42</v>
      </c>
      <c r="F197" s="64" t="s">
        <v>22</v>
      </c>
      <c r="G197" s="64" t="s">
        <v>29</v>
      </c>
      <c r="H197" s="64" t="s">
        <v>24</v>
      </c>
      <c r="I197" s="65">
        <v>-0.75</v>
      </c>
      <c r="J197" s="65">
        <v>0.5</v>
      </c>
      <c r="K197" s="65">
        <v>0.4375</v>
      </c>
      <c r="L197" s="66">
        <v>45644.0</v>
      </c>
      <c r="M197" s="67">
        <v>1.8</v>
      </c>
      <c r="N197" s="64" t="s">
        <v>33</v>
      </c>
      <c r="O197" s="68">
        <f t="shared" si="1"/>
        <v>0.35</v>
      </c>
      <c r="P197" s="68">
        <f t="shared" si="4"/>
        <v>-1.5926375</v>
      </c>
    </row>
    <row r="198">
      <c r="A198" s="64">
        <f t="shared" si="3"/>
        <v>197</v>
      </c>
      <c r="B198" s="64" t="s">
        <v>35</v>
      </c>
      <c r="C198" s="64" t="s">
        <v>19</v>
      </c>
      <c r="D198" s="64" t="s">
        <v>809</v>
      </c>
      <c r="E198" s="64" t="s">
        <v>583</v>
      </c>
      <c r="F198" s="64" t="s">
        <v>22</v>
      </c>
      <c r="G198" s="64" t="s">
        <v>29</v>
      </c>
      <c r="H198" s="64" t="s">
        <v>39</v>
      </c>
      <c r="I198" s="65">
        <v>-0.75</v>
      </c>
      <c r="J198" s="65">
        <v>0.3</v>
      </c>
      <c r="K198" s="65">
        <v>0.3</v>
      </c>
      <c r="L198" s="66">
        <v>45644.0</v>
      </c>
      <c r="M198" s="67">
        <v>1.825</v>
      </c>
      <c r="N198" s="64" t="s">
        <v>33</v>
      </c>
      <c r="O198" s="68">
        <f t="shared" si="1"/>
        <v>0.2475</v>
      </c>
      <c r="P198" s="68">
        <f t="shared" si="4"/>
        <v>-1.3451375</v>
      </c>
    </row>
    <row r="199">
      <c r="A199" s="64">
        <f t="shared" si="3"/>
        <v>198</v>
      </c>
      <c r="B199" s="64" t="s">
        <v>26</v>
      </c>
      <c r="C199" s="64" t="s">
        <v>19</v>
      </c>
      <c r="D199" s="64" t="s">
        <v>810</v>
      </c>
      <c r="E199" s="64" t="s">
        <v>207</v>
      </c>
      <c r="F199" s="64" t="s">
        <v>22</v>
      </c>
      <c r="G199" s="64" t="s">
        <v>29</v>
      </c>
      <c r="H199" s="64"/>
      <c r="I199" s="65">
        <v>-2.75</v>
      </c>
      <c r="J199" s="65">
        <v>0.6</v>
      </c>
      <c r="K199" s="65">
        <v>0.4425</v>
      </c>
      <c r="L199" s="66">
        <v>45645.0</v>
      </c>
      <c r="M199" s="67">
        <v>1.925</v>
      </c>
      <c r="N199" s="64" t="s">
        <v>25</v>
      </c>
      <c r="O199" s="68">
        <f t="shared" si="1"/>
        <v>-0.4425</v>
      </c>
      <c r="P199" s="68">
        <f t="shared" si="4"/>
        <v>-1.7876375</v>
      </c>
    </row>
    <row r="200">
      <c r="A200" s="64">
        <f t="shared" si="3"/>
        <v>199</v>
      </c>
      <c r="B200" s="64" t="s">
        <v>35</v>
      </c>
      <c r="C200" s="64" t="s">
        <v>19</v>
      </c>
      <c r="D200" s="64" t="s">
        <v>811</v>
      </c>
      <c r="E200" s="64" t="s">
        <v>121</v>
      </c>
      <c r="F200" s="64" t="s">
        <v>22</v>
      </c>
      <c r="G200" s="64" t="s">
        <v>29</v>
      </c>
      <c r="H200" s="64" t="s">
        <v>39</v>
      </c>
      <c r="I200" s="65">
        <v>-1.0</v>
      </c>
      <c r="J200" s="65">
        <v>0.3</v>
      </c>
      <c r="K200" s="65">
        <v>0.3</v>
      </c>
      <c r="L200" s="66">
        <v>45645.0</v>
      </c>
      <c r="M200" s="67">
        <v>2.0</v>
      </c>
      <c r="N200" s="64" t="s">
        <v>70</v>
      </c>
      <c r="O200" s="68">
        <f t="shared" si="1"/>
        <v>0</v>
      </c>
      <c r="P200" s="68">
        <f t="shared" si="4"/>
        <v>-1.7876375</v>
      </c>
    </row>
    <row r="201">
      <c r="A201" s="64">
        <f t="shared" si="3"/>
        <v>200</v>
      </c>
      <c r="B201" s="64" t="s">
        <v>35</v>
      </c>
      <c r="C201" s="64" t="s">
        <v>19</v>
      </c>
      <c r="D201" s="64" t="s">
        <v>812</v>
      </c>
      <c r="E201" s="64" t="s">
        <v>229</v>
      </c>
      <c r="F201" s="64" t="s">
        <v>22</v>
      </c>
      <c r="G201" s="64" t="s">
        <v>29</v>
      </c>
      <c r="H201" s="64" t="s">
        <v>39</v>
      </c>
      <c r="I201" s="65">
        <v>-1.0</v>
      </c>
      <c r="J201" s="65">
        <v>0.3</v>
      </c>
      <c r="K201" s="65">
        <v>0.3</v>
      </c>
      <c r="L201" s="66">
        <v>45645.0</v>
      </c>
      <c r="M201" s="67">
        <v>1.9</v>
      </c>
      <c r="N201" s="64" t="s">
        <v>25</v>
      </c>
      <c r="O201" s="68">
        <f t="shared" si="1"/>
        <v>-0.3</v>
      </c>
      <c r="P201" s="68">
        <f t="shared" si="4"/>
        <v>-2.0876375</v>
      </c>
    </row>
    <row r="202">
      <c r="A202" s="64">
        <f t="shared" si="3"/>
        <v>201</v>
      </c>
      <c r="B202" s="64" t="s">
        <v>35</v>
      </c>
      <c r="C202" s="64" t="s">
        <v>19</v>
      </c>
      <c r="D202" s="64" t="s">
        <v>813</v>
      </c>
      <c r="E202" s="64" t="s">
        <v>193</v>
      </c>
      <c r="F202" s="64" t="s">
        <v>22</v>
      </c>
      <c r="G202" s="64" t="s">
        <v>29</v>
      </c>
      <c r="H202" s="64" t="s">
        <v>24</v>
      </c>
      <c r="I202" s="65">
        <v>-0.75</v>
      </c>
      <c r="J202" s="65">
        <v>0.5</v>
      </c>
      <c r="K202" s="65">
        <v>0.4812</v>
      </c>
      <c r="L202" s="66">
        <v>45645.0</v>
      </c>
      <c r="M202" s="67">
        <v>2.075</v>
      </c>
      <c r="N202" s="64" t="s">
        <v>25</v>
      </c>
      <c r="O202" s="68">
        <f t="shared" si="1"/>
        <v>-0.4812</v>
      </c>
      <c r="P202" s="68">
        <f t="shared" si="4"/>
        <v>-2.5688375</v>
      </c>
    </row>
    <row r="203">
      <c r="A203" s="64">
        <f t="shared" si="3"/>
        <v>202</v>
      </c>
      <c r="B203" s="64" t="s">
        <v>35</v>
      </c>
      <c r="C203" s="64" t="s">
        <v>19</v>
      </c>
      <c r="D203" s="64" t="s">
        <v>814</v>
      </c>
      <c r="E203" s="64" t="s">
        <v>167</v>
      </c>
      <c r="F203" s="64" t="s">
        <v>22</v>
      </c>
      <c r="G203" s="64" t="s">
        <v>29</v>
      </c>
      <c r="H203" s="64" t="s">
        <v>39</v>
      </c>
      <c r="I203" s="65">
        <v>-4.75</v>
      </c>
      <c r="J203" s="65">
        <v>0.3</v>
      </c>
      <c r="K203" s="65">
        <v>0.285</v>
      </c>
      <c r="L203" s="66">
        <v>45645.0</v>
      </c>
      <c r="M203" s="67">
        <v>1.975</v>
      </c>
      <c r="N203" s="64" t="s">
        <v>25</v>
      </c>
      <c r="O203" s="68">
        <f t="shared" si="1"/>
        <v>-0.285</v>
      </c>
      <c r="P203" s="68">
        <f t="shared" si="4"/>
        <v>-2.8538375</v>
      </c>
    </row>
    <row r="204">
      <c r="A204" s="64">
        <f t="shared" si="3"/>
        <v>203</v>
      </c>
      <c r="B204" s="64" t="s">
        <v>26</v>
      </c>
      <c r="C204" s="64" t="s">
        <v>40</v>
      </c>
      <c r="D204" s="64" t="s">
        <v>815</v>
      </c>
      <c r="E204" s="64" t="s">
        <v>167</v>
      </c>
      <c r="F204" s="64" t="s">
        <v>22</v>
      </c>
      <c r="G204" s="64" t="s">
        <v>29</v>
      </c>
      <c r="H204" s="64"/>
      <c r="I204" s="65">
        <v>-3.0</v>
      </c>
      <c r="J204" s="65">
        <v>0.6</v>
      </c>
      <c r="K204" s="65">
        <v>0.45</v>
      </c>
      <c r="L204" s="66">
        <v>45645.0</v>
      </c>
      <c r="M204" s="67">
        <v>1.85</v>
      </c>
      <c r="N204" s="64" t="s">
        <v>33</v>
      </c>
      <c r="O204" s="68">
        <f t="shared" si="1"/>
        <v>0.3825</v>
      </c>
      <c r="P204" s="68">
        <f t="shared" si="4"/>
        <v>-2.4713375</v>
      </c>
    </row>
    <row r="205">
      <c r="A205" s="64">
        <f t="shared" si="3"/>
        <v>204</v>
      </c>
      <c r="B205" s="64" t="s">
        <v>35</v>
      </c>
      <c r="C205" s="64" t="s">
        <v>19</v>
      </c>
      <c r="D205" s="64" t="s">
        <v>816</v>
      </c>
      <c r="E205" s="64" t="s">
        <v>248</v>
      </c>
      <c r="F205" s="64" t="s">
        <v>22</v>
      </c>
      <c r="G205" s="64" t="s">
        <v>29</v>
      </c>
      <c r="H205" s="64" t="s">
        <v>24</v>
      </c>
      <c r="I205" s="65">
        <v>-0.75</v>
      </c>
      <c r="J205" s="65">
        <v>0.5</v>
      </c>
      <c r="K205" s="65">
        <v>0.4875</v>
      </c>
      <c r="L205" s="66">
        <v>45645.0</v>
      </c>
      <c r="M205" s="67">
        <v>1.975</v>
      </c>
      <c r="N205" s="64" t="s">
        <v>33</v>
      </c>
      <c r="O205" s="68">
        <f t="shared" si="1"/>
        <v>0.4753125</v>
      </c>
      <c r="P205" s="68">
        <f t="shared" si="4"/>
        <v>-1.996025</v>
      </c>
    </row>
    <row r="206">
      <c r="A206" s="64">
        <f t="shared" si="3"/>
        <v>205</v>
      </c>
      <c r="B206" s="64" t="s">
        <v>26</v>
      </c>
      <c r="C206" s="64" t="s">
        <v>19</v>
      </c>
      <c r="D206" s="64" t="s">
        <v>817</v>
      </c>
      <c r="E206" s="64" t="s">
        <v>167</v>
      </c>
      <c r="F206" s="64" t="s">
        <v>22</v>
      </c>
      <c r="G206" s="64" t="s">
        <v>29</v>
      </c>
      <c r="H206" s="64"/>
      <c r="I206" s="65">
        <v>-3.0</v>
      </c>
      <c r="J206" s="65">
        <v>0.6</v>
      </c>
      <c r="K206" s="65">
        <v>0.465</v>
      </c>
      <c r="L206" s="66">
        <v>45645.0</v>
      </c>
      <c r="M206" s="67">
        <v>1.85</v>
      </c>
      <c r="N206" s="64" t="s">
        <v>25</v>
      </c>
      <c r="O206" s="68">
        <f t="shared" si="1"/>
        <v>-0.465</v>
      </c>
      <c r="P206" s="68">
        <f t="shared" si="4"/>
        <v>-2.461025</v>
      </c>
    </row>
    <row r="207">
      <c r="A207" s="64">
        <f t="shared" si="3"/>
        <v>206</v>
      </c>
      <c r="B207" s="64" t="s">
        <v>35</v>
      </c>
      <c r="C207" s="64" t="s">
        <v>19</v>
      </c>
      <c r="D207" s="64" t="s">
        <v>818</v>
      </c>
      <c r="E207" s="64" t="s">
        <v>182</v>
      </c>
      <c r="F207" s="64" t="s">
        <v>22</v>
      </c>
      <c r="G207" s="64" t="s">
        <v>29</v>
      </c>
      <c r="H207" s="64" t="s">
        <v>39</v>
      </c>
      <c r="I207" s="65">
        <v>-1.0</v>
      </c>
      <c r="J207" s="65">
        <v>0.3</v>
      </c>
      <c r="K207" s="65">
        <v>0.3</v>
      </c>
      <c r="L207" s="66">
        <v>45645.0</v>
      </c>
      <c r="M207" s="67">
        <v>1.725</v>
      </c>
      <c r="N207" s="64" t="s">
        <v>33</v>
      </c>
      <c r="O207" s="68">
        <f t="shared" si="1"/>
        <v>0.2175</v>
      </c>
      <c r="P207" s="68">
        <f t="shared" si="4"/>
        <v>-2.243525</v>
      </c>
    </row>
    <row r="208">
      <c r="A208" s="64">
        <f t="shared" si="3"/>
        <v>207</v>
      </c>
      <c r="B208" s="64" t="s">
        <v>26</v>
      </c>
      <c r="C208" s="64"/>
      <c r="D208" s="64" t="s">
        <v>819</v>
      </c>
      <c r="E208" s="64" t="s">
        <v>820</v>
      </c>
      <c r="F208" s="64" t="s">
        <v>22</v>
      </c>
      <c r="G208" s="64" t="s">
        <v>29</v>
      </c>
      <c r="H208" s="64"/>
      <c r="I208" s="65">
        <v>-2.75</v>
      </c>
      <c r="J208" s="65">
        <v>0.6</v>
      </c>
      <c r="K208" s="65">
        <v>0.01</v>
      </c>
      <c r="L208" s="66">
        <v>45646.0</v>
      </c>
      <c r="M208" s="67">
        <v>1.8</v>
      </c>
      <c r="N208" s="64" t="s">
        <v>79</v>
      </c>
      <c r="O208" s="68">
        <f t="shared" si="1"/>
        <v>-0.005</v>
      </c>
      <c r="P208" s="68">
        <f t="shared" si="4"/>
        <v>-2.248525</v>
      </c>
    </row>
    <row r="209">
      <c r="A209" s="64">
        <f t="shared" si="3"/>
        <v>208</v>
      </c>
      <c r="B209" s="64" t="s">
        <v>26</v>
      </c>
      <c r="C209" s="64"/>
      <c r="D209" s="64" t="s">
        <v>821</v>
      </c>
      <c r="E209" s="64" t="s">
        <v>820</v>
      </c>
      <c r="F209" s="64" t="s">
        <v>22</v>
      </c>
      <c r="G209" s="64" t="s">
        <v>29</v>
      </c>
      <c r="H209" s="64"/>
      <c r="I209" s="65">
        <v>-2.75</v>
      </c>
      <c r="J209" s="65">
        <v>0.6</v>
      </c>
      <c r="K209" s="65">
        <v>0.01</v>
      </c>
      <c r="L209" s="66">
        <v>45646.0</v>
      </c>
      <c r="M209" s="67">
        <v>1.975</v>
      </c>
      <c r="N209" s="64" t="s">
        <v>25</v>
      </c>
      <c r="O209" s="68">
        <f t="shared" si="1"/>
        <v>-0.01</v>
      </c>
      <c r="P209" s="68">
        <f t="shared" si="4"/>
        <v>-2.258525</v>
      </c>
    </row>
    <row r="210">
      <c r="A210" s="64">
        <f t="shared" si="3"/>
        <v>209</v>
      </c>
      <c r="B210" s="64" t="s">
        <v>26</v>
      </c>
      <c r="C210" s="64" t="s">
        <v>19</v>
      </c>
      <c r="D210" s="64" t="s">
        <v>822</v>
      </c>
      <c r="E210" s="64" t="s">
        <v>263</v>
      </c>
      <c r="F210" s="64" t="s">
        <v>22</v>
      </c>
      <c r="G210" s="64" t="s">
        <v>29</v>
      </c>
      <c r="H210" s="64"/>
      <c r="I210" s="65">
        <v>-2.75</v>
      </c>
      <c r="J210" s="65">
        <v>0.6</v>
      </c>
      <c r="K210" s="65">
        <v>0.6</v>
      </c>
      <c r="L210" s="66">
        <v>45646.0</v>
      </c>
      <c r="M210" s="67">
        <v>1.1</v>
      </c>
      <c r="N210" s="64" t="s">
        <v>33</v>
      </c>
      <c r="O210" s="68">
        <f t="shared" si="1"/>
        <v>0.06</v>
      </c>
      <c r="P210" s="68">
        <f t="shared" si="4"/>
        <v>-2.198525</v>
      </c>
    </row>
    <row r="211">
      <c r="A211" s="64">
        <f t="shared" si="3"/>
        <v>210</v>
      </c>
      <c r="B211" s="64" t="s">
        <v>26</v>
      </c>
      <c r="C211" s="64" t="s">
        <v>19</v>
      </c>
      <c r="D211" s="64" t="s">
        <v>823</v>
      </c>
      <c r="E211" s="64" t="s">
        <v>248</v>
      </c>
      <c r="F211" s="64" t="s">
        <v>22</v>
      </c>
      <c r="G211" s="64" t="s">
        <v>29</v>
      </c>
      <c r="H211" s="64"/>
      <c r="I211" s="65">
        <v>-2.0</v>
      </c>
      <c r="J211" s="65">
        <v>0.6</v>
      </c>
      <c r="K211" s="65">
        <v>0.4725</v>
      </c>
      <c r="L211" s="66">
        <v>45646.0</v>
      </c>
      <c r="M211" s="67">
        <v>1.9</v>
      </c>
      <c r="N211" s="64" t="s">
        <v>33</v>
      </c>
      <c r="O211" s="68">
        <f t="shared" si="1"/>
        <v>0.42525</v>
      </c>
      <c r="P211" s="68">
        <f t="shared" si="4"/>
        <v>-1.773275</v>
      </c>
    </row>
    <row r="212">
      <c r="A212" s="64">
        <f t="shared" si="3"/>
        <v>211</v>
      </c>
      <c r="B212" s="64" t="s">
        <v>35</v>
      </c>
      <c r="C212" s="64" t="s">
        <v>19</v>
      </c>
      <c r="D212" s="64" t="s">
        <v>824</v>
      </c>
      <c r="E212" s="64" t="s">
        <v>66</v>
      </c>
      <c r="F212" s="64" t="s">
        <v>22</v>
      </c>
      <c r="G212" s="64" t="s">
        <v>29</v>
      </c>
      <c r="H212" s="64" t="s">
        <v>39</v>
      </c>
      <c r="I212" s="65">
        <v>-2.75</v>
      </c>
      <c r="J212" s="65">
        <v>0.3</v>
      </c>
      <c r="K212" s="65">
        <v>0.3</v>
      </c>
      <c r="L212" s="66">
        <v>45646.0</v>
      </c>
      <c r="M212" s="67">
        <v>1.9</v>
      </c>
      <c r="N212" s="64" t="s">
        <v>33</v>
      </c>
      <c r="O212" s="68">
        <f t="shared" si="1"/>
        <v>0.27</v>
      </c>
      <c r="P212" s="68">
        <f t="shared" si="4"/>
        <v>-1.503275</v>
      </c>
    </row>
    <row r="213">
      <c r="A213" s="64">
        <f t="shared" si="3"/>
        <v>212</v>
      </c>
      <c r="B213" s="64" t="s">
        <v>35</v>
      </c>
      <c r="C213" s="64" t="s">
        <v>19</v>
      </c>
      <c r="D213" s="64" t="s">
        <v>825</v>
      </c>
      <c r="E213" s="64" t="s">
        <v>826</v>
      </c>
      <c r="F213" s="64" t="s">
        <v>22</v>
      </c>
      <c r="G213" s="64" t="s">
        <v>29</v>
      </c>
      <c r="H213" s="64" t="s">
        <v>39</v>
      </c>
      <c r="I213" s="65">
        <v>-2.0</v>
      </c>
      <c r="J213" s="65">
        <v>0.3</v>
      </c>
      <c r="K213" s="65">
        <v>0.24</v>
      </c>
      <c r="L213" s="69">
        <v>45646.0</v>
      </c>
      <c r="M213" s="67">
        <v>1.925</v>
      </c>
      <c r="N213" s="64" t="s">
        <v>33</v>
      </c>
      <c r="O213" s="68">
        <f t="shared" si="1"/>
        <v>0.222</v>
      </c>
      <c r="P213" s="68">
        <f t="shared" si="4"/>
        <v>-1.281275</v>
      </c>
    </row>
    <row r="214">
      <c r="A214" s="64">
        <f t="shared" si="3"/>
        <v>213</v>
      </c>
      <c r="B214" s="64" t="s">
        <v>26</v>
      </c>
      <c r="C214" s="64" t="s">
        <v>40</v>
      </c>
      <c r="D214" s="64" t="s">
        <v>827</v>
      </c>
      <c r="E214" s="64" t="s">
        <v>42</v>
      </c>
      <c r="F214" s="64" t="s">
        <v>22</v>
      </c>
      <c r="G214" s="64" t="s">
        <v>29</v>
      </c>
      <c r="H214" s="64"/>
      <c r="I214" s="65">
        <v>-3.25</v>
      </c>
      <c r="J214" s="65">
        <v>0.6</v>
      </c>
      <c r="K214" s="65">
        <v>0.48</v>
      </c>
      <c r="L214" s="66">
        <v>45647.0</v>
      </c>
      <c r="M214" s="67">
        <v>1.975</v>
      </c>
      <c r="N214" s="64" t="s">
        <v>33</v>
      </c>
      <c r="O214" s="68">
        <f t="shared" si="1"/>
        <v>0.468</v>
      </c>
      <c r="P214" s="68">
        <f t="shared" si="4"/>
        <v>-0.813275</v>
      </c>
    </row>
    <row r="215">
      <c r="A215" s="64">
        <f t="shared" si="3"/>
        <v>214</v>
      </c>
      <c r="B215" s="64" t="s">
        <v>26</v>
      </c>
      <c r="C215" s="64" t="s">
        <v>19</v>
      </c>
      <c r="D215" s="64" t="s">
        <v>828</v>
      </c>
      <c r="E215" s="64" t="s">
        <v>93</v>
      </c>
      <c r="F215" s="64" t="s">
        <v>22</v>
      </c>
      <c r="G215" s="64" t="s">
        <v>225</v>
      </c>
      <c r="H215" s="64"/>
      <c r="I215" s="65">
        <v>1.5</v>
      </c>
      <c r="J215" s="65">
        <v>0.4</v>
      </c>
      <c r="K215" s="65">
        <v>0.4</v>
      </c>
      <c r="L215" s="66">
        <v>45647.0</v>
      </c>
      <c r="M215" s="67">
        <v>1.975</v>
      </c>
      <c r="N215" s="64" t="s">
        <v>33</v>
      </c>
      <c r="O215" s="68">
        <f t="shared" si="1"/>
        <v>0.39</v>
      </c>
      <c r="P215" s="68">
        <f t="shared" si="4"/>
        <v>-0.423275</v>
      </c>
    </row>
    <row r="216">
      <c r="A216" s="64">
        <f t="shared" si="3"/>
        <v>215</v>
      </c>
      <c r="B216" s="64" t="s">
        <v>26</v>
      </c>
      <c r="C216" s="64" t="s">
        <v>19</v>
      </c>
      <c r="D216" s="75" t="s">
        <v>829</v>
      </c>
      <c r="E216" s="64" t="s">
        <v>273</v>
      </c>
      <c r="F216" s="64" t="s">
        <v>22</v>
      </c>
      <c r="G216" s="64" t="s">
        <v>29</v>
      </c>
      <c r="H216" s="64"/>
      <c r="I216" s="65">
        <v>-2.5</v>
      </c>
      <c r="J216" s="65">
        <v>0.6</v>
      </c>
      <c r="K216" s="65">
        <v>0.54</v>
      </c>
      <c r="L216" s="66">
        <v>45647.0</v>
      </c>
      <c r="M216" s="67">
        <v>1.85</v>
      </c>
      <c r="N216" s="64" t="s">
        <v>25</v>
      </c>
      <c r="O216" s="68">
        <f t="shared" si="1"/>
        <v>-0.54</v>
      </c>
      <c r="P216" s="68">
        <f t="shared" si="4"/>
        <v>-0.963275</v>
      </c>
    </row>
    <row r="217">
      <c r="A217" s="64">
        <f t="shared" si="3"/>
        <v>216</v>
      </c>
      <c r="B217" s="64" t="s">
        <v>26</v>
      </c>
      <c r="C217" s="64" t="s">
        <v>19</v>
      </c>
      <c r="D217" s="87" t="s">
        <v>830</v>
      </c>
      <c r="E217" s="64" t="s">
        <v>48</v>
      </c>
      <c r="F217" s="64" t="s">
        <v>22</v>
      </c>
      <c r="G217" s="64" t="s">
        <v>29</v>
      </c>
      <c r="H217" s="64"/>
      <c r="I217" s="65">
        <v>-2.0</v>
      </c>
      <c r="J217" s="65">
        <v>0.6</v>
      </c>
      <c r="K217" s="65">
        <v>0.5175</v>
      </c>
      <c r="L217" s="66">
        <v>45647.0</v>
      </c>
      <c r="M217" s="67">
        <v>2.0</v>
      </c>
      <c r="N217" s="64" t="s">
        <v>25</v>
      </c>
      <c r="O217" s="68">
        <f t="shared" si="1"/>
        <v>-0.5175</v>
      </c>
      <c r="P217" s="68">
        <f t="shared" si="4"/>
        <v>-1.480775</v>
      </c>
    </row>
    <row r="218">
      <c r="A218" s="64">
        <f t="shared" si="3"/>
        <v>217</v>
      </c>
      <c r="B218" s="64" t="s">
        <v>35</v>
      </c>
      <c r="C218" s="64" t="s">
        <v>19</v>
      </c>
      <c r="D218" s="87" t="s">
        <v>831</v>
      </c>
      <c r="E218" s="64" t="s">
        <v>48</v>
      </c>
      <c r="F218" s="64" t="s">
        <v>22</v>
      </c>
      <c r="G218" s="64" t="s">
        <v>29</v>
      </c>
      <c r="H218" s="64" t="s">
        <v>24</v>
      </c>
      <c r="I218" s="65">
        <v>-2.0</v>
      </c>
      <c r="J218" s="65">
        <v>0.5</v>
      </c>
      <c r="K218" s="65">
        <v>0.4312</v>
      </c>
      <c r="L218" s="66">
        <v>45647.0</v>
      </c>
      <c r="M218" s="67">
        <v>2.0</v>
      </c>
      <c r="N218" s="64" t="s">
        <v>70</v>
      </c>
      <c r="O218" s="68">
        <f t="shared" si="1"/>
        <v>0</v>
      </c>
      <c r="P218" s="68">
        <f t="shared" si="4"/>
        <v>-1.480775</v>
      </c>
    </row>
    <row r="219">
      <c r="A219" s="64">
        <f t="shared" si="3"/>
        <v>218</v>
      </c>
      <c r="B219" s="64" t="s">
        <v>35</v>
      </c>
      <c r="C219" s="64" t="s">
        <v>40</v>
      </c>
      <c r="D219" s="64" t="s">
        <v>832</v>
      </c>
      <c r="E219" s="64" t="s">
        <v>48</v>
      </c>
      <c r="F219" s="64" t="s">
        <v>22</v>
      </c>
      <c r="G219" s="64" t="s">
        <v>29</v>
      </c>
      <c r="H219" s="64" t="s">
        <v>39</v>
      </c>
      <c r="I219" s="65">
        <v>-1.25</v>
      </c>
      <c r="J219" s="65">
        <v>0.3</v>
      </c>
      <c r="K219" s="65">
        <v>0.3</v>
      </c>
      <c r="L219" s="66">
        <v>45647.0</v>
      </c>
      <c r="M219" s="67">
        <v>1.775</v>
      </c>
      <c r="N219" s="64" t="s">
        <v>33</v>
      </c>
      <c r="O219" s="68">
        <f t="shared" si="1"/>
        <v>0.2325</v>
      </c>
      <c r="P219" s="68">
        <f t="shared" si="4"/>
        <v>-1.248275</v>
      </c>
    </row>
    <row r="220">
      <c r="A220" s="64">
        <f t="shared" si="3"/>
        <v>219</v>
      </c>
      <c r="B220" s="64" t="s">
        <v>35</v>
      </c>
      <c r="C220" s="64" t="s">
        <v>19</v>
      </c>
      <c r="D220" s="64" t="s">
        <v>833</v>
      </c>
      <c r="E220" s="64" t="s">
        <v>115</v>
      </c>
      <c r="F220" s="64" t="s">
        <v>22</v>
      </c>
      <c r="G220" s="64" t="s">
        <v>29</v>
      </c>
      <c r="H220" s="64" t="s">
        <v>24</v>
      </c>
      <c r="I220" s="65">
        <v>-0.75</v>
      </c>
      <c r="J220" s="65">
        <v>0.5</v>
      </c>
      <c r="K220" s="65">
        <v>0.5</v>
      </c>
      <c r="L220" s="66">
        <v>45647.0</v>
      </c>
      <c r="M220" s="67">
        <v>1.9</v>
      </c>
      <c r="N220" s="64" t="s">
        <v>25</v>
      </c>
      <c r="O220" s="68">
        <f t="shared" si="1"/>
        <v>-0.5</v>
      </c>
      <c r="P220" s="68">
        <f t="shared" si="4"/>
        <v>-1.748275</v>
      </c>
    </row>
    <row r="221">
      <c r="A221" s="64">
        <f t="shared" si="3"/>
        <v>220</v>
      </c>
      <c r="B221" s="64" t="s">
        <v>26</v>
      </c>
      <c r="C221" s="64" t="s">
        <v>19</v>
      </c>
      <c r="D221" s="64" t="s">
        <v>834</v>
      </c>
      <c r="E221" s="64" t="s">
        <v>607</v>
      </c>
      <c r="F221" s="64" t="s">
        <v>22</v>
      </c>
      <c r="G221" s="64" t="s">
        <v>225</v>
      </c>
      <c r="H221" s="64"/>
      <c r="I221" s="65">
        <v>2.0</v>
      </c>
      <c r="J221" s="65">
        <v>0.4</v>
      </c>
      <c r="K221" s="65">
        <v>0.325</v>
      </c>
      <c r="L221" s="66">
        <v>45647.0</v>
      </c>
      <c r="M221" s="67">
        <v>1.9</v>
      </c>
      <c r="N221" s="64" t="s">
        <v>25</v>
      </c>
      <c r="O221" s="68">
        <f t="shared" si="1"/>
        <v>-0.325</v>
      </c>
      <c r="P221" s="68">
        <f t="shared" si="4"/>
        <v>-2.073275</v>
      </c>
    </row>
    <row r="222">
      <c r="A222" s="64">
        <f t="shared" si="3"/>
        <v>221</v>
      </c>
      <c r="B222" s="64" t="s">
        <v>26</v>
      </c>
      <c r="C222" s="64" t="s">
        <v>19</v>
      </c>
      <c r="D222" s="64" t="s">
        <v>835</v>
      </c>
      <c r="E222" s="64" t="s">
        <v>93</v>
      </c>
      <c r="F222" s="64" t="s">
        <v>22</v>
      </c>
      <c r="G222" s="64" t="s">
        <v>29</v>
      </c>
      <c r="H222" s="64"/>
      <c r="I222" s="65">
        <v>-3.0</v>
      </c>
      <c r="J222" s="65">
        <v>0.6</v>
      </c>
      <c r="K222" s="65">
        <v>0.525</v>
      </c>
      <c r="L222" s="66">
        <v>45647.0</v>
      </c>
      <c r="M222" s="67">
        <v>1.9</v>
      </c>
      <c r="N222" s="64" t="s">
        <v>25</v>
      </c>
      <c r="O222" s="68">
        <f t="shared" si="1"/>
        <v>-0.525</v>
      </c>
      <c r="P222" s="68">
        <f t="shared" si="4"/>
        <v>-2.598275</v>
      </c>
    </row>
    <row r="223">
      <c r="A223" s="64">
        <f t="shared" si="3"/>
        <v>222</v>
      </c>
      <c r="B223" s="64" t="s">
        <v>26</v>
      </c>
      <c r="C223" s="64" t="s">
        <v>19</v>
      </c>
      <c r="D223" s="64" t="s">
        <v>836</v>
      </c>
      <c r="E223" s="64" t="s">
        <v>124</v>
      </c>
      <c r="F223" s="64" t="s">
        <v>22</v>
      </c>
      <c r="G223" s="64" t="s">
        <v>225</v>
      </c>
      <c r="H223" s="64"/>
      <c r="I223" s="65">
        <v>1.5</v>
      </c>
      <c r="J223" s="65">
        <v>0.4</v>
      </c>
      <c r="K223" s="65">
        <v>0.325</v>
      </c>
      <c r="L223" s="66">
        <v>45647.0</v>
      </c>
      <c r="M223" s="67">
        <v>1.9</v>
      </c>
      <c r="N223" s="64" t="s">
        <v>25</v>
      </c>
      <c r="O223" s="68">
        <f t="shared" si="1"/>
        <v>-0.325</v>
      </c>
      <c r="P223" s="68">
        <f t="shared" si="4"/>
        <v>-2.923275</v>
      </c>
    </row>
    <row r="224">
      <c r="A224" s="64">
        <f t="shared" si="3"/>
        <v>223</v>
      </c>
      <c r="B224" s="64" t="s">
        <v>26</v>
      </c>
      <c r="C224" s="64" t="s">
        <v>19</v>
      </c>
      <c r="D224" s="64" t="s">
        <v>837</v>
      </c>
      <c r="E224" s="64" t="s">
        <v>93</v>
      </c>
      <c r="F224" s="64" t="s">
        <v>22</v>
      </c>
      <c r="G224" s="64" t="s">
        <v>29</v>
      </c>
      <c r="H224" s="64"/>
      <c r="I224" s="65">
        <v>-3.0</v>
      </c>
      <c r="J224" s="65">
        <v>0.6</v>
      </c>
      <c r="K224" s="65">
        <f>0.6*1/3.5</f>
        <v>0.1714285714</v>
      </c>
      <c r="L224" s="66">
        <v>45647.0</v>
      </c>
      <c r="M224" s="67">
        <v>2.0</v>
      </c>
      <c r="N224" s="64" t="s">
        <v>25</v>
      </c>
      <c r="O224" s="68">
        <f t="shared" si="1"/>
        <v>-0.1714285714</v>
      </c>
      <c r="P224" s="68">
        <f t="shared" si="4"/>
        <v>-3.094703571</v>
      </c>
    </row>
    <row r="225">
      <c r="A225" s="64">
        <f t="shared" si="3"/>
        <v>224</v>
      </c>
      <c r="B225" s="64" t="s">
        <v>26</v>
      </c>
      <c r="C225" s="64" t="s">
        <v>19</v>
      </c>
      <c r="D225" s="64" t="s">
        <v>838</v>
      </c>
      <c r="E225" s="64" t="s">
        <v>93</v>
      </c>
      <c r="F225" s="64" t="s">
        <v>22</v>
      </c>
      <c r="G225" s="64" t="s">
        <v>225</v>
      </c>
      <c r="H225" s="64"/>
      <c r="I225" s="65">
        <v>1.0</v>
      </c>
      <c r="J225" s="65">
        <v>0.5</v>
      </c>
      <c r="K225" s="65">
        <v>0.38</v>
      </c>
      <c r="L225" s="66">
        <v>45647.0</v>
      </c>
      <c r="M225" s="67">
        <v>2.0</v>
      </c>
      <c r="N225" s="64" t="s">
        <v>70</v>
      </c>
      <c r="O225" s="68">
        <f t="shared" si="1"/>
        <v>0</v>
      </c>
      <c r="P225" s="68">
        <f t="shared" si="4"/>
        <v>-3.094703571</v>
      </c>
    </row>
    <row r="226">
      <c r="A226" s="64">
        <f t="shared" si="3"/>
        <v>225</v>
      </c>
      <c r="B226" s="64" t="s">
        <v>35</v>
      </c>
      <c r="C226" s="64" t="s">
        <v>19</v>
      </c>
      <c r="D226" s="64" t="s">
        <v>839</v>
      </c>
      <c r="E226" s="64" t="s">
        <v>66</v>
      </c>
      <c r="F226" s="64" t="s">
        <v>22</v>
      </c>
      <c r="G226" s="64" t="s">
        <v>29</v>
      </c>
      <c r="H226" s="64" t="s">
        <v>39</v>
      </c>
      <c r="I226" s="65">
        <v>-1.0</v>
      </c>
      <c r="J226" s="65">
        <v>0.3</v>
      </c>
      <c r="K226" s="65">
        <v>0.3</v>
      </c>
      <c r="L226" s="66">
        <v>45647.0</v>
      </c>
      <c r="M226" s="67">
        <v>1.975</v>
      </c>
      <c r="N226" s="64" t="s">
        <v>33</v>
      </c>
      <c r="O226" s="68">
        <f t="shared" si="1"/>
        <v>0.2925</v>
      </c>
      <c r="P226" s="68">
        <f t="shared" si="4"/>
        <v>-2.802203571</v>
      </c>
    </row>
    <row r="227">
      <c r="A227" s="64">
        <f t="shared" si="3"/>
        <v>226</v>
      </c>
      <c r="B227" s="64" t="s">
        <v>26</v>
      </c>
      <c r="C227" s="64" t="s">
        <v>19</v>
      </c>
      <c r="D227" s="64" t="s">
        <v>840</v>
      </c>
      <c r="E227" s="64" t="s">
        <v>86</v>
      </c>
      <c r="F227" s="64" t="s">
        <v>22</v>
      </c>
      <c r="G227" s="64" t="s">
        <v>29</v>
      </c>
      <c r="H227" s="64"/>
      <c r="I227" s="65">
        <v>-3.5</v>
      </c>
      <c r="J227" s="65">
        <v>0.6</v>
      </c>
      <c r="K227" s="65">
        <v>0.4875</v>
      </c>
      <c r="L227" s="66">
        <v>45647.0</v>
      </c>
      <c r="M227" s="67">
        <v>1.825</v>
      </c>
      <c r="N227" s="64" t="s">
        <v>33</v>
      </c>
      <c r="O227" s="68">
        <f t="shared" si="1"/>
        <v>0.4021875</v>
      </c>
      <c r="P227" s="68">
        <f t="shared" si="4"/>
        <v>-2.400016071</v>
      </c>
    </row>
    <row r="228">
      <c r="A228" s="64">
        <f t="shared" si="3"/>
        <v>227</v>
      </c>
      <c r="B228" s="64" t="s">
        <v>35</v>
      </c>
      <c r="C228" s="64" t="s">
        <v>19</v>
      </c>
      <c r="D228" s="64" t="s">
        <v>841</v>
      </c>
      <c r="E228" s="64" t="s">
        <v>66</v>
      </c>
      <c r="F228" s="64" t="s">
        <v>22</v>
      </c>
      <c r="G228" s="64" t="s">
        <v>29</v>
      </c>
      <c r="H228" s="64" t="s">
        <v>39</v>
      </c>
      <c r="I228" s="65">
        <v>-1.0</v>
      </c>
      <c r="J228" s="65">
        <v>0.3</v>
      </c>
      <c r="K228" s="65">
        <v>0.3</v>
      </c>
      <c r="L228" s="66">
        <v>45647.0</v>
      </c>
      <c r="M228" s="67">
        <v>1.85</v>
      </c>
      <c r="N228" s="64" t="s">
        <v>25</v>
      </c>
      <c r="O228" s="68">
        <f t="shared" si="1"/>
        <v>-0.3</v>
      </c>
      <c r="P228" s="68">
        <f t="shared" si="4"/>
        <v>-2.700016071</v>
      </c>
    </row>
    <row r="229">
      <c r="A229" s="64">
        <f t="shared" si="3"/>
        <v>228</v>
      </c>
      <c r="B229" s="64" t="s">
        <v>26</v>
      </c>
      <c r="C229" s="64" t="s">
        <v>40</v>
      </c>
      <c r="D229" s="64" t="s">
        <v>842</v>
      </c>
      <c r="E229" s="64" t="s">
        <v>93</v>
      </c>
      <c r="F229" s="64" t="s">
        <v>22</v>
      </c>
      <c r="G229" s="64" t="s">
        <v>29</v>
      </c>
      <c r="H229" s="64" t="s">
        <v>39</v>
      </c>
      <c r="I229" s="65">
        <v>-3.5</v>
      </c>
      <c r="J229" s="65">
        <v>0.6</v>
      </c>
      <c r="K229" s="65">
        <v>0.48</v>
      </c>
      <c r="L229" s="66">
        <v>45647.0</v>
      </c>
      <c r="M229" s="67">
        <v>1.85</v>
      </c>
      <c r="N229" s="64" t="s">
        <v>33</v>
      </c>
      <c r="O229" s="68">
        <f t="shared" si="1"/>
        <v>0.408</v>
      </c>
      <c r="P229" s="68">
        <f t="shared" si="4"/>
        <v>-2.292016071</v>
      </c>
    </row>
    <row r="230">
      <c r="A230" s="64">
        <f t="shared" si="3"/>
        <v>229</v>
      </c>
      <c r="B230" s="64" t="s">
        <v>26</v>
      </c>
      <c r="C230" s="64" t="s">
        <v>19</v>
      </c>
      <c r="D230" s="64" t="s">
        <v>843</v>
      </c>
      <c r="E230" s="64" t="s">
        <v>50</v>
      </c>
      <c r="F230" s="64" t="s">
        <v>22</v>
      </c>
      <c r="G230" s="64" t="s">
        <v>29</v>
      </c>
      <c r="H230" s="64"/>
      <c r="I230" s="65">
        <v>-3.25</v>
      </c>
      <c r="J230" s="65">
        <v>0.6</v>
      </c>
      <c r="K230" s="65">
        <v>0.6</v>
      </c>
      <c r="L230" s="66">
        <v>45647.0</v>
      </c>
      <c r="M230" s="67">
        <v>1.825</v>
      </c>
      <c r="N230" s="64" t="s">
        <v>30</v>
      </c>
      <c r="O230" s="68">
        <f t="shared" si="1"/>
        <v>0.2475</v>
      </c>
      <c r="P230" s="68">
        <f t="shared" si="4"/>
        <v>-2.044516071</v>
      </c>
    </row>
    <row r="231">
      <c r="A231" s="64">
        <f t="shared" si="3"/>
        <v>230</v>
      </c>
      <c r="B231" s="64" t="s">
        <v>26</v>
      </c>
      <c r="C231" s="64" t="s">
        <v>19</v>
      </c>
      <c r="D231" s="64" t="s">
        <v>844</v>
      </c>
      <c r="E231" s="64" t="s">
        <v>167</v>
      </c>
      <c r="F231" s="64" t="s">
        <v>22</v>
      </c>
      <c r="G231" s="64" t="s">
        <v>29</v>
      </c>
      <c r="H231" s="64"/>
      <c r="I231" s="65">
        <v>-2.75</v>
      </c>
      <c r="J231" s="65">
        <v>0.6</v>
      </c>
      <c r="K231" s="65">
        <v>0.6</v>
      </c>
      <c r="L231" s="66">
        <v>45647.0</v>
      </c>
      <c r="M231" s="67">
        <v>1.825</v>
      </c>
      <c r="N231" s="64" t="s">
        <v>33</v>
      </c>
      <c r="O231" s="68">
        <f t="shared" si="1"/>
        <v>0.495</v>
      </c>
      <c r="P231" s="68">
        <f t="shared" si="4"/>
        <v>-1.549516071</v>
      </c>
    </row>
    <row r="232">
      <c r="A232" s="64">
        <f t="shared" si="3"/>
        <v>231</v>
      </c>
      <c r="B232" s="64" t="s">
        <v>26</v>
      </c>
      <c r="C232" s="64" t="s">
        <v>19</v>
      </c>
      <c r="D232" s="64" t="s">
        <v>845</v>
      </c>
      <c r="E232" s="64" t="s">
        <v>93</v>
      </c>
      <c r="F232" s="64" t="s">
        <v>22</v>
      </c>
      <c r="G232" s="64" t="s">
        <v>29</v>
      </c>
      <c r="H232" s="64"/>
      <c r="I232" s="65">
        <v>-5.0</v>
      </c>
      <c r="J232" s="65">
        <v>0.6</v>
      </c>
      <c r="K232" s="65">
        <v>0.48</v>
      </c>
      <c r="L232" s="69">
        <v>45647.0</v>
      </c>
      <c r="M232" s="67">
        <v>1.925</v>
      </c>
      <c r="N232" s="64" t="s">
        <v>33</v>
      </c>
      <c r="O232" s="68">
        <f t="shared" si="1"/>
        <v>0.444</v>
      </c>
      <c r="P232" s="68">
        <f t="shared" si="4"/>
        <v>-1.105516071</v>
      </c>
    </row>
    <row r="233">
      <c r="A233" s="64">
        <f t="shared" si="3"/>
        <v>232</v>
      </c>
      <c r="B233" s="64" t="s">
        <v>35</v>
      </c>
      <c r="C233" s="64" t="s">
        <v>19</v>
      </c>
      <c r="D233" s="96" t="s">
        <v>846</v>
      </c>
      <c r="E233" s="64" t="s">
        <v>227</v>
      </c>
      <c r="F233" s="64" t="s">
        <v>22</v>
      </c>
      <c r="G233" s="64" t="s">
        <v>29</v>
      </c>
      <c r="H233" s="64" t="s">
        <v>39</v>
      </c>
      <c r="I233" s="65">
        <v>-2.0</v>
      </c>
      <c r="J233" s="65">
        <v>0.3</v>
      </c>
      <c r="K233" s="65">
        <v>0.225</v>
      </c>
      <c r="L233" s="66">
        <v>45647.0</v>
      </c>
      <c r="M233" s="67">
        <v>1.9</v>
      </c>
      <c r="N233" s="64" t="s">
        <v>33</v>
      </c>
      <c r="O233" s="68">
        <f t="shared" si="1"/>
        <v>0.2025</v>
      </c>
      <c r="P233" s="68">
        <f t="shared" si="4"/>
        <v>-0.9030160714</v>
      </c>
    </row>
    <row r="234">
      <c r="A234" s="64">
        <f t="shared" si="3"/>
        <v>233</v>
      </c>
      <c r="B234" s="64" t="s">
        <v>26</v>
      </c>
      <c r="C234" s="64" t="s">
        <v>40</v>
      </c>
      <c r="D234" s="64" t="s">
        <v>847</v>
      </c>
      <c r="E234" s="64" t="s">
        <v>273</v>
      </c>
      <c r="F234" s="64" t="s">
        <v>22</v>
      </c>
      <c r="G234" s="64" t="s">
        <v>29</v>
      </c>
      <c r="H234" s="64"/>
      <c r="I234" s="65">
        <v>-5.25</v>
      </c>
      <c r="J234" s="65">
        <v>0.6</v>
      </c>
      <c r="K234" s="65">
        <v>0.4725</v>
      </c>
      <c r="L234" s="66">
        <v>45648.0</v>
      </c>
      <c r="M234" s="67">
        <v>1.875</v>
      </c>
      <c r="N234" s="64" t="s">
        <v>25</v>
      </c>
      <c r="O234" s="68">
        <f t="shared" si="1"/>
        <v>-0.4725</v>
      </c>
      <c r="P234" s="68">
        <f t="shared" si="4"/>
        <v>-1.375516071</v>
      </c>
    </row>
    <row r="235">
      <c r="A235" s="64">
        <f t="shared" si="3"/>
        <v>234</v>
      </c>
      <c r="B235" s="64" t="s">
        <v>26</v>
      </c>
      <c r="C235" s="64" t="s">
        <v>19</v>
      </c>
      <c r="D235" s="64" t="s">
        <v>848</v>
      </c>
      <c r="E235" s="64" t="s">
        <v>48</v>
      </c>
      <c r="F235" s="64" t="s">
        <v>22</v>
      </c>
      <c r="G235" s="64" t="s">
        <v>29</v>
      </c>
      <c r="H235" s="64"/>
      <c r="I235" s="65">
        <v>-3.25</v>
      </c>
      <c r="J235" s="65">
        <v>0.6</v>
      </c>
      <c r="K235" s="65">
        <v>0.4725</v>
      </c>
      <c r="L235" s="66">
        <v>45648.0</v>
      </c>
      <c r="M235" s="67">
        <v>1.95</v>
      </c>
      <c r="N235" s="64" t="s">
        <v>33</v>
      </c>
      <c r="O235" s="68">
        <f t="shared" si="1"/>
        <v>0.448875</v>
      </c>
      <c r="P235" s="68">
        <f t="shared" si="4"/>
        <v>-0.9266410714</v>
      </c>
    </row>
    <row r="236">
      <c r="A236" s="64">
        <f t="shared" si="3"/>
        <v>235</v>
      </c>
      <c r="B236" s="64" t="s">
        <v>35</v>
      </c>
      <c r="C236" s="64" t="s">
        <v>19</v>
      </c>
      <c r="D236" s="64" t="s">
        <v>849</v>
      </c>
      <c r="E236" s="64" t="s">
        <v>88</v>
      </c>
      <c r="F236" s="64" t="s">
        <v>22</v>
      </c>
      <c r="G236" s="64" t="s">
        <v>29</v>
      </c>
      <c r="H236" s="64" t="s">
        <v>39</v>
      </c>
      <c r="I236" s="65">
        <v>-0.75</v>
      </c>
      <c r="J236" s="65">
        <v>0.3</v>
      </c>
      <c r="K236" s="65">
        <v>0.3</v>
      </c>
      <c r="L236" s="66">
        <v>45648.0</v>
      </c>
      <c r="M236" s="67">
        <v>2.0</v>
      </c>
      <c r="N236" s="64" t="s">
        <v>33</v>
      </c>
      <c r="O236" s="68">
        <f t="shared" si="1"/>
        <v>0.3</v>
      </c>
      <c r="P236" s="68">
        <f t="shared" si="4"/>
        <v>-0.6266410714</v>
      </c>
    </row>
    <row r="237">
      <c r="A237" s="64">
        <f t="shared" si="3"/>
        <v>236</v>
      </c>
      <c r="B237" s="64" t="s">
        <v>35</v>
      </c>
      <c r="C237" s="64" t="s">
        <v>19</v>
      </c>
      <c r="D237" s="64" t="s">
        <v>850</v>
      </c>
      <c r="E237" s="64" t="s">
        <v>93</v>
      </c>
      <c r="F237" s="64" t="s">
        <v>22</v>
      </c>
      <c r="G237" s="64" t="s">
        <v>29</v>
      </c>
      <c r="H237" s="64" t="s">
        <v>39</v>
      </c>
      <c r="I237" s="65">
        <v>-0.75</v>
      </c>
      <c r="J237" s="65">
        <v>0.3</v>
      </c>
      <c r="K237" s="65">
        <v>0.3</v>
      </c>
      <c r="L237" s="66">
        <v>45648.0</v>
      </c>
      <c r="M237" s="67">
        <v>1.9</v>
      </c>
      <c r="N237" s="64" t="s">
        <v>33</v>
      </c>
      <c r="O237" s="68">
        <f t="shared" si="1"/>
        <v>0.27</v>
      </c>
      <c r="P237" s="68">
        <f t="shared" si="4"/>
        <v>-0.3566410714</v>
      </c>
    </row>
    <row r="238">
      <c r="A238" s="64">
        <f t="shared" si="3"/>
        <v>237</v>
      </c>
      <c r="B238" s="64" t="s">
        <v>26</v>
      </c>
      <c r="C238" s="64" t="s">
        <v>19</v>
      </c>
      <c r="D238" s="64" t="s">
        <v>851</v>
      </c>
      <c r="E238" s="64" t="s">
        <v>806</v>
      </c>
      <c r="F238" s="64" t="s">
        <v>22</v>
      </c>
      <c r="G238" s="64" t="s">
        <v>225</v>
      </c>
      <c r="H238" s="64"/>
      <c r="I238" s="65">
        <v>1.0</v>
      </c>
      <c r="J238" s="65">
        <v>0.6</v>
      </c>
      <c r="K238" s="65">
        <v>0.4725</v>
      </c>
      <c r="L238" s="66">
        <v>45648.0</v>
      </c>
      <c r="M238" s="67">
        <v>1.95</v>
      </c>
      <c r="N238" s="64" t="s">
        <v>33</v>
      </c>
      <c r="O238" s="68">
        <f t="shared" si="1"/>
        <v>0.448875</v>
      </c>
      <c r="P238" s="68">
        <f t="shared" si="4"/>
        <v>0.09223392857</v>
      </c>
    </row>
    <row r="239">
      <c r="A239" s="64">
        <f t="shared" si="3"/>
        <v>238</v>
      </c>
      <c r="B239" s="64" t="s">
        <v>26</v>
      </c>
      <c r="C239" s="64" t="s">
        <v>19</v>
      </c>
      <c r="D239" s="64" t="s">
        <v>852</v>
      </c>
      <c r="E239" s="64" t="s">
        <v>853</v>
      </c>
      <c r="F239" s="64" t="s">
        <v>22</v>
      </c>
      <c r="G239" s="64" t="s">
        <v>225</v>
      </c>
      <c r="H239" s="64"/>
      <c r="I239" s="65">
        <v>2.25</v>
      </c>
      <c r="J239" s="65">
        <v>0.3</v>
      </c>
      <c r="K239" s="65">
        <v>0.3</v>
      </c>
      <c r="L239" s="66">
        <v>45648.0</v>
      </c>
      <c r="M239" s="67">
        <v>1.75</v>
      </c>
      <c r="N239" s="64" t="s">
        <v>25</v>
      </c>
      <c r="O239" s="68">
        <f t="shared" si="1"/>
        <v>-0.3</v>
      </c>
      <c r="P239" s="68">
        <f t="shared" si="4"/>
        <v>-0.2077660714</v>
      </c>
    </row>
    <row r="240">
      <c r="A240" s="64">
        <f t="shared" si="3"/>
        <v>239</v>
      </c>
      <c r="B240" s="64" t="s">
        <v>26</v>
      </c>
      <c r="C240" s="64" t="s">
        <v>19</v>
      </c>
      <c r="D240" s="64" t="s">
        <v>854</v>
      </c>
      <c r="E240" s="64" t="s">
        <v>93</v>
      </c>
      <c r="F240" s="64" t="s">
        <v>22</v>
      </c>
      <c r="G240" s="64" t="s">
        <v>29</v>
      </c>
      <c r="H240" s="64"/>
      <c r="I240" s="65">
        <v>-3.25</v>
      </c>
      <c r="J240" s="65">
        <v>0.6</v>
      </c>
      <c r="K240" s="65">
        <v>0.6</v>
      </c>
      <c r="L240" s="66">
        <v>45648.0</v>
      </c>
      <c r="M240" s="67">
        <v>1.8</v>
      </c>
      <c r="N240" s="64" t="s">
        <v>33</v>
      </c>
      <c r="O240" s="68">
        <f t="shared" si="1"/>
        <v>0.48</v>
      </c>
      <c r="P240" s="68">
        <f t="shared" si="4"/>
        <v>0.2722339286</v>
      </c>
    </row>
    <row r="241">
      <c r="A241" s="64">
        <f t="shared" si="3"/>
        <v>240</v>
      </c>
      <c r="B241" s="64" t="s">
        <v>26</v>
      </c>
      <c r="C241" s="64" t="s">
        <v>19</v>
      </c>
      <c r="D241" s="64" t="s">
        <v>855</v>
      </c>
      <c r="E241" s="64" t="s">
        <v>42</v>
      </c>
      <c r="F241" s="64" t="s">
        <v>22</v>
      </c>
      <c r="G241" s="64" t="s">
        <v>29</v>
      </c>
      <c r="H241" s="64"/>
      <c r="I241" s="65">
        <v>-2.0</v>
      </c>
      <c r="J241" s="65">
        <v>0.6</v>
      </c>
      <c r="K241" s="65">
        <v>0.4875</v>
      </c>
      <c r="L241" s="66">
        <v>45648.0</v>
      </c>
      <c r="M241" s="67">
        <v>1.85</v>
      </c>
      <c r="N241" s="64" t="s">
        <v>25</v>
      </c>
      <c r="O241" s="68">
        <f t="shared" si="1"/>
        <v>-0.4875</v>
      </c>
      <c r="P241" s="68">
        <f t="shared" si="4"/>
        <v>-0.2152660714</v>
      </c>
    </row>
    <row r="242">
      <c r="A242" s="64">
        <f t="shared" si="3"/>
        <v>241</v>
      </c>
      <c r="B242" s="64" t="s">
        <v>26</v>
      </c>
      <c r="C242" s="64" t="s">
        <v>19</v>
      </c>
      <c r="D242" s="64" t="s">
        <v>856</v>
      </c>
      <c r="E242" s="64" t="s">
        <v>42</v>
      </c>
      <c r="F242" s="64" t="s">
        <v>22</v>
      </c>
      <c r="G242" s="64" t="s">
        <v>29</v>
      </c>
      <c r="H242" s="64"/>
      <c r="I242" s="65">
        <v>-2.0</v>
      </c>
      <c r="J242" s="65">
        <v>0.6</v>
      </c>
      <c r="K242" s="65">
        <v>0.4875</v>
      </c>
      <c r="L242" s="66">
        <v>45648.0</v>
      </c>
      <c r="M242" s="67">
        <v>1.85</v>
      </c>
      <c r="N242" s="64" t="s">
        <v>25</v>
      </c>
      <c r="O242" s="68">
        <f t="shared" si="1"/>
        <v>-0.4875</v>
      </c>
      <c r="P242" s="68">
        <f t="shared" si="4"/>
        <v>-0.7027660714</v>
      </c>
    </row>
    <row r="243">
      <c r="A243" s="64">
        <f t="shared" si="3"/>
        <v>242</v>
      </c>
      <c r="B243" s="64" t="s">
        <v>35</v>
      </c>
      <c r="C243" s="64" t="s">
        <v>19</v>
      </c>
      <c r="D243" s="64" t="s">
        <v>857</v>
      </c>
      <c r="E243" s="64" t="s">
        <v>42</v>
      </c>
      <c r="F243" s="64" t="s">
        <v>22</v>
      </c>
      <c r="G243" s="64" t="s">
        <v>29</v>
      </c>
      <c r="H243" s="64"/>
      <c r="I243" s="65">
        <v>-0.75</v>
      </c>
      <c r="J243" s="65">
        <v>0.25</v>
      </c>
      <c r="K243" s="65">
        <v>0.25</v>
      </c>
      <c r="L243" s="66">
        <v>45648.0</v>
      </c>
      <c r="M243" s="67">
        <v>1.9</v>
      </c>
      <c r="N243" s="64" t="s">
        <v>33</v>
      </c>
      <c r="O243" s="68">
        <f t="shared" si="1"/>
        <v>0.225</v>
      </c>
      <c r="P243" s="68">
        <f t="shared" si="4"/>
        <v>-0.4777660714</v>
      </c>
    </row>
    <row r="244">
      <c r="A244" s="64">
        <f t="shared" si="3"/>
        <v>243</v>
      </c>
      <c r="B244" s="64" t="s">
        <v>35</v>
      </c>
      <c r="C244" s="64" t="s">
        <v>19</v>
      </c>
      <c r="D244" s="64" t="s">
        <v>858</v>
      </c>
      <c r="E244" s="64" t="s">
        <v>121</v>
      </c>
      <c r="F244" s="64" t="s">
        <v>22</v>
      </c>
      <c r="G244" s="64" t="s">
        <v>29</v>
      </c>
      <c r="H244" s="64" t="s">
        <v>24</v>
      </c>
      <c r="I244" s="65">
        <v>-1.0</v>
      </c>
      <c r="J244" s="65">
        <v>0.5</v>
      </c>
      <c r="K244" s="65">
        <v>0.3562</v>
      </c>
      <c r="L244" s="66">
        <v>45648.0</v>
      </c>
      <c r="M244" s="67">
        <v>1.7</v>
      </c>
      <c r="N244" s="64" t="s">
        <v>25</v>
      </c>
      <c r="O244" s="68">
        <f t="shared" si="1"/>
        <v>-0.3562</v>
      </c>
      <c r="P244" s="68">
        <f t="shared" si="4"/>
        <v>-0.8339660714</v>
      </c>
    </row>
    <row r="245">
      <c r="A245" s="64">
        <f t="shared" si="3"/>
        <v>244</v>
      </c>
      <c r="B245" s="64" t="s">
        <v>35</v>
      </c>
      <c r="C245" s="64" t="s">
        <v>40</v>
      </c>
      <c r="D245" s="64" t="s">
        <v>859</v>
      </c>
      <c r="E245" s="64" t="s">
        <v>66</v>
      </c>
      <c r="F245" s="64" t="s">
        <v>22</v>
      </c>
      <c r="G245" s="64" t="s">
        <v>29</v>
      </c>
      <c r="H245" s="64"/>
      <c r="I245" s="65">
        <v>-5.0</v>
      </c>
      <c r="J245" s="65">
        <v>0.5</v>
      </c>
      <c r="K245" s="65">
        <v>0.5</v>
      </c>
      <c r="L245" s="66">
        <v>45648.0</v>
      </c>
      <c r="M245" s="67">
        <v>1.95</v>
      </c>
      <c r="N245" s="64" t="s">
        <v>25</v>
      </c>
      <c r="O245" s="68">
        <f t="shared" si="1"/>
        <v>-0.5</v>
      </c>
      <c r="P245" s="68">
        <f t="shared" si="4"/>
        <v>-1.333966071</v>
      </c>
    </row>
    <row r="246">
      <c r="A246" s="64">
        <f t="shared" si="3"/>
        <v>245</v>
      </c>
      <c r="B246" s="64" t="s">
        <v>35</v>
      </c>
      <c r="C246" s="64" t="s">
        <v>19</v>
      </c>
      <c r="D246" s="64" t="s">
        <v>860</v>
      </c>
      <c r="E246" s="64" t="s">
        <v>229</v>
      </c>
      <c r="F246" s="64" t="s">
        <v>22</v>
      </c>
      <c r="G246" s="64" t="s">
        <v>29</v>
      </c>
      <c r="H246" s="64" t="s">
        <v>39</v>
      </c>
      <c r="I246" s="65">
        <v>-1.25</v>
      </c>
      <c r="J246" s="65">
        <v>0.3</v>
      </c>
      <c r="K246" s="65">
        <v>0.3</v>
      </c>
      <c r="L246" s="69">
        <v>45648.0</v>
      </c>
      <c r="M246" s="67">
        <v>1.75</v>
      </c>
      <c r="N246" s="64" t="s">
        <v>30</v>
      </c>
      <c r="O246" s="68">
        <f t="shared" si="1"/>
        <v>0.1125</v>
      </c>
      <c r="P246" s="68">
        <f t="shared" si="4"/>
        <v>-1.221466071</v>
      </c>
    </row>
    <row r="247">
      <c r="A247" s="64">
        <f t="shared" si="3"/>
        <v>246</v>
      </c>
      <c r="B247" s="64" t="s">
        <v>35</v>
      </c>
      <c r="C247" s="64" t="s">
        <v>19</v>
      </c>
      <c r="D247" s="64" t="s">
        <v>861</v>
      </c>
      <c r="E247" s="64" t="s">
        <v>78</v>
      </c>
      <c r="F247" s="64" t="s">
        <v>22</v>
      </c>
      <c r="G247" s="64" t="s">
        <v>29</v>
      </c>
      <c r="H247" s="64" t="s">
        <v>39</v>
      </c>
      <c r="I247" s="65">
        <v>-0.75</v>
      </c>
      <c r="J247" s="65">
        <v>0.3</v>
      </c>
      <c r="K247" s="65">
        <v>0.3</v>
      </c>
      <c r="L247" s="69">
        <v>45648.0</v>
      </c>
      <c r="M247" s="67">
        <v>1.9</v>
      </c>
      <c r="N247" s="64" t="s">
        <v>79</v>
      </c>
      <c r="O247" s="68">
        <f t="shared" si="1"/>
        <v>-0.15</v>
      </c>
      <c r="P247" s="68">
        <f t="shared" si="4"/>
        <v>-1.371466071</v>
      </c>
    </row>
    <row r="248">
      <c r="A248" s="64">
        <f t="shared" si="3"/>
        <v>247</v>
      </c>
      <c r="B248" s="64" t="s">
        <v>35</v>
      </c>
      <c r="C248" s="64" t="s">
        <v>19</v>
      </c>
      <c r="D248" s="64" t="s">
        <v>862</v>
      </c>
      <c r="E248" s="64" t="s">
        <v>863</v>
      </c>
      <c r="F248" s="64" t="s">
        <v>22</v>
      </c>
      <c r="G248" s="64" t="s">
        <v>29</v>
      </c>
      <c r="H248" s="64" t="s">
        <v>39</v>
      </c>
      <c r="I248" s="65">
        <v>-1.0</v>
      </c>
      <c r="J248" s="65">
        <v>0.3</v>
      </c>
      <c r="K248" s="65">
        <f>0.3*12/15</f>
        <v>0.24</v>
      </c>
      <c r="L248" s="69">
        <v>45649.0</v>
      </c>
      <c r="M248" s="67">
        <v>1.95</v>
      </c>
      <c r="N248" s="64" t="s">
        <v>25</v>
      </c>
      <c r="O248" s="68">
        <f t="shared" si="1"/>
        <v>-0.24</v>
      </c>
      <c r="P248" s="68">
        <f t="shared" si="4"/>
        <v>-1.611466071</v>
      </c>
    </row>
    <row r="249">
      <c r="A249" s="64">
        <f t="shared" si="3"/>
        <v>248</v>
      </c>
      <c r="B249" s="64" t="s">
        <v>26</v>
      </c>
      <c r="C249" s="64" t="s">
        <v>19</v>
      </c>
      <c r="D249" s="64" t="s">
        <v>864</v>
      </c>
      <c r="E249" s="64" t="s">
        <v>403</v>
      </c>
      <c r="F249" s="64" t="s">
        <v>598</v>
      </c>
      <c r="G249" s="64" t="s">
        <v>29</v>
      </c>
      <c r="H249" s="64" t="s">
        <v>39</v>
      </c>
      <c r="I249" s="65">
        <v>-3.25</v>
      </c>
      <c r="J249" s="65">
        <v>0.6</v>
      </c>
      <c r="K249" s="65">
        <f>0.3+0.3*12/15</f>
        <v>0.54</v>
      </c>
      <c r="L249" s="69">
        <v>45649.0</v>
      </c>
      <c r="M249" s="67">
        <v>1.85</v>
      </c>
      <c r="N249" s="64" t="s">
        <v>33</v>
      </c>
      <c r="O249" s="68">
        <f t="shared" si="1"/>
        <v>0.459</v>
      </c>
      <c r="P249" s="68">
        <f t="shared" si="4"/>
        <v>-1.152466071</v>
      </c>
    </row>
    <row r="250">
      <c r="A250" s="64">
        <f t="shared" si="3"/>
        <v>249</v>
      </c>
      <c r="B250" s="64" t="s">
        <v>26</v>
      </c>
      <c r="C250" s="64" t="s">
        <v>19</v>
      </c>
      <c r="D250" s="64" t="s">
        <v>865</v>
      </c>
      <c r="E250" s="64" t="s">
        <v>169</v>
      </c>
      <c r="F250" s="64" t="s">
        <v>598</v>
      </c>
      <c r="G250" s="64" t="s">
        <v>29</v>
      </c>
      <c r="H250" s="64" t="s">
        <v>24</v>
      </c>
      <c r="I250" s="65">
        <v>2.0</v>
      </c>
      <c r="J250" s="65">
        <v>0.3</v>
      </c>
      <c r="K250" s="65">
        <v>0.3</v>
      </c>
      <c r="L250" s="69">
        <v>45649.0</v>
      </c>
      <c r="M250" s="67">
        <v>1.95</v>
      </c>
      <c r="N250" s="64" t="s">
        <v>33</v>
      </c>
      <c r="O250" s="68">
        <f t="shared" si="1"/>
        <v>0.285</v>
      </c>
      <c r="P250" s="68">
        <f t="shared" si="4"/>
        <v>-0.8674660714</v>
      </c>
    </row>
    <row r="251">
      <c r="A251" s="64">
        <f t="shared" si="3"/>
        <v>250</v>
      </c>
      <c r="B251" s="64" t="s">
        <v>26</v>
      </c>
      <c r="C251" s="64" t="s">
        <v>19</v>
      </c>
      <c r="D251" s="64" t="s">
        <v>866</v>
      </c>
      <c r="E251" s="64" t="s">
        <v>231</v>
      </c>
      <c r="F251" s="64" t="s">
        <v>598</v>
      </c>
      <c r="G251" s="64" t="s">
        <v>29</v>
      </c>
      <c r="H251" s="64" t="s">
        <v>24</v>
      </c>
      <c r="I251" s="65">
        <v>-2.0</v>
      </c>
      <c r="J251" s="65">
        <v>0.6</v>
      </c>
      <c r="K251" s="65">
        <f>0.3+0.3*6/14</f>
        <v>0.4285714286</v>
      </c>
      <c r="L251" s="66">
        <v>45650.0</v>
      </c>
      <c r="M251" s="67">
        <v>2.025</v>
      </c>
      <c r="N251" s="64" t="s">
        <v>25</v>
      </c>
      <c r="O251" s="68">
        <f t="shared" si="1"/>
        <v>-0.4285714286</v>
      </c>
      <c r="P251" s="68">
        <f t="shared" si="4"/>
        <v>-1.2960375</v>
      </c>
    </row>
    <row r="252">
      <c r="A252" s="64">
        <f t="shared" si="3"/>
        <v>251</v>
      </c>
      <c r="B252" s="64" t="s">
        <v>35</v>
      </c>
      <c r="C252" s="64" t="s">
        <v>19</v>
      </c>
      <c r="D252" s="64" t="s">
        <v>867</v>
      </c>
      <c r="E252" s="64" t="s">
        <v>167</v>
      </c>
      <c r="F252" s="64" t="s">
        <v>22</v>
      </c>
      <c r="G252" s="64" t="s">
        <v>29</v>
      </c>
      <c r="H252" s="64" t="s">
        <v>24</v>
      </c>
      <c r="I252" s="65">
        <v>-5.5</v>
      </c>
      <c r="J252" s="65">
        <v>0.5</v>
      </c>
      <c r="K252" s="65">
        <v>0.5</v>
      </c>
      <c r="L252" s="66">
        <v>45652.0</v>
      </c>
      <c r="M252" s="67">
        <v>1.85</v>
      </c>
      <c r="N252" s="64" t="s">
        <v>25</v>
      </c>
      <c r="O252" s="68">
        <f t="shared" si="1"/>
        <v>-0.5</v>
      </c>
      <c r="P252" s="68">
        <f t="shared" si="4"/>
        <v>-1.7960375</v>
      </c>
    </row>
    <row r="253">
      <c r="A253" s="64">
        <f t="shared" si="3"/>
        <v>252</v>
      </c>
      <c r="B253" s="64" t="s">
        <v>26</v>
      </c>
      <c r="C253" s="64" t="s">
        <v>19</v>
      </c>
      <c r="D253" s="64" t="s">
        <v>868</v>
      </c>
      <c r="E253" s="64" t="s">
        <v>167</v>
      </c>
      <c r="F253" s="64" t="s">
        <v>598</v>
      </c>
      <c r="G253" s="64" t="s">
        <v>29</v>
      </c>
      <c r="H253" s="64" t="s">
        <v>24</v>
      </c>
      <c r="I253" s="65">
        <v>-2.75</v>
      </c>
      <c r="J253" s="65">
        <v>0.6</v>
      </c>
      <c r="K253" s="65">
        <f>0.3+0.3*6/16</f>
        <v>0.4125</v>
      </c>
      <c r="L253" s="66">
        <v>45653.0</v>
      </c>
      <c r="M253" s="67">
        <v>1.825</v>
      </c>
      <c r="N253" s="64" t="s">
        <v>33</v>
      </c>
      <c r="O253" s="68">
        <f t="shared" si="1"/>
        <v>0.3403125</v>
      </c>
      <c r="P253" s="68">
        <f t="shared" si="4"/>
        <v>-1.455725</v>
      </c>
    </row>
    <row r="254">
      <c r="A254" s="64">
        <f t="shared" si="3"/>
        <v>253</v>
      </c>
      <c r="B254" s="64" t="s">
        <v>35</v>
      </c>
      <c r="C254" s="64" t="s">
        <v>19</v>
      </c>
      <c r="D254" s="64" t="s">
        <v>869</v>
      </c>
      <c r="E254" s="64" t="s">
        <v>167</v>
      </c>
      <c r="F254" s="64" t="s">
        <v>22</v>
      </c>
      <c r="G254" s="64" t="s">
        <v>29</v>
      </c>
      <c r="H254" s="64" t="s">
        <v>39</v>
      </c>
      <c r="I254" s="65">
        <v>-1.0</v>
      </c>
      <c r="J254" s="65">
        <v>0.3</v>
      </c>
      <c r="K254" s="65">
        <v>0.15</v>
      </c>
      <c r="L254" s="66">
        <v>45653.0</v>
      </c>
      <c r="M254" s="67">
        <v>2.05</v>
      </c>
      <c r="N254" s="64" t="s">
        <v>25</v>
      </c>
      <c r="O254" s="68">
        <f t="shared" si="1"/>
        <v>-0.15</v>
      </c>
      <c r="P254" s="68">
        <f t="shared" si="4"/>
        <v>-1.605725</v>
      </c>
    </row>
    <row r="255">
      <c r="A255" s="64">
        <f t="shared" si="3"/>
        <v>254</v>
      </c>
      <c r="B255" s="64" t="s">
        <v>35</v>
      </c>
      <c r="C255" s="64" t="s">
        <v>19</v>
      </c>
      <c r="D255" s="64" t="s">
        <v>870</v>
      </c>
      <c r="E255" s="64" t="s">
        <v>167</v>
      </c>
      <c r="F255" s="64" t="s">
        <v>22</v>
      </c>
      <c r="G255" s="64" t="s">
        <v>29</v>
      </c>
      <c r="H255" s="64" t="s">
        <v>24</v>
      </c>
      <c r="I255" s="65">
        <v>-1.25</v>
      </c>
      <c r="J255" s="65">
        <v>0.5</v>
      </c>
      <c r="K255" s="65">
        <v>0.5</v>
      </c>
      <c r="L255" s="66">
        <v>45653.0</v>
      </c>
      <c r="M255" s="67">
        <v>2.0</v>
      </c>
      <c r="N255" s="64" t="s">
        <v>33</v>
      </c>
      <c r="O255" s="68">
        <f t="shared" si="1"/>
        <v>0.5</v>
      </c>
      <c r="P255" s="68">
        <f t="shared" si="4"/>
        <v>-1.105725</v>
      </c>
    </row>
    <row r="256">
      <c r="A256" s="64">
        <f t="shared" si="3"/>
        <v>255</v>
      </c>
      <c r="B256" s="64" t="s">
        <v>35</v>
      </c>
      <c r="C256" s="64" t="s">
        <v>19</v>
      </c>
      <c r="D256" s="64" t="s">
        <v>871</v>
      </c>
      <c r="E256" s="64" t="s">
        <v>167</v>
      </c>
      <c r="F256" s="64" t="s">
        <v>22</v>
      </c>
      <c r="G256" s="64" t="s">
        <v>29</v>
      </c>
      <c r="H256" s="64" t="s">
        <v>24</v>
      </c>
      <c r="I256" s="65">
        <v>-1.0</v>
      </c>
      <c r="J256" s="65">
        <v>0.3</v>
      </c>
      <c r="K256" s="65">
        <v>0.3</v>
      </c>
      <c r="L256" s="66">
        <v>45653.0</v>
      </c>
      <c r="M256" s="67">
        <v>1.8</v>
      </c>
      <c r="N256" s="64" t="s">
        <v>33</v>
      </c>
      <c r="O256" s="68">
        <f t="shared" si="1"/>
        <v>0.24</v>
      </c>
      <c r="P256" s="68">
        <f t="shared" si="4"/>
        <v>-0.865725</v>
      </c>
    </row>
    <row r="257">
      <c r="A257" s="64">
        <f t="shared" si="3"/>
        <v>256</v>
      </c>
      <c r="B257" s="64" t="s">
        <v>26</v>
      </c>
      <c r="C257" s="64" t="s">
        <v>19</v>
      </c>
      <c r="D257" s="64" t="s">
        <v>872</v>
      </c>
      <c r="E257" s="64" t="s">
        <v>873</v>
      </c>
      <c r="F257" s="64" t="s">
        <v>22</v>
      </c>
      <c r="G257" s="64" t="s">
        <v>29</v>
      </c>
      <c r="H257" s="64" t="s">
        <v>24</v>
      </c>
      <c r="I257" s="65">
        <v>-3.5</v>
      </c>
      <c r="J257" s="65">
        <v>0.6</v>
      </c>
      <c r="K257" s="65">
        <f>0.6*28/40</f>
        <v>0.42</v>
      </c>
      <c r="L257" s="66">
        <v>45654.0</v>
      </c>
      <c r="M257" s="67">
        <v>1.975</v>
      </c>
      <c r="N257" s="64" t="s">
        <v>25</v>
      </c>
      <c r="O257" s="68">
        <f t="shared" si="1"/>
        <v>-0.42</v>
      </c>
      <c r="P257" s="68">
        <f t="shared" si="4"/>
        <v>-1.285725</v>
      </c>
    </row>
    <row r="258">
      <c r="A258" s="64">
        <f t="shared" si="3"/>
        <v>257</v>
      </c>
      <c r="B258" s="64" t="s">
        <v>35</v>
      </c>
      <c r="C258" s="64" t="s">
        <v>19</v>
      </c>
      <c r="D258" s="64" t="s">
        <v>874</v>
      </c>
      <c r="E258" s="64" t="s">
        <v>875</v>
      </c>
      <c r="F258" s="64" t="s">
        <v>22</v>
      </c>
      <c r="G258" s="64" t="s">
        <v>29</v>
      </c>
      <c r="H258" s="64" t="s">
        <v>39</v>
      </c>
      <c r="I258" s="65">
        <v>-0.75</v>
      </c>
      <c r="J258" s="65">
        <v>0.3</v>
      </c>
      <c r="K258" s="65">
        <v>0.3</v>
      </c>
      <c r="L258" s="66">
        <v>45654.0</v>
      </c>
      <c r="M258" s="67">
        <v>2.15</v>
      </c>
      <c r="N258" s="64" t="s">
        <v>25</v>
      </c>
      <c r="O258" s="68">
        <f t="shared" si="1"/>
        <v>-0.3</v>
      </c>
      <c r="P258" s="68">
        <f t="shared" si="4"/>
        <v>-1.585725</v>
      </c>
    </row>
    <row r="259">
      <c r="A259" s="64">
        <f t="shared" si="3"/>
        <v>258</v>
      </c>
      <c r="B259" s="64" t="s">
        <v>35</v>
      </c>
      <c r="C259" s="64" t="s">
        <v>19</v>
      </c>
      <c r="D259" s="64" t="s">
        <v>876</v>
      </c>
      <c r="E259" s="64" t="s">
        <v>877</v>
      </c>
      <c r="F259" s="64" t="s">
        <v>22</v>
      </c>
      <c r="G259" s="64" t="s">
        <v>29</v>
      </c>
      <c r="H259" s="64" t="s">
        <v>39</v>
      </c>
      <c r="I259" s="65">
        <v>-1.0</v>
      </c>
      <c r="J259" s="65">
        <v>0.3</v>
      </c>
      <c r="K259" s="65">
        <v>0.3</v>
      </c>
      <c r="L259" s="66">
        <v>45654.0</v>
      </c>
      <c r="M259" s="67">
        <v>1.825</v>
      </c>
      <c r="N259" s="64" t="s">
        <v>33</v>
      </c>
      <c r="O259" s="68">
        <f t="shared" si="1"/>
        <v>0.2475</v>
      </c>
      <c r="P259" s="68">
        <f t="shared" si="4"/>
        <v>-1.338225</v>
      </c>
    </row>
    <row r="260">
      <c r="A260" s="64">
        <f t="shared" si="3"/>
        <v>259</v>
      </c>
      <c r="B260" s="64" t="s">
        <v>26</v>
      </c>
      <c r="C260" s="64" t="s">
        <v>19</v>
      </c>
      <c r="D260" s="64" t="s">
        <v>878</v>
      </c>
      <c r="E260" s="64" t="s">
        <v>607</v>
      </c>
      <c r="F260" s="64" t="s">
        <v>598</v>
      </c>
      <c r="G260" s="64" t="s">
        <v>29</v>
      </c>
      <c r="H260" s="64" t="s">
        <v>39</v>
      </c>
      <c r="I260" s="65">
        <v>-3.0</v>
      </c>
      <c r="J260" s="65">
        <v>0.6</v>
      </c>
      <c r="K260" s="65">
        <v>0.6</v>
      </c>
      <c r="L260" s="66">
        <v>45654.0</v>
      </c>
      <c r="M260" s="67">
        <v>1.825</v>
      </c>
      <c r="N260" s="64" t="s">
        <v>70</v>
      </c>
      <c r="O260" s="68">
        <f t="shared" si="1"/>
        <v>0</v>
      </c>
      <c r="P260" s="68">
        <f t="shared" si="4"/>
        <v>-1.338225</v>
      </c>
    </row>
    <row r="261">
      <c r="A261" s="64">
        <f t="shared" si="3"/>
        <v>260</v>
      </c>
      <c r="B261" s="64" t="s">
        <v>35</v>
      </c>
      <c r="C261" s="64" t="s">
        <v>19</v>
      </c>
      <c r="D261" s="64" t="s">
        <v>879</v>
      </c>
      <c r="E261" s="64" t="s">
        <v>169</v>
      </c>
      <c r="F261" s="64" t="s">
        <v>22</v>
      </c>
      <c r="G261" s="64" t="s">
        <v>29</v>
      </c>
      <c r="H261" s="64" t="s">
        <v>24</v>
      </c>
      <c r="I261" s="65">
        <v>-1.25</v>
      </c>
      <c r="J261" s="65">
        <v>0.5</v>
      </c>
      <c r="K261" s="65">
        <v>0.25</v>
      </c>
      <c r="L261" s="69">
        <v>45654.0</v>
      </c>
      <c r="M261" s="67">
        <v>1.7</v>
      </c>
      <c r="N261" s="64" t="s">
        <v>25</v>
      </c>
      <c r="O261" s="68">
        <f t="shared" si="1"/>
        <v>-0.25</v>
      </c>
      <c r="P261" s="68">
        <f t="shared" si="4"/>
        <v>-1.588225</v>
      </c>
    </row>
    <row r="262">
      <c r="A262" s="64">
        <f t="shared" si="3"/>
        <v>261</v>
      </c>
      <c r="B262" s="64" t="s">
        <v>35</v>
      </c>
      <c r="C262" s="64" t="s">
        <v>19</v>
      </c>
      <c r="D262" s="64" t="s">
        <v>880</v>
      </c>
      <c r="E262" s="64" t="s">
        <v>169</v>
      </c>
      <c r="F262" s="64" t="s">
        <v>22</v>
      </c>
      <c r="G262" s="64" t="s">
        <v>29</v>
      </c>
      <c r="H262" s="64" t="s">
        <v>24</v>
      </c>
      <c r="I262" s="65">
        <v>-5.25</v>
      </c>
      <c r="J262" s="65">
        <v>0.5</v>
      </c>
      <c r="K262" s="65">
        <f>0.5*33/40</f>
        <v>0.4125</v>
      </c>
      <c r="L262" s="66">
        <v>45654.0</v>
      </c>
      <c r="M262" s="67">
        <v>2.025</v>
      </c>
      <c r="N262" s="64" t="s">
        <v>33</v>
      </c>
      <c r="O262" s="68">
        <f t="shared" si="1"/>
        <v>0.4228125</v>
      </c>
      <c r="P262" s="68">
        <f t="shared" si="4"/>
        <v>-1.1654125</v>
      </c>
    </row>
    <row r="263">
      <c r="A263" s="64">
        <f t="shared" si="3"/>
        <v>262</v>
      </c>
      <c r="B263" s="64" t="s">
        <v>35</v>
      </c>
      <c r="C263" s="64" t="s">
        <v>19</v>
      </c>
      <c r="D263" s="64" t="s">
        <v>881</v>
      </c>
      <c r="E263" s="64" t="s">
        <v>121</v>
      </c>
      <c r="F263" s="64" t="s">
        <v>22</v>
      </c>
      <c r="G263" s="64" t="s">
        <v>29</v>
      </c>
      <c r="H263" s="64" t="s">
        <v>39</v>
      </c>
      <c r="I263" s="65">
        <v>-1.75</v>
      </c>
      <c r="J263" s="65">
        <v>0.3</v>
      </c>
      <c r="K263" s="65">
        <f>0.3*13/20</f>
        <v>0.195</v>
      </c>
      <c r="L263" s="66">
        <v>45654.0</v>
      </c>
      <c r="M263" s="67">
        <v>2.185</v>
      </c>
      <c r="N263" s="64" t="s">
        <v>79</v>
      </c>
      <c r="O263" s="68">
        <f t="shared" si="1"/>
        <v>-0.0975</v>
      </c>
      <c r="P263" s="68">
        <f t="shared" si="4"/>
        <v>-1.2629125</v>
      </c>
    </row>
    <row r="264">
      <c r="A264" s="64">
        <f t="shared" si="3"/>
        <v>263</v>
      </c>
      <c r="B264" s="64" t="s">
        <v>26</v>
      </c>
      <c r="C264" s="64" t="s">
        <v>19</v>
      </c>
      <c r="D264" s="64" t="s">
        <v>882</v>
      </c>
      <c r="E264" s="64" t="s">
        <v>875</v>
      </c>
      <c r="F264" s="64" t="s">
        <v>598</v>
      </c>
      <c r="G264" s="64" t="s">
        <v>29</v>
      </c>
      <c r="H264" s="64" t="s">
        <v>24</v>
      </c>
      <c r="I264" s="65">
        <v>-3.0</v>
      </c>
      <c r="J264" s="65">
        <v>0.6</v>
      </c>
      <c r="K264" s="65">
        <v>0.5</v>
      </c>
      <c r="L264" s="66">
        <v>45655.0</v>
      </c>
      <c r="M264" s="67">
        <v>1.85</v>
      </c>
      <c r="N264" s="64" t="s">
        <v>33</v>
      </c>
      <c r="O264" s="68">
        <f t="shared" si="1"/>
        <v>0.425</v>
      </c>
      <c r="P264" s="68">
        <f t="shared" si="4"/>
        <v>-0.8379125</v>
      </c>
    </row>
    <row r="265">
      <c r="A265" s="64">
        <f t="shared" si="3"/>
        <v>264</v>
      </c>
      <c r="B265" s="64" t="s">
        <v>26</v>
      </c>
      <c r="C265" s="64" t="s">
        <v>19</v>
      </c>
      <c r="D265" s="64" t="s">
        <v>883</v>
      </c>
      <c r="E265" s="64" t="s">
        <v>187</v>
      </c>
      <c r="F265" s="64" t="s">
        <v>598</v>
      </c>
      <c r="G265" s="64" t="s">
        <v>225</v>
      </c>
      <c r="H265" s="64" t="s">
        <v>24</v>
      </c>
      <c r="I265" s="65">
        <v>0.75</v>
      </c>
      <c r="J265" s="65">
        <v>0.3</v>
      </c>
      <c r="K265" s="65">
        <v>0.28</v>
      </c>
      <c r="L265" s="66">
        <v>45655.0</v>
      </c>
      <c r="M265" s="67">
        <v>1.95</v>
      </c>
      <c r="N265" s="64" t="s">
        <v>79</v>
      </c>
      <c r="O265" s="68">
        <f t="shared" si="1"/>
        <v>-0.14</v>
      </c>
      <c r="P265" s="68">
        <f t="shared" si="4"/>
        <v>-0.9779125</v>
      </c>
    </row>
    <row r="266">
      <c r="A266" s="64">
        <f t="shared" si="3"/>
        <v>265</v>
      </c>
      <c r="B266" s="64" t="s">
        <v>26</v>
      </c>
      <c r="C266" s="64" t="s">
        <v>19</v>
      </c>
      <c r="D266" s="64" t="s">
        <v>884</v>
      </c>
      <c r="E266" s="64" t="s">
        <v>38</v>
      </c>
      <c r="F266" s="64" t="s">
        <v>598</v>
      </c>
      <c r="G266" s="64" t="s">
        <v>29</v>
      </c>
      <c r="H266" s="64" t="s">
        <v>39</v>
      </c>
      <c r="I266" s="65">
        <v>-3.5</v>
      </c>
      <c r="J266" s="65">
        <v>0.6</v>
      </c>
      <c r="K266" s="65">
        <v>0.6</v>
      </c>
      <c r="L266" s="66">
        <v>45655.0</v>
      </c>
      <c r="M266" s="67">
        <v>1.91</v>
      </c>
      <c r="N266" s="64" t="s">
        <v>25</v>
      </c>
      <c r="O266" s="68">
        <f t="shared" si="1"/>
        <v>-0.6</v>
      </c>
      <c r="P266" s="68">
        <f t="shared" si="4"/>
        <v>-1.5779125</v>
      </c>
    </row>
    <row r="267">
      <c r="A267" s="64">
        <f t="shared" si="3"/>
        <v>266</v>
      </c>
      <c r="B267" s="64" t="s">
        <v>26</v>
      </c>
      <c r="C267" s="64" t="s">
        <v>19</v>
      </c>
      <c r="D267" s="64" t="s">
        <v>885</v>
      </c>
      <c r="E267" s="64" t="s">
        <v>224</v>
      </c>
      <c r="F267" s="64" t="s">
        <v>598</v>
      </c>
      <c r="G267" s="64" t="s">
        <v>29</v>
      </c>
      <c r="H267" s="64" t="s">
        <v>24</v>
      </c>
      <c r="I267" s="65">
        <v>-3.25</v>
      </c>
      <c r="J267" s="65">
        <v>0.6</v>
      </c>
      <c r="K267" s="65">
        <f>0.6*28/32</f>
        <v>0.525</v>
      </c>
      <c r="L267" s="66">
        <v>45655.0</v>
      </c>
      <c r="M267" s="67">
        <v>1.825</v>
      </c>
      <c r="N267" s="64" t="s">
        <v>30</v>
      </c>
      <c r="O267" s="68">
        <f t="shared" si="1"/>
        <v>0.2165625</v>
      </c>
      <c r="P267" s="68">
        <f t="shared" si="4"/>
        <v>-1.36135</v>
      </c>
    </row>
    <row r="268">
      <c r="A268" s="64">
        <f t="shared" si="3"/>
        <v>267</v>
      </c>
      <c r="B268" s="64" t="s">
        <v>35</v>
      </c>
      <c r="C268" s="64" t="s">
        <v>19</v>
      </c>
      <c r="D268" s="64" t="s">
        <v>885</v>
      </c>
      <c r="E268" s="64" t="s">
        <v>224</v>
      </c>
      <c r="F268" s="64" t="s">
        <v>22</v>
      </c>
      <c r="G268" s="64" t="s">
        <v>29</v>
      </c>
      <c r="H268" s="64" t="s">
        <v>24</v>
      </c>
      <c r="I268" s="65">
        <v>-3.25</v>
      </c>
      <c r="J268" s="65">
        <v>0.5</v>
      </c>
      <c r="K268" s="65">
        <v>0.5</v>
      </c>
      <c r="L268" s="66">
        <v>45655.0</v>
      </c>
      <c r="M268" s="67">
        <v>1.8</v>
      </c>
      <c r="N268" s="64" t="s">
        <v>30</v>
      </c>
      <c r="O268" s="68">
        <f t="shared" si="1"/>
        <v>0.2</v>
      </c>
      <c r="P268" s="68">
        <f t="shared" si="4"/>
        <v>-1.16135</v>
      </c>
    </row>
    <row r="269">
      <c r="A269" s="64">
        <f t="shared" si="3"/>
        <v>268</v>
      </c>
      <c r="B269" s="64" t="s">
        <v>35</v>
      </c>
      <c r="C269" s="64" t="s">
        <v>19</v>
      </c>
      <c r="D269" s="64" t="s">
        <v>886</v>
      </c>
      <c r="E269" s="64" t="s">
        <v>66</v>
      </c>
      <c r="F269" s="64" t="s">
        <v>22</v>
      </c>
      <c r="G269" s="64" t="s">
        <v>29</v>
      </c>
      <c r="H269" s="64" t="s">
        <v>24</v>
      </c>
      <c r="I269" s="65">
        <v>-1.0</v>
      </c>
      <c r="J269" s="65">
        <v>0.5</v>
      </c>
      <c r="K269" s="65">
        <v>0.5</v>
      </c>
      <c r="L269" s="66">
        <v>45655.0</v>
      </c>
      <c r="M269" s="67">
        <v>1.85</v>
      </c>
      <c r="N269" s="64" t="s">
        <v>25</v>
      </c>
      <c r="O269" s="68">
        <f t="shared" si="1"/>
        <v>-0.5</v>
      </c>
      <c r="P269" s="68">
        <f t="shared" si="4"/>
        <v>-1.66135</v>
      </c>
    </row>
    <row r="270">
      <c r="A270" s="64">
        <f t="shared" si="3"/>
        <v>269</v>
      </c>
      <c r="B270" s="64" t="s">
        <v>35</v>
      </c>
      <c r="C270" s="64" t="s">
        <v>19</v>
      </c>
      <c r="D270" s="64" t="s">
        <v>887</v>
      </c>
      <c r="E270" s="64" t="s">
        <v>863</v>
      </c>
      <c r="F270" s="64" t="s">
        <v>22</v>
      </c>
      <c r="G270" s="64" t="s">
        <v>29</v>
      </c>
      <c r="H270" s="64" t="s">
        <v>24</v>
      </c>
      <c r="I270" s="65">
        <v>-1.0</v>
      </c>
      <c r="J270" s="65">
        <v>0.5</v>
      </c>
      <c r="K270" s="65">
        <v>0.5</v>
      </c>
      <c r="L270" s="66">
        <v>45656.0</v>
      </c>
      <c r="M270" s="67">
        <v>1.9</v>
      </c>
      <c r="N270" s="64" t="s">
        <v>33</v>
      </c>
      <c r="O270" s="68">
        <f t="shared" si="1"/>
        <v>0.45</v>
      </c>
      <c r="P270" s="68">
        <f t="shared" si="4"/>
        <v>-1.21135</v>
      </c>
    </row>
    <row r="271">
      <c r="A271" s="64">
        <f t="shared" si="3"/>
        <v>270</v>
      </c>
      <c r="B271" s="64" t="s">
        <v>35</v>
      </c>
      <c r="C271" s="64" t="s">
        <v>19</v>
      </c>
      <c r="D271" s="64" t="s">
        <v>888</v>
      </c>
      <c r="E271" s="64" t="s">
        <v>863</v>
      </c>
      <c r="F271" s="64" t="s">
        <v>22</v>
      </c>
      <c r="G271" s="64" t="s">
        <v>29</v>
      </c>
      <c r="H271" s="64" t="s">
        <v>24</v>
      </c>
      <c r="I271" s="65">
        <v>-1.5</v>
      </c>
      <c r="J271" s="65">
        <v>0.5</v>
      </c>
      <c r="K271" s="65">
        <v>0.5</v>
      </c>
      <c r="L271" s="66">
        <v>45656.0</v>
      </c>
      <c r="M271" s="67">
        <v>1.8</v>
      </c>
      <c r="N271" s="64" t="s">
        <v>25</v>
      </c>
      <c r="O271" s="68">
        <f t="shared" si="1"/>
        <v>-0.5</v>
      </c>
      <c r="P271" s="68">
        <f t="shared" si="4"/>
        <v>-1.71135</v>
      </c>
    </row>
    <row r="272">
      <c r="A272" s="64">
        <f t="shared" si="3"/>
        <v>271</v>
      </c>
      <c r="B272" s="64" t="s">
        <v>26</v>
      </c>
      <c r="C272" s="64" t="s">
        <v>19</v>
      </c>
      <c r="D272" s="64" t="s">
        <v>889</v>
      </c>
      <c r="E272" s="64" t="s">
        <v>42</v>
      </c>
      <c r="F272" s="64" t="s">
        <v>598</v>
      </c>
      <c r="G272" s="64" t="s">
        <v>29</v>
      </c>
      <c r="H272" s="64" t="s">
        <v>24</v>
      </c>
      <c r="I272" s="65">
        <v>-2.0</v>
      </c>
      <c r="J272" s="65">
        <v>0.6</v>
      </c>
      <c r="K272" s="65">
        <v>0.6</v>
      </c>
      <c r="L272" s="66">
        <v>46022.0</v>
      </c>
      <c r="M272" s="67">
        <v>1.8</v>
      </c>
      <c r="N272" s="64" t="s">
        <v>33</v>
      </c>
      <c r="O272" s="68">
        <f t="shared" si="1"/>
        <v>0.48</v>
      </c>
      <c r="P272" s="68">
        <f t="shared" si="4"/>
        <v>-1.23135</v>
      </c>
    </row>
    <row r="273">
      <c r="A273" s="64">
        <f t="shared" si="3"/>
        <v>272</v>
      </c>
      <c r="B273" s="64" t="s">
        <v>26</v>
      </c>
      <c r="C273" s="64" t="s">
        <v>19</v>
      </c>
      <c r="D273" s="64" t="s">
        <v>890</v>
      </c>
      <c r="E273" s="64" t="s">
        <v>233</v>
      </c>
      <c r="F273" s="64" t="s">
        <v>598</v>
      </c>
      <c r="G273" s="64" t="s">
        <v>29</v>
      </c>
      <c r="H273" s="64" t="s">
        <v>24</v>
      </c>
      <c r="I273" s="65">
        <v>-2.0</v>
      </c>
      <c r="J273" s="65">
        <v>0.6</v>
      </c>
      <c r="K273" s="65">
        <v>0.6</v>
      </c>
      <c r="L273" s="66">
        <v>46022.0</v>
      </c>
      <c r="M273" s="67">
        <v>1.9</v>
      </c>
      <c r="N273" s="64" t="s">
        <v>70</v>
      </c>
      <c r="O273" s="68">
        <f t="shared" si="1"/>
        <v>0</v>
      </c>
      <c r="P273" s="68">
        <f t="shared" si="4"/>
        <v>-1.23135</v>
      </c>
    </row>
    <row r="274">
      <c r="A274" s="64">
        <f t="shared" si="3"/>
        <v>273</v>
      </c>
      <c r="B274" s="64"/>
      <c r="C274" s="64"/>
      <c r="D274" s="64"/>
      <c r="E274" s="64"/>
      <c r="F274" s="64"/>
      <c r="G274" s="64"/>
      <c r="H274" s="64"/>
      <c r="I274" s="65"/>
      <c r="J274" s="65"/>
      <c r="K274" s="65"/>
      <c r="L274" s="66"/>
      <c r="M274" s="67"/>
      <c r="N274" s="64"/>
      <c r="O274" s="68" t="str">
        <f t="shared" si="1"/>
        <v/>
      </c>
      <c r="P274" s="68">
        <f t="shared" si="4"/>
        <v>-1.23135</v>
      </c>
    </row>
    <row r="275">
      <c r="A275" s="64">
        <f t="shared" si="3"/>
        <v>274</v>
      </c>
      <c r="B275" s="64"/>
      <c r="C275" s="64"/>
      <c r="D275" s="64"/>
      <c r="E275" s="64"/>
      <c r="F275" s="64"/>
      <c r="G275" s="64"/>
      <c r="H275" s="64"/>
      <c r="I275" s="65"/>
      <c r="J275" s="65"/>
      <c r="K275" s="65"/>
      <c r="L275" s="66"/>
      <c r="M275" s="67"/>
      <c r="N275" s="64"/>
      <c r="O275" s="68" t="str">
        <f t="shared" si="1"/>
        <v/>
      </c>
      <c r="P275" s="68">
        <f t="shared" si="4"/>
        <v>-1.23135</v>
      </c>
    </row>
    <row r="276">
      <c r="A276" s="64">
        <f t="shared" si="3"/>
        <v>275</v>
      </c>
      <c r="B276" s="64"/>
      <c r="C276" s="64"/>
      <c r="D276" s="64"/>
      <c r="E276" s="64"/>
      <c r="F276" s="64"/>
      <c r="G276" s="64"/>
      <c r="H276" s="64"/>
      <c r="I276" s="65"/>
      <c r="J276" s="65"/>
      <c r="K276" s="65"/>
      <c r="L276" s="66"/>
      <c r="M276" s="67"/>
      <c r="N276" s="64"/>
      <c r="O276" s="68" t="str">
        <f t="shared" si="1"/>
        <v/>
      </c>
      <c r="P276" s="68">
        <f t="shared" si="4"/>
        <v>-1.23135</v>
      </c>
    </row>
    <row r="277">
      <c r="A277" s="64">
        <f t="shared" si="3"/>
        <v>276</v>
      </c>
      <c r="B277" s="64"/>
      <c r="C277" s="64"/>
      <c r="D277" s="64"/>
      <c r="E277" s="64"/>
      <c r="F277" s="64"/>
      <c r="G277" s="64"/>
      <c r="H277" s="64"/>
      <c r="I277" s="65"/>
      <c r="J277" s="65"/>
      <c r="K277" s="65"/>
      <c r="L277" s="66"/>
      <c r="M277" s="67"/>
      <c r="N277" s="64"/>
      <c r="O277" s="68" t="str">
        <f t="shared" si="1"/>
        <v/>
      </c>
      <c r="P277" s="68">
        <f t="shared" si="4"/>
        <v>-1.23135</v>
      </c>
    </row>
    <row r="278">
      <c r="A278" s="64">
        <f t="shared" si="3"/>
        <v>277</v>
      </c>
      <c r="B278" s="64"/>
      <c r="C278" s="64"/>
      <c r="D278" s="64"/>
      <c r="E278" s="64"/>
      <c r="F278" s="64"/>
      <c r="G278" s="64"/>
      <c r="H278" s="64"/>
      <c r="I278" s="65"/>
      <c r="J278" s="65"/>
      <c r="K278" s="65"/>
      <c r="L278" s="66"/>
      <c r="M278" s="67"/>
      <c r="N278" s="64"/>
      <c r="O278" s="68" t="str">
        <f t="shared" si="1"/>
        <v/>
      </c>
      <c r="P278" s="68">
        <f t="shared" si="4"/>
        <v>-1.23135</v>
      </c>
    </row>
    <row r="279">
      <c r="A279" s="64">
        <f t="shared" si="3"/>
        <v>278</v>
      </c>
      <c r="B279" s="64"/>
      <c r="C279" s="64"/>
      <c r="D279" s="64"/>
      <c r="E279" s="64"/>
      <c r="F279" s="64"/>
      <c r="G279" s="64"/>
      <c r="H279" s="64"/>
      <c r="I279" s="65"/>
      <c r="J279" s="65"/>
      <c r="K279" s="65"/>
      <c r="L279" s="66"/>
      <c r="M279" s="67"/>
      <c r="N279" s="64"/>
      <c r="O279" s="68" t="str">
        <f t="shared" si="1"/>
        <v/>
      </c>
      <c r="P279" s="68">
        <f t="shared" si="4"/>
        <v>-1.23135</v>
      </c>
    </row>
    <row r="280">
      <c r="A280" s="64">
        <f t="shared" si="3"/>
        <v>279</v>
      </c>
      <c r="B280" s="64"/>
      <c r="C280" s="64"/>
      <c r="D280" s="64"/>
      <c r="E280" s="64"/>
      <c r="F280" s="64"/>
      <c r="G280" s="64"/>
      <c r="H280" s="64"/>
      <c r="I280" s="65"/>
      <c r="J280" s="65"/>
      <c r="K280" s="65"/>
      <c r="L280" s="69"/>
      <c r="M280" s="67"/>
      <c r="N280" s="64"/>
      <c r="O280" s="68" t="str">
        <f t="shared" si="1"/>
        <v/>
      </c>
      <c r="P280" s="68">
        <f t="shared" si="4"/>
        <v>-1.23135</v>
      </c>
    </row>
    <row r="281">
      <c r="A281" s="64">
        <f t="shared" si="3"/>
        <v>280</v>
      </c>
      <c r="B281" s="64"/>
      <c r="C281" s="64"/>
      <c r="D281" s="64"/>
      <c r="E281" s="64"/>
      <c r="F281" s="64"/>
      <c r="G281" s="64"/>
      <c r="H281" s="64"/>
      <c r="I281" s="65"/>
      <c r="J281" s="65"/>
      <c r="K281" s="65"/>
      <c r="L281" s="66"/>
      <c r="M281" s="67"/>
      <c r="N281" s="64"/>
      <c r="O281" s="68" t="str">
        <f t="shared" si="1"/>
        <v/>
      </c>
      <c r="P281" s="68">
        <f t="shared" si="4"/>
        <v>-1.23135</v>
      </c>
    </row>
    <row r="282">
      <c r="A282" s="64">
        <f t="shared" si="3"/>
        <v>281</v>
      </c>
      <c r="B282" s="64"/>
      <c r="C282" s="64"/>
      <c r="D282" s="64"/>
      <c r="E282" s="64"/>
      <c r="F282" s="64"/>
      <c r="G282" s="64"/>
      <c r="H282" s="64"/>
      <c r="I282" s="65"/>
      <c r="J282" s="65"/>
      <c r="K282" s="65"/>
      <c r="L282" s="66"/>
      <c r="M282" s="67"/>
      <c r="N282" s="64"/>
      <c r="O282" s="68" t="str">
        <f t="shared" si="1"/>
        <v/>
      </c>
      <c r="P282" s="68">
        <f t="shared" si="4"/>
        <v>-1.23135</v>
      </c>
    </row>
    <row r="283">
      <c r="A283" s="64">
        <f t="shared" si="3"/>
        <v>282</v>
      </c>
      <c r="B283" s="64"/>
      <c r="C283" s="64"/>
      <c r="D283" s="64"/>
      <c r="E283" s="64"/>
      <c r="F283" s="64"/>
      <c r="G283" s="64"/>
      <c r="H283" s="64"/>
      <c r="I283" s="65"/>
      <c r="J283" s="65"/>
      <c r="K283" s="65"/>
      <c r="L283" s="66"/>
      <c r="M283" s="67"/>
      <c r="N283" s="64"/>
      <c r="O283" s="68" t="str">
        <f t="shared" si="1"/>
        <v/>
      </c>
      <c r="P283" s="68">
        <f t="shared" si="4"/>
        <v>-1.23135</v>
      </c>
    </row>
    <row r="284">
      <c r="A284" s="64">
        <f t="shared" si="3"/>
        <v>283</v>
      </c>
      <c r="B284" s="64"/>
      <c r="C284" s="64"/>
      <c r="D284" s="64"/>
      <c r="E284" s="64"/>
      <c r="F284" s="64"/>
      <c r="G284" s="64"/>
      <c r="H284" s="64"/>
      <c r="I284" s="65"/>
      <c r="J284" s="65"/>
      <c r="K284" s="65"/>
      <c r="L284" s="66"/>
      <c r="M284" s="67"/>
      <c r="N284" s="64"/>
      <c r="O284" s="68" t="str">
        <f t="shared" si="1"/>
        <v/>
      </c>
      <c r="P284" s="68">
        <f t="shared" si="4"/>
        <v>-1.23135</v>
      </c>
    </row>
    <row r="285">
      <c r="A285" s="64">
        <f t="shared" si="3"/>
        <v>284</v>
      </c>
      <c r="B285" s="64"/>
      <c r="C285" s="64"/>
      <c r="D285" s="64"/>
      <c r="E285" s="64"/>
      <c r="F285" s="64"/>
      <c r="G285" s="64"/>
      <c r="H285" s="64"/>
      <c r="I285" s="65"/>
      <c r="J285" s="65"/>
      <c r="K285" s="65"/>
      <c r="L285" s="66"/>
      <c r="M285" s="67"/>
      <c r="N285" s="64"/>
      <c r="O285" s="68" t="str">
        <f t="shared" si="1"/>
        <v/>
      </c>
      <c r="P285" s="68">
        <f t="shared" si="4"/>
        <v>-1.23135</v>
      </c>
    </row>
    <row r="286">
      <c r="A286" s="64">
        <f t="shared" si="3"/>
        <v>285</v>
      </c>
      <c r="B286" s="64"/>
      <c r="C286" s="64"/>
      <c r="D286" s="64"/>
      <c r="E286" s="64"/>
      <c r="F286" s="64"/>
      <c r="G286" s="64"/>
      <c r="H286" s="64"/>
      <c r="I286" s="65"/>
      <c r="J286" s="65"/>
      <c r="K286" s="65"/>
      <c r="L286" s="66"/>
      <c r="M286" s="67"/>
      <c r="N286" s="64"/>
      <c r="O286" s="68" t="str">
        <f t="shared" si="1"/>
        <v/>
      </c>
      <c r="P286" s="68">
        <f t="shared" si="4"/>
        <v>-1.23135</v>
      </c>
    </row>
    <row r="287">
      <c r="A287" s="64">
        <f t="shared" si="3"/>
        <v>286</v>
      </c>
      <c r="B287" s="64"/>
      <c r="C287" s="64"/>
      <c r="D287" s="64"/>
      <c r="E287" s="64"/>
      <c r="F287" s="64"/>
      <c r="G287" s="64"/>
      <c r="H287" s="64"/>
      <c r="I287" s="65"/>
      <c r="J287" s="65"/>
      <c r="K287" s="65"/>
      <c r="L287" s="69"/>
      <c r="M287" s="67"/>
      <c r="N287" s="64"/>
      <c r="O287" s="68" t="str">
        <f t="shared" si="1"/>
        <v/>
      </c>
      <c r="P287" s="68">
        <f t="shared" si="4"/>
        <v>-1.23135</v>
      </c>
    </row>
    <row r="288">
      <c r="A288" s="64">
        <f t="shared" si="3"/>
        <v>287</v>
      </c>
      <c r="B288" s="64"/>
      <c r="C288" s="64"/>
      <c r="D288" s="64"/>
      <c r="E288" s="75"/>
      <c r="F288" s="75"/>
      <c r="G288" s="75"/>
      <c r="H288" s="64"/>
      <c r="I288" s="76"/>
      <c r="J288" s="65"/>
      <c r="K288" s="65"/>
      <c r="L288" s="66"/>
      <c r="M288" s="67"/>
      <c r="N288" s="64"/>
      <c r="O288" s="68" t="str">
        <f t="shared" si="1"/>
        <v/>
      </c>
      <c r="P288" s="68">
        <f t="shared" si="4"/>
        <v>-1.23135</v>
      </c>
    </row>
    <row r="289">
      <c r="A289" s="64">
        <f t="shared" si="3"/>
        <v>288</v>
      </c>
      <c r="B289" s="64"/>
      <c r="C289" s="64"/>
      <c r="D289" s="64"/>
      <c r="E289" s="75"/>
      <c r="F289" s="75"/>
      <c r="G289" s="75"/>
      <c r="H289" s="64"/>
      <c r="I289" s="76"/>
      <c r="J289" s="65"/>
      <c r="K289" s="65"/>
      <c r="L289" s="88"/>
      <c r="M289" s="67"/>
      <c r="N289" s="64"/>
      <c r="O289" s="68" t="str">
        <f t="shared" si="1"/>
        <v/>
      </c>
      <c r="P289" s="68">
        <f t="shared" si="4"/>
        <v>-1.23135</v>
      </c>
    </row>
    <row r="290">
      <c r="A290" s="64">
        <f t="shared" si="3"/>
        <v>289</v>
      </c>
      <c r="B290" s="64"/>
      <c r="C290" s="64"/>
      <c r="D290" s="64"/>
      <c r="E290" s="87"/>
      <c r="F290" s="87"/>
      <c r="G290" s="87"/>
      <c r="H290" s="64"/>
      <c r="I290" s="65"/>
      <c r="J290" s="65"/>
      <c r="K290" s="65"/>
      <c r="L290" s="66"/>
      <c r="M290" s="67"/>
      <c r="N290" s="64"/>
      <c r="O290" s="68" t="str">
        <f t="shared" si="1"/>
        <v/>
      </c>
      <c r="P290" s="68">
        <f t="shared" si="4"/>
        <v>-1.23135</v>
      </c>
    </row>
    <row r="291">
      <c r="A291" s="64">
        <f t="shared" si="3"/>
        <v>290</v>
      </c>
      <c r="B291" s="64"/>
      <c r="C291" s="64"/>
      <c r="D291" s="64"/>
      <c r="E291" s="64"/>
      <c r="F291" s="64"/>
      <c r="G291" s="64"/>
      <c r="H291" s="64"/>
      <c r="I291" s="65"/>
      <c r="J291" s="65"/>
      <c r="K291" s="65"/>
      <c r="L291" s="66"/>
      <c r="M291" s="67"/>
      <c r="N291" s="64"/>
      <c r="O291" s="68" t="str">
        <f t="shared" si="1"/>
        <v/>
      </c>
      <c r="P291" s="68">
        <f t="shared" si="4"/>
        <v>-1.23135</v>
      </c>
    </row>
    <row r="292">
      <c r="A292" s="64">
        <f t="shared" si="3"/>
        <v>291</v>
      </c>
      <c r="B292" s="64"/>
      <c r="C292" s="64"/>
      <c r="D292" s="64"/>
      <c r="E292" s="64"/>
      <c r="F292" s="64"/>
      <c r="G292" s="64"/>
      <c r="H292" s="64"/>
      <c r="I292" s="65"/>
      <c r="J292" s="65"/>
      <c r="K292" s="65"/>
      <c r="L292" s="66"/>
      <c r="M292" s="67"/>
      <c r="N292" s="64"/>
      <c r="O292" s="68" t="str">
        <f t="shared" si="1"/>
        <v/>
      </c>
      <c r="P292" s="68">
        <f t="shared" si="4"/>
        <v>-1.23135</v>
      </c>
    </row>
    <row r="293">
      <c r="A293" s="64">
        <f t="shared" si="3"/>
        <v>292</v>
      </c>
      <c r="B293" s="64"/>
      <c r="C293" s="64"/>
      <c r="D293" s="64"/>
      <c r="E293" s="64"/>
      <c r="F293" s="64"/>
      <c r="G293" s="64"/>
      <c r="H293" s="64"/>
      <c r="I293" s="65"/>
      <c r="J293" s="65"/>
      <c r="K293" s="65"/>
      <c r="L293" s="66"/>
      <c r="M293" s="67"/>
      <c r="N293" s="64"/>
      <c r="O293" s="68" t="str">
        <f t="shared" si="1"/>
        <v/>
      </c>
      <c r="P293" s="68">
        <f t="shared" si="4"/>
        <v>-1.23135</v>
      </c>
    </row>
    <row r="294">
      <c r="A294" s="64">
        <f t="shared" si="3"/>
        <v>293</v>
      </c>
      <c r="B294" s="64"/>
      <c r="C294" s="64"/>
      <c r="D294" s="64"/>
      <c r="E294" s="64"/>
      <c r="F294" s="64"/>
      <c r="G294" s="64"/>
      <c r="H294" s="64"/>
      <c r="I294" s="65"/>
      <c r="J294" s="65"/>
      <c r="K294" s="65"/>
      <c r="L294" s="66"/>
      <c r="M294" s="67"/>
      <c r="N294" s="64"/>
      <c r="O294" s="68" t="str">
        <f t="shared" si="1"/>
        <v/>
      </c>
      <c r="P294" s="68">
        <f t="shared" si="4"/>
        <v>-1.23135</v>
      </c>
    </row>
    <row r="295">
      <c r="A295" s="64">
        <f t="shared" si="3"/>
        <v>294</v>
      </c>
      <c r="B295" s="64"/>
      <c r="C295" s="64"/>
      <c r="D295" s="64"/>
      <c r="E295" s="64"/>
      <c r="F295" s="64"/>
      <c r="G295" s="64"/>
      <c r="H295" s="64"/>
      <c r="I295" s="65"/>
      <c r="J295" s="65"/>
      <c r="K295" s="65"/>
      <c r="L295" s="66"/>
      <c r="M295" s="67"/>
      <c r="N295" s="64"/>
      <c r="O295" s="68" t="str">
        <f t="shared" si="1"/>
        <v/>
      </c>
      <c r="P295" s="68">
        <f t="shared" si="4"/>
        <v>-1.23135</v>
      </c>
    </row>
    <row r="296">
      <c r="A296" s="64">
        <f t="shared" si="3"/>
        <v>295</v>
      </c>
      <c r="B296" s="64"/>
      <c r="C296" s="64"/>
      <c r="D296" s="64"/>
      <c r="E296" s="64"/>
      <c r="F296" s="64"/>
      <c r="G296" s="64"/>
      <c r="H296" s="64"/>
      <c r="I296" s="65"/>
      <c r="J296" s="65"/>
      <c r="K296" s="65"/>
      <c r="L296" s="66"/>
      <c r="M296" s="67"/>
      <c r="N296" s="64"/>
      <c r="O296" s="68" t="str">
        <f t="shared" si="1"/>
        <v/>
      </c>
      <c r="P296" s="68">
        <f t="shared" si="4"/>
        <v>-1.23135</v>
      </c>
    </row>
    <row r="297">
      <c r="A297" s="64">
        <f t="shared" si="3"/>
        <v>296</v>
      </c>
      <c r="B297" s="64"/>
      <c r="C297" s="64"/>
      <c r="D297" s="64"/>
      <c r="E297" s="64"/>
      <c r="F297" s="64"/>
      <c r="G297" s="64"/>
      <c r="H297" s="64"/>
      <c r="I297" s="65"/>
      <c r="J297" s="65"/>
      <c r="K297" s="65"/>
      <c r="L297" s="66"/>
      <c r="M297" s="67"/>
      <c r="N297" s="64"/>
      <c r="O297" s="68" t="str">
        <f t="shared" si="1"/>
        <v/>
      </c>
      <c r="P297" s="68">
        <f t="shared" si="4"/>
        <v>-1.23135</v>
      </c>
    </row>
    <row r="298">
      <c r="A298" s="64">
        <f t="shared" si="3"/>
        <v>297</v>
      </c>
      <c r="B298" s="64"/>
      <c r="C298" s="64"/>
      <c r="D298" s="64"/>
      <c r="E298" s="64"/>
      <c r="F298" s="64"/>
      <c r="G298" s="64"/>
      <c r="H298" s="75"/>
      <c r="I298" s="65"/>
      <c r="J298" s="65"/>
      <c r="K298" s="65"/>
      <c r="L298" s="66"/>
      <c r="M298" s="67"/>
      <c r="N298" s="64"/>
      <c r="O298" s="68" t="str">
        <f t="shared" si="1"/>
        <v/>
      </c>
      <c r="P298" s="68">
        <f t="shared" si="4"/>
        <v>-1.23135</v>
      </c>
    </row>
    <row r="299">
      <c r="A299" s="64">
        <f t="shared" si="3"/>
        <v>298</v>
      </c>
      <c r="B299" s="64"/>
      <c r="C299" s="64"/>
      <c r="D299" s="64"/>
      <c r="E299" s="64"/>
      <c r="F299" s="64"/>
      <c r="G299" s="64"/>
      <c r="H299" s="75"/>
      <c r="I299" s="65"/>
      <c r="J299" s="65"/>
      <c r="K299" s="65"/>
      <c r="L299" s="66"/>
      <c r="M299" s="67"/>
      <c r="N299" s="64"/>
      <c r="O299" s="68" t="str">
        <f t="shared" si="1"/>
        <v/>
      </c>
      <c r="P299" s="68">
        <f t="shared" si="4"/>
        <v>-1.23135</v>
      </c>
    </row>
    <row r="300">
      <c r="A300" s="64">
        <f t="shared" si="3"/>
        <v>299</v>
      </c>
      <c r="B300" s="64"/>
      <c r="C300" s="64"/>
      <c r="D300" s="64"/>
      <c r="E300" s="64"/>
      <c r="F300" s="64"/>
      <c r="G300" s="64"/>
      <c r="H300" s="75"/>
      <c r="I300" s="65"/>
      <c r="J300" s="65"/>
      <c r="K300" s="65"/>
      <c r="L300" s="66"/>
      <c r="M300" s="67"/>
      <c r="N300" s="64"/>
      <c r="O300" s="68" t="str">
        <f t="shared" si="1"/>
        <v/>
      </c>
      <c r="P300" s="68">
        <f t="shared" si="4"/>
        <v>-1.23135</v>
      </c>
    </row>
    <row r="301">
      <c r="A301" s="64">
        <f t="shared" si="3"/>
        <v>300</v>
      </c>
      <c r="B301" s="64"/>
      <c r="C301" s="64"/>
      <c r="D301" s="64"/>
      <c r="E301" s="64"/>
      <c r="F301" s="64"/>
      <c r="G301" s="64"/>
      <c r="H301" s="75"/>
      <c r="I301" s="65"/>
      <c r="J301" s="65"/>
      <c r="K301" s="65"/>
      <c r="L301" s="66"/>
      <c r="M301" s="67"/>
      <c r="N301" s="64"/>
      <c r="O301" s="68" t="str">
        <f t="shared" si="1"/>
        <v/>
      </c>
      <c r="P301" s="68">
        <f t="shared" si="4"/>
        <v>-1.23135</v>
      </c>
    </row>
    <row r="302">
      <c r="A302" s="64">
        <f t="shared" si="3"/>
        <v>301</v>
      </c>
      <c r="B302" s="64"/>
      <c r="C302" s="64"/>
      <c r="D302" s="64"/>
      <c r="E302" s="64"/>
      <c r="F302" s="64"/>
      <c r="G302" s="64"/>
      <c r="H302" s="75"/>
      <c r="I302" s="65"/>
      <c r="J302" s="65"/>
      <c r="K302" s="65"/>
      <c r="L302" s="66"/>
      <c r="M302" s="67"/>
      <c r="N302" s="64"/>
      <c r="O302" s="68" t="str">
        <f t="shared" si="1"/>
        <v/>
      </c>
      <c r="P302" s="68">
        <f t="shared" si="4"/>
        <v>-1.23135</v>
      </c>
    </row>
    <row r="303">
      <c r="A303" s="64">
        <f t="shared" si="3"/>
        <v>302</v>
      </c>
      <c r="B303" s="64"/>
      <c r="C303" s="64"/>
      <c r="D303" s="64"/>
      <c r="E303" s="64"/>
      <c r="F303" s="64"/>
      <c r="G303" s="64"/>
      <c r="H303" s="75"/>
      <c r="I303" s="65"/>
      <c r="J303" s="65"/>
      <c r="K303" s="65"/>
      <c r="L303" s="66"/>
      <c r="M303" s="67"/>
      <c r="N303" s="64"/>
      <c r="O303" s="68" t="str">
        <f t="shared" si="1"/>
        <v/>
      </c>
      <c r="P303" s="68">
        <f t="shared" si="4"/>
        <v>-1.23135</v>
      </c>
    </row>
    <row r="304">
      <c r="A304" s="64">
        <f t="shared" si="3"/>
        <v>303</v>
      </c>
      <c r="B304" s="64"/>
      <c r="C304" s="64"/>
      <c r="D304" s="64"/>
      <c r="E304" s="64"/>
      <c r="F304" s="64"/>
      <c r="G304" s="64"/>
      <c r="H304" s="75"/>
      <c r="I304" s="65"/>
      <c r="J304" s="65"/>
      <c r="K304" s="65"/>
      <c r="L304" s="66"/>
      <c r="M304" s="67"/>
      <c r="N304" s="64"/>
      <c r="O304" s="68" t="str">
        <f t="shared" si="1"/>
        <v/>
      </c>
      <c r="P304" s="68">
        <f t="shared" si="4"/>
        <v>-1.23135</v>
      </c>
    </row>
    <row r="305">
      <c r="A305" s="64">
        <f t="shared" si="3"/>
        <v>304</v>
      </c>
      <c r="B305" s="64"/>
      <c r="C305" s="64"/>
      <c r="D305" s="64"/>
      <c r="E305" s="64"/>
      <c r="F305" s="64"/>
      <c r="G305" s="64"/>
      <c r="H305" s="64"/>
      <c r="I305" s="65"/>
      <c r="J305" s="65"/>
      <c r="K305" s="65"/>
      <c r="L305" s="66"/>
      <c r="M305" s="67"/>
      <c r="N305" s="64"/>
      <c r="O305" s="68" t="str">
        <f t="shared" si="1"/>
        <v/>
      </c>
      <c r="P305" s="68">
        <f t="shared" si="4"/>
        <v>-1.23135</v>
      </c>
    </row>
    <row r="306">
      <c r="A306" s="64">
        <f t="shared" si="3"/>
        <v>305</v>
      </c>
      <c r="B306" s="64"/>
      <c r="C306" s="64"/>
      <c r="D306" s="64"/>
      <c r="E306" s="64"/>
      <c r="F306" s="64"/>
      <c r="G306" s="64"/>
      <c r="H306" s="64"/>
      <c r="I306" s="65"/>
      <c r="J306" s="65"/>
      <c r="K306" s="65"/>
      <c r="L306" s="66"/>
      <c r="M306" s="67"/>
      <c r="N306" s="64"/>
      <c r="O306" s="68" t="str">
        <f t="shared" si="1"/>
        <v/>
      </c>
      <c r="P306" s="68">
        <f t="shared" si="4"/>
        <v>-1.23135</v>
      </c>
    </row>
    <row r="307">
      <c r="A307" s="64">
        <f t="shared" si="3"/>
        <v>306</v>
      </c>
      <c r="B307" s="64"/>
      <c r="C307" s="64"/>
      <c r="D307" s="64"/>
      <c r="E307" s="64"/>
      <c r="F307" s="64"/>
      <c r="G307" s="64"/>
      <c r="H307" s="64"/>
      <c r="I307" s="65"/>
      <c r="J307" s="65"/>
      <c r="K307" s="65"/>
      <c r="L307" s="66"/>
      <c r="M307" s="67"/>
      <c r="N307" s="64"/>
      <c r="O307" s="68" t="str">
        <f t="shared" si="1"/>
        <v/>
      </c>
      <c r="P307" s="68">
        <f t="shared" si="4"/>
        <v>-1.23135</v>
      </c>
    </row>
    <row r="308">
      <c r="A308" s="64">
        <f t="shared" si="3"/>
        <v>307</v>
      </c>
      <c r="B308" s="64"/>
      <c r="C308" s="64"/>
      <c r="D308" s="64"/>
      <c r="E308" s="64"/>
      <c r="F308" s="64"/>
      <c r="G308" s="64"/>
      <c r="H308" s="64"/>
      <c r="I308" s="65"/>
      <c r="J308" s="65"/>
      <c r="K308" s="65"/>
      <c r="L308" s="66"/>
      <c r="M308" s="67"/>
      <c r="N308" s="64"/>
      <c r="O308" s="68" t="str">
        <f t="shared" si="1"/>
        <v/>
      </c>
      <c r="P308" s="68">
        <f t="shared" si="4"/>
        <v>-1.23135</v>
      </c>
    </row>
    <row r="309">
      <c r="A309" s="64">
        <f t="shared" si="3"/>
        <v>308</v>
      </c>
      <c r="B309" s="64"/>
      <c r="C309" s="64"/>
      <c r="D309" s="64"/>
      <c r="E309" s="64"/>
      <c r="F309" s="64"/>
      <c r="G309" s="64"/>
      <c r="H309" s="64"/>
      <c r="I309" s="65"/>
      <c r="J309" s="65"/>
      <c r="K309" s="65"/>
      <c r="L309" s="66"/>
      <c r="M309" s="67"/>
      <c r="N309" s="64"/>
      <c r="O309" s="68" t="str">
        <f t="shared" si="1"/>
        <v/>
      </c>
      <c r="P309" s="68">
        <f t="shared" si="4"/>
        <v>-1.23135</v>
      </c>
    </row>
    <row r="310">
      <c r="A310" s="64">
        <f t="shared" si="3"/>
        <v>309</v>
      </c>
      <c r="B310" s="64"/>
      <c r="C310" s="64"/>
      <c r="D310" s="64"/>
      <c r="E310" s="64"/>
      <c r="F310" s="64"/>
      <c r="G310" s="64"/>
      <c r="H310" s="64"/>
      <c r="I310" s="65"/>
      <c r="J310" s="65"/>
      <c r="K310" s="65"/>
      <c r="L310" s="66"/>
      <c r="M310" s="67"/>
      <c r="N310" s="64"/>
      <c r="O310" s="68" t="str">
        <f t="shared" si="1"/>
        <v/>
      </c>
      <c r="P310" s="68">
        <f t="shared" si="4"/>
        <v>-1.23135</v>
      </c>
    </row>
    <row r="311">
      <c r="A311" s="64">
        <f t="shared" si="3"/>
        <v>310</v>
      </c>
      <c r="B311" s="64"/>
      <c r="C311" s="64"/>
      <c r="D311" s="64"/>
      <c r="E311" s="64"/>
      <c r="F311" s="64"/>
      <c r="G311" s="64"/>
      <c r="H311" s="64"/>
      <c r="I311" s="65"/>
      <c r="J311" s="65"/>
      <c r="K311" s="65"/>
      <c r="L311" s="66"/>
      <c r="M311" s="67"/>
      <c r="N311" s="64"/>
      <c r="O311" s="68" t="str">
        <f t="shared" si="1"/>
        <v/>
      </c>
      <c r="P311" s="68">
        <f t="shared" si="4"/>
        <v>-1.23135</v>
      </c>
    </row>
    <row r="312">
      <c r="A312" s="64">
        <f t="shared" si="3"/>
        <v>311</v>
      </c>
      <c r="B312" s="64"/>
      <c r="C312" s="64"/>
      <c r="D312" s="64"/>
      <c r="E312" s="64"/>
      <c r="F312" s="64"/>
      <c r="G312" s="64"/>
      <c r="H312" s="64"/>
      <c r="I312" s="65"/>
      <c r="J312" s="65"/>
      <c r="K312" s="65"/>
      <c r="L312" s="66"/>
      <c r="M312" s="67"/>
      <c r="N312" s="64"/>
      <c r="O312" s="68" t="str">
        <f t="shared" si="1"/>
        <v/>
      </c>
      <c r="P312" s="68">
        <f t="shared" si="4"/>
        <v>-1.23135</v>
      </c>
    </row>
    <row r="313">
      <c r="A313" s="64">
        <f t="shared" si="3"/>
        <v>312</v>
      </c>
      <c r="B313" s="64"/>
      <c r="C313" s="64"/>
      <c r="D313" s="64"/>
      <c r="E313" s="64"/>
      <c r="F313" s="64"/>
      <c r="G313" s="64"/>
      <c r="H313" s="64"/>
      <c r="I313" s="65"/>
      <c r="J313" s="65"/>
      <c r="K313" s="65"/>
      <c r="L313" s="66"/>
      <c r="M313" s="67"/>
      <c r="N313" s="64"/>
      <c r="O313" s="68" t="str">
        <f t="shared" si="1"/>
        <v/>
      </c>
      <c r="P313" s="68">
        <f t="shared" si="4"/>
        <v>-1.23135</v>
      </c>
    </row>
    <row r="314">
      <c r="A314" s="64">
        <f t="shared" si="3"/>
        <v>313</v>
      </c>
      <c r="B314" s="64"/>
      <c r="C314" s="64"/>
      <c r="D314" s="64"/>
      <c r="E314" s="64"/>
      <c r="F314" s="64"/>
      <c r="G314" s="64"/>
      <c r="H314" s="64"/>
      <c r="I314" s="65"/>
      <c r="J314" s="65"/>
      <c r="K314" s="65"/>
      <c r="L314" s="66"/>
      <c r="M314" s="67"/>
      <c r="N314" s="64"/>
      <c r="O314" s="68" t="str">
        <f t="shared" si="1"/>
        <v/>
      </c>
      <c r="P314" s="68">
        <f t="shared" si="4"/>
        <v>-1.23135</v>
      </c>
    </row>
    <row r="315">
      <c r="A315" s="64">
        <f t="shared" si="3"/>
        <v>314</v>
      </c>
      <c r="B315" s="64"/>
      <c r="C315" s="64"/>
      <c r="D315" s="64"/>
      <c r="E315" s="64"/>
      <c r="F315" s="64"/>
      <c r="G315" s="64"/>
      <c r="H315" s="75"/>
      <c r="I315" s="65"/>
      <c r="J315" s="65"/>
      <c r="K315" s="65"/>
      <c r="L315" s="69"/>
      <c r="M315" s="67"/>
      <c r="N315" s="64"/>
      <c r="O315" s="68" t="str">
        <f t="shared" si="1"/>
        <v/>
      </c>
      <c r="P315" s="68">
        <f t="shared" si="4"/>
        <v>-1.23135</v>
      </c>
    </row>
    <row r="316">
      <c r="A316" s="64">
        <f t="shared" si="3"/>
        <v>315</v>
      </c>
      <c r="B316" s="64"/>
      <c r="C316" s="64"/>
      <c r="D316" s="64"/>
      <c r="E316" s="64"/>
      <c r="F316" s="64"/>
      <c r="G316" s="64"/>
      <c r="H316" s="64"/>
      <c r="I316" s="65"/>
      <c r="J316" s="65"/>
      <c r="K316" s="65"/>
      <c r="L316" s="69"/>
      <c r="M316" s="67"/>
      <c r="N316" s="64"/>
      <c r="O316" s="68" t="str">
        <f t="shared" si="1"/>
        <v/>
      </c>
      <c r="P316" s="68">
        <f t="shared" si="4"/>
        <v>-1.23135</v>
      </c>
    </row>
    <row r="317">
      <c r="A317" s="64">
        <f t="shared" si="3"/>
        <v>316</v>
      </c>
      <c r="B317" s="64"/>
      <c r="C317" s="64"/>
      <c r="D317" s="64"/>
      <c r="E317" s="64"/>
      <c r="F317" s="64"/>
      <c r="G317" s="64"/>
      <c r="H317" s="64"/>
      <c r="I317" s="65"/>
      <c r="J317" s="65"/>
      <c r="K317" s="65"/>
      <c r="L317" s="69"/>
      <c r="M317" s="67"/>
      <c r="N317" s="64"/>
      <c r="O317" s="68" t="str">
        <f t="shared" si="1"/>
        <v/>
      </c>
      <c r="P317" s="68">
        <f t="shared" si="4"/>
        <v>-1.23135</v>
      </c>
    </row>
    <row r="318">
      <c r="A318" s="64">
        <f t="shared" si="3"/>
        <v>317</v>
      </c>
      <c r="B318" s="64"/>
      <c r="C318" s="64"/>
      <c r="D318" s="64"/>
      <c r="E318" s="64"/>
      <c r="F318" s="64"/>
      <c r="G318" s="64"/>
      <c r="H318" s="64"/>
      <c r="I318" s="65"/>
      <c r="J318" s="65"/>
      <c r="K318" s="65"/>
      <c r="L318" s="69"/>
      <c r="M318" s="67"/>
      <c r="N318" s="64"/>
      <c r="O318" s="68" t="str">
        <f t="shared" si="1"/>
        <v/>
      </c>
      <c r="P318" s="68">
        <f t="shared" si="4"/>
        <v>-1.23135</v>
      </c>
    </row>
    <row r="319">
      <c r="A319" s="64">
        <f t="shared" si="3"/>
        <v>318</v>
      </c>
      <c r="B319" s="64"/>
      <c r="C319" s="64"/>
      <c r="D319" s="64"/>
      <c r="E319" s="64"/>
      <c r="F319" s="64"/>
      <c r="G319" s="64"/>
      <c r="H319" s="64"/>
      <c r="I319" s="65"/>
      <c r="J319" s="65"/>
      <c r="K319" s="65"/>
      <c r="L319" s="66"/>
      <c r="M319" s="67"/>
      <c r="N319" s="64"/>
      <c r="O319" s="68" t="str">
        <f t="shared" si="1"/>
        <v/>
      </c>
      <c r="P319" s="68">
        <f t="shared" si="4"/>
        <v>-1.23135</v>
      </c>
    </row>
    <row r="320">
      <c r="A320" s="64">
        <f t="shared" si="3"/>
        <v>319</v>
      </c>
      <c r="B320" s="64"/>
      <c r="C320" s="64"/>
      <c r="D320" s="64"/>
      <c r="E320" s="64"/>
      <c r="F320" s="64"/>
      <c r="G320" s="64"/>
      <c r="H320" s="64"/>
      <c r="I320" s="65"/>
      <c r="J320" s="65"/>
      <c r="K320" s="65"/>
      <c r="L320" s="66"/>
      <c r="M320" s="67"/>
      <c r="N320" s="64"/>
      <c r="O320" s="68" t="str">
        <f t="shared" si="1"/>
        <v/>
      </c>
      <c r="P320" s="68">
        <f t="shared" si="4"/>
        <v>-1.23135</v>
      </c>
    </row>
    <row r="321">
      <c r="A321" s="64">
        <f t="shared" si="3"/>
        <v>320</v>
      </c>
      <c r="B321" s="64"/>
      <c r="C321" s="64"/>
      <c r="D321" s="64"/>
      <c r="E321" s="64"/>
      <c r="F321" s="64"/>
      <c r="G321" s="64"/>
      <c r="H321" s="64"/>
      <c r="I321" s="65"/>
      <c r="J321" s="65"/>
      <c r="K321" s="65"/>
      <c r="L321" s="66"/>
      <c r="M321" s="67"/>
      <c r="N321" s="64"/>
      <c r="O321" s="68" t="str">
        <f t="shared" si="1"/>
        <v/>
      </c>
      <c r="P321" s="68">
        <f t="shared" si="4"/>
        <v>-1.23135</v>
      </c>
    </row>
    <row r="322">
      <c r="A322" s="64">
        <f t="shared" si="3"/>
        <v>321</v>
      </c>
      <c r="B322" s="64"/>
      <c r="C322" s="64"/>
      <c r="D322" s="64"/>
      <c r="E322" s="64"/>
      <c r="F322" s="64"/>
      <c r="G322" s="64"/>
      <c r="H322" s="64"/>
      <c r="I322" s="65"/>
      <c r="J322" s="65"/>
      <c r="K322" s="65"/>
      <c r="L322" s="66"/>
      <c r="M322" s="67"/>
      <c r="N322" s="64"/>
      <c r="O322" s="68" t="str">
        <f t="shared" si="1"/>
        <v/>
      </c>
      <c r="P322" s="68">
        <f t="shared" si="4"/>
        <v>-1.23135</v>
      </c>
    </row>
    <row r="323">
      <c r="A323" s="64">
        <f t="shared" si="3"/>
        <v>322</v>
      </c>
      <c r="B323" s="64"/>
      <c r="C323" s="64"/>
      <c r="D323" s="64"/>
      <c r="E323" s="64"/>
      <c r="F323" s="64"/>
      <c r="G323" s="64"/>
      <c r="H323" s="64"/>
      <c r="I323" s="65"/>
      <c r="J323" s="65"/>
      <c r="K323" s="65"/>
      <c r="L323" s="66"/>
      <c r="M323" s="67"/>
      <c r="N323" s="64"/>
      <c r="O323" s="68" t="str">
        <f t="shared" si="1"/>
        <v/>
      </c>
      <c r="P323" s="68">
        <f t="shared" si="4"/>
        <v>-1.23135</v>
      </c>
    </row>
    <row r="324">
      <c r="A324" s="64">
        <f t="shared" si="3"/>
        <v>323</v>
      </c>
      <c r="B324" s="64"/>
      <c r="C324" s="64"/>
      <c r="D324" s="64"/>
      <c r="E324" s="64"/>
      <c r="F324" s="64"/>
      <c r="G324" s="64"/>
      <c r="H324" s="64"/>
      <c r="I324" s="65"/>
      <c r="J324" s="65"/>
      <c r="K324" s="65"/>
      <c r="L324" s="66"/>
      <c r="M324" s="67"/>
      <c r="N324" s="64"/>
      <c r="O324" s="68" t="str">
        <f t="shared" si="1"/>
        <v/>
      </c>
      <c r="P324" s="68">
        <f t="shared" si="4"/>
        <v>-1.23135</v>
      </c>
    </row>
    <row r="325">
      <c r="A325" s="64">
        <f t="shared" si="3"/>
        <v>324</v>
      </c>
      <c r="B325" s="64"/>
      <c r="C325" s="64"/>
      <c r="D325" s="64"/>
      <c r="E325" s="64"/>
      <c r="F325" s="64"/>
      <c r="G325" s="64"/>
      <c r="H325" s="64"/>
      <c r="I325" s="65"/>
      <c r="J325" s="65"/>
      <c r="K325" s="65"/>
      <c r="L325" s="66"/>
      <c r="M325" s="67"/>
      <c r="N325" s="64"/>
      <c r="O325" s="68" t="str">
        <f t="shared" si="1"/>
        <v/>
      </c>
      <c r="P325" s="68">
        <f t="shared" si="4"/>
        <v>-1.23135</v>
      </c>
    </row>
    <row r="326">
      <c r="A326" s="64">
        <f t="shared" si="3"/>
        <v>325</v>
      </c>
      <c r="B326" s="64"/>
      <c r="C326" s="64"/>
      <c r="D326" s="64"/>
      <c r="E326" s="64"/>
      <c r="F326" s="64"/>
      <c r="G326" s="64"/>
      <c r="H326" s="64"/>
      <c r="I326" s="65"/>
      <c r="J326" s="65"/>
      <c r="K326" s="65"/>
      <c r="L326" s="66"/>
      <c r="M326" s="67"/>
      <c r="N326" s="64"/>
      <c r="O326" s="68" t="str">
        <f t="shared" si="1"/>
        <v/>
      </c>
      <c r="P326" s="68">
        <f t="shared" si="4"/>
        <v>-1.23135</v>
      </c>
    </row>
    <row r="327">
      <c r="A327" s="64">
        <f t="shared" si="3"/>
        <v>326</v>
      </c>
      <c r="B327" s="64"/>
      <c r="C327" s="64"/>
      <c r="D327" s="64"/>
      <c r="E327" s="64"/>
      <c r="F327" s="64"/>
      <c r="G327" s="64"/>
      <c r="H327" s="64"/>
      <c r="I327" s="65"/>
      <c r="J327" s="65"/>
      <c r="K327" s="65"/>
      <c r="L327" s="66"/>
      <c r="M327" s="67"/>
      <c r="N327" s="64"/>
      <c r="O327" s="68" t="str">
        <f t="shared" si="1"/>
        <v/>
      </c>
      <c r="P327" s="68">
        <f t="shared" si="4"/>
        <v>-1.23135</v>
      </c>
    </row>
    <row r="328">
      <c r="A328" s="64">
        <f t="shared" si="3"/>
        <v>327</v>
      </c>
      <c r="B328" s="64"/>
      <c r="C328" s="64"/>
      <c r="D328" s="64"/>
      <c r="E328" s="64"/>
      <c r="F328" s="64"/>
      <c r="G328" s="64"/>
      <c r="H328" s="64"/>
      <c r="I328" s="65"/>
      <c r="J328" s="65"/>
      <c r="K328" s="65"/>
      <c r="L328" s="66"/>
      <c r="M328" s="67"/>
      <c r="N328" s="64"/>
      <c r="O328" s="68" t="str">
        <f t="shared" si="1"/>
        <v/>
      </c>
      <c r="P328" s="68">
        <f t="shared" si="4"/>
        <v>-1.23135</v>
      </c>
    </row>
    <row r="329">
      <c r="A329" s="64">
        <f t="shared" si="3"/>
        <v>328</v>
      </c>
      <c r="B329" s="64"/>
      <c r="C329" s="64"/>
      <c r="D329" s="64"/>
      <c r="E329" s="64"/>
      <c r="F329" s="64"/>
      <c r="G329" s="64"/>
      <c r="H329" s="64"/>
      <c r="I329" s="65"/>
      <c r="J329" s="65"/>
      <c r="K329" s="65"/>
      <c r="L329" s="66"/>
      <c r="M329" s="67"/>
      <c r="N329" s="64"/>
      <c r="O329" s="68" t="str">
        <f t="shared" si="1"/>
        <v/>
      </c>
      <c r="P329" s="68">
        <f t="shared" si="4"/>
        <v>-1.23135</v>
      </c>
    </row>
    <row r="330">
      <c r="A330" s="64">
        <f t="shared" si="3"/>
        <v>329</v>
      </c>
      <c r="B330" s="64"/>
      <c r="C330" s="64"/>
      <c r="D330" s="64"/>
      <c r="E330" s="64"/>
      <c r="F330" s="64"/>
      <c r="G330" s="64"/>
      <c r="H330" s="64"/>
      <c r="I330" s="65"/>
      <c r="J330" s="65"/>
      <c r="K330" s="65"/>
      <c r="L330" s="66"/>
      <c r="M330" s="67"/>
      <c r="N330" s="64"/>
      <c r="O330" s="68" t="str">
        <f t="shared" si="1"/>
        <v/>
      </c>
      <c r="P330" s="68">
        <f t="shared" si="4"/>
        <v>-1.23135</v>
      </c>
    </row>
    <row r="331">
      <c r="A331" s="64">
        <f t="shared" si="3"/>
        <v>330</v>
      </c>
      <c r="B331" s="64"/>
      <c r="C331" s="64"/>
      <c r="D331" s="64"/>
      <c r="E331" s="64"/>
      <c r="F331" s="64"/>
      <c r="G331" s="64"/>
      <c r="H331" s="64"/>
      <c r="I331" s="65"/>
      <c r="J331" s="65"/>
      <c r="K331" s="65"/>
      <c r="L331" s="66"/>
      <c r="M331" s="67"/>
      <c r="N331" s="64"/>
      <c r="O331" s="68" t="str">
        <f t="shared" si="1"/>
        <v/>
      </c>
      <c r="P331" s="68">
        <f t="shared" si="4"/>
        <v>-1.23135</v>
      </c>
    </row>
    <row r="332">
      <c r="A332" s="64">
        <f t="shared" si="3"/>
        <v>331</v>
      </c>
      <c r="B332" s="64"/>
      <c r="C332" s="64"/>
      <c r="D332" s="64"/>
      <c r="E332" s="64"/>
      <c r="F332" s="64"/>
      <c r="G332" s="64"/>
      <c r="H332" s="64"/>
      <c r="I332" s="65"/>
      <c r="J332" s="65"/>
      <c r="K332" s="65"/>
      <c r="L332" s="88"/>
      <c r="M332" s="67"/>
      <c r="N332" s="64"/>
      <c r="O332" s="68" t="str">
        <f t="shared" si="1"/>
        <v/>
      </c>
      <c r="P332" s="68">
        <f t="shared" si="4"/>
        <v>-1.23135</v>
      </c>
    </row>
    <row r="333">
      <c r="A333" s="64">
        <f t="shared" si="3"/>
        <v>332</v>
      </c>
      <c r="B333" s="64"/>
      <c r="C333" s="64"/>
      <c r="D333" s="64"/>
      <c r="E333" s="64"/>
      <c r="F333" s="64"/>
      <c r="G333" s="64"/>
      <c r="H333" s="64"/>
      <c r="I333" s="65"/>
      <c r="J333" s="65"/>
      <c r="K333" s="65"/>
      <c r="L333" s="88"/>
      <c r="M333" s="67"/>
      <c r="N333" s="64"/>
      <c r="O333" s="68" t="str">
        <f t="shared" si="1"/>
        <v/>
      </c>
      <c r="P333" s="68">
        <f t="shared" si="4"/>
        <v>-1.23135</v>
      </c>
    </row>
    <row r="334">
      <c r="A334" s="64">
        <f t="shared" si="3"/>
        <v>333</v>
      </c>
      <c r="B334" s="64"/>
      <c r="C334" s="64"/>
      <c r="D334" s="64"/>
      <c r="E334" s="64"/>
      <c r="F334" s="64"/>
      <c r="G334" s="64"/>
      <c r="H334" s="64"/>
      <c r="I334" s="65"/>
      <c r="J334" s="65"/>
      <c r="K334" s="65"/>
      <c r="L334" s="88"/>
      <c r="M334" s="67"/>
      <c r="N334" s="64"/>
      <c r="O334" s="68" t="str">
        <f t="shared" si="1"/>
        <v/>
      </c>
      <c r="P334" s="68">
        <f t="shared" si="4"/>
        <v>-1.23135</v>
      </c>
    </row>
    <row r="335">
      <c r="A335" s="64">
        <f t="shared" si="3"/>
        <v>334</v>
      </c>
      <c r="B335" s="64"/>
      <c r="C335" s="64"/>
      <c r="D335" s="64"/>
      <c r="E335" s="64"/>
      <c r="F335" s="64"/>
      <c r="G335" s="64"/>
      <c r="H335" s="64"/>
      <c r="I335" s="65"/>
      <c r="J335" s="65"/>
      <c r="K335" s="65"/>
      <c r="L335" s="88"/>
      <c r="M335" s="67"/>
      <c r="N335" s="64"/>
      <c r="O335" s="68" t="str">
        <f t="shared" si="1"/>
        <v/>
      </c>
      <c r="P335" s="68">
        <f t="shared" si="4"/>
        <v>-1.23135</v>
      </c>
    </row>
    <row r="336">
      <c r="A336" s="64">
        <f t="shared" si="3"/>
        <v>335</v>
      </c>
      <c r="B336" s="64"/>
      <c r="C336" s="64"/>
      <c r="D336" s="64"/>
      <c r="E336" s="64"/>
      <c r="F336" s="64"/>
      <c r="G336" s="64"/>
      <c r="H336" s="64"/>
      <c r="I336" s="65"/>
      <c r="J336" s="65"/>
      <c r="K336" s="65"/>
      <c r="L336" s="88"/>
      <c r="M336" s="67"/>
      <c r="N336" s="64"/>
      <c r="O336" s="68" t="str">
        <f t="shared" si="1"/>
        <v/>
      </c>
      <c r="P336" s="68">
        <f t="shared" si="4"/>
        <v>-1.23135</v>
      </c>
    </row>
    <row r="337">
      <c r="A337" s="64">
        <f t="shared" si="3"/>
        <v>336</v>
      </c>
      <c r="B337" s="64"/>
      <c r="C337" s="64"/>
      <c r="D337" s="64"/>
      <c r="E337" s="64"/>
      <c r="F337" s="64"/>
      <c r="G337" s="64"/>
      <c r="H337" s="64"/>
      <c r="I337" s="64"/>
      <c r="J337" s="65"/>
      <c r="K337" s="65"/>
      <c r="L337" s="88"/>
      <c r="M337" s="67"/>
      <c r="N337" s="64"/>
      <c r="O337" s="68" t="str">
        <f t="shared" si="1"/>
        <v/>
      </c>
      <c r="P337" s="68">
        <f t="shared" si="4"/>
        <v>-1.23135</v>
      </c>
    </row>
    <row r="338">
      <c r="A338" s="64">
        <f t="shared" si="3"/>
        <v>337</v>
      </c>
      <c r="B338" s="64"/>
      <c r="C338" s="64"/>
      <c r="D338" s="64"/>
      <c r="E338" s="64"/>
      <c r="F338" s="64"/>
      <c r="G338" s="64"/>
      <c r="H338" s="64"/>
      <c r="I338" s="65"/>
      <c r="J338" s="65"/>
      <c r="K338" s="65"/>
      <c r="L338" s="88"/>
      <c r="M338" s="67"/>
      <c r="N338" s="64"/>
      <c r="O338" s="68" t="str">
        <f t="shared" si="1"/>
        <v/>
      </c>
      <c r="P338" s="68">
        <f t="shared" si="4"/>
        <v>-1.23135</v>
      </c>
    </row>
    <row r="339">
      <c r="A339" s="64">
        <f t="shared" si="3"/>
        <v>338</v>
      </c>
      <c r="B339" s="64"/>
      <c r="C339" s="64"/>
      <c r="D339" s="64"/>
      <c r="E339" s="64"/>
      <c r="F339" s="64"/>
      <c r="G339" s="64"/>
      <c r="H339" s="64"/>
      <c r="I339" s="65"/>
      <c r="J339" s="65"/>
      <c r="K339" s="65"/>
      <c r="L339" s="88"/>
      <c r="M339" s="67"/>
      <c r="N339" s="64"/>
      <c r="O339" s="68" t="str">
        <f t="shared" si="1"/>
        <v/>
      </c>
      <c r="P339" s="68">
        <f t="shared" si="4"/>
        <v>-1.23135</v>
      </c>
    </row>
    <row r="340">
      <c r="A340" s="64">
        <f t="shared" si="3"/>
        <v>339</v>
      </c>
      <c r="B340" s="64"/>
      <c r="C340" s="64"/>
      <c r="D340" s="64"/>
      <c r="E340" s="64"/>
      <c r="F340" s="64"/>
      <c r="G340" s="64"/>
      <c r="H340" s="64"/>
      <c r="I340" s="65"/>
      <c r="J340" s="65"/>
      <c r="K340" s="65"/>
      <c r="L340" s="88"/>
      <c r="M340" s="67"/>
      <c r="N340" s="64"/>
      <c r="O340" s="68" t="str">
        <f t="shared" si="1"/>
        <v/>
      </c>
      <c r="P340" s="68">
        <f t="shared" si="4"/>
        <v>-1.23135</v>
      </c>
    </row>
    <row r="341">
      <c r="A341" s="64">
        <f t="shared" si="3"/>
        <v>340</v>
      </c>
      <c r="B341" s="64"/>
      <c r="C341" s="64"/>
      <c r="D341" s="64"/>
      <c r="E341" s="64"/>
      <c r="F341" s="64"/>
      <c r="G341" s="64"/>
      <c r="H341" s="64"/>
      <c r="I341" s="65"/>
      <c r="J341" s="65"/>
      <c r="K341" s="65"/>
      <c r="L341" s="88"/>
      <c r="M341" s="67"/>
      <c r="N341" s="64"/>
      <c r="O341" s="68" t="str">
        <f t="shared" si="1"/>
        <v/>
      </c>
      <c r="P341" s="68">
        <f t="shared" si="4"/>
        <v>-1.23135</v>
      </c>
    </row>
    <row r="342">
      <c r="A342" s="64">
        <f t="shared" si="3"/>
        <v>341</v>
      </c>
      <c r="B342" s="64"/>
      <c r="C342" s="64"/>
      <c r="D342" s="64"/>
      <c r="E342" s="64"/>
      <c r="F342" s="64"/>
      <c r="G342" s="64"/>
      <c r="H342" s="64"/>
      <c r="I342" s="65"/>
      <c r="J342" s="65"/>
      <c r="K342" s="65"/>
      <c r="L342" s="88"/>
      <c r="M342" s="67"/>
      <c r="N342" s="64"/>
      <c r="O342" s="68" t="str">
        <f t="shared" si="1"/>
        <v/>
      </c>
      <c r="P342" s="68">
        <f t="shared" si="4"/>
        <v>-1.23135</v>
      </c>
    </row>
    <row r="343">
      <c r="A343" s="64">
        <f t="shared" si="3"/>
        <v>342</v>
      </c>
      <c r="B343" s="64"/>
      <c r="C343" s="64"/>
      <c r="D343" s="64"/>
      <c r="E343" s="64"/>
      <c r="F343" s="64"/>
      <c r="G343" s="64"/>
      <c r="H343" s="64"/>
      <c r="I343" s="65"/>
      <c r="J343" s="65"/>
      <c r="K343" s="65"/>
      <c r="L343" s="88"/>
      <c r="M343" s="67"/>
      <c r="N343" s="64"/>
      <c r="O343" s="68" t="str">
        <f t="shared" si="1"/>
        <v/>
      </c>
      <c r="P343" s="68">
        <f t="shared" si="4"/>
        <v>-1.23135</v>
      </c>
    </row>
    <row r="344">
      <c r="A344" s="64">
        <f t="shared" si="3"/>
        <v>343</v>
      </c>
      <c r="B344" s="64"/>
      <c r="C344" s="64"/>
      <c r="D344" s="64"/>
      <c r="E344" s="64"/>
      <c r="F344" s="64"/>
      <c r="G344" s="64"/>
      <c r="H344" s="64"/>
      <c r="I344" s="65"/>
      <c r="J344" s="65"/>
      <c r="K344" s="65"/>
      <c r="L344" s="88"/>
      <c r="M344" s="67"/>
      <c r="N344" s="64"/>
      <c r="O344" s="68" t="str">
        <f t="shared" si="1"/>
        <v/>
      </c>
      <c r="P344" s="68">
        <f t="shared" si="4"/>
        <v>-1.23135</v>
      </c>
    </row>
    <row r="345">
      <c r="A345" s="64">
        <f t="shared" si="3"/>
        <v>344</v>
      </c>
      <c r="B345" s="64"/>
      <c r="C345" s="64"/>
      <c r="D345" s="64"/>
      <c r="E345" s="64"/>
      <c r="F345" s="64"/>
      <c r="G345" s="64"/>
      <c r="H345" s="64"/>
      <c r="I345" s="65"/>
      <c r="J345" s="65"/>
      <c r="K345" s="65"/>
      <c r="L345" s="88"/>
      <c r="M345" s="67"/>
      <c r="N345" s="64"/>
      <c r="O345" s="68" t="str">
        <f t="shared" si="1"/>
        <v/>
      </c>
      <c r="P345" s="68">
        <f t="shared" si="4"/>
        <v>-1.23135</v>
      </c>
    </row>
    <row r="346">
      <c r="A346" s="64">
        <f t="shared" si="3"/>
        <v>345</v>
      </c>
      <c r="B346" s="64"/>
      <c r="C346" s="64"/>
      <c r="D346" s="64"/>
      <c r="E346" s="64"/>
      <c r="F346" s="64"/>
      <c r="G346" s="64"/>
      <c r="H346" s="64"/>
      <c r="I346" s="65"/>
      <c r="J346" s="65"/>
      <c r="K346" s="65"/>
      <c r="L346" s="88"/>
      <c r="M346" s="67"/>
      <c r="N346" s="64"/>
      <c r="O346" s="68" t="str">
        <f t="shared" si="1"/>
        <v/>
      </c>
      <c r="P346" s="68">
        <f t="shared" si="4"/>
        <v>-1.23135</v>
      </c>
    </row>
    <row r="347">
      <c r="A347" s="64">
        <f t="shared" si="3"/>
        <v>346</v>
      </c>
      <c r="B347" s="64"/>
      <c r="C347" s="64"/>
      <c r="D347" s="64"/>
      <c r="E347" s="64"/>
      <c r="F347" s="64"/>
      <c r="G347" s="64"/>
      <c r="H347" s="64"/>
      <c r="I347" s="65"/>
      <c r="J347" s="65"/>
      <c r="K347" s="65"/>
      <c r="L347" s="88"/>
      <c r="M347" s="67"/>
      <c r="N347" s="64"/>
      <c r="O347" s="68" t="str">
        <f t="shared" si="1"/>
        <v/>
      </c>
      <c r="P347" s="68">
        <f t="shared" si="4"/>
        <v>-1.23135</v>
      </c>
    </row>
    <row r="348">
      <c r="A348" s="64">
        <f t="shared" si="3"/>
        <v>347</v>
      </c>
      <c r="B348" s="64"/>
      <c r="C348" s="64"/>
      <c r="D348" s="64"/>
      <c r="E348" s="64"/>
      <c r="F348" s="64"/>
      <c r="G348" s="64"/>
      <c r="H348" s="64"/>
      <c r="I348" s="65"/>
      <c r="J348" s="65"/>
      <c r="K348" s="65"/>
      <c r="L348" s="88"/>
      <c r="M348" s="67"/>
      <c r="N348" s="64"/>
      <c r="O348" s="68" t="str">
        <f t="shared" si="1"/>
        <v/>
      </c>
      <c r="P348" s="68">
        <f t="shared" si="4"/>
        <v>-1.23135</v>
      </c>
    </row>
    <row r="349">
      <c r="A349" s="64">
        <f t="shared" si="3"/>
        <v>348</v>
      </c>
      <c r="B349" s="64"/>
      <c r="C349" s="64"/>
      <c r="D349" s="64"/>
      <c r="E349" s="64"/>
      <c r="F349" s="64"/>
      <c r="G349" s="64"/>
      <c r="H349" s="64"/>
      <c r="I349" s="65"/>
      <c r="J349" s="65"/>
      <c r="K349" s="65"/>
      <c r="L349" s="88"/>
      <c r="M349" s="67"/>
      <c r="N349" s="64"/>
      <c r="O349" s="68" t="str">
        <f t="shared" si="1"/>
        <v/>
      </c>
      <c r="P349" s="68">
        <f t="shared" si="4"/>
        <v>-1.23135</v>
      </c>
    </row>
    <row r="350">
      <c r="A350" s="64">
        <f t="shared" si="3"/>
        <v>349</v>
      </c>
      <c r="B350" s="64"/>
      <c r="C350" s="64"/>
      <c r="D350" s="64"/>
      <c r="E350" s="64"/>
      <c r="F350" s="64"/>
      <c r="G350" s="64"/>
      <c r="H350" s="64"/>
      <c r="I350" s="65"/>
      <c r="J350" s="65"/>
      <c r="K350" s="65"/>
      <c r="L350" s="88"/>
      <c r="M350" s="67"/>
      <c r="N350" s="64"/>
      <c r="O350" s="68" t="str">
        <f t="shared" si="1"/>
        <v/>
      </c>
      <c r="P350" s="68">
        <f t="shared" si="4"/>
        <v>-1.23135</v>
      </c>
    </row>
    <row r="351">
      <c r="A351" s="64">
        <f t="shared" si="3"/>
        <v>350</v>
      </c>
      <c r="B351" s="64"/>
      <c r="C351" s="64"/>
      <c r="D351" s="64"/>
      <c r="E351" s="64"/>
      <c r="F351" s="64"/>
      <c r="G351" s="64"/>
      <c r="H351" s="64"/>
      <c r="I351" s="65"/>
      <c r="J351" s="65"/>
      <c r="K351" s="65"/>
      <c r="L351" s="88"/>
      <c r="M351" s="67"/>
      <c r="N351" s="64"/>
      <c r="O351" s="68" t="str">
        <f t="shared" si="1"/>
        <v/>
      </c>
      <c r="P351" s="68">
        <f t="shared" si="4"/>
        <v>-1.23135</v>
      </c>
    </row>
    <row r="352">
      <c r="A352" s="64">
        <f t="shared" si="3"/>
        <v>351</v>
      </c>
      <c r="B352" s="64"/>
      <c r="C352" s="64"/>
      <c r="D352" s="64"/>
      <c r="E352" s="64"/>
      <c r="F352" s="64"/>
      <c r="G352" s="64"/>
      <c r="H352" s="64"/>
      <c r="I352" s="65"/>
      <c r="J352" s="65"/>
      <c r="K352" s="65"/>
      <c r="L352" s="88"/>
      <c r="M352" s="67"/>
      <c r="N352" s="64"/>
      <c r="O352" s="68" t="str">
        <f t="shared" si="1"/>
        <v/>
      </c>
      <c r="P352" s="68">
        <f t="shared" si="4"/>
        <v>-1.23135</v>
      </c>
    </row>
    <row r="353">
      <c r="A353" s="64">
        <f t="shared" si="3"/>
        <v>352</v>
      </c>
      <c r="B353" s="64"/>
      <c r="C353" s="64"/>
      <c r="D353" s="64"/>
      <c r="E353" s="64"/>
      <c r="F353" s="64"/>
      <c r="G353" s="64"/>
      <c r="H353" s="64"/>
      <c r="I353" s="65"/>
      <c r="J353" s="65"/>
      <c r="K353" s="65"/>
      <c r="L353" s="66"/>
      <c r="M353" s="67"/>
      <c r="N353" s="64"/>
      <c r="O353" s="68" t="str">
        <f t="shared" si="1"/>
        <v/>
      </c>
      <c r="P353" s="68">
        <f t="shared" si="4"/>
        <v>-1.23135</v>
      </c>
    </row>
    <row r="354">
      <c r="A354" s="64">
        <f t="shared" si="3"/>
        <v>353</v>
      </c>
      <c r="B354" s="64"/>
      <c r="C354" s="64"/>
      <c r="D354" s="64"/>
      <c r="E354" s="64"/>
      <c r="F354" s="64"/>
      <c r="G354" s="64"/>
      <c r="H354" s="64"/>
      <c r="I354" s="65"/>
      <c r="J354" s="65"/>
      <c r="K354" s="65"/>
      <c r="L354" s="66"/>
      <c r="M354" s="67"/>
      <c r="N354" s="64"/>
      <c r="O354" s="68" t="str">
        <f t="shared" si="1"/>
        <v/>
      </c>
      <c r="P354" s="68">
        <f t="shared" si="4"/>
        <v>-1.23135</v>
      </c>
    </row>
    <row r="355">
      <c r="A355" s="64">
        <f t="shared" si="3"/>
        <v>354</v>
      </c>
      <c r="B355" s="64"/>
      <c r="C355" s="64"/>
      <c r="D355" s="64"/>
      <c r="E355" s="64"/>
      <c r="F355" s="64"/>
      <c r="G355" s="64"/>
      <c r="H355" s="64"/>
      <c r="I355" s="65"/>
      <c r="J355" s="65"/>
      <c r="K355" s="65"/>
      <c r="L355" s="66"/>
      <c r="M355" s="67"/>
      <c r="N355" s="64"/>
      <c r="O355" s="68" t="str">
        <f t="shared" si="1"/>
        <v/>
      </c>
      <c r="P355" s="68">
        <f t="shared" si="4"/>
        <v>-1.23135</v>
      </c>
    </row>
    <row r="356">
      <c r="A356" s="64">
        <f t="shared" si="3"/>
        <v>355</v>
      </c>
      <c r="B356" s="64"/>
      <c r="C356" s="64"/>
      <c r="D356" s="64"/>
      <c r="E356" s="64"/>
      <c r="F356" s="64"/>
      <c r="G356" s="64"/>
      <c r="H356" s="64"/>
      <c r="I356" s="64"/>
      <c r="J356" s="65"/>
      <c r="K356" s="65"/>
      <c r="L356" s="66"/>
      <c r="M356" s="67"/>
      <c r="N356" s="64"/>
      <c r="O356" s="68" t="str">
        <f t="shared" si="1"/>
        <v/>
      </c>
      <c r="P356" s="68">
        <f t="shared" si="4"/>
        <v>-1.23135</v>
      </c>
    </row>
    <row r="357">
      <c r="A357" s="64">
        <f t="shared" si="3"/>
        <v>356</v>
      </c>
      <c r="B357" s="64"/>
      <c r="C357" s="64"/>
      <c r="D357" s="64"/>
      <c r="E357" s="64"/>
      <c r="F357" s="64"/>
      <c r="G357" s="64"/>
      <c r="H357" s="64"/>
      <c r="I357" s="64"/>
      <c r="J357" s="65"/>
      <c r="K357" s="65"/>
      <c r="L357" s="66"/>
      <c r="M357" s="67"/>
      <c r="N357" s="64"/>
      <c r="O357" s="68" t="str">
        <f t="shared" si="1"/>
        <v/>
      </c>
      <c r="P357" s="68">
        <f t="shared" si="4"/>
        <v>-1.23135</v>
      </c>
    </row>
    <row r="358">
      <c r="A358" s="64">
        <f t="shared" si="3"/>
        <v>357</v>
      </c>
      <c r="B358" s="64"/>
      <c r="C358" s="64"/>
      <c r="D358" s="64"/>
      <c r="E358" s="64"/>
      <c r="F358" s="64"/>
      <c r="G358" s="64"/>
      <c r="H358" s="64"/>
      <c r="I358" s="65"/>
      <c r="J358" s="65"/>
      <c r="K358" s="65"/>
      <c r="L358" s="66"/>
      <c r="M358" s="67"/>
      <c r="N358" s="64"/>
      <c r="O358" s="68" t="str">
        <f t="shared" si="1"/>
        <v/>
      </c>
      <c r="P358" s="68">
        <f t="shared" si="4"/>
        <v>-1.23135</v>
      </c>
    </row>
    <row r="359">
      <c r="A359" s="64">
        <f t="shared" si="3"/>
        <v>358</v>
      </c>
      <c r="B359" s="64"/>
      <c r="C359" s="64"/>
      <c r="D359" s="64"/>
      <c r="E359" s="64"/>
      <c r="F359" s="64"/>
      <c r="G359" s="64"/>
      <c r="H359" s="64"/>
      <c r="I359" s="65"/>
      <c r="J359" s="65"/>
      <c r="K359" s="65"/>
      <c r="L359" s="66"/>
      <c r="M359" s="67"/>
      <c r="N359" s="64"/>
      <c r="O359" s="68" t="str">
        <f t="shared" si="1"/>
        <v/>
      </c>
      <c r="P359" s="68">
        <f t="shared" si="4"/>
        <v>-1.23135</v>
      </c>
    </row>
    <row r="360">
      <c r="A360" s="64">
        <f t="shared" si="3"/>
        <v>359</v>
      </c>
      <c r="B360" s="64"/>
      <c r="C360" s="64"/>
      <c r="D360" s="64"/>
      <c r="E360" s="64"/>
      <c r="F360" s="64"/>
      <c r="G360" s="64"/>
      <c r="H360" s="64"/>
      <c r="I360" s="65"/>
      <c r="J360" s="65"/>
      <c r="K360" s="65"/>
      <c r="L360" s="66"/>
      <c r="M360" s="67"/>
      <c r="N360" s="64"/>
      <c r="O360" s="68" t="str">
        <f t="shared" si="1"/>
        <v/>
      </c>
      <c r="P360" s="68">
        <f t="shared" si="4"/>
        <v>-1.23135</v>
      </c>
    </row>
    <row r="361">
      <c r="A361" s="64">
        <f t="shared" si="3"/>
        <v>360</v>
      </c>
      <c r="B361" s="64"/>
      <c r="C361" s="64"/>
      <c r="D361" s="64"/>
      <c r="E361" s="64"/>
      <c r="F361" s="64"/>
      <c r="G361" s="64"/>
      <c r="H361" s="64"/>
      <c r="I361" s="65"/>
      <c r="J361" s="65"/>
      <c r="K361" s="65"/>
      <c r="L361" s="66"/>
      <c r="M361" s="67"/>
      <c r="N361" s="64"/>
      <c r="O361" s="68" t="str">
        <f t="shared" si="1"/>
        <v/>
      </c>
      <c r="P361" s="68">
        <f t="shared" si="4"/>
        <v>-1.23135</v>
      </c>
    </row>
    <row r="362">
      <c r="A362" s="64">
        <f t="shared" si="3"/>
        <v>361</v>
      </c>
      <c r="B362" s="64"/>
      <c r="C362" s="64"/>
      <c r="D362" s="64"/>
      <c r="E362" s="64"/>
      <c r="F362" s="64"/>
      <c r="G362" s="64"/>
      <c r="H362" s="64"/>
      <c r="I362" s="65"/>
      <c r="J362" s="65"/>
      <c r="K362" s="65"/>
      <c r="L362" s="66"/>
      <c r="M362" s="67"/>
      <c r="N362" s="64"/>
      <c r="O362" s="68" t="str">
        <f t="shared" si="1"/>
        <v/>
      </c>
      <c r="P362" s="68">
        <f t="shared" si="4"/>
        <v>-1.23135</v>
      </c>
    </row>
    <row r="363">
      <c r="A363" s="64">
        <f t="shared" si="3"/>
        <v>362</v>
      </c>
      <c r="B363" s="64"/>
      <c r="C363" s="64"/>
      <c r="D363" s="64"/>
      <c r="E363" s="64"/>
      <c r="F363" s="64"/>
      <c r="G363" s="64"/>
      <c r="H363" s="64"/>
      <c r="I363" s="65"/>
      <c r="J363" s="65"/>
      <c r="K363" s="65"/>
      <c r="L363" s="66"/>
      <c r="M363" s="67"/>
      <c r="N363" s="64"/>
      <c r="O363" s="68" t="str">
        <f t="shared" si="1"/>
        <v/>
      </c>
      <c r="P363" s="68">
        <f t="shared" si="4"/>
        <v>-1.23135</v>
      </c>
    </row>
    <row r="364">
      <c r="A364" s="64">
        <f t="shared" si="3"/>
        <v>363</v>
      </c>
      <c r="B364" s="64"/>
      <c r="C364" s="64"/>
      <c r="D364" s="64"/>
      <c r="E364" s="64"/>
      <c r="F364" s="64"/>
      <c r="G364" s="64"/>
      <c r="H364" s="64"/>
      <c r="I364" s="65"/>
      <c r="J364" s="65"/>
      <c r="K364" s="65"/>
      <c r="L364" s="66"/>
      <c r="M364" s="67"/>
      <c r="N364" s="64"/>
      <c r="O364" s="68" t="str">
        <f t="shared" si="1"/>
        <v/>
      </c>
      <c r="P364" s="68">
        <f t="shared" si="4"/>
        <v>-1.23135</v>
      </c>
    </row>
    <row r="365">
      <c r="A365" s="64">
        <f t="shared" si="3"/>
        <v>364</v>
      </c>
      <c r="B365" s="64"/>
      <c r="C365" s="64"/>
      <c r="D365" s="64"/>
      <c r="E365" s="64"/>
      <c r="F365" s="64"/>
      <c r="G365" s="64"/>
      <c r="H365" s="64"/>
      <c r="I365" s="65"/>
      <c r="J365" s="65"/>
      <c r="K365" s="65"/>
      <c r="L365" s="66"/>
      <c r="M365" s="67"/>
      <c r="N365" s="64"/>
      <c r="O365" s="68" t="str">
        <f t="shared" si="1"/>
        <v/>
      </c>
      <c r="P365" s="68">
        <f t="shared" si="4"/>
        <v>-1.23135</v>
      </c>
    </row>
    <row r="366">
      <c r="A366" s="64">
        <f t="shared" si="3"/>
        <v>365</v>
      </c>
      <c r="B366" s="64"/>
      <c r="C366" s="64"/>
      <c r="D366" s="64"/>
      <c r="E366" s="64"/>
      <c r="F366" s="64"/>
      <c r="G366" s="64"/>
      <c r="H366" s="64"/>
      <c r="I366" s="65"/>
      <c r="J366" s="65"/>
      <c r="K366" s="65"/>
      <c r="L366" s="66"/>
      <c r="M366" s="67"/>
      <c r="N366" s="64"/>
      <c r="O366" s="68" t="str">
        <f t="shared" si="1"/>
        <v/>
      </c>
      <c r="P366" s="68">
        <f t="shared" si="4"/>
        <v>-1.23135</v>
      </c>
    </row>
    <row r="367">
      <c r="A367" s="64">
        <f t="shared" si="3"/>
        <v>366</v>
      </c>
      <c r="B367" s="64"/>
      <c r="C367" s="64"/>
      <c r="D367" s="64"/>
      <c r="E367" s="64"/>
      <c r="F367" s="64"/>
      <c r="G367" s="64"/>
      <c r="H367" s="64"/>
      <c r="I367" s="65"/>
      <c r="J367" s="65"/>
      <c r="K367" s="65"/>
      <c r="L367" s="66"/>
      <c r="M367" s="67"/>
      <c r="N367" s="64"/>
      <c r="O367" s="68" t="str">
        <f t="shared" si="1"/>
        <v/>
      </c>
      <c r="P367" s="68">
        <f t="shared" si="4"/>
        <v>-1.23135</v>
      </c>
    </row>
    <row r="368">
      <c r="A368" s="64">
        <f t="shared" si="3"/>
        <v>367</v>
      </c>
      <c r="B368" s="64"/>
      <c r="C368" s="64"/>
      <c r="D368" s="64"/>
      <c r="E368" s="64"/>
      <c r="F368" s="64"/>
      <c r="G368" s="64"/>
      <c r="H368" s="64"/>
      <c r="I368" s="65"/>
      <c r="J368" s="65"/>
      <c r="K368" s="65"/>
      <c r="L368" s="66"/>
      <c r="M368" s="67"/>
      <c r="N368" s="64"/>
      <c r="O368" s="68" t="str">
        <f t="shared" si="1"/>
        <v/>
      </c>
      <c r="P368" s="68">
        <f t="shared" si="4"/>
        <v>-1.23135</v>
      </c>
    </row>
    <row r="369">
      <c r="A369" s="64">
        <f t="shared" si="3"/>
        <v>368</v>
      </c>
      <c r="B369" s="64"/>
      <c r="C369" s="64"/>
      <c r="D369" s="64"/>
      <c r="E369" s="64"/>
      <c r="F369" s="64"/>
      <c r="G369" s="64"/>
      <c r="H369" s="64"/>
      <c r="I369" s="65"/>
      <c r="J369" s="65"/>
      <c r="K369" s="65"/>
      <c r="L369" s="66"/>
      <c r="M369" s="67"/>
      <c r="N369" s="64"/>
      <c r="O369" s="68" t="str">
        <f t="shared" si="1"/>
        <v/>
      </c>
      <c r="P369" s="68">
        <f t="shared" si="4"/>
        <v>-1.23135</v>
      </c>
    </row>
    <row r="370">
      <c r="A370" s="64">
        <f t="shared" si="3"/>
        <v>369</v>
      </c>
      <c r="B370" s="64"/>
      <c r="C370" s="64"/>
      <c r="D370" s="64"/>
      <c r="E370" s="64"/>
      <c r="F370" s="64"/>
      <c r="G370" s="64"/>
      <c r="H370" s="64"/>
      <c r="I370" s="65"/>
      <c r="J370" s="65"/>
      <c r="K370" s="65"/>
      <c r="L370" s="66"/>
      <c r="M370" s="67"/>
      <c r="N370" s="64"/>
      <c r="O370" s="68" t="str">
        <f t="shared" si="1"/>
        <v/>
      </c>
      <c r="P370" s="68">
        <f t="shared" si="4"/>
        <v>-1.23135</v>
      </c>
    </row>
    <row r="371">
      <c r="A371" s="64">
        <f t="shared" si="3"/>
        <v>370</v>
      </c>
      <c r="B371" s="64"/>
      <c r="C371" s="64"/>
      <c r="D371" s="64"/>
      <c r="E371" s="64"/>
      <c r="F371" s="64"/>
      <c r="G371" s="64"/>
      <c r="H371" s="64"/>
      <c r="I371" s="65"/>
      <c r="J371" s="65"/>
      <c r="K371" s="65"/>
      <c r="L371" s="66"/>
      <c r="M371" s="67"/>
      <c r="N371" s="64"/>
      <c r="O371" s="68" t="str">
        <f t="shared" si="1"/>
        <v/>
      </c>
      <c r="P371" s="68">
        <f t="shared" si="4"/>
        <v>-1.23135</v>
      </c>
    </row>
    <row r="372">
      <c r="A372" s="64">
        <f t="shared" si="3"/>
        <v>371</v>
      </c>
      <c r="B372" s="64"/>
      <c r="C372" s="64"/>
      <c r="D372" s="64"/>
      <c r="E372" s="64"/>
      <c r="F372" s="64"/>
      <c r="G372" s="64"/>
      <c r="H372" s="64"/>
      <c r="I372" s="65"/>
      <c r="J372" s="65"/>
      <c r="K372" s="65"/>
      <c r="L372" s="66"/>
      <c r="M372" s="67"/>
      <c r="N372" s="64"/>
      <c r="O372" s="68" t="str">
        <f t="shared" si="1"/>
        <v/>
      </c>
      <c r="P372" s="68">
        <f t="shared" si="4"/>
        <v>-1.23135</v>
      </c>
    </row>
    <row r="373">
      <c r="A373" s="64">
        <f t="shared" si="3"/>
        <v>372</v>
      </c>
      <c r="B373" s="64"/>
      <c r="C373" s="64"/>
      <c r="D373" s="64"/>
      <c r="E373" s="64"/>
      <c r="F373" s="64"/>
      <c r="G373" s="64"/>
      <c r="H373" s="64"/>
      <c r="I373" s="65"/>
      <c r="J373" s="65"/>
      <c r="K373" s="65"/>
      <c r="L373" s="66"/>
      <c r="M373" s="67"/>
      <c r="N373" s="64"/>
      <c r="O373" s="68" t="str">
        <f t="shared" si="1"/>
        <v/>
      </c>
      <c r="P373" s="68">
        <f t="shared" si="4"/>
        <v>-1.23135</v>
      </c>
    </row>
    <row r="374">
      <c r="A374" s="64">
        <f t="shared" si="3"/>
        <v>373</v>
      </c>
      <c r="B374" s="64"/>
      <c r="C374" s="64"/>
      <c r="D374" s="64"/>
      <c r="E374" s="64"/>
      <c r="F374" s="64"/>
      <c r="G374" s="64"/>
      <c r="H374" s="64"/>
      <c r="I374" s="65"/>
      <c r="J374" s="65"/>
      <c r="K374" s="65"/>
      <c r="L374" s="66"/>
      <c r="M374" s="67"/>
      <c r="N374" s="64"/>
      <c r="O374" s="68" t="str">
        <f t="shared" si="1"/>
        <v/>
      </c>
      <c r="P374" s="68">
        <f t="shared" si="4"/>
        <v>-1.23135</v>
      </c>
    </row>
    <row r="375">
      <c r="A375" s="64">
        <f t="shared" si="3"/>
        <v>374</v>
      </c>
      <c r="B375" s="64"/>
      <c r="C375" s="64"/>
      <c r="D375" s="64"/>
      <c r="E375" s="64"/>
      <c r="F375" s="64"/>
      <c r="G375" s="64"/>
      <c r="H375" s="64"/>
      <c r="I375" s="65"/>
      <c r="J375" s="65"/>
      <c r="K375" s="65"/>
      <c r="L375" s="66"/>
      <c r="M375" s="67"/>
      <c r="N375" s="64"/>
      <c r="O375" s="68" t="str">
        <f t="shared" si="1"/>
        <v/>
      </c>
      <c r="P375" s="68">
        <f t="shared" si="4"/>
        <v>-1.23135</v>
      </c>
    </row>
    <row r="376">
      <c r="A376" s="64">
        <f t="shared" si="3"/>
        <v>375</v>
      </c>
      <c r="B376" s="64"/>
      <c r="C376" s="64"/>
      <c r="D376" s="64"/>
      <c r="E376" s="64"/>
      <c r="F376" s="64"/>
      <c r="G376" s="64"/>
      <c r="H376" s="64"/>
      <c r="I376" s="65"/>
      <c r="J376" s="65"/>
      <c r="K376" s="65"/>
      <c r="L376" s="66"/>
      <c r="M376" s="67"/>
      <c r="N376" s="64"/>
      <c r="O376" s="68" t="str">
        <f t="shared" si="1"/>
        <v/>
      </c>
      <c r="P376" s="68">
        <f t="shared" si="4"/>
        <v>-1.23135</v>
      </c>
    </row>
    <row r="377">
      <c r="A377" s="64">
        <f t="shared" si="3"/>
        <v>376</v>
      </c>
      <c r="B377" s="64"/>
      <c r="C377" s="64"/>
      <c r="D377" s="64"/>
      <c r="E377" s="64"/>
      <c r="F377" s="64"/>
      <c r="G377" s="64"/>
      <c r="H377" s="64"/>
      <c r="I377" s="65"/>
      <c r="J377" s="64"/>
      <c r="K377" s="64"/>
      <c r="L377" s="66"/>
      <c r="M377" s="67"/>
      <c r="N377" s="64"/>
      <c r="O377" s="68" t="str">
        <f t="shared" si="1"/>
        <v/>
      </c>
      <c r="P377" s="68">
        <f t="shared" si="4"/>
        <v>-1.23135</v>
      </c>
    </row>
    <row r="378">
      <c r="A378" s="64">
        <f t="shared" si="3"/>
        <v>377</v>
      </c>
      <c r="B378" s="64"/>
      <c r="C378" s="64"/>
      <c r="D378" s="64"/>
      <c r="E378" s="64"/>
      <c r="F378" s="64"/>
      <c r="G378" s="64"/>
      <c r="H378" s="64"/>
      <c r="I378" s="65"/>
      <c r="J378" s="64"/>
      <c r="K378" s="64"/>
      <c r="L378" s="66"/>
      <c r="M378" s="67"/>
      <c r="N378" s="64"/>
      <c r="O378" s="68" t="str">
        <f t="shared" si="1"/>
        <v/>
      </c>
      <c r="P378" s="68">
        <f t="shared" si="4"/>
        <v>-1.23135</v>
      </c>
    </row>
    <row r="379">
      <c r="A379" s="64">
        <f t="shared" si="3"/>
        <v>378</v>
      </c>
      <c r="B379" s="64"/>
      <c r="C379" s="64"/>
      <c r="D379" s="64"/>
      <c r="E379" s="64"/>
      <c r="F379" s="64"/>
      <c r="G379" s="64"/>
      <c r="H379" s="64"/>
      <c r="I379" s="65"/>
      <c r="J379" s="65"/>
      <c r="K379" s="65"/>
      <c r="L379" s="66"/>
      <c r="M379" s="67"/>
      <c r="N379" s="64"/>
      <c r="O379" s="68" t="str">
        <f t="shared" si="1"/>
        <v/>
      </c>
      <c r="P379" s="68">
        <f t="shared" si="4"/>
        <v>-1.23135</v>
      </c>
    </row>
    <row r="380">
      <c r="A380" s="64">
        <f t="shared" si="3"/>
        <v>379</v>
      </c>
      <c r="B380" s="64"/>
      <c r="C380" s="64"/>
      <c r="D380" s="64"/>
      <c r="E380" s="64"/>
      <c r="F380" s="64"/>
      <c r="G380" s="64"/>
      <c r="H380" s="64"/>
      <c r="I380" s="65"/>
      <c r="J380" s="65"/>
      <c r="K380" s="65"/>
      <c r="L380" s="66"/>
      <c r="M380" s="67"/>
      <c r="N380" s="64"/>
      <c r="O380" s="68" t="str">
        <f t="shared" si="1"/>
        <v/>
      </c>
      <c r="P380" s="68">
        <f t="shared" si="4"/>
        <v>-1.23135</v>
      </c>
    </row>
    <row r="381">
      <c r="A381" s="64">
        <f t="shared" si="3"/>
        <v>380</v>
      </c>
      <c r="B381" s="64"/>
      <c r="C381" s="64"/>
      <c r="D381" s="64"/>
      <c r="E381" s="64"/>
      <c r="F381" s="64"/>
      <c r="G381" s="64"/>
      <c r="H381" s="64"/>
      <c r="I381" s="65"/>
      <c r="J381" s="65"/>
      <c r="K381" s="65"/>
      <c r="L381" s="66"/>
      <c r="M381" s="67"/>
      <c r="N381" s="64"/>
      <c r="O381" s="68" t="str">
        <f t="shared" si="1"/>
        <v/>
      </c>
      <c r="P381" s="68">
        <f t="shared" si="4"/>
        <v>-1.23135</v>
      </c>
    </row>
    <row r="382">
      <c r="A382" s="64">
        <f t="shared" si="3"/>
        <v>381</v>
      </c>
      <c r="B382" s="64"/>
      <c r="C382" s="64"/>
      <c r="D382" s="64"/>
      <c r="E382" s="64"/>
      <c r="F382" s="64"/>
      <c r="G382" s="64"/>
      <c r="H382" s="64"/>
      <c r="I382" s="65"/>
      <c r="J382" s="65"/>
      <c r="K382" s="65"/>
      <c r="L382" s="66"/>
      <c r="M382" s="67"/>
      <c r="N382" s="64"/>
      <c r="O382" s="68" t="str">
        <f t="shared" si="1"/>
        <v/>
      </c>
      <c r="P382" s="68">
        <f t="shared" si="4"/>
        <v>-1.23135</v>
      </c>
    </row>
    <row r="383">
      <c r="A383" s="64">
        <f t="shared" si="3"/>
        <v>382</v>
      </c>
      <c r="B383" s="64"/>
      <c r="C383" s="64"/>
      <c r="D383" s="64"/>
      <c r="E383" s="64"/>
      <c r="F383" s="64"/>
      <c r="G383" s="64"/>
      <c r="H383" s="64"/>
      <c r="I383" s="65"/>
      <c r="J383" s="65"/>
      <c r="K383" s="65"/>
      <c r="L383" s="66"/>
      <c r="M383" s="67"/>
      <c r="N383" s="64"/>
      <c r="O383" s="68" t="str">
        <f t="shared" si="1"/>
        <v/>
      </c>
      <c r="P383" s="68">
        <f t="shared" si="4"/>
        <v>-1.23135</v>
      </c>
    </row>
    <row r="384">
      <c r="A384" s="64">
        <f t="shared" si="3"/>
        <v>383</v>
      </c>
      <c r="B384" s="64"/>
      <c r="C384" s="64"/>
      <c r="D384" s="64"/>
      <c r="E384" s="64"/>
      <c r="F384" s="64"/>
      <c r="G384" s="64"/>
      <c r="H384" s="64"/>
      <c r="I384" s="65"/>
      <c r="J384" s="65"/>
      <c r="K384" s="65"/>
      <c r="L384" s="66"/>
      <c r="M384" s="67"/>
      <c r="N384" s="64"/>
      <c r="O384" s="68" t="str">
        <f t="shared" si="1"/>
        <v/>
      </c>
      <c r="P384" s="68">
        <f t="shared" si="4"/>
        <v>-1.23135</v>
      </c>
    </row>
    <row r="385">
      <c r="A385" s="64">
        <f t="shared" si="3"/>
        <v>384</v>
      </c>
      <c r="B385" s="64"/>
      <c r="C385" s="64"/>
      <c r="D385" s="64"/>
      <c r="E385" s="64"/>
      <c r="F385" s="64"/>
      <c r="G385" s="64"/>
      <c r="H385" s="64"/>
      <c r="I385" s="65"/>
      <c r="J385" s="65"/>
      <c r="K385" s="65"/>
      <c r="L385" s="66"/>
      <c r="M385" s="67"/>
      <c r="N385" s="64"/>
      <c r="O385" s="68" t="str">
        <f t="shared" si="1"/>
        <v/>
      </c>
      <c r="P385" s="68">
        <f t="shared" si="4"/>
        <v>-1.23135</v>
      </c>
    </row>
    <row r="386">
      <c r="A386" s="64">
        <f t="shared" si="3"/>
        <v>385</v>
      </c>
      <c r="B386" s="64"/>
      <c r="C386" s="64"/>
      <c r="D386" s="64"/>
      <c r="E386" s="64"/>
      <c r="F386" s="64"/>
      <c r="G386" s="64"/>
      <c r="H386" s="64"/>
      <c r="I386" s="65"/>
      <c r="J386" s="65"/>
      <c r="K386" s="65"/>
      <c r="L386" s="66"/>
      <c r="M386" s="67"/>
      <c r="N386" s="64"/>
      <c r="O386" s="68" t="str">
        <f t="shared" si="1"/>
        <v/>
      </c>
      <c r="P386" s="68">
        <f t="shared" si="4"/>
        <v>-1.23135</v>
      </c>
    </row>
    <row r="387">
      <c r="A387" s="64">
        <f t="shared" si="3"/>
        <v>386</v>
      </c>
      <c r="B387" s="64"/>
      <c r="C387" s="64"/>
      <c r="D387" s="64"/>
      <c r="E387" s="64"/>
      <c r="F387" s="64"/>
      <c r="G387" s="64"/>
      <c r="H387" s="64"/>
      <c r="I387" s="65"/>
      <c r="J387" s="65"/>
      <c r="K387" s="65"/>
      <c r="L387" s="88"/>
      <c r="M387" s="67"/>
      <c r="N387" s="64"/>
      <c r="O387" s="68" t="str">
        <f t="shared" si="1"/>
        <v/>
      </c>
      <c r="P387" s="68">
        <f t="shared" si="4"/>
        <v>-1.23135</v>
      </c>
    </row>
    <row r="388">
      <c r="A388" s="64">
        <f t="shared" si="3"/>
        <v>387</v>
      </c>
      <c r="B388" s="64"/>
      <c r="C388" s="64"/>
      <c r="D388" s="64"/>
      <c r="E388" s="64"/>
      <c r="F388" s="64"/>
      <c r="G388" s="64"/>
      <c r="H388" s="64"/>
      <c r="I388" s="65"/>
      <c r="J388" s="65"/>
      <c r="K388" s="65"/>
      <c r="L388" s="66"/>
      <c r="M388" s="67"/>
      <c r="N388" s="64"/>
      <c r="O388" s="68" t="str">
        <f t="shared" si="1"/>
        <v/>
      </c>
      <c r="P388" s="68">
        <f t="shared" si="4"/>
        <v>-1.23135</v>
      </c>
    </row>
    <row r="389">
      <c r="A389" s="64">
        <f t="shared" si="3"/>
        <v>388</v>
      </c>
      <c r="B389" s="64"/>
      <c r="C389" s="64"/>
      <c r="D389" s="64"/>
      <c r="E389" s="64"/>
      <c r="F389" s="64"/>
      <c r="G389" s="64"/>
      <c r="H389" s="64"/>
      <c r="I389" s="65"/>
      <c r="J389" s="65"/>
      <c r="K389" s="65"/>
      <c r="L389" s="66"/>
      <c r="M389" s="67"/>
      <c r="N389" s="64"/>
      <c r="O389" s="68" t="str">
        <f t="shared" si="1"/>
        <v/>
      </c>
      <c r="P389" s="68">
        <f t="shared" si="4"/>
        <v>-1.23135</v>
      </c>
    </row>
    <row r="390">
      <c r="A390" s="64">
        <f t="shared" si="3"/>
        <v>389</v>
      </c>
      <c r="B390" s="64"/>
      <c r="C390" s="64"/>
      <c r="D390" s="64"/>
      <c r="E390" s="64"/>
      <c r="F390" s="64"/>
      <c r="G390" s="64"/>
      <c r="H390" s="64"/>
      <c r="I390" s="65"/>
      <c r="J390" s="65"/>
      <c r="K390" s="65"/>
      <c r="L390" s="66"/>
      <c r="M390" s="67"/>
      <c r="N390" s="64"/>
      <c r="O390" s="68" t="str">
        <f t="shared" si="1"/>
        <v/>
      </c>
      <c r="P390" s="68">
        <f t="shared" si="4"/>
        <v>-1.23135</v>
      </c>
    </row>
    <row r="391">
      <c r="A391" s="64">
        <f t="shared" si="3"/>
        <v>390</v>
      </c>
      <c r="B391" s="64"/>
      <c r="C391" s="64"/>
      <c r="D391" s="64"/>
      <c r="E391" s="64"/>
      <c r="F391" s="64"/>
      <c r="G391" s="64"/>
      <c r="H391" s="64"/>
      <c r="I391" s="65"/>
      <c r="J391" s="65"/>
      <c r="K391" s="65"/>
      <c r="L391" s="66"/>
      <c r="M391" s="67"/>
      <c r="N391" s="64"/>
      <c r="O391" s="68" t="str">
        <f t="shared" si="1"/>
        <v/>
      </c>
      <c r="P391" s="68">
        <f t="shared" si="4"/>
        <v>-1.23135</v>
      </c>
    </row>
    <row r="392">
      <c r="A392" s="64">
        <f t="shared" si="3"/>
        <v>391</v>
      </c>
      <c r="B392" s="64"/>
      <c r="C392" s="64"/>
      <c r="D392" s="64"/>
      <c r="E392" s="64"/>
      <c r="F392" s="64"/>
      <c r="G392" s="64"/>
      <c r="H392" s="64"/>
      <c r="I392" s="65"/>
      <c r="J392" s="65"/>
      <c r="K392" s="65"/>
      <c r="L392" s="66"/>
      <c r="M392" s="67"/>
      <c r="N392" s="64"/>
      <c r="O392" s="68" t="str">
        <f t="shared" si="1"/>
        <v/>
      </c>
      <c r="P392" s="68">
        <f t="shared" si="4"/>
        <v>-1.23135</v>
      </c>
    </row>
    <row r="393">
      <c r="A393" s="64">
        <f t="shared" si="3"/>
        <v>392</v>
      </c>
      <c r="B393" s="64"/>
      <c r="C393" s="64"/>
      <c r="D393" s="64"/>
      <c r="E393" s="64"/>
      <c r="F393" s="64"/>
      <c r="G393" s="64"/>
      <c r="H393" s="64"/>
      <c r="I393" s="65"/>
      <c r="J393" s="65"/>
      <c r="K393" s="65"/>
      <c r="L393" s="66"/>
      <c r="M393" s="67"/>
      <c r="N393" s="64"/>
      <c r="O393" s="68" t="str">
        <f t="shared" si="1"/>
        <v/>
      </c>
      <c r="P393" s="68">
        <f t="shared" si="4"/>
        <v>-1.23135</v>
      </c>
    </row>
    <row r="394">
      <c r="A394" s="64">
        <f t="shared" si="3"/>
        <v>393</v>
      </c>
      <c r="B394" s="64"/>
      <c r="C394" s="64"/>
      <c r="D394" s="64"/>
      <c r="E394" s="64"/>
      <c r="F394" s="64"/>
      <c r="G394" s="64"/>
      <c r="H394" s="64"/>
      <c r="I394" s="65"/>
      <c r="J394" s="65"/>
      <c r="K394" s="65"/>
      <c r="L394" s="66"/>
      <c r="M394" s="67"/>
      <c r="N394" s="64"/>
      <c r="O394" s="68" t="str">
        <f t="shared" si="1"/>
        <v/>
      </c>
      <c r="P394" s="68">
        <f t="shared" si="4"/>
        <v>-1.23135</v>
      </c>
    </row>
    <row r="395">
      <c r="A395" s="64">
        <f t="shared" si="3"/>
        <v>394</v>
      </c>
      <c r="B395" s="64"/>
      <c r="C395" s="64"/>
      <c r="D395" s="64"/>
      <c r="E395" s="64"/>
      <c r="F395" s="64"/>
      <c r="G395" s="64"/>
      <c r="H395" s="64"/>
      <c r="I395" s="65"/>
      <c r="J395" s="65"/>
      <c r="K395" s="65"/>
      <c r="L395" s="66"/>
      <c r="M395" s="67"/>
      <c r="N395" s="64"/>
      <c r="O395" s="68" t="str">
        <f t="shared" si="1"/>
        <v/>
      </c>
      <c r="P395" s="68">
        <f t="shared" si="4"/>
        <v>-1.23135</v>
      </c>
    </row>
    <row r="396">
      <c r="A396" s="64">
        <f t="shared" si="3"/>
        <v>395</v>
      </c>
      <c r="B396" s="64"/>
      <c r="C396" s="64"/>
      <c r="D396" s="64"/>
      <c r="E396" s="64"/>
      <c r="F396" s="64"/>
      <c r="G396" s="64"/>
      <c r="H396" s="64"/>
      <c r="I396" s="65"/>
      <c r="J396" s="65"/>
      <c r="K396" s="65"/>
      <c r="L396" s="66"/>
      <c r="M396" s="67"/>
      <c r="N396" s="64"/>
      <c r="O396" s="68" t="str">
        <f t="shared" si="1"/>
        <v/>
      </c>
      <c r="P396" s="68">
        <f t="shared" si="4"/>
        <v>-1.23135</v>
      </c>
    </row>
    <row r="397">
      <c r="A397" s="64">
        <f t="shared" si="3"/>
        <v>396</v>
      </c>
      <c r="B397" s="64"/>
      <c r="C397" s="64"/>
      <c r="D397" s="64"/>
      <c r="E397" s="64"/>
      <c r="F397" s="64"/>
      <c r="G397" s="64"/>
      <c r="H397" s="64"/>
      <c r="I397" s="65"/>
      <c r="J397" s="65"/>
      <c r="K397" s="65"/>
      <c r="L397" s="66"/>
      <c r="M397" s="67"/>
      <c r="N397" s="64"/>
      <c r="O397" s="68" t="str">
        <f t="shared" si="1"/>
        <v/>
      </c>
      <c r="P397" s="68">
        <f t="shared" si="4"/>
        <v>-1.23135</v>
      </c>
    </row>
    <row r="398">
      <c r="A398" s="64">
        <f t="shared" si="3"/>
        <v>397</v>
      </c>
      <c r="B398" s="64"/>
      <c r="C398" s="64"/>
      <c r="D398" s="64"/>
      <c r="E398" s="64"/>
      <c r="F398" s="64"/>
      <c r="G398" s="64"/>
      <c r="H398" s="64"/>
      <c r="I398" s="65"/>
      <c r="J398" s="65"/>
      <c r="K398" s="65"/>
      <c r="L398" s="66"/>
      <c r="M398" s="67"/>
      <c r="N398" s="64"/>
      <c r="O398" s="68" t="str">
        <f t="shared" si="1"/>
        <v/>
      </c>
      <c r="P398" s="68">
        <f t="shared" si="4"/>
        <v>-1.23135</v>
      </c>
    </row>
    <row r="399">
      <c r="A399" s="64">
        <f t="shared" si="3"/>
        <v>398</v>
      </c>
      <c r="B399" s="64"/>
      <c r="C399" s="64"/>
      <c r="D399" s="64"/>
      <c r="E399" s="64"/>
      <c r="F399" s="64"/>
      <c r="G399" s="64"/>
      <c r="H399" s="64"/>
      <c r="I399" s="65"/>
      <c r="J399" s="65"/>
      <c r="K399" s="65"/>
      <c r="L399" s="66"/>
      <c r="M399" s="67"/>
      <c r="N399" s="64"/>
      <c r="O399" s="68" t="str">
        <f t="shared" si="1"/>
        <v/>
      </c>
      <c r="P399" s="68">
        <f t="shared" si="4"/>
        <v>-1.23135</v>
      </c>
    </row>
    <row r="400">
      <c r="A400" s="64">
        <f t="shared" si="3"/>
        <v>399</v>
      </c>
      <c r="B400" s="64"/>
      <c r="C400" s="64"/>
      <c r="D400" s="64"/>
      <c r="E400" s="64"/>
      <c r="F400" s="64"/>
      <c r="G400" s="64"/>
      <c r="H400" s="64"/>
      <c r="I400" s="65"/>
      <c r="J400" s="65"/>
      <c r="K400" s="65"/>
      <c r="L400" s="66"/>
      <c r="M400" s="67"/>
      <c r="N400" s="64"/>
      <c r="O400" s="68" t="str">
        <f t="shared" si="1"/>
        <v/>
      </c>
      <c r="P400" s="68">
        <f t="shared" si="4"/>
        <v>-1.23135</v>
      </c>
    </row>
    <row r="401">
      <c r="A401" s="64">
        <f t="shared" si="3"/>
        <v>400</v>
      </c>
      <c r="B401" s="64"/>
      <c r="C401" s="64"/>
      <c r="D401" s="64"/>
      <c r="E401" s="64"/>
      <c r="F401" s="64"/>
      <c r="G401" s="64"/>
      <c r="H401" s="64"/>
      <c r="I401" s="65"/>
      <c r="J401" s="65"/>
      <c r="K401" s="65"/>
      <c r="L401" s="66"/>
      <c r="M401" s="67"/>
      <c r="N401" s="64"/>
      <c r="O401" s="68" t="str">
        <f t="shared" si="1"/>
        <v/>
      </c>
      <c r="P401" s="68">
        <f t="shared" si="4"/>
        <v>-1.23135</v>
      </c>
    </row>
    <row r="402">
      <c r="A402" s="64">
        <f t="shared" si="3"/>
        <v>401</v>
      </c>
      <c r="B402" s="64"/>
      <c r="C402" s="64"/>
      <c r="D402" s="64"/>
      <c r="E402" s="64"/>
      <c r="F402" s="64"/>
      <c r="G402" s="64"/>
      <c r="H402" s="64"/>
      <c r="I402" s="65"/>
      <c r="J402" s="65"/>
      <c r="K402" s="65"/>
      <c r="L402" s="66"/>
      <c r="M402" s="67"/>
      <c r="N402" s="64"/>
      <c r="O402" s="68" t="str">
        <f t="shared" si="1"/>
        <v/>
      </c>
      <c r="P402" s="68">
        <f t="shared" si="4"/>
        <v>-1.23135</v>
      </c>
    </row>
    <row r="403">
      <c r="A403" s="64">
        <f t="shared" si="3"/>
        <v>402</v>
      </c>
      <c r="B403" s="64"/>
      <c r="C403" s="64"/>
      <c r="D403" s="64"/>
      <c r="E403" s="64"/>
      <c r="F403" s="64"/>
      <c r="G403" s="64"/>
      <c r="H403" s="64"/>
      <c r="I403" s="65"/>
      <c r="J403" s="65"/>
      <c r="K403" s="65"/>
      <c r="L403" s="66"/>
      <c r="M403" s="67"/>
      <c r="N403" s="64"/>
      <c r="O403" s="68" t="str">
        <f t="shared" si="1"/>
        <v/>
      </c>
      <c r="P403" s="68">
        <f t="shared" si="4"/>
        <v>-1.23135</v>
      </c>
    </row>
    <row r="404">
      <c r="A404" s="64">
        <f t="shared" si="3"/>
        <v>403</v>
      </c>
      <c r="B404" s="64"/>
      <c r="C404" s="64"/>
      <c r="D404" s="64"/>
      <c r="E404" s="64"/>
      <c r="F404" s="64"/>
      <c r="G404" s="64"/>
      <c r="H404" s="64"/>
      <c r="I404" s="65"/>
      <c r="J404" s="65"/>
      <c r="K404" s="65"/>
      <c r="L404" s="66"/>
      <c r="M404" s="67"/>
      <c r="N404" s="64"/>
      <c r="O404" s="68" t="str">
        <f t="shared" si="1"/>
        <v/>
      </c>
      <c r="P404" s="68">
        <f t="shared" si="4"/>
        <v>-1.23135</v>
      </c>
    </row>
    <row r="405">
      <c r="A405" s="64">
        <f t="shared" si="3"/>
        <v>404</v>
      </c>
      <c r="B405" s="64"/>
      <c r="C405" s="64"/>
      <c r="D405" s="64"/>
      <c r="E405" s="64"/>
      <c r="F405" s="64"/>
      <c r="G405" s="64"/>
      <c r="H405" s="64"/>
      <c r="I405" s="65"/>
      <c r="J405" s="65"/>
      <c r="K405" s="65"/>
      <c r="L405" s="66"/>
      <c r="M405" s="67"/>
      <c r="N405" s="64"/>
      <c r="O405" s="68" t="str">
        <f t="shared" si="1"/>
        <v/>
      </c>
      <c r="P405" s="68">
        <f t="shared" si="4"/>
        <v>-1.23135</v>
      </c>
    </row>
    <row r="406">
      <c r="A406" s="64">
        <f t="shared" si="3"/>
        <v>405</v>
      </c>
      <c r="B406" s="64"/>
      <c r="C406" s="64"/>
      <c r="D406" s="64"/>
      <c r="E406" s="64"/>
      <c r="F406" s="64"/>
      <c r="G406" s="64"/>
      <c r="H406" s="64"/>
      <c r="I406" s="65"/>
      <c r="J406" s="65"/>
      <c r="K406" s="65"/>
      <c r="L406" s="66"/>
      <c r="M406" s="67"/>
      <c r="N406" s="64"/>
      <c r="O406" s="68" t="str">
        <f t="shared" si="1"/>
        <v/>
      </c>
      <c r="P406" s="68">
        <f t="shared" si="4"/>
        <v>-1.23135</v>
      </c>
    </row>
    <row r="407">
      <c r="A407" s="64">
        <f t="shared" si="3"/>
        <v>406</v>
      </c>
      <c r="B407" s="64"/>
      <c r="C407" s="64"/>
      <c r="D407" s="64"/>
      <c r="E407" s="64"/>
      <c r="F407" s="64"/>
      <c r="G407" s="64"/>
      <c r="H407" s="64"/>
      <c r="I407" s="65"/>
      <c r="J407" s="65"/>
      <c r="K407" s="65"/>
      <c r="L407" s="66"/>
      <c r="M407" s="67"/>
      <c r="N407" s="64"/>
      <c r="O407" s="68" t="str">
        <f t="shared" si="1"/>
        <v/>
      </c>
      <c r="P407" s="68">
        <f t="shared" si="4"/>
        <v>-1.23135</v>
      </c>
    </row>
    <row r="408">
      <c r="A408" s="64">
        <f t="shared" si="3"/>
        <v>407</v>
      </c>
      <c r="B408" s="64"/>
      <c r="C408" s="64"/>
      <c r="D408" s="64"/>
      <c r="E408" s="64"/>
      <c r="F408" s="64"/>
      <c r="G408" s="64"/>
      <c r="H408" s="64"/>
      <c r="I408" s="65"/>
      <c r="J408" s="65"/>
      <c r="K408" s="65"/>
      <c r="L408" s="88"/>
      <c r="M408" s="67"/>
      <c r="N408" s="64"/>
      <c r="O408" s="68" t="str">
        <f t="shared" si="1"/>
        <v/>
      </c>
      <c r="P408" s="68">
        <f t="shared" si="4"/>
        <v>-1.23135</v>
      </c>
    </row>
    <row r="409">
      <c r="A409" s="64">
        <f t="shared" si="3"/>
        <v>408</v>
      </c>
      <c r="B409" s="64"/>
      <c r="C409" s="64"/>
      <c r="D409" s="64"/>
      <c r="E409" s="64"/>
      <c r="F409" s="64"/>
      <c r="G409" s="64"/>
      <c r="H409" s="64"/>
      <c r="I409" s="65"/>
      <c r="J409" s="65"/>
      <c r="K409" s="65"/>
      <c r="L409" s="66"/>
      <c r="M409" s="67"/>
      <c r="N409" s="64"/>
      <c r="O409" s="68" t="str">
        <f t="shared" si="1"/>
        <v/>
      </c>
      <c r="P409" s="68">
        <f t="shared" si="4"/>
        <v>-1.23135</v>
      </c>
    </row>
    <row r="410">
      <c r="A410" s="64">
        <f t="shared" si="3"/>
        <v>409</v>
      </c>
      <c r="B410" s="64"/>
      <c r="C410" s="64"/>
      <c r="D410" s="64"/>
      <c r="E410" s="64"/>
      <c r="F410" s="64"/>
      <c r="G410" s="64"/>
      <c r="H410" s="64"/>
      <c r="I410" s="65"/>
      <c r="J410" s="65"/>
      <c r="K410" s="65"/>
      <c r="L410" s="66"/>
      <c r="M410" s="67"/>
      <c r="N410" s="64"/>
      <c r="O410" s="68" t="str">
        <f t="shared" si="1"/>
        <v/>
      </c>
      <c r="P410" s="68">
        <f t="shared" si="4"/>
        <v>-1.23135</v>
      </c>
    </row>
    <row r="411">
      <c r="A411" s="64">
        <f t="shared" si="3"/>
        <v>410</v>
      </c>
      <c r="B411" s="64"/>
      <c r="C411" s="64"/>
      <c r="D411" s="64"/>
      <c r="E411" s="64"/>
      <c r="F411" s="64"/>
      <c r="G411" s="64"/>
      <c r="H411" s="64"/>
      <c r="I411" s="65"/>
      <c r="J411" s="65"/>
      <c r="K411" s="65"/>
      <c r="L411" s="66"/>
      <c r="M411" s="67"/>
      <c r="N411" s="64"/>
      <c r="O411" s="68" t="str">
        <f t="shared" si="1"/>
        <v/>
      </c>
      <c r="P411" s="68">
        <f t="shared" si="4"/>
        <v>-1.23135</v>
      </c>
    </row>
    <row r="412">
      <c r="A412" s="64">
        <f t="shared" si="3"/>
        <v>411</v>
      </c>
      <c r="B412" s="64"/>
      <c r="C412" s="64"/>
      <c r="D412" s="64"/>
      <c r="E412" s="64"/>
      <c r="F412" s="64"/>
      <c r="G412" s="64"/>
      <c r="H412" s="64"/>
      <c r="I412" s="65"/>
      <c r="J412" s="65"/>
      <c r="K412" s="65"/>
      <c r="L412" s="66"/>
      <c r="M412" s="67"/>
      <c r="N412" s="64"/>
      <c r="O412" s="68" t="str">
        <f t="shared" si="1"/>
        <v/>
      </c>
      <c r="P412" s="68">
        <f t="shared" si="4"/>
        <v>-1.23135</v>
      </c>
    </row>
    <row r="413">
      <c r="A413" s="64">
        <f t="shared" si="3"/>
        <v>412</v>
      </c>
      <c r="B413" s="64"/>
      <c r="C413" s="64"/>
      <c r="D413" s="64"/>
      <c r="E413" s="64"/>
      <c r="F413" s="64"/>
      <c r="G413" s="64"/>
      <c r="H413" s="64"/>
      <c r="I413" s="65"/>
      <c r="J413" s="65"/>
      <c r="K413" s="65"/>
      <c r="L413" s="66"/>
      <c r="M413" s="67"/>
      <c r="N413" s="64"/>
      <c r="O413" s="68" t="str">
        <f t="shared" si="1"/>
        <v/>
      </c>
      <c r="P413" s="68">
        <f t="shared" si="4"/>
        <v>-1.23135</v>
      </c>
    </row>
    <row r="414">
      <c r="A414" s="64">
        <f t="shared" si="3"/>
        <v>413</v>
      </c>
      <c r="B414" s="64"/>
      <c r="C414" s="64"/>
      <c r="D414" s="64"/>
      <c r="E414" s="64"/>
      <c r="F414" s="64"/>
      <c r="G414" s="64"/>
      <c r="H414" s="64"/>
      <c r="I414" s="65"/>
      <c r="J414" s="65"/>
      <c r="K414" s="65"/>
      <c r="L414" s="66"/>
      <c r="M414" s="67"/>
      <c r="N414" s="64"/>
      <c r="O414" s="68" t="str">
        <f t="shared" si="1"/>
        <v/>
      </c>
      <c r="P414" s="68">
        <f t="shared" si="4"/>
        <v>-1.23135</v>
      </c>
    </row>
    <row r="415">
      <c r="A415" s="64">
        <f t="shared" si="3"/>
        <v>414</v>
      </c>
      <c r="B415" s="64"/>
      <c r="C415" s="64"/>
      <c r="D415" s="64"/>
      <c r="E415" s="64"/>
      <c r="F415" s="64"/>
      <c r="G415" s="64"/>
      <c r="H415" s="64"/>
      <c r="I415" s="65"/>
      <c r="J415" s="65"/>
      <c r="K415" s="65"/>
      <c r="L415" s="66"/>
      <c r="M415" s="67"/>
      <c r="N415" s="64"/>
      <c r="O415" s="68" t="str">
        <f t="shared" si="1"/>
        <v/>
      </c>
      <c r="P415" s="68">
        <f t="shared" si="4"/>
        <v>-1.23135</v>
      </c>
    </row>
    <row r="416">
      <c r="A416" s="64">
        <f t="shared" si="3"/>
        <v>415</v>
      </c>
      <c r="B416" s="64"/>
      <c r="C416" s="64"/>
      <c r="D416" s="64"/>
      <c r="E416" s="64"/>
      <c r="F416" s="64"/>
      <c r="G416" s="64"/>
      <c r="H416" s="64"/>
      <c r="I416" s="65"/>
      <c r="J416" s="65"/>
      <c r="K416" s="65"/>
      <c r="L416" s="66"/>
      <c r="M416" s="67"/>
      <c r="N416" s="64"/>
      <c r="O416" s="68" t="str">
        <f t="shared" si="1"/>
        <v/>
      </c>
      <c r="P416" s="68">
        <f t="shared" si="4"/>
        <v>-1.23135</v>
      </c>
    </row>
    <row r="417">
      <c r="A417" s="64">
        <f t="shared" si="3"/>
        <v>416</v>
      </c>
      <c r="B417" s="64"/>
      <c r="C417" s="64"/>
      <c r="D417" s="64"/>
      <c r="E417" s="64"/>
      <c r="F417" s="64"/>
      <c r="G417" s="64"/>
      <c r="H417" s="64"/>
      <c r="I417" s="65"/>
      <c r="J417" s="65"/>
      <c r="K417" s="65"/>
      <c r="L417" s="66"/>
      <c r="M417" s="67"/>
      <c r="N417" s="64"/>
      <c r="O417" s="68" t="str">
        <f t="shared" si="1"/>
        <v/>
      </c>
      <c r="P417" s="68">
        <f t="shared" si="4"/>
        <v>-1.23135</v>
      </c>
    </row>
    <row r="418">
      <c r="A418" s="64">
        <f t="shared" si="3"/>
        <v>417</v>
      </c>
      <c r="B418" s="64"/>
      <c r="C418" s="64"/>
      <c r="D418" s="64"/>
      <c r="E418" s="64"/>
      <c r="F418" s="64"/>
      <c r="G418" s="64"/>
      <c r="H418" s="64"/>
      <c r="I418" s="65"/>
      <c r="J418" s="65"/>
      <c r="K418" s="65"/>
      <c r="L418" s="66"/>
      <c r="M418" s="67"/>
      <c r="N418" s="64"/>
      <c r="O418" s="68" t="str">
        <f t="shared" si="1"/>
        <v/>
      </c>
      <c r="P418" s="68">
        <f t="shared" si="4"/>
        <v>-1.23135</v>
      </c>
    </row>
    <row r="419">
      <c r="A419" s="64">
        <f t="shared" si="3"/>
        <v>418</v>
      </c>
      <c r="B419" s="64"/>
      <c r="C419" s="64"/>
      <c r="D419" s="64"/>
      <c r="E419" s="64"/>
      <c r="F419" s="64"/>
      <c r="G419" s="64"/>
      <c r="H419" s="64"/>
      <c r="I419" s="65"/>
      <c r="J419" s="65"/>
      <c r="K419" s="65"/>
      <c r="L419" s="66"/>
      <c r="M419" s="67"/>
      <c r="N419" s="64"/>
      <c r="O419" s="68" t="str">
        <f t="shared" si="1"/>
        <v/>
      </c>
      <c r="P419" s="68">
        <f t="shared" si="4"/>
        <v>-1.23135</v>
      </c>
    </row>
    <row r="420">
      <c r="A420" s="64">
        <f t="shared" si="3"/>
        <v>419</v>
      </c>
      <c r="B420" s="64"/>
      <c r="C420" s="64"/>
      <c r="D420" s="64"/>
      <c r="E420" s="64"/>
      <c r="F420" s="64"/>
      <c r="G420" s="64"/>
      <c r="H420" s="64"/>
      <c r="I420" s="65"/>
      <c r="J420" s="65"/>
      <c r="K420" s="65"/>
      <c r="L420" s="66"/>
      <c r="M420" s="67"/>
      <c r="N420" s="64"/>
      <c r="O420" s="68" t="str">
        <f t="shared" si="1"/>
        <v/>
      </c>
      <c r="P420" s="68">
        <f t="shared" si="4"/>
        <v>-1.23135</v>
      </c>
    </row>
    <row r="421">
      <c r="A421" s="64">
        <f t="shared" si="3"/>
        <v>420</v>
      </c>
      <c r="B421" s="64"/>
      <c r="C421" s="64"/>
      <c r="D421" s="64"/>
      <c r="E421" s="64"/>
      <c r="F421" s="64"/>
      <c r="G421" s="64"/>
      <c r="H421" s="64"/>
      <c r="I421" s="65"/>
      <c r="J421" s="65"/>
      <c r="K421" s="65"/>
      <c r="L421" s="66"/>
      <c r="M421" s="67"/>
      <c r="N421" s="64"/>
      <c r="O421" s="68" t="str">
        <f t="shared" si="1"/>
        <v/>
      </c>
      <c r="P421" s="68">
        <f t="shared" si="4"/>
        <v>-1.23135</v>
      </c>
    </row>
    <row r="422">
      <c r="A422" s="64">
        <f t="shared" si="3"/>
        <v>421</v>
      </c>
      <c r="B422" s="64"/>
      <c r="C422" s="64"/>
      <c r="D422" s="64"/>
      <c r="E422" s="64"/>
      <c r="F422" s="64"/>
      <c r="G422" s="64"/>
      <c r="H422" s="64"/>
      <c r="I422" s="65"/>
      <c r="J422" s="65"/>
      <c r="K422" s="65"/>
      <c r="L422" s="66"/>
      <c r="M422" s="67"/>
      <c r="N422" s="64"/>
      <c r="O422" s="68" t="str">
        <f t="shared" si="1"/>
        <v/>
      </c>
      <c r="P422" s="68">
        <f t="shared" si="4"/>
        <v>-1.23135</v>
      </c>
    </row>
    <row r="423">
      <c r="A423" s="64">
        <f t="shared" si="3"/>
        <v>422</v>
      </c>
      <c r="B423" s="64"/>
      <c r="C423" s="64"/>
      <c r="D423" s="64"/>
      <c r="E423" s="64"/>
      <c r="F423" s="64"/>
      <c r="G423" s="64"/>
      <c r="H423" s="64"/>
      <c r="I423" s="65"/>
      <c r="J423" s="65"/>
      <c r="K423" s="65"/>
      <c r="L423" s="66"/>
      <c r="M423" s="67"/>
      <c r="N423" s="64"/>
      <c r="O423" s="68" t="str">
        <f t="shared" si="1"/>
        <v/>
      </c>
      <c r="P423" s="68">
        <f t="shared" si="4"/>
        <v>-1.23135</v>
      </c>
    </row>
    <row r="424">
      <c r="A424" s="64">
        <f t="shared" si="3"/>
        <v>423</v>
      </c>
      <c r="B424" s="64"/>
      <c r="C424" s="64"/>
      <c r="D424" s="64"/>
      <c r="E424" s="64"/>
      <c r="F424" s="64"/>
      <c r="G424" s="64"/>
      <c r="H424" s="64"/>
      <c r="I424" s="65"/>
      <c r="J424" s="65"/>
      <c r="K424" s="65"/>
      <c r="L424" s="66"/>
      <c r="M424" s="67"/>
      <c r="N424" s="64"/>
      <c r="O424" s="68" t="str">
        <f t="shared" si="1"/>
        <v/>
      </c>
      <c r="P424" s="68">
        <f t="shared" si="4"/>
        <v>-1.23135</v>
      </c>
    </row>
    <row r="425">
      <c r="A425" s="64">
        <f t="shared" si="3"/>
        <v>424</v>
      </c>
      <c r="B425" s="64"/>
      <c r="C425" s="64"/>
      <c r="D425" s="64"/>
      <c r="E425" s="64"/>
      <c r="F425" s="64"/>
      <c r="G425" s="64"/>
      <c r="H425" s="64"/>
      <c r="I425" s="65"/>
      <c r="J425" s="65"/>
      <c r="K425" s="65"/>
      <c r="L425" s="66"/>
      <c r="M425" s="67"/>
      <c r="N425" s="64"/>
      <c r="O425" s="68" t="str">
        <f t="shared" si="1"/>
        <v/>
      </c>
      <c r="P425" s="68">
        <f t="shared" si="4"/>
        <v>-1.23135</v>
      </c>
    </row>
    <row r="426">
      <c r="A426" s="64">
        <f t="shared" si="3"/>
        <v>425</v>
      </c>
      <c r="B426" s="64"/>
      <c r="C426" s="64"/>
      <c r="D426" s="64"/>
      <c r="E426" s="64"/>
      <c r="F426" s="64"/>
      <c r="G426" s="64"/>
      <c r="H426" s="64"/>
      <c r="I426" s="65"/>
      <c r="J426" s="65"/>
      <c r="K426" s="65"/>
      <c r="L426" s="66"/>
      <c r="M426" s="67"/>
      <c r="N426" s="64"/>
      <c r="O426" s="68" t="str">
        <f t="shared" si="1"/>
        <v/>
      </c>
      <c r="P426" s="68">
        <f t="shared" si="4"/>
        <v>-1.23135</v>
      </c>
    </row>
    <row r="427">
      <c r="A427" s="64">
        <f t="shared" si="3"/>
        <v>426</v>
      </c>
      <c r="B427" s="64"/>
      <c r="C427" s="64"/>
      <c r="D427" s="64"/>
      <c r="E427" s="64"/>
      <c r="F427" s="64"/>
      <c r="G427" s="64"/>
      <c r="H427" s="64"/>
      <c r="I427" s="65"/>
      <c r="J427" s="65"/>
      <c r="K427" s="65"/>
      <c r="L427" s="66"/>
      <c r="M427" s="67"/>
      <c r="N427" s="64"/>
      <c r="O427" s="68" t="str">
        <f t="shared" si="1"/>
        <v/>
      </c>
      <c r="P427" s="68">
        <f t="shared" si="4"/>
        <v>-1.23135</v>
      </c>
    </row>
    <row r="428">
      <c r="A428" s="64">
        <f t="shared" si="3"/>
        <v>427</v>
      </c>
      <c r="B428" s="64"/>
      <c r="C428" s="64"/>
      <c r="D428" s="64"/>
      <c r="E428" s="64"/>
      <c r="F428" s="64"/>
      <c r="G428" s="64"/>
      <c r="H428" s="64"/>
      <c r="I428" s="65"/>
      <c r="J428" s="65"/>
      <c r="K428" s="65"/>
      <c r="L428" s="66"/>
      <c r="M428" s="67"/>
      <c r="N428" s="64"/>
      <c r="O428" s="68" t="str">
        <f t="shared" si="1"/>
        <v/>
      </c>
      <c r="P428" s="68">
        <f t="shared" si="4"/>
        <v>-1.23135</v>
      </c>
    </row>
    <row r="429">
      <c r="A429" s="64">
        <f t="shared" si="3"/>
        <v>428</v>
      </c>
      <c r="B429" s="64"/>
      <c r="C429" s="64"/>
      <c r="D429" s="64"/>
      <c r="E429" s="64"/>
      <c r="F429" s="64"/>
      <c r="G429" s="64"/>
      <c r="H429" s="64"/>
      <c r="I429" s="65"/>
      <c r="J429" s="65"/>
      <c r="K429" s="65"/>
      <c r="L429" s="66"/>
      <c r="M429" s="67"/>
      <c r="N429" s="64"/>
      <c r="O429" s="68" t="str">
        <f t="shared" si="1"/>
        <v/>
      </c>
      <c r="P429" s="68">
        <f t="shared" si="4"/>
        <v>-1.23135</v>
      </c>
    </row>
    <row r="430">
      <c r="A430" s="64">
        <f t="shared" si="3"/>
        <v>429</v>
      </c>
      <c r="B430" s="64"/>
      <c r="C430" s="64"/>
      <c r="D430" s="64"/>
      <c r="E430" s="64"/>
      <c r="F430" s="64"/>
      <c r="G430" s="64"/>
      <c r="H430" s="64"/>
      <c r="I430" s="65"/>
      <c r="J430" s="65"/>
      <c r="K430" s="65"/>
      <c r="L430" s="66"/>
      <c r="M430" s="67"/>
      <c r="N430" s="64"/>
      <c r="O430" s="68" t="str">
        <f t="shared" si="1"/>
        <v/>
      </c>
      <c r="P430" s="68">
        <f t="shared" si="4"/>
        <v>-1.23135</v>
      </c>
    </row>
    <row r="431">
      <c r="A431" s="64">
        <f t="shared" si="3"/>
        <v>430</v>
      </c>
      <c r="B431" s="64"/>
      <c r="C431" s="64"/>
      <c r="D431" s="64"/>
      <c r="E431" s="64"/>
      <c r="F431" s="64"/>
      <c r="G431" s="64"/>
      <c r="H431" s="64"/>
      <c r="I431" s="65"/>
      <c r="J431" s="65"/>
      <c r="K431" s="65"/>
      <c r="L431" s="66"/>
      <c r="M431" s="67"/>
      <c r="N431" s="64"/>
      <c r="O431" s="68" t="str">
        <f t="shared" si="1"/>
        <v/>
      </c>
      <c r="P431" s="68">
        <f t="shared" si="4"/>
        <v>-1.23135</v>
      </c>
    </row>
    <row r="432">
      <c r="A432" s="64">
        <f t="shared" si="3"/>
        <v>431</v>
      </c>
      <c r="B432" s="64"/>
      <c r="C432" s="64"/>
      <c r="D432" s="64"/>
      <c r="E432" s="64"/>
      <c r="F432" s="64"/>
      <c r="G432" s="64"/>
      <c r="H432" s="64"/>
      <c r="I432" s="65"/>
      <c r="J432" s="65"/>
      <c r="K432" s="65"/>
      <c r="L432" s="66"/>
      <c r="M432" s="67"/>
      <c r="N432" s="64"/>
      <c r="O432" s="68" t="str">
        <f t="shared" si="1"/>
        <v/>
      </c>
      <c r="P432" s="68">
        <f t="shared" si="4"/>
        <v>-1.23135</v>
      </c>
    </row>
    <row r="433">
      <c r="A433" s="64">
        <f t="shared" si="3"/>
        <v>432</v>
      </c>
      <c r="B433" s="64"/>
      <c r="C433" s="64"/>
      <c r="D433" s="64"/>
      <c r="E433" s="64"/>
      <c r="F433" s="64"/>
      <c r="G433" s="64"/>
      <c r="H433" s="64"/>
      <c r="I433" s="65"/>
      <c r="J433" s="65"/>
      <c r="K433" s="65"/>
      <c r="L433" s="66"/>
      <c r="M433" s="67"/>
      <c r="N433" s="64"/>
      <c r="O433" s="68" t="str">
        <f t="shared" si="1"/>
        <v/>
      </c>
      <c r="P433" s="68">
        <f t="shared" si="4"/>
        <v>-1.23135</v>
      </c>
    </row>
    <row r="434">
      <c r="A434" s="64">
        <f t="shared" si="3"/>
        <v>433</v>
      </c>
      <c r="B434" s="64"/>
      <c r="C434" s="64"/>
      <c r="D434" s="64"/>
      <c r="E434" s="64"/>
      <c r="F434" s="64"/>
      <c r="G434" s="64"/>
      <c r="H434" s="64"/>
      <c r="I434" s="65"/>
      <c r="J434" s="65"/>
      <c r="K434" s="65"/>
      <c r="L434" s="66"/>
      <c r="M434" s="67"/>
      <c r="N434" s="64"/>
      <c r="O434" s="68" t="str">
        <f t="shared" si="1"/>
        <v/>
      </c>
      <c r="P434" s="68">
        <f t="shared" si="4"/>
        <v>-1.23135</v>
      </c>
    </row>
    <row r="435">
      <c r="A435" s="64">
        <f t="shared" si="3"/>
        <v>434</v>
      </c>
      <c r="B435" s="64"/>
      <c r="C435" s="64"/>
      <c r="D435" s="64"/>
      <c r="E435" s="64"/>
      <c r="F435" s="64"/>
      <c r="G435" s="64"/>
      <c r="H435" s="64"/>
      <c r="I435" s="65"/>
      <c r="J435" s="65"/>
      <c r="K435" s="65"/>
      <c r="L435" s="66"/>
      <c r="M435" s="67"/>
      <c r="N435" s="64"/>
      <c r="O435" s="68" t="str">
        <f t="shared" si="1"/>
        <v/>
      </c>
      <c r="P435" s="68">
        <f t="shared" si="4"/>
        <v>-1.23135</v>
      </c>
    </row>
    <row r="436">
      <c r="A436" s="64">
        <f t="shared" si="3"/>
        <v>435</v>
      </c>
      <c r="B436" s="64"/>
      <c r="C436" s="64"/>
      <c r="D436" s="64"/>
      <c r="E436" s="64"/>
      <c r="F436" s="64"/>
      <c r="G436" s="64"/>
      <c r="H436" s="64"/>
      <c r="I436" s="65"/>
      <c r="J436" s="65"/>
      <c r="K436" s="65"/>
      <c r="L436" s="66"/>
      <c r="M436" s="67"/>
      <c r="N436" s="64"/>
      <c r="O436" s="68" t="str">
        <f t="shared" si="1"/>
        <v/>
      </c>
      <c r="P436" s="68">
        <f t="shared" si="4"/>
        <v>-1.23135</v>
      </c>
    </row>
    <row r="437">
      <c r="A437" s="64">
        <f t="shared" si="3"/>
        <v>436</v>
      </c>
      <c r="B437" s="64"/>
      <c r="C437" s="64"/>
      <c r="D437" s="64"/>
      <c r="E437" s="64"/>
      <c r="F437" s="64"/>
      <c r="G437" s="64"/>
      <c r="H437" s="64"/>
      <c r="I437" s="65"/>
      <c r="J437" s="65"/>
      <c r="K437" s="65"/>
      <c r="L437" s="66"/>
      <c r="M437" s="67"/>
      <c r="N437" s="64"/>
      <c r="O437" s="68" t="str">
        <f t="shared" si="1"/>
        <v/>
      </c>
      <c r="P437" s="68">
        <f t="shared" si="4"/>
        <v>-1.23135</v>
      </c>
    </row>
    <row r="438">
      <c r="A438" s="64">
        <f t="shared" si="3"/>
        <v>437</v>
      </c>
      <c r="B438" s="64"/>
      <c r="C438" s="64"/>
      <c r="D438" s="64"/>
      <c r="E438" s="64"/>
      <c r="F438" s="64"/>
      <c r="G438" s="64"/>
      <c r="H438" s="64"/>
      <c r="I438" s="65"/>
      <c r="J438" s="65"/>
      <c r="K438" s="65"/>
      <c r="L438" s="66"/>
      <c r="M438" s="67"/>
      <c r="N438" s="64"/>
      <c r="O438" s="68" t="str">
        <f t="shared" si="1"/>
        <v/>
      </c>
      <c r="P438" s="68">
        <f t="shared" si="4"/>
        <v>-1.23135</v>
      </c>
    </row>
    <row r="439">
      <c r="A439" s="64">
        <f t="shared" si="3"/>
        <v>438</v>
      </c>
      <c r="B439" s="64"/>
      <c r="C439" s="64"/>
      <c r="D439" s="64"/>
      <c r="E439" s="64"/>
      <c r="F439" s="64"/>
      <c r="G439" s="64"/>
      <c r="H439" s="64"/>
      <c r="I439" s="65"/>
      <c r="J439" s="65"/>
      <c r="K439" s="65"/>
      <c r="L439" s="66"/>
      <c r="M439" s="67"/>
      <c r="N439" s="64"/>
      <c r="O439" s="68" t="str">
        <f t="shared" si="1"/>
        <v/>
      </c>
      <c r="P439" s="68">
        <f t="shared" si="4"/>
        <v>-1.23135</v>
      </c>
    </row>
    <row r="440">
      <c r="A440" s="64">
        <f t="shared" si="3"/>
        <v>439</v>
      </c>
      <c r="B440" s="64"/>
      <c r="C440" s="64"/>
      <c r="D440" s="64"/>
      <c r="E440" s="64"/>
      <c r="F440" s="64"/>
      <c r="G440" s="64"/>
      <c r="H440" s="64"/>
      <c r="I440" s="65"/>
      <c r="J440" s="65"/>
      <c r="K440" s="65"/>
      <c r="L440" s="66"/>
      <c r="M440" s="67"/>
      <c r="N440" s="64"/>
      <c r="O440" s="68" t="str">
        <f t="shared" si="1"/>
        <v/>
      </c>
      <c r="P440" s="68">
        <f t="shared" si="4"/>
        <v>-1.23135</v>
      </c>
    </row>
    <row r="441">
      <c r="A441" s="64">
        <f t="shared" si="3"/>
        <v>440</v>
      </c>
      <c r="B441" s="64"/>
      <c r="C441" s="64"/>
      <c r="D441" s="64"/>
      <c r="E441" s="64"/>
      <c r="F441" s="64"/>
      <c r="G441" s="64"/>
      <c r="H441" s="64"/>
      <c r="I441" s="65"/>
      <c r="J441" s="65"/>
      <c r="K441" s="65"/>
      <c r="L441" s="88"/>
      <c r="M441" s="67"/>
      <c r="N441" s="64"/>
      <c r="O441" s="68" t="str">
        <f t="shared" si="1"/>
        <v/>
      </c>
      <c r="P441" s="68">
        <f t="shared" si="4"/>
        <v>-1.23135</v>
      </c>
    </row>
    <row r="442">
      <c r="A442" s="64">
        <f t="shared" si="3"/>
        <v>441</v>
      </c>
      <c r="B442" s="64"/>
      <c r="C442" s="64"/>
      <c r="D442" s="64"/>
      <c r="E442" s="64"/>
      <c r="F442" s="64"/>
      <c r="G442" s="64"/>
      <c r="H442" s="64"/>
      <c r="I442" s="65"/>
      <c r="J442" s="65"/>
      <c r="K442" s="65"/>
      <c r="L442" s="66"/>
      <c r="M442" s="67"/>
      <c r="N442" s="64"/>
      <c r="O442" s="68" t="str">
        <f t="shared" si="1"/>
        <v/>
      </c>
      <c r="P442" s="68">
        <f t="shared" si="4"/>
        <v>-1.23135</v>
      </c>
    </row>
    <row r="443">
      <c r="A443" s="64">
        <f t="shared" si="3"/>
        <v>442</v>
      </c>
      <c r="B443" s="64"/>
      <c r="C443" s="64"/>
      <c r="D443" s="64"/>
      <c r="E443" s="64"/>
      <c r="F443" s="64"/>
      <c r="G443" s="64"/>
      <c r="H443" s="64"/>
      <c r="I443" s="65"/>
      <c r="J443" s="65"/>
      <c r="K443" s="65"/>
      <c r="L443" s="66"/>
      <c r="M443" s="67"/>
      <c r="N443" s="64"/>
      <c r="O443" s="68" t="str">
        <f t="shared" si="1"/>
        <v/>
      </c>
      <c r="P443" s="68">
        <f t="shared" si="4"/>
        <v>-1.23135</v>
      </c>
    </row>
    <row r="444">
      <c r="A444" s="64">
        <f t="shared" si="3"/>
        <v>443</v>
      </c>
      <c r="B444" s="64"/>
      <c r="C444" s="64"/>
      <c r="D444" s="64"/>
      <c r="E444" s="64"/>
      <c r="F444" s="64"/>
      <c r="G444" s="64"/>
      <c r="H444" s="64"/>
      <c r="I444" s="65"/>
      <c r="J444" s="65"/>
      <c r="K444" s="65"/>
      <c r="L444" s="66"/>
      <c r="M444" s="67"/>
      <c r="N444" s="64"/>
      <c r="O444" s="68" t="str">
        <f t="shared" si="1"/>
        <v/>
      </c>
      <c r="P444" s="68">
        <f t="shared" si="4"/>
        <v>-1.23135</v>
      </c>
    </row>
    <row r="445">
      <c r="A445" s="64">
        <f t="shared" si="3"/>
        <v>444</v>
      </c>
      <c r="B445" s="64"/>
      <c r="C445" s="64"/>
      <c r="D445" s="64"/>
      <c r="E445" s="64"/>
      <c r="F445" s="64"/>
      <c r="G445" s="64"/>
      <c r="H445" s="64"/>
      <c r="I445" s="65"/>
      <c r="J445" s="65"/>
      <c r="K445" s="65"/>
      <c r="L445" s="66"/>
      <c r="M445" s="67"/>
      <c r="N445" s="64"/>
      <c r="O445" s="68" t="str">
        <f t="shared" si="1"/>
        <v/>
      </c>
      <c r="P445" s="68">
        <f t="shared" si="4"/>
        <v>-1.23135</v>
      </c>
    </row>
    <row r="446">
      <c r="A446" s="64">
        <f t="shared" si="3"/>
        <v>445</v>
      </c>
      <c r="B446" s="64"/>
      <c r="C446" s="64"/>
      <c r="D446" s="64"/>
      <c r="E446" s="64"/>
      <c r="F446" s="64"/>
      <c r="G446" s="64"/>
      <c r="H446" s="64"/>
      <c r="I446" s="65"/>
      <c r="J446" s="65"/>
      <c r="K446" s="65"/>
      <c r="L446" s="66"/>
      <c r="M446" s="67"/>
      <c r="N446" s="64"/>
      <c r="O446" s="68" t="str">
        <f t="shared" si="1"/>
        <v/>
      </c>
      <c r="P446" s="68">
        <f t="shared" si="4"/>
        <v>-1.23135</v>
      </c>
    </row>
    <row r="447">
      <c r="A447" s="64">
        <f t="shared" si="3"/>
        <v>446</v>
      </c>
      <c r="B447" s="64"/>
      <c r="C447" s="64"/>
      <c r="D447" s="64"/>
      <c r="E447" s="64"/>
      <c r="F447" s="64"/>
      <c r="G447" s="64"/>
      <c r="H447" s="64"/>
      <c r="I447" s="65"/>
      <c r="J447" s="65"/>
      <c r="K447" s="65"/>
      <c r="L447" s="66"/>
      <c r="M447" s="67"/>
      <c r="N447" s="64"/>
      <c r="O447" s="68" t="str">
        <f t="shared" si="1"/>
        <v/>
      </c>
      <c r="P447" s="68">
        <f t="shared" si="4"/>
        <v>-1.23135</v>
      </c>
    </row>
    <row r="448">
      <c r="A448" s="64">
        <f t="shared" si="3"/>
        <v>447</v>
      </c>
      <c r="B448" s="64"/>
      <c r="C448" s="64"/>
      <c r="D448" s="64"/>
      <c r="E448" s="64"/>
      <c r="F448" s="64"/>
      <c r="G448" s="64"/>
      <c r="H448" s="64"/>
      <c r="I448" s="65"/>
      <c r="J448" s="65"/>
      <c r="K448" s="65"/>
      <c r="L448" s="66"/>
      <c r="M448" s="67"/>
      <c r="N448" s="64"/>
      <c r="O448" s="68" t="str">
        <f t="shared" si="1"/>
        <v/>
      </c>
      <c r="P448" s="68">
        <f t="shared" si="4"/>
        <v>-1.23135</v>
      </c>
    </row>
    <row r="449">
      <c r="A449" s="64">
        <f t="shared" si="3"/>
        <v>448</v>
      </c>
      <c r="B449" s="64"/>
      <c r="C449" s="64"/>
      <c r="D449" s="64"/>
      <c r="E449" s="64"/>
      <c r="F449" s="64"/>
      <c r="G449" s="64"/>
      <c r="H449" s="64"/>
      <c r="I449" s="65"/>
      <c r="J449" s="65"/>
      <c r="K449" s="65"/>
      <c r="L449" s="88"/>
      <c r="M449" s="67"/>
      <c r="N449" s="64"/>
      <c r="O449" s="68" t="str">
        <f t="shared" si="1"/>
        <v/>
      </c>
      <c r="P449" s="68">
        <f t="shared" si="4"/>
        <v>-1.23135</v>
      </c>
    </row>
    <row r="450">
      <c r="A450" s="64">
        <f t="shared" si="3"/>
        <v>449</v>
      </c>
      <c r="B450" s="64"/>
      <c r="C450" s="64"/>
      <c r="D450" s="64"/>
      <c r="E450" s="64"/>
      <c r="F450" s="64"/>
      <c r="G450" s="64"/>
      <c r="H450" s="64"/>
      <c r="I450" s="65"/>
      <c r="J450" s="65"/>
      <c r="K450" s="65"/>
      <c r="L450" s="66"/>
      <c r="M450" s="67"/>
      <c r="N450" s="64"/>
      <c r="O450" s="68" t="str">
        <f t="shared" si="1"/>
        <v/>
      </c>
      <c r="P450" s="68">
        <f t="shared" si="4"/>
        <v>-1.23135</v>
      </c>
    </row>
    <row r="451">
      <c r="A451" s="64">
        <f t="shared" si="3"/>
        <v>450</v>
      </c>
      <c r="B451" s="64"/>
      <c r="C451" s="64"/>
      <c r="D451" s="64"/>
      <c r="E451" s="64"/>
      <c r="F451" s="64"/>
      <c r="G451" s="64"/>
      <c r="H451" s="64"/>
      <c r="I451" s="65"/>
      <c r="J451" s="65"/>
      <c r="K451" s="65"/>
      <c r="L451" s="66"/>
      <c r="M451" s="67"/>
      <c r="N451" s="64"/>
      <c r="O451" s="68" t="str">
        <f t="shared" si="1"/>
        <v/>
      </c>
      <c r="P451" s="68">
        <f t="shared" si="4"/>
        <v>-1.23135</v>
      </c>
    </row>
    <row r="452">
      <c r="A452" s="64">
        <f t="shared" si="3"/>
        <v>451</v>
      </c>
      <c r="B452" s="64"/>
      <c r="C452" s="64"/>
      <c r="D452" s="64"/>
      <c r="E452" s="64"/>
      <c r="F452" s="64"/>
      <c r="G452" s="64"/>
      <c r="H452" s="64"/>
      <c r="I452" s="65"/>
      <c r="J452" s="65"/>
      <c r="K452" s="65"/>
      <c r="L452" s="66"/>
      <c r="M452" s="67"/>
      <c r="N452" s="64"/>
      <c r="O452" s="68" t="str">
        <f t="shared" si="1"/>
        <v/>
      </c>
      <c r="P452" s="68">
        <f t="shared" si="4"/>
        <v>-1.23135</v>
      </c>
    </row>
    <row r="453">
      <c r="A453" s="64">
        <f t="shared" si="3"/>
        <v>452</v>
      </c>
      <c r="B453" s="64"/>
      <c r="C453" s="64"/>
      <c r="D453" s="64"/>
      <c r="E453" s="64"/>
      <c r="F453" s="64"/>
      <c r="G453" s="64"/>
      <c r="H453" s="64"/>
      <c r="I453" s="65"/>
      <c r="J453" s="65"/>
      <c r="K453" s="65"/>
      <c r="L453" s="66"/>
      <c r="M453" s="67"/>
      <c r="N453" s="64"/>
      <c r="O453" s="68" t="str">
        <f t="shared" si="1"/>
        <v/>
      </c>
      <c r="P453" s="68">
        <f t="shared" si="4"/>
        <v>-1.23135</v>
      </c>
    </row>
    <row r="454">
      <c r="A454" s="64">
        <f t="shared" si="3"/>
        <v>453</v>
      </c>
      <c r="B454" s="64"/>
      <c r="C454" s="64"/>
      <c r="D454" s="64"/>
      <c r="E454" s="64"/>
      <c r="F454" s="64"/>
      <c r="G454" s="64"/>
      <c r="H454" s="64"/>
      <c r="I454" s="65"/>
      <c r="J454" s="65"/>
      <c r="K454" s="65"/>
      <c r="L454" s="66"/>
      <c r="M454" s="67"/>
      <c r="N454" s="64"/>
      <c r="O454" s="68" t="str">
        <f t="shared" si="1"/>
        <v/>
      </c>
      <c r="P454" s="68">
        <f t="shared" si="4"/>
        <v>-1.23135</v>
      </c>
    </row>
    <row r="455">
      <c r="A455" s="64">
        <f t="shared" si="3"/>
        <v>454</v>
      </c>
      <c r="B455" s="64"/>
      <c r="C455" s="64"/>
      <c r="D455" s="64"/>
      <c r="E455" s="64"/>
      <c r="F455" s="64"/>
      <c r="G455" s="64"/>
      <c r="H455" s="64"/>
      <c r="I455" s="65"/>
      <c r="J455" s="65"/>
      <c r="K455" s="65"/>
      <c r="L455" s="66"/>
      <c r="M455" s="67"/>
      <c r="N455" s="64"/>
      <c r="O455" s="68" t="str">
        <f t="shared" si="1"/>
        <v/>
      </c>
      <c r="P455" s="68">
        <f t="shared" si="4"/>
        <v>-1.23135</v>
      </c>
    </row>
    <row r="456">
      <c r="A456" s="64">
        <f t="shared" si="3"/>
        <v>455</v>
      </c>
      <c r="B456" s="64"/>
      <c r="C456" s="64"/>
      <c r="D456" s="64"/>
      <c r="E456" s="64"/>
      <c r="F456" s="64"/>
      <c r="G456" s="64"/>
      <c r="H456" s="64"/>
      <c r="I456" s="65"/>
      <c r="J456" s="65"/>
      <c r="K456" s="65"/>
      <c r="L456" s="66"/>
      <c r="M456" s="67"/>
      <c r="N456" s="64"/>
      <c r="O456" s="68" t="str">
        <f t="shared" si="1"/>
        <v/>
      </c>
      <c r="P456" s="68">
        <f t="shared" si="4"/>
        <v>-1.23135</v>
      </c>
    </row>
    <row r="457">
      <c r="A457" s="64">
        <f t="shared" si="3"/>
        <v>456</v>
      </c>
      <c r="B457" s="64"/>
      <c r="C457" s="64"/>
      <c r="D457" s="64"/>
      <c r="E457" s="64"/>
      <c r="F457" s="64"/>
      <c r="G457" s="64"/>
      <c r="H457" s="64"/>
      <c r="I457" s="65"/>
      <c r="J457" s="65"/>
      <c r="K457" s="65"/>
      <c r="L457" s="66"/>
      <c r="M457" s="67"/>
      <c r="N457" s="64"/>
      <c r="O457" s="68" t="str">
        <f t="shared" si="1"/>
        <v/>
      </c>
      <c r="P457" s="68">
        <f t="shared" si="4"/>
        <v>-1.23135</v>
      </c>
    </row>
    <row r="458">
      <c r="A458" s="64">
        <f t="shared" si="3"/>
        <v>457</v>
      </c>
      <c r="B458" s="64"/>
      <c r="C458" s="64"/>
      <c r="D458" s="64"/>
      <c r="E458" s="64"/>
      <c r="F458" s="64"/>
      <c r="G458" s="64"/>
      <c r="H458" s="64"/>
      <c r="I458" s="65"/>
      <c r="J458" s="65"/>
      <c r="K458" s="65"/>
      <c r="L458" s="66"/>
      <c r="M458" s="67"/>
      <c r="N458" s="64"/>
      <c r="O458" s="68" t="str">
        <f t="shared" si="1"/>
        <v/>
      </c>
      <c r="P458" s="68">
        <f t="shared" si="4"/>
        <v>-1.23135</v>
      </c>
    </row>
    <row r="459">
      <c r="A459" s="64">
        <f t="shared" si="3"/>
        <v>458</v>
      </c>
      <c r="B459" s="64"/>
      <c r="C459" s="64"/>
      <c r="D459" s="64"/>
      <c r="E459" s="64"/>
      <c r="F459" s="64"/>
      <c r="G459" s="64"/>
      <c r="H459" s="64"/>
      <c r="I459" s="65"/>
      <c r="J459" s="65"/>
      <c r="K459" s="65"/>
      <c r="L459" s="66"/>
      <c r="M459" s="67"/>
      <c r="N459" s="64"/>
      <c r="O459" s="68" t="str">
        <f t="shared" si="1"/>
        <v/>
      </c>
      <c r="P459" s="68">
        <f t="shared" si="4"/>
        <v>-1.23135</v>
      </c>
    </row>
    <row r="460">
      <c r="A460" s="64">
        <f t="shared" si="3"/>
        <v>459</v>
      </c>
      <c r="B460" s="64"/>
      <c r="C460" s="64"/>
      <c r="D460" s="64"/>
      <c r="E460" s="64"/>
      <c r="F460" s="64"/>
      <c r="G460" s="64"/>
      <c r="H460" s="64"/>
      <c r="I460" s="65"/>
      <c r="J460" s="65"/>
      <c r="K460" s="65"/>
      <c r="L460" s="66"/>
      <c r="M460" s="67"/>
      <c r="N460" s="64"/>
      <c r="O460" s="68" t="str">
        <f t="shared" si="1"/>
        <v/>
      </c>
      <c r="P460" s="68">
        <f t="shared" si="4"/>
        <v>-1.23135</v>
      </c>
    </row>
    <row r="461">
      <c r="A461" s="64">
        <f t="shared" si="3"/>
        <v>460</v>
      </c>
      <c r="B461" s="64"/>
      <c r="C461" s="64"/>
      <c r="D461" s="64"/>
      <c r="E461" s="64"/>
      <c r="F461" s="64"/>
      <c r="G461" s="64"/>
      <c r="H461" s="64"/>
      <c r="I461" s="65"/>
      <c r="J461" s="65"/>
      <c r="K461" s="65"/>
      <c r="L461" s="66"/>
      <c r="M461" s="67"/>
      <c r="N461" s="64"/>
      <c r="O461" s="68" t="str">
        <f t="shared" si="1"/>
        <v/>
      </c>
      <c r="P461" s="68">
        <f t="shared" si="4"/>
        <v>-1.23135</v>
      </c>
    </row>
    <row r="462">
      <c r="A462" s="64">
        <f t="shared" si="3"/>
        <v>461</v>
      </c>
      <c r="B462" s="64"/>
      <c r="C462" s="64"/>
      <c r="D462" s="64"/>
      <c r="E462" s="64"/>
      <c r="F462" s="64"/>
      <c r="G462" s="64"/>
      <c r="H462" s="64"/>
      <c r="I462" s="65"/>
      <c r="J462" s="65"/>
      <c r="K462" s="65"/>
      <c r="L462" s="66"/>
      <c r="M462" s="67"/>
      <c r="N462" s="64"/>
      <c r="O462" s="68" t="str">
        <f t="shared" si="1"/>
        <v/>
      </c>
      <c r="P462" s="68">
        <f t="shared" si="4"/>
        <v>-1.23135</v>
      </c>
    </row>
    <row r="463">
      <c r="A463" s="64">
        <f t="shared" si="3"/>
        <v>462</v>
      </c>
      <c r="B463" s="64"/>
      <c r="C463" s="64"/>
      <c r="D463" s="64"/>
      <c r="E463" s="64"/>
      <c r="F463" s="64"/>
      <c r="G463" s="64"/>
      <c r="H463" s="64"/>
      <c r="I463" s="65"/>
      <c r="J463" s="65"/>
      <c r="K463" s="65"/>
      <c r="L463" s="66"/>
      <c r="M463" s="67"/>
      <c r="N463" s="64"/>
      <c r="O463" s="68" t="str">
        <f t="shared" si="1"/>
        <v/>
      </c>
      <c r="P463" s="68">
        <f t="shared" si="4"/>
        <v>-1.23135</v>
      </c>
    </row>
    <row r="464">
      <c r="A464" s="64">
        <f t="shared" si="3"/>
        <v>463</v>
      </c>
      <c r="B464" s="64"/>
      <c r="C464" s="64"/>
      <c r="D464" s="64"/>
      <c r="E464" s="64"/>
      <c r="F464" s="64"/>
      <c r="G464" s="64"/>
      <c r="H464" s="64"/>
      <c r="I464" s="65"/>
      <c r="J464" s="65"/>
      <c r="K464" s="65"/>
      <c r="L464" s="66"/>
      <c r="M464" s="67"/>
      <c r="N464" s="64"/>
      <c r="O464" s="68" t="str">
        <f t="shared" si="1"/>
        <v/>
      </c>
      <c r="P464" s="68">
        <f t="shared" si="4"/>
        <v>-1.23135</v>
      </c>
    </row>
    <row r="465">
      <c r="A465" s="64">
        <f t="shared" si="3"/>
        <v>464</v>
      </c>
      <c r="B465" s="64"/>
      <c r="C465" s="64"/>
      <c r="D465" s="64"/>
      <c r="E465" s="64"/>
      <c r="F465" s="64"/>
      <c r="G465" s="64"/>
      <c r="H465" s="64"/>
      <c r="I465" s="65"/>
      <c r="J465" s="65"/>
      <c r="K465" s="65"/>
      <c r="L465" s="88"/>
      <c r="M465" s="67"/>
      <c r="N465" s="64"/>
      <c r="O465" s="68" t="str">
        <f t="shared" si="1"/>
        <v/>
      </c>
      <c r="P465" s="68">
        <f t="shared" si="4"/>
        <v>-1.23135</v>
      </c>
    </row>
    <row r="466">
      <c r="A466" s="64">
        <f t="shared" si="3"/>
        <v>465</v>
      </c>
      <c r="B466" s="64"/>
      <c r="C466" s="64"/>
      <c r="D466" s="64"/>
      <c r="E466" s="64"/>
      <c r="F466" s="64"/>
      <c r="G466" s="64"/>
      <c r="H466" s="64"/>
      <c r="I466" s="65"/>
      <c r="J466" s="65"/>
      <c r="K466" s="65"/>
      <c r="L466" s="88"/>
      <c r="M466" s="67"/>
      <c r="N466" s="64"/>
      <c r="O466" s="68" t="str">
        <f t="shared" si="1"/>
        <v/>
      </c>
      <c r="P466" s="68">
        <f t="shared" si="4"/>
        <v>-1.23135</v>
      </c>
    </row>
    <row r="467">
      <c r="A467" s="64">
        <f t="shared" si="3"/>
        <v>466</v>
      </c>
      <c r="B467" s="64"/>
      <c r="C467" s="64"/>
      <c r="D467" s="64"/>
      <c r="E467" s="64"/>
      <c r="F467" s="64"/>
      <c r="G467" s="64"/>
      <c r="H467" s="64"/>
      <c r="I467" s="65"/>
      <c r="J467" s="65"/>
      <c r="K467" s="65"/>
      <c r="L467" s="66"/>
      <c r="M467" s="67"/>
      <c r="N467" s="64"/>
      <c r="O467" s="68" t="str">
        <f t="shared" si="1"/>
        <v/>
      </c>
      <c r="P467" s="68">
        <f t="shared" si="4"/>
        <v>-1.23135</v>
      </c>
    </row>
    <row r="468">
      <c r="A468" s="64">
        <f t="shared" si="3"/>
        <v>467</v>
      </c>
      <c r="B468" s="64"/>
      <c r="C468" s="64"/>
      <c r="D468" s="64"/>
      <c r="E468" s="64"/>
      <c r="F468" s="64"/>
      <c r="G468" s="64"/>
      <c r="H468" s="64"/>
      <c r="I468" s="65"/>
      <c r="J468" s="65"/>
      <c r="K468" s="65"/>
      <c r="L468" s="66"/>
      <c r="M468" s="67"/>
      <c r="N468" s="64"/>
      <c r="O468" s="68" t="str">
        <f t="shared" si="1"/>
        <v/>
      </c>
      <c r="P468" s="68">
        <f t="shared" si="4"/>
        <v>-1.23135</v>
      </c>
    </row>
    <row r="469">
      <c r="A469" s="64">
        <f t="shared" si="3"/>
        <v>468</v>
      </c>
      <c r="B469" s="64"/>
      <c r="C469" s="64"/>
      <c r="D469" s="64"/>
      <c r="E469" s="64"/>
      <c r="F469" s="64"/>
      <c r="G469" s="64"/>
      <c r="H469" s="64"/>
      <c r="I469" s="65"/>
      <c r="J469" s="65"/>
      <c r="K469" s="65"/>
      <c r="L469" s="66"/>
      <c r="M469" s="67"/>
      <c r="N469" s="64"/>
      <c r="O469" s="68" t="str">
        <f t="shared" si="1"/>
        <v/>
      </c>
      <c r="P469" s="68">
        <f t="shared" si="4"/>
        <v>-1.23135</v>
      </c>
    </row>
    <row r="470">
      <c r="A470" s="64">
        <f t="shared" si="3"/>
        <v>469</v>
      </c>
      <c r="B470" s="64"/>
      <c r="C470" s="64"/>
      <c r="D470" s="64"/>
      <c r="E470" s="64"/>
      <c r="F470" s="64"/>
      <c r="G470" s="64"/>
      <c r="H470" s="64"/>
      <c r="I470" s="65"/>
      <c r="J470" s="65"/>
      <c r="K470" s="65"/>
      <c r="L470" s="66"/>
      <c r="M470" s="67"/>
      <c r="N470" s="64"/>
      <c r="O470" s="68" t="str">
        <f t="shared" si="1"/>
        <v/>
      </c>
      <c r="P470" s="68">
        <f t="shared" si="4"/>
        <v>-1.23135</v>
      </c>
    </row>
    <row r="471">
      <c r="A471" s="64">
        <f t="shared" si="3"/>
        <v>470</v>
      </c>
      <c r="B471" s="64"/>
      <c r="C471" s="64"/>
      <c r="D471" s="64"/>
      <c r="E471" s="64"/>
      <c r="F471" s="64"/>
      <c r="G471" s="64"/>
      <c r="H471" s="64"/>
      <c r="I471" s="65"/>
      <c r="J471" s="65"/>
      <c r="K471" s="65"/>
      <c r="L471" s="66"/>
      <c r="M471" s="67"/>
      <c r="N471" s="64"/>
      <c r="O471" s="68" t="str">
        <f t="shared" si="1"/>
        <v/>
      </c>
      <c r="P471" s="68">
        <f t="shared" si="4"/>
        <v>-1.23135</v>
      </c>
    </row>
    <row r="472">
      <c r="A472" s="64">
        <f t="shared" si="3"/>
        <v>471</v>
      </c>
      <c r="B472" s="64"/>
      <c r="C472" s="64"/>
      <c r="D472" s="64"/>
      <c r="E472" s="64"/>
      <c r="F472" s="64"/>
      <c r="G472" s="64"/>
      <c r="H472" s="64"/>
      <c r="I472" s="65"/>
      <c r="J472" s="65"/>
      <c r="K472" s="65"/>
      <c r="L472" s="66"/>
      <c r="M472" s="67"/>
      <c r="N472" s="64"/>
      <c r="O472" s="68" t="str">
        <f t="shared" si="1"/>
        <v/>
      </c>
      <c r="P472" s="68">
        <f t="shared" si="4"/>
        <v>-1.23135</v>
      </c>
    </row>
    <row r="473">
      <c r="A473" s="64">
        <f t="shared" si="3"/>
        <v>472</v>
      </c>
      <c r="B473" s="64"/>
      <c r="C473" s="64"/>
      <c r="D473" s="64"/>
      <c r="E473" s="64"/>
      <c r="F473" s="64"/>
      <c r="G473" s="64"/>
      <c r="H473" s="64"/>
      <c r="I473" s="65"/>
      <c r="J473" s="65"/>
      <c r="K473" s="65"/>
      <c r="L473" s="88"/>
      <c r="M473" s="67"/>
      <c r="N473" s="64"/>
      <c r="O473" s="68" t="str">
        <f t="shared" si="1"/>
        <v/>
      </c>
      <c r="P473" s="68">
        <f t="shared" si="4"/>
        <v>-1.23135</v>
      </c>
    </row>
    <row r="474">
      <c r="A474" s="64">
        <f t="shared" si="3"/>
        <v>473</v>
      </c>
      <c r="B474" s="64"/>
      <c r="C474" s="64"/>
      <c r="D474" s="64"/>
      <c r="E474" s="64"/>
      <c r="F474" s="64"/>
      <c r="G474" s="64"/>
      <c r="H474" s="64"/>
      <c r="I474" s="65"/>
      <c r="J474" s="65"/>
      <c r="K474" s="65"/>
      <c r="L474" s="66"/>
      <c r="M474" s="67"/>
      <c r="N474" s="64"/>
      <c r="O474" s="68" t="str">
        <f t="shared" si="1"/>
        <v/>
      </c>
      <c r="P474" s="68">
        <f t="shared" si="4"/>
        <v>-1.23135</v>
      </c>
    </row>
    <row r="475">
      <c r="A475" s="64">
        <f t="shared" si="3"/>
        <v>474</v>
      </c>
      <c r="B475" s="64"/>
      <c r="C475" s="64"/>
      <c r="D475" s="64"/>
      <c r="E475" s="64"/>
      <c r="F475" s="64"/>
      <c r="G475" s="64"/>
      <c r="H475" s="64"/>
      <c r="I475" s="65"/>
      <c r="J475" s="65"/>
      <c r="K475" s="65"/>
      <c r="L475" s="66"/>
      <c r="M475" s="67"/>
      <c r="N475" s="64"/>
      <c r="O475" s="68" t="str">
        <f t="shared" si="1"/>
        <v/>
      </c>
      <c r="P475" s="68">
        <f t="shared" si="4"/>
        <v>-1.23135</v>
      </c>
    </row>
    <row r="476">
      <c r="A476" s="64">
        <f t="shared" si="3"/>
        <v>475</v>
      </c>
      <c r="B476" s="64"/>
      <c r="C476" s="64"/>
      <c r="D476" s="64"/>
      <c r="E476" s="64"/>
      <c r="F476" s="64"/>
      <c r="G476" s="64"/>
      <c r="H476" s="64"/>
      <c r="I476" s="65"/>
      <c r="J476" s="65"/>
      <c r="K476" s="65"/>
      <c r="L476" s="66"/>
      <c r="M476" s="67"/>
      <c r="N476" s="64"/>
      <c r="O476" s="68" t="str">
        <f t="shared" si="1"/>
        <v/>
      </c>
      <c r="P476" s="68">
        <f t="shared" si="4"/>
        <v>-1.23135</v>
      </c>
    </row>
    <row r="477">
      <c r="A477" s="64">
        <f t="shared" si="3"/>
        <v>476</v>
      </c>
      <c r="B477" s="64"/>
      <c r="C477" s="64"/>
      <c r="D477" s="64"/>
      <c r="E477" s="64"/>
      <c r="F477" s="64"/>
      <c r="G477" s="64"/>
      <c r="H477" s="64"/>
      <c r="I477" s="65"/>
      <c r="J477" s="65"/>
      <c r="K477" s="65"/>
      <c r="L477" s="66"/>
      <c r="M477" s="67"/>
      <c r="N477" s="64"/>
      <c r="O477" s="68" t="str">
        <f t="shared" si="1"/>
        <v/>
      </c>
      <c r="P477" s="68">
        <f t="shared" si="4"/>
        <v>-1.23135</v>
      </c>
    </row>
    <row r="478">
      <c r="A478" s="64">
        <f t="shared" si="3"/>
        <v>477</v>
      </c>
      <c r="B478" s="64"/>
      <c r="C478" s="64"/>
      <c r="D478" s="64"/>
      <c r="E478" s="64"/>
      <c r="F478" s="64"/>
      <c r="G478" s="64"/>
      <c r="H478" s="64"/>
      <c r="I478" s="65"/>
      <c r="J478" s="65"/>
      <c r="K478" s="65"/>
      <c r="L478" s="66"/>
      <c r="M478" s="67"/>
      <c r="N478" s="64"/>
      <c r="O478" s="68" t="str">
        <f t="shared" si="1"/>
        <v/>
      </c>
      <c r="P478" s="68">
        <f t="shared" si="4"/>
        <v>-1.23135</v>
      </c>
    </row>
    <row r="479">
      <c r="A479" s="64">
        <f t="shared" si="3"/>
        <v>478</v>
      </c>
      <c r="B479" s="64"/>
      <c r="C479" s="64"/>
      <c r="D479" s="64"/>
      <c r="E479" s="64"/>
      <c r="F479" s="64"/>
      <c r="G479" s="64"/>
      <c r="H479" s="64"/>
      <c r="I479" s="65"/>
      <c r="J479" s="65"/>
      <c r="K479" s="65"/>
      <c r="L479" s="66"/>
      <c r="M479" s="67"/>
      <c r="N479" s="64"/>
      <c r="O479" s="68" t="str">
        <f t="shared" si="1"/>
        <v/>
      </c>
      <c r="P479" s="68">
        <f t="shared" si="4"/>
        <v>-1.23135</v>
      </c>
    </row>
    <row r="480">
      <c r="A480" s="64">
        <f t="shared" si="3"/>
        <v>479</v>
      </c>
      <c r="B480" s="64"/>
      <c r="C480" s="64"/>
      <c r="D480" s="64"/>
      <c r="E480" s="64"/>
      <c r="F480" s="64"/>
      <c r="G480" s="64"/>
      <c r="H480" s="64"/>
      <c r="I480" s="65"/>
      <c r="J480" s="65"/>
      <c r="K480" s="65"/>
      <c r="L480" s="66"/>
      <c r="M480" s="67"/>
      <c r="N480" s="64"/>
      <c r="O480" s="68" t="str">
        <f t="shared" si="1"/>
        <v/>
      </c>
      <c r="P480" s="68">
        <f t="shared" si="4"/>
        <v>-1.23135</v>
      </c>
    </row>
    <row r="481">
      <c r="A481" s="64">
        <f t="shared" si="3"/>
        <v>480</v>
      </c>
      <c r="B481" s="64"/>
      <c r="C481" s="64"/>
      <c r="D481" s="64"/>
      <c r="E481" s="64"/>
      <c r="F481" s="64"/>
      <c r="G481" s="64"/>
      <c r="H481" s="64"/>
      <c r="I481" s="65"/>
      <c r="J481" s="65"/>
      <c r="K481" s="65"/>
      <c r="L481" s="88"/>
      <c r="M481" s="67"/>
      <c r="N481" s="64"/>
      <c r="O481" s="68" t="str">
        <f t="shared" si="1"/>
        <v/>
      </c>
      <c r="P481" s="68">
        <f t="shared" si="4"/>
        <v>-1.23135</v>
      </c>
    </row>
    <row r="482">
      <c r="A482" s="64">
        <f t="shared" si="3"/>
        <v>481</v>
      </c>
      <c r="B482" s="64"/>
      <c r="C482" s="64"/>
      <c r="D482" s="64"/>
      <c r="E482" s="64"/>
      <c r="F482" s="64"/>
      <c r="G482" s="64"/>
      <c r="H482" s="64"/>
      <c r="I482" s="65"/>
      <c r="J482" s="65"/>
      <c r="K482" s="65"/>
      <c r="L482" s="66"/>
      <c r="M482" s="67"/>
      <c r="N482" s="64"/>
      <c r="O482" s="68" t="str">
        <f t="shared" si="1"/>
        <v/>
      </c>
      <c r="P482" s="68">
        <f t="shared" si="4"/>
        <v>-1.23135</v>
      </c>
    </row>
    <row r="483">
      <c r="A483" s="64">
        <f t="shared" si="3"/>
        <v>482</v>
      </c>
      <c r="B483" s="64"/>
      <c r="C483" s="64"/>
      <c r="D483" s="64"/>
      <c r="E483" s="64"/>
      <c r="F483" s="64"/>
      <c r="G483" s="64"/>
      <c r="H483" s="64"/>
      <c r="I483" s="65"/>
      <c r="J483" s="65"/>
      <c r="K483" s="65"/>
      <c r="L483" s="66"/>
      <c r="M483" s="67"/>
      <c r="N483" s="64"/>
      <c r="O483" s="68" t="str">
        <f t="shared" si="1"/>
        <v/>
      </c>
      <c r="P483" s="68">
        <f t="shared" si="4"/>
        <v>-1.23135</v>
      </c>
    </row>
    <row r="484">
      <c r="A484" s="64">
        <f t="shared" si="3"/>
        <v>483</v>
      </c>
      <c r="B484" s="64"/>
      <c r="C484" s="64"/>
      <c r="D484" s="64"/>
      <c r="E484" s="64"/>
      <c r="F484" s="64"/>
      <c r="G484" s="64"/>
      <c r="H484" s="64"/>
      <c r="I484" s="65"/>
      <c r="J484" s="65"/>
      <c r="K484" s="65"/>
      <c r="L484" s="66"/>
      <c r="M484" s="67"/>
      <c r="N484" s="64"/>
      <c r="O484" s="68" t="str">
        <f t="shared" si="1"/>
        <v/>
      </c>
      <c r="P484" s="68">
        <f t="shared" si="4"/>
        <v>-1.23135</v>
      </c>
    </row>
    <row r="485">
      <c r="A485" s="64">
        <f t="shared" si="3"/>
        <v>484</v>
      </c>
      <c r="B485" s="64"/>
      <c r="C485" s="64"/>
      <c r="D485" s="64"/>
      <c r="E485" s="64"/>
      <c r="F485" s="64"/>
      <c r="G485" s="64"/>
      <c r="H485" s="64"/>
      <c r="I485" s="65"/>
      <c r="J485" s="65"/>
      <c r="K485" s="65"/>
      <c r="L485" s="66"/>
      <c r="M485" s="67"/>
      <c r="N485" s="64"/>
      <c r="O485" s="68" t="str">
        <f t="shared" si="1"/>
        <v/>
      </c>
      <c r="P485" s="68">
        <f t="shared" si="4"/>
        <v>-1.23135</v>
      </c>
    </row>
    <row r="486">
      <c r="A486" s="64">
        <f t="shared" si="3"/>
        <v>485</v>
      </c>
      <c r="B486" s="64"/>
      <c r="C486" s="64"/>
      <c r="D486" s="64"/>
      <c r="E486" s="64"/>
      <c r="F486" s="64"/>
      <c r="G486" s="64"/>
      <c r="H486" s="64"/>
      <c r="I486" s="65"/>
      <c r="J486" s="65"/>
      <c r="K486" s="65"/>
      <c r="L486" s="66"/>
      <c r="M486" s="67"/>
      <c r="N486" s="64"/>
      <c r="O486" s="68" t="str">
        <f t="shared" si="1"/>
        <v/>
      </c>
      <c r="P486" s="68">
        <f t="shared" si="4"/>
        <v>-1.23135</v>
      </c>
    </row>
    <row r="487">
      <c r="A487" s="64">
        <f t="shared" si="3"/>
        <v>486</v>
      </c>
      <c r="B487" s="64"/>
      <c r="C487" s="64"/>
      <c r="D487" s="64"/>
      <c r="E487" s="64"/>
      <c r="F487" s="64"/>
      <c r="G487" s="64"/>
      <c r="H487" s="64"/>
      <c r="I487" s="65"/>
      <c r="J487" s="65"/>
      <c r="K487" s="65"/>
      <c r="L487" s="66"/>
      <c r="M487" s="67"/>
      <c r="N487" s="64"/>
      <c r="O487" s="68" t="str">
        <f t="shared" si="1"/>
        <v/>
      </c>
      <c r="P487" s="68">
        <f t="shared" si="4"/>
        <v>-1.23135</v>
      </c>
    </row>
    <row r="488">
      <c r="A488" s="64">
        <f t="shared" si="3"/>
        <v>487</v>
      </c>
      <c r="B488" s="64"/>
      <c r="C488" s="64"/>
      <c r="D488" s="64"/>
      <c r="E488" s="64"/>
      <c r="F488" s="64"/>
      <c r="G488" s="64"/>
      <c r="H488" s="64"/>
      <c r="I488" s="65"/>
      <c r="J488" s="65"/>
      <c r="K488" s="65"/>
      <c r="L488" s="66"/>
      <c r="M488" s="67"/>
      <c r="N488" s="64"/>
      <c r="O488" s="68" t="str">
        <f t="shared" si="1"/>
        <v/>
      </c>
      <c r="P488" s="68">
        <f t="shared" si="4"/>
        <v>-1.23135</v>
      </c>
    </row>
    <row r="489">
      <c r="A489" s="64">
        <f t="shared" si="3"/>
        <v>488</v>
      </c>
      <c r="B489" s="64"/>
      <c r="C489" s="64"/>
      <c r="D489" s="64"/>
      <c r="E489" s="64"/>
      <c r="F489" s="64"/>
      <c r="G489" s="64"/>
      <c r="H489" s="64"/>
      <c r="I489" s="65"/>
      <c r="J489" s="65"/>
      <c r="K489" s="65"/>
      <c r="L489" s="88"/>
      <c r="M489" s="67"/>
      <c r="N489" s="64"/>
      <c r="O489" s="68" t="str">
        <f t="shared" si="1"/>
        <v/>
      </c>
      <c r="P489" s="68">
        <f t="shared" si="4"/>
        <v>-1.23135</v>
      </c>
    </row>
    <row r="490">
      <c r="A490" s="64">
        <f t="shared" si="3"/>
        <v>489</v>
      </c>
      <c r="B490" s="64"/>
      <c r="C490" s="64"/>
      <c r="D490" s="64"/>
      <c r="E490" s="64"/>
      <c r="F490" s="64"/>
      <c r="G490" s="64"/>
      <c r="H490" s="64"/>
      <c r="I490" s="65"/>
      <c r="J490" s="65"/>
      <c r="K490" s="65"/>
      <c r="L490" s="66"/>
      <c r="M490" s="67"/>
      <c r="N490" s="64"/>
      <c r="O490" s="68" t="str">
        <f t="shared" si="1"/>
        <v/>
      </c>
      <c r="P490" s="68">
        <f t="shared" si="4"/>
        <v>-1.23135</v>
      </c>
    </row>
    <row r="491">
      <c r="A491" s="64">
        <f t="shared" si="3"/>
        <v>490</v>
      </c>
      <c r="B491" s="64"/>
      <c r="C491" s="64"/>
      <c r="D491" s="64"/>
      <c r="E491" s="64"/>
      <c r="F491" s="64"/>
      <c r="G491" s="64"/>
      <c r="H491" s="64"/>
      <c r="I491" s="65"/>
      <c r="J491" s="65"/>
      <c r="K491" s="65"/>
      <c r="L491" s="66"/>
      <c r="M491" s="67"/>
      <c r="N491" s="64"/>
      <c r="O491" s="68" t="str">
        <f t="shared" si="1"/>
        <v/>
      </c>
      <c r="P491" s="68">
        <f t="shared" si="4"/>
        <v>-1.23135</v>
      </c>
    </row>
    <row r="492">
      <c r="A492" s="64">
        <f t="shared" si="3"/>
        <v>491</v>
      </c>
      <c r="B492" s="64"/>
      <c r="C492" s="64"/>
      <c r="D492" s="64"/>
      <c r="E492" s="64"/>
      <c r="F492" s="64"/>
      <c r="G492" s="64"/>
      <c r="H492" s="64"/>
      <c r="I492" s="65"/>
      <c r="J492" s="65"/>
      <c r="K492" s="65"/>
      <c r="L492" s="66"/>
      <c r="M492" s="67"/>
      <c r="N492" s="64"/>
      <c r="O492" s="68" t="str">
        <f t="shared" si="1"/>
        <v/>
      </c>
      <c r="P492" s="68">
        <f t="shared" si="4"/>
        <v>-1.23135</v>
      </c>
    </row>
    <row r="493">
      <c r="A493" s="64">
        <f t="shared" si="3"/>
        <v>492</v>
      </c>
      <c r="B493" s="64"/>
      <c r="C493" s="64"/>
      <c r="D493" s="64"/>
      <c r="E493" s="64"/>
      <c r="F493" s="64"/>
      <c r="G493" s="64"/>
      <c r="H493" s="64"/>
      <c r="I493" s="65"/>
      <c r="J493" s="65"/>
      <c r="K493" s="65"/>
      <c r="L493" s="66"/>
      <c r="M493" s="67"/>
      <c r="N493" s="64"/>
      <c r="O493" s="68" t="str">
        <f t="shared" si="1"/>
        <v/>
      </c>
      <c r="P493" s="68">
        <f t="shared" si="4"/>
        <v>-1.23135</v>
      </c>
    </row>
    <row r="494">
      <c r="A494" s="64">
        <f t="shared" si="3"/>
        <v>493</v>
      </c>
      <c r="B494" s="64"/>
      <c r="C494" s="64"/>
      <c r="D494" s="64"/>
      <c r="E494" s="64"/>
      <c r="F494" s="64"/>
      <c r="G494" s="64"/>
      <c r="H494" s="64"/>
      <c r="I494" s="65"/>
      <c r="J494" s="65"/>
      <c r="K494" s="65"/>
      <c r="L494" s="66"/>
      <c r="M494" s="67"/>
      <c r="N494" s="64"/>
      <c r="O494" s="68" t="str">
        <f t="shared" si="1"/>
        <v/>
      </c>
      <c r="P494" s="68">
        <f t="shared" si="4"/>
        <v>-1.23135</v>
      </c>
    </row>
    <row r="495">
      <c r="A495" s="64">
        <f t="shared" si="3"/>
        <v>494</v>
      </c>
      <c r="B495" s="64"/>
      <c r="C495" s="64"/>
      <c r="D495" s="64"/>
      <c r="E495" s="64"/>
      <c r="F495" s="64"/>
      <c r="G495" s="64"/>
      <c r="H495" s="64"/>
      <c r="I495" s="65"/>
      <c r="J495" s="65"/>
      <c r="K495" s="65"/>
      <c r="L495" s="88"/>
      <c r="M495" s="67"/>
      <c r="N495" s="64"/>
      <c r="O495" s="68" t="str">
        <f t="shared" si="1"/>
        <v/>
      </c>
      <c r="P495" s="68">
        <f t="shared" si="4"/>
        <v>-1.23135</v>
      </c>
    </row>
    <row r="496">
      <c r="A496" s="64">
        <f t="shared" si="3"/>
        <v>495</v>
      </c>
      <c r="B496" s="64"/>
      <c r="C496" s="64"/>
      <c r="D496" s="64"/>
      <c r="E496" s="64"/>
      <c r="F496" s="64"/>
      <c r="G496" s="64"/>
      <c r="H496" s="64"/>
      <c r="I496" s="65"/>
      <c r="J496" s="65"/>
      <c r="K496" s="65"/>
      <c r="L496" s="88"/>
      <c r="M496" s="67"/>
      <c r="N496" s="64"/>
      <c r="O496" s="68" t="str">
        <f t="shared" si="1"/>
        <v/>
      </c>
      <c r="P496" s="68">
        <f t="shared" si="4"/>
        <v>-1.23135</v>
      </c>
    </row>
    <row r="497">
      <c r="A497" s="64">
        <f t="shared" si="3"/>
        <v>496</v>
      </c>
      <c r="B497" s="64"/>
      <c r="C497" s="64"/>
      <c r="D497" s="64"/>
      <c r="E497" s="64"/>
      <c r="F497" s="64"/>
      <c r="G497" s="64"/>
      <c r="H497" s="64"/>
      <c r="I497" s="65"/>
      <c r="J497" s="65"/>
      <c r="K497" s="65"/>
      <c r="L497" s="88"/>
      <c r="M497" s="67"/>
      <c r="N497" s="64"/>
      <c r="O497" s="68" t="str">
        <f t="shared" si="1"/>
        <v/>
      </c>
      <c r="P497" s="68">
        <f t="shared" si="4"/>
        <v>-1.23135</v>
      </c>
    </row>
    <row r="498">
      <c r="A498" s="64">
        <f t="shared" si="3"/>
        <v>497</v>
      </c>
      <c r="B498" s="64"/>
      <c r="C498" s="64"/>
      <c r="D498" s="64"/>
      <c r="E498" s="64"/>
      <c r="F498" s="64"/>
      <c r="G498" s="64"/>
      <c r="H498" s="64"/>
      <c r="I498" s="65"/>
      <c r="J498" s="65"/>
      <c r="K498" s="65"/>
      <c r="L498" s="88"/>
      <c r="M498" s="67"/>
      <c r="N498" s="64"/>
      <c r="O498" s="68" t="str">
        <f t="shared" si="1"/>
        <v/>
      </c>
      <c r="P498" s="68">
        <f t="shared" si="4"/>
        <v>-1.23135</v>
      </c>
    </row>
    <row r="499">
      <c r="A499" s="64">
        <f t="shared" si="3"/>
        <v>498</v>
      </c>
      <c r="B499" s="64"/>
      <c r="C499" s="64"/>
      <c r="D499" s="64"/>
      <c r="E499" s="64"/>
      <c r="F499" s="64"/>
      <c r="G499" s="64"/>
      <c r="H499" s="64"/>
      <c r="I499" s="65"/>
      <c r="J499" s="65"/>
      <c r="K499" s="65"/>
      <c r="L499" s="88"/>
      <c r="M499" s="67"/>
      <c r="N499" s="64"/>
      <c r="O499" s="68" t="str">
        <f t="shared" si="1"/>
        <v/>
      </c>
      <c r="P499" s="68">
        <f t="shared" si="4"/>
        <v>-1.23135</v>
      </c>
    </row>
    <row r="500">
      <c r="A500" s="64">
        <f t="shared" si="3"/>
        <v>499</v>
      </c>
      <c r="B500" s="64"/>
      <c r="C500" s="64"/>
      <c r="D500" s="64"/>
      <c r="E500" s="64"/>
      <c r="F500" s="64"/>
      <c r="G500" s="64"/>
      <c r="H500" s="64"/>
      <c r="I500" s="65"/>
      <c r="J500" s="65"/>
      <c r="K500" s="65"/>
      <c r="L500" s="88"/>
      <c r="M500" s="67"/>
      <c r="N500" s="64"/>
      <c r="O500" s="68" t="str">
        <f t="shared" si="1"/>
        <v/>
      </c>
      <c r="P500" s="68">
        <f t="shared" si="4"/>
        <v>-1.23135</v>
      </c>
    </row>
    <row r="501">
      <c r="A501" s="64">
        <f t="shared" si="3"/>
        <v>500</v>
      </c>
      <c r="B501" s="89"/>
      <c r="C501" s="89"/>
      <c r="D501" s="64"/>
      <c r="E501" s="89"/>
      <c r="F501" s="64"/>
      <c r="G501" s="64"/>
      <c r="H501" s="89"/>
      <c r="I501" s="65"/>
      <c r="J501" s="65"/>
      <c r="K501" s="65"/>
      <c r="L501" s="88"/>
      <c r="M501" s="67"/>
      <c r="N501" s="64"/>
      <c r="O501" s="68" t="str">
        <f t="shared" si="1"/>
        <v/>
      </c>
      <c r="P501" s="68">
        <f t="shared" si="4"/>
        <v>-1.23135</v>
      </c>
    </row>
    <row r="502">
      <c r="A502" s="64">
        <f t="shared" si="3"/>
        <v>501</v>
      </c>
      <c r="B502" s="89"/>
      <c r="C502" s="89"/>
      <c r="D502" s="64"/>
      <c r="E502" s="89"/>
      <c r="F502" s="64"/>
      <c r="G502" s="64"/>
      <c r="H502" s="89"/>
      <c r="I502" s="65"/>
      <c r="J502" s="65"/>
      <c r="K502" s="65"/>
      <c r="L502" s="88"/>
      <c r="M502" s="67"/>
      <c r="N502" s="64"/>
      <c r="O502" s="68" t="str">
        <f t="shared" si="1"/>
        <v/>
      </c>
      <c r="P502" s="68">
        <f t="shared" si="4"/>
        <v>-1.23135</v>
      </c>
    </row>
    <row r="503">
      <c r="A503" s="64">
        <f t="shared" si="3"/>
        <v>502</v>
      </c>
      <c r="B503" s="89"/>
      <c r="C503" s="89"/>
      <c r="D503" s="64"/>
      <c r="E503" s="89"/>
      <c r="F503" s="64"/>
      <c r="G503" s="64"/>
      <c r="H503" s="89"/>
      <c r="I503" s="65"/>
      <c r="J503" s="65"/>
      <c r="K503" s="65"/>
      <c r="L503" s="88"/>
      <c r="M503" s="67"/>
      <c r="N503" s="64"/>
      <c r="O503" s="68" t="str">
        <f t="shared" si="1"/>
        <v/>
      </c>
      <c r="P503" s="68">
        <f t="shared" si="4"/>
        <v>-1.23135</v>
      </c>
    </row>
    <row r="504">
      <c r="A504" s="64">
        <f t="shared" si="3"/>
        <v>503</v>
      </c>
      <c r="B504" s="89"/>
      <c r="C504" s="89"/>
      <c r="D504" s="64"/>
      <c r="E504" s="89"/>
      <c r="F504" s="64"/>
      <c r="G504" s="64"/>
      <c r="H504" s="89"/>
      <c r="I504" s="65"/>
      <c r="J504" s="65"/>
      <c r="K504" s="65"/>
      <c r="L504" s="88"/>
      <c r="M504" s="67"/>
      <c r="N504" s="64"/>
      <c r="O504" s="68" t="str">
        <f t="shared" si="1"/>
        <v/>
      </c>
      <c r="P504" s="68">
        <f t="shared" si="4"/>
        <v>-1.23135</v>
      </c>
    </row>
    <row r="505">
      <c r="A505" s="64">
        <f t="shared" si="3"/>
        <v>504</v>
      </c>
      <c r="B505" s="89"/>
      <c r="C505" s="89"/>
      <c r="D505" s="64"/>
      <c r="E505" s="89"/>
      <c r="F505" s="64"/>
      <c r="G505" s="64"/>
      <c r="H505" s="89"/>
      <c r="I505" s="65"/>
      <c r="J505" s="65"/>
      <c r="K505" s="65"/>
      <c r="L505" s="88"/>
      <c r="M505" s="67"/>
      <c r="N505" s="64"/>
      <c r="O505" s="68" t="str">
        <f t="shared" si="1"/>
        <v/>
      </c>
      <c r="P505" s="68">
        <f t="shared" si="4"/>
        <v>-1.23135</v>
      </c>
    </row>
    <row r="506">
      <c r="A506" s="64">
        <f t="shared" si="3"/>
        <v>505</v>
      </c>
      <c r="B506" s="89"/>
      <c r="C506" s="89"/>
      <c r="D506" s="64"/>
      <c r="E506" s="89"/>
      <c r="F506" s="64"/>
      <c r="G506" s="64"/>
      <c r="H506" s="89"/>
      <c r="I506" s="65"/>
      <c r="J506" s="65"/>
      <c r="K506" s="65"/>
      <c r="L506" s="88"/>
      <c r="M506" s="67"/>
      <c r="N506" s="64"/>
      <c r="O506" s="68" t="str">
        <f t="shared" si="1"/>
        <v/>
      </c>
      <c r="P506" s="68">
        <f t="shared" si="4"/>
        <v>-1.23135</v>
      </c>
    </row>
    <row r="507">
      <c r="A507" s="64">
        <f t="shared" si="3"/>
        <v>506</v>
      </c>
      <c r="B507" s="89"/>
      <c r="C507" s="89"/>
      <c r="D507" s="64"/>
      <c r="E507" s="89"/>
      <c r="F507" s="64"/>
      <c r="G507" s="64"/>
      <c r="H507" s="89"/>
      <c r="I507" s="65"/>
      <c r="J507" s="65"/>
      <c r="K507" s="65"/>
      <c r="L507" s="88"/>
      <c r="M507" s="67"/>
      <c r="N507" s="64"/>
      <c r="O507" s="68" t="str">
        <f t="shared" si="1"/>
        <v/>
      </c>
      <c r="P507" s="68">
        <f t="shared" si="4"/>
        <v>-1.23135</v>
      </c>
    </row>
    <row r="508">
      <c r="A508" s="64">
        <f t="shared" si="3"/>
        <v>507</v>
      </c>
      <c r="B508" s="89"/>
      <c r="C508" s="89"/>
      <c r="D508" s="64"/>
      <c r="E508" s="89"/>
      <c r="F508" s="64"/>
      <c r="G508" s="64"/>
      <c r="H508" s="89"/>
      <c r="I508" s="65"/>
      <c r="J508" s="65"/>
      <c r="K508" s="65"/>
      <c r="L508" s="88"/>
      <c r="M508" s="67"/>
      <c r="N508" s="64"/>
      <c r="O508" s="68" t="str">
        <f t="shared" si="1"/>
        <v/>
      </c>
      <c r="P508" s="68">
        <f t="shared" si="4"/>
        <v>-1.23135</v>
      </c>
    </row>
    <row r="509">
      <c r="A509" s="64">
        <f t="shared" si="3"/>
        <v>508</v>
      </c>
      <c r="B509" s="89"/>
      <c r="C509" s="89"/>
      <c r="D509" s="64"/>
      <c r="E509" s="90"/>
      <c r="F509" s="64"/>
      <c r="G509" s="64"/>
      <c r="H509" s="89"/>
      <c r="I509" s="65"/>
      <c r="J509" s="65"/>
      <c r="K509" s="65"/>
      <c r="L509" s="88"/>
      <c r="M509" s="67"/>
      <c r="N509" s="64"/>
      <c r="O509" s="68" t="str">
        <f t="shared" si="1"/>
        <v/>
      </c>
      <c r="P509" s="68">
        <f t="shared" si="4"/>
        <v>-1.23135</v>
      </c>
    </row>
    <row r="510">
      <c r="A510" s="64">
        <f t="shared" si="3"/>
        <v>509</v>
      </c>
      <c r="B510" s="89"/>
      <c r="C510" s="89"/>
      <c r="D510" s="64"/>
      <c r="E510" s="89"/>
      <c r="F510" s="64"/>
      <c r="G510" s="64"/>
      <c r="H510" s="89"/>
      <c r="I510" s="65"/>
      <c r="J510" s="65"/>
      <c r="K510" s="65"/>
      <c r="L510" s="88"/>
      <c r="M510" s="67"/>
      <c r="N510" s="64"/>
      <c r="O510" s="68" t="str">
        <f t="shared" si="1"/>
        <v/>
      </c>
      <c r="P510" s="68">
        <f t="shared" si="4"/>
        <v>-1.23135</v>
      </c>
    </row>
    <row r="511">
      <c r="A511" s="64">
        <f t="shared" si="3"/>
        <v>510</v>
      </c>
      <c r="B511" s="89"/>
      <c r="C511" s="89"/>
      <c r="D511" s="64"/>
      <c r="E511" s="89"/>
      <c r="F511" s="64"/>
      <c r="G511" s="64"/>
      <c r="H511" s="89"/>
      <c r="I511" s="65"/>
      <c r="J511" s="65"/>
      <c r="K511" s="65"/>
      <c r="L511" s="88"/>
      <c r="M511" s="67"/>
      <c r="N511" s="64"/>
      <c r="O511" s="68" t="str">
        <f t="shared" si="1"/>
        <v/>
      </c>
      <c r="P511" s="68">
        <f t="shared" si="4"/>
        <v>-1.23135</v>
      </c>
    </row>
    <row r="512">
      <c r="A512" s="64">
        <f t="shared" si="3"/>
        <v>511</v>
      </c>
      <c r="B512" s="89"/>
      <c r="C512" s="89"/>
      <c r="D512" s="64"/>
      <c r="E512" s="89"/>
      <c r="F512" s="64"/>
      <c r="G512" s="64"/>
      <c r="H512" s="89"/>
      <c r="I512" s="65"/>
      <c r="J512" s="65"/>
      <c r="K512" s="65"/>
      <c r="L512" s="88"/>
      <c r="M512" s="67"/>
      <c r="N512" s="64"/>
      <c r="O512" s="68" t="str">
        <f t="shared" si="1"/>
        <v/>
      </c>
      <c r="P512" s="68">
        <f t="shared" si="4"/>
        <v>-1.23135</v>
      </c>
    </row>
    <row r="513">
      <c r="A513" s="64">
        <f t="shared" si="3"/>
        <v>512</v>
      </c>
      <c r="B513" s="89"/>
      <c r="C513" s="89"/>
      <c r="D513" s="64"/>
      <c r="E513" s="89"/>
      <c r="F513" s="64"/>
      <c r="G513" s="64"/>
      <c r="H513" s="89"/>
      <c r="I513" s="65"/>
      <c r="J513" s="65"/>
      <c r="K513" s="65"/>
      <c r="L513" s="88"/>
      <c r="M513" s="67"/>
      <c r="N513" s="64"/>
      <c r="O513" s="68" t="str">
        <f t="shared" si="1"/>
        <v/>
      </c>
      <c r="P513" s="68">
        <f t="shared" si="4"/>
        <v>-1.23135</v>
      </c>
    </row>
    <row r="514">
      <c r="A514" s="64">
        <f t="shared" si="3"/>
        <v>513</v>
      </c>
      <c r="B514" s="89"/>
      <c r="C514" s="89"/>
      <c r="D514" s="64"/>
      <c r="E514" s="89"/>
      <c r="F514" s="64"/>
      <c r="G514" s="64"/>
      <c r="H514" s="89"/>
      <c r="I514" s="65"/>
      <c r="J514" s="65"/>
      <c r="K514" s="65"/>
      <c r="L514" s="88"/>
      <c r="M514" s="67"/>
      <c r="N514" s="64"/>
      <c r="O514" s="68" t="str">
        <f t="shared" si="1"/>
        <v/>
      </c>
      <c r="P514" s="68">
        <f t="shared" si="4"/>
        <v>-1.23135</v>
      </c>
    </row>
    <row r="515">
      <c r="A515" s="64">
        <f t="shared" si="3"/>
        <v>514</v>
      </c>
      <c r="B515" s="89"/>
      <c r="C515" s="89"/>
      <c r="D515" s="64"/>
      <c r="E515" s="89"/>
      <c r="F515" s="64"/>
      <c r="G515" s="64"/>
      <c r="H515" s="89"/>
      <c r="I515" s="65"/>
      <c r="J515" s="65"/>
      <c r="K515" s="65"/>
      <c r="L515" s="88"/>
      <c r="M515" s="67"/>
      <c r="N515" s="64"/>
      <c r="O515" s="68" t="str">
        <f t="shared" si="1"/>
        <v/>
      </c>
      <c r="P515" s="68">
        <f t="shared" si="4"/>
        <v>-1.23135</v>
      </c>
    </row>
    <row r="516">
      <c r="A516" s="64">
        <f t="shared" si="3"/>
        <v>515</v>
      </c>
      <c r="B516" s="89"/>
      <c r="C516" s="89"/>
      <c r="D516" s="64"/>
      <c r="E516" s="89"/>
      <c r="F516" s="64"/>
      <c r="G516" s="64"/>
      <c r="H516" s="89"/>
      <c r="I516" s="65"/>
      <c r="J516" s="65"/>
      <c r="K516" s="65"/>
      <c r="L516" s="88"/>
      <c r="M516" s="67"/>
      <c r="N516" s="64"/>
      <c r="O516" s="68" t="str">
        <f t="shared" si="1"/>
        <v/>
      </c>
      <c r="P516" s="68">
        <f t="shared" si="4"/>
        <v>-1.23135</v>
      </c>
    </row>
    <row r="517">
      <c r="A517" s="64">
        <f t="shared" si="3"/>
        <v>516</v>
      </c>
      <c r="B517" s="89"/>
      <c r="C517" s="89"/>
      <c r="D517" s="64"/>
      <c r="E517" s="89"/>
      <c r="F517" s="64"/>
      <c r="G517" s="64"/>
      <c r="H517" s="89"/>
      <c r="I517" s="65"/>
      <c r="J517" s="65"/>
      <c r="K517" s="65"/>
      <c r="L517" s="88"/>
      <c r="M517" s="67"/>
      <c r="N517" s="64"/>
      <c r="O517" s="68" t="str">
        <f t="shared" si="1"/>
        <v/>
      </c>
      <c r="P517" s="68">
        <f t="shared" si="4"/>
        <v>-1.23135</v>
      </c>
    </row>
    <row r="518">
      <c r="A518" s="64">
        <f t="shared" si="3"/>
        <v>517</v>
      </c>
      <c r="B518" s="89"/>
      <c r="C518" s="89"/>
      <c r="D518" s="64"/>
      <c r="E518" s="89"/>
      <c r="F518" s="64"/>
      <c r="G518" s="64"/>
      <c r="H518" s="89"/>
      <c r="I518" s="65"/>
      <c r="J518" s="65"/>
      <c r="K518" s="65"/>
      <c r="L518" s="88"/>
      <c r="M518" s="67"/>
      <c r="N518" s="64"/>
      <c r="O518" s="68" t="str">
        <f t="shared" si="1"/>
        <v/>
      </c>
      <c r="P518" s="68">
        <f t="shared" si="4"/>
        <v>-1.23135</v>
      </c>
    </row>
    <row r="519">
      <c r="A519" s="64">
        <f t="shared" si="3"/>
        <v>518</v>
      </c>
      <c r="B519" s="89"/>
      <c r="C519" s="89"/>
      <c r="D519" s="64"/>
      <c r="E519" s="89"/>
      <c r="F519" s="64"/>
      <c r="G519" s="64"/>
      <c r="H519" s="89"/>
      <c r="I519" s="65"/>
      <c r="J519" s="65"/>
      <c r="K519" s="65"/>
      <c r="L519" s="88"/>
      <c r="M519" s="67"/>
      <c r="N519" s="64"/>
      <c r="O519" s="68" t="str">
        <f t="shared" si="1"/>
        <v/>
      </c>
      <c r="P519" s="68">
        <f t="shared" si="4"/>
        <v>-1.23135</v>
      </c>
    </row>
    <row r="520">
      <c r="A520" s="64">
        <f t="shared" si="3"/>
        <v>519</v>
      </c>
      <c r="B520" s="89"/>
      <c r="C520" s="89"/>
      <c r="D520" s="64"/>
      <c r="E520" s="89"/>
      <c r="F520" s="64"/>
      <c r="G520" s="64"/>
      <c r="H520" s="89"/>
      <c r="I520" s="65"/>
      <c r="J520" s="65"/>
      <c r="K520" s="65"/>
      <c r="L520" s="88"/>
      <c r="M520" s="67"/>
      <c r="N520" s="64"/>
      <c r="O520" s="68" t="str">
        <f t="shared" si="1"/>
        <v/>
      </c>
      <c r="P520" s="68">
        <f t="shared" si="4"/>
        <v>-1.23135</v>
      </c>
    </row>
    <row r="521">
      <c r="A521" s="64">
        <f t="shared" si="3"/>
        <v>520</v>
      </c>
      <c r="B521" s="89"/>
      <c r="C521" s="89"/>
      <c r="D521" s="64"/>
      <c r="E521" s="89"/>
      <c r="F521" s="64"/>
      <c r="G521" s="64"/>
      <c r="H521" s="89"/>
      <c r="I521" s="65"/>
      <c r="J521" s="65"/>
      <c r="K521" s="65"/>
      <c r="L521" s="88"/>
      <c r="M521" s="67"/>
      <c r="N521" s="64"/>
      <c r="O521" s="68" t="str">
        <f t="shared" si="1"/>
        <v/>
      </c>
      <c r="P521" s="68">
        <f t="shared" si="4"/>
        <v>-1.23135</v>
      </c>
    </row>
    <row r="522">
      <c r="A522" s="64">
        <f t="shared" si="3"/>
        <v>521</v>
      </c>
      <c r="B522" s="89"/>
      <c r="C522" s="89"/>
      <c r="D522" s="64"/>
      <c r="E522" s="89"/>
      <c r="F522" s="64"/>
      <c r="G522" s="64"/>
      <c r="H522" s="89"/>
      <c r="I522" s="65"/>
      <c r="J522" s="65"/>
      <c r="K522" s="65"/>
      <c r="L522" s="88"/>
      <c r="M522" s="67"/>
      <c r="N522" s="64"/>
      <c r="O522" s="68" t="str">
        <f t="shared" si="1"/>
        <v/>
      </c>
      <c r="P522" s="68">
        <f t="shared" si="4"/>
        <v>-1.23135</v>
      </c>
    </row>
    <row r="523">
      <c r="A523" s="64">
        <f t="shared" si="3"/>
        <v>522</v>
      </c>
      <c r="B523" s="89"/>
      <c r="C523" s="89"/>
      <c r="D523" s="64"/>
      <c r="E523" s="89"/>
      <c r="F523" s="64"/>
      <c r="G523" s="64"/>
      <c r="H523" s="89"/>
      <c r="I523" s="65"/>
      <c r="J523" s="65"/>
      <c r="K523" s="65"/>
      <c r="L523" s="88"/>
      <c r="M523" s="67"/>
      <c r="N523" s="64"/>
      <c r="O523" s="68" t="str">
        <f t="shared" si="1"/>
        <v/>
      </c>
      <c r="P523" s="89"/>
    </row>
    <row r="524">
      <c r="A524" s="64">
        <f t="shared" si="3"/>
        <v>523</v>
      </c>
      <c r="B524" s="89"/>
      <c r="C524" s="89"/>
      <c r="D524" s="64"/>
      <c r="E524" s="89"/>
      <c r="F524" s="64"/>
      <c r="G524" s="64"/>
      <c r="H524" s="89"/>
      <c r="I524" s="65"/>
      <c r="J524" s="65"/>
      <c r="K524" s="65"/>
      <c r="L524" s="88"/>
      <c r="M524" s="67"/>
      <c r="N524" s="64"/>
      <c r="O524" s="68" t="str">
        <f t="shared" si="1"/>
        <v/>
      </c>
      <c r="P524" s="89"/>
    </row>
    <row r="525">
      <c r="A525" s="64">
        <f t="shared" si="3"/>
        <v>524</v>
      </c>
      <c r="B525" s="89"/>
      <c r="C525" s="89"/>
      <c r="D525" s="64"/>
      <c r="E525" s="89"/>
      <c r="F525" s="64"/>
      <c r="G525" s="64"/>
      <c r="H525" s="89"/>
      <c r="I525" s="65"/>
      <c r="J525" s="65"/>
      <c r="K525" s="65"/>
      <c r="L525" s="88"/>
      <c r="M525" s="67"/>
      <c r="N525" s="64"/>
      <c r="O525" s="68" t="str">
        <f t="shared" si="1"/>
        <v/>
      </c>
      <c r="P525" s="89"/>
    </row>
    <row r="526">
      <c r="A526" s="64">
        <f t="shared" si="3"/>
        <v>525</v>
      </c>
      <c r="B526" s="89"/>
      <c r="C526" s="89"/>
      <c r="D526" s="64"/>
      <c r="E526" s="89"/>
      <c r="F526" s="64"/>
      <c r="G526" s="64"/>
      <c r="H526" s="89"/>
      <c r="I526" s="89"/>
      <c r="J526" s="65"/>
      <c r="K526" s="89"/>
      <c r="L526" s="88"/>
      <c r="M526" s="91"/>
      <c r="N526" s="89"/>
      <c r="O526" s="68" t="str">
        <f>IF(N527="ganha",(K526*(M526-1)),IF(N527="perdida",-K526,IF(N527="devolvida",0,IF(N527="ganha/devolvida",((K526*(M526-1)))/2,IF(N527="perdida/devolvida",-K526/2,IF(N527="Aguardando",0,""))))))</f>
        <v/>
      </c>
      <c r="P526" s="89"/>
    </row>
    <row r="527">
      <c r="A527" s="64">
        <f t="shared" si="3"/>
        <v>526</v>
      </c>
      <c r="B527" s="89"/>
      <c r="C527" s="89"/>
      <c r="D527" s="64"/>
      <c r="E527" s="89"/>
      <c r="F527" s="64"/>
      <c r="G527" s="64"/>
      <c r="H527" s="89"/>
      <c r="I527" s="89"/>
      <c r="J527" s="65"/>
      <c r="K527" s="89"/>
      <c r="L527" s="88"/>
      <c r="M527" s="91"/>
      <c r="N527" s="89"/>
      <c r="O527" s="89"/>
      <c r="P527" s="89"/>
    </row>
    <row r="528">
      <c r="A528" s="64">
        <f t="shared" si="3"/>
        <v>527</v>
      </c>
      <c r="B528" s="89"/>
      <c r="C528" s="89"/>
      <c r="D528" s="64"/>
      <c r="E528" s="89"/>
      <c r="F528" s="64"/>
      <c r="G528" s="64"/>
      <c r="H528" s="89"/>
      <c r="I528" s="89"/>
      <c r="J528" s="65"/>
      <c r="K528" s="89"/>
      <c r="L528" s="88"/>
      <c r="M528" s="91"/>
      <c r="N528" s="89"/>
      <c r="O528" s="89"/>
      <c r="P528" s="89"/>
    </row>
    <row r="529">
      <c r="A529" s="64">
        <f t="shared" si="3"/>
        <v>528</v>
      </c>
      <c r="B529" s="89"/>
      <c r="C529" s="89"/>
      <c r="D529" s="64"/>
      <c r="E529" s="89"/>
      <c r="F529" s="64"/>
      <c r="G529" s="64"/>
      <c r="H529" s="89"/>
      <c r="I529" s="89"/>
      <c r="J529" s="65"/>
      <c r="K529" s="89"/>
      <c r="L529" s="88"/>
      <c r="M529" s="91"/>
      <c r="N529" s="89"/>
      <c r="O529" s="89"/>
      <c r="P529" s="89"/>
    </row>
    <row r="530">
      <c r="A530" s="64">
        <f t="shared" si="3"/>
        <v>529</v>
      </c>
      <c r="B530" s="89"/>
      <c r="C530" s="89"/>
      <c r="D530" s="64"/>
      <c r="E530" s="89"/>
      <c r="F530" s="64"/>
      <c r="G530" s="64"/>
      <c r="H530" s="89"/>
      <c r="I530" s="89"/>
      <c r="J530" s="65"/>
      <c r="K530" s="89"/>
      <c r="L530" s="88"/>
      <c r="M530" s="91"/>
      <c r="N530" s="89"/>
      <c r="O530" s="89"/>
      <c r="P530" s="89"/>
    </row>
    <row r="531">
      <c r="A531" s="64">
        <f t="shared" si="3"/>
        <v>530</v>
      </c>
      <c r="B531" s="89"/>
      <c r="C531" s="89"/>
      <c r="D531" s="64"/>
      <c r="E531" s="89"/>
      <c r="F531" s="64"/>
      <c r="G531" s="64"/>
      <c r="H531" s="89"/>
      <c r="I531" s="89"/>
      <c r="J531" s="65"/>
      <c r="K531" s="89"/>
      <c r="L531" s="88"/>
      <c r="M531" s="91"/>
      <c r="N531" s="89"/>
      <c r="O531" s="89"/>
      <c r="P531" s="89"/>
    </row>
    <row r="532">
      <c r="A532" s="64">
        <f t="shared" si="3"/>
        <v>531</v>
      </c>
      <c r="B532" s="89"/>
      <c r="C532" s="89"/>
      <c r="D532" s="64"/>
      <c r="E532" s="89"/>
      <c r="F532" s="64"/>
      <c r="G532" s="64"/>
      <c r="H532" s="89"/>
      <c r="I532" s="89"/>
      <c r="J532" s="65"/>
      <c r="K532" s="89"/>
      <c r="L532" s="88"/>
      <c r="M532" s="91"/>
      <c r="N532" s="89"/>
      <c r="O532" s="89"/>
      <c r="P532" s="89"/>
    </row>
    <row r="533">
      <c r="A533" s="64">
        <f t="shared" si="3"/>
        <v>532</v>
      </c>
      <c r="B533" s="89"/>
      <c r="C533" s="89"/>
      <c r="D533" s="64"/>
      <c r="E533" s="89"/>
      <c r="F533" s="64"/>
      <c r="G533" s="64"/>
      <c r="H533" s="89"/>
      <c r="I533" s="89"/>
      <c r="J533" s="65"/>
      <c r="K533" s="89"/>
      <c r="L533" s="88"/>
      <c r="M533" s="91"/>
      <c r="N533" s="89"/>
      <c r="O533" s="89"/>
      <c r="P533" s="89"/>
    </row>
    <row r="534">
      <c r="A534" s="64">
        <f t="shared" si="3"/>
        <v>533</v>
      </c>
      <c r="B534" s="89"/>
      <c r="C534" s="89"/>
      <c r="D534" s="89"/>
      <c r="E534" s="89"/>
      <c r="F534" s="64"/>
      <c r="G534" s="64"/>
      <c r="H534" s="89"/>
      <c r="I534" s="89"/>
      <c r="J534" s="65"/>
      <c r="K534" s="89"/>
      <c r="L534" s="88"/>
      <c r="M534" s="91"/>
      <c r="N534" s="89"/>
      <c r="O534" s="89"/>
      <c r="P534" s="89"/>
    </row>
    <row r="535">
      <c r="A535" s="64">
        <f t="shared" si="3"/>
        <v>534</v>
      </c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91"/>
      <c r="N535" s="89"/>
      <c r="O535" s="89"/>
      <c r="P535" s="89"/>
    </row>
    <row r="536">
      <c r="A536" s="64">
        <f t="shared" si="3"/>
        <v>535</v>
      </c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91"/>
      <c r="N536" s="89"/>
      <c r="O536" s="89"/>
      <c r="P536" s="89"/>
    </row>
    <row r="537">
      <c r="A537" s="64">
        <f t="shared" si="3"/>
        <v>536</v>
      </c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91"/>
      <c r="N537" s="89"/>
      <c r="O537" s="89"/>
      <c r="P537" s="89"/>
    </row>
    <row r="538">
      <c r="A538" s="64">
        <f t="shared" si="3"/>
        <v>537</v>
      </c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91"/>
      <c r="N538" s="89"/>
      <c r="O538" s="89"/>
      <c r="P538" s="89"/>
    </row>
    <row r="539">
      <c r="A539" s="64">
        <f t="shared" si="3"/>
        <v>538</v>
      </c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91"/>
      <c r="N539" s="89"/>
      <c r="O539" s="89"/>
      <c r="P539" s="89"/>
    </row>
    <row r="540">
      <c r="A540" s="64">
        <f t="shared" si="3"/>
        <v>539</v>
      </c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91"/>
      <c r="N540" s="89"/>
      <c r="O540" s="89"/>
      <c r="P540" s="89"/>
    </row>
    <row r="541">
      <c r="A541" s="64">
        <f t="shared" si="3"/>
        <v>540</v>
      </c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91"/>
      <c r="N541" s="89"/>
      <c r="O541" s="89"/>
      <c r="P541" s="89"/>
    </row>
    <row r="542">
      <c r="A542" s="64">
        <f t="shared" si="3"/>
        <v>541</v>
      </c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91"/>
      <c r="N542" s="89"/>
      <c r="O542" s="89"/>
      <c r="P542" s="89"/>
    </row>
    <row r="543">
      <c r="A543" s="64">
        <f t="shared" si="3"/>
        <v>542</v>
      </c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91"/>
      <c r="N543" s="89"/>
      <c r="O543" s="89"/>
      <c r="P543" s="89"/>
    </row>
    <row r="544">
      <c r="A544" s="64">
        <f t="shared" si="3"/>
        <v>543</v>
      </c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91"/>
      <c r="N544" s="89"/>
      <c r="O544" s="89"/>
      <c r="P544" s="89"/>
    </row>
    <row r="545">
      <c r="A545" s="64">
        <f t="shared" si="3"/>
        <v>544</v>
      </c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91"/>
      <c r="N545" s="89"/>
      <c r="O545" s="89"/>
      <c r="P545" s="89"/>
    </row>
    <row r="546">
      <c r="A546" s="64">
        <f t="shared" si="3"/>
        <v>545</v>
      </c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91"/>
      <c r="N546" s="89"/>
      <c r="O546" s="89"/>
      <c r="P546" s="89"/>
    </row>
    <row r="547">
      <c r="A547" s="64">
        <f t="shared" si="3"/>
        <v>546</v>
      </c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91"/>
      <c r="N547" s="89"/>
      <c r="O547" s="89"/>
      <c r="P547" s="89"/>
    </row>
    <row r="548">
      <c r="A548" s="64">
        <f t="shared" si="3"/>
        <v>547</v>
      </c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91"/>
      <c r="N548" s="89"/>
      <c r="O548" s="89"/>
      <c r="P548" s="89"/>
    </row>
    <row r="549">
      <c r="A549" s="64">
        <f t="shared" si="3"/>
        <v>548</v>
      </c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91"/>
      <c r="N549" s="89"/>
      <c r="O549" s="89"/>
      <c r="P549" s="89"/>
    </row>
    <row r="550">
      <c r="A550" s="64">
        <f t="shared" si="3"/>
        <v>549</v>
      </c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91"/>
      <c r="N550" s="89"/>
      <c r="O550" s="89"/>
      <c r="P550" s="89"/>
    </row>
    <row r="551">
      <c r="A551" s="64">
        <f t="shared" si="3"/>
        <v>550</v>
      </c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91"/>
      <c r="N551" s="89"/>
      <c r="O551" s="89"/>
      <c r="P551" s="89"/>
    </row>
    <row r="552">
      <c r="A552" s="64">
        <f t="shared" si="3"/>
        <v>551</v>
      </c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91"/>
      <c r="N552" s="89"/>
      <c r="O552" s="89"/>
      <c r="P552" s="89"/>
    </row>
    <row r="553">
      <c r="A553" s="64">
        <f t="shared" si="3"/>
        <v>552</v>
      </c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91"/>
      <c r="N553" s="89"/>
      <c r="O553" s="89"/>
      <c r="P553" s="89"/>
    </row>
    <row r="554">
      <c r="A554" s="64">
        <f t="shared" si="3"/>
        <v>553</v>
      </c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91"/>
      <c r="N554" s="89"/>
      <c r="O554" s="89"/>
      <c r="P554" s="89"/>
    </row>
    <row r="555">
      <c r="A555" s="64">
        <f t="shared" si="3"/>
        <v>554</v>
      </c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91"/>
      <c r="N555" s="89"/>
      <c r="O555" s="89"/>
      <c r="P555" s="89"/>
    </row>
    <row r="556">
      <c r="A556" s="64">
        <f t="shared" si="3"/>
        <v>555</v>
      </c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91"/>
      <c r="N556" s="89"/>
      <c r="O556" s="89"/>
      <c r="P556" s="89"/>
    </row>
    <row r="557">
      <c r="A557" s="64">
        <f t="shared" si="3"/>
        <v>556</v>
      </c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91"/>
      <c r="N557" s="89"/>
      <c r="O557" s="89"/>
      <c r="P557" s="89"/>
    </row>
    <row r="558">
      <c r="A558" s="64">
        <f t="shared" si="3"/>
        <v>557</v>
      </c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91"/>
      <c r="N558" s="89"/>
      <c r="O558" s="89"/>
      <c r="P558" s="89"/>
    </row>
    <row r="559">
      <c r="A559" s="64">
        <f t="shared" si="3"/>
        <v>558</v>
      </c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91"/>
      <c r="N559" s="89"/>
      <c r="O559" s="89"/>
      <c r="P559" s="89"/>
    </row>
    <row r="560">
      <c r="A560" s="64">
        <f t="shared" si="3"/>
        <v>559</v>
      </c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91"/>
      <c r="N560" s="89"/>
      <c r="O560" s="89"/>
      <c r="P560" s="89"/>
    </row>
    <row r="561">
      <c r="A561" s="64">
        <f t="shared" si="3"/>
        <v>560</v>
      </c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91"/>
      <c r="N561" s="89"/>
      <c r="O561" s="89"/>
      <c r="P561" s="89"/>
    </row>
    <row r="562">
      <c r="A562" s="64">
        <f t="shared" si="3"/>
        <v>561</v>
      </c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91"/>
      <c r="N562" s="89"/>
      <c r="O562" s="89"/>
      <c r="P562" s="89"/>
    </row>
    <row r="563">
      <c r="A563" s="64">
        <f t="shared" si="3"/>
        <v>562</v>
      </c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91"/>
      <c r="N563" s="89"/>
      <c r="O563" s="89"/>
      <c r="P563" s="89"/>
    </row>
    <row r="564">
      <c r="A564" s="64">
        <f t="shared" si="3"/>
        <v>563</v>
      </c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91"/>
      <c r="N564" s="89"/>
      <c r="O564" s="89"/>
      <c r="P564" s="89"/>
    </row>
    <row r="565">
      <c r="A565" s="64">
        <f t="shared" si="3"/>
        <v>564</v>
      </c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91"/>
      <c r="N565" s="89"/>
      <c r="O565" s="89"/>
      <c r="P565" s="89"/>
    </row>
    <row r="566">
      <c r="A566" s="64">
        <f t="shared" si="3"/>
        <v>565</v>
      </c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91"/>
      <c r="N566" s="89"/>
      <c r="O566" s="89"/>
      <c r="P566" s="89"/>
    </row>
    <row r="567">
      <c r="A567" s="64">
        <f t="shared" si="3"/>
        <v>566</v>
      </c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91"/>
      <c r="N567" s="89"/>
      <c r="O567" s="89"/>
      <c r="P567" s="89"/>
    </row>
    <row r="568">
      <c r="A568" s="64">
        <f t="shared" si="3"/>
        <v>567</v>
      </c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91"/>
      <c r="N568" s="89"/>
      <c r="O568" s="89"/>
      <c r="P568" s="89"/>
    </row>
    <row r="569">
      <c r="A569" s="64">
        <f t="shared" si="3"/>
        <v>568</v>
      </c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91"/>
      <c r="N569" s="89"/>
      <c r="O569" s="89"/>
      <c r="P569" s="89"/>
    </row>
    <row r="570">
      <c r="A570" s="64">
        <f t="shared" si="3"/>
        <v>569</v>
      </c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91"/>
      <c r="N570" s="89"/>
      <c r="O570" s="89"/>
      <c r="P570" s="89"/>
    </row>
    <row r="571">
      <c r="A571" s="64">
        <f t="shared" si="3"/>
        <v>570</v>
      </c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91"/>
      <c r="N571" s="89"/>
      <c r="O571" s="89"/>
      <c r="P571" s="89"/>
    </row>
    <row r="572">
      <c r="A572" s="64">
        <f t="shared" si="3"/>
        <v>571</v>
      </c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91"/>
      <c r="N572" s="89"/>
      <c r="O572" s="89"/>
      <c r="P572" s="89"/>
    </row>
    <row r="573">
      <c r="A573" s="64">
        <f t="shared" si="3"/>
        <v>572</v>
      </c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91"/>
      <c r="N573" s="89"/>
      <c r="O573" s="89"/>
      <c r="P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91"/>
      <c r="N574" s="89"/>
      <c r="O574" s="89"/>
      <c r="P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91"/>
      <c r="N575" s="89"/>
      <c r="O575" s="89"/>
      <c r="P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91"/>
      <c r="N576" s="89"/>
      <c r="O576" s="89"/>
      <c r="P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91"/>
      <c r="N577" s="89"/>
      <c r="O577" s="89"/>
      <c r="P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91"/>
      <c r="N578" s="89"/>
      <c r="O578" s="89"/>
      <c r="P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91"/>
      <c r="N579" s="89"/>
      <c r="O579" s="89"/>
      <c r="P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91"/>
      <c r="N580" s="89"/>
      <c r="O580" s="89"/>
      <c r="P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91"/>
      <c r="N581" s="89"/>
      <c r="O581" s="89"/>
      <c r="P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91"/>
      <c r="N582" s="89"/>
      <c r="O582" s="89"/>
      <c r="P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91"/>
      <c r="N583" s="89"/>
      <c r="O583" s="89"/>
      <c r="P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91"/>
      <c r="N584" s="89"/>
      <c r="O584" s="89"/>
      <c r="P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91"/>
      <c r="N585" s="89"/>
      <c r="O585" s="89"/>
      <c r="P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91"/>
      <c r="N586" s="89"/>
      <c r="O586" s="89"/>
      <c r="P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91"/>
      <c r="N587" s="89"/>
      <c r="O587" s="89"/>
      <c r="P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91"/>
      <c r="N588" s="89"/>
      <c r="O588" s="89"/>
      <c r="P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91"/>
      <c r="N589" s="89"/>
      <c r="O589" s="89"/>
      <c r="P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91"/>
      <c r="N590" s="89"/>
      <c r="O590" s="89"/>
      <c r="P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91"/>
      <c r="N591" s="89"/>
      <c r="O591" s="89"/>
      <c r="P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91"/>
      <c r="N592" s="89"/>
      <c r="O592" s="89"/>
      <c r="P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91"/>
      <c r="N593" s="89"/>
      <c r="O593" s="89"/>
      <c r="P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91"/>
      <c r="N594" s="89"/>
      <c r="O594" s="89"/>
      <c r="P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91"/>
      <c r="N595" s="89"/>
      <c r="O595" s="89"/>
      <c r="P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91"/>
      <c r="N596" s="89"/>
      <c r="O596" s="89"/>
      <c r="P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91"/>
      <c r="N597" s="89"/>
      <c r="O597" s="89"/>
      <c r="P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91"/>
      <c r="N598" s="89"/>
      <c r="O598" s="89"/>
      <c r="P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91"/>
      <c r="N599" s="89"/>
      <c r="O599" s="89"/>
      <c r="P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91"/>
      <c r="N600" s="89"/>
      <c r="O600" s="89"/>
      <c r="P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91"/>
      <c r="N601" s="89"/>
      <c r="O601" s="89"/>
      <c r="P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91"/>
      <c r="N602" s="89"/>
      <c r="O602" s="89"/>
      <c r="P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91"/>
      <c r="N603" s="89"/>
      <c r="O603" s="89"/>
      <c r="P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91"/>
      <c r="N604" s="89"/>
      <c r="O604" s="89"/>
      <c r="P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91"/>
      <c r="N605" s="89"/>
      <c r="O605" s="89"/>
      <c r="P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91"/>
      <c r="N606" s="89"/>
      <c r="O606" s="89"/>
      <c r="P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91"/>
      <c r="N607" s="89"/>
      <c r="O607" s="89"/>
      <c r="P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91"/>
      <c r="N608" s="89"/>
      <c r="O608" s="89"/>
      <c r="P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91"/>
      <c r="N609" s="89"/>
      <c r="O609" s="89"/>
      <c r="P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91"/>
      <c r="N610" s="89"/>
      <c r="O610" s="89"/>
      <c r="P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91"/>
      <c r="N611" s="89"/>
      <c r="O611" s="89"/>
      <c r="P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91"/>
      <c r="N612" s="89"/>
      <c r="O612" s="89"/>
      <c r="P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91"/>
      <c r="N613" s="89"/>
      <c r="O613" s="89"/>
      <c r="P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91"/>
      <c r="N614" s="89"/>
      <c r="O614" s="89"/>
      <c r="P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91"/>
      <c r="N615" s="89"/>
      <c r="O615" s="89"/>
      <c r="P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91"/>
      <c r="N616" s="89"/>
      <c r="O616" s="89"/>
      <c r="P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91"/>
      <c r="N617" s="89"/>
      <c r="O617" s="89"/>
      <c r="P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91"/>
      <c r="N618" s="89"/>
      <c r="O618" s="89"/>
      <c r="P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91"/>
      <c r="N619" s="89"/>
      <c r="O619" s="89"/>
      <c r="P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91"/>
      <c r="N620" s="89"/>
      <c r="O620" s="89"/>
      <c r="P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91"/>
      <c r="N621" s="89"/>
      <c r="O621" s="89"/>
      <c r="P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91"/>
      <c r="N622" s="89"/>
      <c r="O622" s="89"/>
      <c r="P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91"/>
      <c r="N623" s="89"/>
      <c r="O623" s="89"/>
      <c r="P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91"/>
      <c r="N624" s="89"/>
      <c r="O624" s="89"/>
      <c r="P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91"/>
      <c r="N625" s="89"/>
      <c r="O625" s="89"/>
      <c r="P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91"/>
      <c r="N626" s="89"/>
      <c r="O626" s="89"/>
      <c r="P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91"/>
      <c r="N627" s="89"/>
      <c r="O627" s="89"/>
      <c r="P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91"/>
      <c r="N628" s="89"/>
      <c r="O628" s="89"/>
      <c r="P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91"/>
      <c r="N629" s="89"/>
      <c r="O629" s="89"/>
      <c r="P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91"/>
      <c r="N630" s="89"/>
      <c r="O630" s="89"/>
      <c r="P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91"/>
      <c r="N631" s="89"/>
      <c r="O631" s="89"/>
      <c r="P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91"/>
      <c r="N632" s="89"/>
      <c r="O632" s="89"/>
      <c r="P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91"/>
      <c r="N633" s="89"/>
      <c r="O633" s="89"/>
      <c r="P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91"/>
      <c r="N634" s="89"/>
      <c r="O634" s="89"/>
      <c r="P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91"/>
      <c r="N635" s="89"/>
      <c r="O635" s="89"/>
      <c r="P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91"/>
      <c r="N636" s="89"/>
      <c r="O636" s="89"/>
      <c r="P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91"/>
      <c r="N637" s="89"/>
      <c r="O637" s="89"/>
      <c r="P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91"/>
      <c r="N638" s="89"/>
      <c r="O638" s="89"/>
      <c r="P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91"/>
      <c r="N639" s="89"/>
      <c r="O639" s="89"/>
      <c r="P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91"/>
      <c r="N640" s="89"/>
      <c r="O640" s="89"/>
      <c r="P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91"/>
      <c r="N641" s="89"/>
      <c r="O641" s="89"/>
      <c r="P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91"/>
      <c r="N642" s="89"/>
      <c r="O642" s="89"/>
      <c r="P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91"/>
      <c r="N643" s="89"/>
      <c r="O643" s="89"/>
      <c r="P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91"/>
      <c r="N644" s="89"/>
      <c r="O644" s="89"/>
      <c r="P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91"/>
      <c r="N645" s="89"/>
      <c r="O645" s="89"/>
      <c r="P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91"/>
      <c r="N646" s="89"/>
      <c r="O646" s="89"/>
      <c r="P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91"/>
      <c r="N647" s="89"/>
      <c r="O647" s="89"/>
      <c r="P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91"/>
      <c r="N648" s="89"/>
      <c r="O648" s="89"/>
      <c r="P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91"/>
      <c r="N649" s="89"/>
      <c r="O649" s="89"/>
      <c r="P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91"/>
      <c r="N650" s="89"/>
      <c r="O650" s="89"/>
      <c r="P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91"/>
      <c r="N651" s="89"/>
      <c r="O651" s="89"/>
      <c r="P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91"/>
      <c r="N652" s="89"/>
      <c r="O652" s="89"/>
      <c r="P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91"/>
      <c r="N653" s="89"/>
      <c r="O653" s="89"/>
      <c r="P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91"/>
      <c r="N654" s="89"/>
      <c r="O654" s="89"/>
      <c r="P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91"/>
      <c r="N655" s="89"/>
      <c r="O655" s="89"/>
      <c r="P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91"/>
      <c r="N656" s="89"/>
      <c r="O656" s="89"/>
      <c r="P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91"/>
      <c r="N657" s="89"/>
      <c r="O657" s="89"/>
      <c r="P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91"/>
      <c r="N658" s="89"/>
      <c r="O658" s="89"/>
      <c r="P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91"/>
      <c r="N659" s="89"/>
      <c r="O659" s="89"/>
      <c r="P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91"/>
      <c r="N660" s="89"/>
      <c r="O660" s="89"/>
      <c r="P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91"/>
      <c r="N661" s="89"/>
      <c r="O661" s="89"/>
      <c r="P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91"/>
      <c r="N662" s="89"/>
      <c r="O662" s="89"/>
      <c r="P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91"/>
      <c r="N663" s="89"/>
      <c r="O663" s="89"/>
      <c r="P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91"/>
      <c r="N664" s="89"/>
      <c r="O664" s="89"/>
      <c r="P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91"/>
      <c r="N665" s="89"/>
      <c r="O665" s="89"/>
      <c r="P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91"/>
      <c r="N666" s="89"/>
      <c r="O666" s="89"/>
      <c r="P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91"/>
      <c r="N667" s="89"/>
      <c r="O667" s="89"/>
      <c r="P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91"/>
      <c r="N668" s="89"/>
      <c r="O668" s="89"/>
      <c r="P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91"/>
      <c r="N669" s="89"/>
      <c r="O669" s="89"/>
      <c r="P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91"/>
      <c r="N670" s="89"/>
      <c r="O670" s="89"/>
      <c r="P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91"/>
      <c r="N671" s="89"/>
      <c r="O671" s="89"/>
      <c r="P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91"/>
      <c r="N672" s="89"/>
      <c r="O672" s="89"/>
      <c r="P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91"/>
      <c r="N673" s="89"/>
      <c r="O673" s="89"/>
      <c r="P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91"/>
      <c r="N674" s="89"/>
      <c r="O674" s="89"/>
      <c r="P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91"/>
      <c r="N675" s="89"/>
      <c r="O675" s="89"/>
      <c r="P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91"/>
      <c r="N676" s="89"/>
      <c r="O676" s="89"/>
      <c r="P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91"/>
      <c r="N677" s="89"/>
      <c r="O677" s="89"/>
      <c r="P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91"/>
      <c r="N678" s="89"/>
      <c r="O678" s="89"/>
      <c r="P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91"/>
      <c r="N679" s="89"/>
      <c r="O679" s="89"/>
      <c r="P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91"/>
      <c r="N680" s="89"/>
      <c r="O680" s="89"/>
      <c r="P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91"/>
      <c r="N681" s="89"/>
      <c r="O681" s="89"/>
      <c r="P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91"/>
      <c r="N682" s="89"/>
      <c r="O682" s="89"/>
      <c r="P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91"/>
      <c r="N683" s="89"/>
      <c r="O683" s="89"/>
      <c r="P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91"/>
      <c r="N684" s="89"/>
      <c r="O684" s="89"/>
      <c r="P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91"/>
      <c r="N685" s="89"/>
      <c r="O685" s="89"/>
      <c r="P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91"/>
      <c r="N686" s="89"/>
      <c r="O686" s="89"/>
      <c r="P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91"/>
      <c r="N687" s="89"/>
      <c r="O687" s="89"/>
      <c r="P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91"/>
      <c r="N688" s="89"/>
      <c r="O688" s="89"/>
      <c r="P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91"/>
      <c r="N689" s="89"/>
      <c r="O689" s="89"/>
      <c r="P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91"/>
      <c r="N690" s="89"/>
      <c r="O690" s="89"/>
      <c r="P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91"/>
      <c r="N691" s="89"/>
      <c r="O691" s="89"/>
      <c r="P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91"/>
      <c r="N692" s="89"/>
      <c r="O692" s="89"/>
      <c r="P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91"/>
      <c r="N693" s="89"/>
      <c r="O693" s="89"/>
      <c r="P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91"/>
      <c r="N694" s="89"/>
      <c r="O694" s="89"/>
      <c r="P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91"/>
      <c r="N695" s="89"/>
      <c r="O695" s="89"/>
      <c r="P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91"/>
      <c r="N696" s="89"/>
      <c r="O696" s="89"/>
      <c r="P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91"/>
      <c r="N697" s="89"/>
      <c r="O697" s="89"/>
      <c r="P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91"/>
      <c r="N698" s="89"/>
      <c r="O698" s="89"/>
      <c r="P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91"/>
      <c r="N699" s="89"/>
      <c r="O699" s="89"/>
      <c r="P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91"/>
      <c r="N700" s="89"/>
      <c r="O700" s="89"/>
      <c r="P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91"/>
      <c r="N701" s="89"/>
      <c r="O701" s="89"/>
      <c r="P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91"/>
      <c r="N702" s="89"/>
      <c r="O702" s="89"/>
      <c r="P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91"/>
      <c r="N703" s="89"/>
      <c r="O703" s="89"/>
      <c r="P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91"/>
      <c r="N704" s="89"/>
      <c r="O704" s="89"/>
      <c r="P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91"/>
      <c r="N705" s="89"/>
      <c r="O705" s="89"/>
      <c r="P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91"/>
      <c r="N706" s="89"/>
      <c r="O706" s="89"/>
      <c r="P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91"/>
      <c r="N707" s="89"/>
      <c r="O707" s="89"/>
      <c r="P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91"/>
      <c r="N708" s="89"/>
      <c r="O708" s="89"/>
      <c r="P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91"/>
      <c r="N709" s="89"/>
      <c r="O709" s="89"/>
      <c r="P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91"/>
      <c r="N710" s="89"/>
      <c r="O710" s="89"/>
      <c r="P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91"/>
      <c r="N711" s="89"/>
      <c r="O711" s="89"/>
      <c r="P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91"/>
      <c r="N712" s="89"/>
      <c r="O712" s="89"/>
      <c r="P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91"/>
      <c r="N713" s="89"/>
      <c r="O713" s="89"/>
      <c r="P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91"/>
      <c r="N714" s="89"/>
      <c r="O714" s="89"/>
      <c r="P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91"/>
      <c r="N715" s="89"/>
      <c r="O715" s="89"/>
      <c r="P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91"/>
      <c r="N716" s="89"/>
      <c r="O716" s="89"/>
      <c r="P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91"/>
      <c r="N717" s="89"/>
      <c r="O717" s="89"/>
      <c r="P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91"/>
      <c r="N718" s="89"/>
      <c r="O718" s="89"/>
      <c r="P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91"/>
      <c r="N719" s="89"/>
      <c r="O719" s="89"/>
      <c r="P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91"/>
      <c r="N720" s="89"/>
      <c r="O720" s="89"/>
      <c r="P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91"/>
      <c r="N721" s="89"/>
      <c r="O721" s="89"/>
      <c r="P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91"/>
      <c r="N722" s="89"/>
      <c r="O722" s="89"/>
      <c r="P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91"/>
      <c r="N723" s="89"/>
      <c r="O723" s="89"/>
      <c r="P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91"/>
      <c r="N724" s="89"/>
      <c r="O724" s="89"/>
      <c r="P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91"/>
      <c r="N725" s="89"/>
      <c r="O725" s="89"/>
      <c r="P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91"/>
      <c r="N726" s="89"/>
      <c r="O726" s="89"/>
      <c r="P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91"/>
      <c r="N727" s="89"/>
      <c r="O727" s="89"/>
      <c r="P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91"/>
      <c r="N728" s="89"/>
      <c r="O728" s="89"/>
      <c r="P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91"/>
      <c r="N729" s="89"/>
      <c r="O729" s="89"/>
      <c r="P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91"/>
      <c r="N730" s="89"/>
      <c r="O730" s="89"/>
      <c r="P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91"/>
      <c r="N731" s="89"/>
      <c r="O731" s="89"/>
      <c r="P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91"/>
      <c r="N732" s="89"/>
      <c r="O732" s="89"/>
      <c r="P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91"/>
      <c r="N733" s="89"/>
      <c r="O733" s="89"/>
      <c r="P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91"/>
      <c r="N734" s="89"/>
      <c r="O734" s="89"/>
      <c r="P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91"/>
      <c r="N735" s="89"/>
      <c r="O735" s="89"/>
      <c r="P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91"/>
      <c r="N736" s="89"/>
      <c r="O736" s="89"/>
      <c r="P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91"/>
      <c r="N737" s="89"/>
      <c r="O737" s="89"/>
      <c r="P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91"/>
      <c r="N738" s="89"/>
      <c r="O738" s="89"/>
      <c r="P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91"/>
      <c r="N739" s="89"/>
      <c r="O739" s="89"/>
      <c r="P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91"/>
      <c r="N740" s="89"/>
      <c r="O740" s="89"/>
      <c r="P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91"/>
      <c r="N741" s="89"/>
      <c r="O741" s="89"/>
      <c r="P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91"/>
      <c r="N742" s="89"/>
      <c r="O742" s="89"/>
      <c r="P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91"/>
      <c r="N743" s="89"/>
      <c r="O743" s="89"/>
      <c r="P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91"/>
      <c r="N744" s="89"/>
      <c r="O744" s="89"/>
      <c r="P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91"/>
      <c r="N745" s="89"/>
      <c r="O745" s="89"/>
      <c r="P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91"/>
      <c r="N746" s="89"/>
      <c r="O746" s="89"/>
      <c r="P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91"/>
      <c r="N747" s="89"/>
      <c r="O747" s="89"/>
      <c r="P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91"/>
      <c r="N748" s="89"/>
      <c r="O748" s="89"/>
      <c r="P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91"/>
      <c r="N749" s="89"/>
      <c r="O749" s="89"/>
      <c r="P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91"/>
      <c r="N750" s="89"/>
      <c r="O750" s="89"/>
      <c r="P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91"/>
      <c r="N751" s="89"/>
      <c r="O751" s="89"/>
      <c r="P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91"/>
      <c r="N752" s="89"/>
      <c r="O752" s="89"/>
      <c r="P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91"/>
      <c r="N753" s="89"/>
      <c r="O753" s="89"/>
      <c r="P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91"/>
      <c r="N754" s="89"/>
      <c r="O754" s="89"/>
      <c r="P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91"/>
      <c r="N755" s="89"/>
      <c r="O755" s="89"/>
      <c r="P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91"/>
      <c r="N756" s="89"/>
      <c r="O756" s="89"/>
      <c r="P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91"/>
      <c r="N757" s="89"/>
      <c r="O757" s="89"/>
      <c r="P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91"/>
      <c r="N758" s="89"/>
      <c r="O758" s="89"/>
      <c r="P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91"/>
      <c r="N759" s="89"/>
      <c r="O759" s="89"/>
      <c r="P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91"/>
      <c r="N760" s="89"/>
      <c r="O760" s="89"/>
      <c r="P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91"/>
      <c r="N761" s="89"/>
      <c r="O761" s="89"/>
      <c r="P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91"/>
      <c r="N762" s="89"/>
      <c r="O762" s="89"/>
      <c r="P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91"/>
      <c r="N763" s="89"/>
      <c r="O763" s="89"/>
      <c r="P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91"/>
      <c r="N764" s="89"/>
      <c r="O764" s="89"/>
      <c r="P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91"/>
      <c r="N765" s="89"/>
      <c r="O765" s="89"/>
      <c r="P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91"/>
      <c r="N766" s="89"/>
      <c r="O766" s="89"/>
      <c r="P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91"/>
      <c r="N767" s="89"/>
      <c r="O767" s="89"/>
      <c r="P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91"/>
      <c r="N768" s="89"/>
      <c r="O768" s="89"/>
      <c r="P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91"/>
      <c r="N769" s="89"/>
      <c r="O769" s="89"/>
      <c r="P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91"/>
      <c r="N770" s="89"/>
      <c r="O770" s="89"/>
      <c r="P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91"/>
      <c r="N771" s="89"/>
      <c r="O771" s="89"/>
      <c r="P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91"/>
      <c r="N772" s="89"/>
      <c r="O772" s="89"/>
      <c r="P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91"/>
      <c r="N773" s="89"/>
      <c r="O773" s="89"/>
      <c r="P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91"/>
      <c r="N774" s="89"/>
      <c r="O774" s="89"/>
      <c r="P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91"/>
      <c r="N775" s="89"/>
      <c r="O775" s="89"/>
      <c r="P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91"/>
      <c r="N776" s="89"/>
      <c r="O776" s="89"/>
      <c r="P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91"/>
      <c r="N777" s="89"/>
      <c r="O777" s="89"/>
      <c r="P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91"/>
      <c r="N778" s="89"/>
      <c r="O778" s="89"/>
      <c r="P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91"/>
      <c r="N779" s="89"/>
      <c r="O779" s="89"/>
      <c r="P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91"/>
      <c r="N780" s="89"/>
      <c r="O780" s="89"/>
      <c r="P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91"/>
      <c r="N781" s="89"/>
      <c r="O781" s="89"/>
      <c r="P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91"/>
      <c r="N782" s="89"/>
      <c r="O782" s="89"/>
      <c r="P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91"/>
      <c r="N783" s="89"/>
      <c r="O783" s="89"/>
      <c r="P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91"/>
      <c r="N784" s="89"/>
      <c r="O784" s="89"/>
      <c r="P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91"/>
      <c r="N785" s="89"/>
      <c r="O785" s="89"/>
      <c r="P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91"/>
      <c r="N786" s="89"/>
      <c r="O786" s="89"/>
      <c r="P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91"/>
      <c r="N787" s="89"/>
      <c r="O787" s="89"/>
      <c r="P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91"/>
      <c r="N788" s="89"/>
      <c r="O788" s="89"/>
      <c r="P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91"/>
      <c r="N789" s="89"/>
      <c r="O789" s="89"/>
      <c r="P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91"/>
      <c r="N790" s="89"/>
      <c r="O790" s="89"/>
      <c r="P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91"/>
      <c r="N791" s="89"/>
      <c r="O791" s="89"/>
      <c r="P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91"/>
      <c r="N792" s="89"/>
      <c r="O792" s="89"/>
      <c r="P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91"/>
      <c r="N793" s="89"/>
      <c r="O793" s="89"/>
      <c r="P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91"/>
      <c r="N794" s="89"/>
      <c r="O794" s="89"/>
      <c r="P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91"/>
      <c r="N795" s="89"/>
      <c r="O795" s="89"/>
      <c r="P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91"/>
      <c r="N796" s="89"/>
      <c r="O796" s="89"/>
      <c r="P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91"/>
      <c r="N797" s="89"/>
      <c r="O797" s="89"/>
      <c r="P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91"/>
      <c r="N798" s="89"/>
      <c r="O798" s="89"/>
      <c r="P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91"/>
      <c r="N799" s="89"/>
      <c r="O799" s="89"/>
      <c r="P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91"/>
      <c r="N800" s="89"/>
      <c r="O800" s="89"/>
      <c r="P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91"/>
      <c r="N801" s="89"/>
      <c r="O801" s="89"/>
      <c r="P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91"/>
      <c r="N802" s="89"/>
      <c r="O802" s="89"/>
      <c r="P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91"/>
      <c r="N803" s="89"/>
      <c r="O803" s="89"/>
      <c r="P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91"/>
      <c r="N804" s="89"/>
      <c r="O804" s="89"/>
      <c r="P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91"/>
      <c r="N805" s="89"/>
      <c r="O805" s="89"/>
      <c r="P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91"/>
      <c r="N806" s="89"/>
      <c r="O806" s="89"/>
      <c r="P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91"/>
      <c r="N807" s="89"/>
      <c r="O807" s="89"/>
      <c r="P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91"/>
      <c r="N808" s="89"/>
      <c r="O808" s="89"/>
      <c r="P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91"/>
      <c r="N809" s="89"/>
      <c r="O809" s="89"/>
      <c r="P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91"/>
      <c r="N810" s="89"/>
      <c r="O810" s="89"/>
      <c r="P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91"/>
      <c r="N811" s="89"/>
      <c r="O811" s="89"/>
      <c r="P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91"/>
      <c r="N812" s="89"/>
      <c r="O812" s="89"/>
      <c r="P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91"/>
      <c r="N813" s="89"/>
      <c r="O813" s="89"/>
      <c r="P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91"/>
      <c r="N814" s="89"/>
      <c r="O814" s="89"/>
      <c r="P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91"/>
      <c r="N815" s="89"/>
      <c r="O815" s="89"/>
      <c r="P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91"/>
      <c r="N816" s="89"/>
      <c r="O816" s="89"/>
      <c r="P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91"/>
      <c r="N817" s="89"/>
      <c r="O817" s="89"/>
      <c r="P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91"/>
      <c r="N818" s="89"/>
      <c r="O818" s="89"/>
      <c r="P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91"/>
      <c r="N819" s="89"/>
      <c r="O819" s="89"/>
      <c r="P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91"/>
      <c r="N820" s="89"/>
      <c r="O820" s="89"/>
      <c r="P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91"/>
      <c r="N821" s="89"/>
      <c r="O821" s="89"/>
      <c r="P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91"/>
      <c r="N822" s="89"/>
      <c r="O822" s="89"/>
      <c r="P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91"/>
      <c r="N823" s="89"/>
      <c r="O823" s="89"/>
      <c r="P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91"/>
      <c r="N824" s="89"/>
      <c r="O824" s="89"/>
      <c r="P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91"/>
      <c r="N825" s="89"/>
      <c r="O825" s="89"/>
      <c r="P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91"/>
      <c r="N826" s="89"/>
      <c r="O826" s="89"/>
      <c r="P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91"/>
      <c r="N827" s="89"/>
      <c r="O827" s="89"/>
      <c r="P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91"/>
      <c r="N828" s="89"/>
      <c r="O828" s="89"/>
      <c r="P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91"/>
      <c r="N829" s="89"/>
      <c r="O829" s="89"/>
      <c r="P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91"/>
      <c r="N830" s="89"/>
      <c r="O830" s="89"/>
      <c r="P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91"/>
      <c r="N831" s="89"/>
      <c r="O831" s="89"/>
      <c r="P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91"/>
      <c r="N832" s="89"/>
      <c r="O832" s="89"/>
      <c r="P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91"/>
      <c r="N833" s="89"/>
      <c r="O833" s="89"/>
      <c r="P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91"/>
      <c r="N834" s="89"/>
      <c r="O834" s="89"/>
      <c r="P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91"/>
      <c r="N835" s="89"/>
      <c r="O835" s="89"/>
      <c r="P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91"/>
      <c r="N836" s="89"/>
      <c r="O836" s="89"/>
      <c r="P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91"/>
      <c r="N837" s="89"/>
      <c r="O837" s="89"/>
      <c r="P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91"/>
      <c r="N838" s="89"/>
      <c r="O838" s="89"/>
      <c r="P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91"/>
      <c r="N839" s="89"/>
      <c r="O839" s="89"/>
      <c r="P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91"/>
      <c r="N840" s="89"/>
      <c r="O840" s="89"/>
      <c r="P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91"/>
      <c r="N841" s="89"/>
      <c r="O841" s="89"/>
      <c r="P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91"/>
      <c r="N842" s="89"/>
      <c r="O842" s="89"/>
      <c r="P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91"/>
      <c r="N843" s="89"/>
      <c r="O843" s="89"/>
      <c r="P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91"/>
      <c r="N844" s="89"/>
      <c r="O844" s="89"/>
      <c r="P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91"/>
      <c r="N845" s="89"/>
      <c r="O845" s="89"/>
      <c r="P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91"/>
      <c r="N846" s="89"/>
      <c r="O846" s="89"/>
      <c r="P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91"/>
      <c r="N847" s="89"/>
      <c r="O847" s="89"/>
      <c r="P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91"/>
      <c r="N848" s="89"/>
      <c r="O848" s="89"/>
      <c r="P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91"/>
      <c r="N849" s="89"/>
      <c r="O849" s="89"/>
      <c r="P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91"/>
      <c r="N850" s="89"/>
      <c r="O850" s="89"/>
      <c r="P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91"/>
      <c r="N851" s="89"/>
      <c r="O851" s="89"/>
      <c r="P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91"/>
      <c r="N852" s="89"/>
      <c r="O852" s="89"/>
      <c r="P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91"/>
      <c r="N853" s="89"/>
      <c r="O853" s="89"/>
      <c r="P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91"/>
      <c r="N854" s="89"/>
      <c r="O854" s="89"/>
      <c r="P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91"/>
      <c r="N855" s="89"/>
      <c r="O855" s="89"/>
      <c r="P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91"/>
      <c r="N856" s="89"/>
      <c r="O856" s="89"/>
      <c r="P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91"/>
      <c r="N857" s="89"/>
      <c r="O857" s="89"/>
      <c r="P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91"/>
      <c r="N858" s="89"/>
      <c r="O858" s="89"/>
      <c r="P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91"/>
      <c r="N859" s="89"/>
      <c r="O859" s="89"/>
      <c r="P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91"/>
      <c r="N860" s="89"/>
      <c r="O860" s="89"/>
      <c r="P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91"/>
      <c r="N861" s="89"/>
      <c r="O861" s="89"/>
      <c r="P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91"/>
      <c r="N862" s="89"/>
      <c r="O862" s="89"/>
      <c r="P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91"/>
      <c r="N863" s="89"/>
      <c r="O863" s="89"/>
      <c r="P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91"/>
      <c r="N864" s="89"/>
      <c r="O864" s="89"/>
      <c r="P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91"/>
      <c r="N865" s="89"/>
      <c r="O865" s="89"/>
      <c r="P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91"/>
      <c r="N866" s="89"/>
      <c r="O866" s="89"/>
      <c r="P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91"/>
      <c r="N867" s="89"/>
      <c r="O867" s="89"/>
      <c r="P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91"/>
      <c r="N868" s="89"/>
      <c r="O868" s="89"/>
      <c r="P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91"/>
      <c r="N869" s="89"/>
      <c r="O869" s="89"/>
      <c r="P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91"/>
      <c r="N870" s="89"/>
      <c r="O870" s="89"/>
      <c r="P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91"/>
      <c r="N871" s="89"/>
      <c r="O871" s="89"/>
      <c r="P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91"/>
      <c r="N872" s="89"/>
      <c r="O872" s="89"/>
      <c r="P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91"/>
      <c r="N873" s="89"/>
      <c r="O873" s="89"/>
      <c r="P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91"/>
      <c r="N874" s="89"/>
      <c r="O874" s="89"/>
      <c r="P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91"/>
      <c r="N875" s="89"/>
      <c r="O875" s="89"/>
      <c r="P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91"/>
      <c r="N876" s="89"/>
      <c r="O876" s="89"/>
      <c r="P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91"/>
      <c r="N877" s="89"/>
      <c r="O877" s="89"/>
      <c r="P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91"/>
      <c r="N878" s="89"/>
      <c r="O878" s="89"/>
      <c r="P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91"/>
      <c r="N879" s="89"/>
      <c r="O879" s="89"/>
      <c r="P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91"/>
      <c r="N880" s="89"/>
      <c r="O880" s="89"/>
      <c r="P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91"/>
      <c r="N881" s="89"/>
      <c r="O881" s="89"/>
      <c r="P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91"/>
      <c r="N882" s="89"/>
      <c r="O882" s="89"/>
      <c r="P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91"/>
      <c r="N883" s="89"/>
      <c r="O883" s="89"/>
      <c r="P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91"/>
      <c r="N884" s="89"/>
      <c r="O884" s="89"/>
      <c r="P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91"/>
      <c r="N885" s="89"/>
      <c r="O885" s="89"/>
      <c r="P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91"/>
      <c r="N886" s="89"/>
      <c r="O886" s="89"/>
      <c r="P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91"/>
      <c r="N887" s="89"/>
      <c r="O887" s="89"/>
      <c r="P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91"/>
      <c r="N888" s="89"/>
      <c r="O888" s="89"/>
      <c r="P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91"/>
      <c r="N889" s="89"/>
      <c r="O889" s="89"/>
      <c r="P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91"/>
      <c r="N890" s="89"/>
      <c r="O890" s="89"/>
      <c r="P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91"/>
      <c r="N891" s="89"/>
      <c r="O891" s="89"/>
      <c r="P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91"/>
      <c r="N892" s="89"/>
      <c r="O892" s="89"/>
      <c r="P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91"/>
      <c r="N893" s="89"/>
      <c r="O893" s="89"/>
      <c r="P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91"/>
      <c r="N894" s="89"/>
      <c r="O894" s="89"/>
      <c r="P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91"/>
      <c r="N895" s="89"/>
      <c r="O895" s="89"/>
      <c r="P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91"/>
      <c r="N896" s="89"/>
      <c r="O896" s="89"/>
      <c r="P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91"/>
      <c r="N897" s="89"/>
      <c r="O897" s="89"/>
      <c r="P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91"/>
      <c r="N898" s="89"/>
      <c r="O898" s="89"/>
      <c r="P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91"/>
      <c r="N899" s="89"/>
      <c r="O899" s="89"/>
      <c r="P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91"/>
      <c r="N900" s="89"/>
      <c r="O900" s="89"/>
      <c r="P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91"/>
      <c r="N901" s="89"/>
      <c r="O901" s="89"/>
      <c r="P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91"/>
      <c r="N902" s="89"/>
      <c r="O902" s="89"/>
      <c r="P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91"/>
      <c r="N903" s="89"/>
      <c r="O903" s="89"/>
      <c r="P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91"/>
      <c r="N904" s="89"/>
      <c r="O904" s="89"/>
      <c r="P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91"/>
      <c r="N905" s="89"/>
      <c r="O905" s="89"/>
      <c r="P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91"/>
      <c r="N906" s="89"/>
      <c r="O906" s="89"/>
      <c r="P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91"/>
      <c r="N907" s="89"/>
      <c r="O907" s="89"/>
      <c r="P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91"/>
      <c r="N908" s="89"/>
      <c r="O908" s="89"/>
      <c r="P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91"/>
      <c r="N909" s="89"/>
      <c r="O909" s="89"/>
      <c r="P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91"/>
      <c r="N910" s="89"/>
      <c r="O910" s="89"/>
      <c r="P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91"/>
      <c r="N911" s="89"/>
      <c r="O911" s="89"/>
      <c r="P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91"/>
      <c r="N912" s="89"/>
      <c r="O912" s="89"/>
      <c r="P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91"/>
      <c r="N913" s="89"/>
      <c r="O913" s="89"/>
      <c r="P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91"/>
      <c r="N914" s="89"/>
      <c r="O914" s="89"/>
      <c r="P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91"/>
      <c r="N915" s="89"/>
      <c r="O915" s="89"/>
      <c r="P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91"/>
      <c r="N916" s="89"/>
      <c r="O916" s="89"/>
      <c r="P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91"/>
      <c r="N917" s="89"/>
      <c r="O917" s="89"/>
      <c r="P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91"/>
      <c r="N918" s="89"/>
      <c r="O918" s="89"/>
      <c r="P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91"/>
      <c r="N919" s="89"/>
      <c r="O919" s="89"/>
      <c r="P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91"/>
      <c r="N920" s="89"/>
      <c r="O920" s="89"/>
      <c r="P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91"/>
      <c r="N921" s="89"/>
      <c r="O921" s="89"/>
      <c r="P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91"/>
      <c r="N922" s="89"/>
      <c r="O922" s="89"/>
      <c r="P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91"/>
      <c r="N923" s="89"/>
      <c r="O923" s="89"/>
      <c r="P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91"/>
      <c r="N924" s="89"/>
      <c r="O924" s="89"/>
      <c r="P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91"/>
      <c r="N925" s="89"/>
      <c r="O925" s="89"/>
      <c r="P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91"/>
      <c r="N926" s="89"/>
      <c r="O926" s="89"/>
      <c r="P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91"/>
      <c r="N927" s="89"/>
      <c r="O927" s="89"/>
      <c r="P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91"/>
      <c r="N928" s="89"/>
      <c r="O928" s="89"/>
      <c r="P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91"/>
      <c r="N929" s="89"/>
      <c r="O929" s="89"/>
      <c r="P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91"/>
      <c r="N930" s="89"/>
      <c r="O930" s="89"/>
      <c r="P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91"/>
      <c r="N931" s="89"/>
      <c r="O931" s="89"/>
      <c r="P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91"/>
      <c r="N932" s="89"/>
      <c r="O932" s="89"/>
      <c r="P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91"/>
      <c r="N933" s="89"/>
      <c r="O933" s="89"/>
      <c r="P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91"/>
      <c r="N934" s="89"/>
      <c r="O934" s="89"/>
      <c r="P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91"/>
      <c r="N935" s="89"/>
      <c r="O935" s="89"/>
      <c r="P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91"/>
      <c r="N936" s="89"/>
      <c r="O936" s="89"/>
      <c r="P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91"/>
      <c r="N937" s="89"/>
      <c r="O937" s="89"/>
      <c r="P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91"/>
      <c r="N938" s="89"/>
      <c r="O938" s="89"/>
      <c r="P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91"/>
      <c r="N939" s="89"/>
      <c r="O939" s="89"/>
      <c r="P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91"/>
      <c r="N940" s="89"/>
      <c r="O940" s="89"/>
      <c r="P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91"/>
      <c r="N941" s="89"/>
      <c r="O941" s="89"/>
      <c r="P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91"/>
      <c r="N942" s="89"/>
      <c r="O942" s="89"/>
      <c r="P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91"/>
      <c r="N943" s="89"/>
      <c r="O943" s="89"/>
      <c r="P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91"/>
      <c r="N944" s="89"/>
      <c r="O944" s="89"/>
      <c r="P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91"/>
      <c r="N945" s="89"/>
      <c r="O945" s="89"/>
      <c r="P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91"/>
      <c r="N946" s="89"/>
      <c r="O946" s="89"/>
      <c r="P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91"/>
      <c r="N947" s="89"/>
      <c r="O947" s="89"/>
      <c r="P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91"/>
      <c r="N948" s="89"/>
      <c r="O948" s="89"/>
      <c r="P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91"/>
      <c r="N949" s="89"/>
      <c r="O949" s="89"/>
      <c r="P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91"/>
      <c r="N950" s="89"/>
      <c r="O950" s="89"/>
      <c r="P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91"/>
      <c r="N951" s="89"/>
      <c r="O951" s="89"/>
      <c r="P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91"/>
      <c r="N952" s="89"/>
      <c r="O952" s="89"/>
      <c r="P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91"/>
      <c r="N953" s="89"/>
      <c r="O953" s="89"/>
      <c r="P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91"/>
      <c r="N954" s="89"/>
      <c r="O954" s="89"/>
      <c r="P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91"/>
      <c r="N955" s="89"/>
      <c r="O955" s="89"/>
      <c r="P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91"/>
      <c r="N956" s="89"/>
      <c r="O956" s="89"/>
      <c r="P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91"/>
      <c r="N957" s="89"/>
      <c r="O957" s="89"/>
      <c r="P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91"/>
      <c r="N958" s="89"/>
      <c r="O958" s="89"/>
      <c r="P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91"/>
      <c r="N959" s="89"/>
      <c r="O959" s="89"/>
      <c r="P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91"/>
      <c r="N960" s="89"/>
      <c r="O960" s="89"/>
      <c r="P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91"/>
      <c r="N961" s="89"/>
      <c r="O961" s="89"/>
      <c r="P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91"/>
      <c r="N962" s="89"/>
      <c r="O962" s="89"/>
      <c r="P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91"/>
      <c r="N963" s="89"/>
      <c r="O963" s="89"/>
      <c r="P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91"/>
      <c r="N964" s="89"/>
      <c r="O964" s="89"/>
      <c r="P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91"/>
      <c r="N965" s="89"/>
      <c r="O965" s="89"/>
      <c r="P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91"/>
      <c r="N966" s="89"/>
      <c r="O966" s="89"/>
      <c r="P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91"/>
      <c r="N967" s="89"/>
      <c r="O967" s="89"/>
      <c r="P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91"/>
      <c r="N968" s="89"/>
      <c r="O968" s="89"/>
      <c r="P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91"/>
      <c r="N969" s="89"/>
      <c r="O969" s="89"/>
      <c r="P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91"/>
      <c r="N970" s="89"/>
      <c r="O970" s="89"/>
      <c r="P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91"/>
      <c r="N971" s="89"/>
      <c r="O971" s="89"/>
      <c r="P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91"/>
      <c r="N972" s="89"/>
      <c r="O972" s="89"/>
      <c r="P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91"/>
      <c r="N973" s="89"/>
      <c r="O973" s="89"/>
      <c r="P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91"/>
      <c r="N974" s="89"/>
      <c r="O974" s="89"/>
      <c r="P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91"/>
      <c r="N975" s="89"/>
      <c r="O975" s="89"/>
      <c r="P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91"/>
      <c r="N976" s="89"/>
      <c r="O976" s="89"/>
      <c r="P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91"/>
      <c r="N977" s="89"/>
      <c r="O977" s="89"/>
      <c r="P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91"/>
      <c r="N978" s="89"/>
      <c r="O978" s="89"/>
      <c r="P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91"/>
      <c r="N979" s="89"/>
      <c r="O979" s="89"/>
      <c r="P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91"/>
      <c r="N980" s="89"/>
      <c r="O980" s="89"/>
      <c r="P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91"/>
      <c r="N981" s="89"/>
      <c r="O981" s="89"/>
      <c r="P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91"/>
      <c r="N982" s="89"/>
      <c r="O982" s="89"/>
      <c r="P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91"/>
      <c r="N983" s="89"/>
      <c r="O983" s="89"/>
      <c r="P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91"/>
      <c r="N984" s="89"/>
      <c r="O984" s="89"/>
      <c r="P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91"/>
      <c r="N985" s="89"/>
      <c r="O985" s="89"/>
      <c r="P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91"/>
      <c r="N986" s="89"/>
      <c r="O986" s="89"/>
      <c r="P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91"/>
      <c r="N987" s="89"/>
      <c r="O987" s="89"/>
      <c r="P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91"/>
      <c r="N988" s="89"/>
      <c r="O988" s="89"/>
      <c r="P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91"/>
      <c r="N989" s="89"/>
      <c r="O989" s="89"/>
      <c r="P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91"/>
      <c r="N990" s="89"/>
      <c r="O990" s="89"/>
      <c r="P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91"/>
      <c r="N991" s="89"/>
      <c r="O991" s="89"/>
      <c r="P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91"/>
      <c r="N992" s="89"/>
      <c r="O992" s="89"/>
      <c r="P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91"/>
      <c r="N993" s="89"/>
      <c r="O993" s="89"/>
      <c r="P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91"/>
      <c r="N994" s="89"/>
      <c r="O994" s="89"/>
      <c r="P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91"/>
      <c r="N995" s="89"/>
      <c r="O995" s="89"/>
      <c r="P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91"/>
      <c r="N996" s="89"/>
      <c r="O996" s="89"/>
      <c r="P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91"/>
      <c r="N997" s="89"/>
      <c r="O997" s="89"/>
      <c r="P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91"/>
      <c r="N998" s="89"/>
      <c r="O998" s="89"/>
      <c r="P998" s="89"/>
    </row>
    <row r="999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91"/>
      <c r="N999" s="89"/>
      <c r="O999" s="89"/>
      <c r="P999" s="89"/>
    </row>
    <row r="1000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91"/>
      <c r="N1000" s="89"/>
      <c r="O1000" s="89"/>
      <c r="P1000" s="89"/>
    </row>
    <row r="1001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91"/>
      <c r="N1001" s="89"/>
      <c r="O1001" s="89"/>
      <c r="P1001" s="89"/>
    </row>
    <row r="1002">
      <c r="A1002" s="89"/>
      <c r="B1002" s="89"/>
      <c r="C1002" s="89"/>
      <c r="D1002" s="89"/>
      <c r="E1002" s="89"/>
      <c r="F1002" s="89"/>
      <c r="G1002" s="89"/>
      <c r="H1002" s="89"/>
      <c r="I1002" s="89"/>
      <c r="J1002" s="89"/>
      <c r="K1002" s="89"/>
      <c r="L1002" s="89"/>
      <c r="M1002" s="91"/>
      <c r="N1002" s="89"/>
      <c r="O1002" s="89"/>
      <c r="P1002" s="89"/>
    </row>
    <row r="1003">
      <c r="A1003" s="92"/>
      <c r="B1003" s="92"/>
      <c r="C1003" s="92"/>
      <c r="D1003" s="92"/>
      <c r="E1003" s="92"/>
      <c r="F1003" s="92"/>
      <c r="G1003" s="92"/>
      <c r="H1003" s="92"/>
      <c r="I1003" s="92"/>
      <c r="J1003" s="92"/>
      <c r="K1003" s="92"/>
      <c r="L1003" s="92"/>
      <c r="M1003" s="93"/>
      <c r="N1003" s="89"/>
      <c r="O1003" s="92"/>
      <c r="P1003" s="92"/>
    </row>
  </sheetData>
  <customSheetViews>
    <customSheetView guid="{8BE028A4-B37D-4082-AE82-07BBC89EBB11}" filter="1" showAutoFilter="1">
      <autoFilter ref="$A$1:$P$484"/>
    </customSheetView>
    <customSheetView guid="{BA551338-6311-4C02-9137-137E692B7D93}" filter="1" showAutoFilter="1">
      <autoFilter ref="$A$1:$P$484">
        <filterColumn colId="8">
          <filters>
            <filter val="2.50"/>
            <filter val="0.75"/>
            <filter val="1.00"/>
            <filter val="3.00"/>
            <filter val="2.75"/>
            <filter val="-6.50"/>
            <filter val="-5.00"/>
            <filter val="-2.50"/>
            <filter val="-2.75"/>
            <filter val="-4.75"/>
            <filter val="0.25"/>
            <filter val="-0.75"/>
            <filter val="-3.25"/>
            <filter val="-3.00"/>
            <filter val="-1.00"/>
            <filter val="-5.25"/>
            <filter val="-1.25"/>
            <filter val="2.25"/>
            <filter val="0.00"/>
            <filter val="2.00"/>
            <filter val="1.75"/>
            <filter val="1.50"/>
            <filter val="-3.50"/>
            <filter val="-5.50"/>
            <filter val="-3.75"/>
            <filter val="-1.50"/>
            <filter val="-4.00"/>
            <filter val="1.25"/>
            <filter val="-6.00"/>
            <filter val="-2.00"/>
            <filter val="-4.25"/>
            <filter val="-1.75"/>
            <filter val="-6.25"/>
            <filter val="-2.25"/>
          </filters>
        </filterColumn>
      </autoFilter>
    </customSheetView>
    <customSheetView guid="{D9D1A42E-DDFC-4032-8664-60A2E47E0D40}" filter="1" showAutoFilter="1">
      <autoFilter ref="$A$1:$O$287"/>
    </customSheetView>
    <customSheetView guid="{3D13BECD-F97B-4CC8-B9FC-728C2CBFEBF1}" filter="1" showAutoFilter="1">
      <autoFilter ref="$A$1:$P$484">
        <filterColumn colId="4">
          <filters>
            <filter val="País Gales"/>
            <filter val="Camboja"/>
            <filter val="Geórgia"/>
            <filter val="Tanzânia"/>
            <filter val="Bulgária"/>
            <filter val="Trinidad"/>
            <filter val="Mali"/>
            <filter val="Islândia"/>
            <filter val="Malásia"/>
            <filter val="Argentina"/>
            <filter val="México"/>
            <filter val="Algéria"/>
            <filter val="Em. Árabes"/>
            <filter val="Colômbia"/>
            <filter val="India"/>
            <filter val="Azerbaijão"/>
            <filter val="UAE"/>
            <filter val="Honduras"/>
            <filter val="Catar"/>
            <filter val="Jamaica"/>
            <filter val="Hong Kong"/>
            <filter val="Aruba"/>
            <filter val="Mauritânia"/>
            <filter val="Europa"/>
            <filter val="Nambia"/>
            <filter val="Grécia"/>
            <filter val="Togo"/>
            <filter val="Índia"/>
            <filter val="Jordânia"/>
            <filter val="Paises Baixos"/>
            <filter val="Djibouti"/>
            <filter val="Uruguai"/>
            <filter val="Porto Rico"/>
            <filter val="Camarões"/>
          </filters>
        </filterColumn>
      </autoFilter>
    </customSheetView>
    <customSheetView guid="{B1E9CC24-145D-4007-8A11-90FD9E435072}" filter="1" showAutoFilter="1">
      <autoFilter ref="$A$1:$T$484">
        <filterColumn colId="4">
          <filters>
            <filter val="Polônia"/>
            <filter val="País Gales"/>
            <filter val="Hungria"/>
            <filter val="Zâmbia"/>
            <filter val="Bolívia"/>
            <filter val="Camboja"/>
            <filter val="África Sul"/>
            <filter val="Geórgia"/>
            <filter val="EUA"/>
            <filter val="Bulgária"/>
            <filter val="El Salvador"/>
            <filter val="Trinidad"/>
            <filter val="Mali"/>
            <filter val="Romênia"/>
            <filter val="Etiópia"/>
            <filter val="Guatemala"/>
            <filter val="Islândia"/>
            <filter val="Malásia"/>
            <filter val="Argentina"/>
            <filter val="Argélia"/>
            <filter val="Algéria"/>
            <filter val="Costa Marfim"/>
            <filter val="Em. Árabes"/>
            <filter val="Colômbia"/>
            <filter val="Eslovênia"/>
            <filter val="Azerbaijão"/>
            <filter val="Bélgica"/>
            <filter val="Ásia"/>
            <filter val="Quênia"/>
            <filter val="Croácia"/>
            <filter val="Indonésia"/>
            <filter val="UAE"/>
            <filter val="Honduras"/>
            <filter val="Catar"/>
            <filter val="Jamaica"/>
            <filter val="Burundi"/>
            <filter val="Hong Kong"/>
            <filter val="Aruba"/>
            <filter val="Malta"/>
            <filter val="Kosovo"/>
            <filter val="Irlanda Norte"/>
            <filter val="Marrocos"/>
            <filter val="Europa"/>
            <filter val="Nambia"/>
            <filter val="Togo"/>
            <filter val="Jordânia"/>
            <filter val="Djibouti"/>
            <filter val="Internacional"/>
            <filter val="Uruguai"/>
            <filter val="Porto Rico"/>
            <filter val="Sérvia"/>
            <filter val="Camarões"/>
            <filter val="Montenegro"/>
          </filters>
        </filterColumn>
      </autoFilter>
    </customSheetView>
    <customSheetView guid="{F477B962-7F95-4B58-B796-7F91B20D0221}" filter="1" showAutoFilter="1">
      <autoFilter ref="$A$1:$T$484">
        <filterColumn colId="6">
          <filters>
            <filter val="Under"/>
          </filters>
        </filterColumn>
      </autoFilter>
    </customSheetView>
    <customSheetView guid="{9B5C888F-E11A-4842-8D0B-62F1614802A4}" filter="1" showAutoFilter="1">
      <autoFilter ref="$A$1:$O$287">
        <filterColumn colId="6">
          <filters>
            <filter val="AH+"/>
          </filters>
        </filterColumn>
      </autoFilter>
    </customSheetView>
    <customSheetView guid="{9BA04A38-02DA-4F02-BBBB-302FC15326E0}" filter="1" showAutoFilter="1">
      <autoFilter ref="$A$1:$P$484">
        <filterColumn colId="6">
          <filters/>
        </filterColumn>
      </autoFilter>
    </customSheetView>
    <customSheetView guid="{978C25F2-69C0-4E3B-8EFC-6A6EC3E48DD3}" filter="1" showAutoFilter="1">
      <autoFilter ref="$A$1:$T$484"/>
    </customSheetView>
    <customSheetView guid="{C0AB1544-F4B4-45C0-8975-97F745A006DC}" filter="1" showAutoFilter="1">
      <autoFilter ref="$A$1:$T$484"/>
    </customSheetView>
  </customSheetViews>
  <mergeCells count="14">
    <mergeCell ref="R68:T68"/>
    <mergeCell ref="R69:T69"/>
    <mergeCell ref="R70:T70"/>
    <mergeCell ref="R71:T71"/>
    <mergeCell ref="R72:T72"/>
    <mergeCell ref="R73:T73"/>
    <mergeCell ref="R74:T74"/>
    <mergeCell ref="R61:T61"/>
    <mergeCell ref="R62:T62"/>
    <mergeCell ref="R63:T63"/>
    <mergeCell ref="R64:T64"/>
    <mergeCell ref="R65:T65"/>
    <mergeCell ref="R66:T66"/>
    <mergeCell ref="R67:T67"/>
  </mergeCells>
  <conditionalFormatting sqref="N2:N525">
    <cfRule type="cellIs" dxfId="0" priority="1" operator="equal">
      <formula>"Ganha"</formula>
    </cfRule>
  </conditionalFormatting>
  <conditionalFormatting sqref="N2:N525">
    <cfRule type="cellIs" dxfId="1" priority="2" operator="equal">
      <formula>"Ganha/devolvida"</formula>
    </cfRule>
  </conditionalFormatting>
  <conditionalFormatting sqref="N2:N525">
    <cfRule type="cellIs" dxfId="2" priority="3" operator="equal">
      <formula>"Devolvida"</formula>
    </cfRule>
  </conditionalFormatting>
  <conditionalFormatting sqref="N2:N525">
    <cfRule type="cellIs" dxfId="3" priority="4" operator="equal">
      <formula>"Perdida/devolvida"</formula>
    </cfRule>
  </conditionalFormatting>
  <conditionalFormatting sqref="N2:N525">
    <cfRule type="cellIs" dxfId="4" priority="5" operator="equal">
      <formula>"Perdida"</formula>
    </cfRule>
  </conditionalFormatting>
  <conditionalFormatting sqref="O2:O526 P2:P1003 S2:S36">
    <cfRule type="cellIs" dxfId="0" priority="6" operator="greaterThan">
      <formula>0</formula>
    </cfRule>
  </conditionalFormatting>
  <conditionalFormatting sqref="O2:O526 P2:P1003 S2:S36">
    <cfRule type="cellIs" dxfId="4" priority="7" operator="lessThan">
      <formula>0</formula>
    </cfRule>
  </conditionalFormatting>
  <conditionalFormatting sqref="O2:O1003 P2:P14 S2:S36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3" width="3.88"/>
    <col customWidth="1" min="4" max="4" width="60.88"/>
    <col customWidth="1" min="5" max="5" width="11.63"/>
    <col customWidth="1" min="6" max="6" width="4.5"/>
    <col customWidth="1" min="7" max="7" width="8.13"/>
    <col customWidth="1" min="8" max="8" width="9.5"/>
    <col customWidth="1" min="9" max="12" width="5.88"/>
    <col customWidth="1" min="13" max="13" width="6.5"/>
    <col customWidth="1" min="14" max="14" width="14.75"/>
    <col customWidth="1" min="15" max="15" width="7.38"/>
    <col customWidth="1" min="16" max="16" width="7.25"/>
    <col customWidth="1" min="17" max="17" width="4.13"/>
    <col customWidth="1" min="18" max="18" width="6.25"/>
    <col customWidth="1" min="19" max="19" width="6.5"/>
    <col customWidth="1" min="20" max="20" width="11.63"/>
  </cols>
  <sheetData>
    <row r="1">
      <c r="A1" s="1" t="s">
        <v>212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4" t="s">
        <v>8</v>
      </c>
      <c r="J1" s="5" t="s">
        <v>9</v>
      </c>
      <c r="K1" s="4" t="s">
        <v>10</v>
      </c>
      <c r="L1" s="6" t="s">
        <v>11</v>
      </c>
      <c r="M1" s="97" t="s">
        <v>12</v>
      </c>
      <c r="N1" s="3" t="s">
        <v>13</v>
      </c>
      <c r="O1" s="5" t="s">
        <v>14</v>
      </c>
      <c r="P1" s="4" t="s">
        <v>15</v>
      </c>
      <c r="R1" s="3" t="s">
        <v>16</v>
      </c>
      <c r="S1" s="3" t="s">
        <v>15</v>
      </c>
      <c r="T1" s="3" t="s">
        <v>17</v>
      </c>
    </row>
    <row r="2">
      <c r="A2" s="8">
        <f>1</f>
        <v>1</v>
      </c>
      <c r="B2" s="8" t="s">
        <v>137</v>
      </c>
      <c r="C2" s="8" t="s">
        <v>19</v>
      </c>
      <c r="D2" s="8" t="s">
        <v>891</v>
      </c>
      <c r="E2" s="8" t="s">
        <v>583</v>
      </c>
      <c r="F2" s="8" t="s">
        <v>22</v>
      </c>
      <c r="G2" s="8" t="s">
        <v>892</v>
      </c>
      <c r="H2" s="8" t="s">
        <v>24</v>
      </c>
      <c r="I2" s="9">
        <v>0.0</v>
      </c>
      <c r="J2" s="9">
        <v>0.6</v>
      </c>
      <c r="K2" s="9">
        <v>0.3738</v>
      </c>
      <c r="L2" s="10">
        <v>45597.0</v>
      </c>
      <c r="M2" s="11">
        <v>1.9</v>
      </c>
      <c r="N2" s="8" t="s">
        <v>33</v>
      </c>
      <c r="O2" s="12">
        <f t="shared" ref="O2:O528" si="1">IF(N2="ganha",(K2*(M2-1)),IF(N2="perdida",-K2,IF(N2="devolvida",0,IF(N2="ganha/devolvida",((K2*(M2-1)))/2,IF(N2="perdida/devolvida",-K2/2,IF(N2="Aguardando",0,""))))))</f>
        <v>0.33642</v>
      </c>
      <c r="P2" s="12">
        <f>O2</f>
        <v>0.33642</v>
      </c>
      <c r="R2" s="10">
        <v>45597.0</v>
      </c>
      <c r="S2" s="13">
        <f t="shared" ref="S2:S32" si="2">SUMIF($L$2:$L$2989,R2,$O$2:$O$2989)</f>
        <v>1.458515</v>
      </c>
      <c r="T2" s="14">
        <f>SUMIF($N$2:$N$2989,"Aguardando",$K$2:$K$2989)</f>
        <v>0</v>
      </c>
    </row>
    <row r="3" ht="16.5" customHeight="1">
      <c r="A3" s="15">
        <f t="shared" ref="A3:A576" si="3">A2+1</f>
        <v>2</v>
      </c>
      <c r="B3" s="15" t="s">
        <v>26</v>
      </c>
      <c r="C3" s="15" t="s">
        <v>19</v>
      </c>
      <c r="D3" s="15" t="s">
        <v>893</v>
      </c>
      <c r="E3" s="15" t="s">
        <v>354</v>
      </c>
      <c r="F3" s="15" t="s">
        <v>598</v>
      </c>
      <c r="G3" s="15" t="s">
        <v>894</v>
      </c>
      <c r="H3" s="15" t="s">
        <v>24</v>
      </c>
      <c r="I3" s="16">
        <v>-0.5</v>
      </c>
      <c r="J3" s="16">
        <v>0.1</v>
      </c>
      <c r="K3" s="16">
        <v>0.0938</v>
      </c>
      <c r="L3" s="17">
        <v>45597.0</v>
      </c>
      <c r="M3" s="18">
        <v>1.9</v>
      </c>
      <c r="N3" s="15" t="s">
        <v>33</v>
      </c>
      <c r="O3" s="19">
        <f t="shared" si="1"/>
        <v>0.08442</v>
      </c>
      <c r="P3" s="19">
        <f t="shared" ref="P3:P540" si="4">P2+O3</f>
        <v>0.42084</v>
      </c>
      <c r="R3" s="17">
        <v>45598.0</v>
      </c>
      <c r="S3" s="13">
        <f t="shared" si="2"/>
        <v>2.1034</v>
      </c>
    </row>
    <row r="4">
      <c r="A4" s="8">
        <f t="shared" si="3"/>
        <v>3</v>
      </c>
      <c r="B4" s="8" t="s">
        <v>26</v>
      </c>
      <c r="C4" s="8" t="s">
        <v>19</v>
      </c>
      <c r="D4" s="8" t="s">
        <v>895</v>
      </c>
      <c r="E4" s="8" t="s">
        <v>38</v>
      </c>
      <c r="F4" s="8" t="s">
        <v>598</v>
      </c>
      <c r="G4" s="8" t="s">
        <v>440</v>
      </c>
      <c r="H4" s="8" t="s">
        <v>39</v>
      </c>
      <c r="I4" s="9">
        <v>3.0</v>
      </c>
      <c r="J4" s="9">
        <v>0.1</v>
      </c>
      <c r="K4" s="9">
        <v>0.0938</v>
      </c>
      <c r="L4" s="10">
        <v>45597.0</v>
      </c>
      <c r="M4" s="11">
        <v>1.725</v>
      </c>
      <c r="N4" s="8" t="s">
        <v>33</v>
      </c>
      <c r="O4" s="12">
        <f t="shared" si="1"/>
        <v>0.068005</v>
      </c>
      <c r="P4" s="12">
        <f t="shared" si="4"/>
        <v>0.488845</v>
      </c>
      <c r="R4" s="10">
        <v>45599.0</v>
      </c>
      <c r="S4" s="13">
        <f t="shared" si="2"/>
        <v>-2.519625</v>
      </c>
      <c r="T4" s="3" t="s">
        <v>34</v>
      </c>
    </row>
    <row r="5">
      <c r="A5" s="15">
        <f t="shared" si="3"/>
        <v>4</v>
      </c>
      <c r="B5" s="15" t="s">
        <v>26</v>
      </c>
      <c r="C5" s="15" t="s">
        <v>19</v>
      </c>
      <c r="D5" s="15" t="s">
        <v>896</v>
      </c>
      <c r="E5" s="15" t="s">
        <v>583</v>
      </c>
      <c r="F5" s="15" t="s">
        <v>22</v>
      </c>
      <c r="G5" s="15" t="s">
        <v>892</v>
      </c>
      <c r="H5" s="15" t="s">
        <v>24</v>
      </c>
      <c r="I5" s="16">
        <v>0.0</v>
      </c>
      <c r="J5" s="16">
        <v>0.3</v>
      </c>
      <c r="K5" s="16">
        <v>0.28</v>
      </c>
      <c r="L5" s="17">
        <v>45597.0</v>
      </c>
      <c r="M5" s="18">
        <v>1.775</v>
      </c>
      <c r="N5" s="15" t="s">
        <v>33</v>
      </c>
      <c r="O5" s="19">
        <f t="shared" si="1"/>
        <v>0.217</v>
      </c>
      <c r="P5" s="19">
        <f t="shared" si="4"/>
        <v>0.705845</v>
      </c>
      <c r="R5" s="17">
        <v>45600.0</v>
      </c>
      <c r="S5" s="13">
        <f t="shared" si="2"/>
        <v>-0.002</v>
      </c>
      <c r="T5" s="20">
        <f>sum(K2:K1022)</f>
        <v>99.99066182</v>
      </c>
    </row>
    <row r="6">
      <c r="A6" s="8">
        <f t="shared" si="3"/>
        <v>5</v>
      </c>
      <c r="B6" s="8" t="s">
        <v>137</v>
      </c>
      <c r="C6" s="8" t="s">
        <v>19</v>
      </c>
      <c r="D6" s="8" t="s">
        <v>897</v>
      </c>
      <c r="E6" s="8" t="s">
        <v>174</v>
      </c>
      <c r="F6" s="8" t="s">
        <v>22</v>
      </c>
      <c r="G6" s="8" t="s">
        <v>892</v>
      </c>
      <c r="H6" s="8" t="s">
        <v>24</v>
      </c>
      <c r="I6" s="9">
        <v>0.0</v>
      </c>
      <c r="J6" s="9">
        <v>0.3</v>
      </c>
      <c r="K6" s="9">
        <v>0.11</v>
      </c>
      <c r="L6" s="10">
        <v>45597.0</v>
      </c>
      <c r="M6" s="11">
        <v>1.675</v>
      </c>
      <c r="N6" s="8" t="s">
        <v>33</v>
      </c>
      <c r="O6" s="12">
        <f t="shared" si="1"/>
        <v>0.07425</v>
      </c>
      <c r="P6" s="12">
        <f t="shared" si="4"/>
        <v>0.780095</v>
      </c>
      <c r="R6" s="10">
        <v>45601.0</v>
      </c>
      <c r="S6" s="13">
        <f t="shared" si="2"/>
        <v>0.483</v>
      </c>
    </row>
    <row r="7">
      <c r="A7" s="15">
        <f t="shared" si="3"/>
        <v>6</v>
      </c>
      <c r="B7" s="15" t="s">
        <v>26</v>
      </c>
      <c r="C7" s="15" t="s">
        <v>19</v>
      </c>
      <c r="D7" s="15" t="s">
        <v>898</v>
      </c>
      <c r="E7" s="15" t="s">
        <v>583</v>
      </c>
      <c r="F7" s="15" t="s">
        <v>22</v>
      </c>
      <c r="G7" s="15" t="s">
        <v>892</v>
      </c>
      <c r="H7" s="15" t="s">
        <v>24</v>
      </c>
      <c r="I7" s="16">
        <v>0.0</v>
      </c>
      <c r="J7" s="16">
        <v>0.28</v>
      </c>
      <c r="K7" s="16">
        <v>0.03</v>
      </c>
      <c r="L7" s="17">
        <v>45597.0</v>
      </c>
      <c r="M7" s="18">
        <v>2.0</v>
      </c>
      <c r="N7" s="15" t="s">
        <v>25</v>
      </c>
      <c r="O7" s="19">
        <f t="shared" si="1"/>
        <v>-0.03</v>
      </c>
      <c r="P7" s="19">
        <f t="shared" si="4"/>
        <v>0.750095</v>
      </c>
      <c r="R7" s="17">
        <v>45602.0</v>
      </c>
      <c r="S7" s="13">
        <f t="shared" si="2"/>
        <v>-0.0871</v>
      </c>
      <c r="T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 t="s">
        <v>899</v>
      </c>
      <c r="E8" s="8" t="s">
        <v>659</v>
      </c>
      <c r="F8" s="8" t="s">
        <v>598</v>
      </c>
      <c r="G8" s="8" t="s">
        <v>29</v>
      </c>
      <c r="H8" s="8" t="s">
        <v>39</v>
      </c>
      <c r="I8" s="9">
        <v>-2.0</v>
      </c>
      <c r="J8" s="9">
        <v>0.1</v>
      </c>
      <c r="K8" s="9">
        <v>0.1</v>
      </c>
      <c r="L8" s="10">
        <v>45597.0</v>
      </c>
      <c r="M8" s="11">
        <v>1.85</v>
      </c>
      <c r="N8" s="8" t="s">
        <v>33</v>
      </c>
      <c r="O8" s="12">
        <f t="shared" si="1"/>
        <v>0.085</v>
      </c>
      <c r="P8" s="12">
        <f t="shared" si="4"/>
        <v>0.835095</v>
      </c>
      <c r="R8" s="10">
        <v>45603.0</v>
      </c>
      <c r="S8" s="13">
        <f t="shared" si="2"/>
        <v>0.40474</v>
      </c>
      <c r="T8" s="21">
        <f>S33/(SUM(K2:K4942)-T2)</f>
        <v>0.06259652059</v>
      </c>
    </row>
    <row r="9">
      <c r="A9" s="15">
        <f t="shared" si="3"/>
        <v>8</v>
      </c>
      <c r="B9" s="15" t="s">
        <v>26</v>
      </c>
      <c r="C9" s="15" t="s">
        <v>19</v>
      </c>
      <c r="D9" s="15" t="s">
        <v>900</v>
      </c>
      <c r="E9" s="15" t="s">
        <v>74</v>
      </c>
      <c r="F9" s="15" t="s">
        <v>598</v>
      </c>
      <c r="G9" s="15" t="s">
        <v>29</v>
      </c>
      <c r="H9" s="15" t="s">
        <v>24</v>
      </c>
      <c r="I9" s="16">
        <v>-2.75</v>
      </c>
      <c r="J9" s="16">
        <v>0.3</v>
      </c>
      <c r="K9" s="16">
        <v>0.3</v>
      </c>
      <c r="L9" s="17">
        <v>45597.0</v>
      </c>
      <c r="M9" s="18">
        <v>1.925</v>
      </c>
      <c r="N9" s="15" t="s">
        <v>33</v>
      </c>
      <c r="O9" s="19">
        <f t="shared" si="1"/>
        <v>0.2775</v>
      </c>
      <c r="P9" s="19">
        <f t="shared" si="4"/>
        <v>1.112595</v>
      </c>
      <c r="R9" s="17">
        <v>45604.0</v>
      </c>
      <c r="S9" s="13">
        <f t="shared" si="2"/>
        <v>0.38905</v>
      </c>
    </row>
    <row r="10">
      <c r="A10" s="8">
        <f t="shared" si="3"/>
        <v>9</v>
      </c>
      <c r="B10" s="8" t="s">
        <v>26</v>
      </c>
      <c r="C10" s="8" t="s">
        <v>19</v>
      </c>
      <c r="D10" s="8" t="s">
        <v>901</v>
      </c>
      <c r="E10" s="8" t="s">
        <v>902</v>
      </c>
      <c r="F10" s="8" t="s">
        <v>598</v>
      </c>
      <c r="G10" s="8" t="s">
        <v>29</v>
      </c>
      <c r="H10" s="8" t="s">
        <v>39</v>
      </c>
      <c r="I10" s="9">
        <v>-3.5</v>
      </c>
      <c r="J10" s="9">
        <v>0.1</v>
      </c>
      <c r="K10" s="9">
        <v>0.1</v>
      </c>
      <c r="L10" s="10">
        <v>45597.0</v>
      </c>
      <c r="M10" s="11">
        <v>1.7</v>
      </c>
      <c r="N10" s="8" t="s">
        <v>33</v>
      </c>
      <c r="O10" s="12">
        <f t="shared" si="1"/>
        <v>0.07</v>
      </c>
      <c r="P10" s="12">
        <f t="shared" si="4"/>
        <v>1.182595</v>
      </c>
      <c r="R10" s="10">
        <v>45605.0</v>
      </c>
      <c r="S10" s="13">
        <f t="shared" si="2"/>
        <v>0.9561175</v>
      </c>
      <c r="T10" s="2" t="s">
        <v>51</v>
      </c>
    </row>
    <row r="11">
      <c r="A11" s="15">
        <f t="shared" si="3"/>
        <v>10</v>
      </c>
      <c r="B11" s="15" t="s">
        <v>26</v>
      </c>
      <c r="C11" s="15" t="s">
        <v>19</v>
      </c>
      <c r="D11" s="15" t="s">
        <v>903</v>
      </c>
      <c r="E11" s="15" t="s">
        <v>273</v>
      </c>
      <c r="F11" s="15" t="s">
        <v>598</v>
      </c>
      <c r="G11" s="15" t="s">
        <v>29</v>
      </c>
      <c r="H11" s="15" t="s">
        <v>24</v>
      </c>
      <c r="I11" s="16">
        <v>-3.0</v>
      </c>
      <c r="J11" s="16">
        <v>0.2</v>
      </c>
      <c r="K11" s="16">
        <v>0.2</v>
      </c>
      <c r="L11" s="17">
        <v>45597.0</v>
      </c>
      <c r="M11" s="18">
        <v>1.95</v>
      </c>
      <c r="N11" s="15" t="s">
        <v>33</v>
      </c>
      <c r="O11" s="19">
        <f t="shared" si="1"/>
        <v>0.19</v>
      </c>
      <c r="P11" s="19">
        <f t="shared" si="4"/>
        <v>1.372595</v>
      </c>
      <c r="R11" s="17">
        <v>45606.0</v>
      </c>
      <c r="S11" s="13">
        <f t="shared" si="2"/>
        <v>0.6568044828</v>
      </c>
      <c r="T11" s="14">
        <f>average(K2:K1008)</f>
        <v>0.1908218737</v>
      </c>
    </row>
    <row r="12">
      <c r="A12" s="8">
        <f t="shared" si="3"/>
        <v>11</v>
      </c>
      <c r="B12" s="8" t="s">
        <v>129</v>
      </c>
      <c r="C12" s="8" t="s">
        <v>19</v>
      </c>
      <c r="D12" s="8" t="s">
        <v>904</v>
      </c>
      <c r="E12" s="8" t="s">
        <v>82</v>
      </c>
      <c r="F12" s="8" t="s">
        <v>22</v>
      </c>
      <c r="G12" s="8" t="s">
        <v>892</v>
      </c>
      <c r="H12" s="8" t="s">
        <v>24</v>
      </c>
      <c r="I12" s="9">
        <v>0.0</v>
      </c>
      <c r="J12" s="9">
        <v>0.3</v>
      </c>
      <c r="K12" s="9">
        <v>0.05</v>
      </c>
      <c r="L12" s="10">
        <v>45597.0</v>
      </c>
      <c r="M12" s="11">
        <v>1.775</v>
      </c>
      <c r="N12" s="8" t="s">
        <v>33</v>
      </c>
      <c r="O12" s="12">
        <f t="shared" si="1"/>
        <v>0.03875</v>
      </c>
      <c r="P12" s="12">
        <f t="shared" si="4"/>
        <v>1.411345</v>
      </c>
      <c r="R12" s="10">
        <v>45607.0</v>
      </c>
      <c r="S12" s="13">
        <f t="shared" si="2"/>
        <v>0</v>
      </c>
    </row>
    <row r="13">
      <c r="A13" s="15">
        <f t="shared" si="3"/>
        <v>12</v>
      </c>
      <c r="B13" s="15" t="s">
        <v>26</v>
      </c>
      <c r="C13" s="15" t="s">
        <v>19</v>
      </c>
      <c r="D13" s="15" t="s">
        <v>905</v>
      </c>
      <c r="E13" s="15" t="s">
        <v>50</v>
      </c>
      <c r="F13" s="15" t="s">
        <v>598</v>
      </c>
      <c r="G13" s="15" t="s">
        <v>225</v>
      </c>
      <c r="H13" s="15" t="s">
        <v>39</v>
      </c>
      <c r="I13" s="16">
        <v>1.75</v>
      </c>
      <c r="J13" s="16">
        <v>0.05</v>
      </c>
      <c r="K13" s="16">
        <v>0.05</v>
      </c>
      <c r="L13" s="17">
        <v>45597.0</v>
      </c>
      <c r="M13" s="18">
        <v>2.0</v>
      </c>
      <c r="N13" s="15" t="s">
        <v>33</v>
      </c>
      <c r="O13" s="19">
        <f t="shared" si="1"/>
        <v>0.05</v>
      </c>
      <c r="P13" s="19">
        <f t="shared" si="4"/>
        <v>1.461345</v>
      </c>
      <c r="R13" s="17">
        <v>45608.0</v>
      </c>
      <c r="S13" s="13">
        <f t="shared" si="2"/>
        <v>0.319295</v>
      </c>
      <c r="T13" s="2" t="s">
        <v>55</v>
      </c>
    </row>
    <row r="14">
      <c r="A14" s="8">
        <f t="shared" si="3"/>
        <v>13</v>
      </c>
      <c r="B14" s="8" t="s">
        <v>26</v>
      </c>
      <c r="C14" s="8" t="s">
        <v>19</v>
      </c>
      <c r="D14" s="8" t="s">
        <v>906</v>
      </c>
      <c r="E14" s="8" t="s">
        <v>316</v>
      </c>
      <c r="F14" s="8" t="s">
        <v>598</v>
      </c>
      <c r="G14" s="8" t="s">
        <v>225</v>
      </c>
      <c r="H14" s="8" t="s">
        <v>39</v>
      </c>
      <c r="I14" s="9">
        <v>1.25</v>
      </c>
      <c r="J14" s="9">
        <v>0.05</v>
      </c>
      <c r="K14" s="9">
        <v>0.05</v>
      </c>
      <c r="L14" s="10">
        <v>45597.0</v>
      </c>
      <c r="M14" s="11">
        <f>62.17/50</f>
        <v>1.2434</v>
      </c>
      <c r="N14" s="8" t="s">
        <v>33</v>
      </c>
      <c r="O14" s="12">
        <f t="shared" si="1"/>
        <v>0.01217</v>
      </c>
      <c r="P14" s="12">
        <f t="shared" si="4"/>
        <v>1.473515</v>
      </c>
      <c r="R14" s="10">
        <v>45609.0</v>
      </c>
      <c r="S14" s="13">
        <f t="shared" si="2"/>
        <v>0.225</v>
      </c>
      <c r="T14" s="21">
        <f>(SUMPRODUCT(--(J2:J1008 = K2:K1008))-countif(J2:J1008,""))/countif(J2:J1008,"&gt;0")</f>
        <v>0.5591603053</v>
      </c>
    </row>
    <row r="15">
      <c r="A15" s="15">
        <f t="shared" si="3"/>
        <v>14</v>
      </c>
      <c r="B15" s="15" t="s">
        <v>26</v>
      </c>
      <c r="C15" s="15" t="s">
        <v>40</v>
      </c>
      <c r="D15" s="15" t="s">
        <v>907</v>
      </c>
      <c r="E15" s="15" t="s">
        <v>908</v>
      </c>
      <c r="F15" s="15" t="s">
        <v>598</v>
      </c>
      <c r="G15" s="15" t="s">
        <v>225</v>
      </c>
      <c r="H15" s="15" t="s">
        <v>39</v>
      </c>
      <c r="I15" s="16">
        <v>1.25</v>
      </c>
      <c r="J15" s="16">
        <v>0.05</v>
      </c>
      <c r="K15" s="16">
        <v>0.05</v>
      </c>
      <c r="L15" s="17">
        <v>45597.0</v>
      </c>
      <c r="M15" s="18">
        <v>1.925</v>
      </c>
      <c r="N15" s="15" t="s">
        <v>33</v>
      </c>
      <c r="O15" s="19">
        <f t="shared" si="1"/>
        <v>0.04625</v>
      </c>
      <c r="P15" s="19">
        <f t="shared" si="4"/>
        <v>1.519765</v>
      </c>
      <c r="R15" s="17">
        <v>45610.0</v>
      </c>
      <c r="S15" s="13">
        <f t="shared" si="2"/>
        <v>0.341605</v>
      </c>
    </row>
    <row r="16">
      <c r="A16" s="8">
        <f t="shared" si="3"/>
        <v>15</v>
      </c>
      <c r="B16" s="8" t="s">
        <v>26</v>
      </c>
      <c r="C16" s="8" t="s">
        <v>19</v>
      </c>
      <c r="D16" s="8" t="s">
        <v>909</v>
      </c>
      <c r="E16" s="8" t="s">
        <v>316</v>
      </c>
      <c r="F16" s="8" t="s">
        <v>598</v>
      </c>
      <c r="G16" s="8" t="s">
        <v>225</v>
      </c>
      <c r="H16" s="8" t="s">
        <v>39</v>
      </c>
      <c r="I16" s="9">
        <v>0.5</v>
      </c>
      <c r="J16" s="9">
        <v>0.1</v>
      </c>
      <c r="K16" s="9">
        <v>0.1</v>
      </c>
      <c r="L16" s="10">
        <v>45597.0</v>
      </c>
      <c r="M16" s="11">
        <v>1.925</v>
      </c>
      <c r="N16" s="8" t="s">
        <v>25</v>
      </c>
      <c r="O16" s="12">
        <f t="shared" si="1"/>
        <v>-0.1</v>
      </c>
      <c r="P16" s="12">
        <f t="shared" si="4"/>
        <v>1.419765</v>
      </c>
      <c r="R16" s="10">
        <v>45611.0</v>
      </c>
      <c r="S16" s="13">
        <f t="shared" si="2"/>
        <v>0.1015375</v>
      </c>
      <c r="T16" s="2" t="s">
        <v>61</v>
      </c>
    </row>
    <row r="17">
      <c r="A17" s="15">
        <f t="shared" si="3"/>
        <v>16</v>
      </c>
      <c r="B17" s="15" t="s">
        <v>26</v>
      </c>
      <c r="C17" s="15" t="s">
        <v>19</v>
      </c>
      <c r="D17" s="15" t="s">
        <v>910</v>
      </c>
      <c r="E17" s="15" t="s">
        <v>82</v>
      </c>
      <c r="F17" s="15" t="s">
        <v>598</v>
      </c>
      <c r="G17" s="15" t="s">
        <v>894</v>
      </c>
      <c r="H17" s="15" t="s">
        <v>24</v>
      </c>
      <c r="I17" s="16">
        <v>-0.25</v>
      </c>
      <c r="J17" s="16">
        <v>0.05</v>
      </c>
      <c r="K17" s="16">
        <v>0.05</v>
      </c>
      <c r="L17" s="17">
        <v>45597.0</v>
      </c>
      <c r="M17" s="18">
        <v>1.975</v>
      </c>
      <c r="N17" s="15" t="s">
        <v>79</v>
      </c>
      <c r="O17" s="19">
        <f t="shared" si="1"/>
        <v>-0.025</v>
      </c>
      <c r="P17" s="19">
        <f t="shared" si="4"/>
        <v>1.394765</v>
      </c>
      <c r="R17" s="17">
        <v>45612.0</v>
      </c>
      <c r="S17" s="13">
        <f t="shared" si="2"/>
        <v>-1.207413793</v>
      </c>
      <c r="T17" s="22">
        <f>average(M2:M202)</f>
        <v>1.874663682</v>
      </c>
    </row>
    <row r="18">
      <c r="A18" s="8">
        <f t="shared" si="3"/>
        <v>17</v>
      </c>
      <c r="B18" s="8" t="s">
        <v>26</v>
      </c>
      <c r="C18" s="8" t="s">
        <v>19</v>
      </c>
      <c r="D18" s="8" t="s">
        <v>911</v>
      </c>
      <c r="E18" s="8" t="s">
        <v>82</v>
      </c>
      <c r="F18" s="8" t="s">
        <v>598</v>
      </c>
      <c r="G18" s="8" t="s">
        <v>29</v>
      </c>
      <c r="H18" s="8" t="s">
        <v>24</v>
      </c>
      <c r="I18" s="9">
        <v>-2.75</v>
      </c>
      <c r="J18" s="9">
        <v>0.05</v>
      </c>
      <c r="K18" s="9">
        <v>0.05</v>
      </c>
      <c r="L18" s="10">
        <v>45597.0</v>
      </c>
      <c r="M18" s="11">
        <v>2.0</v>
      </c>
      <c r="N18" s="8" t="s">
        <v>33</v>
      </c>
      <c r="O18" s="12">
        <f t="shared" si="1"/>
        <v>0.05</v>
      </c>
      <c r="P18" s="12">
        <f t="shared" si="4"/>
        <v>1.444765</v>
      </c>
      <c r="R18" s="10">
        <v>45613.0</v>
      </c>
      <c r="S18" s="13">
        <f t="shared" si="2"/>
        <v>0.4281465517</v>
      </c>
    </row>
    <row r="19">
      <c r="A19" s="15">
        <f t="shared" si="3"/>
        <v>18</v>
      </c>
      <c r="B19" s="15" t="s">
        <v>26</v>
      </c>
      <c r="C19" s="15" t="s">
        <v>19</v>
      </c>
      <c r="D19" s="15" t="s">
        <v>912</v>
      </c>
      <c r="E19" s="15" t="s">
        <v>913</v>
      </c>
      <c r="F19" s="15" t="s">
        <v>598</v>
      </c>
      <c r="G19" s="15" t="s">
        <v>29</v>
      </c>
      <c r="H19" s="15" t="s">
        <v>39</v>
      </c>
      <c r="I19" s="16">
        <v>-3.5</v>
      </c>
      <c r="J19" s="16">
        <v>0.05</v>
      </c>
      <c r="K19" s="16">
        <v>0.05</v>
      </c>
      <c r="L19" s="17">
        <v>45597.0</v>
      </c>
      <c r="M19" s="18">
        <v>1.9</v>
      </c>
      <c r="N19" s="15" t="s">
        <v>25</v>
      </c>
      <c r="O19" s="19">
        <f t="shared" si="1"/>
        <v>-0.05</v>
      </c>
      <c r="P19" s="19">
        <f t="shared" si="4"/>
        <v>1.394765</v>
      </c>
      <c r="R19" s="17">
        <v>45614.0</v>
      </c>
      <c r="S19" s="13">
        <f t="shared" si="2"/>
        <v>0.2603571429</v>
      </c>
    </row>
    <row r="20">
      <c r="A20" s="8">
        <f t="shared" si="3"/>
        <v>19</v>
      </c>
      <c r="B20" s="8" t="s">
        <v>26</v>
      </c>
      <c r="C20" s="8" t="s">
        <v>19</v>
      </c>
      <c r="D20" s="8" t="s">
        <v>914</v>
      </c>
      <c r="E20" s="8" t="s">
        <v>341</v>
      </c>
      <c r="F20" s="8" t="s">
        <v>598</v>
      </c>
      <c r="G20" s="8" t="s">
        <v>225</v>
      </c>
      <c r="H20" s="8" t="s">
        <v>39</v>
      </c>
      <c r="I20" s="9">
        <v>2.0</v>
      </c>
      <c r="J20" s="9">
        <v>0.05</v>
      </c>
      <c r="K20" s="9">
        <v>0.05</v>
      </c>
      <c r="L20" s="54">
        <v>45597.0</v>
      </c>
      <c r="M20" s="11">
        <v>1.875</v>
      </c>
      <c r="N20" s="8" t="s">
        <v>33</v>
      </c>
      <c r="O20" s="12">
        <f t="shared" si="1"/>
        <v>0.04375</v>
      </c>
      <c r="P20" s="12">
        <f t="shared" si="4"/>
        <v>1.438515</v>
      </c>
      <c r="R20" s="10">
        <v>45615.0</v>
      </c>
      <c r="S20" s="13">
        <f t="shared" si="2"/>
        <v>0.2602232</v>
      </c>
    </row>
    <row r="21">
      <c r="A21" s="15">
        <f t="shared" si="3"/>
        <v>20</v>
      </c>
      <c r="B21" s="15" t="s">
        <v>26</v>
      </c>
      <c r="C21" s="15" t="s">
        <v>19</v>
      </c>
      <c r="D21" s="15" t="s">
        <v>915</v>
      </c>
      <c r="E21" s="15" t="s">
        <v>82</v>
      </c>
      <c r="F21" s="15" t="s">
        <v>598</v>
      </c>
      <c r="G21" s="15" t="s">
        <v>225</v>
      </c>
      <c r="H21" s="15" t="s">
        <v>39</v>
      </c>
      <c r="I21" s="16">
        <v>2.75</v>
      </c>
      <c r="J21" s="16">
        <v>0.05</v>
      </c>
      <c r="K21" s="16">
        <v>0.05</v>
      </c>
      <c r="L21" s="55">
        <v>45597.0</v>
      </c>
      <c r="M21" s="18">
        <v>1.825</v>
      </c>
      <c r="N21" s="15" t="s">
        <v>25</v>
      </c>
      <c r="O21" s="19">
        <f t="shared" si="1"/>
        <v>-0.05</v>
      </c>
      <c r="P21" s="19">
        <f t="shared" si="4"/>
        <v>1.388515</v>
      </c>
      <c r="R21" s="17">
        <v>45616.0</v>
      </c>
      <c r="S21" s="13">
        <f t="shared" si="2"/>
        <v>-0.49555</v>
      </c>
    </row>
    <row r="22">
      <c r="A22" s="8">
        <f t="shared" si="3"/>
        <v>21</v>
      </c>
      <c r="B22" s="8" t="s">
        <v>26</v>
      </c>
      <c r="C22" s="8" t="s">
        <v>19</v>
      </c>
      <c r="D22" s="8" t="s">
        <v>916</v>
      </c>
      <c r="E22" s="8" t="s">
        <v>172</v>
      </c>
      <c r="F22" s="8" t="s">
        <v>598</v>
      </c>
      <c r="G22" s="8" t="s">
        <v>440</v>
      </c>
      <c r="H22" s="8" t="s">
        <v>39</v>
      </c>
      <c r="I22" s="9">
        <v>2.75</v>
      </c>
      <c r="J22" s="9">
        <v>0.05</v>
      </c>
      <c r="K22" s="9">
        <v>0.05</v>
      </c>
      <c r="L22" s="10">
        <v>45597.0</v>
      </c>
      <c r="M22" s="11">
        <v>1.7</v>
      </c>
      <c r="N22" s="8" t="s">
        <v>33</v>
      </c>
      <c r="O22" s="12">
        <f t="shared" si="1"/>
        <v>0.035</v>
      </c>
      <c r="P22" s="12">
        <f t="shared" si="4"/>
        <v>1.423515</v>
      </c>
      <c r="R22" s="10">
        <v>45617.0</v>
      </c>
      <c r="S22" s="13">
        <f t="shared" si="2"/>
        <v>-0.11176</v>
      </c>
    </row>
    <row r="23">
      <c r="A23" s="15">
        <f t="shared" si="3"/>
        <v>22</v>
      </c>
      <c r="B23" s="15" t="s">
        <v>26</v>
      </c>
      <c r="C23" s="15" t="s">
        <v>19</v>
      </c>
      <c r="D23" s="15" t="s">
        <v>917</v>
      </c>
      <c r="E23" s="15" t="s">
        <v>78</v>
      </c>
      <c r="F23" s="15" t="s">
        <v>598</v>
      </c>
      <c r="G23" s="15" t="s">
        <v>29</v>
      </c>
      <c r="H23" s="15" t="s">
        <v>39</v>
      </c>
      <c r="I23" s="16">
        <v>-2.0</v>
      </c>
      <c r="J23" s="16">
        <v>0.05</v>
      </c>
      <c r="K23" s="16">
        <v>0.05</v>
      </c>
      <c r="L23" s="17">
        <v>45597.0</v>
      </c>
      <c r="M23" s="18">
        <v>1.7</v>
      </c>
      <c r="N23" s="15" t="s">
        <v>33</v>
      </c>
      <c r="O23" s="19">
        <f t="shared" si="1"/>
        <v>0.035</v>
      </c>
      <c r="P23" s="19">
        <f t="shared" si="4"/>
        <v>1.458515</v>
      </c>
      <c r="R23" s="17">
        <v>45618.0</v>
      </c>
      <c r="S23" s="13">
        <f t="shared" si="2"/>
        <v>0.5941575</v>
      </c>
    </row>
    <row r="24">
      <c r="A24" s="8">
        <f t="shared" si="3"/>
        <v>23</v>
      </c>
      <c r="B24" s="8" t="s">
        <v>26</v>
      </c>
      <c r="C24" s="8" t="s">
        <v>19</v>
      </c>
      <c r="D24" s="8" t="s">
        <v>918</v>
      </c>
      <c r="E24" s="8" t="s">
        <v>121</v>
      </c>
      <c r="F24" s="8" t="s">
        <v>598</v>
      </c>
      <c r="G24" s="8" t="s">
        <v>440</v>
      </c>
      <c r="H24" s="8" t="s">
        <v>24</v>
      </c>
      <c r="I24" s="9">
        <v>2.25</v>
      </c>
      <c r="J24" s="98">
        <v>0.2</v>
      </c>
      <c r="K24" s="33">
        <v>0.2</v>
      </c>
      <c r="L24" s="10">
        <v>45598.0</v>
      </c>
      <c r="M24" s="11">
        <v>1.725</v>
      </c>
      <c r="N24" s="8" t="s">
        <v>33</v>
      </c>
      <c r="O24" s="12">
        <f t="shared" si="1"/>
        <v>0.145</v>
      </c>
      <c r="P24" s="12">
        <f t="shared" si="4"/>
        <v>1.603515</v>
      </c>
      <c r="R24" s="10">
        <v>45619.0</v>
      </c>
      <c r="S24" s="13">
        <f t="shared" si="2"/>
        <v>0.1393978571</v>
      </c>
    </row>
    <row r="25">
      <c r="A25" s="15">
        <f t="shared" si="3"/>
        <v>24</v>
      </c>
      <c r="B25" s="15" t="s">
        <v>26</v>
      </c>
      <c r="C25" s="15" t="s">
        <v>40</v>
      </c>
      <c r="D25" s="15" t="s">
        <v>919</v>
      </c>
      <c r="E25" s="15" t="s">
        <v>920</v>
      </c>
      <c r="F25" s="15" t="s">
        <v>598</v>
      </c>
      <c r="G25" s="15" t="s">
        <v>225</v>
      </c>
      <c r="H25" s="15" t="s">
        <v>39</v>
      </c>
      <c r="I25" s="16">
        <v>1.75</v>
      </c>
      <c r="J25" s="99">
        <v>0.1</v>
      </c>
      <c r="K25" s="43">
        <v>0.1</v>
      </c>
      <c r="L25" s="17">
        <v>45598.0</v>
      </c>
      <c r="M25" s="18">
        <v>2.0</v>
      </c>
      <c r="N25" s="15" t="s">
        <v>25</v>
      </c>
      <c r="O25" s="19">
        <f t="shared" si="1"/>
        <v>-0.1</v>
      </c>
      <c r="P25" s="19">
        <f t="shared" si="4"/>
        <v>1.503515</v>
      </c>
      <c r="R25" s="17">
        <v>45620.0</v>
      </c>
      <c r="S25" s="13">
        <f t="shared" si="2"/>
        <v>2.059765</v>
      </c>
    </row>
    <row r="26">
      <c r="A26" s="8">
        <f t="shared" si="3"/>
        <v>25</v>
      </c>
      <c r="B26" s="8" t="s">
        <v>18</v>
      </c>
      <c r="C26" s="8" t="s">
        <v>19</v>
      </c>
      <c r="D26" s="8" t="s">
        <v>921</v>
      </c>
      <c r="E26" s="8" t="s">
        <v>101</v>
      </c>
      <c r="F26" s="8" t="s">
        <v>22</v>
      </c>
      <c r="G26" s="8" t="s">
        <v>892</v>
      </c>
      <c r="H26" s="8" t="s">
        <v>24</v>
      </c>
      <c r="I26" s="9">
        <v>0.0</v>
      </c>
      <c r="J26" s="9">
        <v>0.6</v>
      </c>
      <c r="K26" s="9">
        <v>0.51</v>
      </c>
      <c r="L26" s="10">
        <v>45598.0</v>
      </c>
      <c r="M26" s="11">
        <v>1.75</v>
      </c>
      <c r="N26" s="8" t="s">
        <v>33</v>
      </c>
      <c r="O26" s="12">
        <f t="shared" si="1"/>
        <v>0.3825</v>
      </c>
      <c r="P26" s="12">
        <f t="shared" si="4"/>
        <v>1.886015</v>
      </c>
      <c r="R26" s="66">
        <v>45621.0</v>
      </c>
      <c r="S26" s="13">
        <f t="shared" si="2"/>
        <v>0.3866275</v>
      </c>
    </row>
    <row r="27">
      <c r="A27" s="15">
        <f t="shared" si="3"/>
        <v>26</v>
      </c>
      <c r="B27" s="15" t="s">
        <v>26</v>
      </c>
      <c r="C27" s="15" t="s">
        <v>19</v>
      </c>
      <c r="D27" s="15" t="s">
        <v>922</v>
      </c>
      <c r="E27" s="15" t="s">
        <v>923</v>
      </c>
      <c r="F27" s="15" t="s">
        <v>598</v>
      </c>
      <c r="G27" s="15" t="s">
        <v>29</v>
      </c>
      <c r="H27" s="15" t="s">
        <v>24</v>
      </c>
      <c r="I27" s="16">
        <v>-1.75</v>
      </c>
      <c r="J27" s="16">
        <v>0.2</v>
      </c>
      <c r="K27" s="16">
        <v>0.2</v>
      </c>
      <c r="L27" s="17">
        <v>45598.0</v>
      </c>
      <c r="M27" s="18">
        <f>340/200</f>
        <v>1.7</v>
      </c>
      <c r="N27" s="15" t="s">
        <v>33</v>
      </c>
      <c r="O27" s="19">
        <f t="shared" si="1"/>
        <v>0.14</v>
      </c>
      <c r="P27" s="19">
        <f t="shared" si="4"/>
        <v>2.026015</v>
      </c>
      <c r="R27" s="66">
        <v>45622.0</v>
      </c>
      <c r="S27" s="13">
        <f t="shared" si="2"/>
        <v>0.234514</v>
      </c>
    </row>
    <row r="28">
      <c r="A28" s="8">
        <f t="shared" si="3"/>
        <v>27</v>
      </c>
      <c r="B28" s="8" t="s">
        <v>26</v>
      </c>
      <c r="C28" s="8" t="s">
        <v>19</v>
      </c>
      <c r="D28" s="8" t="s">
        <v>924</v>
      </c>
      <c r="E28" s="8" t="s">
        <v>82</v>
      </c>
      <c r="F28" s="8" t="s">
        <v>598</v>
      </c>
      <c r="G28" s="8" t="s">
        <v>29</v>
      </c>
      <c r="H28" s="8" t="s">
        <v>39</v>
      </c>
      <c r="I28" s="9">
        <v>-3.0</v>
      </c>
      <c r="J28" s="9">
        <v>0.1</v>
      </c>
      <c r="K28" s="9">
        <v>0.1</v>
      </c>
      <c r="L28" s="10">
        <v>45598.0</v>
      </c>
      <c r="M28" s="11">
        <v>1.7</v>
      </c>
      <c r="N28" s="8" t="s">
        <v>25</v>
      </c>
      <c r="O28" s="12">
        <f t="shared" si="1"/>
        <v>-0.1</v>
      </c>
      <c r="P28" s="12">
        <f t="shared" si="4"/>
        <v>1.926015</v>
      </c>
      <c r="R28" s="66">
        <v>45623.0</v>
      </c>
      <c r="S28" s="13">
        <f t="shared" si="2"/>
        <v>-0.23361</v>
      </c>
    </row>
    <row r="29">
      <c r="A29" s="15">
        <f t="shared" si="3"/>
        <v>28</v>
      </c>
      <c r="B29" s="15" t="s">
        <v>26</v>
      </c>
      <c r="C29" s="15" t="s">
        <v>19</v>
      </c>
      <c r="D29" s="15" t="s">
        <v>925</v>
      </c>
      <c r="E29" s="15" t="s">
        <v>593</v>
      </c>
      <c r="F29" s="15" t="s">
        <v>22</v>
      </c>
      <c r="G29" s="15" t="s">
        <v>225</v>
      </c>
      <c r="H29" s="15" t="s">
        <v>39</v>
      </c>
      <c r="I29" s="16">
        <v>0.5</v>
      </c>
      <c r="J29" s="16">
        <v>0.1</v>
      </c>
      <c r="K29" s="16">
        <v>0.1</v>
      </c>
      <c r="L29" s="55">
        <v>45598.0</v>
      </c>
      <c r="M29" s="18">
        <v>1.925</v>
      </c>
      <c r="N29" s="15" t="s">
        <v>33</v>
      </c>
      <c r="O29" s="19">
        <f t="shared" si="1"/>
        <v>0.0925</v>
      </c>
      <c r="P29" s="19">
        <f t="shared" si="4"/>
        <v>2.018515</v>
      </c>
      <c r="R29" s="66">
        <v>45624.0</v>
      </c>
      <c r="S29" s="13">
        <f t="shared" si="2"/>
        <v>0.3979625</v>
      </c>
    </row>
    <row r="30">
      <c r="A30" s="8">
        <f t="shared" si="3"/>
        <v>29</v>
      </c>
      <c r="B30" s="8" t="s">
        <v>129</v>
      </c>
      <c r="C30" s="8" t="s">
        <v>40</v>
      </c>
      <c r="D30" s="8" t="s">
        <v>926</v>
      </c>
      <c r="E30" s="8" t="s">
        <v>448</v>
      </c>
      <c r="F30" s="8" t="s">
        <v>22</v>
      </c>
      <c r="G30" s="8" t="s">
        <v>225</v>
      </c>
      <c r="H30" s="8" t="s">
        <v>24</v>
      </c>
      <c r="I30" s="9">
        <v>0.5</v>
      </c>
      <c r="J30" s="9">
        <v>0.3</v>
      </c>
      <c r="K30" s="9">
        <v>0.1</v>
      </c>
      <c r="L30" s="10">
        <v>45598.0</v>
      </c>
      <c r="M30" s="11">
        <v>1.095</v>
      </c>
      <c r="N30" s="8" t="s">
        <v>33</v>
      </c>
      <c r="O30" s="12">
        <f t="shared" si="1"/>
        <v>0.0095</v>
      </c>
      <c r="P30" s="12">
        <f t="shared" si="4"/>
        <v>2.028015</v>
      </c>
      <c r="R30" s="66">
        <v>45625.0</v>
      </c>
      <c r="S30" s="13">
        <f t="shared" si="2"/>
        <v>0.44439308</v>
      </c>
    </row>
    <row r="31">
      <c r="A31" s="15">
        <f t="shared" si="3"/>
        <v>30</v>
      </c>
      <c r="B31" s="15" t="s">
        <v>26</v>
      </c>
      <c r="C31" s="15" t="s">
        <v>19</v>
      </c>
      <c r="D31" s="15" t="s">
        <v>927</v>
      </c>
      <c r="E31" s="15" t="s">
        <v>245</v>
      </c>
      <c r="F31" s="15" t="s">
        <v>22</v>
      </c>
      <c r="G31" s="15" t="s">
        <v>225</v>
      </c>
      <c r="H31" s="15" t="s">
        <v>39</v>
      </c>
      <c r="I31" s="16">
        <v>0.75</v>
      </c>
      <c r="J31" s="16">
        <v>0.1</v>
      </c>
      <c r="K31" s="16">
        <v>0.1</v>
      </c>
      <c r="L31" s="17">
        <v>45598.0</v>
      </c>
      <c r="M31" s="18">
        <v>1.85</v>
      </c>
      <c r="N31" s="15" t="s">
        <v>25</v>
      </c>
      <c r="O31" s="19">
        <f t="shared" si="1"/>
        <v>-0.1</v>
      </c>
      <c r="P31" s="19">
        <f t="shared" si="4"/>
        <v>1.928015</v>
      </c>
      <c r="R31" s="66">
        <v>45626.0</v>
      </c>
      <c r="S31" s="13">
        <f t="shared" si="2"/>
        <v>-1.7284825</v>
      </c>
    </row>
    <row r="32">
      <c r="A32" s="8">
        <f t="shared" si="3"/>
        <v>31</v>
      </c>
      <c r="B32" s="8" t="s">
        <v>18</v>
      </c>
      <c r="C32" s="8" t="s">
        <v>19</v>
      </c>
      <c r="D32" s="8" t="s">
        <v>928</v>
      </c>
      <c r="E32" s="8" t="s">
        <v>820</v>
      </c>
      <c r="F32" s="8" t="s">
        <v>22</v>
      </c>
      <c r="G32" s="8" t="s">
        <v>892</v>
      </c>
      <c r="H32" s="8" t="s">
        <v>24</v>
      </c>
      <c r="I32" s="9">
        <v>0.0</v>
      </c>
      <c r="J32" s="9">
        <v>0.3</v>
      </c>
      <c r="K32" s="9">
        <v>0.2</v>
      </c>
      <c r="L32" s="10">
        <v>45598.0</v>
      </c>
      <c r="M32" s="11">
        <v>1.675</v>
      </c>
      <c r="N32" s="8" t="s">
        <v>33</v>
      </c>
      <c r="O32" s="12">
        <f t="shared" si="1"/>
        <v>0.135</v>
      </c>
      <c r="P32" s="12">
        <f t="shared" si="4"/>
        <v>2.063015</v>
      </c>
      <c r="R32" s="66"/>
      <c r="S32" s="13">
        <f t="shared" si="2"/>
        <v>0</v>
      </c>
    </row>
    <row r="33">
      <c r="A33" s="15">
        <f t="shared" si="3"/>
        <v>32</v>
      </c>
      <c r="B33" s="15" t="s">
        <v>26</v>
      </c>
      <c r="C33" s="15" t="s">
        <v>19</v>
      </c>
      <c r="D33" s="15" t="s">
        <v>929</v>
      </c>
      <c r="E33" s="15" t="s">
        <v>115</v>
      </c>
      <c r="F33" s="15" t="s">
        <v>22</v>
      </c>
      <c r="G33" s="15" t="s">
        <v>892</v>
      </c>
      <c r="H33" s="15" t="s">
        <v>24</v>
      </c>
      <c r="I33" s="16">
        <v>0.0</v>
      </c>
      <c r="J33" s="16">
        <v>0.1</v>
      </c>
      <c r="K33" s="16">
        <v>0.1</v>
      </c>
      <c r="L33" s="17">
        <v>45598.0</v>
      </c>
      <c r="M33" s="18">
        <v>2.05</v>
      </c>
      <c r="N33" s="15" t="s">
        <v>25</v>
      </c>
      <c r="O33" s="19">
        <f t="shared" si="1"/>
        <v>-0.1</v>
      </c>
      <c r="P33" s="19">
        <f t="shared" si="4"/>
        <v>1.963015</v>
      </c>
      <c r="R33" s="94" t="s">
        <v>89</v>
      </c>
      <c r="S33" s="28">
        <f>SUM(S2:S32)</f>
        <v>6.259067521</v>
      </c>
    </row>
    <row r="34">
      <c r="A34" s="8">
        <f t="shared" si="3"/>
        <v>33</v>
      </c>
      <c r="B34" s="8" t="s">
        <v>26</v>
      </c>
      <c r="C34" s="8" t="s">
        <v>19</v>
      </c>
      <c r="D34" s="8" t="s">
        <v>930</v>
      </c>
      <c r="E34" s="8" t="s">
        <v>908</v>
      </c>
      <c r="F34" s="8" t="s">
        <v>22</v>
      </c>
      <c r="G34" s="8" t="s">
        <v>225</v>
      </c>
      <c r="H34" s="8" t="s">
        <v>39</v>
      </c>
      <c r="I34" s="9">
        <v>0.5</v>
      </c>
      <c r="J34" s="9">
        <v>0.1</v>
      </c>
      <c r="K34" s="9">
        <v>0.1</v>
      </c>
      <c r="L34" s="54">
        <v>45598.0</v>
      </c>
      <c r="M34" s="11">
        <v>1.975</v>
      </c>
      <c r="N34" s="8" t="s">
        <v>25</v>
      </c>
      <c r="O34" s="12">
        <f t="shared" si="1"/>
        <v>-0.1</v>
      </c>
      <c r="P34" s="12">
        <f t="shared" si="4"/>
        <v>1.863015</v>
      </c>
    </row>
    <row r="35">
      <c r="A35" s="15">
        <f t="shared" si="3"/>
        <v>34</v>
      </c>
      <c r="B35" s="15" t="s">
        <v>26</v>
      </c>
      <c r="C35" s="15" t="s">
        <v>19</v>
      </c>
      <c r="D35" s="15" t="s">
        <v>931</v>
      </c>
      <c r="E35" s="15" t="s">
        <v>93</v>
      </c>
      <c r="F35" s="15" t="s">
        <v>22</v>
      </c>
      <c r="G35" s="15" t="s">
        <v>892</v>
      </c>
      <c r="H35" s="15" t="s">
        <v>39</v>
      </c>
      <c r="I35" s="16">
        <v>0.0</v>
      </c>
      <c r="J35" s="16">
        <v>0.1</v>
      </c>
      <c r="K35" s="16">
        <v>0.1</v>
      </c>
      <c r="L35" s="17">
        <v>45598.0</v>
      </c>
      <c r="M35" s="18">
        <v>1.975</v>
      </c>
      <c r="N35" s="15" t="s">
        <v>25</v>
      </c>
      <c r="O35" s="19">
        <f t="shared" si="1"/>
        <v>-0.1</v>
      </c>
      <c r="P35" s="19">
        <f t="shared" si="4"/>
        <v>1.763015</v>
      </c>
      <c r="R35" s="29"/>
    </row>
    <row r="36">
      <c r="A36" s="8">
        <f t="shared" si="3"/>
        <v>35</v>
      </c>
      <c r="B36" s="8" t="s">
        <v>26</v>
      </c>
      <c r="C36" s="8" t="s">
        <v>19</v>
      </c>
      <c r="D36" s="8" t="s">
        <v>932</v>
      </c>
      <c r="E36" s="8" t="s">
        <v>583</v>
      </c>
      <c r="F36" s="8" t="s">
        <v>598</v>
      </c>
      <c r="G36" s="8" t="s">
        <v>29</v>
      </c>
      <c r="H36" s="8" t="s">
        <v>24</v>
      </c>
      <c r="I36" s="9">
        <v>-2.5</v>
      </c>
      <c r="J36" s="9">
        <v>0.25</v>
      </c>
      <c r="K36" s="9">
        <v>0.25</v>
      </c>
      <c r="L36" s="10">
        <v>45598.0</v>
      </c>
      <c r="M36" s="11">
        <v>1.9</v>
      </c>
      <c r="N36" s="8" t="s">
        <v>33</v>
      </c>
      <c r="O36" s="12">
        <f t="shared" si="1"/>
        <v>0.225</v>
      </c>
      <c r="P36" s="12">
        <f t="shared" si="4"/>
        <v>1.988015</v>
      </c>
      <c r="R36" s="30"/>
    </row>
    <row r="37">
      <c r="A37" s="15">
        <f t="shared" si="3"/>
        <v>36</v>
      </c>
      <c r="B37" s="15" t="s">
        <v>26</v>
      </c>
      <c r="C37" s="15" t="s">
        <v>19</v>
      </c>
      <c r="D37" s="15" t="s">
        <v>933</v>
      </c>
      <c r="E37" s="15" t="s">
        <v>583</v>
      </c>
      <c r="F37" s="15" t="s">
        <v>598</v>
      </c>
      <c r="G37" s="15" t="s">
        <v>225</v>
      </c>
      <c r="H37" s="15" t="s">
        <v>24</v>
      </c>
      <c r="I37" s="16">
        <v>0.25</v>
      </c>
      <c r="J37" s="16">
        <v>0.1</v>
      </c>
      <c r="K37" s="16">
        <v>0.1</v>
      </c>
      <c r="L37" s="17">
        <v>45598.0</v>
      </c>
      <c r="M37" s="18">
        <v>1.95</v>
      </c>
      <c r="N37" s="15" t="s">
        <v>33</v>
      </c>
      <c r="O37" s="19">
        <f t="shared" si="1"/>
        <v>0.095</v>
      </c>
      <c r="P37" s="19">
        <f t="shared" si="4"/>
        <v>2.083015</v>
      </c>
      <c r="R37" s="30"/>
    </row>
    <row r="38">
      <c r="A38" s="8">
        <f t="shared" si="3"/>
        <v>37</v>
      </c>
      <c r="B38" s="8" t="s">
        <v>26</v>
      </c>
      <c r="C38" s="8" t="s">
        <v>19</v>
      </c>
      <c r="D38" s="8" t="s">
        <v>934</v>
      </c>
      <c r="E38" s="8" t="s">
        <v>78</v>
      </c>
      <c r="F38" s="8" t="s">
        <v>598</v>
      </c>
      <c r="G38" s="8" t="s">
        <v>440</v>
      </c>
      <c r="H38" s="8" t="s">
        <v>39</v>
      </c>
      <c r="I38" s="9">
        <v>2.25</v>
      </c>
      <c r="J38" s="9">
        <v>0.1</v>
      </c>
      <c r="K38" s="9">
        <v>0.1</v>
      </c>
      <c r="L38" s="54">
        <v>45598.0</v>
      </c>
      <c r="M38" s="8">
        <v>1.85</v>
      </c>
      <c r="N38" s="8" t="s">
        <v>33</v>
      </c>
      <c r="O38" s="12">
        <f t="shared" si="1"/>
        <v>0.085</v>
      </c>
      <c r="P38" s="12">
        <f t="shared" si="4"/>
        <v>2.168015</v>
      </c>
      <c r="R38" s="30"/>
    </row>
    <row r="39">
      <c r="A39" s="15">
        <f t="shared" si="3"/>
        <v>38</v>
      </c>
      <c r="B39" s="15" t="s">
        <v>137</v>
      </c>
      <c r="C39" s="15" t="s">
        <v>19</v>
      </c>
      <c r="D39" s="15" t="s">
        <v>935</v>
      </c>
      <c r="E39" s="15" t="s">
        <v>820</v>
      </c>
      <c r="F39" s="15" t="s">
        <v>22</v>
      </c>
      <c r="G39" s="15" t="s">
        <v>892</v>
      </c>
      <c r="H39" s="15" t="s">
        <v>24</v>
      </c>
      <c r="I39" s="16">
        <v>0.0</v>
      </c>
      <c r="J39" s="16">
        <v>0.2</v>
      </c>
      <c r="K39" s="16">
        <v>0.2</v>
      </c>
      <c r="L39" s="17">
        <v>45598.0</v>
      </c>
      <c r="M39" s="18">
        <v>1.95</v>
      </c>
      <c r="N39" s="15" t="s">
        <v>33</v>
      </c>
      <c r="O39" s="19">
        <f t="shared" si="1"/>
        <v>0.19</v>
      </c>
      <c r="P39" s="19">
        <f t="shared" si="4"/>
        <v>2.358015</v>
      </c>
      <c r="R39" s="30"/>
    </row>
    <row r="40">
      <c r="A40" s="8">
        <f t="shared" si="3"/>
        <v>39</v>
      </c>
      <c r="B40" s="8" t="s">
        <v>131</v>
      </c>
      <c r="C40" s="8" t="s">
        <v>19</v>
      </c>
      <c r="D40" s="8" t="s">
        <v>936</v>
      </c>
      <c r="E40" s="8" t="s">
        <v>229</v>
      </c>
      <c r="F40" s="8" t="s">
        <v>22</v>
      </c>
      <c r="G40" s="8" t="s">
        <v>892</v>
      </c>
      <c r="H40" s="8" t="s">
        <v>24</v>
      </c>
      <c r="I40" s="9">
        <v>0.0</v>
      </c>
      <c r="J40" s="9">
        <v>0.3</v>
      </c>
      <c r="K40" s="9">
        <v>0.3</v>
      </c>
      <c r="L40" s="10">
        <v>45598.0</v>
      </c>
      <c r="M40" s="11">
        <v>1.675</v>
      </c>
      <c r="N40" s="8" t="s">
        <v>70</v>
      </c>
      <c r="O40" s="12">
        <f t="shared" si="1"/>
        <v>0</v>
      </c>
      <c r="P40" s="12">
        <f t="shared" si="4"/>
        <v>2.358015</v>
      </c>
      <c r="R40" s="30"/>
    </row>
    <row r="41">
      <c r="A41" s="15">
        <f t="shared" si="3"/>
        <v>40</v>
      </c>
      <c r="B41" s="15" t="s">
        <v>26</v>
      </c>
      <c r="C41" s="15" t="s">
        <v>19</v>
      </c>
      <c r="D41" s="15" t="s">
        <v>937</v>
      </c>
      <c r="E41" s="15" t="s">
        <v>397</v>
      </c>
      <c r="F41" s="15" t="s">
        <v>598</v>
      </c>
      <c r="G41" s="15" t="s">
        <v>29</v>
      </c>
      <c r="H41" s="15" t="s">
        <v>39</v>
      </c>
      <c r="I41" s="16">
        <v>-2.0</v>
      </c>
      <c r="J41" s="16">
        <v>0.1</v>
      </c>
      <c r="K41" s="16">
        <v>0.1</v>
      </c>
      <c r="L41" s="17">
        <v>45598.0</v>
      </c>
      <c r="M41" s="18">
        <v>1.9</v>
      </c>
      <c r="N41" s="15" t="s">
        <v>33</v>
      </c>
      <c r="O41" s="19">
        <f t="shared" si="1"/>
        <v>0.09</v>
      </c>
      <c r="P41" s="19">
        <f t="shared" si="4"/>
        <v>2.448015</v>
      </c>
      <c r="R41" s="30"/>
    </row>
    <row r="42">
      <c r="A42" s="8">
        <f t="shared" si="3"/>
        <v>41</v>
      </c>
      <c r="B42" s="31" t="s">
        <v>26</v>
      </c>
      <c r="C42" s="32" t="s">
        <v>19</v>
      </c>
      <c r="D42" s="32" t="s">
        <v>938</v>
      </c>
      <c r="E42" s="32" t="s">
        <v>448</v>
      </c>
      <c r="F42" s="32" t="s">
        <v>22</v>
      </c>
      <c r="G42" s="32" t="s">
        <v>225</v>
      </c>
      <c r="H42" s="8" t="s">
        <v>24</v>
      </c>
      <c r="I42" s="33">
        <v>0.5</v>
      </c>
      <c r="J42" s="33">
        <v>0.3</v>
      </c>
      <c r="K42" s="33">
        <v>0.3</v>
      </c>
      <c r="L42" s="34">
        <v>45598.0</v>
      </c>
      <c r="M42" s="35">
        <v>1.775</v>
      </c>
      <c r="N42" s="8" t="s">
        <v>25</v>
      </c>
      <c r="O42" s="12">
        <f t="shared" si="1"/>
        <v>-0.3</v>
      </c>
      <c r="P42" s="12">
        <f t="shared" si="4"/>
        <v>2.148015</v>
      </c>
      <c r="R42" s="30"/>
    </row>
    <row r="43">
      <c r="A43" s="15">
        <f t="shared" si="3"/>
        <v>42</v>
      </c>
      <c r="B43" s="15" t="s">
        <v>26</v>
      </c>
      <c r="C43" s="15" t="s">
        <v>40</v>
      </c>
      <c r="D43" s="15" t="s">
        <v>939</v>
      </c>
      <c r="E43" s="15" t="s">
        <v>940</v>
      </c>
      <c r="F43" s="15" t="s">
        <v>22</v>
      </c>
      <c r="G43" s="15" t="s">
        <v>941</v>
      </c>
      <c r="H43" s="15" t="s">
        <v>24</v>
      </c>
      <c r="I43" s="16">
        <v>0.0</v>
      </c>
      <c r="J43" s="16">
        <v>0.1</v>
      </c>
      <c r="K43" s="16">
        <v>0.1</v>
      </c>
      <c r="L43" s="17">
        <v>45598.0</v>
      </c>
      <c r="M43" s="18">
        <v>4.0</v>
      </c>
      <c r="N43" s="15" t="s">
        <v>25</v>
      </c>
      <c r="O43" s="19">
        <f t="shared" si="1"/>
        <v>-0.1</v>
      </c>
      <c r="P43" s="19">
        <f t="shared" si="4"/>
        <v>2.048015</v>
      </c>
      <c r="R43" s="30"/>
    </row>
    <row r="44">
      <c r="A44" s="8">
        <f t="shared" si="3"/>
        <v>43</v>
      </c>
      <c r="B44" s="8" t="s">
        <v>26</v>
      </c>
      <c r="C44" s="8" t="s">
        <v>19</v>
      </c>
      <c r="D44" s="8" t="s">
        <v>942</v>
      </c>
      <c r="E44" s="8" t="s">
        <v>101</v>
      </c>
      <c r="F44" s="8" t="s">
        <v>598</v>
      </c>
      <c r="G44" s="8" t="s">
        <v>29</v>
      </c>
      <c r="H44" s="8" t="s">
        <v>24</v>
      </c>
      <c r="I44" s="9">
        <v>-3.0</v>
      </c>
      <c r="J44" s="9">
        <v>0.25</v>
      </c>
      <c r="K44" s="9">
        <v>0.25</v>
      </c>
      <c r="L44" s="10">
        <v>45598.0</v>
      </c>
      <c r="M44" s="11">
        <v>2.0</v>
      </c>
      <c r="N44" s="8" t="s">
        <v>33</v>
      </c>
      <c r="O44" s="12">
        <f t="shared" si="1"/>
        <v>0.25</v>
      </c>
      <c r="P44" s="12">
        <f t="shared" si="4"/>
        <v>2.298015</v>
      </c>
      <c r="R44" s="30"/>
    </row>
    <row r="45">
      <c r="A45" s="15">
        <f t="shared" si="3"/>
        <v>44</v>
      </c>
      <c r="B45" s="15" t="s">
        <v>26</v>
      </c>
      <c r="C45" s="15" t="s">
        <v>19</v>
      </c>
      <c r="D45" s="15" t="s">
        <v>943</v>
      </c>
      <c r="E45" s="15" t="s">
        <v>101</v>
      </c>
      <c r="F45" s="15" t="s">
        <v>22</v>
      </c>
      <c r="G45" s="15" t="s">
        <v>892</v>
      </c>
      <c r="H45" s="15" t="s">
        <v>24</v>
      </c>
      <c r="I45" s="16">
        <v>0.0</v>
      </c>
      <c r="J45" s="16">
        <v>0.1</v>
      </c>
      <c r="K45" s="16">
        <v>0.1</v>
      </c>
      <c r="L45" s="17">
        <v>45598.0</v>
      </c>
      <c r="M45" s="18">
        <v>1.875</v>
      </c>
      <c r="N45" s="15" t="s">
        <v>70</v>
      </c>
      <c r="O45" s="19">
        <f t="shared" si="1"/>
        <v>0</v>
      </c>
      <c r="P45" s="19">
        <f t="shared" si="4"/>
        <v>2.298015</v>
      </c>
    </row>
    <row r="46">
      <c r="A46" s="8">
        <f t="shared" si="3"/>
        <v>45</v>
      </c>
      <c r="B46" s="8" t="s">
        <v>26</v>
      </c>
      <c r="C46" s="8" t="s">
        <v>19</v>
      </c>
      <c r="D46" s="8" t="s">
        <v>944</v>
      </c>
      <c r="E46" s="8" t="s">
        <v>316</v>
      </c>
      <c r="F46" s="8" t="s">
        <v>22</v>
      </c>
      <c r="G46" s="8" t="s">
        <v>225</v>
      </c>
      <c r="H46" s="8" t="s">
        <v>39</v>
      </c>
      <c r="I46" s="9">
        <v>1.0</v>
      </c>
      <c r="J46" s="9">
        <v>0.1</v>
      </c>
      <c r="K46" s="9">
        <v>0.1</v>
      </c>
      <c r="L46" s="10">
        <v>45598.0</v>
      </c>
      <c r="M46" s="11">
        <v>1.9</v>
      </c>
      <c r="N46" s="8" t="s">
        <v>33</v>
      </c>
      <c r="O46" s="12">
        <f t="shared" si="1"/>
        <v>0.09</v>
      </c>
      <c r="P46" s="12">
        <f t="shared" si="4"/>
        <v>2.388015</v>
      </c>
    </row>
    <row r="47">
      <c r="A47" s="15">
        <f t="shared" si="3"/>
        <v>46</v>
      </c>
      <c r="B47" s="15" t="s">
        <v>26</v>
      </c>
      <c r="C47" s="15" t="s">
        <v>19</v>
      </c>
      <c r="D47" s="15" t="s">
        <v>945</v>
      </c>
      <c r="E47" s="15" t="s">
        <v>432</v>
      </c>
      <c r="F47" s="15" t="s">
        <v>598</v>
      </c>
      <c r="G47" s="15" t="s">
        <v>29</v>
      </c>
      <c r="H47" s="15" t="s">
        <v>39</v>
      </c>
      <c r="I47" s="16">
        <v>-2.75</v>
      </c>
      <c r="J47" s="16">
        <v>0.1</v>
      </c>
      <c r="K47" s="16">
        <v>0.1</v>
      </c>
      <c r="L47" s="17">
        <v>45598.0</v>
      </c>
      <c r="M47" s="18">
        <v>1.875</v>
      </c>
      <c r="N47" s="15" t="s">
        <v>33</v>
      </c>
      <c r="O47" s="19">
        <f t="shared" si="1"/>
        <v>0.0875</v>
      </c>
      <c r="P47" s="19">
        <f t="shared" si="4"/>
        <v>2.475515</v>
      </c>
    </row>
    <row r="48">
      <c r="A48" s="8">
        <f t="shared" si="3"/>
        <v>47</v>
      </c>
      <c r="B48" s="8" t="s">
        <v>26</v>
      </c>
      <c r="C48" s="8" t="s">
        <v>40</v>
      </c>
      <c r="D48" s="8" t="s">
        <v>946</v>
      </c>
      <c r="E48" s="8" t="s">
        <v>432</v>
      </c>
      <c r="F48" s="8" t="s">
        <v>22</v>
      </c>
      <c r="G48" s="8" t="s">
        <v>225</v>
      </c>
      <c r="H48" s="8" t="s">
        <v>39</v>
      </c>
      <c r="I48" s="9">
        <v>2.0</v>
      </c>
      <c r="J48" s="9">
        <v>0.1</v>
      </c>
      <c r="K48" s="9">
        <v>0.1</v>
      </c>
      <c r="L48" s="10">
        <v>45598.0</v>
      </c>
      <c r="M48" s="11">
        <v>1.825</v>
      </c>
      <c r="N48" s="8" t="s">
        <v>25</v>
      </c>
      <c r="O48" s="12">
        <f t="shared" si="1"/>
        <v>-0.1</v>
      </c>
      <c r="P48" s="12">
        <f t="shared" si="4"/>
        <v>2.375515</v>
      </c>
    </row>
    <row r="49">
      <c r="A49" s="15">
        <f t="shared" si="3"/>
        <v>48</v>
      </c>
      <c r="B49" s="15" t="s">
        <v>26</v>
      </c>
      <c r="C49" s="15" t="s">
        <v>19</v>
      </c>
      <c r="D49" s="95" t="s">
        <v>947</v>
      </c>
      <c r="E49" s="15" t="s">
        <v>432</v>
      </c>
      <c r="F49" s="15" t="s">
        <v>598</v>
      </c>
      <c r="G49" s="15" t="s">
        <v>29</v>
      </c>
      <c r="H49" s="15" t="s">
        <v>39</v>
      </c>
      <c r="I49" s="16">
        <v>-3.0</v>
      </c>
      <c r="J49" s="16">
        <v>0.1</v>
      </c>
      <c r="K49" s="16">
        <v>0.07</v>
      </c>
      <c r="L49" s="55">
        <v>45598.0</v>
      </c>
      <c r="M49" s="18">
        <v>1.9</v>
      </c>
      <c r="N49" s="15" t="s">
        <v>70</v>
      </c>
      <c r="O49" s="19">
        <f t="shared" si="1"/>
        <v>0</v>
      </c>
      <c r="P49" s="19">
        <f t="shared" si="4"/>
        <v>2.375515</v>
      </c>
    </row>
    <row r="50">
      <c r="A50" s="8">
        <f t="shared" si="3"/>
        <v>49</v>
      </c>
      <c r="B50" s="8" t="s">
        <v>26</v>
      </c>
      <c r="C50" s="8" t="s">
        <v>19</v>
      </c>
      <c r="D50" s="8" t="s">
        <v>948</v>
      </c>
      <c r="E50" s="8" t="s">
        <v>48</v>
      </c>
      <c r="F50" s="8" t="s">
        <v>22</v>
      </c>
      <c r="G50" s="8" t="s">
        <v>892</v>
      </c>
      <c r="H50" s="8" t="s">
        <v>39</v>
      </c>
      <c r="I50" s="9">
        <v>0.0</v>
      </c>
      <c r="J50" s="9">
        <v>0.1</v>
      </c>
      <c r="K50" s="9">
        <v>0.1</v>
      </c>
      <c r="L50" s="10">
        <v>45598.0</v>
      </c>
      <c r="M50" s="11">
        <v>2.05</v>
      </c>
      <c r="N50" s="8" t="s">
        <v>33</v>
      </c>
      <c r="O50" s="12">
        <f t="shared" si="1"/>
        <v>0.105</v>
      </c>
      <c r="P50" s="12">
        <f t="shared" si="4"/>
        <v>2.480515</v>
      </c>
    </row>
    <row r="51">
      <c r="A51" s="15">
        <f t="shared" si="3"/>
        <v>50</v>
      </c>
      <c r="B51" s="15" t="s">
        <v>26</v>
      </c>
      <c r="C51" s="15" t="s">
        <v>19</v>
      </c>
      <c r="D51" s="15" t="s">
        <v>949</v>
      </c>
      <c r="E51" s="15" t="s">
        <v>913</v>
      </c>
      <c r="F51" s="15" t="s">
        <v>22</v>
      </c>
      <c r="G51" s="15" t="s">
        <v>892</v>
      </c>
      <c r="H51" s="15" t="s">
        <v>24</v>
      </c>
      <c r="I51" s="16">
        <v>0.0</v>
      </c>
      <c r="J51" s="16">
        <v>0.25</v>
      </c>
      <c r="K51" s="16">
        <v>0.25</v>
      </c>
      <c r="L51" s="17">
        <v>45598.0</v>
      </c>
      <c r="M51" s="18">
        <v>2.3</v>
      </c>
      <c r="N51" s="15" t="s">
        <v>33</v>
      </c>
      <c r="O51" s="19">
        <f t="shared" si="1"/>
        <v>0.325</v>
      </c>
      <c r="P51" s="19">
        <f t="shared" si="4"/>
        <v>2.805515</v>
      </c>
      <c r="Q51" s="40"/>
      <c r="R51" s="41" t="s">
        <v>125</v>
      </c>
      <c r="S51" s="41" t="s">
        <v>126</v>
      </c>
      <c r="T51" s="41" t="s">
        <v>45</v>
      </c>
    </row>
    <row r="52">
      <c r="A52" s="8">
        <f t="shared" si="3"/>
        <v>51</v>
      </c>
      <c r="B52" s="8" t="s">
        <v>137</v>
      </c>
      <c r="C52" s="8" t="s">
        <v>19</v>
      </c>
      <c r="D52" s="8" t="s">
        <v>950</v>
      </c>
      <c r="E52" s="8" t="s">
        <v>44</v>
      </c>
      <c r="F52" s="8" t="s">
        <v>22</v>
      </c>
      <c r="G52" s="8" t="s">
        <v>892</v>
      </c>
      <c r="H52" s="8" t="s">
        <v>24</v>
      </c>
      <c r="I52" s="9">
        <v>0.0</v>
      </c>
      <c r="J52" s="9">
        <v>0.3</v>
      </c>
      <c r="K52" s="9">
        <v>0.3</v>
      </c>
      <c r="L52" s="10">
        <v>45598.0</v>
      </c>
      <c r="M52" s="11">
        <v>1.75</v>
      </c>
      <c r="N52" s="8" t="s">
        <v>25</v>
      </c>
      <c r="O52" s="12">
        <f t="shared" si="1"/>
        <v>-0.3</v>
      </c>
      <c r="P52" s="12">
        <f t="shared" si="4"/>
        <v>2.505515</v>
      </c>
      <c r="Q52" s="41" t="s">
        <v>18</v>
      </c>
      <c r="R52" s="45">
        <f t="shared" ref="R52:R58" si="5">SUMIF($B$2:$B$2989,Q52,$O$2:$O$2989)</f>
        <v>1.158</v>
      </c>
      <c r="S52" s="45">
        <f t="shared" ref="S52:S58" si="6">SUMIF($B$2:$B$2989,Q52,$K$2:$K$2989)</f>
        <v>2.9247</v>
      </c>
      <c r="T52" s="46">
        <f t="shared" ref="T52:T58" si="7">R52/S52</f>
        <v>0.3959380449</v>
      </c>
    </row>
    <row r="53">
      <c r="A53" s="15">
        <f t="shared" si="3"/>
        <v>52</v>
      </c>
      <c r="B53" s="15" t="s">
        <v>26</v>
      </c>
      <c r="C53" s="42" t="s">
        <v>19</v>
      </c>
      <c r="D53" s="42" t="s">
        <v>951</v>
      </c>
      <c r="E53" s="15" t="s">
        <v>952</v>
      </c>
      <c r="F53" s="15" t="s">
        <v>598</v>
      </c>
      <c r="G53" s="15" t="s">
        <v>29</v>
      </c>
      <c r="H53" s="15" t="s">
        <v>24</v>
      </c>
      <c r="I53" s="43">
        <v>-2.0</v>
      </c>
      <c r="J53" s="43">
        <v>0.25</v>
      </c>
      <c r="K53" s="43">
        <v>0.25</v>
      </c>
      <c r="L53" s="17">
        <v>45598.0</v>
      </c>
      <c r="M53" s="44">
        <v>1.825</v>
      </c>
      <c r="N53" s="15" t="s">
        <v>33</v>
      </c>
      <c r="O53" s="19">
        <f t="shared" si="1"/>
        <v>0.20625</v>
      </c>
      <c r="P53" s="19">
        <f t="shared" si="4"/>
        <v>2.711765</v>
      </c>
      <c r="Q53" s="41" t="s">
        <v>129</v>
      </c>
      <c r="R53" s="45">
        <f t="shared" si="5"/>
        <v>0.35399</v>
      </c>
      <c r="S53" s="45">
        <f t="shared" si="6"/>
        <v>7.6035</v>
      </c>
      <c r="T53" s="46">
        <f t="shared" si="7"/>
        <v>0.04655619123</v>
      </c>
    </row>
    <row r="54">
      <c r="A54" s="8">
        <f t="shared" si="3"/>
        <v>53</v>
      </c>
      <c r="B54" s="8" t="s">
        <v>26</v>
      </c>
      <c r="C54" s="8" t="s">
        <v>19</v>
      </c>
      <c r="D54" s="47" t="s">
        <v>953</v>
      </c>
      <c r="E54" s="8" t="s">
        <v>44</v>
      </c>
      <c r="F54" s="8" t="s">
        <v>22</v>
      </c>
      <c r="G54" s="8" t="s">
        <v>892</v>
      </c>
      <c r="H54" s="8" t="s">
        <v>24</v>
      </c>
      <c r="I54" s="26">
        <v>0.0</v>
      </c>
      <c r="J54" s="26">
        <v>0.5</v>
      </c>
      <c r="K54" s="26">
        <v>0.5</v>
      </c>
      <c r="L54" s="10">
        <v>45598.0</v>
      </c>
      <c r="M54" s="11">
        <v>1.5</v>
      </c>
      <c r="N54" s="8" t="s">
        <v>33</v>
      </c>
      <c r="O54" s="12">
        <f t="shared" si="1"/>
        <v>0.25</v>
      </c>
      <c r="P54" s="12">
        <f t="shared" si="4"/>
        <v>2.961765</v>
      </c>
      <c r="Q54" s="41" t="s">
        <v>131</v>
      </c>
      <c r="R54" s="45">
        <f t="shared" si="5"/>
        <v>0.214</v>
      </c>
      <c r="S54" s="45">
        <f t="shared" si="6"/>
        <v>1.437</v>
      </c>
      <c r="T54" s="46">
        <f t="shared" si="7"/>
        <v>0.148921364</v>
      </c>
    </row>
    <row r="55">
      <c r="A55" s="15">
        <f t="shared" si="3"/>
        <v>54</v>
      </c>
      <c r="B55" s="15" t="s">
        <v>131</v>
      </c>
      <c r="C55" s="15" t="s">
        <v>19</v>
      </c>
      <c r="D55" s="42" t="s">
        <v>954</v>
      </c>
      <c r="E55" s="15" t="s">
        <v>583</v>
      </c>
      <c r="F55" s="15" t="s">
        <v>22</v>
      </c>
      <c r="G55" s="15" t="s">
        <v>892</v>
      </c>
      <c r="H55" s="15" t="s">
        <v>24</v>
      </c>
      <c r="I55" s="16">
        <v>0.0</v>
      </c>
      <c r="J55" s="16">
        <v>0.25</v>
      </c>
      <c r="K55" s="16">
        <v>0.25</v>
      </c>
      <c r="L55" s="55">
        <v>45598.0</v>
      </c>
      <c r="M55" s="18">
        <v>1.775</v>
      </c>
      <c r="N55" s="15" t="s">
        <v>70</v>
      </c>
      <c r="O55" s="19">
        <f t="shared" si="1"/>
        <v>0</v>
      </c>
      <c r="P55" s="19">
        <f t="shared" si="4"/>
        <v>2.961765</v>
      </c>
      <c r="Q55" s="41" t="s">
        <v>26</v>
      </c>
      <c r="R55" s="45">
        <f t="shared" si="5"/>
        <v>1.896044544</v>
      </c>
      <c r="S55" s="45">
        <f t="shared" si="6"/>
        <v>51.62654951</v>
      </c>
      <c r="T55" s="46">
        <f t="shared" si="7"/>
        <v>0.03672615276</v>
      </c>
    </row>
    <row r="56">
      <c r="A56" s="8">
        <f t="shared" si="3"/>
        <v>55</v>
      </c>
      <c r="B56" s="8" t="s">
        <v>26</v>
      </c>
      <c r="C56" s="8" t="s">
        <v>19</v>
      </c>
      <c r="D56" s="8" t="s">
        <v>955</v>
      </c>
      <c r="E56" s="8" t="s">
        <v>121</v>
      </c>
      <c r="F56" s="8" t="s">
        <v>22</v>
      </c>
      <c r="G56" s="8" t="s">
        <v>225</v>
      </c>
      <c r="H56" s="8" t="s">
        <v>39</v>
      </c>
      <c r="I56" s="9">
        <v>1.0</v>
      </c>
      <c r="J56" s="9">
        <v>0.1</v>
      </c>
      <c r="K56" s="9">
        <v>0.1</v>
      </c>
      <c r="L56" s="54">
        <v>45598.0</v>
      </c>
      <c r="M56" s="11">
        <v>1.925</v>
      </c>
      <c r="N56" s="8" t="s">
        <v>25</v>
      </c>
      <c r="O56" s="12">
        <f t="shared" si="1"/>
        <v>-0.1</v>
      </c>
      <c r="P56" s="12">
        <f t="shared" si="4"/>
        <v>2.861765</v>
      </c>
      <c r="Q56" s="41" t="s">
        <v>35</v>
      </c>
      <c r="R56" s="45">
        <f t="shared" si="5"/>
        <v>2.727612978</v>
      </c>
      <c r="S56" s="45">
        <f t="shared" si="6"/>
        <v>32.94511232</v>
      </c>
      <c r="T56" s="46">
        <f t="shared" si="7"/>
        <v>0.08279264468</v>
      </c>
    </row>
    <row r="57">
      <c r="A57" s="15">
        <f t="shared" si="3"/>
        <v>56</v>
      </c>
      <c r="B57" s="15" t="s">
        <v>26</v>
      </c>
      <c r="C57" s="15" t="s">
        <v>19</v>
      </c>
      <c r="D57" s="15" t="s">
        <v>956</v>
      </c>
      <c r="E57" s="15" t="s">
        <v>121</v>
      </c>
      <c r="F57" s="15" t="s">
        <v>598</v>
      </c>
      <c r="G57" s="15" t="s">
        <v>29</v>
      </c>
      <c r="H57" s="15" t="s">
        <v>39</v>
      </c>
      <c r="I57" s="16">
        <v>-2.5</v>
      </c>
      <c r="J57" s="16">
        <v>0.1</v>
      </c>
      <c r="K57" s="16">
        <v>0.1</v>
      </c>
      <c r="L57" s="55">
        <v>45598.0</v>
      </c>
      <c r="M57" s="18">
        <v>1.9</v>
      </c>
      <c r="N57" s="15" t="s">
        <v>25</v>
      </c>
      <c r="O57" s="19">
        <f t="shared" si="1"/>
        <v>-0.1</v>
      </c>
      <c r="P57" s="19">
        <f t="shared" si="4"/>
        <v>2.761765</v>
      </c>
      <c r="Q57" s="41" t="s">
        <v>135</v>
      </c>
      <c r="R57" s="45">
        <f t="shared" si="5"/>
        <v>-0.1</v>
      </c>
      <c r="S57" s="45">
        <f t="shared" si="6"/>
        <v>0.1</v>
      </c>
      <c r="T57" s="46">
        <f t="shared" si="7"/>
        <v>-1</v>
      </c>
    </row>
    <row r="58">
      <c r="A58" s="8">
        <f t="shared" si="3"/>
        <v>57</v>
      </c>
      <c r="B58" s="8" t="s">
        <v>26</v>
      </c>
      <c r="C58" s="8" t="s">
        <v>19</v>
      </c>
      <c r="D58" s="8" t="s">
        <v>957</v>
      </c>
      <c r="E58" s="8" t="s">
        <v>44</v>
      </c>
      <c r="F58" s="8" t="s">
        <v>22</v>
      </c>
      <c r="G58" s="8" t="s">
        <v>892</v>
      </c>
      <c r="H58" s="8" t="s">
        <v>24</v>
      </c>
      <c r="I58" s="9">
        <v>0.0</v>
      </c>
      <c r="J58" s="9">
        <v>0.3</v>
      </c>
      <c r="K58" s="9">
        <v>0.21</v>
      </c>
      <c r="L58" s="54">
        <v>45598.0</v>
      </c>
      <c r="M58" s="11">
        <f>432/300</f>
        <v>1.44</v>
      </c>
      <c r="N58" s="8" t="s">
        <v>33</v>
      </c>
      <c r="O58" s="12">
        <f t="shared" si="1"/>
        <v>0.0924</v>
      </c>
      <c r="P58" s="12">
        <f t="shared" si="4"/>
        <v>2.854165</v>
      </c>
      <c r="Q58" s="41" t="s">
        <v>137</v>
      </c>
      <c r="R58" s="45">
        <f t="shared" si="5"/>
        <v>0.00942</v>
      </c>
      <c r="S58" s="45">
        <f t="shared" si="6"/>
        <v>3.3538</v>
      </c>
      <c r="T58" s="46">
        <f t="shared" si="7"/>
        <v>0.002808754249</v>
      </c>
    </row>
    <row r="59">
      <c r="A59" s="15">
        <f t="shared" si="3"/>
        <v>58</v>
      </c>
      <c r="B59" s="15" t="s">
        <v>26</v>
      </c>
      <c r="C59" s="15" t="s">
        <v>19</v>
      </c>
      <c r="D59" s="42" t="s">
        <v>958</v>
      </c>
      <c r="E59" s="15" t="s">
        <v>196</v>
      </c>
      <c r="F59" s="15" t="s">
        <v>598</v>
      </c>
      <c r="G59" s="15" t="s">
        <v>29</v>
      </c>
      <c r="H59" s="15" t="s">
        <v>39</v>
      </c>
      <c r="I59" s="16">
        <v>-2.5</v>
      </c>
      <c r="J59" s="16">
        <v>0.1</v>
      </c>
      <c r="K59" s="16">
        <v>0.1</v>
      </c>
      <c r="L59" s="17">
        <v>45598.0</v>
      </c>
      <c r="M59" s="18">
        <v>1.825</v>
      </c>
      <c r="N59" s="15" t="s">
        <v>25</v>
      </c>
      <c r="O59" s="19">
        <f t="shared" si="1"/>
        <v>-0.1</v>
      </c>
      <c r="P59" s="49">
        <f t="shared" si="4"/>
        <v>2.754165</v>
      </c>
    </row>
    <row r="60">
      <c r="A60" s="8">
        <f t="shared" si="3"/>
        <v>59</v>
      </c>
      <c r="B60" s="8" t="s">
        <v>26</v>
      </c>
      <c r="C60" s="8" t="s">
        <v>19</v>
      </c>
      <c r="D60" s="47" t="s">
        <v>959</v>
      </c>
      <c r="E60" s="8" t="s">
        <v>820</v>
      </c>
      <c r="F60" s="8" t="s">
        <v>598</v>
      </c>
      <c r="G60" s="8" t="s">
        <v>29</v>
      </c>
      <c r="H60" s="8" t="s">
        <v>39</v>
      </c>
      <c r="I60" s="9">
        <v>-2.0</v>
      </c>
      <c r="J60" s="9">
        <v>0.1</v>
      </c>
      <c r="K60" s="9">
        <v>0.1</v>
      </c>
      <c r="L60" s="54">
        <v>45598.0</v>
      </c>
      <c r="M60" s="11">
        <v>1.9</v>
      </c>
      <c r="N60" s="8" t="s">
        <v>33</v>
      </c>
      <c r="O60" s="12">
        <f t="shared" si="1"/>
        <v>0.09</v>
      </c>
      <c r="P60" s="48">
        <f t="shared" si="4"/>
        <v>2.844165</v>
      </c>
      <c r="Q60" s="100" t="s">
        <v>0</v>
      </c>
      <c r="R60" s="101" t="s">
        <v>960</v>
      </c>
      <c r="S60" s="102"/>
      <c r="T60" s="103"/>
    </row>
    <row r="61">
      <c r="A61" s="15">
        <f t="shared" si="3"/>
        <v>60</v>
      </c>
      <c r="B61" s="15" t="s">
        <v>26</v>
      </c>
      <c r="C61" s="15" t="s">
        <v>19</v>
      </c>
      <c r="D61" s="42" t="s">
        <v>961</v>
      </c>
      <c r="E61" s="15" t="s">
        <v>204</v>
      </c>
      <c r="F61" s="15" t="s">
        <v>22</v>
      </c>
      <c r="G61" s="15" t="s">
        <v>225</v>
      </c>
      <c r="H61" s="15" t="s">
        <v>39</v>
      </c>
      <c r="I61" s="16">
        <v>2.0</v>
      </c>
      <c r="J61" s="16">
        <v>0.1</v>
      </c>
      <c r="K61" s="16">
        <v>0.1</v>
      </c>
      <c r="L61" s="17">
        <v>45598.0</v>
      </c>
      <c r="M61" s="18">
        <v>1.9</v>
      </c>
      <c r="N61" s="15" t="s">
        <v>25</v>
      </c>
      <c r="O61" s="19">
        <f t="shared" si="1"/>
        <v>-0.1</v>
      </c>
      <c r="P61" s="49">
        <f t="shared" si="4"/>
        <v>2.744165</v>
      </c>
      <c r="Q61" s="41">
        <v>1.0</v>
      </c>
      <c r="R61" s="104" t="s">
        <v>962</v>
      </c>
      <c r="S61" s="102"/>
      <c r="T61" s="103"/>
    </row>
    <row r="62">
      <c r="A62" s="8">
        <f t="shared" si="3"/>
        <v>61</v>
      </c>
      <c r="B62" s="8" t="s">
        <v>26</v>
      </c>
      <c r="C62" s="8" t="s">
        <v>19</v>
      </c>
      <c r="D62" s="47" t="s">
        <v>963</v>
      </c>
      <c r="E62" s="8" t="s">
        <v>964</v>
      </c>
      <c r="F62" s="8" t="s">
        <v>22</v>
      </c>
      <c r="G62" s="8" t="s">
        <v>894</v>
      </c>
      <c r="H62" s="8" t="s">
        <v>39</v>
      </c>
      <c r="I62" s="26">
        <v>-0.25</v>
      </c>
      <c r="J62" s="9">
        <v>0.1</v>
      </c>
      <c r="K62" s="9">
        <v>0.1</v>
      </c>
      <c r="L62" s="10">
        <v>45598.0</v>
      </c>
      <c r="M62" s="11">
        <v>2.0</v>
      </c>
      <c r="N62" s="8" t="s">
        <v>25</v>
      </c>
      <c r="O62" s="12">
        <f t="shared" si="1"/>
        <v>-0.1</v>
      </c>
      <c r="P62" s="48">
        <f t="shared" si="4"/>
        <v>2.644165</v>
      </c>
      <c r="Q62" s="41">
        <v>2.0</v>
      </c>
      <c r="R62" s="104" t="s">
        <v>965</v>
      </c>
      <c r="S62" s="102"/>
      <c r="T62" s="103"/>
    </row>
    <row r="63">
      <c r="A63" s="15">
        <f t="shared" si="3"/>
        <v>62</v>
      </c>
      <c r="B63" s="15" t="s">
        <v>26</v>
      </c>
      <c r="C63" s="15" t="s">
        <v>19</v>
      </c>
      <c r="D63" s="42" t="s">
        <v>966</v>
      </c>
      <c r="E63" s="15" t="s">
        <v>273</v>
      </c>
      <c r="F63" s="15" t="s">
        <v>22</v>
      </c>
      <c r="G63" s="15" t="s">
        <v>892</v>
      </c>
      <c r="H63" s="15" t="s">
        <v>24</v>
      </c>
      <c r="I63" s="43">
        <v>0.0</v>
      </c>
      <c r="J63" s="16">
        <v>0.3</v>
      </c>
      <c r="K63" s="16">
        <v>0.3</v>
      </c>
      <c r="L63" s="17">
        <v>45598.0</v>
      </c>
      <c r="M63" s="18">
        <v>1.825</v>
      </c>
      <c r="N63" s="15" t="s">
        <v>70</v>
      </c>
      <c r="O63" s="19">
        <f t="shared" si="1"/>
        <v>0</v>
      </c>
      <c r="P63" s="49">
        <f t="shared" si="4"/>
        <v>2.644165</v>
      </c>
      <c r="Q63" s="41">
        <v>3.0</v>
      </c>
      <c r="R63" s="104" t="s">
        <v>967</v>
      </c>
      <c r="S63" s="102"/>
      <c r="T63" s="103"/>
    </row>
    <row r="64">
      <c r="A64" s="8">
        <f t="shared" si="3"/>
        <v>63</v>
      </c>
      <c r="B64" s="8" t="s">
        <v>18</v>
      </c>
      <c r="C64" s="8" t="s">
        <v>19</v>
      </c>
      <c r="D64" s="47" t="s">
        <v>968</v>
      </c>
      <c r="E64" s="8" t="s">
        <v>316</v>
      </c>
      <c r="F64" s="8" t="s">
        <v>22</v>
      </c>
      <c r="G64" s="8" t="s">
        <v>892</v>
      </c>
      <c r="H64" s="8" t="s">
        <v>24</v>
      </c>
      <c r="I64" s="26">
        <v>0.0</v>
      </c>
      <c r="J64" s="9">
        <v>0.5</v>
      </c>
      <c r="K64" s="9">
        <v>0.5</v>
      </c>
      <c r="L64" s="10">
        <v>45598.0</v>
      </c>
      <c r="M64" s="11">
        <v>1.775</v>
      </c>
      <c r="N64" s="8" t="s">
        <v>33</v>
      </c>
      <c r="O64" s="12">
        <f t="shared" si="1"/>
        <v>0.3875</v>
      </c>
      <c r="P64" s="48">
        <f t="shared" si="4"/>
        <v>3.031665</v>
      </c>
      <c r="Q64" s="41">
        <v>4.0</v>
      </c>
      <c r="R64" s="104" t="s">
        <v>969</v>
      </c>
      <c r="S64" s="102"/>
      <c r="T64" s="103"/>
    </row>
    <row r="65">
      <c r="A65" s="15">
        <f t="shared" si="3"/>
        <v>64</v>
      </c>
      <c r="B65" s="15" t="s">
        <v>26</v>
      </c>
      <c r="C65" s="15" t="s">
        <v>19</v>
      </c>
      <c r="D65" s="42" t="s">
        <v>970</v>
      </c>
      <c r="E65" s="15" t="s">
        <v>214</v>
      </c>
      <c r="F65" s="15" t="s">
        <v>598</v>
      </c>
      <c r="G65" s="15" t="s">
        <v>225</v>
      </c>
      <c r="H65" s="15" t="s">
        <v>39</v>
      </c>
      <c r="I65" s="43">
        <v>1.0</v>
      </c>
      <c r="J65" s="16">
        <v>0.1</v>
      </c>
      <c r="K65" s="16">
        <v>0.1</v>
      </c>
      <c r="L65" s="17">
        <v>45598.0</v>
      </c>
      <c r="M65" s="18">
        <v>2.0</v>
      </c>
      <c r="N65" s="15" t="s">
        <v>25</v>
      </c>
      <c r="O65" s="19">
        <f t="shared" si="1"/>
        <v>-0.1</v>
      </c>
      <c r="P65" s="49">
        <f t="shared" si="4"/>
        <v>2.931665</v>
      </c>
      <c r="Q65" s="41">
        <v>5.0</v>
      </c>
      <c r="R65" s="104" t="s">
        <v>971</v>
      </c>
      <c r="S65" s="102"/>
      <c r="T65" s="103"/>
    </row>
    <row r="66">
      <c r="A66" s="8">
        <f t="shared" si="3"/>
        <v>65</v>
      </c>
      <c r="B66" s="8" t="s">
        <v>26</v>
      </c>
      <c r="C66" s="8" t="s">
        <v>40</v>
      </c>
      <c r="D66" s="47" t="s">
        <v>972</v>
      </c>
      <c r="E66" s="8" t="s">
        <v>66</v>
      </c>
      <c r="F66" s="8" t="s">
        <v>22</v>
      </c>
      <c r="G66" s="8" t="s">
        <v>894</v>
      </c>
      <c r="H66" s="8" t="s">
        <v>39</v>
      </c>
      <c r="I66" s="9">
        <v>-0.25</v>
      </c>
      <c r="J66" s="9">
        <v>0.1</v>
      </c>
      <c r="K66" s="9">
        <v>0.1</v>
      </c>
      <c r="L66" s="10">
        <v>45598.0</v>
      </c>
      <c r="M66" s="11">
        <v>1.95</v>
      </c>
      <c r="N66" s="8" t="s">
        <v>70</v>
      </c>
      <c r="O66" s="12">
        <f t="shared" si="1"/>
        <v>0</v>
      </c>
      <c r="P66" s="48">
        <f t="shared" si="4"/>
        <v>2.931665</v>
      </c>
      <c r="Q66" s="41">
        <v>6.0</v>
      </c>
      <c r="R66" s="104" t="s">
        <v>973</v>
      </c>
      <c r="S66" s="102"/>
      <c r="T66" s="103"/>
    </row>
    <row r="67">
      <c r="A67" s="15">
        <f t="shared" si="3"/>
        <v>66</v>
      </c>
      <c r="B67" s="15" t="s">
        <v>26</v>
      </c>
      <c r="C67" s="15" t="s">
        <v>19</v>
      </c>
      <c r="D67" s="42" t="s">
        <v>974</v>
      </c>
      <c r="E67" s="15" t="s">
        <v>58</v>
      </c>
      <c r="F67" s="15" t="s">
        <v>598</v>
      </c>
      <c r="G67" s="15" t="s">
        <v>29</v>
      </c>
      <c r="H67" s="15" t="s">
        <v>39</v>
      </c>
      <c r="I67" s="16">
        <v>-3.75</v>
      </c>
      <c r="J67" s="16">
        <v>0.1</v>
      </c>
      <c r="K67" s="16">
        <v>0.1</v>
      </c>
      <c r="L67" s="17">
        <v>45598.0</v>
      </c>
      <c r="M67" s="18">
        <v>1.725</v>
      </c>
      <c r="N67" s="15" t="s">
        <v>33</v>
      </c>
      <c r="O67" s="19">
        <f t="shared" si="1"/>
        <v>0.0725</v>
      </c>
      <c r="P67" s="49">
        <f t="shared" si="4"/>
        <v>3.004165</v>
      </c>
      <c r="Q67" s="41">
        <v>7.0</v>
      </c>
      <c r="R67" s="104" t="s">
        <v>975</v>
      </c>
      <c r="S67" s="102"/>
      <c r="T67" s="103"/>
    </row>
    <row r="68">
      <c r="A68" s="8">
        <f t="shared" si="3"/>
        <v>67</v>
      </c>
      <c r="B68" s="8" t="s">
        <v>26</v>
      </c>
      <c r="C68" s="8" t="s">
        <v>19</v>
      </c>
      <c r="D68" s="47" t="s">
        <v>976</v>
      </c>
      <c r="E68" s="8" t="s">
        <v>66</v>
      </c>
      <c r="F68" s="8" t="s">
        <v>22</v>
      </c>
      <c r="G68" s="8" t="s">
        <v>225</v>
      </c>
      <c r="H68" s="8" t="s">
        <v>39</v>
      </c>
      <c r="I68" s="9">
        <v>1.75</v>
      </c>
      <c r="J68" s="9">
        <v>0.1</v>
      </c>
      <c r="K68" s="9">
        <v>0.07</v>
      </c>
      <c r="L68" s="10">
        <v>45598.0</v>
      </c>
      <c r="M68" s="11">
        <v>1.975</v>
      </c>
      <c r="N68" s="8" t="s">
        <v>25</v>
      </c>
      <c r="O68" s="12">
        <f t="shared" si="1"/>
        <v>-0.07</v>
      </c>
      <c r="P68" s="48">
        <f t="shared" si="4"/>
        <v>2.934165</v>
      </c>
      <c r="Q68" s="41">
        <v>8.0</v>
      </c>
      <c r="R68" s="104" t="s">
        <v>977</v>
      </c>
      <c r="S68" s="102"/>
      <c r="T68" s="103"/>
    </row>
    <row r="69">
      <c r="A69" s="15">
        <f t="shared" si="3"/>
        <v>68</v>
      </c>
      <c r="B69" s="15" t="s">
        <v>26</v>
      </c>
      <c r="C69" s="15" t="s">
        <v>19</v>
      </c>
      <c r="D69" s="42" t="s">
        <v>978</v>
      </c>
      <c r="E69" s="15" t="s">
        <v>66</v>
      </c>
      <c r="F69" s="15" t="s">
        <v>22</v>
      </c>
      <c r="G69" s="15" t="s">
        <v>225</v>
      </c>
      <c r="H69" s="15" t="s">
        <v>39</v>
      </c>
      <c r="I69" s="24">
        <v>1.75</v>
      </c>
      <c r="J69" s="16">
        <v>0.1</v>
      </c>
      <c r="K69" s="16">
        <v>0.1</v>
      </c>
      <c r="L69" s="17">
        <v>45598.0</v>
      </c>
      <c r="M69" s="18">
        <v>1.85</v>
      </c>
      <c r="N69" s="15" t="s">
        <v>25</v>
      </c>
      <c r="O69" s="19">
        <f t="shared" si="1"/>
        <v>-0.1</v>
      </c>
      <c r="P69" s="49">
        <f t="shared" si="4"/>
        <v>2.834165</v>
      </c>
      <c r="Q69" s="41">
        <v>9.0</v>
      </c>
      <c r="R69" s="104" t="s">
        <v>979</v>
      </c>
      <c r="S69" s="102"/>
      <c r="T69" s="103"/>
    </row>
    <row r="70">
      <c r="A70" s="8">
        <f t="shared" si="3"/>
        <v>69</v>
      </c>
      <c r="B70" s="8" t="s">
        <v>26</v>
      </c>
      <c r="C70" s="8" t="s">
        <v>19</v>
      </c>
      <c r="D70" s="47" t="s">
        <v>980</v>
      </c>
      <c r="E70" s="32" t="s">
        <v>58</v>
      </c>
      <c r="F70" s="8" t="s">
        <v>22</v>
      </c>
      <c r="G70" s="8" t="s">
        <v>225</v>
      </c>
      <c r="H70" s="8" t="s">
        <v>39</v>
      </c>
      <c r="I70" s="33">
        <v>0.5</v>
      </c>
      <c r="J70" s="9">
        <v>0.1</v>
      </c>
      <c r="K70" s="9">
        <v>0.1</v>
      </c>
      <c r="L70" s="10">
        <v>45598.0</v>
      </c>
      <c r="M70" s="11">
        <v>2.0</v>
      </c>
      <c r="N70" s="8" t="s">
        <v>33</v>
      </c>
      <c r="O70" s="12">
        <f t="shared" si="1"/>
        <v>0.1</v>
      </c>
      <c r="P70" s="48">
        <f t="shared" si="4"/>
        <v>2.934165</v>
      </c>
      <c r="Q70" s="41">
        <v>10.0</v>
      </c>
      <c r="R70" s="104" t="s">
        <v>981</v>
      </c>
      <c r="S70" s="102"/>
      <c r="T70" s="103"/>
    </row>
    <row r="71">
      <c r="A71" s="15">
        <f t="shared" si="3"/>
        <v>70</v>
      </c>
      <c r="B71" s="36" t="s">
        <v>26</v>
      </c>
      <c r="C71" s="37" t="s">
        <v>19</v>
      </c>
      <c r="D71" s="42" t="s">
        <v>982</v>
      </c>
      <c r="E71" s="37" t="s">
        <v>66</v>
      </c>
      <c r="F71" s="37" t="s">
        <v>598</v>
      </c>
      <c r="G71" s="37" t="s">
        <v>29</v>
      </c>
      <c r="H71" s="15" t="s">
        <v>39</v>
      </c>
      <c r="I71" s="24">
        <v>-2.0</v>
      </c>
      <c r="J71" s="24">
        <v>0.1</v>
      </c>
      <c r="K71" s="37">
        <v>0.09</v>
      </c>
      <c r="L71" s="105">
        <v>45598.0</v>
      </c>
      <c r="M71" s="39">
        <v>1.975</v>
      </c>
      <c r="N71" s="15" t="s">
        <v>33</v>
      </c>
      <c r="O71" s="19">
        <f t="shared" si="1"/>
        <v>0.08775</v>
      </c>
      <c r="P71" s="49">
        <f t="shared" si="4"/>
        <v>3.021915</v>
      </c>
      <c r="Q71" s="41">
        <v>11.0</v>
      </c>
      <c r="R71" s="104" t="s">
        <v>983</v>
      </c>
      <c r="S71" s="102"/>
      <c r="T71" s="103"/>
    </row>
    <row r="72">
      <c r="A72" s="8">
        <f t="shared" si="3"/>
        <v>71</v>
      </c>
      <c r="B72" s="31" t="s">
        <v>26</v>
      </c>
      <c r="C72" s="32" t="s">
        <v>19</v>
      </c>
      <c r="D72" s="47" t="s">
        <v>984</v>
      </c>
      <c r="E72" s="32" t="s">
        <v>167</v>
      </c>
      <c r="F72" s="32" t="s">
        <v>22</v>
      </c>
      <c r="G72" s="32" t="s">
        <v>225</v>
      </c>
      <c r="H72" s="8" t="s">
        <v>39</v>
      </c>
      <c r="I72" s="33">
        <v>1.75</v>
      </c>
      <c r="J72" s="33">
        <v>0.1</v>
      </c>
      <c r="K72" s="33">
        <v>0.1</v>
      </c>
      <c r="L72" s="106">
        <v>45598.0</v>
      </c>
      <c r="M72" s="35">
        <v>1.85</v>
      </c>
      <c r="N72" s="8" t="s">
        <v>33</v>
      </c>
      <c r="O72" s="12">
        <f t="shared" si="1"/>
        <v>0.085</v>
      </c>
      <c r="P72" s="48">
        <f t="shared" si="4"/>
        <v>3.106915</v>
      </c>
      <c r="Q72" s="41">
        <v>12.0</v>
      </c>
      <c r="R72" s="104" t="s">
        <v>985</v>
      </c>
      <c r="S72" s="102"/>
      <c r="T72" s="103"/>
    </row>
    <row r="73">
      <c r="A73" s="15">
        <f t="shared" si="3"/>
        <v>72</v>
      </c>
      <c r="B73" s="15" t="s">
        <v>26</v>
      </c>
      <c r="C73" s="15" t="s">
        <v>40</v>
      </c>
      <c r="D73" s="42" t="s">
        <v>986</v>
      </c>
      <c r="E73" s="37" t="s">
        <v>178</v>
      </c>
      <c r="F73" s="37" t="s">
        <v>598</v>
      </c>
      <c r="G73" s="15" t="s">
        <v>440</v>
      </c>
      <c r="H73" s="15" t="s">
        <v>39</v>
      </c>
      <c r="I73" s="16">
        <v>3.25</v>
      </c>
      <c r="J73" s="16">
        <v>0.1</v>
      </c>
      <c r="K73" s="16">
        <v>0.1</v>
      </c>
      <c r="L73" s="105">
        <v>45598.0</v>
      </c>
      <c r="M73" s="18">
        <v>1.875</v>
      </c>
      <c r="N73" s="15" t="s">
        <v>25</v>
      </c>
      <c r="O73" s="19">
        <f t="shared" si="1"/>
        <v>-0.1</v>
      </c>
      <c r="P73" s="49">
        <f t="shared" si="4"/>
        <v>3.006915</v>
      </c>
      <c r="Q73" s="41">
        <v>13.0</v>
      </c>
      <c r="R73" s="104" t="s">
        <v>987</v>
      </c>
      <c r="S73" s="102"/>
      <c r="T73" s="103"/>
    </row>
    <row r="74">
      <c r="A74" s="8">
        <f t="shared" si="3"/>
        <v>73</v>
      </c>
      <c r="B74" s="8" t="s">
        <v>26</v>
      </c>
      <c r="C74" s="8" t="s">
        <v>19</v>
      </c>
      <c r="D74" s="47" t="s">
        <v>988</v>
      </c>
      <c r="E74" s="8" t="s">
        <v>93</v>
      </c>
      <c r="F74" s="8" t="s">
        <v>22</v>
      </c>
      <c r="G74" s="8" t="s">
        <v>225</v>
      </c>
      <c r="H74" s="8" t="s">
        <v>39</v>
      </c>
      <c r="I74" s="9">
        <v>1.75</v>
      </c>
      <c r="J74" s="9">
        <v>0.1</v>
      </c>
      <c r="K74" s="9">
        <v>0.08</v>
      </c>
      <c r="L74" s="10">
        <v>45598.0</v>
      </c>
      <c r="M74" s="11">
        <v>1.975</v>
      </c>
      <c r="N74" s="8" t="s">
        <v>33</v>
      </c>
      <c r="O74" s="12">
        <f t="shared" si="1"/>
        <v>0.078</v>
      </c>
      <c r="P74" s="48">
        <f t="shared" si="4"/>
        <v>3.084915</v>
      </c>
    </row>
    <row r="75">
      <c r="A75" s="15">
        <f t="shared" si="3"/>
        <v>74</v>
      </c>
      <c r="B75" s="15" t="s">
        <v>26</v>
      </c>
      <c r="C75" s="15" t="s">
        <v>19</v>
      </c>
      <c r="D75" s="15" t="s">
        <v>989</v>
      </c>
      <c r="E75" s="15" t="s">
        <v>93</v>
      </c>
      <c r="F75" s="15" t="s">
        <v>22</v>
      </c>
      <c r="G75" s="15" t="s">
        <v>225</v>
      </c>
      <c r="H75" s="15" t="s">
        <v>39</v>
      </c>
      <c r="I75" s="16">
        <v>0.75</v>
      </c>
      <c r="J75" s="16">
        <v>0.1</v>
      </c>
      <c r="K75" s="16">
        <v>0.09</v>
      </c>
      <c r="L75" s="17">
        <v>45598.0</v>
      </c>
      <c r="M75" s="18">
        <v>1.8</v>
      </c>
      <c r="N75" s="15" t="s">
        <v>33</v>
      </c>
      <c r="O75" s="19">
        <f t="shared" si="1"/>
        <v>0.072</v>
      </c>
      <c r="P75" s="49">
        <f t="shared" si="4"/>
        <v>3.156915</v>
      </c>
    </row>
    <row r="76">
      <c r="A76" s="8">
        <f t="shared" si="3"/>
        <v>75</v>
      </c>
      <c r="B76" s="8" t="s">
        <v>26</v>
      </c>
      <c r="C76" s="8" t="s">
        <v>19</v>
      </c>
      <c r="D76" s="8" t="s">
        <v>990</v>
      </c>
      <c r="E76" s="8" t="s">
        <v>124</v>
      </c>
      <c r="F76" s="8" t="s">
        <v>22</v>
      </c>
      <c r="G76" s="8" t="s">
        <v>892</v>
      </c>
      <c r="H76" s="8" t="s">
        <v>24</v>
      </c>
      <c r="I76" s="9">
        <v>0.0</v>
      </c>
      <c r="J76" s="9">
        <v>0.3</v>
      </c>
      <c r="K76" s="9">
        <v>0.19</v>
      </c>
      <c r="L76" s="10">
        <v>45598.0</v>
      </c>
      <c r="M76" s="11">
        <v>1.85</v>
      </c>
      <c r="N76" s="8" t="s">
        <v>70</v>
      </c>
      <c r="O76" s="12">
        <f t="shared" si="1"/>
        <v>0</v>
      </c>
      <c r="P76" s="48">
        <f t="shared" si="4"/>
        <v>3.156915</v>
      </c>
    </row>
    <row r="77">
      <c r="A77" s="15">
        <f t="shared" si="3"/>
        <v>76</v>
      </c>
      <c r="B77" s="15" t="s">
        <v>26</v>
      </c>
      <c r="C77" s="15" t="s">
        <v>19</v>
      </c>
      <c r="D77" s="15" t="s">
        <v>991</v>
      </c>
      <c r="E77" s="15" t="s">
        <v>66</v>
      </c>
      <c r="F77" s="15" t="s">
        <v>22</v>
      </c>
      <c r="G77" s="15" t="s">
        <v>894</v>
      </c>
      <c r="H77" s="15" t="s">
        <v>24</v>
      </c>
      <c r="I77" s="16">
        <v>-0.75</v>
      </c>
      <c r="J77" s="16">
        <v>0.1</v>
      </c>
      <c r="K77" s="16">
        <v>0.07</v>
      </c>
      <c r="L77" s="17">
        <v>45598.0</v>
      </c>
      <c r="M77" s="18">
        <v>1.825</v>
      </c>
      <c r="N77" s="15" t="s">
        <v>25</v>
      </c>
      <c r="O77" s="19">
        <f t="shared" si="1"/>
        <v>-0.07</v>
      </c>
      <c r="P77" s="19">
        <f t="shared" si="4"/>
        <v>3.086915</v>
      </c>
    </row>
    <row r="78">
      <c r="A78" s="8">
        <f t="shared" si="3"/>
        <v>77</v>
      </c>
      <c r="B78" s="8" t="s">
        <v>26</v>
      </c>
      <c r="C78" s="8" t="s">
        <v>19</v>
      </c>
      <c r="D78" s="8" t="s">
        <v>992</v>
      </c>
      <c r="E78" s="8" t="s">
        <v>106</v>
      </c>
      <c r="F78" s="8" t="s">
        <v>22</v>
      </c>
      <c r="G78" s="8" t="s">
        <v>225</v>
      </c>
      <c r="H78" s="8" t="s">
        <v>39</v>
      </c>
      <c r="I78" s="9">
        <v>1.5</v>
      </c>
      <c r="J78" s="9">
        <v>0.1</v>
      </c>
      <c r="K78" s="9">
        <v>0.1</v>
      </c>
      <c r="L78" s="10">
        <v>45598.0</v>
      </c>
      <c r="M78" s="11">
        <v>1.825</v>
      </c>
      <c r="N78" s="8" t="s">
        <v>25</v>
      </c>
      <c r="O78" s="12">
        <f t="shared" si="1"/>
        <v>-0.1</v>
      </c>
      <c r="P78" s="12">
        <f t="shared" si="4"/>
        <v>2.986915</v>
      </c>
    </row>
    <row r="79">
      <c r="A79" s="15">
        <f t="shared" si="3"/>
        <v>78</v>
      </c>
      <c r="B79" s="15" t="s">
        <v>26</v>
      </c>
      <c r="C79" s="15" t="s">
        <v>19</v>
      </c>
      <c r="D79" s="15" t="s">
        <v>993</v>
      </c>
      <c r="E79" s="15" t="s">
        <v>93</v>
      </c>
      <c r="F79" s="15" t="s">
        <v>598</v>
      </c>
      <c r="G79" s="15" t="s">
        <v>29</v>
      </c>
      <c r="H79" s="15" t="s">
        <v>24</v>
      </c>
      <c r="I79" s="16">
        <v>-2.75</v>
      </c>
      <c r="J79" s="16">
        <v>0.25</v>
      </c>
      <c r="K79" s="16">
        <v>0.25</v>
      </c>
      <c r="L79" s="17">
        <v>45598.0</v>
      </c>
      <c r="M79" s="18">
        <v>1.95</v>
      </c>
      <c r="N79" s="15" t="s">
        <v>33</v>
      </c>
      <c r="O79" s="19">
        <f t="shared" si="1"/>
        <v>0.2375</v>
      </c>
      <c r="P79" s="19">
        <f t="shared" si="4"/>
        <v>3.224415</v>
      </c>
    </row>
    <row r="80">
      <c r="A80" s="8">
        <f t="shared" si="3"/>
        <v>79</v>
      </c>
      <c r="B80" s="8" t="s">
        <v>26</v>
      </c>
      <c r="C80" s="8" t="s">
        <v>19</v>
      </c>
      <c r="D80" s="8" t="s">
        <v>994</v>
      </c>
      <c r="E80" s="8" t="s">
        <v>877</v>
      </c>
      <c r="F80" s="8" t="s">
        <v>598</v>
      </c>
      <c r="G80" s="8" t="s">
        <v>29</v>
      </c>
      <c r="H80" s="8" t="s">
        <v>39</v>
      </c>
      <c r="I80" s="9">
        <v>-2.75</v>
      </c>
      <c r="J80" s="9">
        <v>0.1</v>
      </c>
      <c r="K80" s="9">
        <v>0.1</v>
      </c>
      <c r="L80" s="10">
        <v>45598.0</v>
      </c>
      <c r="M80" s="11">
        <v>1.8</v>
      </c>
      <c r="N80" s="8" t="s">
        <v>33</v>
      </c>
      <c r="O80" s="12">
        <f t="shared" si="1"/>
        <v>0.08</v>
      </c>
      <c r="P80" s="12">
        <f t="shared" si="4"/>
        <v>3.304415</v>
      </c>
    </row>
    <row r="81">
      <c r="A81" s="15">
        <f t="shared" si="3"/>
        <v>80</v>
      </c>
      <c r="B81" s="15" t="s">
        <v>26</v>
      </c>
      <c r="C81" s="15" t="s">
        <v>19</v>
      </c>
      <c r="D81" s="15" t="s">
        <v>995</v>
      </c>
      <c r="E81" s="15" t="s">
        <v>50</v>
      </c>
      <c r="F81" s="15" t="s">
        <v>598</v>
      </c>
      <c r="G81" s="15" t="s">
        <v>29</v>
      </c>
      <c r="H81" s="15" t="s">
        <v>39</v>
      </c>
      <c r="I81" s="16">
        <v>-2.25</v>
      </c>
      <c r="J81" s="16">
        <v>0.01</v>
      </c>
      <c r="K81" s="16">
        <v>0.1</v>
      </c>
      <c r="L81" s="17">
        <v>45598.0</v>
      </c>
      <c r="M81" s="18">
        <v>1.8</v>
      </c>
      <c r="N81" s="15" t="s">
        <v>996</v>
      </c>
      <c r="O81" s="19">
        <f t="shared" si="1"/>
        <v>0.04</v>
      </c>
      <c r="P81" s="19">
        <f t="shared" si="4"/>
        <v>3.344415</v>
      </c>
    </row>
    <row r="82">
      <c r="A82" s="8">
        <f t="shared" si="3"/>
        <v>81</v>
      </c>
      <c r="B82" s="8" t="s">
        <v>26</v>
      </c>
      <c r="C82" s="8" t="s">
        <v>19</v>
      </c>
      <c r="D82" s="8" t="s">
        <v>997</v>
      </c>
      <c r="E82" s="8" t="s">
        <v>50</v>
      </c>
      <c r="F82" s="8" t="s">
        <v>598</v>
      </c>
      <c r="G82" s="8" t="s">
        <v>29</v>
      </c>
      <c r="H82" s="8" t="s">
        <v>39</v>
      </c>
      <c r="I82" s="9">
        <v>-2.0</v>
      </c>
      <c r="J82" s="9">
        <v>0.1</v>
      </c>
      <c r="K82" s="9">
        <v>0.1</v>
      </c>
      <c r="L82" s="10">
        <v>45598.0</v>
      </c>
      <c r="M82" s="11">
        <v>1.95</v>
      </c>
      <c r="N82" s="8" t="s">
        <v>33</v>
      </c>
      <c r="O82" s="12">
        <f t="shared" si="1"/>
        <v>0.095</v>
      </c>
      <c r="P82" s="12">
        <f t="shared" si="4"/>
        <v>3.439415</v>
      </c>
    </row>
    <row r="83">
      <c r="A83" s="15">
        <f t="shared" si="3"/>
        <v>82</v>
      </c>
      <c r="B83" s="15" t="s">
        <v>26</v>
      </c>
      <c r="C83" s="15" t="s">
        <v>19</v>
      </c>
      <c r="D83" s="15" t="s">
        <v>998</v>
      </c>
      <c r="E83" s="15" t="s">
        <v>93</v>
      </c>
      <c r="F83" s="15" t="s">
        <v>598</v>
      </c>
      <c r="G83" s="15" t="s">
        <v>29</v>
      </c>
      <c r="H83" s="15" t="s">
        <v>39</v>
      </c>
      <c r="I83" s="16">
        <v>-2.25</v>
      </c>
      <c r="J83" s="16">
        <v>0.1</v>
      </c>
      <c r="K83" s="16">
        <v>0.1</v>
      </c>
      <c r="L83" s="55">
        <v>45598.0</v>
      </c>
      <c r="M83" s="18">
        <v>1.9</v>
      </c>
      <c r="N83" s="15" t="s">
        <v>25</v>
      </c>
      <c r="O83" s="19">
        <f t="shared" si="1"/>
        <v>-0.1</v>
      </c>
      <c r="P83" s="19">
        <f t="shared" si="4"/>
        <v>3.339415</v>
      </c>
    </row>
    <row r="84">
      <c r="A84" s="8">
        <f t="shared" si="3"/>
        <v>83</v>
      </c>
      <c r="B84" s="8" t="s">
        <v>26</v>
      </c>
      <c r="C84" s="8" t="s">
        <v>19</v>
      </c>
      <c r="D84" s="8" t="s">
        <v>999</v>
      </c>
      <c r="E84" s="8" t="s">
        <v>78</v>
      </c>
      <c r="F84" s="8" t="s">
        <v>598</v>
      </c>
      <c r="G84" s="8" t="s">
        <v>29</v>
      </c>
      <c r="H84" s="8" t="s">
        <v>39</v>
      </c>
      <c r="I84" s="9">
        <v>-2.0</v>
      </c>
      <c r="J84" s="9">
        <v>0.1</v>
      </c>
      <c r="K84" s="9">
        <v>0.1</v>
      </c>
      <c r="L84" s="54">
        <v>45598.0</v>
      </c>
      <c r="M84" s="11">
        <v>1.8</v>
      </c>
      <c r="N84" s="8" t="s">
        <v>70</v>
      </c>
      <c r="O84" s="12">
        <f t="shared" si="1"/>
        <v>0</v>
      </c>
      <c r="P84" s="12">
        <f t="shared" si="4"/>
        <v>3.339415</v>
      </c>
    </row>
    <row r="85">
      <c r="A85" s="15">
        <f t="shared" si="3"/>
        <v>84</v>
      </c>
      <c r="B85" s="15" t="s">
        <v>26</v>
      </c>
      <c r="C85" s="15" t="s">
        <v>19</v>
      </c>
      <c r="D85" s="15" t="s">
        <v>1000</v>
      </c>
      <c r="E85" s="15" t="s">
        <v>78</v>
      </c>
      <c r="F85" s="15" t="s">
        <v>598</v>
      </c>
      <c r="G85" s="15" t="s">
        <v>29</v>
      </c>
      <c r="H85" s="15" t="s">
        <v>39</v>
      </c>
      <c r="I85" s="16">
        <v>-2.0</v>
      </c>
      <c r="J85" s="16">
        <v>0.1</v>
      </c>
      <c r="K85" s="16">
        <v>0.1</v>
      </c>
      <c r="L85" s="55">
        <v>45598.0</v>
      </c>
      <c r="M85" s="18">
        <v>1.85</v>
      </c>
      <c r="N85" s="15" t="s">
        <v>33</v>
      </c>
      <c r="O85" s="19">
        <f t="shared" si="1"/>
        <v>0.085</v>
      </c>
      <c r="P85" s="19">
        <f t="shared" si="4"/>
        <v>3.424415</v>
      </c>
    </row>
    <row r="86">
      <c r="A86" s="8">
        <f t="shared" si="3"/>
        <v>85</v>
      </c>
      <c r="B86" s="8" t="s">
        <v>26</v>
      </c>
      <c r="C86" s="8" t="s">
        <v>19</v>
      </c>
      <c r="D86" s="8" t="s">
        <v>1001</v>
      </c>
      <c r="E86" s="8" t="s">
        <v>82</v>
      </c>
      <c r="F86" s="8" t="s">
        <v>598</v>
      </c>
      <c r="G86" s="8" t="s">
        <v>29</v>
      </c>
      <c r="H86" s="8" t="s">
        <v>39</v>
      </c>
      <c r="I86" s="9">
        <v>-2.0</v>
      </c>
      <c r="J86" s="9">
        <v>0.1</v>
      </c>
      <c r="K86" s="9">
        <v>0.1</v>
      </c>
      <c r="L86" s="54">
        <v>45598.0</v>
      </c>
      <c r="M86" s="11">
        <v>1.95</v>
      </c>
      <c r="N86" s="8" t="s">
        <v>33</v>
      </c>
      <c r="O86" s="12">
        <f t="shared" si="1"/>
        <v>0.095</v>
      </c>
      <c r="P86" s="12">
        <f t="shared" si="4"/>
        <v>3.519415</v>
      </c>
    </row>
    <row r="87">
      <c r="A87" s="15">
        <f t="shared" si="3"/>
        <v>86</v>
      </c>
      <c r="B87" s="15" t="s">
        <v>26</v>
      </c>
      <c r="C87" s="15" t="s">
        <v>19</v>
      </c>
      <c r="D87" s="15" t="s">
        <v>1002</v>
      </c>
      <c r="E87" s="15" t="s">
        <v>1003</v>
      </c>
      <c r="F87" s="15" t="s">
        <v>598</v>
      </c>
      <c r="G87" s="15" t="s">
        <v>29</v>
      </c>
      <c r="H87" s="15" t="s">
        <v>39</v>
      </c>
      <c r="I87" s="16">
        <v>-2.5</v>
      </c>
      <c r="J87" s="16">
        <v>0.05</v>
      </c>
      <c r="K87" s="16">
        <v>0.05</v>
      </c>
      <c r="L87" s="55">
        <v>45598.0</v>
      </c>
      <c r="M87" s="18">
        <v>1.85</v>
      </c>
      <c r="N87" s="15" t="s">
        <v>33</v>
      </c>
      <c r="O87" s="19">
        <f t="shared" si="1"/>
        <v>0.0425</v>
      </c>
      <c r="P87" s="19">
        <f t="shared" si="4"/>
        <v>3.561915</v>
      </c>
    </row>
    <row r="88">
      <c r="A88" s="8">
        <f t="shared" si="3"/>
        <v>87</v>
      </c>
      <c r="B88" s="8" t="s">
        <v>129</v>
      </c>
      <c r="C88" s="8" t="s">
        <v>19</v>
      </c>
      <c r="D88" s="8" t="s">
        <v>1004</v>
      </c>
      <c r="E88" s="8" t="s">
        <v>316</v>
      </c>
      <c r="F88" s="8" t="s">
        <v>22</v>
      </c>
      <c r="G88" s="8" t="s">
        <v>892</v>
      </c>
      <c r="H88" s="8" t="s">
        <v>24</v>
      </c>
      <c r="I88" s="9">
        <v>0.0</v>
      </c>
      <c r="J88" s="9">
        <v>0.3</v>
      </c>
      <c r="K88" s="9">
        <v>0.27</v>
      </c>
      <c r="L88" s="10">
        <v>45599.0</v>
      </c>
      <c r="M88" s="11">
        <v>1.5</v>
      </c>
      <c r="N88" s="8" t="s">
        <v>25</v>
      </c>
      <c r="O88" s="12">
        <f t="shared" si="1"/>
        <v>-0.27</v>
      </c>
      <c r="P88" s="12">
        <f t="shared" si="4"/>
        <v>3.291915</v>
      </c>
    </row>
    <row r="89">
      <c r="A89" s="15">
        <f t="shared" si="3"/>
        <v>88</v>
      </c>
      <c r="B89" s="15" t="s">
        <v>26</v>
      </c>
      <c r="C89" s="15" t="s">
        <v>19</v>
      </c>
      <c r="D89" s="15" t="s">
        <v>1005</v>
      </c>
      <c r="E89" s="15" t="s">
        <v>1006</v>
      </c>
      <c r="F89" s="15" t="s">
        <v>22</v>
      </c>
      <c r="G89" s="15" t="s">
        <v>892</v>
      </c>
      <c r="H89" s="15" t="s">
        <v>39</v>
      </c>
      <c r="I89" s="16">
        <v>0.0</v>
      </c>
      <c r="J89" s="16">
        <v>0.1</v>
      </c>
      <c r="K89" s="16">
        <v>0.09</v>
      </c>
      <c r="L89" s="55">
        <v>45599.0</v>
      </c>
      <c r="M89" s="18">
        <v>1.85</v>
      </c>
      <c r="N89" s="15" t="s">
        <v>25</v>
      </c>
      <c r="O89" s="19">
        <f t="shared" si="1"/>
        <v>-0.09</v>
      </c>
      <c r="P89" s="19">
        <f t="shared" si="4"/>
        <v>3.201915</v>
      </c>
    </row>
    <row r="90">
      <c r="A90" s="8">
        <f t="shared" si="3"/>
        <v>89</v>
      </c>
      <c r="B90" s="8" t="s">
        <v>26</v>
      </c>
      <c r="C90" s="8" t="s">
        <v>40</v>
      </c>
      <c r="D90" s="8" t="s">
        <v>1007</v>
      </c>
      <c r="E90" s="8" t="s">
        <v>229</v>
      </c>
      <c r="F90" s="8" t="s">
        <v>22</v>
      </c>
      <c r="G90" s="8" t="s">
        <v>225</v>
      </c>
      <c r="H90" s="8" t="s">
        <v>39</v>
      </c>
      <c r="I90" s="9">
        <v>0.5</v>
      </c>
      <c r="J90" s="9">
        <v>0.1</v>
      </c>
      <c r="K90" s="9">
        <v>0.09</v>
      </c>
      <c r="L90" s="10">
        <v>45599.0</v>
      </c>
      <c r="M90" s="11">
        <v>1.9</v>
      </c>
      <c r="N90" s="8" t="s">
        <v>25</v>
      </c>
      <c r="O90" s="12">
        <f t="shared" si="1"/>
        <v>-0.09</v>
      </c>
      <c r="P90" s="12">
        <f t="shared" si="4"/>
        <v>3.111915</v>
      </c>
    </row>
    <row r="91">
      <c r="A91" s="15">
        <f t="shared" si="3"/>
        <v>90</v>
      </c>
      <c r="B91" s="15" t="s">
        <v>26</v>
      </c>
      <c r="C91" s="15" t="s">
        <v>40</v>
      </c>
      <c r="D91" s="15" t="s">
        <v>1008</v>
      </c>
      <c r="E91" s="15" t="s">
        <v>229</v>
      </c>
      <c r="F91" s="15" t="s">
        <v>22</v>
      </c>
      <c r="G91" s="15" t="s">
        <v>225</v>
      </c>
      <c r="H91" s="15" t="s">
        <v>39</v>
      </c>
      <c r="I91" s="16">
        <v>2.25</v>
      </c>
      <c r="J91" s="16">
        <v>0.1</v>
      </c>
      <c r="K91" s="16">
        <v>0.09</v>
      </c>
      <c r="L91" s="17">
        <v>45599.0</v>
      </c>
      <c r="M91" s="18">
        <v>1.95</v>
      </c>
      <c r="N91" s="15" t="s">
        <v>25</v>
      </c>
      <c r="O91" s="19">
        <f t="shared" si="1"/>
        <v>-0.09</v>
      </c>
      <c r="P91" s="19">
        <f t="shared" si="4"/>
        <v>3.021915</v>
      </c>
    </row>
    <row r="92">
      <c r="A92" s="8">
        <f t="shared" si="3"/>
        <v>91</v>
      </c>
      <c r="B92" s="8" t="s">
        <v>26</v>
      </c>
      <c r="C92" s="8" t="s">
        <v>19</v>
      </c>
      <c r="D92" s="8" t="s">
        <v>1009</v>
      </c>
      <c r="E92" s="8" t="s">
        <v>229</v>
      </c>
      <c r="F92" s="8" t="s">
        <v>22</v>
      </c>
      <c r="G92" s="8" t="s">
        <v>225</v>
      </c>
      <c r="H92" s="8" t="s">
        <v>39</v>
      </c>
      <c r="I92" s="9">
        <v>0.75</v>
      </c>
      <c r="J92" s="9">
        <v>0.1</v>
      </c>
      <c r="K92" s="9">
        <v>0.09</v>
      </c>
      <c r="L92" s="10">
        <v>45599.0</v>
      </c>
      <c r="M92" s="11">
        <v>2.025</v>
      </c>
      <c r="N92" s="8" t="s">
        <v>25</v>
      </c>
      <c r="O92" s="12">
        <f t="shared" si="1"/>
        <v>-0.09</v>
      </c>
      <c r="P92" s="12">
        <f t="shared" si="4"/>
        <v>2.931915</v>
      </c>
    </row>
    <row r="93">
      <c r="A93" s="15">
        <f t="shared" si="3"/>
        <v>92</v>
      </c>
      <c r="B93" s="15" t="s">
        <v>26</v>
      </c>
      <c r="C93" s="15" t="s">
        <v>19</v>
      </c>
      <c r="D93" s="15" t="s">
        <v>1010</v>
      </c>
      <c r="E93" s="15" t="s">
        <v>93</v>
      </c>
      <c r="F93" s="15" t="s">
        <v>598</v>
      </c>
      <c r="G93" s="15" t="s">
        <v>29</v>
      </c>
      <c r="H93" s="15" t="s">
        <v>39</v>
      </c>
      <c r="I93" s="16">
        <v>-2.25</v>
      </c>
      <c r="J93" s="16">
        <v>0.1</v>
      </c>
      <c r="K93" s="16">
        <v>0.09</v>
      </c>
      <c r="L93" s="17">
        <v>45599.0</v>
      </c>
      <c r="M93" s="18">
        <v>1.7</v>
      </c>
      <c r="N93" s="15" t="s">
        <v>25</v>
      </c>
      <c r="O93" s="19">
        <f t="shared" si="1"/>
        <v>-0.09</v>
      </c>
      <c r="P93" s="19">
        <f t="shared" si="4"/>
        <v>2.841915</v>
      </c>
    </row>
    <row r="94">
      <c r="A94" s="8">
        <f t="shared" si="3"/>
        <v>93</v>
      </c>
      <c r="B94" s="8" t="s">
        <v>26</v>
      </c>
      <c r="C94" s="8" t="s">
        <v>19</v>
      </c>
      <c r="D94" s="8" t="s">
        <v>1011</v>
      </c>
      <c r="E94" s="8" t="s">
        <v>93</v>
      </c>
      <c r="F94" s="8" t="s">
        <v>598</v>
      </c>
      <c r="G94" s="8" t="s">
        <v>29</v>
      </c>
      <c r="H94" s="8" t="s">
        <v>39</v>
      </c>
      <c r="I94" s="9">
        <v>-2.25</v>
      </c>
      <c r="J94" s="9">
        <v>0.1</v>
      </c>
      <c r="K94" s="9">
        <v>0.09</v>
      </c>
      <c r="L94" s="10">
        <v>45599.0</v>
      </c>
      <c r="M94" s="11">
        <v>1.7</v>
      </c>
      <c r="N94" s="8" t="s">
        <v>25</v>
      </c>
      <c r="O94" s="12">
        <f t="shared" si="1"/>
        <v>-0.09</v>
      </c>
      <c r="P94" s="12">
        <f t="shared" si="4"/>
        <v>2.751915</v>
      </c>
    </row>
    <row r="95">
      <c r="A95" s="15">
        <f t="shared" si="3"/>
        <v>94</v>
      </c>
      <c r="B95" s="15" t="s">
        <v>26</v>
      </c>
      <c r="C95" s="15" t="s">
        <v>19</v>
      </c>
      <c r="D95" s="15" t="s">
        <v>1012</v>
      </c>
      <c r="E95" s="15" t="s">
        <v>245</v>
      </c>
      <c r="F95" s="15" t="s">
        <v>598</v>
      </c>
      <c r="G95" s="15" t="s">
        <v>29</v>
      </c>
      <c r="H95" s="15" t="s">
        <v>39</v>
      </c>
      <c r="I95" s="16">
        <v>-3.5</v>
      </c>
      <c r="J95" s="16">
        <v>0.1</v>
      </c>
      <c r="K95" s="16">
        <v>0.09</v>
      </c>
      <c r="L95" s="17">
        <v>45599.0</v>
      </c>
      <c r="M95" s="18">
        <v>1.975</v>
      </c>
      <c r="N95" s="15" t="s">
        <v>33</v>
      </c>
      <c r="O95" s="19">
        <f t="shared" si="1"/>
        <v>0.08775</v>
      </c>
      <c r="P95" s="19">
        <f t="shared" si="4"/>
        <v>2.839665</v>
      </c>
    </row>
    <row r="96">
      <c r="A96" s="8">
        <f t="shared" si="3"/>
        <v>95</v>
      </c>
      <c r="B96" s="8" t="s">
        <v>26</v>
      </c>
      <c r="C96" s="8" t="s">
        <v>19</v>
      </c>
      <c r="D96" s="8" t="s">
        <v>1013</v>
      </c>
      <c r="E96" s="8" t="s">
        <v>93</v>
      </c>
      <c r="F96" s="8" t="s">
        <v>22</v>
      </c>
      <c r="G96" s="8" t="s">
        <v>892</v>
      </c>
      <c r="H96" s="8" t="s">
        <v>39</v>
      </c>
      <c r="I96" s="9">
        <v>0.0</v>
      </c>
      <c r="J96" s="9">
        <v>0.1</v>
      </c>
      <c r="K96" s="9">
        <v>0.09</v>
      </c>
      <c r="L96" s="54">
        <v>45599.0</v>
      </c>
      <c r="M96" s="11">
        <v>1.925</v>
      </c>
      <c r="N96" s="8" t="s">
        <v>25</v>
      </c>
      <c r="O96" s="12">
        <f t="shared" si="1"/>
        <v>-0.09</v>
      </c>
      <c r="P96" s="12">
        <f t="shared" si="4"/>
        <v>2.749665</v>
      </c>
    </row>
    <row r="97">
      <c r="A97" s="15">
        <f t="shared" si="3"/>
        <v>96</v>
      </c>
      <c r="B97" s="15" t="s">
        <v>26</v>
      </c>
      <c r="C97" s="15" t="s">
        <v>40</v>
      </c>
      <c r="D97" s="15" t="s">
        <v>1014</v>
      </c>
      <c r="E97" s="15" t="s">
        <v>913</v>
      </c>
      <c r="F97" s="15" t="s">
        <v>22</v>
      </c>
      <c r="G97" s="15" t="s">
        <v>892</v>
      </c>
      <c r="H97" s="15" t="s">
        <v>39</v>
      </c>
      <c r="I97" s="16">
        <v>2.25</v>
      </c>
      <c r="J97" s="16">
        <v>0.1</v>
      </c>
      <c r="K97" s="16">
        <v>0.09</v>
      </c>
      <c r="L97" s="17">
        <v>45599.0</v>
      </c>
      <c r="M97" s="18">
        <v>1.825</v>
      </c>
      <c r="N97" s="15" t="s">
        <v>996</v>
      </c>
      <c r="O97" s="19">
        <f t="shared" si="1"/>
        <v>0.037125</v>
      </c>
      <c r="P97" s="19">
        <f t="shared" si="4"/>
        <v>2.78679</v>
      </c>
    </row>
    <row r="98">
      <c r="A98" s="8">
        <f t="shared" si="3"/>
        <v>97</v>
      </c>
      <c r="B98" s="8" t="s">
        <v>26</v>
      </c>
      <c r="C98" s="8" t="s">
        <v>19</v>
      </c>
      <c r="D98" s="8" t="s">
        <v>1015</v>
      </c>
      <c r="E98" s="8" t="s">
        <v>121</v>
      </c>
      <c r="F98" s="8" t="s">
        <v>22</v>
      </c>
      <c r="G98" s="8" t="s">
        <v>225</v>
      </c>
      <c r="H98" s="8" t="s">
        <v>39</v>
      </c>
      <c r="I98" s="9">
        <v>2.25</v>
      </c>
      <c r="J98" s="9">
        <v>0.1</v>
      </c>
      <c r="K98" s="9">
        <v>0.09</v>
      </c>
      <c r="L98" s="10">
        <v>45599.0</v>
      </c>
      <c r="M98" s="11">
        <v>1.8</v>
      </c>
      <c r="N98" s="8" t="s">
        <v>25</v>
      </c>
      <c r="O98" s="12">
        <f t="shared" si="1"/>
        <v>-0.09</v>
      </c>
      <c r="P98" s="12">
        <f t="shared" si="4"/>
        <v>2.69679</v>
      </c>
    </row>
    <row r="99">
      <c r="A99" s="15">
        <f t="shared" si="3"/>
        <v>98</v>
      </c>
      <c r="B99" s="15" t="s">
        <v>26</v>
      </c>
      <c r="C99" s="15" t="s">
        <v>40</v>
      </c>
      <c r="D99" s="15" t="s">
        <v>1016</v>
      </c>
      <c r="E99" s="15" t="s">
        <v>121</v>
      </c>
      <c r="F99" s="15" t="s">
        <v>598</v>
      </c>
      <c r="G99" s="15" t="s">
        <v>440</v>
      </c>
      <c r="H99" s="15" t="s">
        <v>39</v>
      </c>
      <c r="I99" s="16">
        <v>2.75</v>
      </c>
      <c r="J99" s="16">
        <v>0.1</v>
      </c>
      <c r="K99" s="16">
        <v>0.09</v>
      </c>
      <c r="L99" s="17">
        <v>45599.0</v>
      </c>
      <c r="M99" s="18">
        <v>1.9</v>
      </c>
      <c r="N99" s="15" t="s">
        <v>996</v>
      </c>
      <c r="O99" s="19">
        <f t="shared" si="1"/>
        <v>0.0405</v>
      </c>
      <c r="P99" s="19">
        <f t="shared" si="4"/>
        <v>2.73729</v>
      </c>
    </row>
    <row r="100">
      <c r="A100" s="8">
        <f t="shared" si="3"/>
        <v>99</v>
      </c>
      <c r="B100" s="8" t="s">
        <v>137</v>
      </c>
      <c r="C100" s="8" t="s">
        <v>19</v>
      </c>
      <c r="D100" s="8" t="s">
        <v>1017</v>
      </c>
      <c r="E100" s="8" t="s">
        <v>193</v>
      </c>
      <c r="F100" s="8" t="s">
        <v>22</v>
      </c>
      <c r="G100" s="8" t="s">
        <v>892</v>
      </c>
      <c r="H100" s="8" t="s">
        <v>24</v>
      </c>
      <c r="I100" s="9">
        <v>0.0</v>
      </c>
      <c r="J100" s="9">
        <v>0.3</v>
      </c>
      <c r="K100" s="9">
        <v>0.26</v>
      </c>
      <c r="L100" s="54">
        <v>45599.0</v>
      </c>
      <c r="M100" s="11">
        <v>1.775</v>
      </c>
      <c r="N100" s="8" t="s">
        <v>70</v>
      </c>
      <c r="O100" s="12">
        <f t="shared" si="1"/>
        <v>0</v>
      </c>
      <c r="P100" s="12">
        <f t="shared" si="4"/>
        <v>2.73729</v>
      </c>
    </row>
    <row r="101">
      <c r="A101" s="15">
        <f t="shared" si="3"/>
        <v>100</v>
      </c>
      <c r="B101" s="15" t="s">
        <v>18</v>
      </c>
      <c r="C101" s="15" t="s">
        <v>19</v>
      </c>
      <c r="D101" s="15" t="s">
        <v>1018</v>
      </c>
      <c r="E101" s="15" t="s">
        <v>157</v>
      </c>
      <c r="F101" s="15" t="s">
        <v>22</v>
      </c>
      <c r="G101" s="15" t="s">
        <v>892</v>
      </c>
      <c r="H101" s="15" t="s">
        <v>24</v>
      </c>
      <c r="I101" s="16">
        <v>0.0</v>
      </c>
      <c r="J101" s="16">
        <v>0.3</v>
      </c>
      <c r="K101" s="16">
        <v>0.14</v>
      </c>
      <c r="L101" s="17">
        <v>45599.0</v>
      </c>
      <c r="M101" s="18">
        <v>1.95</v>
      </c>
      <c r="N101" s="15" t="s">
        <v>33</v>
      </c>
      <c r="O101" s="19">
        <f t="shared" si="1"/>
        <v>0.133</v>
      </c>
      <c r="P101" s="19">
        <f t="shared" si="4"/>
        <v>2.87029</v>
      </c>
    </row>
    <row r="102">
      <c r="A102" s="8">
        <f t="shared" si="3"/>
        <v>101</v>
      </c>
      <c r="B102" s="8" t="s">
        <v>26</v>
      </c>
      <c r="C102" s="8" t="s">
        <v>19</v>
      </c>
      <c r="D102" s="8" t="s">
        <v>1019</v>
      </c>
      <c r="E102" s="8" t="s">
        <v>88</v>
      </c>
      <c r="F102" s="8" t="s">
        <v>598</v>
      </c>
      <c r="G102" s="8" t="s">
        <v>29</v>
      </c>
      <c r="H102" s="8" t="s">
        <v>39</v>
      </c>
      <c r="I102" s="9">
        <v>-3.0</v>
      </c>
      <c r="J102" s="9">
        <v>0.1</v>
      </c>
      <c r="K102" s="9">
        <v>0.09</v>
      </c>
      <c r="L102" s="54">
        <v>45599.0</v>
      </c>
      <c r="M102" s="11">
        <v>1.7</v>
      </c>
      <c r="N102" s="8" t="s">
        <v>25</v>
      </c>
      <c r="O102" s="12">
        <f t="shared" si="1"/>
        <v>-0.09</v>
      </c>
      <c r="P102" s="12">
        <f t="shared" si="4"/>
        <v>2.78029</v>
      </c>
    </row>
    <row r="103">
      <c r="A103" s="15">
        <f t="shared" si="3"/>
        <v>102</v>
      </c>
      <c r="B103" s="15" t="s">
        <v>26</v>
      </c>
      <c r="C103" s="15" t="s">
        <v>19</v>
      </c>
      <c r="D103" s="15" t="s">
        <v>1020</v>
      </c>
      <c r="E103" s="15" t="s">
        <v>448</v>
      </c>
      <c r="F103" s="15" t="s">
        <v>598</v>
      </c>
      <c r="G103" s="15" t="s">
        <v>29</v>
      </c>
      <c r="H103" s="15" t="s">
        <v>39</v>
      </c>
      <c r="I103" s="16">
        <v>-3.0</v>
      </c>
      <c r="J103" s="16">
        <v>0.3</v>
      </c>
      <c r="K103" s="16">
        <v>0.24</v>
      </c>
      <c r="L103" s="17">
        <v>45599.0</v>
      </c>
      <c r="M103" s="18">
        <v>1.975</v>
      </c>
      <c r="N103" s="15" t="s">
        <v>70</v>
      </c>
      <c r="O103" s="19">
        <f t="shared" si="1"/>
        <v>0</v>
      </c>
      <c r="P103" s="19">
        <f t="shared" si="4"/>
        <v>2.78029</v>
      </c>
    </row>
    <row r="104">
      <c r="A104" s="8">
        <f t="shared" si="3"/>
        <v>103</v>
      </c>
      <c r="B104" s="8" t="s">
        <v>26</v>
      </c>
      <c r="C104" s="8" t="s">
        <v>40</v>
      </c>
      <c r="D104" s="8" t="s">
        <v>1021</v>
      </c>
      <c r="E104" s="8" t="s">
        <v>93</v>
      </c>
      <c r="F104" s="8" t="s">
        <v>598</v>
      </c>
      <c r="G104" s="8" t="s">
        <v>29</v>
      </c>
      <c r="H104" s="8" t="s">
        <v>39</v>
      </c>
      <c r="I104" s="9">
        <v>-3.0</v>
      </c>
      <c r="J104" s="9">
        <v>0.1</v>
      </c>
      <c r="K104" s="9">
        <v>0.09</v>
      </c>
      <c r="L104" s="10">
        <v>45599.0</v>
      </c>
      <c r="M104" s="11">
        <v>2.0</v>
      </c>
      <c r="N104" s="8" t="s">
        <v>25</v>
      </c>
      <c r="O104" s="12">
        <f t="shared" si="1"/>
        <v>-0.09</v>
      </c>
      <c r="P104" s="12">
        <f t="shared" si="4"/>
        <v>2.69029</v>
      </c>
    </row>
    <row r="105">
      <c r="A105" s="15">
        <f t="shared" si="3"/>
        <v>104</v>
      </c>
      <c r="B105" s="15" t="s">
        <v>26</v>
      </c>
      <c r="C105" s="15" t="s">
        <v>19</v>
      </c>
      <c r="D105" s="15" t="s">
        <v>1022</v>
      </c>
      <c r="E105" s="15" t="s">
        <v>448</v>
      </c>
      <c r="F105" s="15" t="s">
        <v>22</v>
      </c>
      <c r="G105" s="15" t="s">
        <v>1023</v>
      </c>
      <c r="H105" s="15" t="s">
        <v>24</v>
      </c>
      <c r="I105" s="16"/>
      <c r="J105" s="16">
        <v>0.1</v>
      </c>
      <c r="K105" s="16">
        <v>0.03</v>
      </c>
      <c r="L105" s="17">
        <v>45599.0</v>
      </c>
      <c r="M105" s="18">
        <v>1.8</v>
      </c>
      <c r="N105" s="15" t="s">
        <v>33</v>
      </c>
      <c r="O105" s="19">
        <f t="shared" si="1"/>
        <v>0.024</v>
      </c>
      <c r="P105" s="19">
        <f t="shared" si="4"/>
        <v>2.71429</v>
      </c>
    </row>
    <row r="106">
      <c r="A106" s="8">
        <f t="shared" si="3"/>
        <v>105</v>
      </c>
      <c r="B106" s="8" t="s">
        <v>26</v>
      </c>
      <c r="C106" s="8" t="s">
        <v>19</v>
      </c>
      <c r="D106" s="8" t="s">
        <v>1024</v>
      </c>
      <c r="E106" s="8" t="s">
        <v>1025</v>
      </c>
      <c r="F106" s="8" t="s">
        <v>598</v>
      </c>
      <c r="G106" s="8" t="s">
        <v>29</v>
      </c>
      <c r="H106" s="8" t="s">
        <v>24</v>
      </c>
      <c r="I106" s="9">
        <v>-2.0</v>
      </c>
      <c r="J106" s="9">
        <v>0.1</v>
      </c>
      <c r="K106" s="9">
        <v>0.09</v>
      </c>
      <c r="L106" s="10">
        <v>45599.0</v>
      </c>
      <c r="M106" s="11">
        <v>1.9</v>
      </c>
      <c r="N106" s="8" t="s">
        <v>25</v>
      </c>
      <c r="O106" s="12">
        <f t="shared" si="1"/>
        <v>-0.09</v>
      </c>
      <c r="P106" s="12">
        <f t="shared" si="4"/>
        <v>2.62429</v>
      </c>
    </row>
    <row r="107">
      <c r="A107" s="15">
        <f t="shared" si="3"/>
        <v>106</v>
      </c>
      <c r="B107" s="15" t="s">
        <v>26</v>
      </c>
      <c r="C107" s="15" t="s">
        <v>19</v>
      </c>
      <c r="D107" s="15" t="s">
        <v>1026</v>
      </c>
      <c r="E107" s="15" t="s">
        <v>99</v>
      </c>
      <c r="F107" s="15" t="s">
        <v>598</v>
      </c>
      <c r="G107" s="15" t="s">
        <v>29</v>
      </c>
      <c r="H107" s="15" t="s">
        <v>39</v>
      </c>
      <c r="I107" s="16">
        <v>-3.0</v>
      </c>
      <c r="J107" s="16">
        <v>0.1</v>
      </c>
      <c r="K107" s="16">
        <v>0.09</v>
      </c>
      <c r="L107" s="55">
        <v>45599.0</v>
      </c>
      <c r="M107" s="18">
        <v>1.7</v>
      </c>
      <c r="N107" s="15" t="s">
        <v>33</v>
      </c>
      <c r="O107" s="19">
        <f t="shared" si="1"/>
        <v>0.063</v>
      </c>
      <c r="P107" s="19">
        <f t="shared" si="4"/>
        <v>2.68729</v>
      </c>
    </row>
    <row r="108">
      <c r="A108" s="8">
        <f t="shared" si="3"/>
        <v>107</v>
      </c>
      <c r="B108" s="8" t="s">
        <v>26</v>
      </c>
      <c r="C108" s="8" t="s">
        <v>19</v>
      </c>
      <c r="D108" s="8" t="s">
        <v>1027</v>
      </c>
      <c r="E108" s="8" t="s">
        <v>99</v>
      </c>
      <c r="F108" s="8" t="s">
        <v>22</v>
      </c>
      <c r="G108" s="8" t="s">
        <v>225</v>
      </c>
      <c r="H108" s="8" t="s">
        <v>39</v>
      </c>
      <c r="I108" s="9">
        <v>0.75</v>
      </c>
      <c r="J108" s="9">
        <v>0.1</v>
      </c>
      <c r="K108" s="9">
        <v>0.09</v>
      </c>
      <c r="L108" s="10">
        <v>45599.0</v>
      </c>
      <c r="M108" s="11">
        <v>1.85</v>
      </c>
      <c r="N108" s="8" t="s">
        <v>33</v>
      </c>
      <c r="O108" s="12">
        <f t="shared" si="1"/>
        <v>0.0765</v>
      </c>
      <c r="P108" s="12">
        <f t="shared" si="4"/>
        <v>2.76379</v>
      </c>
    </row>
    <row r="109">
      <c r="A109" s="15">
        <f t="shared" si="3"/>
        <v>108</v>
      </c>
      <c r="B109" s="15" t="s">
        <v>26</v>
      </c>
      <c r="C109" s="15" t="s">
        <v>19</v>
      </c>
      <c r="D109" s="15" t="s">
        <v>1028</v>
      </c>
      <c r="E109" s="15" t="s">
        <v>93</v>
      </c>
      <c r="F109" s="15" t="s">
        <v>22</v>
      </c>
      <c r="G109" s="15" t="s">
        <v>892</v>
      </c>
      <c r="H109" s="15" t="s">
        <v>39</v>
      </c>
      <c r="I109" s="16">
        <v>0.0</v>
      </c>
      <c r="J109" s="16">
        <v>0.1</v>
      </c>
      <c r="K109" s="16">
        <v>0.09</v>
      </c>
      <c r="L109" s="17">
        <v>45599.0</v>
      </c>
      <c r="M109" s="18">
        <v>1.85</v>
      </c>
      <c r="N109" s="15" t="s">
        <v>25</v>
      </c>
      <c r="O109" s="19">
        <f t="shared" si="1"/>
        <v>-0.09</v>
      </c>
      <c r="P109" s="19">
        <f t="shared" si="4"/>
        <v>2.67379</v>
      </c>
    </row>
    <row r="110">
      <c r="A110" s="8">
        <f t="shared" si="3"/>
        <v>109</v>
      </c>
      <c r="B110" s="8" t="s">
        <v>26</v>
      </c>
      <c r="C110" s="8" t="s">
        <v>19</v>
      </c>
      <c r="D110" s="8" t="s">
        <v>1029</v>
      </c>
      <c r="E110" s="8" t="s">
        <v>60</v>
      </c>
      <c r="F110" s="8" t="s">
        <v>598</v>
      </c>
      <c r="G110" s="8" t="s">
        <v>29</v>
      </c>
      <c r="H110" s="8" t="s">
        <v>39</v>
      </c>
      <c r="I110" s="9">
        <v>-3.25</v>
      </c>
      <c r="J110" s="9">
        <v>0.1</v>
      </c>
      <c r="K110" s="9">
        <v>0.09</v>
      </c>
      <c r="L110" s="10">
        <v>45599.0</v>
      </c>
      <c r="M110" s="11">
        <v>1.7</v>
      </c>
      <c r="N110" s="8" t="s">
        <v>33</v>
      </c>
      <c r="O110" s="12">
        <f t="shared" si="1"/>
        <v>0.063</v>
      </c>
      <c r="P110" s="12">
        <f t="shared" si="4"/>
        <v>2.73679</v>
      </c>
    </row>
    <row r="111">
      <c r="A111" s="15">
        <f t="shared" si="3"/>
        <v>110</v>
      </c>
      <c r="B111" s="15" t="s">
        <v>26</v>
      </c>
      <c r="C111" s="15" t="s">
        <v>19</v>
      </c>
      <c r="D111" s="15" t="s">
        <v>1030</v>
      </c>
      <c r="E111" s="15" t="s">
        <v>1031</v>
      </c>
      <c r="F111" s="15" t="s">
        <v>22</v>
      </c>
      <c r="G111" s="15" t="s">
        <v>225</v>
      </c>
      <c r="H111" s="15" t="s">
        <v>24</v>
      </c>
      <c r="I111" s="16">
        <v>0.25</v>
      </c>
      <c r="J111" s="16">
        <v>0.6</v>
      </c>
      <c r="K111" s="16">
        <v>0.39</v>
      </c>
      <c r="L111" s="17">
        <v>45599.0</v>
      </c>
      <c r="M111" s="18">
        <v>1.75</v>
      </c>
      <c r="N111" s="15" t="s">
        <v>25</v>
      </c>
      <c r="O111" s="19">
        <f t="shared" si="1"/>
        <v>-0.39</v>
      </c>
      <c r="P111" s="19">
        <f t="shared" si="4"/>
        <v>2.34679</v>
      </c>
    </row>
    <row r="112">
      <c r="A112" s="8">
        <f t="shared" si="3"/>
        <v>111</v>
      </c>
      <c r="B112" s="8" t="s">
        <v>26</v>
      </c>
      <c r="C112" s="8" t="s">
        <v>19</v>
      </c>
      <c r="D112" s="8" t="s">
        <v>1032</v>
      </c>
      <c r="E112" s="8" t="s">
        <v>624</v>
      </c>
      <c r="F112" s="8" t="s">
        <v>22</v>
      </c>
      <c r="G112" s="8" t="s">
        <v>225</v>
      </c>
      <c r="H112" s="8" t="s">
        <v>39</v>
      </c>
      <c r="I112" s="9">
        <v>1.0</v>
      </c>
      <c r="J112" s="9">
        <v>0.1</v>
      </c>
      <c r="K112" s="9">
        <v>0.09</v>
      </c>
      <c r="L112" s="10">
        <v>45599.0</v>
      </c>
      <c r="M112" s="11">
        <v>1.85</v>
      </c>
      <c r="N112" s="8" t="s">
        <v>33</v>
      </c>
      <c r="O112" s="12">
        <f t="shared" si="1"/>
        <v>0.0765</v>
      </c>
      <c r="P112" s="12">
        <f t="shared" si="4"/>
        <v>2.42329</v>
      </c>
    </row>
    <row r="113">
      <c r="A113" s="15">
        <f t="shared" si="3"/>
        <v>112</v>
      </c>
      <c r="B113" s="15" t="s">
        <v>137</v>
      </c>
      <c r="C113" s="15" t="s">
        <v>19</v>
      </c>
      <c r="D113" s="15" t="s">
        <v>1033</v>
      </c>
      <c r="E113" s="15" t="s">
        <v>93</v>
      </c>
      <c r="F113" s="15" t="s">
        <v>22</v>
      </c>
      <c r="G113" s="15" t="s">
        <v>892</v>
      </c>
      <c r="H113" s="15" t="s">
        <v>24</v>
      </c>
      <c r="I113" s="16">
        <v>0.0</v>
      </c>
      <c r="J113" s="16">
        <v>0.3</v>
      </c>
      <c r="K113" s="16">
        <v>0.27</v>
      </c>
      <c r="L113" s="57">
        <v>45599.0</v>
      </c>
      <c r="M113" s="18">
        <v>1.8</v>
      </c>
      <c r="N113" s="15" t="s">
        <v>70</v>
      </c>
      <c r="O113" s="19">
        <f t="shared" si="1"/>
        <v>0</v>
      </c>
      <c r="P113" s="19">
        <f t="shared" si="4"/>
        <v>2.42329</v>
      </c>
    </row>
    <row r="114">
      <c r="A114" s="8">
        <f t="shared" si="3"/>
        <v>113</v>
      </c>
      <c r="B114" s="8" t="s">
        <v>26</v>
      </c>
      <c r="C114" s="8" t="s">
        <v>40</v>
      </c>
      <c r="D114" s="8" t="s">
        <v>1034</v>
      </c>
      <c r="E114" s="8" t="s">
        <v>82</v>
      </c>
      <c r="F114" s="8" t="s">
        <v>598</v>
      </c>
      <c r="G114" s="8" t="s">
        <v>29</v>
      </c>
      <c r="H114" s="8" t="s">
        <v>39</v>
      </c>
      <c r="I114" s="9">
        <v>-2.75</v>
      </c>
      <c r="J114" s="9">
        <v>0.1</v>
      </c>
      <c r="K114" s="9">
        <v>0.09</v>
      </c>
      <c r="L114" s="10">
        <v>45599.0</v>
      </c>
      <c r="M114" s="11">
        <v>1.85</v>
      </c>
      <c r="N114" s="8" t="s">
        <v>33</v>
      </c>
      <c r="O114" s="12">
        <f t="shared" si="1"/>
        <v>0.0765</v>
      </c>
      <c r="P114" s="12">
        <f t="shared" si="4"/>
        <v>2.49979</v>
      </c>
    </row>
    <row r="115">
      <c r="A115" s="15">
        <f t="shared" si="3"/>
        <v>114</v>
      </c>
      <c r="B115" s="15" t="s">
        <v>26</v>
      </c>
      <c r="C115" s="15" t="s">
        <v>19</v>
      </c>
      <c r="D115" s="15" t="s">
        <v>1035</v>
      </c>
      <c r="E115" s="15" t="s">
        <v>908</v>
      </c>
      <c r="F115" s="15" t="s">
        <v>598</v>
      </c>
      <c r="G115" s="15" t="s">
        <v>29</v>
      </c>
      <c r="H115" s="15" t="s">
        <v>39</v>
      </c>
      <c r="I115" s="16">
        <v>-3.25</v>
      </c>
      <c r="J115" s="16">
        <v>0.1</v>
      </c>
      <c r="K115" s="16">
        <v>0.09</v>
      </c>
      <c r="L115" s="17">
        <v>45599.0</v>
      </c>
      <c r="M115" s="18">
        <v>1.75</v>
      </c>
      <c r="N115" s="15" t="s">
        <v>25</v>
      </c>
      <c r="O115" s="19">
        <f t="shared" si="1"/>
        <v>-0.09</v>
      </c>
      <c r="P115" s="19">
        <f t="shared" si="4"/>
        <v>2.40979</v>
      </c>
    </row>
    <row r="116">
      <c r="A116" s="8">
        <f t="shared" si="3"/>
        <v>115</v>
      </c>
      <c r="B116" s="8" t="s">
        <v>26</v>
      </c>
      <c r="C116" s="8" t="s">
        <v>19</v>
      </c>
      <c r="D116" s="8" t="s">
        <v>1036</v>
      </c>
      <c r="E116" s="8" t="s">
        <v>106</v>
      </c>
      <c r="F116" s="8" t="s">
        <v>22</v>
      </c>
      <c r="G116" s="8" t="s">
        <v>894</v>
      </c>
      <c r="H116" s="8" t="s">
        <v>39</v>
      </c>
      <c r="I116" s="9">
        <v>-0.5</v>
      </c>
      <c r="J116" s="9">
        <v>0.1</v>
      </c>
      <c r="K116" s="9">
        <v>0.09</v>
      </c>
      <c r="L116" s="10">
        <v>45599.0</v>
      </c>
      <c r="M116" s="11">
        <v>1.95</v>
      </c>
      <c r="N116" s="8" t="s">
        <v>25</v>
      </c>
      <c r="O116" s="12">
        <f t="shared" si="1"/>
        <v>-0.09</v>
      </c>
      <c r="P116" s="12">
        <f t="shared" si="4"/>
        <v>2.31979</v>
      </c>
    </row>
    <row r="117">
      <c r="A117" s="15">
        <f t="shared" si="3"/>
        <v>116</v>
      </c>
      <c r="B117" s="15" t="s">
        <v>26</v>
      </c>
      <c r="C117" s="15" t="s">
        <v>19</v>
      </c>
      <c r="D117" s="15" t="s">
        <v>1037</v>
      </c>
      <c r="E117" s="15" t="s">
        <v>106</v>
      </c>
      <c r="F117" s="15" t="s">
        <v>598</v>
      </c>
      <c r="G117" s="15" t="s">
        <v>29</v>
      </c>
      <c r="H117" s="15" t="s">
        <v>39</v>
      </c>
      <c r="I117" s="16">
        <v>-2.0</v>
      </c>
      <c r="J117" s="16">
        <v>0.1</v>
      </c>
      <c r="K117" s="16">
        <v>0.09</v>
      </c>
      <c r="L117" s="17">
        <v>45599.0</v>
      </c>
      <c r="M117" s="18">
        <v>1.85</v>
      </c>
      <c r="N117" s="15" t="s">
        <v>33</v>
      </c>
      <c r="O117" s="19">
        <f t="shared" si="1"/>
        <v>0.0765</v>
      </c>
      <c r="P117" s="19">
        <f t="shared" si="4"/>
        <v>2.39629</v>
      </c>
    </row>
    <row r="118" ht="15.0" customHeight="1">
      <c r="A118" s="8">
        <f t="shared" si="3"/>
        <v>117</v>
      </c>
      <c r="B118" s="8" t="s">
        <v>26</v>
      </c>
      <c r="C118" s="8" t="s">
        <v>19</v>
      </c>
      <c r="D118" s="8" t="s">
        <v>1038</v>
      </c>
      <c r="E118" s="8" t="s">
        <v>106</v>
      </c>
      <c r="F118" s="8" t="s">
        <v>22</v>
      </c>
      <c r="G118" s="8" t="s">
        <v>892</v>
      </c>
      <c r="H118" s="8" t="s">
        <v>39</v>
      </c>
      <c r="I118" s="9">
        <v>0.0</v>
      </c>
      <c r="J118" s="9">
        <v>0.1</v>
      </c>
      <c r="K118" s="9">
        <v>0.09</v>
      </c>
      <c r="L118" s="10">
        <v>45599.0</v>
      </c>
      <c r="M118" s="11">
        <v>2.05</v>
      </c>
      <c r="N118" s="8" t="s">
        <v>70</v>
      </c>
      <c r="O118" s="12">
        <f t="shared" si="1"/>
        <v>0</v>
      </c>
      <c r="P118" s="12">
        <f t="shared" si="4"/>
        <v>2.39629</v>
      </c>
    </row>
    <row r="119">
      <c r="A119" s="15">
        <f t="shared" si="3"/>
        <v>118</v>
      </c>
      <c r="B119" s="15" t="s">
        <v>26</v>
      </c>
      <c r="C119" s="15" t="s">
        <v>19</v>
      </c>
      <c r="D119" s="15" t="s">
        <v>1039</v>
      </c>
      <c r="E119" s="15" t="s">
        <v>703</v>
      </c>
      <c r="F119" s="15" t="s">
        <v>22</v>
      </c>
      <c r="G119" s="15" t="s">
        <v>225</v>
      </c>
      <c r="H119" s="15" t="s">
        <v>39</v>
      </c>
      <c r="I119" s="16">
        <v>1.0</v>
      </c>
      <c r="J119" s="16">
        <v>0.1</v>
      </c>
      <c r="K119" s="16">
        <v>0.09</v>
      </c>
      <c r="L119" s="55">
        <v>45599.0</v>
      </c>
      <c r="M119" s="18">
        <v>1.9</v>
      </c>
      <c r="N119" s="15" t="s">
        <v>33</v>
      </c>
      <c r="O119" s="19">
        <f t="shared" si="1"/>
        <v>0.081</v>
      </c>
      <c r="P119" s="19">
        <f t="shared" si="4"/>
        <v>2.47729</v>
      </c>
    </row>
    <row r="120">
      <c r="A120" s="8">
        <f t="shared" si="3"/>
        <v>119</v>
      </c>
      <c r="B120" s="8" t="s">
        <v>26</v>
      </c>
      <c r="C120" s="8" t="s">
        <v>19</v>
      </c>
      <c r="D120" s="8" t="s">
        <v>1040</v>
      </c>
      <c r="E120" s="8" t="s">
        <v>48</v>
      </c>
      <c r="F120" s="8" t="s">
        <v>598</v>
      </c>
      <c r="G120" s="8" t="s">
        <v>29</v>
      </c>
      <c r="H120" s="8" t="s">
        <v>24</v>
      </c>
      <c r="I120" s="9">
        <v>-2.25</v>
      </c>
      <c r="J120" s="9">
        <v>0.3</v>
      </c>
      <c r="K120" s="9">
        <v>0.27</v>
      </c>
      <c r="L120" s="10">
        <v>45599.0</v>
      </c>
      <c r="M120" s="11">
        <v>1.95</v>
      </c>
      <c r="N120" s="8" t="s">
        <v>33</v>
      </c>
      <c r="O120" s="12">
        <f t="shared" si="1"/>
        <v>0.2565</v>
      </c>
      <c r="P120" s="12">
        <f t="shared" si="4"/>
        <v>2.73379</v>
      </c>
    </row>
    <row r="121">
      <c r="A121" s="15">
        <f t="shared" si="3"/>
        <v>120</v>
      </c>
      <c r="B121" s="15" t="s">
        <v>26</v>
      </c>
      <c r="C121" s="15" t="s">
        <v>19</v>
      </c>
      <c r="D121" s="15" t="s">
        <v>1041</v>
      </c>
      <c r="E121" s="15" t="s">
        <v>703</v>
      </c>
      <c r="F121" s="15" t="s">
        <v>22</v>
      </c>
      <c r="G121" s="15" t="s">
        <v>894</v>
      </c>
      <c r="H121" s="15" t="s">
        <v>39</v>
      </c>
      <c r="I121" s="16">
        <v>-0.5</v>
      </c>
      <c r="J121" s="16">
        <v>0.1</v>
      </c>
      <c r="K121" s="16">
        <v>0.09</v>
      </c>
      <c r="L121" s="17">
        <v>45599.0</v>
      </c>
      <c r="M121" s="18">
        <v>1.975</v>
      </c>
      <c r="N121" s="15" t="s">
        <v>33</v>
      </c>
      <c r="O121" s="19">
        <f t="shared" si="1"/>
        <v>0.08775</v>
      </c>
      <c r="P121" s="19">
        <f t="shared" si="4"/>
        <v>2.82154</v>
      </c>
    </row>
    <row r="122">
      <c r="A122" s="8">
        <f t="shared" si="3"/>
        <v>121</v>
      </c>
      <c r="B122" s="8" t="s">
        <v>26</v>
      </c>
      <c r="C122" s="8" t="s">
        <v>19</v>
      </c>
      <c r="D122" s="8" t="s">
        <v>1042</v>
      </c>
      <c r="E122" s="8" t="s">
        <v>1043</v>
      </c>
      <c r="F122" s="8" t="s">
        <v>22</v>
      </c>
      <c r="G122" s="8" t="s">
        <v>892</v>
      </c>
      <c r="H122" s="8" t="s">
        <v>39</v>
      </c>
      <c r="I122" s="9">
        <v>0.0</v>
      </c>
      <c r="J122" s="9">
        <v>0.15</v>
      </c>
      <c r="K122" s="9">
        <v>0.13</v>
      </c>
      <c r="L122" s="10">
        <v>45599.0</v>
      </c>
      <c r="M122" s="11">
        <v>1.85</v>
      </c>
      <c r="N122" s="8" t="s">
        <v>33</v>
      </c>
      <c r="O122" s="12">
        <f t="shared" si="1"/>
        <v>0.1105</v>
      </c>
      <c r="P122" s="12">
        <f t="shared" si="4"/>
        <v>2.93204</v>
      </c>
    </row>
    <row r="123">
      <c r="A123" s="15">
        <f t="shared" si="3"/>
        <v>122</v>
      </c>
      <c r="B123" s="15" t="s">
        <v>26</v>
      </c>
      <c r="C123" s="15" t="s">
        <v>19</v>
      </c>
      <c r="D123" s="15" t="s">
        <v>1044</v>
      </c>
      <c r="E123" s="15" t="s">
        <v>245</v>
      </c>
      <c r="F123" s="15" t="s">
        <v>598</v>
      </c>
      <c r="G123" s="15" t="s">
        <v>440</v>
      </c>
      <c r="H123" s="15" t="s">
        <v>39</v>
      </c>
      <c r="I123" s="16">
        <v>2.25</v>
      </c>
      <c r="J123" s="16">
        <v>0.1</v>
      </c>
      <c r="K123" s="16">
        <v>0.09</v>
      </c>
      <c r="L123" s="17">
        <v>45599.0</v>
      </c>
      <c r="M123" s="18">
        <v>1.85</v>
      </c>
      <c r="N123" s="15" t="s">
        <v>79</v>
      </c>
      <c r="O123" s="19">
        <f t="shared" si="1"/>
        <v>-0.045</v>
      </c>
      <c r="P123" s="19">
        <f t="shared" si="4"/>
        <v>2.88704</v>
      </c>
    </row>
    <row r="124">
      <c r="A124" s="8">
        <f t="shared" si="3"/>
        <v>123</v>
      </c>
      <c r="B124" s="8" t="s">
        <v>137</v>
      </c>
      <c r="C124" s="8" t="s">
        <v>19</v>
      </c>
      <c r="D124" s="8" t="s">
        <v>1045</v>
      </c>
      <c r="E124" s="8" t="s">
        <v>187</v>
      </c>
      <c r="F124" s="8" t="s">
        <v>22</v>
      </c>
      <c r="G124" s="8" t="s">
        <v>892</v>
      </c>
      <c r="H124" s="8" t="s">
        <v>24</v>
      </c>
      <c r="I124" s="9">
        <v>0.0</v>
      </c>
      <c r="J124" s="9">
        <v>0.75</v>
      </c>
      <c r="K124" s="9">
        <v>0.66</v>
      </c>
      <c r="L124" s="10">
        <v>45599.0</v>
      </c>
      <c r="M124" s="11">
        <v>1.85</v>
      </c>
      <c r="N124" s="8" t="s">
        <v>70</v>
      </c>
      <c r="O124" s="12">
        <f t="shared" si="1"/>
        <v>0</v>
      </c>
      <c r="P124" s="12">
        <f t="shared" si="4"/>
        <v>2.88704</v>
      </c>
    </row>
    <row r="125">
      <c r="A125" s="15">
        <f t="shared" si="3"/>
        <v>124</v>
      </c>
      <c r="B125" s="15" t="s">
        <v>129</v>
      </c>
      <c r="C125" s="15" t="s">
        <v>19</v>
      </c>
      <c r="D125" s="15" t="s">
        <v>1046</v>
      </c>
      <c r="E125" s="15" t="s">
        <v>48</v>
      </c>
      <c r="F125" s="15" t="s">
        <v>22</v>
      </c>
      <c r="G125" s="15" t="s">
        <v>892</v>
      </c>
      <c r="H125" s="15" t="s">
        <v>24</v>
      </c>
      <c r="I125" s="16">
        <v>0.0</v>
      </c>
      <c r="J125" s="16">
        <v>0.3</v>
      </c>
      <c r="K125" s="16">
        <v>0.27</v>
      </c>
      <c r="L125" s="17">
        <v>45599.0</v>
      </c>
      <c r="M125" s="18">
        <v>1.9</v>
      </c>
      <c r="N125" s="15" t="s">
        <v>70</v>
      </c>
      <c r="O125" s="19">
        <f t="shared" si="1"/>
        <v>0</v>
      </c>
      <c r="P125" s="19">
        <f t="shared" si="4"/>
        <v>2.88704</v>
      </c>
    </row>
    <row r="126">
      <c r="A126" s="8">
        <f t="shared" si="3"/>
        <v>125</v>
      </c>
      <c r="B126" s="8" t="s">
        <v>26</v>
      </c>
      <c r="C126" s="8" t="s">
        <v>19</v>
      </c>
      <c r="D126" s="8" t="s">
        <v>1047</v>
      </c>
      <c r="E126" s="8" t="s">
        <v>913</v>
      </c>
      <c r="F126" s="8" t="s">
        <v>22</v>
      </c>
      <c r="G126" s="8" t="s">
        <v>892</v>
      </c>
      <c r="H126" s="8" t="s">
        <v>39</v>
      </c>
      <c r="I126" s="9">
        <v>0.0</v>
      </c>
      <c r="J126" s="9">
        <v>0.1</v>
      </c>
      <c r="K126" s="9">
        <v>0.09</v>
      </c>
      <c r="L126" s="10">
        <v>45599.0</v>
      </c>
      <c r="M126" s="11">
        <v>1.975</v>
      </c>
      <c r="N126" s="8" t="s">
        <v>70</v>
      </c>
      <c r="O126" s="12">
        <f t="shared" si="1"/>
        <v>0</v>
      </c>
      <c r="P126" s="12">
        <f t="shared" si="4"/>
        <v>2.88704</v>
      </c>
    </row>
    <row r="127">
      <c r="A127" s="15">
        <f t="shared" si="3"/>
        <v>126</v>
      </c>
      <c r="B127" s="15" t="s">
        <v>129</v>
      </c>
      <c r="C127" s="15" t="s">
        <v>19</v>
      </c>
      <c r="D127" s="15" t="s">
        <v>1048</v>
      </c>
      <c r="E127" s="15" t="s">
        <v>703</v>
      </c>
      <c r="F127" s="15" t="s">
        <v>22</v>
      </c>
      <c r="G127" s="15" t="s">
        <v>225</v>
      </c>
      <c r="H127" s="15" t="s">
        <v>24</v>
      </c>
      <c r="I127" s="16">
        <v>0.25</v>
      </c>
      <c r="J127" s="16">
        <v>0.3</v>
      </c>
      <c r="K127" s="16">
        <v>0.27</v>
      </c>
      <c r="L127" s="17">
        <v>45599.0</v>
      </c>
      <c r="M127" s="18">
        <v>1.975</v>
      </c>
      <c r="N127" s="15" t="s">
        <v>25</v>
      </c>
      <c r="O127" s="19">
        <f t="shared" si="1"/>
        <v>-0.27</v>
      </c>
      <c r="P127" s="19">
        <f t="shared" si="4"/>
        <v>2.61704</v>
      </c>
    </row>
    <row r="128">
      <c r="A128" s="8">
        <f t="shared" si="3"/>
        <v>127</v>
      </c>
      <c r="B128" s="8" t="s">
        <v>26</v>
      </c>
      <c r="C128" s="8" t="s">
        <v>19</v>
      </c>
      <c r="D128" s="8" t="s">
        <v>1049</v>
      </c>
      <c r="E128" s="8" t="s">
        <v>121</v>
      </c>
      <c r="F128" s="8" t="s">
        <v>598</v>
      </c>
      <c r="G128" s="8" t="s">
        <v>29</v>
      </c>
      <c r="H128" s="8" t="s">
        <v>24</v>
      </c>
      <c r="I128" s="9">
        <v>-2.75</v>
      </c>
      <c r="J128" s="9">
        <v>0.15</v>
      </c>
      <c r="K128" s="9">
        <v>0.14</v>
      </c>
      <c r="L128" s="10">
        <v>45599.0</v>
      </c>
      <c r="M128" s="11">
        <v>1.925</v>
      </c>
      <c r="N128" s="8" t="s">
        <v>33</v>
      </c>
      <c r="O128" s="12">
        <f t="shared" si="1"/>
        <v>0.1295</v>
      </c>
      <c r="P128" s="12">
        <f t="shared" si="4"/>
        <v>2.74654</v>
      </c>
    </row>
    <row r="129">
      <c r="A129" s="15">
        <f t="shared" si="3"/>
        <v>128</v>
      </c>
      <c r="B129" s="15" t="s">
        <v>129</v>
      </c>
      <c r="C129" s="15" t="s">
        <v>19</v>
      </c>
      <c r="D129" s="15" t="s">
        <v>1048</v>
      </c>
      <c r="E129" s="15" t="s">
        <v>703</v>
      </c>
      <c r="F129" s="15" t="s">
        <v>22</v>
      </c>
      <c r="G129" s="15" t="s">
        <v>225</v>
      </c>
      <c r="H129" s="15" t="s">
        <v>39</v>
      </c>
      <c r="I129" s="16">
        <v>0.25</v>
      </c>
      <c r="J129" s="16">
        <v>0.3</v>
      </c>
      <c r="K129" s="16">
        <v>0.27</v>
      </c>
      <c r="L129" s="55">
        <v>45599.0</v>
      </c>
      <c r="M129" s="18">
        <v>1.975</v>
      </c>
      <c r="N129" s="15" t="s">
        <v>25</v>
      </c>
      <c r="O129" s="19">
        <f t="shared" si="1"/>
        <v>-0.27</v>
      </c>
      <c r="P129" s="19">
        <f t="shared" si="4"/>
        <v>2.47654</v>
      </c>
    </row>
    <row r="130">
      <c r="A130" s="8">
        <f t="shared" si="3"/>
        <v>129</v>
      </c>
      <c r="B130" s="8" t="s">
        <v>26</v>
      </c>
      <c r="C130" s="8" t="s">
        <v>19</v>
      </c>
      <c r="D130" s="8" t="s">
        <v>1050</v>
      </c>
      <c r="E130" s="8" t="s">
        <v>121</v>
      </c>
      <c r="F130" s="8" t="s">
        <v>598</v>
      </c>
      <c r="G130" s="8" t="s">
        <v>440</v>
      </c>
      <c r="H130" s="8" t="s">
        <v>39</v>
      </c>
      <c r="I130" s="9">
        <v>2.25</v>
      </c>
      <c r="J130" s="9">
        <v>0.1</v>
      </c>
      <c r="K130" s="9">
        <v>0.09</v>
      </c>
      <c r="L130" s="54">
        <v>45599.0</v>
      </c>
      <c r="M130" s="11">
        <v>1.85</v>
      </c>
      <c r="N130" s="8" t="s">
        <v>79</v>
      </c>
      <c r="O130" s="12">
        <f t="shared" si="1"/>
        <v>-0.045</v>
      </c>
      <c r="P130" s="12">
        <f t="shared" si="4"/>
        <v>2.43154</v>
      </c>
    </row>
    <row r="131">
      <c r="A131" s="15">
        <f t="shared" si="3"/>
        <v>130</v>
      </c>
      <c r="B131" s="15" t="s">
        <v>26</v>
      </c>
      <c r="C131" s="15" t="s">
        <v>19</v>
      </c>
      <c r="D131" s="15" t="s">
        <v>1051</v>
      </c>
      <c r="E131" s="15" t="s">
        <v>121</v>
      </c>
      <c r="F131" s="15" t="s">
        <v>22</v>
      </c>
      <c r="G131" s="15" t="s">
        <v>225</v>
      </c>
      <c r="H131" s="15" t="s">
        <v>39</v>
      </c>
      <c r="I131" s="16">
        <v>0.25</v>
      </c>
      <c r="J131" s="16">
        <v>0.1</v>
      </c>
      <c r="K131" s="16">
        <v>0.09</v>
      </c>
      <c r="L131" s="17">
        <v>45599.0</v>
      </c>
      <c r="M131" s="18">
        <v>1.8</v>
      </c>
      <c r="N131" s="15" t="s">
        <v>996</v>
      </c>
      <c r="O131" s="19">
        <f t="shared" si="1"/>
        <v>0.036</v>
      </c>
      <c r="P131" s="19">
        <f t="shared" si="4"/>
        <v>2.46754</v>
      </c>
    </row>
    <row r="132">
      <c r="A132" s="8">
        <f t="shared" si="3"/>
        <v>131</v>
      </c>
      <c r="B132" s="8" t="s">
        <v>26</v>
      </c>
      <c r="C132" s="8" t="s">
        <v>19</v>
      </c>
      <c r="D132" s="8" t="s">
        <v>1052</v>
      </c>
      <c r="E132" s="8" t="s">
        <v>121</v>
      </c>
      <c r="F132" s="8" t="s">
        <v>598</v>
      </c>
      <c r="G132" s="8" t="s">
        <v>440</v>
      </c>
      <c r="H132" s="8" t="s">
        <v>39</v>
      </c>
      <c r="I132" s="9">
        <v>2.0</v>
      </c>
      <c r="J132" s="9">
        <v>0.1</v>
      </c>
      <c r="K132" s="9">
        <v>0.09</v>
      </c>
      <c r="L132" s="10">
        <v>45599.0</v>
      </c>
      <c r="M132" s="11">
        <v>1.825</v>
      </c>
      <c r="N132" s="8" t="s">
        <v>33</v>
      </c>
      <c r="O132" s="12">
        <f t="shared" si="1"/>
        <v>0.07425</v>
      </c>
      <c r="P132" s="12">
        <f t="shared" si="4"/>
        <v>2.54179</v>
      </c>
    </row>
    <row r="133">
      <c r="A133" s="15">
        <f t="shared" si="3"/>
        <v>132</v>
      </c>
      <c r="B133" s="15" t="s">
        <v>26</v>
      </c>
      <c r="C133" s="15" t="s">
        <v>19</v>
      </c>
      <c r="D133" s="15" t="s">
        <v>1053</v>
      </c>
      <c r="E133" s="15" t="s">
        <v>121</v>
      </c>
      <c r="F133" s="15" t="s">
        <v>598</v>
      </c>
      <c r="G133" s="15" t="s">
        <v>29</v>
      </c>
      <c r="H133" s="15" t="s">
        <v>39</v>
      </c>
      <c r="I133" s="16">
        <v>-2.25</v>
      </c>
      <c r="J133" s="16">
        <v>0.1</v>
      </c>
      <c r="K133" s="16">
        <v>0.09</v>
      </c>
      <c r="L133" s="17">
        <v>45599.0</v>
      </c>
      <c r="M133" s="18">
        <v>1.85</v>
      </c>
      <c r="N133" s="15" t="s">
        <v>25</v>
      </c>
      <c r="O133" s="19">
        <f t="shared" si="1"/>
        <v>-0.09</v>
      </c>
      <c r="P133" s="19">
        <f t="shared" si="4"/>
        <v>2.45179</v>
      </c>
    </row>
    <row r="134">
      <c r="A134" s="8">
        <f t="shared" si="3"/>
        <v>133</v>
      </c>
      <c r="B134" s="8" t="s">
        <v>26</v>
      </c>
      <c r="C134" s="8" t="s">
        <v>19</v>
      </c>
      <c r="D134" s="8" t="s">
        <v>1054</v>
      </c>
      <c r="E134" s="8" t="s">
        <v>121</v>
      </c>
      <c r="F134" s="8" t="s">
        <v>22</v>
      </c>
      <c r="G134" s="8" t="s">
        <v>225</v>
      </c>
      <c r="H134" s="8" t="s">
        <v>24</v>
      </c>
      <c r="I134" s="9">
        <v>0.75</v>
      </c>
      <c r="J134" s="9">
        <v>0.1</v>
      </c>
      <c r="K134" s="9">
        <v>0.09</v>
      </c>
      <c r="L134" s="10">
        <v>45599.0</v>
      </c>
      <c r="M134" s="11">
        <v>2.025</v>
      </c>
      <c r="N134" s="8" t="s">
        <v>70</v>
      </c>
      <c r="O134" s="12">
        <f t="shared" si="1"/>
        <v>0</v>
      </c>
      <c r="P134" s="12">
        <f t="shared" si="4"/>
        <v>2.45179</v>
      </c>
    </row>
    <row r="135">
      <c r="A135" s="15">
        <f t="shared" si="3"/>
        <v>134</v>
      </c>
      <c r="B135" s="15" t="s">
        <v>26</v>
      </c>
      <c r="C135" s="15" t="s">
        <v>19</v>
      </c>
      <c r="D135" s="15" t="s">
        <v>1055</v>
      </c>
      <c r="E135" s="15" t="s">
        <v>121</v>
      </c>
      <c r="F135" s="15" t="s">
        <v>598</v>
      </c>
      <c r="G135" s="15" t="s">
        <v>440</v>
      </c>
      <c r="H135" s="15" t="s">
        <v>39</v>
      </c>
      <c r="I135" s="16">
        <v>2.25</v>
      </c>
      <c r="J135" s="16">
        <v>0.1</v>
      </c>
      <c r="K135" s="16">
        <v>0.09</v>
      </c>
      <c r="L135" s="17">
        <v>45599.0</v>
      </c>
      <c r="M135" s="18">
        <v>1.875</v>
      </c>
      <c r="N135" s="15" t="s">
        <v>33</v>
      </c>
      <c r="O135" s="19">
        <f t="shared" si="1"/>
        <v>0.07875</v>
      </c>
      <c r="P135" s="19">
        <f t="shared" si="4"/>
        <v>2.53054</v>
      </c>
    </row>
    <row r="136">
      <c r="A136" s="8">
        <f t="shared" si="3"/>
        <v>135</v>
      </c>
      <c r="B136" s="8" t="s">
        <v>26</v>
      </c>
      <c r="C136" s="8" t="s">
        <v>19</v>
      </c>
      <c r="D136" s="8" t="s">
        <v>1056</v>
      </c>
      <c r="E136" s="8" t="s">
        <v>50</v>
      </c>
      <c r="F136" s="8" t="s">
        <v>22</v>
      </c>
      <c r="G136" s="8" t="s">
        <v>225</v>
      </c>
      <c r="H136" s="8" t="s">
        <v>24</v>
      </c>
      <c r="I136" s="9">
        <v>0.75</v>
      </c>
      <c r="J136" s="9">
        <v>0.25</v>
      </c>
      <c r="K136" s="9">
        <v>0.23</v>
      </c>
      <c r="L136" s="10">
        <v>45599.0</v>
      </c>
      <c r="M136" s="11">
        <v>1.85</v>
      </c>
      <c r="N136" s="8" t="s">
        <v>33</v>
      </c>
      <c r="O136" s="12">
        <f t="shared" si="1"/>
        <v>0.1955</v>
      </c>
      <c r="P136" s="12">
        <f t="shared" si="4"/>
        <v>2.72604</v>
      </c>
    </row>
    <row r="137">
      <c r="A137" s="15">
        <f t="shared" si="3"/>
        <v>136</v>
      </c>
      <c r="B137" s="15" t="s">
        <v>26</v>
      </c>
      <c r="C137" s="15" t="s">
        <v>19</v>
      </c>
      <c r="D137" s="15" t="s">
        <v>1057</v>
      </c>
      <c r="E137" s="15" t="s">
        <v>50</v>
      </c>
      <c r="F137" s="15" t="s">
        <v>22</v>
      </c>
      <c r="G137" s="15" t="s">
        <v>225</v>
      </c>
      <c r="H137" s="15" t="s">
        <v>24</v>
      </c>
      <c r="I137" s="16">
        <v>0.5</v>
      </c>
      <c r="J137" s="16">
        <v>0.1</v>
      </c>
      <c r="K137" s="16">
        <v>0.09</v>
      </c>
      <c r="L137" s="17">
        <v>45599.0</v>
      </c>
      <c r="M137" s="18">
        <v>2.0</v>
      </c>
      <c r="N137" s="15" t="s">
        <v>25</v>
      </c>
      <c r="O137" s="19">
        <f t="shared" si="1"/>
        <v>-0.09</v>
      </c>
      <c r="P137" s="19">
        <f t="shared" si="4"/>
        <v>2.63604</v>
      </c>
    </row>
    <row r="138">
      <c r="A138" s="8">
        <f t="shared" si="3"/>
        <v>137</v>
      </c>
      <c r="B138" s="8" t="s">
        <v>26</v>
      </c>
      <c r="C138" s="8" t="s">
        <v>19</v>
      </c>
      <c r="D138" s="8" t="s">
        <v>1058</v>
      </c>
      <c r="E138" s="8" t="s">
        <v>115</v>
      </c>
      <c r="F138" s="8" t="s">
        <v>22</v>
      </c>
      <c r="G138" s="8" t="s">
        <v>892</v>
      </c>
      <c r="H138" s="8" t="s">
        <v>24</v>
      </c>
      <c r="I138" s="9">
        <v>0.0</v>
      </c>
      <c r="J138" s="9">
        <v>0.5</v>
      </c>
      <c r="K138" s="9">
        <v>0.46</v>
      </c>
      <c r="L138" s="10">
        <v>45599.0</v>
      </c>
      <c r="M138" s="11">
        <v>1.975</v>
      </c>
      <c r="N138" s="8" t="s">
        <v>25</v>
      </c>
      <c r="O138" s="12">
        <f t="shared" si="1"/>
        <v>-0.46</v>
      </c>
      <c r="P138" s="12">
        <f t="shared" si="4"/>
        <v>2.17604</v>
      </c>
    </row>
    <row r="139">
      <c r="A139" s="15">
        <f t="shared" si="3"/>
        <v>138</v>
      </c>
      <c r="B139" s="15" t="s">
        <v>26</v>
      </c>
      <c r="C139" s="15" t="s">
        <v>19</v>
      </c>
      <c r="D139" s="15" t="s">
        <v>1059</v>
      </c>
      <c r="E139" s="15" t="s">
        <v>703</v>
      </c>
      <c r="F139" s="15" t="s">
        <v>598</v>
      </c>
      <c r="G139" s="15" t="s">
        <v>29</v>
      </c>
      <c r="H139" s="15" t="s">
        <v>39</v>
      </c>
      <c r="I139" s="16">
        <v>-2.75</v>
      </c>
      <c r="J139" s="16">
        <v>0.1</v>
      </c>
      <c r="K139" s="16">
        <v>0.1</v>
      </c>
      <c r="L139" s="17">
        <v>45599.0</v>
      </c>
      <c r="M139" s="18">
        <v>1.775</v>
      </c>
      <c r="N139" s="15" t="s">
        <v>33</v>
      </c>
      <c r="O139" s="19">
        <f t="shared" si="1"/>
        <v>0.0775</v>
      </c>
      <c r="P139" s="19">
        <f t="shared" si="4"/>
        <v>2.25354</v>
      </c>
    </row>
    <row r="140">
      <c r="A140" s="8">
        <f t="shared" si="3"/>
        <v>139</v>
      </c>
      <c r="B140" s="8" t="s">
        <v>26</v>
      </c>
      <c r="C140" s="8" t="s">
        <v>19</v>
      </c>
      <c r="D140" s="8" t="s">
        <v>1060</v>
      </c>
      <c r="E140" s="8" t="s">
        <v>185</v>
      </c>
      <c r="F140" s="8" t="s">
        <v>598</v>
      </c>
      <c r="G140" s="8" t="s">
        <v>29</v>
      </c>
      <c r="H140" s="8" t="s">
        <v>39</v>
      </c>
      <c r="I140" s="9">
        <v>-2.0</v>
      </c>
      <c r="J140" s="9">
        <v>0.1</v>
      </c>
      <c r="K140" s="9">
        <v>0.1</v>
      </c>
      <c r="L140" s="10">
        <v>45599.0</v>
      </c>
      <c r="M140" s="11">
        <v>1.8</v>
      </c>
      <c r="N140" s="8" t="s">
        <v>70</v>
      </c>
      <c r="O140" s="12">
        <f t="shared" si="1"/>
        <v>0</v>
      </c>
      <c r="P140" s="12">
        <f t="shared" si="4"/>
        <v>2.25354</v>
      </c>
    </row>
    <row r="141">
      <c r="A141" s="15">
        <f t="shared" si="3"/>
        <v>140</v>
      </c>
      <c r="B141" s="15" t="s">
        <v>26</v>
      </c>
      <c r="C141" s="15" t="s">
        <v>19</v>
      </c>
      <c r="D141" s="15" t="s">
        <v>1061</v>
      </c>
      <c r="E141" s="15" t="s">
        <v>121</v>
      </c>
      <c r="F141" s="15" t="s">
        <v>22</v>
      </c>
      <c r="G141" s="15" t="s">
        <v>225</v>
      </c>
      <c r="H141" s="15" t="s">
        <v>39</v>
      </c>
      <c r="I141" s="16">
        <v>2.25</v>
      </c>
      <c r="J141" s="16">
        <v>0.1</v>
      </c>
      <c r="K141" s="16">
        <v>0.1</v>
      </c>
      <c r="L141" s="17">
        <v>45599.0</v>
      </c>
      <c r="M141" s="18">
        <v>1.775</v>
      </c>
      <c r="N141" s="15" t="s">
        <v>33</v>
      </c>
      <c r="O141" s="19">
        <f t="shared" si="1"/>
        <v>0.0775</v>
      </c>
      <c r="P141" s="19">
        <f t="shared" si="4"/>
        <v>2.33104</v>
      </c>
    </row>
    <row r="142">
      <c r="A142" s="8">
        <f t="shared" si="3"/>
        <v>141</v>
      </c>
      <c r="B142" s="8" t="s">
        <v>26</v>
      </c>
      <c r="C142" s="8" t="s">
        <v>40</v>
      </c>
      <c r="D142" s="8" t="s">
        <v>1062</v>
      </c>
      <c r="E142" s="8" t="s">
        <v>121</v>
      </c>
      <c r="F142" s="8" t="s">
        <v>22</v>
      </c>
      <c r="G142" s="8" t="s">
        <v>225</v>
      </c>
      <c r="H142" s="8" t="s">
        <v>39</v>
      </c>
      <c r="I142" s="9">
        <v>2.25</v>
      </c>
      <c r="J142" s="9">
        <v>0.1</v>
      </c>
      <c r="K142" s="9">
        <v>0.1</v>
      </c>
      <c r="L142" s="54">
        <v>45599.0</v>
      </c>
      <c r="M142" s="11">
        <v>1.975</v>
      </c>
      <c r="N142" s="8" t="s">
        <v>25</v>
      </c>
      <c r="O142" s="12">
        <f t="shared" si="1"/>
        <v>-0.1</v>
      </c>
      <c r="P142" s="12">
        <f t="shared" si="4"/>
        <v>2.23104</v>
      </c>
    </row>
    <row r="143">
      <c r="A143" s="15">
        <f t="shared" si="3"/>
        <v>142</v>
      </c>
      <c r="B143" s="15" t="s">
        <v>26</v>
      </c>
      <c r="C143" s="15" t="s">
        <v>40</v>
      </c>
      <c r="D143" s="15" t="s">
        <v>1063</v>
      </c>
      <c r="E143" s="15" t="s">
        <v>214</v>
      </c>
      <c r="F143" s="15" t="s">
        <v>22</v>
      </c>
      <c r="G143" s="15" t="s">
        <v>225</v>
      </c>
      <c r="H143" s="15" t="s">
        <v>39</v>
      </c>
      <c r="I143" s="16">
        <v>2.25</v>
      </c>
      <c r="J143" s="16">
        <v>0.1</v>
      </c>
      <c r="K143" s="16">
        <v>0.1</v>
      </c>
      <c r="L143" s="55">
        <v>45599.0</v>
      </c>
      <c r="M143" s="18">
        <v>1.9</v>
      </c>
      <c r="N143" s="15" t="s">
        <v>25</v>
      </c>
      <c r="O143" s="19">
        <f t="shared" si="1"/>
        <v>-0.1</v>
      </c>
      <c r="P143" s="19">
        <f t="shared" si="4"/>
        <v>2.13104</v>
      </c>
    </row>
    <row r="144">
      <c r="A144" s="8">
        <f t="shared" si="3"/>
        <v>143</v>
      </c>
      <c r="B144" s="8" t="s">
        <v>26</v>
      </c>
      <c r="C144" s="8" t="s">
        <v>19</v>
      </c>
      <c r="D144" s="8" t="s">
        <v>1064</v>
      </c>
      <c r="E144" s="8" t="s">
        <v>162</v>
      </c>
      <c r="F144" s="8" t="s">
        <v>598</v>
      </c>
      <c r="G144" s="8" t="s">
        <v>440</v>
      </c>
      <c r="H144" s="8" t="s">
        <v>39</v>
      </c>
      <c r="I144" s="9">
        <v>2.25</v>
      </c>
      <c r="J144" s="9">
        <v>0.1</v>
      </c>
      <c r="K144" s="9">
        <v>0.1</v>
      </c>
      <c r="L144" s="10">
        <v>45599.0</v>
      </c>
      <c r="M144" s="11">
        <v>1.85</v>
      </c>
      <c r="N144" s="8" t="s">
        <v>33</v>
      </c>
      <c r="O144" s="12">
        <f t="shared" si="1"/>
        <v>0.085</v>
      </c>
      <c r="P144" s="12">
        <f t="shared" si="4"/>
        <v>2.21604</v>
      </c>
    </row>
    <row r="145">
      <c r="A145" s="15">
        <f t="shared" si="3"/>
        <v>144</v>
      </c>
      <c r="B145" s="15" t="s">
        <v>129</v>
      </c>
      <c r="C145" s="15" t="s">
        <v>19</v>
      </c>
      <c r="D145" s="15" t="s">
        <v>1065</v>
      </c>
      <c r="E145" s="15" t="s">
        <v>48</v>
      </c>
      <c r="F145" s="15" t="s">
        <v>22</v>
      </c>
      <c r="G145" s="15" t="s">
        <v>892</v>
      </c>
      <c r="H145" s="15" t="s">
        <v>24</v>
      </c>
      <c r="I145" s="16">
        <v>0.0</v>
      </c>
      <c r="J145" s="16">
        <v>0.3</v>
      </c>
      <c r="K145" s="16">
        <v>0.3</v>
      </c>
      <c r="L145" s="17">
        <v>45599.0</v>
      </c>
      <c r="M145" s="18">
        <v>1.9</v>
      </c>
      <c r="N145" s="15" t="s">
        <v>70</v>
      </c>
      <c r="O145" s="19">
        <f t="shared" si="1"/>
        <v>0</v>
      </c>
      <c r="P145" s="19">
        <f t="shared" si="4"/>
        <v>2.21604</v>
      </c>
    </row>
    <row r="146">
      <c r="A146" s="8">
        <f t="shared" si="3"/>
        <v>145</v>
      </c>
      <c r="B146" s="8" t="s">
        <v>26</v>
      </c>
      <c r="C146" s="8" t="s">
        <v>19</v>
      </c>
      <c r="D146" s="8" t="s">
        <v>1066</v>
      </c>
      <c r="E146" s="8" t="s">
        <v>66</v>
      </c>
      <c r="F146" s="8" t="s">
        <v>22</v>
      </c>
      <c r="G146" s="8" t="s">
        <v>225</v>
      </c>
      <c r="H146" s="8" t="s">
        <v>39</v>
      </c>
      <c r="I146" s="9">
        <v>0.75</v>
      </c>
      <c r="J146" s="9">
        <v>0.1</v>
      </c>
      <c r="K146" s="9">
        <v>0.1</v>
      </c>
      <c r="L146" s="10">
        <v>45599.0</v>
      </c>
      <c r="M146" s="11">
        <v>1.875</v>
      </c>
      <c r="N146" s="8" t="s">
        <v>25</v>
      </c>
      <c r="O146" s="12">
        <f t="shared" si="1"/>
        <v>-0.1</v>
      </c>
      <c r="P146" s="12">
        <f t="shared" si="4"/>
        <v>2.11604</v>
      </c>
    </row>
    <row r="147">
      <c r="A147" s="15">
        <f t="shared" si="3"/>
        <v>146</v>
      </c>
      <c r="B147" s="15" t="s">
        <v>137</v>
      </c>
      <c r="C147" s="15" t="s">
        <v>19</v>
      </c>
      <c r="D147" s="15" t="s">
        <v>1067</v>
      </c>
      <c r="E147" s="15" t="s">
        <v>121</v>
      </c>
      <c r="F147" s="15" t="s">
        <v>22</v>
      </c>
      <c r="G147" s="15" t="s">
        <v>892</v>
      </c>
      <c r="H147" s="15" t="s">
        <v>24</v>
      </c>
      <c r="I147" s="16">
        <v>0.0</v>
      </c>
      <c r="J147" s="16">
        <v>0.6</v>
      </c>
      <c r="K147" s="16">
        <v>0.58</v>
      </c>
      <c r="L147" s="17">
        <v>45599.0</v>
      </c>
      <c r="M147" s="18">
        <v>1.825</v>
      </c>
      <c r="N147" s="15" t="s">
        <v>25</v>
      </c>
      <c r="O147" s="19">
        <f t="shared" si="1"/>
        <v>-0.58</v>
      </c>
      <c r="P147" s="19">
        <f t="shared" si="4"/>
        <v>1.53604</v>
      </c>
    </row>
    <row r="148">
      <c r="A148" s="8">
        <f t="shared" si="3"/>
        <v>147</v>
      </c>
      <c r="B148" s="8" t="s">
        <v>26</v>
      </c>
      <c r="C148" s="8" t="s">
        <v>19</v>
      </c>
      <c r="D148" s="8" t="s">
        <v>1068</v>
      </c>
      <c r="E148" s="8" t="s">
        <v>66</v>
      </c>
      <c r="F148" s="8" t="s">
        <v>22</v>
      </c>
      <c r="G148" s="8" t="s">
        <v>892</v>
      </c>
      <c r="H148" s="8" t="s">
        <v>39</v>
      </c>
      <c r="I148" s="9">
        <v>0.0</v>
      </c>
      <c r="J148" s="9">
        <v>0.1</v>
      </c>
      <c r="K148" s="9">
        <v>0.1</v>
      </c>
      <c r="L148" s="56">
        <v>45599.0</v>
      </c>
      <c r="M148" s="11">
        <v>1.9</v>
      </c>
      <c r="N148" s="8" t="s">
        <v>70</v>
      </c>
      <c r="O148" s="12">
        <f t="shared" si="1"/>
        <v>0</v>
      </c>
      <c r="P148" s="12">
        <f t="shared" si="4"/>
        <v>1.53604</v>
      </c>
    </row>
    <row r="149">
      <c r="A149" s="15">
        <f t="shared" si="3"/>
        <v>148</v>
      </c>
      <c r="B149" s="15" t="s">
        <v>26</v>
      </c>
      <c r="C149" s="15" t="s">
        <v>19</v>
      </c>
      <c r="D149" s="15" t="s">
        <v>1069</v>
      </c>
      <c r="E149" s="15" t="s">
        <v>66</v>
      </c>
      <c r="F149" s="15" t="s">
        <v>22</v>
      </c>
      <c r="G149" s="15" t="s">
        <v>892</v>
      </c>
      <c r="H149" s="15" t="s">
        <v>39</v>
      </c>
      <c r="I149" s="16">
        <v>0.0</v>
      </c>
      <c r="J149" s="16">
        <v>0.1</v>
      </c>
      <c r="K149" s="16">
        <v>0.1</v>
      </c>
      <c r="L149" s="17">
        <v>45599.0</v>
      </c>
      <c r="M149" s="18">
        <v>1.925</v>
      </c>
      <c r="N149" s="15" t="s">
        <v>25</v>
      </c>
      <c r="O149" s="19">
        <f t="shared" si="1"/>
        <v>-0.1</v>
      </c>
      <c r="P149" s="19">
        <f t="shared" si="4"/>
        <v>1.43604</v>
      </c>
    </row>
    <row r="150">
      <c r="A150" s="8">
        <f t="shared" si="3"/>
        <v>149</v>
      </c>
      <c r="B150" s="8" t="s">
        <v>26</v>
      </c>
      <c r="C150" s="8" t="s">
        <v>19</v>
      </c>
      <c r="D150" s="8" t="s">
        <v>1070</v>
      </c>
      <c r="E150" s="8" t="s">
        <v>121</v>
      </c>
      <c r="F150" s="8" t="s">
        <v>22</v>
      </c>
      <c r="G150" s="8" t="s">
        <v>892</v>
      </c>
      <c r="H150" s="8" t="s">
        <v>24</v>
      </c>
      <c r="I150" s="9">
        <v>0.0</v>
      </c>
      <c r="J150" s="9">
        <v>0.35</v>
      </c>
      <c r="K150" s="9">
        <v>0.18</v>
      </c>
      <c r="L150" s="10">
        <v>45599.0</v>
      </c>
      <c r="M150" s="11">
        <v>1.875</v>
      </c>
      <c r="N150" s="8" t="s">
        <v>70</v>
      </c>
      <c r="O150" s="12">
        <f t="shared" si="1"/>
        <v>0</v>
      </c>
      <c r="P150" s="12">
        <f t="shared" si="4"/>
        <v>1.43604</v>
      </c>
    </row>
    <row r="151">
      <c r="A151" s="15">
        <f t="shared" si="3"/>
        <v>150</v>
      </c>
      <c r="B151" s="15" t="s">
        <v>26</v>
      </c>
      <c r="C151" s="15" t="s">
        <v>19</v>
      </c>
      <c r="D151" s="15" t="s">
        <v>1071</v>
      </c>
      <c r="E151" s="15" t="s">
        <v>940</v>
      </c>
      <c r="F151" s="15" t="s">
        <v>598</v>
      </c>
      <c r="G151" s="15" t="s">
        <v>29</v>
      </c>
      <c r="H151" s="15" t="s">
        <v>39</v>
      </c>
      <c r="I151" s="16">
        <v>-2.5</v>
      </c>
      <c r="J151" s="16">
        <v>0.1</v>
      </c>
      <c r="K151" s="16">
        <v>0.1</v>
      </c>
      <c r="L151" s="17">
        <v>45599.0</v>
      </c>
      <c r="M151" s="18">
        <v>1.825</v>
      </c>
      <c r="N151" s="15" t="s">
        <v>33</v>
      </c>
      <c r="O151" s="19">
        <f t="shared" si="1"/>
        <v>0.0825</v>
      </c>
      <c r="P151" s="19">
        <f t="shared" si="4"/>
        <v>1.51854</v>
      </c>
    </row>
    <row r="152">
      <c r="A152" s="8">
        <f t="shared" si="3"/>
        <v>151</v>
      </c>
      <c r="B152" s="8" t="s">
        <v>26</v>
      </c>
      <c r="C152" s="8" t="s">
        <v>19</v>
      </c>
      <c r="D152" s="8" t="s">
        <v>1072</v>
      </c>
      <c r="E152" s="8" t="s">
        <v>877</v>
      </c>
      <c r="F152" s="8" t="s">
        <v>22</v>
      </c>
      <c r="G152" s="8" t="s">
        <v>892</v>
      </c>
      <c r="H152" s="8" t="s">
        <v>24</v>
      </c>
      <c r="I152" s="9">
        <v>0.0</v>
      </c>
      <c r="J152" s="9">
        <v>0.6</v>
      </c>
      <c r="K152" s="9">
        <v>0.6</v>
      </c>
      <c r="L152" s="10">
        <v>45599.0</v>
      </c>
      <c r="M152" s="11">
        <v>1.975</v>
      </c>
      <c r="N152" s="8" t="s">
        <v>70</v>
      </c>
      <c r="O152" s="12">
        <f t="shared" si="1"/>
        <v>0</v>
      </c>
      <c r="P152" s="12">
        <f t="shared" si="4"/>
        <v>1.51854</v>
      </c>
    </row>
    <row r="153">
      <c r="A153" s="15">
        <f t="shared" si="3"/>
        <v>152</v>
      </c>
      <c r="B153" s="15" t="s">
        <v>26</v>
      </c>
      <c r="C153" s="15" t="s">
        <v>19</v>
      </c>
      <c r="D153" s="15" t="s">
        <v>1073</v>
      </c>
      <c r="E153" s="15" t="s">
        <v>581</v>
      </c>
      <c r="F153" s="15" t="s">
        <v>22</v>
      </c>
      <c r="G153" s="15" t="s">
        <v>225</v>
      </c>
      <c r="H153" s="15" t="s">
        <v>39</v>
      </c>
      <c r="I153" s="16">
        <v>0.75</v>
      </c>
      <c r="J153" s="16">
        <v>0.1</v>
      </c>
      <c r="K153" s="16">
        <v>0.1</v>
      </c>
      <c r="L153" s="17">
        <v>45599.0</v>
      </c>
      <c r="M153" s="18">
        <v>1.9</v>
      </c>
      <c r="N153" s="15" t="s">
        <v>25</v>
      </c>
      <c r="O153" s="19">
        <f t="shared" si="1"/>
        <v>-0.1</v>
      </c>
      <c r="P153" s="19">
        <f t="shared" si="4"/>
        <v>1.41854</v>
      </c>
    </row>
    <row r="154">
      <c r="A154" s="8">
        <f t="shared" si="3"/>
        <v>153</v>
      </c>
      <c r="B154" s="8" t="s">
        <v>26</v>
      </c>
      <c r="C154" s="8" t="s">
        <v>19</v>
      </c>
      <c r="D154" s="8" t="s">
        <v>1074</v>
      </c>
      <c r="E154" s="8" t="s">
        <v>50</v>
      </c>
      <c r="F154" s="8" t="s">
        <v>22</v>
      </c>
      <c r="G154" s="8" t="s">
        <v>225</v>
      </c>
      <c r="H154" s="8" t="s">
        <v>39</v>
      </c>
      <c r="I154" s="9">
        <v>0.25</v>
      </c>
      <c r="J154" s="9">
        <v>0.1</v>
      </c>
      <c r="K154" s="9">
        <v>0.1</v>
      </c>
      <c r="L154" s="10">
        <v>45599.0</v>
      </c>
      <c r="M154" s="11">
        <v>1.925</v>
      </c>
      <c r="N154" s="8" t="s">
        <v>25</v>
      </c>
      <c r="O154" s="12">
        <f t="shared" si="1"/>
        <v>-0.1</v>
      </c>
      <c r="P154" s="12">
        <f t="shared" si="4"/>
        <v>1.31854</v>
      </c>
    </row>
    <row r="155">
      <c r="A155" s="15">
        <f t="shared" si="3"/>
        <v>154</v>
      </c>
      <c r="B155" s="15" t="s">
        <v>26</v>
      </c>
      <c r="C155" s="15" t="s">
        <v>19</v>
      </c>
      <c r="D155" s="15" t="s">
        <v>1075</v>
      </c>
      <c r="E155" s="15" t="s">
        <v>432</v>
      </c>
      <c r="F155" s="15" t="s">
        <v>22</v>
      </c>
      <c r="G155" s="15" t="s">
        <v>225</v>
      </c>
      <c r="H155" s="15" t="s">
        <v>39</v>
      </c>
      <c r="I155" s="16">
        <v>2.0</v>
      </c>
      <c r="J155" s="16">
        <v>0.05</v>
      </c>
      <c r="K155" s="16">
        <v>0.05</v>
      </c>
      <c r="L155" s="17">
        <v>45599.0</v>
      </c>
      <c r="M155" s="18">
        <v>1.825</v>
      </c>
      <c r="N155" s="15" t="s">
        <v>70</v>
      </c>
      <c r="O155" s="19">
        <f t="shared" si="1"/>
        <v>0</v>
      </c>
      <c r="P155" s="19">
        <f t="shared" si="4"/>
        <v>1.31854</v>
      </c>
    </row>
    <row r="156">
      <c r="A156" s="8">
        <f t="shared" si="3"/>
        <v>155</v>
      </c>
      <c r="B156" s="8" t="s">
        <v>26</v>
      </c>
      <c r="C156" s="8" t="s">
        <v>19</v>
      </c>
      <c r="D156" s="8" t="s">
        <v>1076</v>
      </c>
      <c r="E156" s="8" t="s">
        <v>93</v>
      </c>
      <c r="F156" s="8" t="s">
        <v>598</v>
      </c>
      <c r="G156" s="8" t="s">
        <v>29</v>
      </c>
      <c r="H156" s="8" t="s">
        <v>39</v>
      </c>
      <c r="I156" s="9">
        <v>-2.25</v>
      </c>
      <c r="J156" s="9">
        <v>0.1</v>
      </c>
      <c r="K156" s="9">
        <v>0.1</v>
      </c>
      <c r="L156" s="10">
        <v>45599.0</v>
      </c>
      <c r="M156" s="11">
        <v>1.9</v>
      </c>
      <c r="N156" s="8" t="s">
        <v>25</v>
      </c>
      <c r="O156" s="12">
        <f t="shared" si="1"/>
        <v>-0.1</v>
      </c>
      <c r="P156" s="12">
        <f t="shared" si="4"/>
        <v>1.21854</v>
      </c>
    </row>
    <row r="157">
      <c r="A157" s="15">
        <f t="shared" si="3"/>
        <v>156</v>
      </c>
      <c r="B157" s="15" t="s">
        <v>26</v>
      </c>
      <c r="C157" s="15" t="s">
        <v>19</v>
      </c>
      <c r="D157" s="15" t="s">
        <v>1077</v>
      </c>
      <c r="E157" s="15" t="s">
        <v>121</v>
      </c>
      <c r="F157" s="15" t="s">
        <v>22</v>
      </c>
      <c r="G157" s="15" t="s">
        <v>225</v>
      </c>
      <c r="H157" s="15" t="s">
        <v>39</v>
      </c>
      <c r="I157" s="16">
        <v>0.5</v>
      </c>
      <c r="J157" s="16">
        <v>0.1</v>
      </c>
      <c r="K157" s="16">
        <v>0.1</v>
      </c>
      <c r="L157" s="17">
        <v>45599.0</v>
      </c>
      <c r="M157" s="18">
        <v>1.975</v>
      </c>
      <c r="N157" s="15" t="s">
        <v>33</v>
      </c>
      <c r="O157" s="19">
        <f t="shared" si="1"/>
        <v>0.0975</v>
      </c>
      <c r="P157" s="19">
        <f t="shared" si="4"/>
        <v>1.31604</v>
      </c>
    </row>
    <row r="158">
      <c r="A158" s="8">
        <f t="shared" si="3"/>
        <v>157</v>
      </c>
      <c r="B158" s="8" t="s">
        <v>26</v>
      </c>
      <c r="C158" s="8" t="s">
        <v>40</v>
      </c>
      <c r="D158" s="8" t="s">
        <v>1078</v>
      </c>
      <c r="E158" s="8" t="s">
        <v>58</v>
      </c>
      <c r="F158" s="8" t="s">
        <v>22</v>
      </c>
      <c r="G158" s="8" t="s">
        <v>225</v>
      </c>
      <c r="H158" s="8" t="s">
        <v>39</v>
      </c>
      <c r="I158" s="9">
        <v>2.25</v>
      </c>
      <c r="J158" s="9">
        <v>0.1</v>
      </c>
      <c r="K158" s="9">
        <v>0.1</v>
      </c>
      <c r="L158" s="54">
        <v>45599.0</v>
      </c>
      <c r="M158" s="11">
        <v>1.95</v>
      </c>
      <c r="N158" s="8" t="s">
        <v>25</v>
      </c>
      <c r="O158" s="12">
        <f t="shared" si="1"/>
        <v>-0.1</v>
      </c>
      <c r="P158" s="12">
        <f t="shared" si="4"/>
        <v>1.21604</v>
      </c>
    </row>
    <row r="159">
      <c r="A159" s="15">
        <f t="shared" si="3"/>
        <v>158</v>
      </c>
      <c r="B159" s="15" t="s">
        <v>26</v>
      </c>
      <c r="C159" s="15" t="s">
        <v>19</v>
      </c>
      <c r="D159" s="15" t="s">
        <v>1079</v>
      </c>
      <c r="E159" s="15" t="s">
        <v>86</v>
      </c>
      <c r="F159" s="15" t="s">
        <v>22</v>
      </c>
      <c r="G159" s="15" t="s">
        <v>894</v>
      </c>
      <c r="H159" s="15" t="s">
        <v>39</v>
      </c>
      <c r="I159" s="16">
        <v>-1.0</v>
      </c>
      <c r="J159" s="16">
        <v>0.1</v>
      </c>
      <c r="K159" s="16">
        <v>0.1</v>
      </c>
      <c r="L159" s="17">
        <v>45599.0</v>
      </c>
      <c r="M159" s="18">
        <v>1.925</v>
      </c>
      <c r="N159" s="15" t="s">
        <v>25</v>
      </c>
      <c r="O159" s="19">
        <f t="shared" si="1"/>
        <v>-0.1</v>
      </c>
      <c r="P159" s="19">
        <f t="shared" si="4"/>
        <v>1.11604</v>
      </c>
    </row>
    <row r="160">
      <c r="A160" s="8">
        <f t="shared" si="3"/>
        <v>159</v>
      </c>
      <c r="B160" s="8" t="s">
        <v>26</v>
      </c>
      <c r="C160" s="8" t="s">
        <v>19</v>
      </c>
      <c r="D160" s="8" t="s">
        <v>1080</v>
      </c>
      <c r="E160" s="8" t="s">
        <v>920</v>
      </c>
      <c r="F160" s="8" t="s">
        <v>22</v>
      </c>
      <c r="G160" s="8" t="s">
        <v>892</v>
      </c>
      <c r="H160" s="8" t="s">
        <v>39</v>
      </c>
      <c r="I160" s="9">
        <v>0.0</v>
      </c>
      <c r="J160" s="9">
        <v>0.1</v>
      </c>
      <c r="K160" s="9">
        <v>0.1</v>
      </c>
      <c r="L160" s="10">
        <v>45599.0</v>
      </c>
      <c r="M160" s="11">
        <v>2.025</v>
      </c>
      <c r="N160" s="8" t="s">
        <v>25</v>
      </c>
      <c r="O160" s="12">
        <f t="shared" si="1"/>
        <v>-0.1</v>
      </c>
      <c r="P160" s="12">
        <f t="shared" si="4"/>
        <v>1.01604</v>
      </c>
    </row>
    <row r="161">
      <c r="A161" s="15">
        <f t="shared" si="3"/>
        <v>160</v>
      </c>
      <c r="B161" s="15" t="s">
        <v>26</v>
      </c>
      <c r="C161" s="15" t="s">
        <v>19</v>
      </c>
      <c r="D161" s="15" t="s">
        <v>1081</v>
      </c>
      <c r="E161" s="15" t="s">
        <v>78</v>
      </c>
      <c r="F161" s="15" t="s">
        <v>598</v>
      </c>
      <c r="G161" s="15" t="s">
        <v>29</v>
      </c>
      <c r="H161" s="15" t="s">
        <v>39</v>
      </c>
      <c r="I161" s="16">
        <v>-2.0</v>
      </c>
      <c r="J161" s="16">
        <v>0.1</v>
      </c>
      <c r="K161" s="16">
        <v>0.1</v>
      </c>
      <c r="L161" s="17">
        <v>45599.0</v>
      </c>
      <c r="M161" s="18">
        <v>1.8</v>
      </c>
      <c r="N161" s="15" t="s">
        <v>70</v>
      </c>
      <c r="O161" s="19">
        <f t="shared" si="1"/>
        <v>0</v>
      </c>
      <c r="P161" s="19">
        <f t="shared" si="4"/>
        <v>1.01604</v>
      </c>
    </row>
    <row r="162">
      <c r="A162" s="8">
        <f t="shared" si="3"/>
        <v>161</v>
      </c>
      <c r="B162" s="8" t="s">
        <v>129</v>
      </c>
      <c r="C162" s="8" t="s">
        <v>19</v>
      </c>
      <c r="D162" s="8" t="s">
        <v>1082</v>
      </c>
      <c r="E162" s="8" t="s">
        <v>68</v>
      </c>
      <c r="F162" s="8" t="s">
        <v>22</v>
      </c>
      <c r="G162" s="8" t="s">
        <v>892</v>
      </c>
      <c r="H162" s="8" t="s">
        <v>24</v>
      </c>
      <c r="I162" s="9">
        <v>0.0</v>
      </c>
      <c r="J162" s="9">
        <v>0.35</v>
      </c>
      <c r="K162" s="9">
        <v>0.35</v>
      </c>
      <c r="L162" s="54">
        <v>45599.0</v>
      </c>
      <c r="M162" s="11">
        <v>1.75</v>
      </c>
      <c r="N162" s="8" t="s">
        <v>70</v>
      </c>
      <c r="O162" s="12">
        <f t="shared" si="1"/>
        <v>0</v>
      </c>
      <c r="P162" s="12">
        <f t="shared" si="4"/>
        <v>1.01604</v>
      </c>
    </row>
    <row r="163">
      <c r="A163" s="15">
        <f t="shared" si="3"/>
        <v>162</v>
      </c>
      <c r="B163" s="15" t="s">
        <v>26</v>
      </c>
      <c r="C163" s="15" t="s">
        <v>40</v>
      </c>
      <c r="D163" s="15" t="s">
        <v>1083</v>
      </c>
      <c r="E163" s="15" t="s">
        <v>1003</v>
      </c>
      <c r="F163" s="15" t="s">
        <v>22</v>
      </c>
      <c r="G163" s="15" t="s">
        <v>225</v>
      </c>
      <c r="H163" s="15" t="s">
        <v>39</v>
      </c>
      <c r="I163" s="16">
        <v>1.0</v>
      </c>
      <c r="J163" s="16">
        <v>0.1</v>
      </c>
      <c r="K163" s="16">
        <v>0.1</v>
      </c>
      <c r="L163" s="17">
        <v>45599.0</v>
      </c>
      <c r="M163" s="18">
        <v>1.95</v>
      </c>
      <c r="N163" s="15" t="s">
        <v>25</v>
      </c>
      <c r="O163" s="19">
        <f t="shared" si="1"/>
        <v>-0.1</v>
      </c>
      <c r="P163" s="19">
        <f t="shared" si="4"/>
        <v>0.91604</v>
      </c>
    </row>
    <row r="164">
      <c r="A164" s="8">
        <f t="shared" si="3"/>
        <v>163</v>
      </c>
      <c r="B164" s="8" t="s">
        <v>26</v>
      </c>
      <c r="C164" s="8" t="s">
        <v>19</v>
      </c>
      <c r="D164" s="8" t="s">
        <v>1084</v>
      </c>
      <c r="E164" s="8" t="s">
        <v>1085</v>
      </c>
      <c r="F164" s="8" t="s">
        <v>22</v>
      </c>
      <c r="G164" s="8" t="s">
        <v>225</v>
      </c>
      <c r="H164" s="8" t="s">
        <v>39</v>
      </c>
      <c r="I164" s="9">
        <v>2.25</v>
      </c>
      <c r="J164" s="9">
        <v>0.1</v>
      </c>
      <c r="K164" s="9">
        <v>0.1</v>
      </c>
      <c r="L164" s="10">
        <v>45599.0</v>
      </c>
      <c r="M164" s="11">
        <v>1.8</v>
      </c>
      <c r="N164" s="8" t="s">
        <v>33</v>
      </c>
      <c r="O164" s="12">
        <f t="shared" si="1"/>
        <v>0.08</v>
      </c>
      <c r="P164" s="12">
        <f t="shared" si="4"/>
        <v>0.99604</v>
      </c>
    </row>
    <row r="165">
      <c r="A165" s="15">
        <f t="shared" si="3"/>
        <v>164</v>
      </c>
      <c r="B165" s="15" t="s">
        <v>26</v>
      </c>
      <c r="C165" s="15" t="s">
        <v>19</v>
      </c>
      <c r="D165" s="15" t="s">
        <v>1086</v>
      </c>
      <c r="E165" s="15" t="s">
        <v>456</v>
      </c>
      <c r="F165" s="15" t="s">
        <v>22</v>
      </c>
      <c r="G165" s="15" t="s">
        <v>894</v>
      </c>
      <c r="H165" s="15" t="s">
        <v>39</v>
      </c>
      <c r="I165" s="16">
        <v>-0.5</v>
      </c>
      <c r="J165" s="16">
        <v>0.1</v>
      </c>
      <c r="K165" s="16">
        <v>0.1</v>
      </c>
      <c r="L165" s="17">
        <v>45599.0</v>
      </c>
      <c r="M165" s="18">
        <v>2.0</v>
      </c>
      <c r="N165" s="15" t="s">
        <v>33</v>
      </c>
      <c r="O165" s="19">
        <f t="shared" si="1"/>
        <v>0.1</v>
      </c>
      <c r="P165" s="19">
        <f t="shared" si="4"/>
        <v>1.09604</v>
      </c>
    </row>
    <row r="166">
      <c r="A166" s="8">
        <f t="shared" si="3"/>
        <v>165</v>
      </c>
      <c r="B166" s="8" t="s">
        <v>129</v>
      </c>
      <c r="C166" s="8" t="s">
        <v>19</v>
      </c>
      <c r="D166" s="8" t="s">
        <v>1087</v>
      </c>
      <c r="E166" s="8" t="s">
        <v>82</v>
      </c>
      <c r="F166" s="8" t="s">
        <v>22</v>
      </c>
      <c r="G166" s="8" t="s">
        <v>892</v>
      </c>
      <c r="H166" s="8" t="s">
        <v>24</v>
      </c>
      <c r="I166" s="9">
        <v>0.0</v>
      </c>
      <c r="J166" s="9">
        <v>0.8</v>
      </c>
      <c r="K166" s="9">
        <v>0.8</v>
      </c>
      <c r="L166" s="10">
        <v>45599.0</v>
      </c>
      <c r="M166" s="11">
        <v>1.75</v>
      </c>
      <c r="N166" s="8" t="s">
        <v>70</v>
      </c>
      <c r="O166" s="12">
        <f t="shared" si="1"/>
        <v>0</v>
      </c>
      <c r="P166" s="12">
        <f t="shared" si="4"/>
        <v>1.09604</v>
      </c>
    </row>
    <row r="167">
      <c r="A167" s="15">
        <f t="shared" si="3"/>
        <v>166</v>
      </c>
      <c r="B167" s="15" t="s">
        <v>129</v>
      </c>
      <c r="C167" s="15" t="s">
        <v>19</v>
      </c>
      <c r="D167" s="15" t="s">
        <v>1088</v>
      </c>
      <c r="E167" s="15" t="s">
        <v>82</v>
      </c>
      <c r="F167" s="15" t="s">
        <v>22</v>
      </c>
      <c r="G167" s="15" t="s">
        <v>892</v>
      </c>
      <c r="H167" s="15" t="s">
        <v>24</v>
      </c>
      <c r="I167" s="16">
        <v>0.0</v>
      </c>
      <c r="J167" s="16">
        <v>0.25</v>
      </c>
      <c r="K167" s="16">
        <v>0.25</v>
      </c>
      <c r="L167" s="17">
        <v>45599.0</v>
      </c>
      <c r="M167" s="18">
        <v>2.025</v>
      </c>
      <c r="N167" s="15" t="s">
        <v>70</v>
      </c>
      <c r="O167" s="19">
        <f t="shared" si="1"/>
        <v>0</v>
      </c>
      <c r="P167" s="19">
        <f t="shared" si="4"/>
        <v>1.09604</v>
      </c>
    </row>
    <row r="168">
      <c r="A168" s="8">
        <f t="shared" si="3"/>
        <v>167</v>
      </c>
      <c r="B168" s="8" t="s">
        <v>26</v>
      </c>
      <c r="C168" s="8" t="s">
        <v>40</v>
      </c>
      <c r="D168" s="8" t="s">
        <v>1089</v>
      </c>
      <c r="E168" s="8" t="s">
        <v>86</v>
      </c>
      <c r="F168" s="8" t="s">
        <v>598</v>
      </c>
      <c r="G168" s="8" t="s">
        <v>29</v>
      </c>
      <c r="H168" s="8" t="s">
        <v>39</v>
      </c>
      <c r="I168" s="9">
        <v>-3.0</v>
      </c>
      <c r="J168" s="9">
        <v>0.1</v>
      </c>
      <c r="K168" s="9">
        <v>0.09</v>
      </c>
      <c r="L168" s="10">
        <v>45599.0</v>
      </c>
      <c r="M168" s="11">
        <v>1.825</v>
      </c>
      <c r="N168" s="8" t="s">
        <v>25</v>
      </c>
      <c r="O168" s="12">
        <f t="shared" si="1"/>
        <v>-0.09</v>
      </c>
      <c r="P168" s="12">
        <f t="shared" si="4"/>
        <v>1.00604</v>
      </c>
    </row>
    <row r="169">
      <c r="A169" s="15">
        <f t="shared" si="3"/>
        <v>168</v>
      </c>
      <c r="B169" s="15" t="s">
        <v>26</v>
      </c>
      <c r="C169" s="15" t="s">
        <v>40</v>
      </c>
      <c r="D169" s="15" t="s">
        <v>1090</v>
      </c>
      <c r="E169" s="15" t="s">
        <v>172</v>
      </c>
      <c r="F169" s="15" t="s">
        <v>22</v>
      </c>
      <c r="G169" s="15" t="s">
        <v>894</v>
      </c>
      <c r="H169" s="15" t="s">
        <v>39</v>
      </c>
      <c r="I169" s="16">
        <v>-0.75</v>
      </c>
      <c r="J169" s="16">
        <v>0.1</v>
      </c>
      <c r="K169" s="16">
        <v>0.1</v>
      </c>
      <c r="L169" s="17">
        <v>45599.0</v>
      </c>
      <c r="M169" s="18">
        <v>1.725</v>
      </c>
      <c r="N169" s="15" t="s">
        <v>996</v>
      </c>
      <c r="O169" s="19">
        <f t="shared" si="1"/>
        <v>0.03625</v>
      </c>
      <c r="P169" s="19">
        <f t="shared" si="4"/>
        <v>1.04229</v>
      </c>
    </row>
    <row r="170">
      <c r="A170" s="8">
        <f t="shared" si="3"/>
        <v>169</v>
      </c>
      <c r="B170" s="8" t="s">
        <v>26</v>
      </c>
      <c r="C170" s="8" t="s">
        <v>19</v>
      </c>
      <c r="D170" s="8" t="s">
        <v>1091</v>
      </c>
      <c r="E170" s="8" t="s">
        <v>78</v>
      </c>
      <c r="F170" s="8" t="s">
        <v>598</v>
      </c>
      <c r="G170" s="8" t="s">
        <v>29</v>
      </c>
      <c r="H170" s="8" t="s">
        <v>39</v>
      </c>
      <c r="I170" s="9">
        <v>-1.75</v>
      </c>
      <c r="J170" s="9">
        <v>0.1</v>
      </c>
      <c r="K170" s="9">
        <v>0.08</v>
      </c>
      <c r="L170" s="10">
        <v>45600.0</v>
      </c>
      <c r="M170" s="11">
        <v>1.975</v>
      </c>
      <c r="N170" s="8" t="s">
        <v>33</v>
      </c>
      <c r="O170" s="12">
        <f t="shared" si="1"/>
        <v>0.078</v>
      </c>
      <c r="P170" s="12">
        <f t="shared" si="4"/>
        <v>1.12029</v>
      </c>
    </row>
    <row r="171">
      <c r="A171" s="15">
        <f t="shared" si="3"/>
        <v>170</v>
      </c>
      <c r="B171" s="15" t="s">
        <v>26</v>
      </c>
      <c r="C171" s="15" t="s">
        <v>19</v>
      </c>
      <c r="D171" s="15" t="s">
        <v>1092</v>
      </c>
      <c r="E171" s="15" t="s">
        <v>38</v>
      </c>
      <c r="F171" s="15" t="s">
        <v>598</v>
      </c>
      <c r="G171" s="15" t="s">
        <v>29</v>
      </c>
      <c r="H171" s="15" t="s">
        <v>39</v>
      </c>
      <c r="I171" s="16">
        <v>-2.75</v>
      </c>
      <c r="J171" s="16">
        <v>0.1</v>
      </c>
      <c r="K171" s="16">
        <v>0.08</v>
      </c>
      <c r="L171" s="17">
        <v>45600.0</v>
      </c>
      <c r="M171" s="18">
        <v>1.925</v>
      </c>
      <c r="N171" s="15" t="s">
        <v>25</v>
      </c>
      <c r="O171" s="19">
        <f t="shared" si="1"/>
        <v>-0.08</v>
      </c>
      <c r="P171" s="19">
        <f t="shared" si="4"/>
        <v>1.04029</v>
      </c>
    </row>
    <row r="172">
      <c r="A172" s="8">
        <f t="shared" si="3"/>
        <v>171</v>
      </c>
      <c r="B172" s="8" t="s">
        <v>26</v>
      </c>
      <c r="C172" s="8" t="s">
        <v>19</v>
      </c>
      <c r="D172" s="8" t="s">
        <v>1093</v>
      </c>
      <c r="E172" s="8" t="s">
        <v>84</v>
      </c>
      <c r="F172" s="8" t="s">
        <v>22</v>
      </c>
      <c r="G172" s="8" t="s">
        <v>892</v>
      </c>
      <c r="H172" s="8" t="s">
        <v>24</v>
      </c>
      <c r="I172" s="9">
        <v>0.0</v>
      </c>
      <c r="J172" s="9">
        <v>0.35</v>
      </c>
      <c r="K172" s="9">
        <v>0.29</v>
      </c>
      <c r="L172" s="10">
        <v>45601.0</v>
      </c>
      <c r="M172" s="11">
        <v>1.75</v>
      </c>
      <c r="N172" s="8" t="s">
        <v>33</v>
      </c>
      <c r="O172" s="12">
        <f t="shared" si="1"/>
        <v>0.2175</v>
      </c>
      <c r="P172" s="12">
        <f t="shared" si="4"/>
        <v>1.25779</v>
      </c>
    </row>
    <row r="173">
      <c r="A173" s="15">
        <f t="shared" si="3"/>
        <v>172</v>
      </c>
      <c r="B173" s="15" t="s">
        <v>26</v>
      </c>
      <c r="C173" s="15" t="s">
        <v>19</v>
      </c>
      <c r="D173" s="15" t="s">
        <v>1094</v>
      </c>
      <c r="E173" s="15" t="s">
        <v>1095</v>
      </c>
      <c r="F173" s="15" t="s">
        <v>22</v>
      </c>
      <c r="G173" s="15" t="s">
        <v>225</v>
      </c>
      <c r="H173" s="15" t="s">
        <v>24</v>
      </c>
      <c r="I173" s="16">
        <v>0.5</v>
      </c>
      <c r="J173" s="16">
        <v>0.1</v>
      </c>
      <c r="K173" s="16">
        <v>0.08</v>
      </c>
      <c r="L173" s="17">
        <v>45601.0</v>
      </c>
      <c r="M173" s="18">
        <v>1.825</v>
      </c>
      <c r="N173" s="15" t="s">
        <v>25</v>
      </c>
      <c r="O173" s="19">
        <f t="shared" si="1"/>
        <v>-0.08</v>
      </c>
      <c r="P173" s="19">
        <f t="shared" si="4"/>
        <v>1.17779</v>
      </c>
    </row>
    <row r="174">
      <c r="A174" s="8">
        <f t="shared" si="3"/>
        <v>173</v>
      </c>
      <c r="B174" s="8" t="s">
        <v>26</v>
      </c>
      <c r="C174" s="8" t="s">
        <v>19</v>
      </c>
      <c r="D174" s="8" t="s">
        <v>1096</v>
      </c>
      <c r="E174" s="8" t="s">
        <v>78</v>
      </c>
      <c r="F174" s="8" t="s">
        <v>598</v>
      </c>
      <c r="G174" s="8" t="s">
        <v>29</v>
      </c>
      <c r="H174" s="8" t="s">
        <v>39</v>
      </c>
      <c r="I174" s="9">
        <v>-4.0</v>
      </c>
      <c r="J174" s="9">
        <v>0.2</v>
      </c>
      <c r="K174" s="9">
        <v>0.19</v>
      </c>
      <c r="L174" s="10">
        <v>45601.0</v>
      </c>
      <c r="M174" s="11">
        <v>1.725</v>
      </c>
      <c r="N174" s="8" t="s">
        <v>70</v>
      </c>
      <c r="O174" s="12">
        <f t="shared" si="1"/>
        <v>0</v>
      </c>
      <c r="P174" s="12">
        <f t="shared" si="4"/>
        <v>1.17779</v>
      </c>
    </row>
    <row r="175">
      <c r="A175" s="15">
        <f t="shared" si="3"/>
        <v>174</v>
      </c>
      <c r="B175" s="15" t="s">
        <v>129</v>
      </c>
      <c r="C175" s="15" t="s">
        <v>19</v>
      </c>
      <c r="D175" s="15" t="s">
        <v>1097</v>
      </c>
      <c r="E175" s="15" t="s">
        <v>167</v>
      </c>
      <c r="F175" s="15" t="s">
        <v>22</v>
      </c>
      <c r="G175" s="15" t="s">
        <v>892</v>
      </c>
      <c r="H175" s="15" t="s">
        <v>24</v>
      </c>
      <c r="I175" s="16">
        <v>0.0</v>
      </c>
      <c r="J175" s="16">
        <v>0.35</v>
      </c>
      <c r="K175" s="16">
        <v>0.35</v>
      </c>
      <c r="L175" s="17">
        <v>45601.0</v>
      </c>
      <c r="M175" s="18">
        <v>1.825</v>
      </c>
      <c r="N175" s="15" t="s">
        <v>33</v>
      </c>
      <c r="O175" s="19">
        <f t="shared" si="1"/>
        <v>0.28875</v>
      </c>
      <c r="P175" s="19">
        <f t="shared" si="4"/>
        <v>1.46654</v>
      </c>
    </row>
    <row r="176">
      <c r="A176" s="8">
        <f t="shared" si="3"/>
        <v>175</v>
      </c>
      <c r="B176" s="8" t="s">
        <v>26</v>
      </c>
      <c r="C176" s="8" t="s">
        <v>19</v>
      </c>
      <c r="D176" s="8" t="s">
        <v>1098</v>
      </c>
      <c r="E176" s="8" t="s">
        <v>38</v>
      </c>
      <c r="F176" s="8" t="s">
        <v>598</v>
      </c>
      <c r="G176" s="8" t="s">
        <v>29</v>
      </c>
      <c r="H176" s="8" t="s">
        <v>39</v>
      </c>
      <c r="I176" s="9">
        <v>-3.0</v>
      </c>
      <c r="J176" s="9">
        <v>0.2</v>
      </c>
      <c r="K176" s="9">
        <v>0.19</v>
      </c>
      <c r="L176" s="10">
        <v>45601.0</v>
      </c>
      <c r="M176" s="11">
        <v>1.75</v>
      </c>
      <c r="N176" s="8" t="s">
        <v>70</v>
      </c>
      <c r="O176" s="12">
        <f t="shared" si="1"/>
        <v>0</v>
      </c>
      <c r="P176" s="12">
        <f t="shared" si="4"/>
        <v>1.46654</v>
      </c>
    </row>
    <row r="177">
      <c r="A177" s="15">
        <f t="shared" si="3"/>
        <v>176</v>
      </c>
      <c r="B177" s="15" t="s">
        <v>26</v>
      </c>
      <c r="C177" s="15" t="s">
        <v>19</v>
      </c>
      <c r="D177" s="15" t="s">
        <v>1099</v>
      </c>
      <c r="E177" s="15" t="s">
        <v>82</v>
      </c>
      <c r="F177" s="15" t="s">
        <v>598</v>
      </c>
      <c r="G177" s="15" t="s">
        <v>29</v>
      </c>
      <c r="H177" s="15" t="s">
        <v>39</v>
      </c>
      <c r="I177" s="16">
        <v>-2.25</v>
      </c>
      <c r="J177" s="16">
        <v>0.2</v>
      </c>
      <c r="K177" s="16">
        <v>0.19</v>
      </c>
      <c r="L177" s="17">
        <v>45601.0</v>
      </c>
      <c r="M177" s="18">
        <v>1.825</v>
      </c>
      <c r="N177" s="15" t="s">
        <v>33</v>
      </c>
      <c r="O177" s="19">
        <f t="shared" si="1"/>
        <v>0.15675</v>
      </c>
      <c r="P177" s="19">
        <f t="shared" si="4"/>
        <v>1.62329</v>
      </c>
    </row>
    <row r="178">
      <c r="A178" s="8">
        <f t="shared" si="3"/>
        <v>177</v>
      </c>
      <c r="B178" s="8" t="s">
        <v>26</v>
      </c>
      <c r="C178" s="8" t="s">
        <v>19</v>
      </c>
      <c r="D178" s="8" t="s">
        <v>1100</v>
      </c>
      <c r="E178" s="8" t="s">
        <v>172</v>
      </c>
      <c r="F178" s="8" t="s">
        <v>22</v>
      </c>
      <c r="G178" s="8" t="s">
        <v>225</v>
      </c>
      <c r="H178" s="8" t="s">
        <v>39</v>
      </c>
      <c r="I178" s="9">
        <v>1.0</v>
      </c>
      <c r="J178" s="9">
        <v>0.1</v>
      </c>
      <c r="K178" s="9">
        <v>0.1</v>
      </c>
      <c r="L178" s="54">
        <v>45601.0</v>
      </c>
      <c r="M178" s="11">
        <v>1.7</v>
      </c>
      <c r="N178" s="8" t="s">
        <v>25</v>
      </c>
      <c r="O178" s="12">
        <f t="shared" si="1"/>
        <v>-0.1</v>
      </c>
      <c r="P178" s="12">
        <f t="shared" si="4"/>
        <v>1.52329</v>
      </c>
    </row>
    <row r="179">
      <c r="A179" s="15">
        <f t="shared" si="3"/>
        <v>178</v>
      </c>
      <c r="B179" s="15" t="s">
        <v>26</v>
      </c>
      <c r="C179" s="15" t="s">
        <v>19</v>
      </c>
      <c r="D179" s="15" t="s">
        <v>1101</v>
      </c>
      <c r="E179" s="15" t="s">
        <v>101</v>
      </c>
      <c r="F179" s="15" t="s">
        <v>22</v>
      </c>
      <c r="G179" s="15" t="s">
        <v>225</v>
      </c>
      <c r="H179" s="15" t="s">
        <v>39</v>
      </c>
      <c r="I179" s="16">
        <v>1.0</v>
      </c>
      <c r="J179" s="16">
        <v>0.1</v>
      </c>
      <c r="K179" s="16">
        <v>0.1</v>
      </c>
      <c r="L179" s="17">
        <v>45602.0</v>
      </c>
      <c r="M179" s="18">
        <v>1.729</v>
      </c>
      <c r="N179" s="15" t="s">
        <v>33</v>
      </c>
      <c r="O179" s="19">
        <f t="shared" si="1"/>
        <v>0.0729</v>
      </c>
      <c r="P179" s="19">
        <f t="shared" si="4"/>
        <v>1.59619</v>
      </c>
    </row>
    <row r="180">
      <c r="A180" s="8">
        <f t="shared" si="3"/>
        <v>179</v>
      </c>
      <c r="B180" s="8" t="s">
        <v>26</v>
      </c>
      <c r="C180" s="8" t="s">
        <v>19</v>
      </c>
      <c r="D180" s="8" t="s">
        <v>1102</v>
      </c>
      <c r="E180" s="8" t="s">
        <v>703</v>
      </c>
      <c r="F180" s="8" t="s">
        <v>22</v>
      </c>
      <c r="G180" s="8" t="s">
        <v>225</v>
      </c>
      <c r="H180" s="8" t="s">
        <v>39</v>
      </c>
      <c r="I180" s="9">
        <v>0.75</v>
      </c>
      <c r="J180" s="9">
        <v>0.1</v>
      </c>
      <c r="K180" s="9">
        <v>0.1</v>
      </c>
      <c r="L180" s="10">
        <v>45602.0</v>
      </c>
      <c r="M180" s="11">
        <v>1.85</v>
      </c>
      <c r="N180" s="8" t="s">
        <v>33</v>
      </c>
      <c r="O180" s="12">
        <f t="shared" si="1"/>
        <v>0.085</v>
      </c>
      <c r="P180" s="12">
        <f t="shared" si="4"/>
        <v>1.68119</v>
      </c>
    </row>
    <row r="181">
      <c r="A181" s="15">
        <f t="shared" si="3"/>
        <v>180</v>
      </c>
      <c r="B181" s="15" t="s">
        <v>18</v>
      </c>
      <c r="C181" s="15" t="s">
        <v>19</v>
      </c>
      <c r="D181" s="15" t="s">
        <v>1103</v>
      </c>
      <c r="E181" s="15" t="s">
        <v>121</v>
      </c>
      <c r="F181" s="15" t="s">
        <v>22</v>
      </c>
      <c r="G181" s="15" t="s">
        <v>892</v>
      </c>
      <c r="H181" s="15" t="s">
        <v>24</v>
      </c>
      <c r="I181" s="16">
        <v>0.0</v>
      </c>
      <c r="J181" s="16">
        <v>0.35</v>
      </c>
      <c r="K181" s="16">
        <v>0.29</v>
      </c>
      <c r="L181" s="17">
        <v>45602.0</v>
      </c>
      <c r="M181" s="18">
        <v>1.75</v>
      </c>
      <c r="N181" s="15" t="s">
        <v>25</v>
      </c>
      <c r="O181" s="19">
        <f t="shared" si="1"/>
        <v>-0.29</v>
      </c>
      <c r="P181" s="19">
        <f t="shared" si="4"/>
        <v>1.39119</v>
      </c>
    </row>
    <row r="182">
      <c r="A182" s="8">
        <f t="shared" si="3"/>
        <v>181</v>
      </c>
      <c r="B182" s="8" t="s">
        <v>35</v>
      </c>
      <c r="C182" s="8" t="s">
        <v>19</v>
      </c>
      <c r="D182" s="8" t="s">
        <v>1104</v>
      </c>
      <c r="E182" s="8" t="s">
        <v>174</v>
      </c>
      <c r="F182" s="8" t="s">
        <v>22</v>
      </c>
      <c r="G182" s="8" t="s">
        <v>892</v>
      </c>
      <c r="H182" s="8" t="s">
        <v>39</v>
      </c>
      <c r="I182" s="9">
        <v>0.0</v>
      </c>
      <c r="J182" s="9">
        <v>0.05</v>
      </c>
      <c r="K182" s="9">
        <v>0.01</v>
      </c>
      <c r="L182" s="10">
        <v>45602.0</v>
      </c>
      <c r="M182" s="11">
        <v>2.25</v>
      </c>
      <c r="N182" s="8" t="s">
        <v>70</v>
      </c>
      <c r="O182" s="12">
        <f t="shared" si="1"/>
        <v>0</v>
      </c>
      <c r="P182" s="12">
        <f t="shared" si="4"/>
        <v>1.39119</v>
      </c>
    </row>
    <row r="183">
      <c r="A183" s="15">
        <f t="shared" si="3"/>
        <v>182</v>
      </c>
      <c r="B183" s="15" t="s">
        <v>35</v>
      </c>
      <c r="C183" s="15" t="s">
        <v>19</v>
      </c>
      <c r="D183" s="15" t="s">
        <v>1105</v>
      </c>
      <c r="E183" s="15" t="s">
        <v>581</v>
      </c>
      <c r="F183" s="15" t="s">
        <v>22</v>
      </c>
      <c r="G183" s="15" t="s">
        <v>225</v>
      </c>
      <c r="H183" s="15" t="s">
        <v>39</v>
      </c>
      <c r="I183" s="16">
        <v>0.25</v>
      </c>
      <c r="J183" s="16">
        <v>0.1</v>
      </c>
      <c r="K183" s="16">
        <v>0.1</v>
      </c>
      <c r="L183" s="17">
        <v>45602.0</v>
      </c>
      <c r="M183" s="18">
        <v>2.0</v>
      </c>
      <c r="N183" s="15" t="s">
        <v>25</v>
      </c>
      <c r="O183" s="19">
        <f t="shared" si="1"/>
        <v>-0.1</v>
      </c>
      <c r="P183" s="19">
        <f t="shared" si="4"/>
        <v>1.29119</v>
      </c>
    </row>
    <row r="184">
      <c r="A184" s="8">
        <f t="shared" si="3"/>
        <v>183</v>
      </c>
      <c r="B184" s="8" t="s">
        <v>26</v>
      </c>
      <c r="C184" s="8" t="s">
        <v>19</v>
      </c>
      <c r="D184" s="8" t="s">
        <v>1106</v>
      </c>
      <c r="E184" s="8" t="s">
        <v>82</v>
      </c>
      <c r="F184" s="8" t="s">
        <v>598</v>
      </c>
      <c r="G184" s="8" t="s">
        <v>29</v>
      </c>
      <c r="H184" s="8" t="s">
        <v>39</v>
      </c>
      <c r="I184" s="9">
        <v>-2.0</v>
      </c>
      <c r="J184" s="9">
        <v>0.2</v>
      </c>
      <c r="K184" s="9">
        <v>0.2</v>
      </c>
      <c r="L184" s="10">
        <v>45602.0</v>
      </c>
      <c r="M184" s="11">
        <v>1.85</v>
      </c>
      <c r="N184" s="8" t="s">
        <v>25</v>
      </c>
      <c r="O184" s="12">
        <f t="shared" si="1"/>
        <v>-0.2</v>
      </c>
      <c r="P184" s="12">
        <f t="shared" si="4"/>
        <v>1.09119</v>
      </c>
    </row>
    <row r="185">
      <c r="A185" s="15">
        <f t="shared" si="3"/>
        <v>184</v>
      </c>
      <c r="B185" s="15" t="s">
        <v>26</v>
      </c>
      <c r="C185" s="15" t="s">
        <v>19</v>
      </c>
      <c r="D185" s="15" t="s">
        <v>1107</v>
      </c>
      <c r="E185" s="15" t="s">
        <v>82</v>
      </c>
      <c r="F185" s="15" t="s">
        <v>22</v>
      </c>
      <c r="G185" s="15" t="s">
        <v>892</v>
      </c>
      <c r="H185" s="15" t="s">
        <v>24</v>
      </c>
      <c r="I185" s="16">
        <v>0.0</v>
      </c>
      <c r="J185" s="16">
        <v>0.3</v>
      </c>
      <c r="K185" s="16">
        <v>0.3</v>
      </c>
      <c r="L185" s="17">
        <v>45602.0</v>
      </c>
      <c r="M185" s="18">
        <v>2.15</v>
      </c>
      <c r="N185" s="15" t="s">
        <v>33</v>
      </c>
      <c r="O185" s="19">
        <f t="shared" si="1"/>
        <v>0.345</v>
      </c>
      <c r="P185" s="19">
        <f t="shared" si="4"/>
        <v>1.43619</v>
      </c>
    </row>
    <row r="186">
      <c r="A186" s="8">
        <f t="shared" si="3"/>
        <v>185</v>
      </c>
      <c r="B186" s="8" t="s">
        <v>18</v>
      </c>
      <c r="C186" s="8" t="s">
        <v>19</v>
      </c>
      <c r="D186" s="8" t="s">
        <v>1108</v>
      </c>
      <c r="E186" s="8" t="s">
        <v>174</v>
      </c>
      <c r="F186" s="8" t="s">
        <v>22</v>
      </c>
      <c r="G186" s="8" t="s">
        <v>892</v>
      </c>
      <c r="H186" s="8" t="s">
        <v>24</v>
      </c>
      <c r="I186" s="9">
        <v>0.0</v>
      </c>
      <c r="J186" s="9">
        <v>0.2</v>
      </c>
      <c r="K186" s="9">
        <v>0.2</v>
      </c>
      <c r="L186" s="10">
        <v>45602.0</v>
      </c>
      <c r="M186" s="11">
        <v>1.9</v>
      </c>
      <c r="N186" s="8" t="s">
        <v>70</v>
      </c>
      <c r="O186" s="12">
        <f t="shared" si="1"/>
        <v>0</v>
      </c>
      <c r="P186" s="12">
        <f t="shared" si="4"/>
        <v>1.43619</v>
      </c>
    </row>
    <row r="187">
      <c r="A187" s="15">
        <f t="shared" si="3"/>
        <v>186</v>
      </c>
      <c r="B187" s="15" t="s">
        <v>18</v>
      </c>
      <c r="C187" s="15" t="s">
        <v>19</v>
      </c>
      <c r="D187" s="15" t="s">
        <v>1109</v>
      </c>
      <c r="E187" s="15" t="s">
        <v>82</v>
      </c>
      <c r="F187" s="15" t="s">
        <v>22</v>
      </c>
      <c r="G187" s="15" t="s">
        <v>892</v>
      </c>
      <c r="H187" s="15" t="s">
        <v>24</v>
      </c>
      <c r="I187" s="16">
        <v>0.0</v>
      </c>
      <c r="J187" s="16">
        <v>0.3</v>
      </c>
      <c r="K187" s="16">
        <v>0.3</v>
      </c>
      <c r="L187" s="17">
        <v>45602.0</v>
      </c>
      <c r="M187" s="18">
        <v>2.15</v>
      </c>
      <c r="N187" s="15" t="s">
        <v>70</v>
      </c>
      <c r="O187" s="19">
        <f t="shared" si="1"/>
        <v>0</v>
      </c>
      <c r="P187" s="19">
        <f t="shared" si="4"/>
        <v>1.43619</v>
      </c>
    </row>
    <row r="188">
      <c r="A188" s="8">
        <f t="shared" si="3"/>
        <v>187</v>
      </c>
      <c r="B188" s="8" t="s">
        <v>26</v>
      </c>
      <c r="C188" s="8" t="s">
        <v>19</v>
      </c>
      <c r="D188" s="8" t="s">
        <v>1110</v>
      </c>
      <c r="E188" s="8" t="s">
        <v>1111</v>
      </c>
      <c r="F188" s="8" t="s">
        <v>598</v>
      </c>
      <c r="G188" s="8" t="s">
        <v>225</v>
      </c>
      <c r="H188" s="8" t="s">
        <v>39</v>
      </c>
      <c r="I188" s="9">
        <v>0.5</v>
      </c>
      <c r="J188" s="9">
        <v>0.1</v>
      </c>
      <c r="K188" s="9">
        <v>0.09</v>
      </c>
      <c r="L188" s="10">
        <v>45603.0</v>
      </c>
      <c r="M188" s="11">
        <v>1.875</v>
      </c>
      <c r="N188" s="8" t="s">
        <v>33</v>
      </c>
      <c r="O188" s="12">
        <f t="shared" si="1"/>
        <v>0.07875</v>
      </c>
      <c r="P188" s="12">
        <f t="shared" si="4"/>
        <v>1.51494</v>
      </c>
    </row>
    <row r="189">
      <c r="A189" s="15">
        <f t="shared" si="3"/>
        <v>188</v>
      </c>
      <c r="B189" s="15" t="s">
        <v>26</v>
      </c>
      <c r="C189" s="15" t="s">
        <v>19</v>
      </c>
      <c r="D189" s="15" t="s">
        <v>1112</v>
      </c>
      <c r="E189" s="15" t="s">
        <v>78</v>
      </c>
      <c r="F189" s="15" t="s">
        <v>598</v>
      </c>
      <c r="G189" s="15" t="s">
        <v>225</v>
      </c>
      <c r="H189" s="15" t="s">
        <v>39</v>
      </c>
      <c r="I189" s="16">
        <v>1.0</v>
      </c>
      <c r="J189" s="16">
        <v>0.1</v>
      </c>
      <c r="K189" s="16">
        <v>0.09</v>
      </c>
      <c r="L189" s="17">
        <v>45603.0</v>
      </c>
      <c r="M189" s="18">
        <v>1.9</v>
      </c>
      <c r="N189" s="15" t="s">
        <v>33</v>
      </c>
      <c r="O189" s="19">
        <f t="shared" si="1"/>
        <v>0.081</v>
      </c>
      <c r="P189" s="19">
        <f t="shared" si="4"/>
        <v>1.59594</v>
      </c>
    </row>
    <row r="190">
      <c r="A190" s="8">
        <f t="shared" si="3"/>
        <v>189</v>
      </c>
      <c r="B190" s="8" t="s">
        <v>26</v>
      </c>
      <c r="C190" s="8" t="s">
        <v>19</v>
      </c>
      <c r="D190" s="8" t="s">
        <v>1113</v>
      </c>
      <c r="E190" s="8" t="s">
        <v>423</v>
      </c>
      <c r="F190" s="8" t="s">
        <v>598</v>
      </c>
      <c r="G190" s="8" t="s">
        <v>29</v>
      </c>
      <c r="H190" s="8" t="s">
        <v>39</v>
      </c>
      <c r="I190" s="9">
        <v>-3.0</v>
      </c>
      <c r="J190" s="9">
        <v>0.2</v>
      </c>
      <c r="K190" s="9">
        <v>0.19</v>
      </c>
      <c r="L190" s="10">
        <v>45603.0</v>
      </c>
      <c r="M190" s="11">
        <v>1.8</v>
      </c>
      <c r="N190" s="8" t="s">
        <v>25</v>
      </c>
      <c r="O190" s="12">
        <f t="shared" si="1"/>
        <v>-0.19</v>
      </c>
      <c r="P190" s="12">
        <f t="shared" si="4"/>
        <v>1.40594</v>
      </c>
    </row>
    <row r="191">
      <c r="A191" s="15">
        <f t="shared" si="3"/>
        <v>190</v>
      </c>
      <c r="B191" s="15" t="s">
        <v>26</v>
      </c>
      <c r="C191" s="15" t="s">
        <v>19</v>
      </c>
      <c r="D191" s="15" t="s">
        <v>1114</v>
      </c>
      <c r="E191" s="15" t="s">
        <v>423</v>
      </c>
      <c r="F191" s="15" t="s">
        <v>598</v>
      </c>
      <c r="G191" s="15" t="s">
        <v>29</v>
      </c>
      <c r="H191" s="15" t="s">
        <v>39</v>
      </c>
      <c r="I191" s="16">
        <v>-3.0</v>
      </c>
      <c r="J191" s="16">
        <v>0.2</v>
      </c>
      <c r="K191" s="16">
        <v>0.19</v>
      </c>
      <c r="L191" s="17">
        <v>45603.0</v>
      </c>
      <c r="M191" s="18">
        <v>1.95</v>
      </c>
      <c r="N191" s="15" t="s">
        <v>33</v>
      </c>
      <c r="O191" s="19">
        <f t="shared" si="1"/>
        <v>0.1805</v>
      </c>
      <c r="P191" s="19">
        <f t="shared" si="4"/>
        <v>1.58644</v>
      </c>
    </row>
    <row r="192">
      <c r="A192" s="8">
        <f t="shared" si="3"/>
        <v>191</v>
      </c>
      <c r="B192" s="8" t="s">
        <v>18</v>
      </c>
      <c r="C192" s="8" t="s">
        <v>19</v>
      </c>
      <c r="D192" s="8" t="s">
        <v>1115</v>
      </c>
      <c r="E192" s="8" t="s">
        <v>164</v>
      </c>
      <c r="F192" s="8" t="s">
        <v>22</v>
      </c>
      <c r="G192" s="8" t="s">
        <v>892</v>
      </c>
      <c r="H192" s="8" t="s">
        <v>24</v>
      </c>
      <c r="I192" s="9">
        <v>0.0</v>
      </c>
      <c r="J192" s="9">
        <v>0.5</v>
      </c>
      <c r="K192" s="9">
        <v>0.2847</v>
      </c>
      <c r="L192" s="10">
        <v>45603.0</v>
      </c>
      <c r="M192" s="11">
        <v>2.2</v>
      </c>
      <c r="N192" s="8" t="s">
        <v>70</v>
      </c>
      <c r="O192" s="12">
        <f t="shared" si="1"/>
        <v>0</v>
      </c>
      <c r="P192" s="12">
        <f t="shared" si="4"/>
        <v>1.58644</v>
      </c>
    </row>
    <row r="193">
      <c r="A193" s="15">
        <f t="shared" si="3"/>
        <v>192</v>
      </c>
      <c r="B193" s="15" t="s">
        <v>26</v>
      </c>
      <c r="C193" s="15" t="s">
        <v>19</v>
      </c>
      <c r="D193" s="15" t="s">
        <v>1116</v>
      </c>
      <c r="E193" s="15" t="s">
        <v>167</v>
      </c>
      <c r="F193" s="15" t="s">
        <v>598</v>
      </c>
      <c r="G193" s="15" t="s">
        <v>29</v>
      </c>
      <c r="H193" s="15" t="s">
        <v>24</v>
      </c>
      <c r="I193" s="16">
        <v>-2.75</v>
      </c>
      <c r="J193" s="16">
        <v>0.2</v>
      </c>
      <c r="K193" s="16">
        <v>0.1966</v>
      </c>
      <c r="L193" s="17">
        <v>45603.0</v>
      </c>
      <c r="M193" s="18">
        <v>1.15</v>
      </c>
      <c r="N193" s="15" t="s">
        <v>33</v>
      </c>
      <c r="O193" s="19">
        <f t="shared" si="1"/>
        <v>0.02949</v>
      </c>
      <c r="P193" s="19">
        <f t="shared" si="4"/>
        <v>1.61593</v>
      </c>
    </row>
    <row r="194">
      <c r="A194" s="8">
        <f t="shared" si="3"/>
        <v>193</v>
      </c>
      <c r="B194" s="8" t="s">
        <v>129</v>
      </c>
      <c r="C194" s="8" t="s">
        <v>19</v>
      </c>
      <c r="D194" s="8" t="s">
        <v>1117</v>
      </c>
      <c r="E194" s="8" t="s">
        <v>74</v>
      </c>
      <c r="F194" s="8" t="s">
        <v>22</v>
      </c>
      <c r="G194" s="8" t="s">
        <v>892</v>
      </c>
      <c r="H194" s="8" t="s">
        <v>24</v>
      </c>
      <c r="I194" s="9">
        <v>0.0</v>
      </c>
      <c r="J194" s="9">
        <v>0.3</v>
      </c>
      <c r="K194" s="9">
        <v>0.3</v>
      </c>
      <c r="L194" s="10">
        <v>45603.0</v>
      </c>
      <c r="M194" s="11">
        <v>1.75</v>
      </c>
      <c r="N194" s="8" t="s">
        <v>33</v>
      </c>
      <c r="O194" s="12">
        <f t="shared" si="1"/>
        <v>0.225</v>
      </c>
      <c r="P194" s="12">
        <f t="shared" si="4"/>
        <v>1.84093</v>
      </c>
    </row>
    <row r="195">
      <c r="A195" s="15">
        <f t="shared" si="3"/>
        <v>194</v>
      </c>
      <c r="B195" s="15" t="s">
        <v>26</v>
      </c>
      <c r="C195" s="15" t="s">
        <v>19</v>
      </c>
      <c r="D195" s="15" t="s">
        <v>1118</v>
      </c>
      <c r="E195" s="15" t="s">
        <v>583</v>
      </c>
      <c r="F195" s="15" t="s">
        <v>22</v>
      </c>
      <c r="G195" s="15" t="s">
        <v>892</v>
      </c>
      <c r="H195" s="15" t="s">
        <v>24</v>
      </c>
      <c r="I195" s="16">
        <v>0.0</v>
      </c>
      <c r="J195" s="16">
        <v>0.3</v>
      </c>
      <c r="K195" s="16">
        <v>0.3</v>
      </c>
      <c r="L195" s="17">
        <v>45604.0</v>
      </c>
      <c r="M195" s="18">
        <v>1.875</v>
      </c>
      <c r="N195" s="15" t="s">
        <v>70</v>
      </c>
      <c r="O195" s="19">
        <f t="shared" si="1"/>
        <v>0</v>
      </c>
      <c r="P195" s="19">
        <f t="shared" si="4"/>
        <v>1.84093</v>
      </c>
    </row>
    <row r="196">
      <c r="A196" s="8">
        <f t="shared" si="3"/>
        <v>195</v>
      </c>
      <c r="B196" s="8" t="s">
        <v>35</v>
      </c>
      <c r="C196" s="8" t="s">
        <v>19</v>
      </c>
      <c r="D196" s="8" t="s">
        <v>1119</v>
      </c>
      <c r="E196" s="8" t="s">
        <v>248</v>
      </c>
      <c r="F196" s="8" t="s">
        <v>22</v>
      </c>
      <c r="G196" s="8" t="s">
        <v>225</v>
      </c>
      <c r="H196" s="8" t="s">
        <v>24</v>
      </c>
      <c r="I196" s="9">
        <v>0.25</v>
      </c>
      <c r="J196" s="9">
        <v>0.1</v>
      </c>
      <c r="K196" s="9">
        <v>0.1</v>
      </c>
      <c r="L196" s="10">
        <v>45604.0</v>
      </c>
      <c r="M196" s="11">
        <v>2.075</v>
      </c>
      <c r="N196" s="8" t="s">
        <v>25</v>
      </c>
      <c r="O196" s="12">
        <f t="shared" si="1"/>
        <v>-0.1</v>
      </c>
      <c r="P196" s="12">
        <f t="shared" si="4"/>
        <v>1.74093</v>
      </c>
    </row>
    <row r="197">
      <c r="A197" s="15">
        <f t="shared" si="3"/>
        <v>196</v>
      </c>
      <c r="B197" s="15" t="s">
        <v>18</v>
      </c>
      <c r="C197" s="15" t="s">
        <v>19</v>
      </c>
      <c r="D197" s="15" t="s">
        <v>1120</v>
      </c>
      <c r="E197" s="15" t="s">
        <v>1031</v>
      </c>
      <c r="F197" s="15" t="s">
        <v>22</v>
      </c>
      <c r="G197" s="15" t="s">
        <v>892</v>
      </c>
      <c r="H197" s="15" t="s">
        <v>24</v>
      </c>
      <c r="I197" s="16">
        <v>0.0</v>
      </c>
      <c r="J197" s="16">
        <v>0.2</v>
      </c>
      <c r="K197" s="16">
        <v>0.2</v>
      </c>
      <c r="L197" s="17">
        <v>45604.0</v>
      </c>
      <c r="M197" s="18">
        <v>2.3</v>
      </c>
      <c r="N197" s="15" t="s">
        <v>33</v>
      </c>
      <c r="O197" s="19">
        <f t="shared" si="1"/>
        <v>0.26</v>
      </c>
      <c r="P197" s="19">
        <f t="shared" si="4"/>
        <v>2.00093</v>
      </c>
    </row>
    <row r="198">
      <c r="A198" s="8">
        <f t="shared" si="3"/>
        <v>197</v>
      </c>
      <c r="B198" s="8" t="s">
        <v>26</v>
      </c>
      <c r="C198" s="8" t="s">
        <v>19</v>
      </c>
      <c r="D198" s="8" t="s">
        <v>1121</v>
      </c>
      <c r="E198" s="8" t="s">
        <v>60</v>
      </c>
      <c r="F198" s="8" t="s">
        <v>598</v>
      </c>
      <c r="G198" s="8" t="s">
        <v>29</v>
      </c>
      <c r="H198" s="8" t="s">
        <v>39</v>
      </c>
      <c r="I198" s="9">
        <v>-3.25</v>
      </c>
      <c r="J198" s="9">
        <v>0.2</v>
      </c>
      <c r="K198" s="9">
        <v>0.2</v>
      </c>
      <c r="L198" s="10">
        <v>45604.0</v>
      </c>
      <c r="M198" s="11">
        <v>1.875</v>
      </c>
      <c r="N198" s="8" t="s">
        <v>996</v>
      </c>
      <c r="O198" s="12">
        <f t="shared" si="1"/>
        <v>0.0875</v>
      </c>
      <c r="P198" s="12">
        <f t="shared" si="4"/>
        <v>2.08843</v>
      </c>
    </row>
    <row r="199">
      <c r="A199" s="15">
        <f t="shared" si="3"/>
        <v>198</v>
      </c>
      <c r="B199" s="15" t="s">
        <v>26</v>
      </c>
      <c r="C199" s="15" t="s">
        <v>19</v>
      </c>
      <c r="D199" s="15" t="s">
        <v>1122</v>
      </c>
      <c r="E199" s="15" t="s">
        <v>82</v>
      </c>
      <c r="F199" s="15" t="s">
        <v>598</v>
      </c>
      <c r="G199" s="15" t="s">
        <v>29</v>
      </c>
      <c r="H199" s="15" t="s">
        <v>24</v>
      </c>
      <c r="I199" s="16">
        <v>-2.75</v>
      </c>
      <c r="J199" s="16">
        <v>0.2</v>
      </c>
      <c r="K199" s="16">
        <v>0.1831</v>
      </c>
      <c r="L199" s="17">
        <v>45604.0</v>
      </c>
      <c r="M199" s="18">
        <v>1.975</v>
      </c>
      <c r="N199" s="15" t="s">
        <v>33</v>
      </c>
      <c r="O199" s="19">
        <f t="shared" si="1"/>
        <v>0.1785225</v>
      </c>
      <c r="P199" s="19">
        <f t="shared" si="4"/>
        <v>2.2669525</v>
      </c>
    </row>
    <row r="200">
      <c r="A200" s="8">
        <f t="shared" si="3"/>
        <v>199</v>
      </c>
      <c r="B200" s="8" t="s">
        <v>35</v>
      </c>
      <c r="C200" s="8" t="s">
        <v>40</v>
      </c>
      <c r="D200" s="8" t="s">
        <v>1123</v>
      </c>
      <c r="E200" s="8" t="s">
        <v>44</v>
      </c>
      <c r="F200" s="8" t="s">
        <v>22</v>
      </c>
      <c r="G200" s="8" t="s">
        <v>225</v>
      </c>
      <c r="H200" s="8" t="s">
        <v>39</v>
      </c>
      <c r="I200" s="9">
        <v>1.0</v>
      </c>
      <c r="J200" s="9">
        <v>0.1</v>
      </c>
      <c r="K200" s="9">
        <v>0.1</v>
      </c>
      <c r="L200" s="10">
        <v>45604.0</v>
      </c>
      <c r="M200" s="11">
        <v>1.975</v>
      </c>
      <c r="N200" s="8" t="s">
        <v>70</v>
      </c>
      <c r="O200" s="12">
        <f t="shared" si="1"/>
        <v>0</v>
      </c>
      <c r="P200" s="12">
        <f t="shared" si="4"/>
        <v>2.2669525</v>
      </c>
    </row>
    <row r="201">
      <c r="A201" s="15">
        <f t="shared" si="3"/>
        <v>200</v>
      </c>
      <c r="B201" s="15" t="s">
        <v>26</v>
      </c>
      <c r="C201" s="15" t="s">
        <v>19</v>
      </c>
      <c r="D201" s="15" t="s">
        <v>1124</v>
      </c>
      <c r="E201" s="15" t="s">
        <v>93</v>
      </c>
      <c r="F201" s="15" t="s">
        <v>598</v>
      </c>
      <c r="G201" s="15" t="s">
        <v>29</v>
      </c>
      <c r="H201" s="15" t="s">
        <v>39</v>
      </c>
      <c r="I201" s="16">
        <v>-2.5</v>
      </c>
      <c r="J201" s="16">
        <v>0.1</v>
      </c>
      <c r="K201" s="16">
        <v>0.1</v>
      </c>
      <c r="L201" s="17">
        <v>45604.0</v>
      </c>
      <c r="M201" s="18">
        <v>1.9</v>
      </c>
      <c r="N201" s="15" t="s">
        <v>25</v>
      </c>
      <c r="O201" s="19">
        <f t="shared" si="1"/>
        <v>-0.1</v>
      </c>
      <c r="P201" s="19">
        <f t="shared" si="4"/>
        <v>2.1669525</v>
      </c>
    </row>
    <row r="202">
      <c r="A202" s="8">
        <f t="shared" si="3"/>
        <v>201</v>
      </c>
      <c r="B202" s="8" t="s">
        <v>26</v>
      </c>
      <c r="C202" s="8" t="s">
        <v>19</v>
      </c>
      <c r="D202" s="8" t="s">
        <v>1125</v>
      </c>
      <c r="E202" s="8" t="s">
        <v>964</v>
      </c>
      <c r="F202" s="8" t="s">
        <v>598</v>
      </c>
      <c r="G202" s="8" t="s">
        <v>29</v>
      </c>
      <c r="H202" s="8" t="s">
        <v>39</v>
      </c>
      <c r="I202" s="9">
        <v>-2.5</v>
      </c>
      <c r="J202" s="9">
        <v>0.2</v>
      </c>
      <c r="K202" s="9">
        <v>0.1559</v>
      </c>
      <c r="L202" s="10">
        <v>45604.0</v>
      </c>
      <c r="M202" s="11">
        <v>1.725</v>
      </c>
      <c r="N202" s="8" t="s">
        <v>33</v>
      </c>
      <c r="O202" s="12">
        <f t="shared" si="1"/>
        <v>0.1130275</v>
      </c>
      <c r="P202" s="12">
        <f t="shared" si="4"/>
        <v>2.27998</v>
      </c>
    </row>
    <row r="203">
      <c r="A203" s="15">
        <f t="shared" si="3"/>
        <v>202</v>
      </c>
      <c r="B203" s="15" t="s">
        <v>35</v>
      </c>
      <c r="C203" s="15" t="s">
        <v>19</v>
      </c>
      <c r="D203" s="15" t="s">
        <v>1126</v>
      </c>
      <c r="E203" s="15" t="s">
        <v>38</v>
      </c>
      <c r="F203" s="15" t="s">
        <v>22</v>
      </c>
      <c r="G203" s="15" t="s">
        <v>225</v>
      </c>
      <c r="H203" s="15" t="s">
        <v>39</v>
      </c>
      <c r="I203" s="16">
        <v>0.75</v>
      </c>
      <c r="J203" s="16">
        <v>0.1</v>
      </c>
      <c r="K203" s="16">
        <v>0.1</v>
      </c>
      <c r="L203" s="17">
        <v>45604.0</v>
      </c>
      <c r="M203" s="18">
        <v>1.85</v>
      </c>
      <c r="N203" s="15" t="s">
        <v>79</v>
      </c>
      <c r="O203" s="19">
        <f t="shared" si="1"/>
        <v>-0.05</v>
      </c>
      <c r="P203" s="19">
        <f t="shared" si="4"/>
        <v>2.22998</v>
      </c>
    </row>
    <row r="204">
      <c r="A204" s="8">
        <f t="shared" si="3"/>
        <v>203</v>
      </c>
      <c r="B204" s="8" t="s">
        <v>129</v>
      </c>
      <c r="C204" s="8" t="s">
        <v>19</v>
      </c>
      <c r="D204" s="8" t="s">
        <v>1127</v>
      </c>
      <c r="E204" s="8" t="s">
        <v>74</v>
      </c>
      <c r="F204" s="8" t="s">
        <v>22</v>
      </c>
      <c r="G204" s="8" t="s">
        <v>892</v>
      </c>
      <c r="H204" s="8" t="s">
        <v>39</v>
      </c>
      <c r="I204" s="9">
        <v>0.0</v>
      </c>
      <c r="J204" s="9">
        <v>0.2</v>
      </c>
      <c r="K204" s="9">
        <v>0.1932</v>
      </c>
      <c r="L204" s="10">
        <v>45604.0</v>
      </c>
      <c r="M204" s="11">
        <v>1.7</v>
      </c>
      <c r="N204" s="8" t="s">
        <v>70</v>
      </c>
      <c r="O204" s="12">
        <f t="shared" si="1"/>
        <v>0</v>
      </c>
      <c r="P204" s="12">
        <f t="shared" si="4"/>
        <v>2.22998</v>
      </c>
    </row>
    <row r="205">
      <c r="A205" s="15">
        <f t="shared" si="3"/>
        <v>204</v>
      </c>
      <c r="B205" s="15" t="s">
        <v>26</v>
      </c>
      <c r="C205" s="15" t="s">
        <v>40</v>
      </c>
      <c r="D205" s="15" t="s">
        <v>1128</v>
      </c>
      <c r="E205" s="15" t="s">
        <v>93</v>
      </c>
      <c r="F205" s="15" t="s">
        <v>598</v>
      </c>
      <c r="G205" s="15" t="s">
        <v>29</v>
      </c>
      <c r="H205" s="15" t="s">
        <v>39</v>
      </c>
      <c r="I205" s="16">
        <v>-2.75</v>
      </c>
      <c r="J205" s="16">
        <v>0.25</v>
      </c>
      <c r="K205" s="16">
        <v>0.0167</v>
      </c>
      <c r="L205" s="17">
        <v>45605.0</v>
      </c>
      <c r="M205" s="18">
        <v>1.8</v>
      </c>
      <c r="N205" s="15" t="s">
        <v>79</v>
      </c>
      <c r="O205" s="19">
        <f t="shared" si="1"/>
        <v>-0.00835</v>
      </c>
      <c r="P205" s="19">
        <f t="shared" si="4"/>
        <v>2.22163</v>
      </c>
    </row>
    <row r="206">
      <c r="A206" s="8">
        <f t="shared" si="3"/>
        <v>205</v>
      </c>
      <c r="B206" s="8" t="s">
        <v>26</v>
      </c>
      <c r="C206" s="8" t="s">
        <v>40</v>
      </c>
      <c r="D206" s="8" t="s">
        <v>1129</v>
      </c>
      <c r="E206" s="8" t="s">
        <v>93</v>
      </c>
      <c r="F206" s="8" t="s">
        <v>598</v>
      </c>
      <c r="G206" s="8" t="s">
        <v>29</v>
      </c>
      <c r="H206" s="8" t="s">
        <v>39</v>
      </c>
      <c r="I206" s="9">
        <v>-2.5</v>
      </c>
      <c r="J206" s="9">
        <v>0.1</v>
      </c>
      <c r="K206" s="9">
        <v>0.0967</v>
      </c>
      <c r="L206" s="10">
        <v>45605.0</v>
      </c>
      <c r="M206" s="11">
        <v>2.0</v>
      </c>
      <c r="N206" s="8" t="s">
        <v>25</v>
      </c>
      <c r="O206" s="12">
        <f t="shared" si="1"/>
        <v>-0.0967</v>
      </c>
      <c r="P206" s="12">
        <f t="shared" si="4"/>
        <v>2.12493</v>
      </c>
    </row>
    <row r="207">
      <c r="A207" s="15">
        <f t="shared" si="3"/>
        <v>206</v>
      </c>
      <c r="B207" s="15" t="s">
        <v>26</v>
      </c>
      <c r="C207" s="15" t="s">
        <v>40</v>
      </c>
      <c r="D207" s="15" t="s">
        <v>1130</v>
      </c>
      <c r="E207" s="15" t="s">
        <v>93</v>
      </c>
      <c r="F207" s="15" t="s">
        <v>22</v>
      </c>
      <c r="G207" s="15" t="s">
        <v>225</v>
      </c>
      <c r="H207" s="15" t="s">
        <v>24</v>
      </c>
      <c r="I207" s="16">
        <v>1.75</v>
      </c>
      <c r="J207" s="16">
        <v>0.1</v>
      </c>
      <c r="K207" s="16">
        <v>0.1</v>
      </c>
      <c r="L207" s="17">
        <v>45605.0</v>
      </c>
      <c r="M207" s="18">
        <v>1.8</v>
      </c>
      <c r="N207" s="15" t="s">
        <v>33</v>
      </c>
      <c r="O207" s="19">
        <f t="shared" si="1"/>
        <v>0.08</v>
      </c>
      <c r="P207" s="19">
        <f t="shared" si="4"/>
        <v>2.20493</v>
      </c>
    </row>
    <row r="208">
      <c r="A208" s="8">
        <f t="shared" si="3"/>
        <v>207</v>
      </c>
      <c r="B208" s="8" t="s">
        <v>129</v>
      </c>
      <c r="C208" s="8" t="s">
        <v>19</v>
      </c>
      <c r="D208" s="8" t="s">
        <v>1131</v>
      </c>
      <c r="E208" s="8" t="s">
        <v>88</v>
      </c>
      <c r="F208" s="8" t="s">
        <v>22</v>
      </c>
      <c r="G208" s="8" t="s">
        <v>892</v>
      </c>
      <c r="H208" s="8" t="s">
        <v>24</v>
      </c>
      <c r="I208" s="9">
        <v>0.0</v>
      </c>
      <c r="J208" s="9">
        <v>0.25</v>
      </c>
      <c r="K208" s="9">
        <v>0.2416</v>
      </c>
      <c r="L208" s="10">
        <v>45605.0</v>
      </c>
      <c r="M208" s="11">
        <v>2.05</v>
      </c>
      <c r="N208" s="8" t="s">
        <v>25</v>
      </c>
      <c r="O208" s="12">
        <f t="shared" si="1"/>
        <v>-0.2416</v>
      </c>
      <c r="P208" s="12">
        <f t="shared" si="4"/>
        <v>1.96333</v>
      </c>
    </row>
    <row r="209">
      <c r="A209" s="15">
        <f t="shared" si="3"/>
        <v>208</v>
      </c>
      <c r="B209" s="15" t="s">
        <v>35</v>
      </c>
      <c r="C209" s="15" t="s">
        <v>19</v>
      </c>
      <c r="D209" s="15" t="s">
        <v>1132</v>
      </c>
      <c r="E209" s="15" t="s">
        <v>583</v>
      </c>
      <c r="F209" s="15" t="s">
        <v>22</v>
      </c>
      <c r="G209" s="15" t="s">
        <v>225</v>
      </c>
      <c r="H209" s="15" t="s">
        <v>24</v>
      </c>
      <c r="I209" s="16">
        <v>1.0</v>
      </c>
      <c r="J209" s="16">
        <v>0.1</v>
      </c>
      <c r="K209" s="16">
        <v>0.0966</v>
      </c>
      <c r="L209" s="17">
        <v>45605.0</v>
      </c>
      <c r="M209" s="18">
        <v>1.975</v>
      </c>
      <c r="N209" s="15" t="s">
        <v>33</v>
      </c>
      <c r="O209" s="19">
        <f t="shared" si="1"/>
        <v>0.094185</v>
      </c>
      <c r="P209" s="19">
        <f t="shared" si="4"/>
        <v>2.057515</v>
      </c>
    </row>
    <row r="210">
      <c r="A210" s="8">
        <f t="shared" si="3"/>
        <v>209</v>
      </c>
      <c r="B210" s="8" t="s">
        <v>35</v>
      </c>
      <c r="C210" s="8" t="s">
        <v>19</v>
      </c>
      <c r="D210" s="8" t="s">
        <v>1133</v>
      </c>
      <c r="E210" s="8" t="s">
        <v>642</v>
      </c>
      <c r="F210" s="8" t="s">
        <v>598</v>
      </c>
      <c r="G210" s="8" t="s">
        <v>29</v>
      </c>
      <c r="H210" s="8" t="s">
        <v>39</v>
      </c>
      <c r="I210" s="9">
        <v>-2.0</v>
      </c>
      <c r="J210" s="9">
        <v>0.1</v>
      </c>
      <c r="K210" s="9">
        <v>0.0083</v>
      </c>
      <c r="L210" s="10">
        <v>45605.0</v>
      </c>
      <c r="M210" s="11">
        <v>1.775</v>
      </c>
      <c r="N210" s="8" t="s">
        <v>33</v>
      </c>
      <c r="O210" s="12">
        <f t="shared" si="1"/>
        <v>0.0064325</v>
      </c>
      <c r="P210" s="12">
        <f t="shared" si="4"/>
        <v>2.0639475</v>
      </c>
    </row>
    <row r="211">
      <c r="A211" s="15">
        <f t="shared" si="3"/>
        <v>210</v>
      </c>
      <c r="B211" s="15" t="s">
        <v>26</v>
      </c>
      <c r="C211" s="15" t="s">
        <v>19</v>
      </c>
      <c r="D211" s="15" t="s">
        <v>1134</v>
      </c>
      <c r="E211" s="15" t="s">
        <v>1006</v>
      </c>
      <c r="F211" s="15" t="s">
        <v>598</v>
      </c>
      <c r="G211" s="15" t="s">
        <v>29</v>
      </c>
      <c r="H211" s="15" t="s">
        <v>39</v>
      </c>
      <c r="I211" s="16">
        <v>-2.75</v>
      </c>
      <c r="J211" s="16">
        <v>0.1</v>
      </c>
      <c r="K211" s="16">
        <v>0.0966</v>
      </c>
      <c r="L211" s="17">
        <v>45605.0</v>
      </c>
      <c r="M211" s="18">
        <v>1.975</v>
      </c>
      <c r="N211" s="15" t="s">
        <v>33</v>
      </c>
      <c r="O211" s="19">
        <f t="shared" si="1"/>
        <v>0.094185</v>
      </c>
      <c r="P211" s="19">
        <f t="shared" si="4"/>
        <v>2.1581325</v>
      </c>
    </row>
    <row r="212">
      <c r="A212" s="8">
        <f t="shared" si="3"/>
        <v>211</v>
      </c>
      <c r="B212" s="8" t="s">
        <v>35</v>
      </c>
      <c r="C212" s="8" t="s">
        <v>19</v>
      </c>
      <c r="D212" s="8" t="s">
        <v>1135</v>
      </c>
      <c r="E212" s="8" t="s">
        <v>88</v>
      </c>
      <c r="F212" s="8" t="s">
        <v>598</v>
      </c>
      <c r="G212" s="8" t="s">
        <v>29</v>
      </c>
      <c r="H212" s="8" t="s">
        <v>39</v>
      </c>
      <c r="I212" s="9">
        <v>-2.0</v>
      </c>
      <c r="J212" s="9">
        <v>0.1</v>
      </c>
      <c r="K212" s="9">
        <v>0.1</v>
      </c>
      <c r="L212" s="54">
        <v>45605.0</v>
      </c>
      <c r="M212" s="11">
        <v>2.05</v>
      </c>
      <c r="N212" s="8" t="s">
        <v>70</v>
      </c>
      <c r="O212" s="12">
        <f t="shared" si="1"/>
        <v>0</v>
      </c>
      <c r="P212" s="12">
        <f t="shared" si="4"/>
        <v>2.1581325</v>
      </c>
    </row>
    <row r="213">
      <c r="A213" s="15">
        <f t="shared" si="3"/>
        <v>212</v>
      </c>
      <c r="B213" s="15" t="s">
        <v>26</v>
      </c>
      <c r="C213" s="15" t="s">
        <v>19</v>
      </c>
      <c r="D213" s="15" t="s">
        <v>1136</v>
      </c>
      <c r="E213" s="15" t="s">
        <v>432</v>
      </c>
      <c r="F213" s="15" t="s">
        <v>22</v>
      </c>
      <c r="G213" s="15" t="s">
        <v>225</v>
      </c>
      <c r="H213" s="15" t="s">
        <v>39</v>
      </c>
      <c r="I213" s="16">
        <v>2.0</v>
      </c>
      <c r="J213" s="16">
        <v>0.1</v>
      </c>
      <c r="K213" s="16">
        <v>0.1</v>
      </c>
      <c r="L213" s="17">
        <v>45605.0</v>
      </c>
      <c r="M213" s="18">
        <v>1.95</v>
      </c>
      <c r="N213" s="15" t="s">
        <v>25</v>
      </c>
      <c r="O213" s="19">
        <f t="shared" si="1"/>
        <v>-0.1</v>
      </c>
      <c r="P213" s="19">
        <f t="shared" si="4"/>
        <v>2.0581325</v>
      </c>
    </row>
    <row r="214">
      <c r="A214" s="8">
        <f t="shared" si="3"/>
        <v>213</v>
      </c>
      <c r="B214" s="8" t="s">
        <v>35</v>
      </c>
      <c r="C214" s="8" t="s">
        <v>19</v>
      </c>
      <c r="D214" s="8" t="s">
        <v>1137</v>
      </c>
      <c r="E214" s="8" t="s">
        <v>218</v>
      </c>
      <c r="F214" s="8" t="s">
        <v>598</v>
      </c>
      <c r="G214" s="8" t="s">
        <v>440</v>
      </c>
      <c r="H214" s="8" t="s">
        <v>39</v>
      </c>
      <c r="I214" s="9">
        <v>2.0</v>
      </c>
      <c r="J214" s="9">
        <v>0.1</v>
      </c>
      <c r="K214" s="9">
        <v>0.0583</v>
      </c>
      <c r="L214" s="10">
        <v>45605.0</v>
      </c>
      <c r="M214" s="11">
        <v>2.08</v>
      </c>
      <c r="N214" s="8" t="s">
        <v>25</v>
      </c>
      <c r="O214" s="12">
        <f t="shared" si="1"/>
        <v>-0.0583</v>
      </c>
      <c r="P214" s="12">
        <f t="shared" si="4"/>
        <v>1.9998325</v>
      </c>
    </row>
    <row r="215">
      <c r="A215" s="15">
        <f t="shared" si="3"/>
        <v>214</v>
      </c>
      <c r="B215" s="15" t="s">
        <v>26</v>
      </c>
      <c r="C215" s="15" t="s">
        <v>40</v>
      </c>
      <c r="D215" s="37" t="s">
        <v>1138</v>
      </c>
      <c r="E215" s="15" t="s">
        <v>93</v>
      </c>
      <c r="F215" s="15" t="s">
        <v>22</v>
      </c>
      <c r="G215" s="15" t="s">
        <v>225</v>
      </c>
      <c r="H215" s="15" t="s">
        <v>39</v>
      </c>
      <c r="I215" s="16">
        <v>1.25</v>
      </c>
      <c r="J215" s="16">
        <v>0.1</v>
      </c>
      <c r="K215" s="16">
        <v>0.1</v>
      </c>
      <c r="L215" s="17">
        <v>45605.0</v>
      </c>
      <c r="M215" s="18">
        <v>2.0</v>
      </c>
      <c r="N215" s="15" t="s">
        <v>25</v>
      </c>
      <c r="O215" s="19">
        <f t="shared" si="1"/>
        <v>-0.1</v>
      </c>
      <c r="P215" s="19">
        <f t="shared" si="4"/>
        <v>1.8998325</v>
      </c>
    </row>
    <row r="216">
      <c r="A216" s="8">
        <f t="shared" si="3"/>
        <v>215</v>
      </c>
      <c r="B216" s="8" t="s">
        <v>26</v>
      </c>
      <c r="C216" s="8" t="s">
        <v>19</v>
      </c>
      <c r="D216" s="47" t="s">
        <v>1139</v>
      </c>
      <c r="E216" s="8" t="s">
        <v>683</v>
      </c>
      <c r="F216" s="8" t="s">
        <v>22</v>
      </c>
      <c r="G216" s="8" t="s">
        <v>892</v>
      </c>
      <c r="H216" s="8" t="s">
        <v>24</v>
      </c>
      <c r="I216" s="9">
        <v>0.0</v>
      </c>
      <c r="J216" s="9">
        <v>0.35</v>
      </c>
      <c r="K216" s="9">
        <v>0.35</v>
      </c>
      <c r="L216" s="10">
        <v>45605.0</v>
      </c>
      <c r="M216" s="11">
        <v>1.7</v>
      </c>
      <c r="N216" s="8" t="s">
        <v>70</v>
      </c>
      <c r="O216" s="12">
        <f t="shared" si="1"/>
        <v>0</v>
      </c>
      <c r="P216" s="12">
        <f t="shared" si="4"/>
        <v>1.8998325</v>
      </c>
    </row>
    <row r="217">
      <c r="A217" s="15">
        <f t="shared" si="3"/>
        <v>216</v>
      </c>
      <c r="B217" s="15" t="s">
        <v>35</v>
      </c>
      <c r="C217" s="15" t="s">
        <v>19</v>
      </c>
      <c r="D217" s="42" t="s">
        <v>1140</v>
      </c>
      <c r="E217" s="15" t="s">
        <v>121</v>
      </c>
      <c r="F217" s="15" t="s">
        <v>598</v>
      </c>
      <c r="G217" s="15" t="s">
        <v>440</v>
      </c>
      <c r="H217" s="15" t="s">
        <v>39</v>
      </c>
      <c r="I217" s="16">
        <v>2.75</v>
      </c>
      <c r="J217" s="16">
        <v>0.1</v>
      </c>
      <c r="K217" s="16">
        <v>0.1</v>
      </c>
      <c r="L217" s="17">
        <v>45605.0</v>
      </c>
      <c r="M217" s="18">
        <v>1.7</v>
      </c>
      <c r="N217" s="15" t="s">
        <v>996</v>
      </c>
      <c r="O217" s="19">
        <f t="shared" si="1"/>
        <v>0.035</v>
      </c>
      <c r="P217" s="19">
        <f t="shared" si="4"/>
        <v>1.9348325</v>
      </c>
    </row>
    <row r="218">
      <c r="A218" s="8">
        <f t="shared" si="3"/>
        <v>217</v>
      </c>
      <c r="B218" s="8" t="s">
        <v>26</v>
      </c>
      <c r="C218" s="8" t="s">
        <v>19</v>
      </c>
      <c r="D218" s="8" t="s">
        <v>1141</v>
      </c>
      <c r="E218" s="8" t="s">
        <v>675</v>
      </c>
      <c r="F218" s="8" t="s">
        <v>598</v>
      </c>
      <c r="G218" s="8" t="s">
        <v>29</v>
      </c>
      <c r="H218" s="8" t="s">
        <v>24</v>
      </c>
      <c r="I218" s="9">
        <v>-2.25</v>
      </c>
      <c r="J218" s="9">
        <v>0.25</v>
      </c>
      <c r="K218" s="9">
        <v>0.25</v>
      </c>
      <c r="L218" s="10">
        <v>45605.0</v>
      </c>
      <c r="M218" s="11">
        <v>1.85</v>
      </c>
      <c r="N218" s="8" t="s">
        <v>25</v>
      </c>
      <c r="O218" s="12">
        <f t="shared" si="1"/>
        <v>-0.25</v>
      </c>
      <c r="P218" s="12">
        <f t="shared" si="4"/>
        <v>1.6848325</v>
      </c>
    </row>
    <row r="219">
      <c r="A219" s="15">
        <f t="shared" si="3"/>
        <v>218</v>
      </c>
      <c r="B219" s="15" t="s">
        <v>35</v>
      </c>
      <c r="C219" s="15" t="s">
        <v>19</v>
      </c>
      <c r="D219" s="15" t="s">
        <v>1142</v>
      </c>
      <c r="E219" s="15" t="s">
        <v>82</v>
      </c>
      <c r="F219" s="15" t="s">
        <v>598</v>
      </c>
      <c r="G219" s="15" t="s">
        <v>29</v>
      </c>
      <c r="H219" s="15" t="s">
        <v>39</v>
      </c>
      <c r="I219" s="16">
        <v>-1.0</v>
      </c>
      <c r="J219" s="16">
        <v>0.05</v>
      </c>
      <c r="K219" s="16">
        <v>0.05</v>
      </c>
      <c r="L219" s="17">
        <v>45605.0</v>
      </c>
      <c r="M219" s="18">
        <v>1.08</v>
      </c>
      <c r="N219" s="15" t="s">
        <v>70</v>
      </c>
      <c r="O219" s="19">
        <f t="shared" si="1"/>
        <v>0</v>
      </c>
      <c r="P219" s="19">
        <f t="shared" si="4"/>
        <v>1.6848325</v>
      </c>
    </row>
    <row r="220">
      <c r="A220" s="8">
        <f t="shared" si="3"/>
        <v>219</v>
      </c>
      <c r="B220" s="8" t="s">
        <v>35</v>
      </c>
      <c r="C220" s="8" t="s">
        <v>19</v>
      </c>
      <c r="D220" s="8" t="s">
        <v>1143</v>
      </c>
      <c r="E220" s="8" t="s">
        <v>432</v>
      </c>
      <c r="F220" s="8" t="s">
        <v>598</v>
      </c>
      <c r="G220" s="8" t="s">
        <v>440</v>
      </c>
      <c r="H220" s="8" t="s">
        <v>39</v>
      </c>
      <c r="I220" s="9">
        <v>4.25</v>
      </c>
      <c r="J220" s="9">
        <v>0.1</v>
      </c>
      <c r="K220" s="9">
        <v>0.095</v>
      </c>
      <c r="L220" s="10">
        <v>45605.0</v>
      </c>
      <c r="M220" s="11">
        <v>1.75</v>
      </c>
      <c r="N220" s="8" t="s">
        <v>25</v>
      </c>
      <c r="O220" s="12">
        <f t="shared" si="1"/>
        <v>-0.095</v>
      </c>
      <c r="P220" s="12">
        <f t="shared" si="4"/>
        <v>1.5898325</v>
      </c>
    </row>
    <row r="221">
      <c r="A221" s="15">
        <f t="shared" si="3"/>
        <v>220</v>
      </c>
      <c r="B221" s="15" t="s">
        <v>35</v>
      </c>
      <c r="C221" s="15" t="s">
        <v>19</v>
      </c>
      <c r="D221" s="15" t="s">
        <v>1144</v>
      </c>
      <c r="E221" s="15" t="s">
        <v>593</v>
      </c>
      <c r="F221" s="15" t="s">
        <v>598</v>
      </c>
      <c r="G221" s="15" t="s">
        <v>29</v>
      </c>
      <c r="H221" s="15" t="s">
        <v>39</v>
      </c>
      <c r="I221" s="16">
        <v>-2.25</v>
      </c>
      <c r="J221" s="16">
        <v>0.1</v>
      </c>
      <c r="K221" s="16">
        <v>0.1</v>
      </c>
      <c r="L221" s="17">
        <v>45605.0</v>
      </c>
      <c r="M221" s="18">
        <v>1.925</v>
      </c>
      <c r="N221" s="15" t="s">
        <v>33</v>
      </c>
      <c r="O221" s="19">
        <f t="shared" si="1"/>
        <v>0.0925</v>
      </c>
      <c r="P221" s="19">
        <f t="shared" si="4"/>
        <v>1.6823325</v>
      </c>
    </row>
    <row r="222">
      <c r="A222" s="8">
        <f t="shared" si="3"/>
        <v>221</v>
      </c>
      <c r="B222" s="8" t="s">
        <v>35</v>
      </c>
      <c r="C222" s="8" t="s">
        <v>19</v>
      </c>
      <c r="D222" s="8" t="s">
        <v>1145</v>
      </c>
      <c r="E222" s="8" t="s">
        <v>432</v>
      </c>
      <c r="F222" s="8" t="s">
        <v>598</v>
      </c>
      <c r="G222" s="8" t="s">
        <v>29</v>
      </c>
      <c r="H222" s="8" t="s">
        <v>39</v>
      </c>
      <c r="I222" s="9">
        <v>-2.0</v>
      </c>
      <c r="J222" s="9">
        <v>0.1</v>
      </c>
      <c r="K222" s="9">
        <v>0.1</v>
      </c>
      <c r="L222" s="10">
        <v>45605.0</v>
      </c>
      <c r="M222" s="11">
        <v>1.875</v>
      </c>
      <c r="N222" s="8" t="s">
        <v>70</v>
      </c>
      <c r="O222" s="12">
        <f t="shared" si="1"/>
        <v>0</v>
      </c>
      <c r="P222" s="12">
        <f t="shared" si="4"/>
        <v>1.6823325</v>
      </c>
    </row>
    <row r="223">
      <c r="A223" s="15">
        <f t="shared" si="3"/>
        <v>222</v>
      </c>
      <c r="B223" s="15" t="s">
        <v>26</v>
      </c>
      <c r="C223" s="15" t="s">
        <v>19</v>
      </c>
      <c r="D223" s="15" t="s">
        <v>1146</v>
      </c>
      <c r="E223" s="15" t="s">
        <v>273</v>
      </c>
      <c r="F223" s="15" t="s">
        <v>598</v>
      </c>
      <c r="G223" s="15" t="s">
        <v>29</v>
      </c>
      <c r="H223" s="15" t="s">
        <v>24</v>
      </c>
      <c r="I223" s="16">
        <v>-2.25</v>
      </c>
      <c r="J223" s="16">
        <v>0.35</v>
      </c>
      <c r="K223" s="16">
        <v>0.35</v>
      </c>
      <c r="L223" s="17">
        <v>45605.0</v>
      </c>
      <c r="M223" s="18">
        <v>1.9</v>
      </c>
      <c r="N223" s="15" t="s">
        <v>996</v>
      </c>
      <c r="O223" s="19">
        <f t="shared" si="1"/>
        <v>0.1575</v>
      </c>
      <c r="P223" s="19">
        <f t="shared" si="4"/>
        <v>1.8398325</v>
      </c>
    </row>
    <row r="224">
      <c r="A224" s="8">
        <f t="shared" si="3"/>
        <v>223</v>
      </c>
      <c r="B224" s="8" t="s">
        <v>26</v>
      </c>
      <c r="C224" s="8" t="s">
        <v>19</v>
      </c>
      <c r="D224" s="8" t="s">
        <v>1147</v>
      </c>
      <c r="E224" s="8" t="s">
        <v>273</v>
      </c>
      <c r="F224" s="8" t="s">
        <v>598</v>
      </c>
      <c r="G224" s="8" t="s">
        <v>29</v>
      </c>
      <c r="H224" s="8" t="s">
        <v>24</v>
      </c>
      <c r="I224" s="9">
        <v>-2.75</v>
      </c>
      <c r="J224" s="9">
        <v>0.35</v>
      </c>
      <c r="K224" s="9">
        <v>0.35</v>
      </c>
      <c r="L224" s="10">
        <v>45605.0</v>
      </c>
      <c r="M224" s="11">
        <v>1.9</v>
      </c>
      <c r="N224" s="8" t="s">
        <v>25</v>
      </c>
      <c r="O224" s="12">
        <f t="shared" si="1"/>
        <v>-0.35</v>
      </c>
      <c r="P224" s="12">
        <f t="shared" si="4"/>
        <v>1.4898325</v>
      </c>
    </row>
    <row r="225">
      <c r="A225" s="15">
        <f t="shared" si="3"/>
        <v>224</v>
      </c>
      <c r="B225" s="15" t="s">
        <v>26</v>
      </c>
      <c r="C225" s="15" t="s">
        <v>19</v>
      </c>
      <c r="D225" s="15" t="s">
        <v>1148</v>
      </c>
      <c r="E225" s="15" t="s">
        <v>624</v>
      </c>
      <c r="F225" s="15" t="s">
        <v>598</v>
      </c>
      <c r="G225" s="15" t="s">
        <v>29</v>
      </c>
      <c r="H225" s="15" t="s">
        <v>39</v>
      </c>
      <c r="I225" s="16">
        <v>-2.75</v>
      </c>
      <c r="J225" s="16">
        <v>0.2</v>
      </c>
      <c r="K225" s="16">
        <v>0.0866</v>
      </c>
      <c r="L225" s="17">
        <v>45605.0</v>
      </c>
      <c r="M225" s="18">
        <v>1.875</v>
      </c>
      <c r="N225" s="15" t="s">
        <v>25</v>
      </c>
      <c r="O225" s="19">
        <f t="shared" si="1"/>
        <v>-0.0866</v>
      </c>
      <c r="P225" s="19">
        <f t="shared" si="4"/>
        <v>1.4032325</v>
      </c>
    </row>
    <row r="226">
      <c r="A226" s="8">
        <f t="shared" si="3"/>
        <v>225</v>
      </c>
      <c r="B226" s="8" t="s">
        <v>131</v>
      </c>
      <c r="C226" s="8" t="s">
        <v>19</v>
      </c>
      <c r="D226" s="8" t="s">
        <v>1149</v>
      </c>
      <c r="E226" s="8" t="s">
        <v>583</v>
      </c>
      <c r="F226" s="8" t="s">
        <v>22</v>
      </c>
      <c r="G226" s="8" t="s">
        <v>1150</v>
      </c>
      <c r="H226" s="8" t="s">
        <v>24</v>
      </c>
      <c r="I226" s="9">
        <v>0.0</v>
      </c>
      <c r="J226" s="9">
        <v>0.3</v>
      </c>
      <c r="K226" s="9">
        <v>0.3</v>
      </c>
      <c r="L226" s="10">
        <v>45605.0</v>
      </c>
      <c r="M226" s="11">
        <v>1.95</v>
      </c>
      <c r="N226" s="8" t="s">
        <v>70</v>
      </c>
      <c r="O226" s="12">
        <f t="shared" si="1"/>
        <v>0</v>
      </c>
      <c r="P226" s="12">
        <f t="shared" si="4"/>
        <v>1.4032325</v>
      </c>
    </row>
    <row r="227">
      <c r="A227" s="15">
        <f t="shared" si="3"/>
        <v>226</v>
      </c>
      <c r="B227" s="15" t="s">
        <v>26</v>
      </c>
      <c r="C227" s="15" t="s">
        <v>19</v>
      </c>
      <c r="D227" s="15" t="s">
        <v>1151</v>
      </c>
      <c r="E227" s="15" t="s">
        <v>583</v>
      </c>
      <c r="F227" s="15" t="s">
        <v>22</v>
      </c>
      <c r="G227" s="15" t="s">
        <v>892</v>
      </c>
      <c r="H227" s="15" t="s">
        <v>24</v>
      </c>
      <c r="I227" s="16">
        <v>0.0</v>
      </c>
      <c r="J227" s="16">
        <v>0.25</v>
      </c>
      <c r="K227" s="16">
        <v>0.25</v>
      </c>
      <c r="L227" s="17">
        <v>45605.0</v>
      </c>
      <c r="M227" s="18">
        <v>2.05</v>
      </c>
      <c r="N227" s="15" t="s">
        <v>70</v>
      </c>
      <c r="O227" s="19">
        <f t="shared" si="1"/>
        <v>0</v>
      </c>
      <c r="P227" s="19">
        <f t="shared" si="4"/>
        <v>1.4032325</v>
      </c>
    </row>
    <row r="228">
      <c r="A228" s="8">
        <f t="shared" si="3"/>
        <v>227</v>
      </c>
      <c r="B228" s="8" t="s">
        <v>137</v>
      </c>
      <c r="C228" s="8" t="s">
        <v>19</v>
      </c>
      <c r="D228" s="8" t="s">
        <v>1152</v>
      </c>
      <c r="E228" s="8" t="s">
        <v>193</v>
      </c>
      <c r="F228" s="8" t="s">
        <v>22</v>
      </c>
      <c r="G228" s="8" t="s">
        <v>892</v>
      </c>
      <c r="H228" s="8" t="s">
        <v>24</v>
      </c>
      <c r="I228" s="9">
        <v>0.0</v>
      </c>
      <c r="J228" s="9">
        <v>0.25</v>
      </c>
      <c r="K228" s="9">
        <v>0.25</v>
      </c>
      <c r="L228" s="10">
        <v>45605.0</v>
      </c>
      <c r="M228" s="11">
        <v>1.95</v>
      </c>
      <c r="N228" s="8" t="s">
        <v>70</v>
      </c>
      <c r="O228" s="12">
        <f t="shared" si="1"/>
        <v>0</v>
      </c>
      <c r="P228" s="12">
        <f t="shared" si="4"/>
        <v>1.4032325</v>
      </c>
    </row>
    <row r="229">
      <c r="A229" s="15">
        <f t="shared" si="3"/>
        <v>228</v>
      </c>
      <c r="B229" s="15" t="s">
        <v>35</v>
      </c>
      <c r="C229" s="15" t="s">
        <v>19</v>
      </c>
      <c r="D229" s="15" t="s">
        <v>1153</v>
      </c>
      <c r="E229" s="15" t="s">
        <v>316</v>
      </c>
      <c r="F229" s="15" t="s">
        <v>598</v>
      </c>
      <c r="G229" s="15" t="s">
        <v>29</v>
      </c>
      <c r="H229" s="15" t="s">
        <v>39</v>
      </c>
      <c r="I229" s="16">
        <v>-1.5</v>
      </c>
      <c r="J229" s="16">
        <v>0.1</v>
      </c>
      <c r="K229" s="16">
        <v>0.1</v>
      </c>
      <c r="L229" s="17">
        <v>45605.0</v>
      </c>
      <c r="M229" s="18">
        <v>1.7</v>
      </c>
      <c r="N229" s="15" t="s">
        <v>25</v>
      </c>
      <c r="O229" s="19">
        <f t="shared" si="1"/>
        <v>-0.1</v>
      </c>
      <c r="P229" s="19">
        <f t="shared" si="4"/>
        <v>1.3032325</v>
      </c>
    </row>
    <row r="230">
      <c r="A230" s="8">
        <f t="shared" si="3"/>
        <v>229</v>
      </c>
      <c r="B230" s="8" t="s">
        <v>26</v>
      </c>
      <c r="C230" s="8" t="s">
        <v>40</v>
      </c>
      <c r="D230" s="8" t="s">
        <v>1154</v>
      </c>
      <c r="E230" s="8" t="s">
        <v>229</v>
      </c>
      <c r="F230" s="8" t="s">
        <v>598</v>
      </c>
      <c r="G230" s="8" t="s">
        <v>440</v>
      </c>
      <c r="H230" s="8" t="s">
        <v>39</v>
      </c>
      <c r="I230" s="9">
        <v>2.5</v>
      </c>
      <c r="J230" s="9">
        <v>0.1</v>
      </c>
      <c r="K230" s="9">
        <v>0.1</v>
      </c>
      <c r="L230" s="10">
        <v>45605.0</v>
      </c>
      <c r="M230" s="11">
        <v>1.85</v>
      </c>
      <c r="N230" s="8" t="s">
        <v>25</v>
      </c>
      <c r="O230" s="12">
        <f t="shared" si="1"/>
        <v>-0.1</v>
      </c>
      <c r="P230" s="12">
        <f t="shared" si="4"/>
        <v>1.2032325</v>
      </c>
    </row>
    <row r="231">
      <c r="A231" s="15">
        <f t="shared" si="3"/>
        <v>230</v>
      </c>
      <c r="B231" s="15" t="s">
        <v>26</v>
      </c>
      <c r="C231" s="15" t="s">
        <v>19</v>
      </c>
      <c r="D231" s="15" t="s">
        <v>1155</v>
      </c>
      <c r="E231" s="15" t="s">
        <v>273</v>
      </c>
      <c r="F231" s="15" t="s">
        <v>22</v>
      </c>
      <c r="G231" s="15" t="s">
        <v>892</v>
      </c>
      <c r="H231" s="15" t="s">
        <v>24</v>
      </c>
      <c r="I231" s="16">
        <v>0.0</v>
      </c>
      <c r="J231" s="16">
        <v>0.35</v>
      </c>
      <c r="K231" s="16">
        <v>0.35</v>
      </c>
      <c r="L231" s="55">
        <v>45605.0</v>
      </c>
      <c r="M231" s="18">
        <v>1.75</v>
      </c>
      <c r="N231" s="15" t="s">
        <v>70</v>
      </c>
      <c r="O231" s="19">
        <f t="shared" si="1"/>
        <v>0</v>
      </c>
      <c r="P231" s="19">
        <f t="shared" si="4"/>
        <v>1.2032325</v>
      </c>
    </row>
    <row r="232">
      <c r="A232" s="8">
        <f t="shared" si="3"/>
        <v>231</v>
      </c>
      <c r="B232" s="8" t="s">
        <v>137</v>
      </c>
      <c r="C232" s="8" t="s">
        <v>19</v>
      </c>
      <c r="D232" s="96" t="s">
        <v>1156</v>
      </c>
      <c r="E232" s="8" t="s">
        <v>93</v>
      </c>
      <c r="F232" s="8" t="s">
        <v>22</v>
      </c>
      <c r="G232" s="8" t="s">
        <v>225</v>
      </c>
      <c r="H232" s="8" t="s">
        <v>24</v>
      </c>
      <c r="I232" s="9">
        <v>0.25</v>
      </c>
      <c r="J232" s="9">
        <v>0.35</v>
      </c>
      <c r="K232" s="9">
        <v>0.35</v>
      </c>
      <c r="L232" s="10">
        <v>45605.0</v>
      </c>
      <c r="M232" s="11">
        <v>1.825</v>
      </c>
      <c r="N232" s="8" t="s">
        <v>33</v>
      </c>
      <c r="O232" s="12">
        <f t="shared" si="1"/>
        <v>0.28875</v>
      </c>
      <c r="P232" s="12">
        <f t="shared" si="4"/>
        <v>1.4919825</v>
      </c>
    </row>
    <row r="233">
      <c r="A233" s="15">
        <f t="shared" si="3"/>
        <v>232</v>
      </c>
      <c r="B233" s="15" t="s">
        <v>131</v>
      </c>
      <c r="C233" s="15" t="s">
        <v>19</v>
      </c>
      <c r="D233" s="15" t="s">
        <v>1157</v>
      </c>
      <c r="E233" s="15" t="s">
        <v>583</v>
      </c>
      <c r="F233" s="15" t="s">
        <v>22</v>
      </c>
      <c r="G233" s="15" t="s">
        <v>892</v>
      </c>
      <c r="H233" s="15" t="s">
        <v>24</v>
      </c>
      <c r="I233" s="16">
        <v>0.0</v>
      </c>
      <c r="J233" s="16">
        <v>0.35</v>
      </c>
      <c r="K233" s="16">
        <v>0.35</v>
      </c>
      <c r="L233" s="17">
        <v>45605.0</v>
      </c>
      <c r="M233" s="18">
        <v>1.95</v>
      </c>
      <c r="N233" s="15" t="s">
        <v>33</v>
      </c>
      <c r="O233" s="19">
        <f t="shared" si="1"/>
        <v>0.3325</v>
      </c>
      <c r="P233" s="19">
        <f t="shared" si="4"/>
        <v>1.8244825</v>
      </c>
    </row>
    <row r="234">
      <c r="A234" s="8">
        <f t="shared" si="3"/>
        <v>233</v>
      </c>
      <c r="B234" s="8" t="s">
        <v>35</v>
      </c>
      <c r="C234" s="8" t="s">
        <v>19</v>
      </c>
      <c r="D234" s="8" t="s">
        <v>1158</v>
      </c>
      <c r="E234" s="8" t="s">
        <v>93</v>
      </c>
      <c r="F234" s="8" t="s">
        <v>22</v>
      </c>
      <c r="G234" s="8" t="s">
        <v>440</v>
      </c>
      <c r="H234" s="8" t="s">
        <v>39</v>
      </c>
      <c r="I234" s="9">
        <v>1.75</v>
      </c>
      <c r="J234" s="9">
        <v>0.1</v>
      </c>
      <c r="K234" s="9">
        <v>0.1</v>
      </c>
      <c r="L234" s="10">
        <v>45605.0</v>
      </c>
      <c r="M234" s="11">
        <v>2.0</v>
      </c>
      <c r="N234" s="8" t="s">
        <v>25</v>
      </c>
      <c r="O234" s="12">
        <f t="shared" si="1"/>
        <v>-0.1</v>
      </c>
      <c r="P234" s="12">
        <f t="shared" si="4"/>
        <v>1.7244825</v>
      </c>
    </row>
    <row r="235">
      <c r="A235" s="15">
        <f t="shared" si="3"/>
        <v>234</v>
      </c>
      <c r="B235" s="15" t="s">
        <v>35</v>
      </c>
      <c r="C235" s="15" t="s">
        <v>19</v>
      </c>
      <c r="D235" s="15" t="s">
        <v>1159</v>
      </c>
      <c r="E235" s="15" t="s">
        <v>44</v>
      </c>
      <c r="F235" s="15" t="s">
        <v>22</v>
      </c>
      <c r="G235" s="15" t="s">
        <v>29</v>
      </c>
      <c r="H235" s="15" t="s">
        <v>39</v>
      </c>
      <c r="I235" s="16">
        <v>-1.25</v>
      </c>
      <c r="J235" s="16">
        <v>0.1</v>
      </c>
      <c r="K235" s="16">
        <v>0.1</v>
      </c>
      <c r="L235" s="17">
        <v>45605.0</v>
      </c>
      <c r="M235" s="18">
        <v>1.85</v>
      </c>
      <c r="N235" s="15" t="s">
        <v>996</v>
      </c>
      <c r="O235" s="19">
        <f t="shared" si="1"/>
        <v>0.0425</v>
      </c>
      <c r="P235" s="19">
        <f t="shared" si="4"/>
        <v>1.7669825</v>
      </c>
    </row>
    <row r="236">
      <c r="A236" s="8">
        <f t="shared" si="3"/>
        <v>235</v>
      </c>
      <c r="B236" s="8" t="s">
        <v>35</v>
      </c>
      <c r="C236" s="8" t="s">
        <v>40</v>
      </c>
      <c r="D236" s="8" t="s">
        <v>1160</v>
      </c>
      <c r="E236" s="8" t="s">
        <v>99</v>
      </c>
      <c r="F236" s="8" t="s">
        <v>22</v>
      </c>
      <c r="G236" s="8" t="s">
        <v>29</v>
      </c>
      <c r="H236" s="8" t="s">
        <v>39</v>
      </c>
      <c r="I236" s="9">
        <v>-4.0</v>
      </c>
      <c r="J236" s="9">
        <v>0.1</v>
      </c>
      <c r="K236" s="9">
        <v>0.045</v>
      </c>
      <c r="L236" s="10">
        <v>45605.0</v>
      </c>
      <c r="M236" s="11">
        <v>1.8</v>
      </c>
      <c r="N236" s="8" t="s">
        <v>25</v>
      </c>
      <c r="O236" s="12">
        <f t="shared" si="1"/>
        <v>-0.045</v>
      </c>
      <c r="P236" s="12">
        <f t="shared" si="4"/>
        <v>1.7219825</v>
      </c>
    </row>
    <row r="237">
      <c r="A237" s="15">
        <f t="shared" si="3"/>
        <v>236</v>
      </c>
      <c r="B237" s="15" t="s">
        <v>35</v>
      </c>
      <c r="C237" s="15" t="s">
        <v>19</v>
      </c>
      <c r="D237" s="15" t="s">
        <v>1161</v>
      </c>
      <c r="E237" s="15" t="s">
        <v>432</v>
      </c>
      <c r="F237" s="15" t="s">
        <v>22</v>
      </c>
      <c r="G237" s="15" t="s">
        <v>29</v>
      </c>
      <c r="H237" s="15" t="s">
        <v>39</v>
      </c>
      <c r="I237" s="16">
        <v>-3.0</v>
      </c>
      <c r="J237" s="16">
        <v>0.1</v>
      </c>
      <c r="K237" s="16">
        <v>0.1</v>
      </c>
      <c r="L237" s="17">
        <v>45605.0</v>
      </c>
      <c r="M237" s="18">
        <v>1.975</v>
      </c>
      <c r="N237" s="15" t="s">
        <v>25</v>
      </c>
      <c r="O237" s="19">
        <f t="shared" si="1"/>
        <v>-0.1</v>
      </c>
      <c r="P237" s="19">
        <f t="shared" si="4"/>
        <v>1.6219825</v>
      </c>
    </row>
    <row r="238">
      <c r="A238" s="8">
        <f t="shared" si="3"/>
        <v>237</v>
      </c>
      <c r="B238" s="8" t="s">
        <v>26</v>
      </c>
      <c r="C238" s="8" t="s">
        <v>19</v>
      </c>
      <c r="D238" s="8" t="s">
        <v>1162</v>
      </c>
      <c r="E238" s="8" t="s">
        <v>952</v>
      </c>
      <c r="F238" s="8" t="s">
        <v>598</v>
      </c>
      <c r="G238" s="8" t="s">
        <v>29</v>
      </c>
      <c r="H238" s="8" t="s">
        <v>39</v>
      </c>
      <c r="I238" s="9">
        <v>-2.0</v>
      </c>
      <c r="J238" s="9">
        <v>0.2</v>
      </c>
      <c r="K238" s="9">
        <v>0.2</v>
      </c>
      <c r="L238" s="10">
        <v>45605.0</v>
      </c>
      <c r="M238" s="11">
        <v>1.9</v>
      </c>
      <c r="N238" s="8" t="s">
        <v>33</v>
      </c>
      <c r="O238" s="12">
        <f t="shared" si="1"/>
        <v>0.18</v>
      </c>
      <c r="P238" s="12">
        <f t="shared" si="4"/>
        <v>1.8019825</v>
      </c>
    </row>
    <row r="239">
      <c r="A239" s="15">
        <f t="shared" si="3"/>
        <v>238</v>
      </c>
      <c r="B239" s="15" t="s">
        <v>26</v>
      </c>
      <c r="C239" s="15" t="s">
        <v>19</v>
      </c>
      <c r="D239" s="15" t="s">
        <v>1163</v>
      </c>
      <c r="E239" s="15" t="s">
        <v>952</v>
      </c>
      <c r="F239" s="15" t="s">
        <v>598</v>
      </c>
      <c r="G239" s="15" t="s">
        <v>29</v>
      </c>
      <c r="H239" s="15" t="s">
        <v>24</v>
      </c>
      <c r="I239" s="16">
        <v>-2.0</v>
      </c>
      <c r="J239" s="16">
        <v>0.35</v>
      </c>
      <c r="K239" s="16">
        <v>0.35</v>
      </c>
      <c r="L239" s="17">
        <v>45605.0</v>
      </c>
      <c r="M239" s="18">
        <v>1.925</v>
      </c>
      <c r="N239" s="15" t="s">
        <v>25</v>
      </c>
      <c r="O239" s="19">
        <f t="shared" si="1"/>
        <v>-0.35</v>
      </c>
      <c r="P239" s="19">
        <f t="shared" si="4"/>
        <v>1.4519825</v>
      </c>
    </row>
    <row r="240">
      <c r="A240" s="8">
        <f t="shared" si="3"/>
        <v>239</v>
      </c>
      <c r="B240" s="8" t="s">
        <v>26</v>
      </c>
      <c r="C240" s="8" t="s">
        <v>19</v>
      </c>
      <c r="D240" s="8" t="s">
        <v>1164</v>
      </c>
      <c r="E240" s="8" t="s">
        <v>583</v>
      </c>
      <c r="F240" s="8" t="s">
        <v>22</v>
      </c>
      <c r="G240" s="8" t="s">
        <v>1165</v>
      </c>
      <c r="H240" s="8" t="s">
        <v>24</v>
      </c>
      <c r="I240" s="9"/>
      <c r="J240" s="9">
        <v>0.05</v>
      </c>
      <c r="K240" s="9">
        <v>0.05</v>
      </c>
      <c r="L240" s="10">
        <v>45605.0</v>
      </c>
      <c r="M240" s="11">
        <v>6.5</v>
      </c>
      <c r="N240" s="8" t="s">
        <v>25</v>
      </c>
      <c r="O240" s="12">
        <f t="shared" si="1"/>
        <v>-0.05</v>
      </c>
      <c r="P240" s="12">
        <f t="shared" si="4"/>
        <v>1.4019825</v>
      </c>
    </row>
    <row r="241">
      <c r="A241" s="15">
        <f t="shared" si="3"/>
        <v>240</v>
      </c>
      <c r="B241" s="15" t="s">
        <v>26</v>
      </c>
      <c r="C241" s="15" t="s">
        <v>19</v>
      </c>
      <c r="D241" s="15" t="s">
        <v>1166</v>
      </c>
      <c r="E241" s="15" t="s">
        <v>583</v>
      </c>
      <c r="F241" s="15" t="s">
        <v>22</v>
      </c>
      <c r="G241" s="15" t="s">
        <v>225</v>
      </c>
      <c r="H241" s="15" t="s">
        <v>24</v>
      </c>
      <c r="I241" s="16">
        <v>0.25</v>
      </c>
      <c r="J241" s="16">
        <v>0.2</v>
      </c>
      <c r="K241" s="16">
        <v>0.2</v>
      </c>
      <c r="L241" s="17">
        <v>45605.0</v>
      </c>
      <c r="M241" s="18">
        <v>1.85</v>
      </c>
      <c r="N241" s="15" t="s">
        <v>25</v>
      </c>
      <c r="O241" s="19">
        <f t="shared" si="1"/>
        <v>-0.2</v>
      </c>
      <c r="P241" s="19">
        <f t="shared" si="4"/>
        <v>1.2019825</v>
      </c>
    </row>
    <row r="242">
      <c r="A242" s="8">
        <f t="shared" si="3"/>
        <v>241</v>
      </c>
      <c r="B242" s="8" t="s">
        <v>26</v>
      </c>
      <c r="C242" s="8" t="s">
        <v>19</v>
      </c>
      <c r="D242" s="8" t="s">
        <v>1167</v>
      </c>
      <c r="E242" s="8" t="s">
        <v>908</v>
      </c>
      <c r="F242" s="8" t="s">
        <v>22</v>
      </c>
      <c r="G242" s="8" t="s">
        <v>892</v>
      </c>
      <c r="H242" s="8" t="s">
        <v>24</v>
      </c>
      <c r="I242" s="9">
        <v>0.0</v>
      </c>
      <c r="J242" s="9">
        <v>0.35</v>
      </c>
      <c r="K242" s="9">
        <v>0.35</v>
      </c>
      <c r="L242" s="10">
        <v>45605.0</v>
      </c>
      <c r="M242" s="11">
        <v>1.725</v>
      </c>
      <c r="N242" s="8" t="s">
        <v>33</v>
      </c>
      <c r="O242" s="12">
        <f t="shared" si="1"/>
        <v>0.25375</v>
      </c>
      <c r="P242" s="12">
        <f t="shared" si="4"/>
        <v>1.4557325</v>
      </c>
    </row>
    <row r="243">
      <c r="A243" s="15">
        <f t="shared" si="3"/>
        <v>242</v>
      </c>
      <c r="B243" s="15" t="s">
        <v>35</v>
      </c>
      <c r="C243" s="15" t="s">
        <v>19</v>
      </c>
      <c r="D243" s="15" t="s">
        <v>1168</v>
      </c>
      <c r="E243" s="15" t="s">
        <v>273</v>
      </c>
      <c r="F243" s="15" t="s">
        <v>22</v>
      </c>
      <c r="G243" s="15" t="s">
        <v>29</v>
      </c>
      <c r="H243" s="15" t="s">
        <v>39</v>
      </c>
      <c r="I243" s="16">
        <v>-3.0</v>
      </c>
      <c r="J243" s="16">
        <v>0.1</v>
      </c>
      <c r="K243" s="16">
        <v>0.1</v>
      </c>
      <c r="L243" s="17">
        <v>45605.0</v>
      </c>
      <c r="M243" s="18">
        <v>2.0</v>
      </c>
      <c r="N243" s="15" t="s">
        <v>25</v>
      </c>
      <c r="O243" s="19">
        <f t="shared" si="1"/>
        <v>-0.1</v>
      </c>
      <c r="P243" s="19">
        <f t="shared" si="4"/>
        <v>1.3557325</v>
      </c>
    </row>
    <row r="244">
      <c r="A244" s="8">
        <f t="shared" si="3"/>
        <v>243</v>
      </c>
      <c r="B244" s="8" t="s">
        <v>26</v>
      </c>
      <c r="C244" s="8" t="s">
        <v>40</v>
      </c>
      <c r="D244" s="8" t="s">
        <v>1169</v>
      </c>
      <c r="E244" s="8" t="s">
        <v>99</v>
      </c>
      <c r="F244" s="8" t="s">
        <v>598</v>
      </c>
      <c r="G244" s="8" t="s">
        <v>29</v>
      </c>
      <c r="H244" s="8" t="s">
        <v>39</v>
      </c>
      <c r="I244" s="9">
        <v>2.5</v>
      </c>
      <c r="J244" s="9">
        <v>0.1</v>
      </c>
      <c r="K244" s="9">
        <v>0.1</v>
      </c>
      <c r="L244" s="10">
        <v>45605.0</v>
      </c>
      <c r="M244" s="11">
        <v>1.727</v>
      </c>
      <c r="N244" s="8" t="s">
        <v>33</v>
      </c>
      <c r="O244" s="12">
        <f t="shared" si="1"/>
        <v>0.0727</v>
      </c>
      <c r="P244" s="12">
        <f t="shared" si="4"/>
        <v>1.4284325</v>
      </c>
    </row>
    <row r="245">
      <c r="A245" s="15">
        <f t="shared" si="3"/>
        <v>244</v>
      </c>
      <c r="B245" s="15" t="s">
        <v>26</v>
      </c>
      <c r="C245" s="15" t="s">
        <v>19</v>
      </c>
      <c r="D245" s="15" t="s">
        <v>1170</v>
      </c>
      <c r="E245" s="15" t="s">
        <v>940</v>
      </c>
      <c r="F245" s="15" t="s">
        <v>598</v>
      </c>
      <c r="G245" s="15" t="s">
        <v>29</v>
      </c>
      <c r="H245" s="15" t="s">
        <v>39</v>
      </c>
      <c r="I245" s="16">
        <v>-3.5</v>
      </c>
      <c r="J245" s="16">
        <v>0.1</v>
      </c>
      <c r="K245" s="16">
        <v>0.1</v>
      </c>
      <c r="L245" s="55">
        <v>45605.0</v>
      </c>
      <c r="M245" s="18">
        <f>236.25/150</f>
        <v>1.575</v>
      </c>
      <c r="N245" s="15" t="s">
        <v>33</v>
      </c>
      <c r="O245" s="19">
        <f t="shared" si="1"/>
        <v>0.0575</v>
      </c>
      <c r="P245" s="19">
        <f t="shared" si="4"/>
        <v>1.4859325</v>
      </c>
    </row>
    <row r="246">
      <c r="A246" s="8">
        <f t="shared" si="3"/>
        <v>245</v>
      </c>
      <c r="B246" s="8" t="s">
        <v>35</v>
      </c>
      <c r="C246" s="8" t="s">
        <v>19</v>
      </c>
      <c r="D246" s="8" t="s">
        <v>1171</v>
      </c>
      <c r="E246" s="8" t="s">
        <v>1172</v>
      </c>
      <c r="F246" s="8" t="s">
        <v>22</v>
      </c>
      <c r="G246" s="8" t="s">
        <v>29</v>
      </c>
      <c r="H246" s="8" t="s">
        <v>39</v>
      </c>
      <c r="I246" s="9">
        <v>-2.0</v>
      </c>
      <c r="J246" s="9">
        <v>0.1</v>
      </c>
      <c r="K246" s="9">
        <v>0.1</v>
      </c>
      <c r="L246" s="10">
        <v>45605.0</v>
      </c>
      <c r="M246" s="11">
        <v>2.0</v>
      </c>
      <c r="N246" s="8" t="s">
        <v>70</v>
      </c>
      <c r="O246" s="12">
        <f t="shared" si="1"/>
        <v>0</v>
      </c>
      <c r="P246" s="12">
        <f t="shared" si="4"/>
        <v>1.4859325</v>
      </c>
    </row>
    <row r="247">
      <c r="A247" s="15">
        <f t="shared" si="3"/>
        <v>246</v>
      </c>
      <c r="B247" s="15" t="s">
        <v>35</v>
      </c>
      <c r="C247" s="15" t="s">
        <v>19</v>
      </c>
      <c r="D247" s="15" t="s">
        <v>1173</v>
      </c>
      <c r="E247" s="15" t="s">
        <v>703</v>
      </c>
      <c r="F247" s="15" t="s">
        <v>22</v>
      </c>
      <c r="G247" s="15" t="s">
        <v>29</v>
      </c>
      <c r="H247" s="15" t="s">
        <v>39</v>
      </c>
      <c r="I247" s="16">
        <v>-3.25</v>
      </c>
      <c r="J247" s="16">
        <v>0.1</v>
      </c>
      <c r="K247" s="16">
        <v>0.1</v>
      </c>
      <c r="L247" s="17">
        <v>45605.0</v>
      </c>
      <c r="M247" s="18">
        <v>1.875</v>
      </c>
      <c r="N247" s="15" t="s">
        <v>33</v>
      </c>
      <c r="O247" s="19">
        <f t="shared" si="1"/>
        <v>0.0875</v>
      </c>
      <c r="P247" s="19">
        <f t="shared" si="4"/>
        <v>1.5734325</v>
      </c>
    </row>
    <row r="248">
      <c r="A248" s="8">
        <f t="shared" si="3"/>
        <v>247</v>
      </c>
      <c r="B248" s="8" t="s">
        <v>35</v>
      </c>
      <c r="C248" s="8" t="s">
        <v>19</v>
      </c>
      <c r="D248" s="8" t="s">
        <v>1174</v>
      </c>
      <c r="E248" s="8" t="s">
        <v>1175</v>
      </c>
      <c r="F248" s="8" t="s">
        <v>598</v>
      </c>
      <c r="G248" s="8" t="s">
        <v>440</v>
      </c>
      <c r="H248" s="8" t="s">
        <v>24</v>
      </c>
      <c r="I248" s="9">
        <v>4.75</v>
      </c>
      <c r="J248" s="9">
        <v>0.1</v>
      </c>
      <c r="K248" s="9">
        <v>0.1</v>
      </c>
      <c r="L248" s="10">
        <v>45605.0</v>
      </c>
      <c r="M248" s="11">
        <v>1.7</v>
      </c>
      <c r="N248" s="8" t="s">
        <v>25</v>
      </c>
      <c r="O248" s="12">
        <f t="shared" si="1"/>
        <v>-0.1</v>
      </c>
      <c r="P248" s="12">
        <f t="shared" si="4"/>
        <v>1.4734325</v>
      </c>
    </row>
    <row r="249">
      <c r="A249" s="15">
        <f t="shared" si="3"/>
        <v>248</v>
      </c>
      <c r="B249" s="15" t="s">
        <v>129</v>
      </c>
      <c r="C249" s="15" t="s">
        <v>19</v>
      </c>
      <c r="D249" s="15" t="s">
        <v>1176</v>
      </c>
      <c r="E249" s="15" t="s">
        <v>703</v>
      </c>
      <c r="F249" s="15" t="s">
        <v>22</v>
      </c>
      <c r="G249" s="15" t="s">
        <v>225</v>
      </c>
      <c r="H249" s="15" t="s">
        <v>24</v>
      </c>
      <c r="I249" s="16">
        <v>0.25</v>
      </c>
      <c r="J249" s="16">
        <v>0.25</v>
      </c>
      <c r="K249" s="16">
        <v>0.25</v>
      </c>
      <c r="L249" s="17">
        <v>45605.0</v>
      </c>
      <c r="M249" s="18">
        <v>2.025</v>
      </c>
      <c r="N249" s="15" t="s">
        <v>996</v>
      </c>
      <c r="O249" s="19">
        <f t="shared" si="1"/>
        <v>0.128125</v>
      </c>
      <c r="P249" s="19">
        <f t="shared" si="4"/>
        <v>1.6015575</v>
      </c>
    </row>
    <row r="250">
      <c r="A250" s="8">
        <f t="shared" si="3"/>
        <v>249</v>
      </c>
      <c r="B250" s="8" t="s">
        <v>35</v>
      </c>
      <c r="C250" s="8" t="s">
        <v>19</v>
      </c>
      <c r="D250" s="8" t="s">
        <v>1177</v>
      </c>
      <c r="E250" s="8" t="s">
        <v>50</v>
      </c>
      <c r="F250" s="8" t="s">
        <v>22</v>
      </c>
      <c r="G250" s="8" t="s">
        <v>29</v>
      </c>
      <c r="H250" s="8" t="s">
        <v>39</v>
      </c>
      <c r="I250" s="9">
        <v>-3.0</v>
      </c>
      <c r="J250" s="9">
        <v>0.1</v>
      </c>
      <c r="K250" s="9">
        <v>0.1</v>
      </c>
      <c r="L250" s="10">
        <v>45605.0</v>
      </c>
      <c r="M250" s="11">
        <v>2.075</v>
      </c>
      <c r="N250" s="8" t="s">
        <v>33</v>
      </c>
      <c r="O250" s="12">
        <f t="shared" si="1"/>
        <v>0.1075</v>
      </c>
      <c r="P250" s="12">
        <f t="shared" si="4"/>
        <v>1.7090575</v>
      </c>
    </row>
    <row r="251">
      <c r="A251" s="15">
        <f t="shared" si="3"/>
        <v>250</v>
      </c>
      <c r="B251" s="15" t="s">
        <v>35</v>
      </c>
      <c r="C251" s="15" t="s">
        <v>19</v>
      </c>
      <c r="D251" s="15" t="s">
        <v>1178</v>
      </c>
      <c r="E251" s="15" t="s">
        <v>624</v>
      </c>
      <c r="F251" s="15" t="s">
        <v>22</v>
      </c>
      <c r="G251" s="15" t="s">
        <v>29</v>
      </c>
      <c r="H251" s="15" t="s">
        <v>39</v>
      </c>
      <c r="I251" s="16">
        <v>-2.0</v>
      </c>
      <c r="J251" s="16">
        <v>0.1</v>
      </c>
      <c r="K251" s="16">
        <v>0.1</v>
      </c>
      <c r="L251" s="17">
        <v>45605.0</v>
      </c>
      <c r="M251" s="18">
        <v>1.95</v>
      </c>
      <c r="N251" s="15" t="s">
        <v>70</v>
      </c>
      <c r="O251" s="19">
        <f t="shared" si="1"/>
        <v>0</v>
      </c>
      <c r="P251" s="19">
        <f t="shared" si="4"/>
        <v>1.7090575</v>
      </c>
    </row>
    <row r="252">
      <c r="A252" s="8">
        <f t="shared" si="3"/>
        <v>251</v>
      </c>
      <c r="B252" s="8" t="s">
        <v>35</v>
      </c>
      <c r="C252" s="8" t="s">
        <v>19</v>
      </c>
      <c r="D252" s="8" t="s">
        <v>1179</v>
      </c>
      <c r="E252" s="8" t="s">
        <v>96</v>
      </c>
      <c r="F252" s="8" t="s">
        <v>22</v>
      </c>
      <c r="G252" s="8" t="s">
        <v>440</v>
      </c>
      <c r="H252" s="8" t="s">
        <v>39</v>
      </c>
      <c r="I252" s="9">
        <v>1.5</v>
      </c>
      <c r="J252" s="9">
        <v>0.2</v>
      </c>
      <c r="K252" s="9">
        <v>0.1</v>
      </c>
      <c r="L252" s="10">
        <v>45605.0</v>
      </c>
      <c r="M252" s="11">
        <v>1.75</v>
      </c>
      <c r="N252" s="8" t="s">
        <v>25</v>
      </c>
      <c r="O252" s="12">
        <f t="shared" si="1"/>
        <v>-0.1</v>
      </c>
      <c r="P252" s="12">
        <f t="shared" si="4"/>
        <v>1.6090575</v>
      </c>
    </row>
    <row r="253">
      <c r="A253" s="15">
        <f t="shared" si="3"/>
        <v>252</v>
      </c>
      <c r="B253" s="15" t="s">
        <v>26</v>
      </c>
      <c r="C253" s="15" t="s">
        <v>19</v>
      </c>
      <c r="D253" s="15" t="s">
        <v>1180</v>
      </c>
      <c r="E253" s="15" t="s">
        <v>172</v>
      </c>
      <c r="F253" s="15" t="s">
        <v>598</v>
      </c>
      <c r="G253" s="15" t="s">
        <v>29</v>
      </c>
      <c r="H253" s="15" t="s">
        <v>39</v>
      </c>
      <c r="I253" s="16">
        <v>-2.5</v>
      </c>
      <c r="J253" s="16">
        <v>0.15</v>
      </c>
      <c r="K253" s="16">
        <v>0.15</v>
      </c>
      <c r="L253" s="17">
        <v>45605.0</v>
      </c>
      <c r="M253" s="18">
        <v>1.975</v>
      </c>
      <c r="N253" s="15" t="s">
        <v>25</v>
      </c>
      <c r="O253" s="19">
        <f t="shared" si="1"/>
        <v>-0.15</v>
      </c>
      <c r="P253" s="19">
        <f t="shared" si="4"/>
        <v>1.4590575</v>
      </c>
    </row>
    <row r="254">
      <c r="A254" s="8">
        <f t="shared" si="3"/>
        <v>253</v>
      </c>
      <c r="B254" s="8" t="s">
        <v>26</v>
      </c>
      <c r="C254" s="8" t="s">
        <v>40</v>
      </c>
      <c r="D254" s="8" t="s">
        <v>1181</v>
      </c>
      <c r="E254" s="8" t="s">
        <v>1182</v>
      </c>
      <c r="F254" s="8" t="s">
        <v>22</v>
      </c>
      <c r="G254" s="8" t="s">
        <v>892</v>
      </c>
      <c r="H254" s="8" t="s">
        <v>24</v>
      </c>
      <c r="I254" s="9">
        <v>0.0</v>
      </c>
      <c r="J254" s="9">
        <v>0.35</v>
      </c>
      <c r="K254" s="9">
        <v>0.35</v>
      </c>
      <c r="L254" s="10">
        <v>45605.0</v>
      </c>
      <c r="M254" s="11">
        <v>2.05</v>
      </c>
      <c r="N254" s="8" t="s">
        <v>33</v>
      </c>
      <c r="O254" s="12">
        <f t="shared" si="1"/>
        <v>0.3675</v>
      </c>
      <c r="P254" s="12">
        <f t="shared" si="4"/>
        <v>1.8265575</v>
      </c>
    </row>
    <row r="255">
      <c r="A255" s="15">
        <f t="shared" si="3"/>
        <v>254</v>
      </c>
      <c r="B255" s="15" t="s">
        <v>26</v>
      </c>
      <c r="C255" s="15" t="s">
        <v>19</v>
      </c>
      <c r="D255" s="15" t="s">
        <v>1183</v>
      </c>
      <c r="E255" s="15" t="s">
        <v>191</v>
      </c>
      <c r="F255" s="15" t="s">
        <v>598</v>
      </c>
      <c r="G255" s="15" t="s">
        <v>29</v>
      </c>
      <c r="H255" s="15" t="s">
        <v>39</v>
      </c>
      <c r="I255" s="16">
        <v>-2.0</v>
      </c>
      <c r="J255" s="16">
        <v>0.15</v>
      </c>
      <c r="K255" s="16">
        <v>0.15</v>
      </c>
      <c r="L255" s="17">
        <v>45605.0</v>
      </c>
      <c r="M255" s="18">
        <v>1.975</v>
      </c>
      <c r="N255" s="15" t="s">
        <v>33</v>
      </c>
      <c r="O255" s="19">
        <f t="shared" si="1"/>
        <v>0.14625</v>
      </c>
      <c r="P255" s="19">
        <f t="shared" si="4"/>
        <v>1.9728075</v>
      </c>
    </row>
    <row r="256">
      <c r="A256" s="8">
        <f t="shared" si="3"/>
        <v>255</v>
      </c>
      <c r="B256" s="8" t="s">
        <v>35</v>
      </c>
      <c r="C256" s="8" t="s">
        <v>19</v>
      </c>
      <c r="D256" s="8" t="s">
        <v>1184</v>
      </c>
      <c r="E256" s="8" t="s">
        <v>245</v>
      </c>
      <c r="F256" s="8" t="s">
        <v>22</v>
      </c>
      <c r="G256" s="8" t="s">
        <v>29</v>
      </c>
      <c r="H256" s="8" t="s">
        <v>39</v>
      </c>
      <c r="I256" s="9">
        <v>-1.0</v>
      </c>
      <c r="J256" s="9">
        <v>0.1</v>
      </c>
      <c r="K256" s="9">
        <v>0.1</v>
      </c>
      <c r="L256" s="10">
        <v>45605.0</v>
      </c>
      <c r="M256" s="11">
        <v>1.825</v>
      </c>
      <c r="N256" s="8" t="s">
        <v>70</v>
      </c>
      <c r="O256" s="12">
        <f t="shared" si="1"/>
        <v>0</v>
      </c>
      <c r="P256" s="12">
        <f t="shared" si="4"/>
        <v>1.9728075</v>
      </c>
    </row>
    <row r="257">
      <c r="A257" s="15">
        <f t="shared" si="3"/>
        <v>256</v>
      </c>
      <c r="B257" s="15" t="s">
        <v>129</v>
      </c>
      <c r="C257" s="15" t="s">
        <v>40</v>
      </c>
      <c r="D257" s="15" t="s">
        <v>1185</v>
      </c>
      <c r="E257" s="15" t="s">
        <v>229</v>
      </c>
      <c r="F257" s="15" t="s">
        <v>22</v>
      </c>
      <c r="G257" s="15" t="s">
        <v>225</v>
      </c>
      <c r="H257" s="15" t="s">
        <v>39</v>
      </c>
      <c r="I257" s="16">
        <v>0.25</v>
      </c>
      <c r="J257" s="16">
        <v>0.1</v>
      </c>
      <c r="K257" s="16">
        <v>0.1</v>
      </c>
      <c r="L257" s="17">
        <v>45605.0</v>
      </c>
      <c r="M257" s="18">
        <v>1.825</v>
      </c>
      <c r="N257" s="15" t="s">
        <v>996</v>
      </c>
      <c r="O257" s="19">
        <f t="shared" si="1"/>
        <v>0.04125</v>
      </c>
      <c r="P257" s="19">
        <f t="shared" si="4"/>
        <v>2.0140575</v>
      </c>
    </row>
    <row r="258">
      <c r="A258" s="8">
        <f t="shared" si="3"/>
        <v>257</v>
      </c>
      <c r="B258" s="8" t="s">
        <v>129</v>
      </c>
      <c r="C258" s="8" t="s">
        <v>19</v>
      </c>
      <c r="D258" s="8" t="s">
        <v>1186</v>
      </c>
      <c r="E258" s="8" t="s">
        <v>245</v>
      </c>
      <c r="F258" s="8" t="s">
        <v>22</v>
      </c>
      <c r="G258" s="8" t="s">
        <v>892</v>
      </c>
      <c r="H258" s="8" t="s">
        <v>24</v>
      </c>
      <c r="I258" s="9">
        <v>0.0</v>
      </c>
      <c r="J258" s="9">
        <v>0.3</v>
      </c>
      <c r="K258" s="9">
        <v>0.3</v>
      </c>
      <c r="L258" s="10">
        <v>45605.0</v>
      </c>
      <c r="M258" s="11">
        <v>1.725</v>
      </c>
      <c r="N258" s="8" t="s">
        <v>33</v>
      </c>
      <c r="O258" s="12">
        <f t="shared" si="1"/>
        <v>0.2175</v>
      </c>
      <c r="P258" s="12">
        <f t="shared" si="4"/>
        <v>2.2315575</v>
      </c>
    </row>
    <row r="259">
      <c r="A259" s="15">
        <f t="shared" si="3"/>
        <v>258</v>
      </c>
      <c r="B259" s="15" t="s">
        <v>26</v>
      </c>
      <c r="C259" s="15" t="s">
        <v>19</v>
      </c>
      <c r="D259" s="15" t="s">
        <v>1187</v>
      </c>
      <c r="E259" s="15" t="s">
        <v>93</v>
      </c>
      <c r="F259" s="15" t="s">
        <v>598</v>
      </c>
      <c r="G259" s="15" t="s">
        <v>29</v>
      </c>
      <c r="H259" s="15" t="s">
        <v>24</v>
      </c>
      <c r="I259" s="16">
        <v>-2.75</v>
      </c>
      <c r="J259" s="16">
        <v>0.25</v>
      </c>
      <c r="K259" s="16">
        <v>0.25</v>
      </c>
      <c r="L259" s="17">
        <v>45605.0</v>
      </c>
      <c r="M259" s="18">
        <v>1.85</v>
      </c>
      <c r="N259" s="15" t="s">
        <v>33</v>
      </c>
      <c r="O259" s="19">
        <f t="shared" si="1"/>
        <v>0.2125</v>
      </c>
      <c r="P259" s="19">
        <f t="shared" si="4"/>
        <v>2.4440575</v>
      </c>
    </row>
    <row r="260">
      <c r="A260" s="8">
        <f t="shared" si="3"/>
        <v>259</v>
      </c>
      <c r="B260" s="8" t="s">
        <v>35</v>
      </c>
      <c r="C260" s="8" t="s">
        <v>19</v>
      </c>
      <c r="D260" s="8" t="s">
        <v>1188</v>
      </c>
      <c r="E260" s="8" t="s">
        <v>121</v>
      </c>
      <c r="F260" s="8" t="s">
        <v>22</v>
      </c>
      <c r="G260" s="8" t="s">
        <v>440</v>
      </c>
      <c r="H260" s="8" t="s">
        <v>39</v>
      </c>
      <c r="I260" s="9">
        <v>2.0</v>
      </c>
      <c r="J260" s="9">
        <v>0.1</v>
      </c>
      <c r="K260" s="9">
        <v>0.1</v>
      </c>
      <c r="L260" s="54">
        <v>45605.0</v>
      </c>
      <c r="M260" s="11">
        <v>1.725</v>
      </c>
      <c r="N260" s="8" t="s">
        <v>33</v>
      </c>
      <c r="O260" s="12">
        <f t="shared" si="1"/>
        <v>0.0725</v>
      </c>
      <c r="P260" s="12">
        <f t="shared" si="4"/>
        <v>2.5165575</v>
      </c>
    </row>
    <row r="261">
      <c r="A261" s="15">
        <f t="shared" si="3"/>
        <v>260</v>
      </c>
      <c r="B261" s="15" t="s">
        <v>26</v>
      </c>
      <c r="C261" s="15" t="s">
        <v>19</v>
      </c>
      <c r="D261" s="15" t="s">
        <v>1189</v>
      </c>
      <c r="E261" s="15" t="s">
        <v>58</v>
      </c>
      <c r="F261" s="15" t="s">
        <v>598</v>
      </c>
      <c r="G261" s="15" t="s">
        <v>225</v>
      </c>
      <c r="H261" s="15" t="s">
        <v>39</v>
      </c>
      <c r="I261" s="16">
        <v>1.25</v>
      </c>
      <c r="J261" s="16">
        <v>0.1</v>
      </c>
      <c r="K261" s="16">
        <v>0.1</v>
      </c>
      <c r="L261" s="17">
        <v>45605.0</v>
      </c>
      <c r="M261" s="18">
        <v>1.975</v>
      </c>
      <c r="N261" s="15" t="s">
        <v>33</v>
      </c>
      <c r="O261" s="19">
        <f t="shared" si="1"/>
        <v>0.0975</v>
      </c>
      <c r="P261" s="19">
        <f t="shared" si="4"/>
        <v>2.6140575</v>
      </c>
    </row>
    <row r="262">
      <c r="A262" s="8">
        <f t="shared" si="3"/>
        <v>261</v>
      </c>
      <c r="B262" s="8" t="s">
        <v>26</v>
      </c>
      <c r="C262" s="8" t="s">
        <v>19</v>
      </c>
      <c r="D262" s="8" t="s">
        <v>1190</v>
      </c>
      <c r="E262" s="8" t="s">
        <v>66</v>
      </c>
      <c r="F262" s="8" t="s">
        <v>598</v>
      </c>
      <c r="G262" s="8" t="s">
        <v>29</v>
      </c>
      <c r="H262" s="8" t="s">
        <v>24</v>
      </c>
      <c r="I262" s="9">
        <v>-3.5</v>
      </c>
      <c r="J262" s="9">
        <v>0.25</v>
      </c>
      <c r="K262" s="9">
        <v>0.25</v>
      </c>
      <c r="L262" s="10">
        <v>45605.0</v>
      </c>
      <c r="M262" s="11">
        <v>1.7</v>
      </c>
      <c r="N262" s="8" t="s">
        <v>33</v>
      </c>
      <c r="O262" s="12">
        <f t="shared" si="1"/>
        <v>0.175</v>
      </c>
      <c r="P262" s="12">
        <f t="shared" si="4"/>
        <v>2.7890575</v>
      </c>
    </row>
    <row r="263">
      <c r="A263" s="15">
        <f t="shared" si="3"/>
        <v>262</v>
      </c>
      <c r="B263" s="15" t="s">
        <v>26</v>
      </c>
      <c r="C263" s="15" t="s">
        <v>19</v>
      </c>
      <c r="D263" s="15" t="s">
        <v>1191</v>
      </c>
      <c r="E263" s="15" t="s">
        <v>66</v>
      </c>
      <c r="F263" s="15" t="s">
        <v>598</v>
      </c>
      <c r="G263" s="15" t="s">
        <v>225</v>
      </c>
      <c r="H263" s="15" t="s">
        <v>39</v>
      </c>
      <c r="I263" s="16">
        <v>0.75</v>
      </c>
      <c r="J263" s="16">
        <v>0.1</v>
      </c>
      <c r="K263" s="16">
        <v>0.0966</v>
      </c>
      <c r="L263" s="17">
        <v>45605.0</v>
      </c>
      <c r="M263" s="18">
        <v>2.0</v>
      </c>
      <c r="N263" s="15" t="s">
        <v>33</v>
      </c>
      <c r="O263" s="19">
        <f t="shared" si="1"/>
        <v>0.0966</v>
      </c>
      <c r="P263" s="19">
        <f t="shared" si="4"/>
        <v>2.8856575</v>
      </c>
    </row>
    <row r="264">
      <c r="A264" s="8">
        <f t="shared" si="3"/>
        <v>263</v>
      </c>
      <c r="B264" s="8" t="s">
        <v>35</v>
      </c>
      <c r="C264" s="8" t="s">
        <v>19</v>
      </c>
      <c r="D264" s="8" t="s">
        <v>1192</v>
      </c>
      <c r="E264" s="8" t="s">
        <v>121</v>
      </c>
      <c r="F264" s="8" t="s">
        <v>22</v>
      </c>
      <c r="G264" s="8" t="s">
        <v>29</v>
      </c>
      <c r="H264" s="8" t="s">
        <v>39</v>
      </c>
      <c r="I264" s="9">
        <v>-1.0</v>
      </c>
      <c r="J264" s="9">
        <v>0.1</v>
      </c>
      <c r="K264" s="9">
        <v>0.085</v>
      </c>
      <c r="L264" s="10">
        <v>45605.0</v>
      </c>
      <c r="M264" s="11">
        <v>1.8</v>
      </c>
      <c r="N264" s="8" t="s">
        <v>25</v>
      </c>
      <c r="O264" s="12">
        <f t="shared" si="1"/>
        <v>-0.085</v>
      </c>
      <c r="P264" s="12">
        <f t="shared" si="4"/>
        <v>2.8006575</v>
      </c>
    </row>
    <row r="265">
      <c r="A265" s="15">
        <f t="shared" si="3"/>
        <v>264</v>
      </c>
      <c r="B265" s="15" t="s">
        <v>35</v>
      </c>
      <c r="C265" s="15" t="s">
        <v>19</v>
      </c>
      <c r="D265" s="15" t="s">
        <v>1193</v>
      </c>
      <c r="E265" s="15" t="s">
        <v>1194</v>
      </c>
      <c r="F265" s="15" t="s">
        <v>598</v>
      </c>
      <c r="G265" s="15" t="s">
        <v>440</v>
      </c>
      <c r="H265" s="15" t="s">
        <v>39</v>
      </c>
      <c r="I265" s="16">
        <v>1.75</v>
      </c>
      <c r="J265" s="16">
        <v>0.1</v>
      </c>
      <c r="K265" s="16">
        <v>0.095</v>
      </c>
      <c r="L265" s="17">
        <v>45605.0</v>
      </c>
      <c r="M265" s="18">
        <v>1.8</v>
      </c>
      <c r="N265" s="15" t="s">
        <v>996</v>
      </c>
      <c r="O265" s="19">
        <f t="shared" si="1"/>
        <v>0.038</v>
      </c>
      <c r="P265" s="19">
        <f t="shared" si="4"/>
        <v>2.8386575</v>
      </c>
    </row>
    <row r="266">
      <c r="A266" s="8">
        <f t="shared" si="3"/>
        <v>265</v>
      </c>
      <c r="B266" s="8" t="s">
        <v>35</v>
      </c>
      <c r="C266" s="8" t="s">
        <v>40</v>
      </c>
      <c r="D266" s="8" t="s">
        <v>1195</v>
      </c>
      <c r="E266" s="8" t="s">
        <v>50</v>
      </c>
      <c r="F266" s="8" t="s">
        <v>22</v>
      </c>
      <c r="G266" s="8" t="s">
        <v>440</v>
      </c>
      <c r="H266" s="8" t="s">
        <v>39</v>
      </c>
      <c r="I266" s="9">
        <v>5.0</v>
      </c>
      <c r="J266" s="9">
        <v>0.1</v>
      </c>
      <c r="K266" s="9">
        <v>0.0933</v>
      </c>
      <c r="L266" s="10">
        <v>45605.0</v>
      </c>
      <c r="M266" s="11">
        <v>1.75</v>
      </c>
      <c r="N266" s="8" t="s">
        <v>25</v>
      </c>
      <c r="O266" s="12">
        <f t="shared" si="1"/>
        <v>-0.0933</v>
      </c>
      <c r="P266" s="12">
        <f t="shared" si="4"/>
        <v>2.7453575</v>
      </c>
    </row>
    <row r="267">
      <c r="A267" s="15">
        <f t="shared" si="3"/>
        <v>266</v>
      </c>
      <c r="B267" s="15" t="s">
        <v>129</v>
      </c>
      <c r="C267" s="15" t="s">
        <v>19</v>
      </c>
      <c r="D267" s="15" t="s">
        <v>1196</v>
      </c>
      <c r="E267" s="15" t="s">
        <v>659</v>
      </c>
      <c r="F267" s="15" t="s">
        <v>22</v>
      </c>
      <c r="G267" s="15" t="s">
        <v>892</v>
      </c>
      <c r="H267" s="15" t="s">
        <v>24</v>
      </c>
      <c r="I267" s="16">
        <v>0.0</v>
      </c>
      <c r="J267" s="16">
        <v>0.35</v>
      </c>
      <c r="K267" s="16">
        <v>0.3383</v>
      </c>
      <c r="L267" s="17">
        <v>45605.0</v>
      </c>
      <c r="M267" s="18">
        <v>1.75</v>
      </c>
      <c r="N267" s="15" t="s">
        <v>70</v>
      </c>
      <c r="O267" s="19">
        <f t="shared" si="1"/>
        <v>0</v>
      </c>
      <c r="P267" s="19">
        <f t="shared" si="4"/>
        <v>2.7453575</v>
      </c>
    </row>
    <row r="268">
      <c r="A268" s="8">
        <f t="shared" si="3"/>
        <v>267</v>
      </c>
      <c r="B268" s="8" t="s">
        <v>26</v>
      </c>
      <c r="C268" s="8" t="s">
        <v>19</v>
      </c>
      <c r="D268" s="8" t="s">
        <v>1197</v>
      </c>
      <c r="E268" s="8" t="s">
        <v>172</v>
      </c>
      <c r="F268" s="8" t="s">
        <v>598</v>
      </c>
      <c r="G268" s="8" t="s">
        <v>29</v>
      </c>
      <c r="H268" s="8" t="s">
        <v>24</v>
      </c>
      <c r="I268" s="9">
        <v>-2.5</v>
      </c>
      <c r="J268" s="9">
        <v>0.15</v>
      </c>
      <c r="K268" s="9">
        <v>0.145</v>
      </c>
      <c r="L268" s="10">
        <v>45605.0</v>
      </c>
      <c r="M268" s="11">
        <v>1.95</v>
      </c>
      <c r="N268" s="8" t="s">
        <v>25</v>
      </c>
      <c r="O268" s="12">
        <f t="shared" si="1"/>
        <v>-0.145</v>
      </c>
      <c r="P268" s="12">
        <f t="shared" si="4"/>
        <v>2.6003575</v>
      </c>
    </row>
    <row r="269">
      <c r="A269" s="15">
        <f t="shared" si="3"/>
        <v>268</v>
      </c>
      <c r="B269" s="15" t="s">
        <v>35</v>
      </c>
      <c r="C269" s="15" t="s">
        <v>19</v>
      </c>
      <c r="D269" s="15" t="s">
        <v>1198</v>
      </c>
      <c r="E269" s="15" t="s">
        <v>659</v>
      </c>
      <c r="F269" s="15" t="s">
        <v>22</v>
      </c>
      <c r="G269" s="15" t="s">
        <v>440</v>
      </c>
      <c r="H269" s="15" t="s">
        <v>39</v>
      </c>
      <c r="I269" s="16">
        <v>1.5</v>
      </c>
      <c r="J269" s="16">
        <v>0.1</v>
      </c>
      <c r="K269" s="16">
        <v>0.0433</v>
      </c>
      <c r="L269" s="17">
        <v>45605.0</v>
      </c>
      <c r="M269" s="18">
        <v>1.7</v>
      </c>
      <c r="N269" s="15" t="s">
        <v>33</v>
      </c>
      <c r="O269" s="19">
        <f t="shared" si="1"/>
        <v>0.03031</v>
      </c>
      <c r="P269" s="19">
        <f t="shared" si="4"/>
        <v>2.6306675</v>
      </c>
    </row>
    <row r="270">
      <c r="A270" s="8">
        <f t="shared" si="3"/>
        <v>269</v>
      </c>
      <c r="B270" s="8" t="s">
        <v>129</v>
      </c>
      <c r="C270" s="8" t="s">
        <v>19</v>
      </c>
      <c r="D270" s="8" t="s">
        <v>1199</v>
      </c>
      <c r="E270" s="8" t="s">
        <v>66</v>
      </c>
      <c r="F270" s="8" t="s">
        <v>22</v>
      </c>
      <c r="G270" s="8" t="s">
        <v>225</v>
      </c>
      <c r="H270" s="8" t="s">
        <v>24</v>
      </c>
      <c r="I270" s="9">
        <v>0.25</v>
      </c>
      <c r="J270" s="9">
        <v>0.3</v>
      </c>
      <c r="K270" s="9">
        <v>0.3</v>
      </c>
      <c r="L270" s="10">
        <v>45605.0</v>
      </c>
      <c r="M270" s="11">
        <v>1.9</v>
      </c>
      <c r="N270" s="8" t="s">
        <v>33</v>
      </c>
      <c r="O270" s="12">
        <f t="shared" si="1"/>
        <v>0.27</v>
      </c>
      <c r="P270" s="12">
        <f t="shared" si="4"/>
        <v>2.9006675</v>
      </c>
    </row>
    <row r="271">
      <c r="A271" s="15">
        <f t="shared" si="3"/>
        <v>270</v>
      </c>
      <c r="B271" s="15" t="s">
        <v>35</v>
      </c>
      <c r="C271" s="15" t="s">
        <v>19</v>
      </c>
      <c r="D271" s="15" t="s">
        <v>1200</v>
      </c>
      <c r="E271" s="15" t="s">
        <v>1201</v>
      </c>
      <c r="F271" s="15" t="s">
        <v>22</v>
      </c>
      <c r="G271" s="15" t="s">
        <v>440</v>
      </c>
      <c r="H271" s="15" t="s">
        <v>39</v>
      </c>
      <c r="I271" s="16">
        <v>1.75</v>
      </c>
      <c r="J271" s="16">
        <v>0.1</v>
      </c>
      <c r="K271" s="16">
        <v>0.0966</v>
      </c>
      <c r="L271" s="17">
        <v>45605.0</v>
      </c>
      <c r="M271" s="18">
        <v>1.85</v>
      </c>
      <c r="N271" s="15" t="s">
        <v>996</v>
      </c>
      <c r="O271" s="19">
        <f t="shared" si="1"/>
        <v>0.041055</v>
      </c>
      <c r="P271" s="19">
        <f t="shared" si="4"/>
        <v>2.9417225</v>
      </c>
    </row>
    <row r="272">
      <c r="A272" s="8">
        <f t="shared" si="3"/>
        <v>271</v>
      </c>
      <c r="B272" s="8" t="s">
        <v>35</v>
      </c>
      <c r="C272" s="8" t="s">
        <v>19</v>
      </c>
      <c r="D272" s="8" t="s">
        <v>1202</v>
      </c>
      <c r="E272" s="8" t="s">
        <v>38</v>
      </c>
      <c r="F272" s="8" t="s">
        <v>22</v>
      </c>
      <c r="G272" s="8" t="s">
        <v>440</v>
      </c>
      <c r="H272" s="8" t="s">
        <v>39</v>
      </c>
      <c r="I272" s="9">
        <v>2.0</v>
      </c>
      <c r="J272" s="9">
        <v>0.1</v>
      </c>
      <c r="K272" s="9">
        <v>0.0683</v>
      </c>
      <c r="L272" s="10">
        <v>45605.0</v>
      </c>
      <c r="M272" s="11">
        <v>2.125</v>
      </c>
      <c r="N272" s="8" t="s">
        <v>70</v>
      </c>
      <c r="O272" s="12">
        <f t="shared" si="1"/>
        <v>0</v>
      </c>
      <c r="P272" s="12">
        <f t="shared" si="4"/>
        <v>2.9417225</v>
      </c>
    </row>
    <row r="273">
      <c r="A273" s="15">
        <f t="shared" si="3"/>
        <v>272</v>
      </c>
      <c r="B273" s="15" t="s">
        <v>35</v>
      </c>
      <c r="C273" s="15" t="s">
        <v>19</v>
      </c>
      <c r="D273" s="15" t="s">
        <v>1203</v>
      </c>
      <c r="E273" s="15" t="s">
        <v>38</v>
      </c>
      <c r="F273" s="15" t="s">
        <v>22</v>
      </c>
      <c r="G273" s="15" t="s">
        <v>440</v>
      </c>
      <c r="H273" s="15" t="s">
        <v>39</v>
      </c>
      <c r="I273" s="16">
        <v>2.0</v>
      </c>
      <c r="J273" s="16">
        <v>0.1</v>
      </c>
      <c r="K273" s="16">
        <v>0.1</v>
      </c>
      <c r="L273" s="17">
        <v>45605.0</v>
      </c>
      <c r="M273" s="18">
        <v>2.05</v>
      </c>
      <c r="N273" s="15" t="s">
        <v>25</v>
      </c>
      <c r="O273" s="19">
        <f t="shared" si="1"/>
        <v>-0.1</v>
      </c>
      <c r="P273" s="19">
        <f t="shared" si="4"/>
        <v>2.8417225</v>
      </c>
    </row>
    <row r="274">
      <c r="A274" s="8">
        <f t="shared" si="3"/>
        <v>273</v>
      </c>
      <c r="B274" s="8" t="s">
        <v>35</v>
      </c>
      <c r="C274" s="8" t="s">
        <v>19</v>
      </c>
      <c r="D274" s="8" t="s">
        <v>1204</v>
      </c>
      <c r="E274" s="8" t="s">
        <v>187</v>
      </c>
      <c r="F274" s="8" t="s">
        <v>22</v>
      </c>
      <c r="G274" s="8" t="s">
        <v>29</v>
      </c>
      <c r="H274" s="8" t="s">
        <v>39</v>
      </c>
      <c r="I274" s="9">
        <v>-0.5</v>
      </c>
      <c r="J274" s="9">
        <v>0.1</v>
      </c>
      <c r="K274" s="9">
        <v>0.1</v>
      </c>
      <c r="L274" s="10">
        <v>45605.0</v>
      </c>
      <c r="M274" s="11">
        <v>2.025</v>
      </c>
      <c r="N274" s="8" t="s">
        <v>33</v>
      </c>
      <c r="O274" s="12">
        <f t="shared" si="1"/>
        <v>0.1025</v>
      </c>
      <c r="P274" s="12">
        <f t="shared" si="4"/>
        <v>2.9442225</v>
      </c>
    </row>
    <row r="275">
      <c r="A275" s="15">
        <f t="shared" si="3"/>
        <v>274</v>
      </c>
      <c r="B275" s="15" t="s">
        <v>26</v>
      </c>
      <c r="C275" s="15" t="s">
        <v>19</v>
      </c>
      <c r="D275" s="15" t="s">
        <v>1205</v>
      </c>
      <c r="E275" s="15" t="s">
        <v>68</v>
      </c>
      <c r="F275" s="15" t="s">
        <v>598</v>
      </c>
      <c r="G275" s="15" t="s">
        <v>225</v>
      </c>
      <c r="H275" s="15" t="s">
        <v>39</v>
      </c>
      <c r="I275" s="16">
        <v>0.75</v>
      </c>
      <c r="J275" s="16">
        <v>0.1</v>
      </c>
      <c r="K275" s="16">
        <v>0.095</v>
      </c>
      <c r="L275" s="17">
        <v>45605.0</v>
      </c>
      <c r="M275" s="18">
        <v>1.8</v>
      </c>
      <c r="N275" s="15" t="s">
        <v>33</v>
      </c>
      <c r="O275" s="19">
        <f t="shared" si="1"/>
        <v>0.076</v>
      </c>
      <c r="P275" s="19">
        <f t="shared" si="4"/>
        <v>3.0202225</v>
      </c>
    </row>
    <row r="276">
      <c r="A276" s="8">
        <f t="shared" si="3"/>
        <v>275</v>
      </c>
      <c r="B276" s="8" t="s">
        <v>35</v>
      </c>
      <c r="C276" s="8" t="s">
        <v>19</v>
      </c>
      <c r="D276" s="8" t="s">
        <v>1206</v>
      </c>
      <c r="E276" s="8" t="s">
        <v>38</v>
      </c>
      <c r="F276" s="8" t="s">
        <v>22</v>
      </c>
      <c r="G276" s="8" t="s">
        <v>29</v>
      </c>
      <c r="H276" s="8" t="s">
        <v>39</v>
      </c>
      <c r="I276" s="9">
        <v>-1.0</v>
      </c>
      <c r="J276" s="9">
        <v>0.1</v>
      </c>
      <c r="K276" s="9">
        <v>0.1</v>
      </c>
      <c r="L276" s="10">
        <v>45605.0</v>
      </c>
      <c r="M276" s="11">
        <v>1.85</v>
      </c>
      <c r="N276" s="8" t="s">
        <v>70</v>
      </c>
      <c r="O276" s="12">
        <f t="shared" si="1"/>
        <v>0</v>
      </c>
      <c r="P276" s="12">
        <f t="shared" si="4"/>
        <v>3.0202225</v>
      </c>
    </row>
    <row r="277">
      <c r="A277" s="15">
        <f t="shared" si="3"/>
        <v>276</v>
      </c>
      <c r="B277" s="15" t="s">
        <v>35</v>
      </c>
      <c r="C277" s="15" t="s">
        <v>19</v>
      </c>
      <c r="D277" s="15" t="s">
        <v>1207</v>
      </c>
      <c r="E277" s="15" t="s">
        <v>38</v>
      </c>
      <c r="F277" s="15" t="s">
        <v>22</v>
      </c>
      <c r="G277" s="15" t="s">
        <v>29</v>
      </c>
      <c r="H277" s="15" t="s">
        <v>39</v>
      </c>
      <c r="I277" s="16">
        <v>-2.0</v>
      </c>
      <c r="J277" s="16">
        <v>0.1</v>
      </c>
      <c r="K277" s="16">
        <v>0.1</v>
      </c>
      <c r="L277" s="17">
        <v>45605.0</v>
      </c>
      <c r="M277" s="18">
        <v>1.825</v>
      </c>
      <c r="N277" s="15" t="s">
        <v>33</v>
      </c>
      <c r="O277" s="19">
        <f t="shared" si="1"/>
        <v>0.0825</v>
      </c>
      <c r="P277" s="19">
        <f t="shared" si="4"/>
        <v>3.1027225</v>
      </c>
    </row>
    <row r="278">
      <c r="A278" s="8">
        <f t="shared" si="3"/>
        <v>277</v>
      </c>
      <c r="B278" s="8" t="s">
        <v>35</v>
      </c>
      <c r="C278" s="8" t="s">
        <v>19</v>
      </c>
      <c r="D278" s="8" t="s">
        <v>1208</v>
      </c>
      <c r="E278" s="8" t="s">
        <v>38</v>
      </c>
      <c r="F278" s="8" t="s">
        <v>22</v>
      </c>
      <c r="G278" s="8" t="s">
        <v>29</v>
      </c>
      <c r="H278" s="8" t="s">
        <v>39</v>
      </c>
      <c r="I278" s="9">
        <v>-1.0</v>
      </c>
      <c r="J278" s="9">
        <v>0.1</v>
      </c>
      <c r="K278" s="9">
        <v>0.07</v>
      </c>
      <c r="L278" s="10">
        <v>45605.0</v>
      </c>
      <c r="M278" s="11">
        <v>1.9</v>
      </c>
      <c r="N278" s="8" t="s">
        <v>25</v>
      </c>
      <c r="O278" s="12">
        <f t="shared" si="1"/>
        <v>-0.07</v>
      </c>
      <c r="P278" s="12">
        <f t="shared" si="4"/>
        <v>3.0327225</v>
      </c>
    </row>
    <row r="279">
      <c r="A279" s="15">
        <f t="shared" si="3"/>
        <v>278</v>
      </c>
      <c r="B279" s="15" t="s">
        <v>35</v>
      </c>
      <c r="C279" s="15" t="s">
        <v>19</v>
      </c>
      <c r="D279" s="15" t="s">
        <v>1209</v>
      </c>
      <c r="E279" s="15" t="s">
        <v>38</v>
      </c>
      <c r="F279" s="15" t="s">
        <v>22</v>
      </c>
      <c r="G279" s="15" t="s">
        <v>29</v>
      </c>
      <c r="H279" s="15" t="s">
        <v>39</v>
      </c>
      <c r="I279" s="16">
        <v>-3.0</v>
      </c>
      <c r="J279" s="16">
        <v>0.1</v>
      </c>
      <c r="K279" s="16">
        <v>0.1</v>
      </c>
      <c r="L279" s="55">
        <v>45605.0</v>
      </c>
      <c r="M279" s="18">
        <v>2.0</v>
      </c>
      <c r="N279" s="15" t="s">
        <v>70</v>
      </c>
      <c r="O279" s="19">
        <f t="shared" si="1"/>
        <v>0</v>
      </c>
      <c r="P279" s="19">
        <f t="shared" si="4"/>
        <v>3.0327225</v>
      </c>
    </row>
    <row r="280">
      <c r="A280" s="8">
        <f t="shared" si="3"/>
        <v>279</v>
      </c>
      <c r="B280" s="8" t="s">
        <v>18</v>
      </c>
      <c r="C280" s="8" t="s">
        <v>19</v>
      </c>
      <c r="D280" s="8" t="s">
        <v>1210</v>
      </c>
      <c r="E280" s="8" t="s">
        <v>231</v>
      </c>
      <c r="F280" s="8" t="s">
        <v>22</v>
      </c>
      <c r="G280" s="8" t="s">
        <v>225</v>
      </c>
      <c r="H280" s="8" t="s">
        <v>24</v>
      </c>
      <c r="I280" s="9">
        <v>0.25</v>
      </c>
      <c r="J280" s="9">
        <v>0.3</v>
      </c>
      <c r="K280" s="9">
        <v>0.3</v>
      </c>
      <c r="L280" s="10">
        <v>45605.0</v>
      </c>
      <c r="M280" s="11">
        <v>2.0</v>
      </c>
      <c r="N280" s="8" t="s">
        <v>996</v>
      </c>
      <c r="O280" s="12">
        <f t="shared" si="1"/>
        <v>0.15</v>
      </c>
      <c r="P280" s="12">
        <f t="shared" si="4"/>
        <v>3.1827225</v>
      </c>
    </row>
    <row r="281">
      <c r="A281" s="15">
        <f t="shared" si="3"/>
        <v>280</v>
      </c>
      <c r="B281" s="15" t="s">
        <v>26</v>
      </c>
      <c r="C281" s="15" t="s">
        <v>40</v>
      </c>
      <c r="D281" s="15" t="s">
        <v>1211</v>
      </c>
      <c r="E281" s="15" t="s">
        <v>66</v>
      </c>
      <c r="F281" s="15" t="s">
        <v>22</v>
      </c>
      <c r="G281" s="15" t="s">
        <v>892</v>
      </c>
      <c r="H281" s="15" t="s">
        <v>24</v>
      </c>
      <c r="I281" s="16">
        <v>0.0</v>
      </c>
      <c r="J281" s="16">
        <v>0.25</v>
      </c>
      <c r="K281" s="16">
        <v>0.2416</v>
      </c>
      <c r="L281" s="17">
        <v>45605.0</v>
      </c>
      <c r="M281" s="18">
        <v>1.775</v>
      </c>
      <c r="N281" s="15" t="s">
        <v>70</v>
      </c>
      <c r="O281" s="19">
        <f t="shared" si="1"/>
        <v>0</v>
      </c>
      <c r="P281" s="19">
        <f t="shared" si="4"/>
        <v>3.1827225</v>
      </c>
    </row>
    <row r="282">
      <c r="A282" s="8">
        <f t="shared" si="3"/>
        <v>281</v>
      </c>
      <c r="B282" s="8" t="s">
        <v>26</v>
      </c>
      <c r="C282" s="8" t="s">
        <v>19</v>
      </c>
      <c r="D282" s="8" t="s">
        <v>1212</v>
      </c>
      <c r="E282" s="8" t="s">
        <v>66</v>
      </c>
      <c r="F282" s="8" t="s">
        <v>598</v>
      </c>
      <c r="G282" s="8" t="s">
        <v>29</v>
      </c>
      <c r="H282" s="8" t="s">
        <v>39</v>
      </c>
      <c r="I282" s="9">
        <v>-3.75</v>
      </c>
      <c r="J282" s="9">
        <v>0.1</v>
      </c>
      <c r="K282" s="9">
        <v>0.095</v>
      </c>
      <c r="L282" s="10">
        <v>45605.0</v>
      </c>
      <c r="M282" s="11">
        <v>1.85</v>
      </c>
      <c r="N282" s="8" t="s">
        <v>70</v>
      </c>
      <c r="O282" s="12">
        <f t="shared" si="1"/>
        <v>0</v>
      </c>
      <c r="P282" s="12">
        <f t="shared" si="4"/>
        <v>3.1827225</v>
      </c>
    </row>
    <row r="283">
      <c r="A283" s="15">
        <f t="shared" si="3"/>
        <v>282</v>
      </c>
      <c r="B283" s="15" t="s">
        <v>35</v>
      </c>
      <c r="C283" s="15" t="s">
        <v>19</v>
      </c>
      <c r="D283" s="15" t="s">
        <v>1213</v>
      </c>
      <c r="E283" s="15" t="s">
        <v>93</v>
      </c>
      <c r="F283" s="15" t="s">
        <v>22</v>
      </c>
      <c r="G283" s="15" t="s">
        <v>440</v>
      </c>
      <c r="H283" s="15" t="s">
        <v>39</v>
      </c>
      <c r="I283" s="16">
        <v>6.0</v>
      </c>
      <c r="J283" s="16">
        <v>0.1</v>
      </c>
      <c r="K283" s="16">
        <v>0.051</v>
      </c>
      <c r="L283" s="17">
        <v>45605.0</v>
      </c>
      <c r="M283" s="18">
        <v>1.725</v>
      </c>
      <c r="N283" s="15" t="s">
        <v>25</v>
      </c>
      <c r="O283" s="19">
        <f t="shared" si="1"/>
        <v>-0.051</v>
      </c>
      <c r="P283" s="19">
        <f t="shared" si="4"/>
        <v>3.1317225</v>
      </c>
    </row>
    <row r="284">
      <c r="A284" s="8">
        <f t="shared" si="3"/>
        <v>283</v>
      </c>
      <c r="B284" s="8" t="s">
        <v>26</v>
      </c>
      <c r="C284" s="8" t="s">
        <v>19</v>
      </c>
      <c r="D284" s="8" t="s">
        <v>1214</v>
      </c>
      <c r="E284" s="8" t="s">
        <v>121</v>
      </c>
      <c r="F284" s="8" t="s">
        <v>598</v>
      </c>
      <c r="G284" s="8" t="s">
        <v>29</v>
      </c>
      <c r="H284" s="8" t="s">
        <v>39</v>
      </c>
      <c r="I284" s="9">
        <v>-3.25</v>
      </c>
      <c r="J284" s="9">
        <v>0.15</v>
      </c>
      <c r="K284" s="9">
        <v>0.145</v>
      </c>
      <c r="L284" s="10">
        <v>45605.0</v>
      </c>
      <c r="M284" s="11">
        <v>1.75</v>
      </c>
      <c r="N284" s="8" t="s">
        <v>30</v>
      </c>
      <c r="O284" s="12">
        <f t="shared" si="1"/>
        <v>0.054375</v>
      </c>
      <c r="P284" s="12">
        <f t="shared" si="4"/>
        <v>3.1860975</v>
      </c>
    </row>
    <row r="285">
      <c r="A285" s="15">
        <f t="shared" si="3"/>
        <v>284</v>
      </c>
      <c r="B285" s="15" t="s">
        <v>35</v>
      </c>
      <c r="C285" s="15" t="s">
        <v>19</v>
      </c>
      <c r="D285" s="15" t="s">
        <v>1215</v>
      </c>
      <c r="E285" s="15" t="s">
        <v>642</v>
      </c>
      <c r="F285" s="15" t="s">
        <v>598</v>
      </c>
      <c r="G285" s="15" t="s">
        <v>440</v>
      </c>
      <c r="H285" s="15" t="s">
        <v>39</v>
      </c>
      <c r="I285" s="16">
        <v>1.5</v>
      </c>
      <c r="J285" s="16">
        <v>0.1</v>
      </c>
      <c r="K285" s="16">
        <v>0.098</v>
      </c>
      <c r="L285" s="17">
        <v>45606.0</v>
      </c>
      <c r="M285" s="18">
        <v>1.725</v>
      </c>
      <c r="N285" s="15" t="s">
        <v>25</v>
      </c>
      <c r="O285" s="19">
        <f t="shared" si="1"/>
        <v>-0.098</v>
      </c>
      <c r="P285" s="19">
        <f t="shared" si="4"/>
        <v>3.0880975</v>
      </c>
    </row>
    <row r="286">
      <c r="A286" s="8">
        <f t="shared" si="3"/>
        <v>285</v>
      </c>
      <c r="B286" s="8" t="s">
        <v>26</v>
      </c>
      <c r="C286" s="8" t="s">
        <v>19</v>
      </c>
      <c r="D286" s="8" t="s">
        <v>1216</v>
      </c>
      <c r="E286" s="8" t="s">
        <v>432</v>
      </c>
      <c r="F286" s="8" t="s">
        <v>598</v>
      </c>
      <c r="G286" s="8" t="s">
        <v>29</v>
      </c>
      <c r="H286" s="8" t="s">
        <v>39</v>
      </c>
      <c r="I286" s="9">
        <v>-4.0</v>
      </c>
      <c r="J286" s="9">
        <v>0.2</v>
      </c>
      <c r="K286" s="9">
        <v>0.2</v>
      </c>
      <c r="L286" s="54">
        <v>45606.0</v>
      </c>
      <c r="M286" s="11">
        <v>1.7</v>
      </c>
      <c r="N286" s="8" t="s">
        <v>33</v>
      </c>
      <c r="O286" s="12">
        <f t="shared" si="1"/>
        <v>0.14</v>
      </c>
      <c r="P286" s="12">
        <f t="shared" si="4"/>
        <v>3.2280975</v>
      </c>
    </row>
    <row r="287">
      <c r="A287" s="15">
        <f t="shared" si="3"/>
        <v>286</v>
      </c>
      <c r="B287" s="15" t="s">
        <v>26</v>
      </c>
      <c r="C287" s="15" t="s">
        <v>40</v>
      </c>
      <c r="D287" s="15" t="s">
        <v>1217</v>
      </c>
      <c r="E287" s="37" t="s">
        <v>66</v>
      </c>
      <c r="F287" s="37" t="s">
        <v>598</v>
      </c>
      <c r="G287" s="37" t="s">
        <v>440</v>
      </c>
      <c r="H287" s="15" t="s">
        <v>39</v>
      </c>
      <c r="I287" s="24">
        <v>2.25</v>
      </c>
      <c r="J287" s="16">
        <v>0.1</v>
      </c>
      <c r="K287" s="16">
        <v>0.1</v>
      </c>
      <c r="L287" s="17">
        <v>45606.0</v>
      </c>
      <c r="M287" s="18">
        <v>1.85</v>
      </c>
      <c r="N287" s="15" t="s">
        <v>33</v>
      </c>
      <c r="O287" s="19">
        <f t="shared" si="1"/>
        <v>0.085</v>
      </c>
      <c r="P287" s="19">
        <f t="shared" si="4"/>
        <v>3.3130975</v>
      </c>
    </row>
    <row r="288">
      <c r="A288" s="8">
        <f t="shared" si="3"/>
        <v>287</v>
      </c>
      <c r="B288" s="8" t="s">
        <v>26</v>
      </c>
      <c r="C288" s="8" t="s">
        <v>19</v>
      </c>
      <c r="D288" s="8" t="s">
        <v>1218</v>
      </c>
      <c r="E288" s="32" t="s">
        <v>93</v>
      </c>
      <c r="F288" s="32" t="s">
        <v>598</v>
      </c>
      <c r="G288" s="32" t="s">
        <v>29</v>
      </c>
      <c r="H288" s="8" t="s">
        <v>39</v>
      </c>
      <c r="I288" s="33">
        <v>-2.25</v>
      </c>
      <c r="J288" s="9">
        <v>0.2</v>
      </c>
      <c r="K288" s="9">
        <v>0.082</v>
      </c>
      <c r="L288" s="56">
        <v>45606.0</v>
      </c>
      <c r="M288" s="11">
        <v>1.775</v>
      </c>
      <c r="N288" s="8" t="s">
        <v>33</v>
      </c>
      <c r="O288" s="12">
        <f t="shared" si="1"/>
        <v>0.06355</v>
      </c>
      <c r="P288" s="12">
        <f t="shared" si="4"/>
        <v>3.3766475</v>
      </c>
    </row>
    <row r="289">
      <c r="A289" s="15">
        <f t="shared" si="3"/>
        <v>288</v>
      </c>
      <c r="B289" s="15" t="s">
        <v>26</v>
      </c>
      <c r="C289" s="15" t="s">
        <v>40</v>
      </c>
      <c r="D289" s="15" t="s">
        <v>1219</v>
      </c>
      <c r="E289" s="42" t="s">
        <v>93</v>
      </c>
      <c r="F289" s="42" t="s">
        <v>598</v>
      </c>
      <c r="G289" s="42" t="s">
        <v>29</v>
      </c>
      <c r="H289" s="15" t="s">
        <v>39</v>
      </c>
      <c r="I289" s="16">
        <v>-2.0</v>
      </c>
      <c r="J289" s="16">
        <v>0.2</v>
      </c>
      <c r="K289" s="16">
        <v>0.2</v>
      </c>
      <c r="L289" s="17">
        <v>45606.0</v>
      </c>
      <c r="M289" s="18">
        <v>1.8</v>
      </c>
      <c r="N289" s="15" t="s">
        <v>33</v>
      </c>
      <c r="O289" s="19">
        <f t="shared" si="1"/>
        <v>0.16</v>
      </c>
      <c r="P289" s="19">
        <f t="shared" si="4"/>
        <v>3.5366475</v>
      </c>
    </row>
    <row r="290">
      <c r="A290" s="8">
        <f t="shared" si="3"/>
        <v>289</v>
      </c>
      <c r="B290" s="8" t="s">
        <v>26</v>
      </c>
      <c r="C290" s="8" t="s">
        <v>40</v>
      </c>
      <c r="D290" s="8" t="s">
        <v>1220</v>
      </c>
      <c r="E290" s="8" t="s">
        <v>93</v>
      </c>
      <c r="F290" s="8" t="s">
        <v>22</v>
      </c>
      <c r="G290" s="8" t="s">
        <v>225</v>
      </c>
      <c r="H290" s="8" t="s">
        <v>24</v>
      </c>
      <c r="I290" s="9">
        <v>1.0</v>
      </c>
      <c r="J290" s="9">
        <v>0.1</v>
      </c>
      <c r="K290" s="9">
        <v>0.1</v>
      </c>
      <c r="L290" s="10">
        <v>45606.0</v>
      </c>
      <c r="M290" s="11">
        <v>1.85</v>
      </c>
      <c r="N290" s="8" t="s">
        <v>70</v>
      </c>
      <c r="O290" s="12">
        <f t="shared" si="1"/>
        <v>0</v>
      </c>
      <c r="P290" s="12">
        <f t="shared" si="4"/>
        <v>3.5366475</v>
      </c>
    </row>
    <row r="291">
      <c r="A291" s="15">
        <f t="shared" si="3"/>
        <v>290</v>
      </c>
      <c r="B291" s="15" t="s">
        <v>129</v>
      </c>
      <c r="C291" s="15" t="s">
        <v>40</v>
      </c>
      <c r="D291" s="15" t="s">
        <v>1221</v>
      </c>
      <c r="E291" s="15" t="s">
        <v>93</v>
      </c>
      <c r="F291" s="15" t="s">
        <v>22</v>
      </c>
      <c r="G291" s="15" t="s">
        <v>225</v>
      </c>
      <c r="H291" s="15" t="s">
        <v>24</v>
      </c>
      <c r="I291" s="16">
        <v>0.25</v>
      </c>
      <c r="J291" s="16">
        <v>0.35</v>
      </c>
      <c r="K291" s="16">
        <v>0.35</v>
      </c>
      <c r="L291" s="17">
        <v>45606.0</v>
      </c>
      <c r="M291" s="18">
        <v>1.775</v>
      </c>
      <c r="N291" s="15" t="s">
        <v>25</v>
      </c>
      <c r="O291" s="19">
        <f t="shared" si="1"/>
        <v>-0.35</v>
      </c>
      <c r="P291" s="19">
        <f t="shared" si="4"/>
        <v>3.1866475</v>
      </c>
    </row>
    <row r="292">
      <c r="A292" s="8">
        <f t="shared" si="3"/>
        <v>291</v>
      </c>
      <c r="B292" s="8" t="s">
        <v>26</v>
      </c>
      <c r="C292" s="8" t="s">
        <v>40</v>
      </c>
      <c r="D292" s="8" t="s">
        <v>1222</v>
      </c>
      <c r="E292" s="8" t="s">
        <v>316</v>
      </c>
      <c r="F292" s="8" t="s">
        <v>22</v>
      </c>
      <c r="G292" s="8" t="s">
        <v>225</v>
      </c>
      <c r="H292" s="8" t="s">
        <v>24</v>
      </c>
      <c r="I292" s="9">
        <v>1.0</v>
      </c>
      <c r="J292" s="9">
        <v>0.1</v>
      </c>
      <c r="K292" s="9">
        <v>0.1</v>
      </c>
      <c r="L292" s="10">
        <v>45606.0</v>
      </c>
      <c r="M292" s="11">
        <v>1.95</v>
      </c>
      <c r="N292" s="8" t="s">
        <v>33</v>
      </c>
      <c r="O292" s="12">
        <f t="shared" si="1"/>
        <v>0.095</v>
      </c>
      <c r="P292" s="12">
        <f t="shared" si="4"/>
        <v>3.2816475</v>
      </c>
    </row>
    <row r="293">
      <c r="A293" s="15">
        <f t="shared" si="3"/>
        <v>292</v>
      </c>
      <c r="B293" s="15" t="s">
        <v>26</v>
      </c>
      <c r="C293" s="15" t="s">
        <v>19</v>
      </c>
      <c r="D293" s="15" t="s">
        <v>1223</v>
      </c>
      <c r="E293" s="15" t="s">
        <v>908</v>
      </c>
      <c r="F293" s="15" t="s">
        <v>598</v>
      </c>
      <c r="G293" s="15" t="s">
        <v>29</v>
      </c>
      <c r="H293" s="15" t="s">
        <v>39</v>
      </c>
      <c r="I293" s="16">
        <v>-3.0</v>
      </c>
      <c r="J293" s="16">
        <v>0.1</v>
      </c>
      <c r="K293" s="16">
        <v>0.1</v>
      </c>
      <c r="L293" s="17">
        <v>45606.0</v>
      </c>
      <c r="M293" s="18">
        <v>1.825</v>
      </c>
      <c r="N293" s="15" t="s">
        <v>70</v>
      </c>
      <c r="O293" s="19">
        <f t="shared" si="1"/>
        <v>0</v>
      </c>
      <c r="P293" s="19">
        <f t="shared" si="4"/>
        <v>3.2816475</v>
      </c>
    </row>
    <row r="294">
      <c r="A294" s="8">
        <f t="shared" si="3"/>
        <v>293</v>
      </c>
      <c r="B294" s="8" t="s">
        <v>129</v>
      </c>
      <c r="C294" s="8" t="s">
        <v>19</v>
      </c>
      <c r="D294" s="8" t="s">
        <v>1224</v>
      </c>
      <c r="E294" s="8" t="s">
        <v>231</v>
      </c>
      <c r="F294" s="8" t="s">
        <v>22</v>
      </c>
      <c r="G294" s="8" t="s">
        <v>892</v>
      </c>
      <c r="H294" s="8" t="s">
        <v>24</v>
      </c>
      <c r="I294" s="9">
        <v>0.0</v>
      </c>
      <c r="J294" s="9">
        <v>0.3</v>
      </c>
      <c r="K294" s="9">
        <v>0.3</v>
      </c>
      <c r="L294" s="10">
        <v>45606.0</v>
      </c>
      <c r="M294" s="11">
        <v>1.975</v>
      </c>
      <c r="N294" s="8" t="s">
        <v>70</v>
      </c>
      <c r="O294" s="12">
        <f t="shared" si="1"/>
        <v>0</v>
      </c>
      <c r="P294" s="12">
        <f t="shared" si="4"/>
        <v>3.2816475</v>
      </c>
    </row>
    <row r="295">
      <c r="A295" s="15">
        <f t="shared" si="3"/>
        <v>294</v>
      </c>
      <c r="B295" s="15" t="s">
        <v>26</v>
      </c>
      <c r="C295" s="15" t="s">
        <v>40</v>
      </c>
      <c r="D295" s="15" t="s">
        <v>1225</v>
      </c>
      <c r="E295" s="15" t="s">
        <v>99</v>
      </c>
      <c r="F295" s="15" t="s">
        <v>598</v>
      </c>
      <c r="G295" s="15" t="s">
        <v>29</v>
      </c>
      <c r="H295" s="15" t="s">
        <v>39</v>
      </c>
      <c r="I295" s="16">
        <v>-4.5</v>
      </c>
      <c r="J295" s="16">
        <v>0.1</v>
      </c>
      <c r="K295" s="16">
        <v>0.1</v>
      </c>
      <c r="L295" s="17">
        <v>45606.0</v>
      </c>
      <c r="M295" s="18">
        <v>1.725</v>
      </c>
      <c r="N295" s="15" t="s">
        <v>33</v>
      </c>
      <c r="O295" s="19">
        <f t="shared" si="1"/>
        <v>0.0725</v>
      </c>
      <c r="P295" s="19">
        <f t="shared" si="4"/>
        <v>3.3541475</v>
      </c>
    </row>
    <row r="296">
      <c r="A296" s="8">
        <f t="shared" si="3"/>
        <v>295</v>
      </c>
      <c r="B296" s="8" t="s">
        <v>26</v>
      </c>
      <c r="C296" s="8" t="s">
        <v>19</v>
      </c>
      <c r="D296" s="8" t="s">
        <v>1226</v>
      </c>
      <c r="E296" s="8" t="s">
        <v>187</v>
      </c>
      <c r="F296" s="8" t="s">
        <v>598</v>
      </c>
      <c r="G296" s="8" t="s">
        <v>29</v>
      </c>
      <c r="H296" s="8" t="s">
        <v>39</v>
      </c>
      <c r="I296" s="9">
        <v>-2.0</v>
      </c>
      <c r="J296" s="9">
        <v>0.2</v>
      </c>
      <c r="K296" s="9">
        <v>0.2</v>
      </c>
      <c r="L296" s="10">
        <v>45606.0</v>
      </c>
      <c r="M296" s="11">
        <v>1.8</v>
      </c>
      <c r="N296" s="8" t="s">
        <v>33</v>
      </c>
      <c r="O296" s="12">
        <f t="shared" si="1"/>
        <v>0.16</v>
      </c>
      <c r="P296" s="12">
        <f t="shared" si="4"/>
        <v>3.5141475</v>
      </c>
    </row>
    <row r="297">
      <c r="A297" s="15">
        <f t="shared" si="3"/>
        <v>296</v>
      </c>
      <c r="B297" s="15" t="s">
        <v>26</v>
      </c>
      <c r="C297" s="15" t="s">
        <v>19</v>
      </c>
      <c r="D297" s="15" t="s">
        <v>1227</v>
      </c>
      <c r="E297" s="15" t="s">
        <v>93</v>
      </c>
      <c r="F297" s="15" t="s">
        <v>22</v>
      </c>
      <c r="G297" s="15" t="s">
        <v>892</v>
      </c>
      <c r="H297" s="37" t="s">
        <v>24</v>
      </c>
      <c r="I297" s="16">
        <v>0.0</v>
      </c>
      <c r="J297" s="16">
        <v>0.3</v>
      </c>
      <c r="K297" s="16">
        <v>0.3</v>
      </c>
      <c r="L297" s="17">
        <v>45606.0</v>
      </c>
      <c r="M297" s="18">
        <v>1.7</v>
      </c>
      <c r="N297" s="15" t="s">
        <v>25</v>
      </c>
      <c r="O297" s="19">
        <f t="shared" si="1"/>
        <v>-0.3</v>
      </c>
      <c r="P297" s="19">
        <f t="shared" si="4"/>
        <v>3.2141475</v>
      </c>
    </row>
    <row r="298">
      <c r="A298" s="8">
        <f t="shared" si="3"/>
        <v>297</v>
      </c>
      <c r="B298" s="8" t="s">
        <v>26</v>
      </c>
      <c r="C298" s="8" t="s">
        <v>19</v>
      </c>
      <c r="D298" s="8" t="s">
        <v>1228</v>
      </c>
      <c r="E298" s="8" t="s">
        <v>93</v>
      </c>
      <c r="F298" s="8" t="s">
        <v>22</v>
      </c>
      <c r="G298" s="8" t="s">
        <v>892</v>
      </c>
      <c r="H298" s="32" t="s">
        <v>24</v>
      </c>
      <c r="I298" s="9">
        <v>0.0</v>
      </c>
      <c r="J298" s="9">
        <v>0.25</v>
      </c>
      <c r="K298" s="9">
        <v>0.25</v>
      </c>
      <c r="L298" s="10">
        <v>45606.0</v>
      </c>
      <c r="M298" s="11">
        <v>1.725</v>
      </c>
      <c r="N298" s="8" t="s">
        <v>70</v>
      </c>
      <c r="O298" s="12">
        <f t="shared" si="1"/>
        <v>0</v>
      </c>
      <c r="P298" s="12">
        <f t="shared" si="4"/>
        <v>3.2141475</v>
      </c>
    </row>
    <row r="299">
      <c r="A299" s="15">
        <f t="shared" si="3"/>
        <v>298</v>
      </c>
      <c r="B299" s="15" t="s">
        <v>26</v>
      </c>
      <c r="C299" s="15" t="s">
        <v>19</v>
      </c>
      <c r="D299" s="15" t="s">
        <v>1229</v>
      </c>
      <c r="E299" s="15" t="s">
        <v>1043</v>
      </c>
      <c r="F299" s="15" t="s">
        <v>598</v>
      </c>
      <c r="G299" s="15" t="s">
        <v>29</v>
      </c>
      <c r="H299" s="37" t="s">
        <v>24</v>
      </c>
      <c r="I299" s="16">
        <v>-1.75</v>
      </c>
      <c r="J299" s="16">
        <v>0.15</v>
      </c>
      <c r="K299" s="16">
        <v>0.15</v>
      </c>
      <c r="L299" s="17">
        <v>45606.0</v>
      </c>
      <c r="M299" s="18">
        <v>2.0</v>
      </c>
      <c r="N299" s="15" t="s">
        <v>33</v>
      </c>
      <c r="O299" s="19">
        <f t="shared" si="1"/>
        <v>0.15</v>
      </c>
      <c r="P299" s="19">
        <f t="shared" si="4"/>
        <v>3.3641475</v>
      </c>
    </row>
    <row r="300">
      <c r="A300" s="8">
        <f t="shared" si="3"/>
        <v>299</v>
      </c>
      <c r="B300" s="8" t="s">
        <v>26</v>
      </c>
      <c r="C300" s="8" t="s">
        <v>19</v>
      </c>
      <c r="D300" s="8" t="s">
        <v>1230</v>
      </c>
      <c r="E300" s="8" t="s">
        <v>93</v>
      </c>
      <c r="F300" s="8" t="s">
        <v>22</v>
      </c>
      <c r="G300" s="8" t="s">
        <v>892</v>
      </c>
      <c r="H300" s="32" t="s">
        <v>39</v>
      </c>
      <c r="I300" s="9">
        <v>0.0</v>
      </c>
      <c r="J300" s="9">
        <v>0.25</v>
      </c>
      <c r="K300" s="9">
        <v>0.25</v>
      </c>
      <c r="L300" s="10">
        <v>45606.0</v>
      </c>
      <c r="M300" s="11">
        <v>1.9</v>
      </c>
      <c r="N300" s="8" t="s">
        <v>70</v>
      </c>
      <c r="O300" s="12">
        <f t="shared" si="1"/>
        <v>0</v>
      </c>
      <c r="P300" s="12">
        <f t="shared" si="4"/>
        <v>3.3641475</v>
      </c>
    </row>
    <row r="301">
      <c r="A301" s="15">
        <f t="shared" si="3"/>
        <v>300</v>
      </c>
      <c r="B301" s="15" t="s">
        <v>26</v>
      </c>
      <c r="C301" s="15" t="s">
        <v>40</v>
      </c>
      <c r="D301" s="15" t="s">
        <v>1231</v>
      </c>
      <c r="E301" s="15" t="s">
        <v>316</v>
      </c>
      <c r="F301" s="15" t="s">
        <v>22</v>
      </c>
      <c r="G301" s="15" t="s">
        <v>225</v>
      </c>
      <c r="H301" s="37" t="s">
        <v>24</v>
      </c>
      <c r="I301" s="16">
        <v>2.25</v>
      </c>
      <c r="J301" s="16">
        <v>0.1</v>
      </c>
      <c r="K301" s="16">
        <v>0.1</v>
      </c>
      <c r="L301" s="17">
        <v>45606.0</v>
      </c>
      <c r="M301" s="18">
        <v>1.975</v>
      </c>
      <c r="N301" s="15" t="s">
        <v>33</v>
      </c>
      <c r="O301" s="19">
        <f t="shared" si="1"/>
        <v>0.0975</v>
      </c>
      <c r="P301" s="19">
        <f t="shared" si="4"/>
        <v>3.4616475</v>
      </c>
    </row>
    <row r="302">
      <c r="A302" s="8">
        <f t="shared" si="3"/>
        <v>301</v>
      </c>
      <c r="B302" s="8" t="s">
        <v>26</v>
      </c>
      <c r="C302" s="8" t="s">
        <v>19</v>
      </c>
      <c r="D302" s="8" t="s">
        <v>1232</v>
      </c>
      <c r="E302" s="8" t="s">
        <v>48</v>
      </c>
      <c r="F302" s="8" t="s">
        <v>22</v>
      </c>
      <c r="G302" s="8" t="s">
        <v>225</v>
      </c>
      <c r="H302" s="32" t="s">
        <v>24</v>
      </c>
      <c r="I302" s="9">
        <v>0.75</v>
      </c>
      <c r="J302" s="9">
        <v>0.3</v>
      </c>
      <c r="K302" s="9">
        <v>0.3</v>
      </c>
      <c r="L302" s="10">
        <v>45606.0</v>
      </c>
      <c r="M302" s="11">
        <v>1.778</v>
      </c>
      <c r="N302" s="8" t="s">
        <v>33</v>
      </c>
      <c r="O302" s="12">
        <f t="shared" si="1"/>
        <v>0.2334</v>
      </c>
      <c r="P302" s="12">
        <f t="shared" si="4"/>
        <v>3.6950475</v>
      </c>
    </row>
    <row r="303">
      <c r="A303" s="15">
        <f t="shared" si="3"/>
        <v>302</v>
      </c>
      <c r="B303" s="15" t="s">
        <v>26</v>
      </c>
      <c r="C303" s="15" t="s">
        <v>19</v>
      </c>
      <c r="D303" s="15" t="s">
        <v>1233</v>
      </c>
      <c r="E303" s="15" t="s">
        <v>93</v>
      </c>
      <c r="F303" s="15" t="s">
        <v>598</v>
      </c>
      <c r="G303" s="15" t="s">
        <v>440</v>
      </c>
      <c r="H303" s="37" t="s">
        <v>39</v>
      </c>
      <c r="I303" s="16">
        <v>2.0</v>
      </c>
      <c r="J303" s="16">
        <v>0.1</v>
      </c>
      <c r="K303" s="16">
        <v>0.1</v>
      </c>
      <c r="L303" s="17">
        <v>45606.0</v>
      </c>
      <c r="M303" s="18">
        <v>1.75</v>
      </c>
      <c r="N303" s="15" t="s">
        <v>25</v>
      </c>
      <c r="O303" s="19">
        <f t="shared" si="1"/>
        <v>-0.1</v>
      </c>
      <c r="P303" s="19">
        <f t="shared" si="4"/>
        <v>3.5950475</v>
      </c>
    </row>
    <row r="304">
      <c r="A304" s="8">
        <f t="shared" si="3"/>
        <v>303</v>
      </c>
      <c r="B304" s="8" t="s">
        <v>26</v>
      </c>
      <c r="C304" s="8" t="s">
        <v>19</v>
      </c>
      <c r="D304" s="8" t="s">
        <v>1234</v>
      </c>
      <c r="E304" s="8" t="s">
        <v>93</v>
      </c>
      <c r="F304" s="8" t="s">
        <v>22</v>
      </c>
      <c r="G304" s="8" t="s">
        <v>225</v>
      </c>
      <c r="H304" s="8" t="s">
        <v>39</v>
      </c>
      <c r="I304" s="9">
        <v>0.75</v>
      </c>
      <c r="J304" s="9">
        <v>0.1</v>
      </c>
      <c r="K304" s="9">
        <v>0.1</v>
      </c>
      <c r="L304" s="10">
        <v>45606.0</v>
      </c>
      <c r="M304" s="11">
        <v>1.85</v>
      </c>
      <c r="N304" s="8" t="s">
        <v>33</v>
      </c>
      <c r="O304" s="12">
        <f t="shared" si="1"/>
        <v>0.085</v>
      </c>
      <c r="P304" s="12">
        <f t="shared" si="4"/>
        <v>3.6800475</v>
      </c>
    </row>
    <row r="305">
      <c r="A305" s="15">
        <f t="shared" si="3"/>
        <v>304</v>
      </c>
      <c r="B305" s="15" t="s">
        <v>26</v>
      </c>
      <c r="C305" s="15" t="s">
        <v>19</v>
      </c>
      <c r="D305" s="15" t="s">
        <v>1235</v>
      </c>
      <c r="E305" s="15" t="s">
        <v>93</v>
      </c>
      <c r="F305" s="15" t="s">
        <v>598</v>
      </c>
      <c r="G305" s="15" t="s">
        <v>440</v>
      </c>
      <c r="H305" s="15" t="s">
        <v>39</v>
      </c>
      <c r="I305" s="16">
        <v>2.0</v>
      </c>
      <c r="J305" s="16">
        <v>0.1</v>
      </c>
      <c r="K305" s="16">
        <v>0.1</v>
      </c>
      <c r="L305" s="17">
        <v>45606.0</v>
      </c>
      <c r="M305" s="18">
        <v>1.725</v>
      </c>
      <c r="N305" s="15" t="s">
        <v>25</v>
      </c>
      <c r="O305" s="19">
        <f t="shared" si="1"/>
        <v>-0.1</v>
      </c>
      <c r="P305" s="19">
        <f t="shared" si="4"/>
        <v>3.5800475</v>
      </c>
    </row>
    <row r="306">
      <c r="A306" s="8">
        <f t="shared" si="3"/>
        <v>305</v>
      </c>
      <c r="B306" s="8" t="s">
        <v>26</v>
      </c>
      <c r="C306" s="8" t="s">
        <v>19</v>
      </c>
      <c r="D306" s="8" t="s">
        <v>1236</v>
      </c>
      <c r="E306" s="8" t="s">
        <v>66</v>
      </c>
      <c r="F306" s="8" t="s">
        <v>598</v>
      </c>
      <c r="G306" s="8" t="s">
        <v>29</v>
      </c>
      <c r="H306" s="8" t="s">
        <v>39</v>
      </c>
      <c r="I306" s="9">
        <v>-2.0</v>
      </c>
      <c r="J306" s="9">
        <v>0.1</v>
      </c>
      <c r="K306" s="9">
        <v>0.1</v>
      </c>
      <c r="L306" s="10">
        <v>45606.0</v>
      </c>
      <c r="M306" s="11">
        <v>1.75</v>
      </c>
      <c r="N306" s="8" t="s">
        <v>33</v>
      </c>
      <c r="O306" s="12">
        <f t="shared" si="1"/>
        <v>0.075</v>
      </c>
      <c r="P306" s="12">
        <f t="shared" si="4"/>
        <v>3.6550475</v>
      </c>
    </row>
    <row r="307">
      <c r="A307" s="15">
        <f t="shared" si="3"/>
        <v>306</v>
      </c>
      <c r="B307" s="15" t="s">
        <v>26</v>
      </c>
      <c r="C307" s="15" t="s">
        <v>19</v>
      </c>
      <c r="D307" s="15" t="s">
        <v>1237</v>
      </c>
      <c r="E307" s="15" t="s">
        <v>93</v>
      </c>
      <c r="F307" s="15" t="s">
        <v>598</v>
      </c>
      <c r="G307" s="15" t="s">
        <v>29</v>
      </c>
      <c r="H307" s="15" t="s">
        <v>39</v>
      </c>
      <c r="I307" s="16">
        <v>-2.0</v>
      </c>
      <c r="J307" s="16">
        <v>0.1</v>
      </c>
      <c r="K307" s="16">
        <v>0.1</v>
      </c>
      <c r="L307" s="17">
        <v>45606.0</v>
      </c>
      <c r="M307" s="18">
        <v>1.9</v>
      </c>
      <c r="N307" s="15" t="s">
        <v>33</v>
      </c>
      <c r="O307" s="19">
        <f t="shared" si="1"/>
        <v>0.09</v>
      </c>
      <c r="P307" s="19">
        <f t="shared" si="4"/>
        <v>3.7450475</v>
      </c>
    </row>
    <row r="308">
      <c r="A308" s="8">
        <f t="shared" si="3"/>
        <v>307</v>
      </c>
      <c r="B308" s="8" t="s">
        <v>26</v>
      </c>
      <c r="C308" s="8" t="s">
        <v>19</v>
      </c>
      <c r="D308" s="8" t="s">
        <v>1238</v>
      </c>
      <c r="E308" s="8" t="s">
        <v>369</v>
      </c>
      <c r="F308" s="8" t="s">
        <v>598</v>
      </c>
      <c r="G308" s="8" t="s">
        <v>29</v>
      </c>
      <c r="H308" s="8" t="s">
        <v>39</v>
      </c>
      <c r="I308" s="9">
        <v>-1.0</v>
      </c>
      <c r="J308" s="9">
        <v>0.1</v>
      </c>
      <c r="K308" s="9">
        <f>0.1*11/58</f>
        <v>0.01896551724</v>
      </c>
      <c r="L308" s="10">
        <v>45606.0</v>
      </c>
      <c r="M308" s="11">
        <v>1.9</v>
      </c>
      <c r="N308" s="8" t="s">
        <v>25</v>
      </c>
      <c r="O308" s="12">
        <f t="shared" si="1"/>
        <v>-0.01896551724</v>
      </c>
      <c r="P308" s="12">
        <f t="shared" si="4"/>
        <v>3.726081983</v>
      </c>
    </row>
    <row r="309">
      <c r="A309" s="15">
        <f t="shared" si="3"/>
        <v>308</v>
      </c>
      <c r="B309" s="15" t="s">
        <v>26</v>
      </c>
      <c r="C309" s="15" t="s">
        <v>19</v>
      </c>
      <c r="D309" s="15" t="s">
        <v>1239</v>
      </c>
      <c r="E309" s="15" t="s">
        <v>93</v>
      </c>
      <c r="F309" s="15" t="s">
        <v>598</v>
      </c>
      <c r="G309" s="15" t="s">
        <v>29</v>
      </c>
      <c r="H309" s="15" t="s">
        <v>39</v>
      </c>
      <c r="I309" s="16">
        <v>-2.25</v>
      </c>
      <c r="J309" s="16">
        <v>0.1</v>
      </c>
      <c r="K309" s="16">
        <v>0.1</v>
      </c>
      <c r="L309" s="17">
        <v>45606.0</v>
      </c>
      <c r="M309" s="18">
        <v>1.825</v>
      </c>
      <c r="N309" s="15" t="s">
        <v>33</v>
      </c>
      <c r="O309" s="19">
        <f t="shared" si="1"/>
        <v>0.0825</v>
      </c>
      <c r="P309" s="19">
        <f t="shared" si="4"/>
        <v>3.808581983</v>
      </c>
    </row>
    <row r="310">
      <c r="A310" s="8">
        <f t="shared" si="3"/>
        <v>309</v>
      </c>
      <c r="B310" s="8" t="s">
        <v>26</v>
      </c>
      <c r="C310" s="8" t="s">
        <v>19</v>
      </c>
      <c r="D310" s="8" t="s">
        <v>1240</v>
      </c>
      <c r="E310" s="8" t="s">
        <v>624</v>
      </c>
      <c r="F310" s="8" t="s">
        <v>22</v>
      </c>
      <c r="G310" s="8" t="s">
        <v>225</v>
      </c>
      <c r="H310" s="8" t="s">
        <v>39</v>
      </c>
      <c r="I310" s="9">
        <v>1.75</v>
      </c>
      <c r="J310" s="9">
        <v>0.1</v>
      </c>
      <c r="K310" s="9">
        <v>0.1</v>
      </c>
      <c r="L310" s="10">
        <v>45606.0</v>
      </c>
      <c r="M310" s="11">
        <f>212.73/150</f>
        <v>1.4182</v>
      </c>
      <c r="N310" s="8" t="s">
        <v>33</v>
      </c>
      <c r="O310" s="12">
        <f t="shared" si="1"/>
        <v>0.04182</v>
      </c>
      <c r="P310" s="12">
        <f t="shared" si="4"/>
        <v>3.850401983</v>
      </c>
    </row>
    <row r="311">
      <c r="A311" s="15">
        <f t="shared" si="3"/>
        <v>310</v>
      </c>
      <c r="B311" s="15" t="s">
        <v>26</v>
      </c>
      <c r="C311" s="15" t="s">
        <v>19</v>
      </c>
      <c r="D311" s="15" t="s">
        <v>1241</v>
      </c>
      <c r="E311" s="15" t="s">
        <v>372</v>
      </c>
      <c r="F311" s="15" t="s">
        <v>22</v>
      </c>
      <c r="G311" s="15" t="s">
        <v>225</v>
      </c>
      <c r="H311" s="15" t="s">
        <v>39</v>
      </c>
      <c r="I311" s="16">
        <v>0.5</v>
      </c>
      <c r="J311" s="16">
        <v>0.05</v>
      </c>
      <c r="K311" s="16">
        <v>0.05</v>
      </c>
      <c r="L311" s="17">
        <v>45606.0</v>
      </c>
      <c r="M311" s="18">
        <v>2.02</v>
      </c>
      <c r="N311" s="15" t="s">
        <v>25</v>
      </c>
      <c r="O311" s="19">
        <f t="shared" si="1"/>
        <v>-0.05</v>
      </c>
      <c r="P311" s="19">
        <f t="shared" si="4"/>
        <v>3.800401983</v>
      </c>
    </row>
    <row r="312">
      <c r="A312" s="8">
        <f t="shared" si="3"/>
        <v>311</v>
      </c>
      <c r="B312" s="8" t="s">
        <v>26</v>
      </c>
      <c r="C312" s="8" t="s">
        <v>19</v>
      </c>
      <c r="D312" s="8" t="s">
        <v>1242</v>
      </c>
      <c r="E312" s="8" t="s">
        <v>456</v>
      </c>
      <c r="F312" s="8" t="s">
        <v>22</v>
      </c>
      <c r="G312" s="8" t="s">
        <v>225</v>
      </c>
      <c r="H312" s="8" t="s">
        <v>39</v>
      </c>
      <c r="I312" s="9">
        <v>1.5</v>
      </c>
      <c r="J312" s="9">
        <v>0.05</v>
      </c>
      <c r="K312" s="9">
        <v>0.05</v>
      </c>
      <c r="L312" s="10">
        <v>45606.0</v>
      </c>
      <c r="M312" s="11">
        <v>1.85</v>
      </c>
      <c r="N312" s="8" t="s">
        <v>33</v>
      </c>
      <c r="O312" s="12">
        <f t="shared" si="1"/>
        <v>0.0425</v>
      </c>
      <c r="P312" s="12">
        <f t="shared" si="4"/>
        <v>3.842901983</v>
      </c>
    </row>
    <row r="313">
      <c r="A313" s="15">
        <f t="shared" si="3"/>
        <v>312</v>
      </c>
      <c r="B313" s="15" t="s">
        <v>26</v>
      </c>
      <c r="C313" s="15" t="s">
        <v>19</v>
      </c>
      <c r="D313" s="15" t="s">
        <v>1243</v>
      </c>
      <c r="E313" s="15" t="s">
        <v>82</v>
      </c>
      <c r="F313" s="15" t="s">
        <v>598</v>
      </c>
      <c r="G313" s="15" t="s">
        <v>29</v>
      </c>
      <c r="H313" s="15" t="s">
        <v>39</v>
      </c>
      <c r="I313" s="16">
        <v>-2.0</v>
      </c>
      <c r="J313" s="16">
        <v>0.1</v>
      </c>
      <c r="K313" s="16">
        <v>0.1</v>
      </c>
      <c r="L313" s="17">
        <v>45607.0</v>
      </c>
      <c r="M313" s="18">
        <v>2.0</v>
      </c>
      <c r="N313" s="15" t="s">
        <v>70</v>
      </c>
      <c r="O313" s="19">
        <f t="shared" si="1"/>
        <v>0</v>
      </c>
      <c r="P313" s="19">
        <f t="shared" si="4"/>
        <v>3.842901983</v>
      </c>
    </row>
    <row r="314">
      <c r="A314" s="8">
        <f t="shared" si="3"/>
        <v>313</v>
      </c>
      <c r="B314" s="8" t="s">
        <v>26</v>
      </c>
      <c r="C314" s="8" t="s">
        <v>19</v>
      </c>
      <c r="D314" s="8" t="s">
        <v>1244</v>
      </c>
      <c r="E314" s="8" t="s">
        <v>82</v>
      </c>
      <c r="F314" s="8" t="s">
        <v>598</v>
      </c>
      <c r="G314" s="8" t="s">
        <v>29</v>
      </c>
      <c r="H314" s="32" t="s">
        <v>24</v>
      </c>
      <c r="I314" s="9">
        <v>-2.0</v>
      </c>
      <c r="J314" s="9">
        <v>0.25</v>
      </c>
      <c r="K314" s="9">
        <v>0.1508</v>
      </c>
      <c r="L314" s="54">
        <v>45608.0</v>
      </c>
      <c r="M314" s="11">
        <v>1.95</v>
      </c>
      <c r="N314" s="8" t="s">
        <v>33</v>
      </c>
      <c r="O314" s="12">
        <f t="shared" si="1"/>
        <v>0.14326</v>
      </c>
      <c r="P314" s="12">
        <f t="shared" si="4"/>
        <v>3.986161983</v>
      </c>
    </row>
    <row r="315">
      <c r="A315" s="15">
        <f t="shared" si="3"/>
        <v>314</v>
      </c>
      <c r="B315" s="15" t="s">
        <v>26</v>
      </c>
      <c r="C315" s="15" t="s">
        <v>19</v>
      </c>
      <c r="D315" s="15" t="s">
        <v>1245</v>
      </c>
      <c r="E315" s="15" t="s">
        <v>38</v>
      </c>
      <c r="F315" s="15" t="s">
        <v>598</v>
      </c>
      <c r="G315" s="15" t="s">
        <v>29</v>
      </c>
      <c r="H315" s="15" t="s">
        <v>39</v>
      </c>
      <c r="I315" s="16">
        <v>-2.75</v>
      </c>
      <c r="J315" s="16">
        <v>0.25</v>
      </c>
      <c r="K315" s="16">
        <v>0.1853</v>
      </c>
      <c r="L315" s="55">
        <v>45608.0</v>
      </c>
      <c r="M315" s="18">
        <v>1.95</v>
      </c>
      <c r="N315" s="15" t="s">
        <v>33</v>
      </c>
      <c r="O315" s="19">
        <f t="shared" si="1"/>
        <v>0.176035</v>
      </c>
      <c r="P315" s="19">
        <f t="shared" si="4"/>
        <v>4.162196983</v>
      </c>
    </row>
    <row r="316">
      <c r="A316" s="8">
        <f t="shared" si="3"/>
        <v>315</v>
      </c>
      <c r="B316" s="8" t="s">
        <v>26</v>
      </c>
      <c r="C316" s="8" t="s">
        <v>19</v>
      </c>
      <c r="D316" s="8" t="s">
        <v>1246</v>
      </c>
      <c r="E316" s="8" t="s">
        <v>877</v>
      </c>
      <c r="F316" s="8" t="s">
        <v>598</v>
      </c>
      <c r="G316" s="8" t="s">
        <v>225</v>
      </c>
      <c r="H316" s="8" t="s">
        <v>24</v>
      </c>
      <c r="I316" s="9">
        <v>0.5</v>
      </c>
      <c r="J316" s="9">
        <v>0.15</v>
      </c>
      <c r="K316" s="9">
        <v>0.15</v>
      </c>
      <c r="L316" s="54">
        <v>45609.0</v>
      </c>
      <c r="M316" s="11">
        <v>1.9</v>
      </c>
      <c r="N316" s="8" t="s">
        <v>33</v>
      </c>
      <c r="O316" s="12">
        <f t="shared" si="1"/>
        <v>0.135</v>
      </c>
      <c r="P316" s="12">
        <f t="shared" si="4"/>
        <v>4.297196983</v>
      </c>
    </row>
    <row r="317">
      <c r="A317" s="15">
        <f t="shared" si="3"/>
        <v>316</v>
      </c>
      <c r="B317" s="15" t="s">
        <v>35</v>
      </c>
      <c r="C317" s="15" t="s">
        <v>19</v>
      </c>
      <c r="D317" s="15" t="s">
        <v>1247</v>
      </c>
      <c r="E317" s="15" t="s">
        <v>463</v>
      </c>
      <c r="F317" s="15" t="s">
        <v>598</v>
      </c>
      <c r="G317" s="15" t="s">
        <v>29</v>
      </c>
      <c r="H317" s="15" t="s">
        <v>24</v>
      </c>
      <c r="I317" s="16">
        <v>-5.75</v>
      </c>
      <c r="J317" s="16">
        <v>0.1</v>
      </c>
      <c r="K317" s="16">
        <v>0.1</v>
      </c>
      <c r="L317" s="55">
        <v>45609.0</v>
      </c>
      <c r="M317" s="18">
        <v>1.9</v>
      </c>
      <c r="N317" s="15" t="s">
        <v>33</v>
      </c>
      <c r="O317" s="19">
        <f t="shared" si="1"/>
        <v>0.09</v>
      </c>
      <c r="P317" s="19">
        <f t="shared" si="4"/>
        <v>4.387196983</v>
      </c>
    </row>
    <row r="318">
      <c r="A318" s="8">
        <f t="shared" si="3"/>
        <v>317</v>
      </c>
      <c r="B318" s="8" t="s">
        <v>26</v>
      </c>
      <c r="C318" s="8" t="s">
        <v>19</v>
      </c>
      <c r="D318" s="8" t="s">
        <v>1248</v>
      </c>
      <c r="E318" s="8" t="s">
        <v>182</v>
      </c>
      <c r="F318" s="8" t="s">
        <v>598</v>
      </c>
      <c r="G318" s="8" t="s">
        <v>225</v>
      </c>
      <c r="H318" s="8" t="s">
        <v>39</v>
      </c>
      <c r="I318" s="9">
        <v>0.75</v>
      </c>
      <c r="J318" s="9">
        <v>0.1</v>
      </c>
      <c r="K318" s="9">
        <v>0.1</v>
      </c>
      <c r="L318" s="10">
        <v>45610.0</v>
      </c>
      <c r="M318" s="11">
        <v>1.875</v>
      </c>
      <c r="N318" s="8" t="s">
        <v>79</v>
      </c>
      <c r="O318" s="12">
        <f t="shared" si="1"/>
        <v>-0.05</v>
      </c>
      <c r="P318" s="12">
        <f t="shared" si="4"/>
        <v>4.337196983</v>
      </c>
    </row>
    <row r="319">
      <c r="A319" s="15">
        <f t="shared" si="3"/>
        <v>318</v>
      </c>
      <c r="B319" s="15" t="s">
        <v>129</v>
      </c>
      <c r="C319" s="15" t="s">
        <v>19</v>
      </c>
      <c r="D319" s="15" t="s">
        <v>1249</v>
      </c>
      <c r="E319" s="15" t="s">
        <v>182</v>
      </c>
      <c r="F319" s="15" t="s">
        <v>22</v>
      </c>
      <c r="G319" s="15" t="s">
        <v>1150</v>
      </c>
      <c r="H319" s="15" t="s">
        <v>24</v>
      </c>
      <c r="I319" s="16">
        <v>0.0</v>
      </c>
      <c r="J319" s="16">
        <v>0.2</v>
      </c>
      <c r="K319" s="16">
        <v>0.2</v>
      </c>
      <c r="L319" s="17">
        <v>45610.0</v>
      </c>
      <c r="M319" s="18">
        <v>1.675</v>
      </c>
      <c r="N319" s="15" t="s">
        <v>70</v>
      </c>
      <c r="O319" s="19">
        <f t="shared" si="1"/>
        <v>0</v>
      </c>
      <c r="P319" s="19">
        <f t="shared" si="4"/>
        <v>4.337196983</v>
      </c>
    </row>
    <row r="320">
      <c r="A320" s="8">
        <f t="shared" si="3"/>
        <v>319</v>
      </c>
      <c r="B320" s="8" t="s">
        <v>26</v>
      </c>
      <c r="C320" s="8" t="s">
        <v>19</v>
      </c>
      <c r="D320" s="8" t="s">
        <v>1250</v>
      </c>
      <c r="E320" s="8" t="s">
        <v>96</v>
      </c>
      <c r="F320" s="8" t="s">
        <v>598</v>
      </c>
      <c r="G320" s="8" t="s">
        <v>29</v>
      </c>
      <c r="H320" s="8" t="s">
        <v>24</v>
      </c>
      <c r="I320" s="9">
        <v>-2.5</v>
      </c>
      <c r="J320" s="9">
        <v>0.3</v>
      </c>
      <c r="K320" s="9">
        <v>0.3</v>
      </c>
      <c r="L320" s="10">
        <v>45610.0</v>
      </c>
      <c r="M320" s="11">
        <v>1.727</v>
      </c>
      <c r="N320" s="8" t="s">
        <v>33</v>
      </c>
      <c r="O320" s="12">
        <f t="shared" si="1"/>
        <v>0.2181</v>
      </c>
      <c r="P320" s="12">
        <f t="shared" si="4"/>
        <v>4.555296983</v>
      </c>
    </row>
    <row r="321">
      <c r="A321" s="15">
        <f t="shared" si="3"/>
        <v>320</v>
      </c>
      <c r="B321" s="15" t="s">
        <v>26</v>
      </c>
      <c r="C321" s="15" t="s">
        <v>19</v>
      </c>
      <c r="D321" s="15" t="s">
        <v>1251</v>
      </c>
      <c r="E321" s="15" t="s">
        <v>96</v>
      </c>
      <c r="F321" s="15" t="s">
        <v>598</v>
      </c>
      <c r="G321" s="15" t="s">
        <v>29</v>
      </c>
      <c r="H321" s="15" t="s">
        <v>24</v>
      </c>
      <c r="I321" s="16">
        <v>-2.25</v>
      </c>
      <c r="J321" s="16">
        <v>0.3</v>
      </c>
      <c r="K321" s="16">
        <v>0.3</v>
      </c>
      <c r="L321" s="17">
        <v>45610.0</v>
      </c>
      <c r="M321" s="18">
        <v>1.4463</v>
      </c>
      <c r="N321" s="15" t="s">
        <v>30</v>
      </c>
      <c r="O321" s="19">
        <f t="shared" si="1"/>
        <v>0.066945</v>
      </c>
      <c r="P321" s="19">
        <f t="shared" si="4"/>
        <v>4.622241983</v>
      </c>
    </row>
    <row r="322">
      <c r="A322" s="8">
        <f t="shared" si="3"/>
        <v>321</v>
      </c>
      <c r="B322" s="8" t="s">
        <v>26</v>
      </c>
      <c r="C322" s="8" t="s">
        <v>19</v>
      </c>
      <c r="D322" s="8" t="s">
        <v>1252</v>
      </c>
      <c r="E322" s="8" t="s">
        <v>78</v>
      </c>
      <c r="F322" s="8" t="s">
        <v>598</v>
      </c>
      <c r="G322" s="8" t="s">
        <v>29</v>
      </c>
      <c r="H322" s="8" t="s">
        <v>24</v>
      </c>
      <c r="I322" s="9">
        <v>-3.0</v>
      </c>
      <c r="J322" s="9">
        <v>0.25</v>
      </c>
      <c r="K322" s="9">
        <v>0.1184</v>
      </c>
      <c r="L322" s="10">
        <v>45610.0</v>
      </c>
      <c r="M322" s="11">
        <v>1.9</v>
      </c>
      <c r="N322" s="8" t="s">
        <v>33</v>
      </c>
      <c r="O322" s="12">
        <f t="shared" si="1"/>
        <v>0.10656</v>
      </c>
      <c r="P322" s="12">
        <f t="shared" si="4"/>
        <v>4.728801983</v>
      </c>
    </row>
    <row r="323">
      <c r="A323" s="15">
        <f t="shared" si="3"/>
        <v>322</v>
      </c>
      <c r="B323" s="15" t="s">
        <v>26</v>
      </c>
      <c r="C323" s="15" t="s">
        <v>19</v>
      </c>
      <c r="D323" s="15" t="s">
        <v>1253</v>
      </c>
      <c r="E323" s="15" t="s">
        <v>820</v>
      </c>
      <c r="F323" s="15" t="s">
        <v>598</v>
      </c>
      <c r="G323" s="15" t="s">
        <v>29</v>
      </c>
      <c r="H323" s="15" t="s">
        <v>39</v>
      </c>
      <c r="I323" s="16">
        <v>-2.25</v>
      </c>
      <c r="J323" s="16">
        <v>0.1</v>
      </c>
      <c r="K323" s="16">
        <v>0.041</v>
      </c>
      <c r="L323" s="17">
        <v>45611.0</v>
      </c>
      <c r="M323" s="18">
        <v>1.875</v>
      </c>
      <c r="N323" s="15" t="s">
        <v>30</v>
      </c>
      <c r="O323" s="19">
        <f t="shared" si="1"/>
        <v>0.0179375</v>
      </c>
      <c r="P323" s="19">
        <f t="shared" si="4"/>
        <v>4.746739483</v>
      </c>
    </row>
    <row r="324">
      <c r="A324" s="8">
        <f t="shared" si="3"/>
        <v>323</v>
      </c>
      <c r="B324" s="8" t="s">
        <v>26</v>
      </c>
      <c r="C324" s="8" t="s">
        <v>19</v>
      </c>
      <c r="D324" s="8" t="s">
        <v>1254</v>
      </c>
      <c r="E324" s="8" t="s">
        <v>218</v>
      </c>
      <c r="F324" s="8" t="s">
        <v>598</v>
      </c>
      <c r="G324" s="8" t="s">
        <v>440</v>
      </c>
      <c r="H324" s="8" t="s">
        <v>24</v>
      </c>
      <c r="I324" s="9">
        <v>2.0</v>
      </c>
      <c r="J324" s="9">
        <v>0.1</v>
      </c>
      <c r="K324" s="9">
        <v>0.1</v>
      </c>
      <c r="L324" s="10">
        <v>45611.0</v>
      </c>
      <c r="M324" s="11">
        <v>1.925</v>
      </c>
      <c r="N324" s="8" t="s">
        <v>33</v>
      </c>
      <c r="O324" s="12">
        <f t="shared" si="1"/>
        <v>0.0925</v>
      </c>
      <c r="P324" s="12">
        <f t="shared" si="4"/>
        <v>4.839239483</v>
      </c>
    </row>
    <row r="325">
      <c r="A325" s="15">
        <f t="shared" si="3"/>
        <v>324</v>
      </c>
      <c r="B325" s="15" t="s">
        <v>129</v>
      </c>
      <c r="C325" s="15" t="s">
        <v>19</v>
      </c>
      <c r="D325" s="15" t="s">
        <v>1255</v>
      </c>
      <c r="E325" s="15" t="s">
        <v>675</v>
      </c>
      <c r="F325" s="15" t="s">
        <v>22</v>
      </c>
      <c r="G325" s="15" t="s">
        <v>892</v>
      </c>
      <c r="H325" s="15" t="s">
        <v>24</v>
      </c>
      <c r="I325" s="16">
        <v>0.0</v>
      </c>
      <c r="J325" s="16">
        <v>0.25</v>
      </c>
      <c r="K325" s="16">
        <v>0.25</v>
      </c>
      <c r="L325" s="17">
        <v>45611.0</v>
      </c>
      <c r="M325" s="18">
        <v>1.625</v>
      </c>
      <c r="N325" s="15" t="s">
        <v>33</v>
      </c>
      <c r="O325" s="19">
        <f t="shared" si="1"/>
        <v>0.15625</v>
      </c>
      <c r="P325" s="19">
        <f t="shared" si="4"/>
        <v>4.995489483</v>
      </c>
    </row>
    <row r="326">
      <c r="A326" s="8">
        <f t="shared" si="3"/>
        <v>325</v>
      </c>
      <c r="B326" s="8" t="s">
        <v>26</v>
      </c>
      <c r="C326" s="8" t="s">
        <v>19</v>
      </c>
      <c r="D326" s="8" t="s">
        <v>1256</v>
      </c>
      <c r="E326" s="8" t="s">
        <v>583</v>
      </c>
      <c r="F326" s="8" t="s">
        <v>22</v>
      </c>
      <c r="G326" s="8" t="s">
        <v>225</v>
      </c>
      <c r="H326" s="8" t="s">
        <v>24</v>
      </c>
      <c r="I326" s="9">
        <v>1.5</v>
      </c>
      <c r="J326" s="9">
        <v>0.15</v>
      </c>
      <c r="K326" s="9">
        <v>0.15</v>
      </c>
      <c r="L326" s="10">
        <v>45611.0</v>
      </c>
      <c r="M326" s="11">
        <v>1.925</v>
      </c>
      <c r="N326" s="8" t="s">
        <v>25</v>
      </c>
      <c r="O326" s="12">
        <f t="shared" si="1"/>
        <v>-0.15</v>
      </c>
      <c r="P326" s="12">
        <f t="shared" si="4"/>
        <v>4.845489483</v>
      </c>
    </row>
    <row r="327">
      <c r="A327" s="15">
        <f t="shared" si="3"/>
        <v>326</v>
      </c>
      <c r="B327" s="15" t="s">
        <v>26</v>
      </c>
      <c r="C327" s="15" t="s">
        <v>19</v>
      </c>
      <c r="D327" s="15" t="s">
        <v>1257</v>
      </c>
      <c r="E327" s="15" t="s">
        <v>38</v>
      </c>
      <c r="F327" s="15" t="s">
        <v>598</v>
      </c>
      <c r="G327" s="15" t="s">
        <v>29</v>
      </c>
      <c r="H327" s="15" t="s">
        <v>39</v>
      </c>
      <c r="I327" s="16">
        <v>-4.0</v>
      </c>
      <c r="J327" s="16">
        <v>0.3</v>
      </c>
      <c r="K327" s="16">
        <v>0.3</v>
      </c>
      <c r="L327" s="17">
        <v>45611.0</v>
      </c>
      <c r="M327" s="18">
        <v>1.7</v>
      </c>
      <c r="N327" s="15" t="s">
        <v>70</v>
      </c>
      <c r="O327" s="19">
        <f t="shared" si="1"/>
        <v>0</v>
      </c>
      <c r="P327" s="19">
        <f t="shared" si="4"/>
        <v>4.845489483</v>
      </c>
    </row>
    <row r="328">
      <c r="A328" s="8">
        <f t="shared" si="3"/>
        <v>327</v>
      </c>
      <c r="B328" s="8" t="s">
        <v>26</v>
      </c>
      <c r="C328" s="8" t="s">
        <v>19</v>
      </c>
      <c r="D328" s="8" t="s">
        <v>1258</v>
      </c>
      <c r="E328" s="8" t="s">
        <v>683</v>
      </c>
      <c r="F328" s="8" t="s">
        <v>598</v>
      </c>
      <c r="G328" s="8" t="s">
        <v>29</v>
      </c>
      <c r="H328" s="8" t="s">
        <v>24</v>
      </c>
      <c r="I328" s="9">
        <v>-0.75</v>
      </c>
      <c r="J328" s="9">
        <v>0.1</v>
      </c>
      <c r="K328" s="9">
        <v>0.082</v>
      </c>
      <c r="L328" s="10">
        <v>45611.0</v>
      </c>
      <c r="M328" s="11">
        <v>1.925</v>
      </c>
      <c r="N328" s="8" t="s">
        <v>33</v>
      </c>
      <c r="O328" s="12">
        <f t="shared" si="1"/>
        <v>0.07585</v>
      </c>
      <c r="P328" s="12">
        <f t="shared" si="4"/>
        <v>4.921339483</v>
      </c>
    </row>
    <row r="329">
      <c r="A329" s="15">
        <f t="shared" si="3"/>
        <v>328</v>
      </c>
      <c r="B329" s="15" t="s">
        <v>26</v>
      </c>
      <c r="C329" s="15" t="s">
        <v>19</v>
      </c>
      <c r="D329" s="15" t="s">
        <v>1259</v>
      </c>
      <c r="E329" s="15" t="s">
        <v>1260</v>
      </c>
      <c r="F329" s="15" t="s">
        <v>598</v>
      </c>
      <c r="G329" s="15" t="s">
        <v>29</v>
      </c>
      <c r="H329" s="15" t="s">
        <v>39</v>
      </c>
      <c r="I329" s="16">
        <v>-4.0</v>
      </c>
      <c r="J329" s="16">
        <v>0.1</v>
      </c>
      <c r="K329" s="16">
        <v>0.091</v>
      </c>
      <c r="L329" s="17">
        <v>45611.0</v>
      </c>
      <c r="M329" s="18">
        <v>1.75</v>
      </c>
      <c r="N329" s="15" t="s">
        <v>25</v>
      </c>
      <c r="O329" s="19">
        <f t="shared" si="1"/>
        <v>-0.091</v>
      </c>
      <c r="P329" s="19">
        <f t="shared" si="4"/>
        <v>4.830339483</v>
      </c>
    </row>
    <row r="330">
      <c r="A330" s="8">
        <f t="shared" si="3"/>
        <v>329</v>
      </c>
      <c r="B330" s="8" t="s">
        <v>26</v>
      </c>
      <c r="C330" s="8" t="s">
        <v>19</v>
      </c>
      <c r="D330" s="8" t="s">
        <v>1261</v>
      </c>
      <c r="E330" s="8" t="s">
        <v>231</v>
      </c>
      <c r="F330" s="8" t="s">
        <v>598</v>
      </c>
      <c r="G330" s="8" t="s">
        <v>29</v>
      </c>
      <c r="H330" s="8" t="s">
        <v>24</v>
      </c>
      <c r="I330" s="9">
        <v>-2.25</v>
      </c>
      <c r="J330" s="9">
        <v>0.3</v>
      </c>
      <c r="K330" s="9">
        <v>0.3</v>
      </c>
      <c r="L330" s="10">
        <v>45612.0</v>
      </c>
      <c r="M330" s="8">
        <v>1.85</v>
      </c>
      <c r="N330" s="8" t="s">
        <v>30</v>
      </c>
      <c r="O330" s="12">
        <f t="shared" si="1"/>
        <v>0.1275</v>
      </c>
      <c r="P330" s="12">
        <f t="shared" si="4"/>
        <v>4.957839483</v>
      </c>
    </row>
    <row r="331">
      <c r="A331" s="15">
        <f t="shared" si="3"/>
        <v>330</v>
      </c>
      <c r="B331" s="15" t="s">
        <v>26</v>
      </c>
      <c r="C331" s="15" t="s">
        <v>19</v>
      </c>
      <c r="D331" s="15" t="s">
        <v>1262</v>
      </c>
      <c r="E331" s="15" t="s">
        <v>84</v>
      </c>
      <c r="F331" s="15" t="s">
        <v>598</v>
      </c>
      <c r="G331" s="15" t="s">
        <v>440</v>
      </c>
      <c r="H331" s="15" t="s">
        <v>24</v>
      </c>
      <c r="I331" s="16">
        <v>-2.0</v>
      </c>
      <c r="J331" s="16">
        <v>0.15</v>
      </c>
      <c r="K331" s="16">
        <v>0.15</v>
      </c>
      <c r="L331" s="57">
        <v>45612.0</v>
      </c>
      <c r="M331" s="18">
        <v>1.85</v>
      </c>
      <c r="N331" s="15" t="s">
        <v>25</v>
      </c>
      <c r="O331" s="19">
        <f t="shared" si="1"/>
        <v>-0.15</v>
      </c>
      <c r="P331" s="19">
        <f t="shared" si="4"/>
        <v>4.807839483</v>
      </c>
    </row>
    <row r="332">
      <c r="A332" s="8">
        <f t="shared" si="3"/>
        <v>331</v>
      </c>
      <c r="B332" s="8" t="s">
        <v>26</v>
      </c>
      <c r="C332" s="8" t="s">
        <v>19</v>
      </c>
      <c r="D332" s="8" t="s">
        <v>1263</v>
      </c>
      <c r="E332" s="8" t="s">
        <v>316</v>
      </c>
      <c r="F332" s="8" t="s">
        <v>598</v>
      </c>
      <c r="G332" s="8" t="s">
        <v>225</v>
      </c>
      <c r="H332" s="8" t="s">
        <v>24</v>
      </c>
      <c r="I332" s="9">
        <f>1.5</f>
        <v>1.5</v>
      </c>
      <c r="J332" s="9">
        <v>0.15</v>
      </c>
      <c r="K332" s="9">
        <v>0.15</v>
      </c>
      <c r="L332" s="56">
        <v>45612.0</v>
      </c>
      <c r="M332" s="11">
        <v>1.75</v>
      </c>
      <c r="N332" s="8" t="s">
        <v>25</v>
      </c>
      <c r="O332" s="12">
        <f t="shared" si="1"/>
        <v>-0.15</v>
      </c>
      <c r="P332" s="12">
        <f t="shared" si="4"/>
        <v>4.657839483</v>
      </c>
    </row>
    <row r="333">
      <c r="A333" s="15">
        <f t="shared" si="3"/>
        <v>332</v>
      </c>
      <c r="B333" s="15" t="s">
        <v>26</v>
      </c>
      <c r="C333" s="15" t="s">
        <v>19</v>
      </c>
      <c r="D333" s="15" t="s">
        <v>1264</v>
      </c>
      <c r="E333" s="15" t="s">
        <v>646</v>
      </c>
      <c r="F333" s="15" t="s">
        <v>598</v>
      </c>
      <c r="G333" s="15" t="s">
        <v>29</v>
      </c>
      <c r="H333" s="15" t="s">
        <v>24</v>
      </c>
      <c r="I333" s="16">
        <v>-2.0</v>
      </c>
      <c r="J333" s="16">
        <v>0.3</v>
      </c>
      <c r="K333" s="16">
        <v>0.3</v>
      </c>
      <c r="L333" s="57">
        <v>45612.0</v>
      </c>
      <c r="M333" s="18">
        <v>1.95</v>
      </c>
      <c r="N333" s="15" t="s">
        <v>33</v>
      </c>
      <c r="O333" s="19">
        <f t="shared" si="1"/>
        <v>0.285</v>
      </c>
      <c r="P333" s="19">
        <f t="shared" si="4"/>
        <v>4.942839483</v>
      </c>
    </row>
    <row r="334">
      <c r="A334" s="8">
        <f t="shared" si="3"/>
        <v>333</v>
      </c>
      <c r="B334" s="8" t="s">
        <v>26</v>
      </c>
      <c r="C334" s="8" t="s">
        <v>19</v>
      </c>
      <c r="D334" s="8" t="s">
        <v>1265</v>
      </c>
      <c r="E334" s="8" t="s">
        <v>646</v>
      </c>
      <c r="F334" s="8" t="s">
        <v>598</v>
      </c>
      <c r="G334" s="8" t="s">
        <v>29</v>
      </c>
      <c r="H334" s="8" t="s">
        <v>24</v>
      </c>
      <c r="I334" s="9">
        <v>-2.5</v>
      </c>
      <c r="J334" s="9">
        <v>0.3</v>
      </c>
      <c r="K334" s="9">
        <v>0.3</v>
      </c>
      <c r="L334" s="56">
        <v>45612.0</v>
      </c>
      <c r="M334" s="11">
        <v>1.9</v>
      </c>
      <c r="N334" s="8" t="s">
        <v>33</v>
      </c>
      <c r="O334" s="12">
        <f t="shared" si="1"/>
        <v>0.27</v>
      </c>
      <c r="P334" s="12">
        <f t="shared" si="4"/>
        <v>5.212839483</v>
      </c>
    </row>
    <row r="335">
      <c r="A335" s="15">
        <f t="shared" si="3"/>
        <v>334</v>
      </c>
      <c r="B335" s="15" t="s">
        <v>26</v>
      </c>
      <c r="C335" s="15" t="s">
        <v>19</v>
      </c>
      <c r="D335" s="15" t="s">
        <v>1266</v>
      </c>
      <c r="E335" s="15" t="s">
        <v>952</v>
      </c>
      <c r="F335" s="15" t="s">
        <v>598</v>
      </c>
      <c r="G335" s="15" t="s">
        <v>29</v>
      </c>
      <c r="H335" s="15" t="s">
        <v>24</v>
      </c>
      <c r="I335" s="16">
        <v>-2.0</v>
      </c>
      <c r="J335" s="16">
        <v>0.3</v>
      </c>
      <c r="K335" s="16">
        <v>0.3</v>
      </c>
      <c r="L335" s="57">
        <v>45612.0</v>
      </c>
      <c r="M335" s="18">
        <v>1.8</v>
      </c>
      <c r="N335" s="15" t="s">
        <v>70</v>
      </c>
      <c r="O335" s="19">
        <f t="shared" si="1"/>
        <v>0</v>
      </c>
      <c r="P335" s="19">
        <f t="shared" si="4"/>
        <v>5.212839483</v>
      </c>
    </row>
    <row r="336">
      <c r="A336" s="8">
        <f t="shared" si="3"/>
        <v>335</v>
      </c>
      <c r="B336" s="8" t="s">
        <v>129</v>
      </c>
      <c r="C336" s="8" t="s">
        <v>19</v>
      </c>
      <c r="D336" s="8" t="s">
        <v>1267</v>
      </c>
      <c r="E336" s="8" t="s">
        <v>583</v>
      </c>
      <c r="F336" s="8" t="s">
        <v>22</v>
      </c>
      <c r="G336" s="8" t="s">
        <v>892</v>
      </c>
      <c r="H336" s="8" t="s">
        <v>24</v>
      </c>
      <c r="I336" s="8">
        <v>0.0</v>
      </c>
      <c r="J336" s="9">
        <v>0.15</v>
      </c>
      <c r="K336" s="9">
        <v>0.15</v>
      </c>
      <c r="L336" s="56">
        <v>45612.0</v>
      </c>
      <c r="M336" s="11">
        <v>1.7</v>
      </c>
      <c r="N336" s="8" t="s">
        <v>70</v>
      </c>
      <c r="O336" s="12">
        <f t="shared" si="1"/>
        <v>0</v>
      </c>
      <c r="P336" s="12">
        <f t="shared" si="4"/>
        <v>5.212839483</v>
      </c>
    </row>
    <row r="337">
      <c r="A337" s="15">
        <f t="shared" si="3"/>
        <v>336</v>
      </c>
      <c r="B337" s="15" t="s">
        <v>26</v>
      </c>
      <c r="C337" s="15" t="s">
        <v>19</v>
      </c>
      <c r="D337" s="15" t="s">
        <v>1268</v>
      </c>
      <c r="E337" s="15" t="s">
        <v>44</v>
      </c>
      <c r="F337" s="15" t="s">
        <v>22</v>
      </c>
      <c r="G337" s="15" t="s">
        <v>29</v>
      </c>
      <c r="H337" s="15" t="s">
        <v>24</v>
      </c>
      <c r="I337" s="16">
        <v>-1.0</v>
      </c>
      <c r="J337" s="16">
        <v>0.1</v>
      </c>
      <c r="K337" s="16">
        <v>0.1</v>
      </c>
      <c r="L337" s="57">
        <v>45612.0</v>
      </c>
      <c r="M337" s="18">
        <v>1.725</v>
      </c>
      <c r="N337" s="15" t="s">
        <v>70</v>
      </c>
      <c r="O337" s="19">
        <f t="shared" si="1"/>
        <v>0</v>
      </c>
      <c r="P337" s="19">
        <f t="shared" si="4"/>
        <v>5.212839483</v>
      </c>
    </row>
    <row r="338">
      <c r="A338" s="8">
        <f t="shared" si="3"/>
        <v>337</v>
      </c>
      <c r="B338" s="8" t="s">
        <v>26</v>
      </c>
      <c r="C338" s="8" t="s">
        <v>19</v>
      </c>
      <c r="D338" s="8" t="s">
        <v>1269</v>
      </c>
      <c r="E338" s="8" t="s">
        <v>683</v>
      </c>
      <c r="F338" s="8" t="s">
        <v>22</v>
      </c>
      <c r="G338" s="8" t="s">
        <v>29</v>
      </c>
      <c r="H338" s="8" t="s">
        <v>24</v>
      </c>
      <c r="I338" s="9">
        <v>-0.75</v>
      </c>
      <c r="J338" s="9">
        <v>0.1</v>
      </c>
      <c r="K338" s="9">
        <v>0.1</v>
      </c>
      <c r="L338" s="56">
        <v>45612.0</v>
      </c>
      <c r="M338" s="11">
        <v>1.825</v>
      </c>
      <c r="N338" s="8" t="s">
        <v>79</v>
      </c>
      <c r="O338" s="12">
        <f t="shared" si="1"/>
        <v>-0.05</v>
      </c>
      <c r="P338" s="12">
        <f t="shared" si="4"/>
        <v>5.162839483</v>
      </c>
    </row>
    <row r="339">
      <c r="A339" s="15">
        <f t="shared" si="3"/>
        <v>338</v>
      </c>
      <c r="B339" s="15" t="s">
        <v>26</v>
      </c>
      <c r="C339" s="15" t="s">
        <v>19</v>
      </c>
      <c r="D339" s="15" t="s">
        <v>1270</v>
      </c>
      <c r="E339" s="15" t="s">
        <v>101</v>
      </c>
      <c r="F339" s="15" t="s">
        <v>598</v>
      </c>
      <c r="G339" s="15" t="s">
        <v>225</v>
      </c>
      <c r="H339" s="15" t="s">
        <v>24</v>
      </c>
      <c r="I339" s="16">
        <v>0.5</v>
      </c>
      <c r="J339" s="16">
        <v>0.15</v>
      </c>
      <c r="K339" s="16">
        <v>0.15</v>
      </c>
      <c r="L339" s="57">
        <v>45612.0</v>
      </c>
      <c r="M339" s="18">
        <v>1.975</v>
      </c>
      <c r="N339" s="15" t="s">
        <v>25</v>
      </c>
      <c r="O339" s="19">
        <f t="shared" si="1"/>
        <v>-0.15</v>
      </c>
      <c r="P339" s="19">
        <f t="shared" si="4"/>
        <v>5.012839483</v>
      </c>
    </row>
    <row r="340">
      <c r="A340" s="8">
        <f t="shared" si="3"/>
        <v>339</v>
      </c>
      <c r="B340" s="8" t="s">
        <v>26</v>
      </c>
      <c r="C340" s="8" t="s">
        <v>19</v>
      </c>
      <c r="D340" s="8" t="s">
        <v>1271</v>
      </c>
      <c r="E340" s="8"/>
      <c r="F340" s="8" t="s">
        <v>22</v>
      </c>
      <c r="G340" s="8" t="s">
        <v>1272</v>
      </c>
      <c r="H340" s="8" t="s">
        <v>24</v>
      </c>
      <c r="I340" s="9"/>
      <c r="J340" s="9">
        <v>0.15</v>
      </c>
      <c r="K340" s="9">
        <v>0.15</v>
      </c>
      <c r="L340" s="56">
        <v>45612.0</v>
      </c>
      <c r="M340" s="11">
        <f>1.975*2</f>
        <v>3.95</v>
      </c>
      <c r="N340" s="8" t="s">
        <v>25</v>
      </c>
      <c r="O340" s="12">
        <f t="shared" si="1"/>
        <v>-0.15</v>
      </c>
      <c r="P340" s="12">
        <f t="shared" si="4"/>
        <v>4.862839483</v>
      </c>
    </row>
    <row r="341">
      <c r="A341" s="15">
        <f t="shared" si="3"/>
        <v>340</v>
      </c>
      <c r="B341" s="15" t="s">
        <v>26</v>
      </c>
      <c r="C341" s="15" t="s">
        <v>19</v>
      </c>
      <c r="D341" s="15" t="s">
        <v>1273</v>
      </c>
      <c r="E341" s="15" t="s">
        <v>169</v>
      </c>
      <c r="F341" s="15" t="s">
        <v>598</v>
      </c>
      <c r="G341" s="15" t="s">
        <v>29</v>
      </c>
      <c r="H341" s="15" t="s">
        <v>24</v>
      </c>
      <c r="I341" s="16">
        <v>-3.75</v>
      </c>
      <c r="J341" s="16">
        <v>0.3</v>
      </c>
      <c r="K341" s="16">
        <v>0.3</v>
      </c>
      <c r="L341" s="57">
        <v>45612.0</v>
      </c>
      <c r="M341" s="18">
        <v>1.775</v>
      </c>
      <c r="N341" s="15" t="s">
        <v>25</v>
      </c>
      <c r="O341" s="19">
        <f t="shared" si="1"/>
        <v>-0.3</v>
      </c>
      <c r="P341" s="19">
        <f t="shared" si="4"/>
        <v>4.562839483</v>
      </c>
    </row>
    <row r="342">
      <c r="A342" s="8">
        <f t="shared" si="3"/>
        <v>341</v>
      </c>
      <c r="B342" s="8" t="s">
        <v>26</v>
      </c>
      <c r="C342" s="8" t="s">
        <v>19</v>
      </c>
      <c r="D342" s="8" t="s">
        <v>1274</v>
      </c>
      <c r="E342" s="8" t="s">
        <v>66</v>
      </c>
      <c r="F342" s="8" t="s">
        <v>598</v>
      </c>
      <c r="G342" s="8" t="s">
        <v>29</v>
      </c>
      <c r="H342" s="8" t="s">
        <v>24</v>
      </c>
      <c r="I342" s="9">
        <v>-3.25</v>
      </c>
      <c r="J342" s="9">
        <v>0.3</v>
      </c>
      <c r="K342" s="9">
        <f>0.15*42/58+0.15*37/58</f>
        <v>0.2043103448</v>
      </c>
      <c r="L342" s="56">
        <v>45612.0</v>
      </c>
      <c r="M342" s="11">
        <v>1.975</v>
      </c>
      <c r="N342" s="8" t="s">
        <v>25</v>
      </c>
      <c r="O342" s="12">
        <f t="shared" si="1"/>
        <v>-0.2043103448</v>
      </c>
      <c r="P342" s="12">
        <f t="shared" si="4"/>
        <v>4.358529138</v>
      </c>
    </row>
    <row r="343">
      <c r="A343" s="15">
        <f t="shared" si="3"/>
        <v>342</v>
      </c>
      <c r="B343" s="15" t="s">
        <v>26</v>
      </c>
      <c r="C343" s="15" t="s">
        <v>19</v>
      </c>
      <c r="D343" s="15" t="s">
        <v>1275</v>
      </c>
      <c r="E343" s="15" t="s">
        <v>93</v>
      </c>
      <c r="F343" s="15" t="s">
        <v>598</v>
      </c>
      <c r="G343" s="15" t="s">
        <v>225</v>
      </c>
      <c r="H343" s="15" t="s">
        <v>24</v>
      </c>
      <c r="I343" s="16">
        <f t="shared" ref="I343:I344" si="8">1.5</f>
        <v>1.5</v>
      </c>
      <c r="J343" s="16">
        <v>0.15</v>
      </c>
      <c r="K343" s="16">
        <v>0.15</v>
      </c>
      <c r="L343" s="57">
        <v>45612.0</v>
      </c>
      <c r="M343" s="18">
        <v>1.9</v>
      </c>
      <c r="N343" s="15" t="s">
        <v>25</v>
      </c>
      <c r="O343" s="19">
        <f t="shared" si="1"/>
        <v>-0.15</v>
      </c>
      <c r="P343" s="19">
        <f t="shared" si="4"/>
        <v>4.208529138</v>
      </c>
    </row>
    <row r="344">
      <c r="A344" s="8">
        <f t="shared" si="3"/>
        <v>343</v>
      </c>
      <c r="B344" s="8" t="s">
        <v>26</v>
      </c>
      <c r="C344" s="8" t="s">
        <v>19</v>
      </c>
      <c r="D344" s="8" t="s">
        <v>1276</v>
      </c>
      <c r="E344" s="8" t="s">
        <v>169</v>
      </c>
      <c r="F344" s="8" t="s">
        <v>598</v>
      </c>
      <c r="G344" s="8" t="s">
        <v>225</v>
      </c>
      <c r="H344" s="8" t="s">
        <v>24</v>
      </c>
      <c r="I344" s="9">
        <f t="shared" si="8"/>
        <v>1.5</v>
      </c>
      <c r="J344" s="9">
        <v>0.15</v>
      </c>
      <c r="K344" s="9">
        <v>0.15</v>
      </c>
      <c r="L344" s="56">
        <v>45612.0</v>
      </c>
      <c r="M344" s="11">
        <v>1.9</v>
      </c>
      <c r="N344" s="8" t="s">
        <v>25</v>
      </c>
      <c r="O344" s="12">
        <f t="shared" si="1"/>
        <v>-0.15</v>
      </c>
      <c r="P344" s="12">
        <f t="shared" si="4"/>
        <v>4.058529138</v>
      </c>
    </row>
    <row r="345">
      <c r="A345" s="15">
        <f t="shared" si="3"/>
        <v>344</v>
      </c>
      <c r="B345" s="15" t="s">
        <v>35</v>
      </c>
      <c r="C345" s="15" t="s">
        <v>19</v>
      </c>
      <c r="D345" s="15" t="s">
        <v>1277</v>
      </c>
      <c r="E345" s="15" t="s">
        <v>607</v>
      </c>
      <c r="F345" s="15" t="s">
        <v>22</v>
      </c>
      <c r="G345" s="15" t="s">
        <v>29</v>
      </c>
      <c r="H345" s="15" t="s">
        <v>24</v>
      </c>
      <c r="I345" s="16">
        <v>-6.0</v>
      </c>
      <c r="J345" s="16">
        <v>0.1</v>
      </c>
      <c r="K345" s="16">
        <v>0.1</v>
      </c>
      <c r="L345" s="57">
        <v>45612.0</v>
      </c>
      <c r="M345" s="18">
        <v>1.95</v>
      </c>
      <c r="N345" s="15" t="s">
        <v>25</v>
      </c>
      <c r="O345" s="19">
        <f t="shared" si="1"/>
        <v>-0.1</v>
      </c>
      <c r="P345" s="19">
        <f t="shared" si="4"/>
        <v>3.958529138</v>
      </c>
    </row>
    <row r="346">
      <c r="A346" s="8">
        <f t="shared" si="3"/>
        <v>345</v>
      </c>
      <c r="B346" s="8" t="s">
        <v>26</v>
      </c>
      <c r="C346" s="8" t="s">
        <v>40</v>
      </c>
      <c r="D346" s="8" t="s">
        <v>1278</v>
      </c>
      <c r="E346" s="8" t="s">
        <v>50</v>
      </c>
      <c r="F346" s="8" t="s">
        <v>598</v>
      </c>
      <c r="G346" s="8" t="s">
        <v>225</v>
      </c>
      <c r="H346" s="8" t="s">
        <v>24</v>
      </c>
      <c r="I346" s="9">
        <v>2.25</v>
      </c>
      <c r="J346" s="9">
        <v>0.15</v>
      </c>
      <c r="K346" s="9">
        <v>0.15</v>
      </c>
      <c r="L346" s="56">
        <v>45612.0</v>
      </c>
      <c r="M346" s="11">
        <v>1.825</v>
      </c>
      <c r="N346" s="8" t="s">
        <v>25</v>
      </c>
      <c r="O346" s="12">
        <f t="shared" si="1"/>
        <v>-0.15</v>
      </c>
      <c r="P346" s="12">
        <f t="shared" si="4"/>
        <v>3.808529138</v>
      </c>
    </row>
    <row r="347">
      <c r="A347" s="15">
        <f t="shared" si="3"/>
        <v>346</v>
      </c>
      <c r="B347" s="15" t="s">
        <v>26</v>
      </c>
      <c r="C347" s="15" t="s">
        <v>19</v>
      </c>
      <c r="D347" s="15" t="s">
        <v>1279</v>
      </c>
      <c r="E347" s="15" t="s">
        <v>93</v>
      </c>
      <c r="F347" s="15" t="s">
        <v>598</v>
      </c>
      <c r="G347" s="15" t="s">
        <v>29</v>
      </c>
      <c r="H347" s="15" t="s">
        <v>24</v>
      </c>
      <c r="I347" s="16">
        <v>-3.5</v>
      </c>
      <c r="J347" s="16">
        <v>0.15</v>
      </c>
      <c r="K347" s="16">
        <v>0.15</v>
      </c>
      <c r="L347" s="57">
        <v>45612.0</v>
      </c>
      <c r="M347" s="18">
        <v>1.8</v>
      </c>
      <c r="N347" s="15" t="s">
        <v>33</v>
      </c>
      <c r="O347" s="19">
        <f t="shared" si="1"/>
        <v>0.12</v>
      </c>
      <c r="P347" s="19">
        <f t="shared" si="4"/>
        <v>3.928529138</v>
      </c>
    </row>
    <row r="348">
      <c r="A348" s="8">
        <f t="shared" si="3"/>
        <v>347</v>
      </c>
      <c r="B348" s="8" t="s">
        <v>35</v>
      </c>
      <c r="C348" s="8" t="s">
        <v>19</v>
      </c>
      <c r="D348" s="8" t="s">
        <v>1280</v>
      </c>
      <c r="E348" s="8" t="s">
        <v>93</v>
      </c>
      <c r="F348" s="8" t="s">
        <v>22</v>
      </c>
      <c r="G348" s="8" t="s">
        <v>892</v>
      </c>
      <c r="H348" s="8" t="s">
        <v>24</v>
      </c>
      <c r="I348" s="9">
        <v>0.0</v>
      </c>
      <c r="J348" s="9">
        <v>0.1</v>
      </c>
      <c r="K348" s="9">
        <v>0.1</v>
      </c>
      <c r="L348" s="56">
        <v>45612.0</v>
      </c>
      <c r="M348" s="11">
        <v>1.75</v>
      </c>
      <c r="N348" s="8" t="s">
        <v>25</v>
      </c>
      <c r="O348" s="12">
        <f t="shared" si="1"/>
        <v>-0.1</v>
      </c>
      <c r="P348" s="12">
        <f t="shared" si="4"/>
        <v>3.828529138</v>
      </c>
    </row>
    <row r="349">
      <c r="A349" s="15">
        <f t="shared" si="3"/>
        <v>348</v>
      </c>
      <c r="B349" s="15" t="s">
        <v>35</v>
      </c>
      <c r="C349" s="15" t="s">
        <v>19</v>
      </c>
      <c r="D349" s="15" t="s">
        <v>1281</v>
      </c>
      <c r="E349" s="15" t="s">
        <v>93</v>
      </c>
      <c r="F349" s="15" t="s">
        <v>22</v>
      </c>
      <c r="G349" s="15" t="s">
        <v>29</v>
      </c>
      <c r="H349" s="15" t="s">
        <v>24</v>
      </c>
      <c r="I349" s="16">
        <v>-1.25</v>
      </c>
      <c r="J349" s="16">
        <v>0.1</v>
      </c>
      <c r="K349" s="16">
        <v>0.1</v>
      </c>
      <c r="L349" s="57">
        <v>45612.0</v>
      </c>
      <c r="M349" s="18">
        <v>1.975</v>
      </c>
      <c r="N349" s="15" t="s">
        <v>30</v>
      </c>
      <c r="O349" s="19">
        <f t="shared" si="1"/>
        <v>0.04875</v>
      </c>
      <c r="P349" s="19">
        <f t="shared" si="4"/>
        <v>3.877279138</v>
      </c>
    </row>
    <row r="350">
      <c r="A350" s="8">
        <f t="shared" si="3"/>
        <v>349</v>
      </c>
      <c r="B350" s="8" t="s">
        <v>26</v>
      </c>
      <c r="C350" s="8" t="s">
        <v>19</v>
      </c>
      <c r="D350" s="8" t="s">
        <v>1282</v>
      </c>
      <c r="E350" s="8" t="s">
        <v>82</v>
      </c>
      <c r="F350" s="8" t="s">
        <v>598</v>
      </c>
      <c r="G350" s="8" t="s">
        <v>29</v>
      </c>
      <c r="H350" s="8" t="s">
        <v>39</v>
      </c>
      <c r="I350" s="9">
        <v>-2.25</v>
      </c>
      <c r="J350" s="9">
        <v>0.295</v>
      </c>
      <c r="K350" s="9">
        <v>0.295</v>
      </c>
      <c r="L350" s="56">
        <v>45612.0</v>
      </c>
      <c r="M350" s="11">
        <v>1.875</v>
      </c>
      <c r="N350" s="8" t="s">
        <v>25</v>
      </c>
      <c r="O350" s="12">
        <f t="shared" si="1"/>
        <v>-0.295</v>
      </c>
      <c r="P350" s="12">
        <f t="shared" si="4"/>
        <v>3.582279138</v>
      </c>
    </row>
    <row r="351">
      <c r="A351" s="15">
        <f t="shared" si="3"/>
        <v>350</v>
      </c>
      <c r="B351" s="15" t="s">
        <v>35</v>
      </c>
      <c r="C351" s="15" t="s">
        <v>19</v>
      </c>
      <c r="D351" s="15" t="s">
        <v>1283</v>
      </c>
      <c r="E351" s="15" t="s">
        <v>694</v>
      </c>
      <c r="F351" s="15" t="s">
        <v>22</v>
      </c>
      <c r="G351" s="15" t="s">
        <v>29</v>
      </c>
      <c r="H351" s="15" t="s">
        <v>24</v>
      </c>
      <c r="I351" s="16">
        <v>-2.75</v>
      </c>
      <c r="J351" s="16">
        <v>0.1</v>
      </c>
      <c r="K351" s="16">
        <f>0.1*23/58</f>
        <v>0.03965517241</v>
      </c>
      <c r="L351" s="57">
        <v>45612.0</v>
      </c>
      <c r="M351" s="18">
        <v>2.025</v>
      </c>
      <c r="N351" s="15" t="s">
        <v>33</v>
      </c>
      <c r="O351" s="19">
        <f t="shared" si="1"/>
        <v>0.04064655172</v>
      </c>
      <c r="P351" s="19">
        <f t="shared" si="4"/>
        <v>3.62292569</v>
      </c>
    </row>
    <row r="352">
      <c r="A352" s="8">
        <f t="shared" si="3"/>
        <v>351</v>
      </c>
      <c r="B352" s="8" t="s">
        <v>26</v>
      </c>
      <c r="C352" s="8" t="s">
        <v>19</v>
      </c>
      <c r="D352" s="8" t="s">
        <v>1284</v>
      </c>
      <c r="E352" s="8" t="s">
        <v>99</v>
      </c>
      <c r="F352" s="8" t="s">
        <v>598</v>
      </c>
      <c r="G352" s="8" t="s">
        <v>29</v>
      </c>
      <c r="H352" s="8" t="s">
        <v>24</v>
      </c>
      <c r="I352" s="9">
        <v>-3.0</v>
      </c>
      <c r="J352" s="9">
        <v>0.3</v>
      </c>
      <c r="K352" s="9">
        <f>0.15*50/58+0.15*45/58</f>
        <v>0.2456896552</v>
      </c>
      <c r="L352" s="10">
        <v>45613.0</v>
      </c>
      <c r="M352" s="11">
        <v>1.7</v>
      </c>
      <c r="N352" s="8" t="s">
        <v>33</v>
      </c>
      <c r="O352" s="12">
        <f t="shared" si="1"/>
        <v>0.1719827586</v>
      </c>
      <c r="P352" s="12">
        <f t="shared" si="4"/>
        <v>3.794908448</v>
      </c>
    </row>
    <row r="353">
      <c r="A353" s="15">
        <f t="shared" si="3"/>
        <v>352</v>
      </c>
      <c r="B353" s="15" t="s">
        <v>26</v>
      </c>
      <c r="C353" s="15" t="s">
        <v>19</v>
      </c>
      <c r="D353" s="15" t="s">
        <v>1285</v>
      </c>
      <c r="E353" s="15" t="s">
        <v>99</v>
      </c>
      <c r="F353" s="15" t="s">
        <v>598</v>
      </c>
      <c r="G353" s="15" t="s">
        <v>29</v>
      </c>
      <c r="H353" s="15" t="s">
        <v>24</v>
      </c>
      <c r="I353" s="16">
        <v>-3.25</v>
      </c>
      <c r="J353" s="16">
        <v>0.3</v>
      </c>
      <c r="K353" s="16">
        <f>0.15*50/58+0.15*42/58</f>
        <v>0.2379310345</v>
      </c>
      <c r="L353" s="17">
        <v>45613.0</v>
      </c>
      <c r="M353" s="18">
        <v>1.9</v>
      </c>
      <c r="N353" s="15" t="s">
        <v>25</v>
      </c>
      <c r="O353" s="19">
        <f t="shared" si="1"/>
        <v>-0.2379310345</v>
      </c>
      <c r="P353" s="19">
        <f t="shared" si="4"/>
        <v>3.556977414</v>
      </c>
    </row>
    <row r="354">
      <c r="A354" s="8">
        <f t="shared" si="3"/>
        <v>353</v>
      </c>
      <c r="B354" s="8" t="s">
        <v>35</v>
      </c>
      <c r="C354" s="8" t="s">
        <v>19</v>
      </c>
      <c r="D354" s="8" t="s">
        <v>1286</v>
      </c>
      <c r="E354" s="8" t="s">
        <v>583</v>
      </c>
      <c r="F354" s="8" t="s">
        <v>22</v>
      </c>
      <c r="G354" s="8" t="s">
        <v>225</v>
      </c>
      <c r="H354" s="8" t="s">
        <v>24</v>
      </c>
      <c r="I354" s="9">
        <v>0.75</v>
      </c>
      <c r="J354" s="9">
        <v>0.1</v>
      </c>
      <c r="K354" s="9">
        <f>0.1*14/58</f>
        <v>0.02413793103</v>
      </c>
      <c r="L354" s="10">
        <v>45613.0</v>
      </c>
      <c r="M354" s="11">
        <v>1.9</v>
      </c>
      <c r="N354" s="8" t="s">
        <v>25</v>
      </c>
      <c r="O354" s="12">
        <f t="shared" si="1"/>
        <v>-0.02413793103</v>
      </c>
      <c r="P354" s="12">
        <f t="shared" si="4"/>
        <v>3.532839483</v>
      </c>
    </row>
    <row r="355">
      <c r="A355" s="15">
        <f t="shared" si="3"/>
        <v>354</v>
      </c>
      <c r="B355" s="15" t="s">
        <v>26</v>
      </c>
      <c r="C355" s="15" t="s">
        <v>19</v>
      </c>
      <c r="D355" s="15" t="s">
        <v>1287</v>
      </c>
      <c r="E355" s="15" t="s">
        <v>93</v>
      </c>
      <c r="F355" s="15" t="s">
        <v>598</v>
      </c>
      <c r="G355" s="15" t="s">
        <v>29</v>
      </c>
      <c r="H355" s="15" t="s">
        <v>24</v>
      </c>
      <c r="I355" s="15">
        <v>-2.25</v>
      </c>
      <c r="J355" s="16">
        <v>0.4</v>
      </c>
      <c r="K355" s="16">
        <v>0.4</v>
      </c>
      <c r="L355" s="17">
        <v>45613.0</v>
      </c>
      <c r="M355" s="18">
        <v>1.7</v>
      </c>
      <c r="N355" s="15" t="s">
        <v>33</v>
      </c>
      <c r="O355" s="19">
        <f t="shared" si="1"/>
        <v>0.28</v>
      </c>
      <c r="P355" s="19">
        <f t="shared" si="4"/>
        <v>3.812839483</v>
      </c>
    </row>
    <row r="356">
      <c r="A356" s="8">
        <f t="shared" si="3"/>
        <v>355</v>
      </c>
      <c r="B356" s="8" t="s">
        <v>26</v>
      </c>
      <c r="C356" s="8" t="s">
        <v>19</v>
      </c>
      <c r="D356" s="8" t="s">
        <v>1288</v>
      </c>
      <c r="E356" s="8" t="s">
        <v>93</v>
      </c>
      <c r="F356" s="8" t="s">
        <v>598</v>
      </c>
      <c r="G356" s="8" t="s">
        <v>29</v>
      </c>
      <c r="H356" s="8" t="s">
        <v>24</v>
      </c>
      <c r="I356" s="8">
        <v>-2.5</v>
      </c>
      <c r="J356" s="9">
        <v>0.4</v>
      </c>
      <c r="K356" s="9">
        <v>0.4</v>
      </c>
      <c r="L356" s="10">
        <v>45613.0</v>
      </c>
      <c r="M356" s="11">
        <v>1.825</v>
      </c>
      <c r="N356" s="8" t="s">
        <v>33</v>
      </c>
      <c r="O356" s="12">
        <f t="shared" si="1"/>
        <v>0.33</v>
      </c>
      <c r="P356" s="12">
        <f t="shared" si="4"/>
        <v>4.142839483</v>
      </c>
    </row>
    <row r="357">
      <c r="A357" s="15">
        <f t="shared" si="3"/>
        <v>356</v>
      </c>
      <c r="B357" s="15" t="s">
        <v>35</v>
      </c>
      <c r="C357" s="15" t="s">
        <v>19</v>
      </c>
      <c r="D357" s="15" t="s">
        <v>1289</v>
      </c>
      <c r="E357" s="15" t="s">
        <v>221</v>
      </c>
      <c r="F357" s="15" t="s">
        <v>22</v>
      </c>
      <c r="G357" s="15" t="s">
        <v>29</v>
      </c>
      <c r="H357" s="15" t="s">
        <v>24</v>
      </c>
      <c r="I357" s="16">
        <v>-2.25</v>
      </c>
      <c r="J357" s="16">
        <v>0.2</v>
      </c>
      <c r="K357" s="16">
        <f>0.2*51/58</f>
        <v>0.175862069</v>
      </c>
      <c r="L357" s="17">
        <v>45613.0</v>
      </c>
      <c r="M357" s="18">
        <v>1.725</v>
      </c>
      <c r="N357" s="15" t="s">
        <v>33</v>
      </c>
      <c r="O357" s="19">
        <f t="shared" si="1"/>
        <v>0.1275</v>
      </c>
      <c r="P357" s="19">
        <f t="shared" si="4"/>
        <v>4.270339483</v>
      </c>
    </row>
    <row r="358">
      <c r="A358" s="8">
        <f t="shared" si="3"/>
        <v>357</v>
      </c>
      <c r="B358" s="8" t="s">
        <v>35</v>
      </c>
      <c r="C358" s="8" t="s">
        <v>40</v>
      </c>
      <c r="D358" s="8" t="s">
        <v>1290</v>
      </c>
      <c r="E358" s="8" t="s">
        <v>229</v>
      </c>
      <c r="F358" s="8" t="s">
        <v>22</v>
      </c>
      <c r="G358" s="8" t="s">
        <v>29</v>
      </c>
      <c r="H358" s="8" t="s">
        <v>24</v>
      </c>
      <c r="I358" s="9">
        <v>-1.25</v>
      </c>
      <c r="J358" s="9">
        <v>0.2</v>
      </c>
      <c r="K358" s="9">
        <v>0.2</v>
      </c>
      <c r="L358" s="10">
        <v>45613.0</v>
      </c>
      <c r="M358" s="11">
        <v>2.025</v>
      </c>
      <c r="N358" s="8" t="s">
        <v>33</v>
      </c>
      <c r="O358" s="12">
        <f t="shared" si="1"/>
        <v>0.205</v>
      </c>
      <c r="P358" s="12">
        <f t="shared" si="4"/>
        <v>4.475339483</v>
      </c>
    </row>
    <row r="359">
      <c r="A359" s="15">
        <f t="shared" si="3"/>
        <v>358</v>
      </c>
      <c r="B359" s="15" t="s">
        <v>35</v>
      </c>
      <c r="C359" s="15" t="s">
        <v>19</v>
      </c>
      <c r="D359" s="15" t="s">
        <v>1291</v>
      </c>
      <c r="E359" s="15" t="s">
        <v>93</v>
      </c>
      <c r="F359" s="15" t="s">
        <v>22</v>
      </c>
      <c r="G359" s="15" t="s">
        <v>29</v>
      </c>
      <c r="H359" s="15" t="s">
        <v>24</v>
      </c>
      <c r="I359" s="16">
        <v>-3.0</v>
      </c>
      <c r="J359" s="16">
        <v>0.2</v>
      </c>
      <c r="K359" s="16">
        <f>0.2*0.05</f>
        <v>0.01</v>
      </c>
      <c r="L359" s="17">
        <v>45613.0</v>
      </c>
      <c r="M359" s="18">
        <v>1.775</v>
      </c>
      <c r="N359" s="15" t="s">
        <v>25</v>
      </c>
      <c r="O359" s="19">
        <f t="shared" si="1"/>
        <v>-0.01</v>
      </c>
      <c r="P359" s="19">
        <f t="shared" si="4"/>
        <v>4.465339483</v>
      </c>
    </row>
    <row r="360">
      <c r="A360" s="8">
        <f t="shared" si="3"/>
        <v>359</v>
      </c>
      <c r="B360" s="8" t="s">
        <v>26</v>
      </c>
      <c r="C360" s="8" t="s">
        <v>19</v>
      </c>
      <c r="D360" s="8" t="s">
        <v>1292</v>
      </c>
      <c r="E360" s="8" t="s">
        <v>187</v>
      </c>
      <c r="F360" s="8" t="s">
        <v>598</v>
      </c>
      <c r="G360" s="8" t="s">
        <v>29</v>
      </c>
      <c r="H360" s="8" t="s">
        <v>39</v>
      </c>
      <c r="I360" s="9">
        <v>-2.0</v>
      </c>
      <c r="J360" s="9">
        <v>0.4</v>
      </c>
      <c r="K360" s="9">
        <v>0.4</v>
      </c>
      <c r="L360" s="10">
        <v>45613.0</v>
      </c>
      <c r="M360" s="11">
        <v>1.775</v>
      </c>
      <c r="N360" s="8" t="s">
        <v>25</v>
      </c>
      <c r="O360" s="12">
        <f t="shared" si="1"/>
        <v>-0.4</v>
      </c>
      <c r="P360" s="12">
        <f t="shared" si="4"/>
        <v>4.065339483</v>
      </c>
    </row>
    <row r="361">
      <c r="A361" s="15">
        <f t="shared" si="3"/>
        <v>360</v>
      </c>
      <c r="B361" s="15" t="s">
        <v>129</v>
      </c>
      <c r="C361" s="15" t="s">
        <v>19</v>
      </c>
      <c r="D361" s="15" t="s">
        <v>1293</v>
      </c>
      <c r="E361" s="15" t="s">
        <v>231</v>
      </c>
      <c r="F361" s="15" t="s">
        <v>22</v>
      </c>
      <c r="G361" s="15" t="s">
        <v>892</v>
      </c>
      <c r="H361" s="15" t="s">
        <v>24</v>
      </c>
      <c r="I361" s="16">
        <v>0.0</v>
      </c>
      <c r="J361" s="16">
        <v>0.2</v>
      </c>
      <c r="K361" s="16">
        <v>0.2</v>
      </c>
      <c r="L361" s="17">
        <v>45613.0</v>
      </c>
      <c r="M361" s="18">
        <v>1.9</v>
      </c>
      <c r="N361" s="15" t="s">
        <v>70</v>
      </c>
      <c r="O361" s="19">
        <f t="shared" si="1"/>
        <v>0</v>
      </c>
      <c r="P361" s="19">
        <f t="shared" si="4"/>
        <v>4.065339483</v>
      </c>
    </row>
    <row r="362">
      <c r="A362" s="8">
        <f t="shared" si="3"/>
        <v>361</v>
      </c>
      <c r="B362" s="8" t="s">
        <v>35</v>
      </c>
      <c r="C362" s="8" t="s">
        <v>19</v>
      </c>
      <c r="D362" s="8" t="s">
        <v>1294</v>
      </c>
      <c r="E362" s="8" t="s">
        <v>877</v>
      </c>
      <c r="F362" s="8" t="s">
        <v>22</v>
      </c>
      <c r="G362" s="8" t="s">
        <v>29</v>
      </c>
      <c r="H362" s="8" t="s">
        <v>24</v>
      </c>
      <c r="I362" s="9">
        <v>-0.75</v>
      </c>
      <c r="J362" s="9">
        <v>0.2</v>
      </c>
      <c r="K362" s="9">
        <v>0.2</v>
      </c>
      <c r="L362" s="10">
        <v>45613.0</v>
      </c>
      <c r="M362" s="11">
        <v>2.05</v>
      </c>
      <c r="N362" s="8" t="s">
        <v>33</v>
      </c>
      <c r="O362" s="12">
        <f t="shared" si="1"/>
        <v>0.21</v>
      </c>
      <c r="P362" s="12">
        <f t="shared" si="4"/>
        <v>4.275339483</v>
      </c>
    </row>
    <row r="363">
      <c r="A363" s="15">
        <f t="shared" si="3"/>
        <v>362</v>
      </c>
      <c r="B363" s="15" t="s">
        <v>35</v>
      </c>
      <c r="C363" s="15" t="s">
        <v>40</v>
      </c>
      <c r="D363" s="15" t="s">
        <v>1295</v>
      </c>
      <c r="E363" s="15" t="s">
        <v>229</v>
      </c>
      <c r="F363" s="15" t="s">
        <v>22</v>
      </c>
      <c r="G363" s="15" t="s">
        <v>29</v>
      </c>
      <c r="H363" s="15" t="s">
        <v>24</v>
      </c>
      <c r="I363" s="16">
        <v>-5.0</v>
      </c>
      <c r="J363" s="16">
        <v>0.2</v>
      </c>
      <c r="K363" s="16">
        <v>0.2</v>
      </c>
      <c r="L363" s="17">
        <v>45613.0</v>
      </c>
      <c r="M363" s="18">
        <v>2.05</v>
      </c>
      <c r="N363" s="15" t="s">
        <v>33</v>
      </c>
      <c r="O363" s="19">
        <f t="shared" si="1"/>
        <v>0.21</v>
      </c>
      <c r="P363" s="19">
        <f t="shared" si="4"/>
        <v>4.485339483</v>
      </c>
    </row>
    <row r="364">
      <c r="A364" s="8">
        <f t="shared" si="3"/>
        <v>363</v>
      </c>
      <c r="B364" s="8" t="s">
        <v>35</v>
      </c>
      <c r="C364" s="8" t="s">
        <v>19</v>
      </c>
      <c r="D364" s="8" t="s">
        <v>1296</v>
      </c>
      <c r="E364" s="8" t="s">
        <v>99</v>
      </c>
      <c r="F364" s="8" t="s">
        <v>22</v>
      </c>
      <c r="G364" s="8" t="s">
        <v>29</v>
      </c>
      <c r="H364" s="8" t="s">
        <v>24</v>
      </c>
      <c r="I364" s="9">
        <v>-0.75</v>
      </c>
      <c r="J364" s="9">
        <v>0.15</v>
      </c>
      <c r="K364" s="9">
        <v>0.15</v>
      </c>
      <c r="L364" s="10">
        <v>45613.0</v>
      </c>
      <c r="M364" s="11">
        <v>2.05</v>
      </c>
      <c r="N364" s="8" t="s">
        <v>79</v>
      </c>
      <c r="O364" s="12">
        <f t="shared" si="1"/>
        <v>-0.075</v>
      </c>
      <c r="P364" s="12">
        <f t="shared" si="4"/>
        <v>4.410339483</v>
      </c>
    </row>
    <row r="365">
      <c r="A365" s="15">
        <f t="shared" si="3"/>
        <v>364</v>
      </c>
      <c r="B365" s="15" t="s">
        <v>26</v>
      </c>
      <c r="C365" s="15" t="s">
        <v>19</v>
      </c>
      <c r="D365" s="15" t="s">
        <v>1297</v>
      </c>
      <c r="E365" s="15" t="s">
        <v>121</v>
      </c>
      <c r="F365" s="15" t="s">
        <v>598</v>
      </c>
      <c r="G365" s="15" t="s">
        <v>29</v>
      </c>
      <c r="H365" s="15" t="s">
        <v>39</v>
      </c>
      <c r="I365" s="16">
        <v>-2.5</v>
      </c>
      <c r="J365" s="16">
        <v>0.4</v>
      </c>
      <c r="K365" s="16">
        <v>0.4</v>
      </c>
      <c r="L365" s="17">
        <v>45613.0</v>
      </c>
      <c r="M365" s="18">
        <v>1.7</v>
      </c>
      <c r="N365" s="15" t="s">
        <v>33</v>
      </c>
      <c r="O365" s="19">
        <f t="shared" si="1"/>
        <v>0.28</v>
      </c>
      <c r="P365" s="19">
        <f t="shared" si="4"/>
        <v>4.690339483</v>
      </c>
    </row>
    <row r="366">
      <c r="A366" s="8">
        <f t="shared" si="3"/>
        <v>365</v>
      </c>
      <c r="B366" s="8" t="s">
        <v>26</v>
      </c>
      <c r="C366" s="8" t="s">
        <v>19</v>
      </c>
      <c r="D366" s="8" t="s">
        <v>1298</v>
      </c>
      <c r="E366" s="8" t="s">
        <v>121</v>
      </c>
      <c r="F366" s="8" t="s">
        <v>598</v>
      </c>
      <c r="G366" s="8" t="s">
        <v>225</v>
      </c>
      <c r="H366" s="8" t="s">
        <v>24</v>
      </c>
      <c r="I366" s="9">
        <v>0.5</v>
      </c>
      <c r="J366" s="9">
        <v>0.15</v>
      </c>
      <c r="K366" s="9">
        <v>0.15</v>
      </c>
      <c r="L366" s="10">
        <v>45613.0</v>
      </c>
      <c r="M366" s="11">
        <v>1.85</v>
      </c>
      <c r="N366" s="8" t="s">
        <v>33</v>
      </c>
      <c r="O366" s="12">
        <f t="shared" si="1"/>
        <v>0.1275</v>
      </c>
      <c r="P366" s="12">
        <f t="shared" si="4"/>
        <v>4.817839483</v>
      </c>
    </row>
    <row r="367">
      <c r="A367" s="15">
        <f t="shared" si="3"/>
        <v>366</v>
      </c>
      <c r="B367" s="15" t="s">
        <v>26</v>
      </c>
      <c r="C367" s="15" t="s">
        <v>19</v>
      </c>
      <c r="D367" s="15" t="s">
        <v>1299</v>
      </c>
      <c r="E367" s="15" t="s">
        <v>60</v>
      </c>
      <c r="F367" s="15" t="s">
        <v>598</v>
      </c>
      <c r="G367" s="15" t="s">
        <v>29</v>
      </c>
      <c r="H367" s="15" t="s">
        <v>24</v>
      </c>
      <c r="I367" s="16">
        <v>-3.5</v>
      </c>
      <c r="J367" s="16">
        <v>0.2</v>
      </c>
      <c r="K367" s="16">
        <f>0.2*48/58</f>
        <v>0.1655172414</v>
      </c>
      <c r="L367" s="17">
        <v>45613.0</v>
      </c>
      <c r="M367" s="18">
        <v>1.95</v>
      </c>
      <c r="N367" s="15" t="s">
        <v>25</v>
      </c>
      <c r="O367" s="19">
        <f t="shared" si="1"/>
        <v>-0.1655172414</v>
      </c>
      <c r="P367" s="19">
        <f t="shared" si="4"/>
        <v>4.652322241</v>
      </c>
    </row>
    <row r="368">
      <c r="A368" s="8">
        <f t="shared" si="3"/>
        <v>367</v>
      </c>
      <c r="B368" s="8" t="s">
        <v>129</v>
      </c>
      <c r="C368" s="8" t="s">
        <v>19</v>
      </c>
      <c r="D368" s="8" t="s">
        <v>1300</v>
      </c>
      <c r="E368" s="8" t="s">
        <v>101</v>
      </c>
      <c r="F368" s="8" t="s">
        <v>22</v>
      </c>
      <c r="G368" s="8" t="s">
        <v>225</v>
      </c>
      <c r="H368" s="8" t="s">
        <v>24</v>
      </c>
      <c r="I368" s="9">
        <v>0.25</v>
      </c>
      <c r="J368" s="9">
        <v>0.2</v>
      </c>
      <c r="K368" s="9">
        <v>0.2</v>
      </c>
      <c r="L368" s="10">
        <v>45613.0</v>
      </c>
      <c r="M368" s="11">
        <v>1.95</v>
      </c>
      <c r="N368" s="8" t="s">
        <v>30</v>
      </c>
      <c r="O368" s="12">
        <f t="shared" si="1"/>
        <v>0.095</v>
      </c>
      <c r="P368" s="12">
        <f t="shared" si="4"/>
        <v>4.747322241</v>
      </c>
    </row>
    <row r="369">
      <c r="A369" s="15">
        <f t="shared" si="3"/>
        <v>368</v>
      </c>
      <c r="B369" s="15" t="s">
        <v>35</v>
      </c>
      <c r="C369" s="15" t="s">
        <v>40</v>
      </c>
      <c r="D369" s="15" t="s">
        <v>1301</v>
      </c>
      <c r="E369" s="15" t="s">
        <v>48</v>
      </c>
      <c r="F369" s="15" t="s">
        <v>22</v>
      </c>
      <c r="G369" s="15" t="s">
        <v>29</v>
      </c>
      <c r="H369" s="15" t="s">
        <v>24</v>
      </c>
      <c r="I369" s="16">
        <v>-1.0</v>
      </c>
      <c r="J369" s="16">
        <v>0.2</v>
      </c>
      <c r="K369" s="16">
        <v>0.2</v>
      </c>
      <c r="L369" s="17">
        <v>45613.0</v>
      </c>
      <c r="M369" s="18">
        <v>2.025</v>
      </c>
      <c r="N369" s="15" t="s">
        <v>33</v>
      </c>
      <c r="O369" s="19">
        <f t="shared" si="1"/>
        <v>0.205</v>
      </c>
      <c r="P369" s="19">
        <f t="shared" si="4"/>
        <v>4.952322241</v>
      </c>
    </row>
    <row r="370">
      <c r="A370" s="8">
        <f t="shared" si="3"/>
        <v>369</v>
      </c>
      <c r="B370" s="8" t="s">
        <v>35</v>
      </c>
      <c r="C370" s="8" t="s">
        <v>19</v>
      </c>
      <c r="D370" s="8" t="s">
        <v>1302</v>
      </c>
      <c r="E370" s="8" t="s">
        <v>1031</v>
      </c>
      <c r="F370" s="8" t="s">
        <v>22</v>
      </c>
      <c r="G370" s="8" t="s">
        <v>29</v>
      </c>
      <c r="H370" s="8" t="s">
        <v>24</v>
      </c>
      <c r="I370" s="9">
        <v>-0.75</v>
      </c>
      <c r="J370" s="9">
        <v>0.2</v>
      </c>
      <c r="K370" s="9">
        <v>0.2</v>
      </c>
      <c r="L370" s="10">
        <v>45613.0</v>
      </c>
      <c r="M370" s="11">
        <v>1.8</v>
      </c>
      <c r="N370" s="8" t="s">
        <v>79</v>
      </c>
      <c r="O370" s="12">
        <f t="shared" si="1"/>
        <v>-0.1</v>
      </c>
      <c r="P370" s="12">
        <f t="shared" si="4"/>
        <v>4.852322241</v>
      </c>
    </row>
    <row r="371">
      <c r="A371" s="15">
        <f t="shared" si="3"/>
        <v>370</v>
      </c>
      <c r="B371" s="15" t="s">
        <v>26</v>
      </c>
      <c r="C371" s="15" t="s">
        <v>19</v>
      </c>
      <c r="D371" s="15" t="s">
        <v>1303</v>
      </c>
      <c r="E371" s="15" t="s">
        <v>93</v>
      </c>
      <c r="F371" s="15" t="s">
        <v>598</v>
      </c>
      <c r="G371" s="15" t="s">
        <v>29</v>
      </c>
      <c r="H371" s="15" t="s">
        <v>39</v>
      </c>
      <c r="I371" s="16">
        <v>-2.0</v>
      </c>
      <c r="J371" s="16">
        <v>0.4</v>
      </c>
      <c r="K371" s="16">
        <v>0.4</v>
      </c>
      <c r="L371" s="17">
        <v>45613.0</v>
      </c>
      <c r="M371" s="18">
        <v>1.75</v>
      </c>
      <c r="N371" s="15" t="s">
        <v>25</v>
      </c>
      <c r="O371" s="19">
        <f t="shared" si="1"/>
        <v>-0.4</v>
      </c>
      <c r="P371" s="19">
        <f t="shared" si="4"/>
        <v>4.452322241</v>
      </c>
    </row>
    <row r="372">
      <c r="A372" s="8">
        <f t="shared" si="3"/>
        <v>371</v>
      </c>
      <c r="B372" s="8" t="s">
        <v>35</v>
      </c>
      <c r="C372" s="8" t="s">
        <v>19</v>
      </c>
      <c r="D372" s="8" t="s">
        <v>1304</v>
      </c>
      <c r="E372" s="8" t="s">
        <v>853</v>
      </c>
      <c r="F372" s="8" t="s">
        <v>22</v>
      </c>
      <c r="G372" s="8" t="s">
        <v>29</v>
      </c>
      <c r="H372" s="8" t="s">
        <v>24</v>
      </c>
      <c r="I372" s="9">
        <v>-0.75</v>
      </c>
      <c r="J372" s="9">
        <v>0.2</v>
      </c>
      <c r="K372" s="9">
        <v>0.2</v>
      </c>
      <c r="L372" s="10">
        <v>45613.0</v>
      </c>
      <c r="M372" s="11">
        <v>2.0</v>
      </c>
      <c r="N372" s="8" t="s">
        <v>33</v>
      </c>
      <c r="O372" s="12">
        <f t="shared" si="1"/>
        <v>0.2</v>
      </c>
      <c r="P372" s="12">
        <f t="shared" si="4"/>
        <v>4.652322241</v>
      </c>
    </row>
    <row r="373">
      <c r="A373" s="15">
        <f t="shared" si="3"/>
        <v>372</v>
      </c>
      <c r="B373" s="15" t="s">
        <v>26</v>
      </c>
      <c r="C373" s="15" t="s">
        <v>19</v>
      </c>
      <c r="D373" s="15" t="s">
        <v>1305</v>
      </c>
      <c r="E373" s="15" t="s">
        <v>93</v>
      </c>
      <c r="F373" s="15" t="s">
        <v>598</v>
      </c>
      <c r="G373" s="15" t="s">
        <v>29</v>
      </c>
      <c r="H373" s="15" t="s">
        <v>24</v>
      </c>
      <c r="I373" s="16">
        <v>-2.0</v>
      </c>
      <c r="J373" s="16">
        <v>0.4</v>
      </c>
      <c r="K373" s="16">
        <v>0.4</v>
      </c>
      <c r="L373" s="17">
        <v>45613.0</v>
      </c>
      <c r="M373" s="18">
        <v>1.975</v>
      </c>
      <c r="N373" s="15" t="s">
        <v>25</v>
      </c>
      <c r="O373" s="19">
        <f t="shared" si="1"/>
        <v>-0.4</v>
      </c>
      <c r="P373" s="19">
        <f t="shared" si="4"/>
        <v>4.252322241</v>
      </c>
    </row>
    <row r="374">
      <c r="A374" s="8">
        <f t="shared" si="3"/>
        <v>373</v>
      </c>
      <c r="B374" s="8" t="s">
        <v>26</v>
      </c>
      <c r="C374" s="8" t="s">
        <v>19</v>
      </c>
      <c r="D374" s="8" t="s">
        <v>1306</v>
      </c>
      <c r="E374" s="8" t="s">
        <v>93</v>
      </c>
      <c r="F374" s="8" t="s">
        <v>598</v>
      </c>
      <c r="G374" s="8" t="s">
        <v>29</v>
      </c>
      <c r="H374" s="8" t="s">
        <v>24</v>
      </c>
      <c r="I374" s="9">
        <v>-2.0</v>
      </c>
      <c r="J374" s="9">
        <v>0.4</v>
      </c>
      <c r="K374" s="9">
        <v>0.4</v>
      </c>
      <c r="L374" s="10">
        <v>45613.0</v>
      </c>
      <c r="M374" s="11">
        <v>1.975</v>
      </c>
      <c r="N374" s="8" t="s">
        <v>25</v>
      </c>
      <c r="O374" s="12">
        <f t="shared" si="1"/>
        <v>-0.4</v>
      </c>
      <c r="P374" s="12">
        <f t="shared" si="4"/>
        <v>3.852322241</v>
      </c>
    </row>
    <row r="375">
      <c r="A375" s="15">
        <f t="shared" si="3"/>
        <v>374</v>
      </c>
      <c r="B375" s="15" t="s">
        <v>35</v>
      </c>
      <c r="C375" s="15" t="s">
        <v>19</v>
      </c>
      <c r="D375" s="15" t="s">
        <v>1307</v>
      </c>
      <c r="E375" s="15" t="s">
        <v>93</v>
      </c>
      <c r="F375" s="15" t="s">
        <v>22</v>
      </c>
      <c r="G375" s="15" t="s">
        <v>29</v>
      </c>
      <c r="H375" s="15" t="s">
        <v>24</v>
      </c>
      <c r="I375" s="16">
        <v>-0.75</v>
      </c>
      <c r="J375" s="16">
        <v>0.2</v>
      </c>
      <c r="K375" s="16">
        <v>0.2</v>
      </c>
      <c r="L375" s="17">
        <v>45613.0</v>
      </c>
      <c r="M375" s="18">
        <v>2.05</v>
      </c>
      <c r="N375" s="15" t="s">
        <v>33</v>
      </c>
      <c r="O375" s="19">
        <f t="shared" si="1"/>
        <v>0.21</v>
      </c>
      <c r="P375" s="19">
        <f t="shared" si="4"/>
        <v>4.062322241</v>
      </c>
    </row>
    <row r="376">
      <c r="A376" s="8">
        <f t="shared" si="3"/>
        <v>375</v>
      </c>
      <c r="B376" s="8" t="s">
        <v>26</v>
      </c>
      <c r="C376" s="8" t="s">
        <v>40</v>
      </c>
      <c r="D376" s="8" t="s">
        <v>1308</v>
      </c>
      <c r="E376" s="8" t="s">
        <v>372</v>
      </c>
      <c r="F376" s="8" t="s">
        <v>598</v>
      </c>
      <c r="G376" s="8" t="s">
        <v>225</v>
      </c>
      <c r="H376" s="8" t="s">
        <v>24</v>
      </c>
      <c r="I376" s="9">
        <v>0.5</v>
      </c>
      <c r="J376" s="8">
        <v>0.15</v>
      </c>
      <c r="K376" s="8">
        <v>0.15</v>
      </c>
      <c r="L376" s="10">
        <v>45613.0</v>
      </c>
      <c r="M376" s="11">
        <v>1.925</v>
      </c>
      <c r="N376" s="8" t="s">
        <v>33</v>
      </c>
      <c r="O376" s="12">
        <f t="shared" si="1"/>
        <v>0.13875</v>
      </c>
      <c r="P376" s="12">
        <f t="shared" si="4"/>
        <v>4.201072241</v>
      </c>
    </row>
    <row r="377">
      <c r="A377" s="15">
        <f t="shared" si="3"/>
        <v>376</v>
      </c>
      <c r="B377" s="15" t="s">
        <v>26</v>
      </c>
      <c r="C377" s="15" t="s">
        <v>19</v>
      </c>
      <c r="D377" s="15" t="s">
        <v>1309</v>
      </c>
      <c r="E377" s="15" t="s">
        <v>714</v>
      </c>
      <c r="F377" s="15" t="s">
        <v>598</v>
      </c>
      <c r="G377" s="15" t="s">
        <v>225</v>
      </c>
      <c r="H377" s="15" t="s">
        <v>24</v>
      </c>
      <c r="I377" s="16">
        <v>1.5</v>
      </c>
      <c r="J377" s="15">
        <v>0.15</v>
      </c>
      <c r="K377" s="15">
        <v>0.15</v>
      </c>
      <c r="L377" s="17">
        <v>45613.0</v>
      </c>
      <c r="M377" s="18">
        <v>1.95</v>
      </c>
      <c r="N377" s="15" t="s">
        <v>25</v>
      </c>
      <c r="O377" s="19">
        <f t="shared" si="1"/>
        <v>-0.15</v>
      </c>
      <c r="P377" s="19">
        <f t="shared" si="4"/>
        <v>4.051072241</v>
      </c>
    </row>
    <row r="378">
      <c r="A378" s="8">
        <f t="shared" si="3"/>
        <v>377</v>
      </c>
      <c r="B378" s="8" t="s">
        <v>26</v>
      </c>
      <c r="C378" s="8" t="s">
        <v>19</v>
      </c>
      <c r="D378" s="8" t="s">
        <v>1310</v>
      </c>
      <c r="E378" s="8" t="s">
        <v>423</v>
      </c>
      <c r="F378" s="8" t="s">
        <v>598</v>
      </c>
      <c r="G378" s="8" t="s">
        <v>29</v>
      </c>
      <c r="H378" s="8" t="s">
        <v>39</v>
      </c>
      <c r="I378" s="9">
        <v>-3.0</v>
      </c>
      <c r="J378" s="9">
        <v>0.3</v>
      </c>
      <c r="K378" s="9">
        <f>0.3*54/56</f>
        <v>0.2892857143</v>
      </c>
      <c r="L378" s="10">
        <v>45614.0</v>
      </c>
      <c r="M378" s="11">
        <v>1.9</v>
      </c>
      <c r="N378" s="8" t="s">
        <v>33</v>
      </c>
      <c r="O378" s="12">
        <f t="shared" si="1"/>
        <v>0.2603571429</v>
      </c>
      <c r="P378" s="12">
        <f t="shared" si="4"/>
        <v>4.311429384</v>
      </c>
    </row>
    <row r="379">
      <c r="A379" s="15">
        <f t="shared" si="3"/>
        <v>378</v>
      </c>
      <c r="B379" s="15" t="s">
        <v>26</v>
      </c>
      <c r="C379" s="15" t="s">
        <v>19</v>
      </c>
      <c r="D379" s="15" t="s">
        <v>1311</v>
      </c>
      <c r="E379" s="15" t="s">
        <v>82</v>
      </c>
      <c r="F379" s="15" t="s">
        <v>598</v>
      </c>
      <c r="G379" s="15" t="s">
        <v>29</v>
      </c>
      <c r="H379" s="15" t="s">
        <v>24</v>
      </c>
      <c r="I379" s="16">
        <v>-2.75</v>
      </c>
      <c r="J379" s="16">
        <v>0.4</v>
      </c>
      <c r="K379" s="16">
        <v>0.4</v>
      </c>
      <c r="L379" s="17">
        <v>45614.0</v>
      </c>
      <c r="M379" s="18">
        <v>2.0</v>
      </c>
      <c r="N379" s="15" t="s">
        <v>33</v>
      </c>
      <c r="O379" s="19">
        <f t="shared" si="1"/>
        <v>0.4</v>
      </c>
      <c r="P379" s="19">
        <f t="shared" si="4"/>
        <v>4.711429384</v>
      </c>
    </row>
    <row r="380">
      <c r="A380" s="8">
        <f t="shared" si="3"/>
        <v>379</v>
      </c>
      <c r="B380" s="8" t="s">
        <v>26</v>
      </c>
      <c r="C380" s="8" t="s">
        <v>19</v>
      </c>
      <c r="D380" s="8" t="s">
        <v>1312</v>
      </c>
      <c r="E380" s="8" t="s">
        <v>372</v>
      </c>
      <c r="F380" s="8" t="s">
        <v>598</v>
      </c>
      <c r="G380" s="8" t="s">
        <v>29</v>
      </c>
      <c r="H380" s="8" t="s">
        <v>39</v>
      </c>
      <c r="I380" s="9">
        <v>-2.25</v>
      </c>
      <c r="J380" s="9">
        <v>0.4</v>
      </c>
      <c r="K380" s="9">
        <v>0.4</v>
      </c>
      <c r="L380" s="10">
        <v>45614.0</v>
      </c>
      <c r="M380" s="11">
        <v>1.825</v>
      </c>
      <c r="N380" s="8" t="s">
        <v>25</v>
      </c>
      <c r="O380" s="12">
        <f t="shared" si="1"/>
        <v>-0.4</v>
      </c>
      <c r="P380" s="12">
        <f t="shared" si="4"/>
        <v>4.311429384</v>
      </c>
    </row>
    <row r="381">
      <c r="A381" s="15">
        <f t="shared" si="3"/>
        <v>380</v>
      </c>
      <c r="B381" s="15" t="s">
        <v>35</v>
      </c>
      <c r="C381" s="15" t="s">
        <v>19</v>
      </c>
      <c r="D381" s="15" t="s">
        <v>1313</v>
      </c>
      <c r="E381" s="15" t="s">
        <v>82</v>
      </c>
      <c r="F381" s="15" t="s">
        <v>22</v>
      </c>
      <c r="G381" s="15" t="s">
        <v>29</v>
      </c>
      <c r="H381" s="15" t="s">
        <v>24</v>
      </c>
      <c r="I381" s="16">
        <v>-1.0</v>
      </c>
      <c r="J381" s="16">
        <v>0.2</v>
      </c>
      <c r="K381" s="16">
        <v>0.035</v>
      </c>
      <c r="L381" s="17">
        <v>45615.0</v>
      </c>
      <c r="M381" s="18">
        <v>1.7</v>
      </c>
      <c r="N381" s="15" t="s">
        <v>33</v>
      </c>
      <c r="O381" s="19">
        <f t="shared" si="1"/>
        <v>0.0245</v>
      </c>
      <c r="P381" s="19">
        <f t="shared" si="4"/>
        <v>4.335929384</v>
      </c>
    </row>
    <row r="382">
      <c r="A382" s="8">
        <f t="shared" si="3"/>
        <v>381</v>
      </c>
      <c r="B382" s="8" t="s">
        <v>26</v>
      </c>
      <c r="C382" s="8" t="s">
        <v>19</v>
      </c>
      <c r="D382" s="8" t="s">
        <v>1314</v>
      </c>
      <c r="E382" s="8" t="s">
        <v>218</v>
      </c>
      <c r="F382" s="8" t="s">
        <v>598</v>
      </c>
      <c r="G382" s="8" t="s">
        <v>29</v>
      </c>
      <c r="H382" s="8" t="s">
        <v>39</v>
      </c>
      <c r="I382" s="9">
        <v>-1.75</v>
      </c>
      <c r="J382" s="9">
        <v>0.5</v>
      </c>
      <c r="K382" s="9">
        <v>0.3175</v>
      </c>
      <c r="L382" s="10">
        <v>45615.0</v>
      </c>
      <c r="M382" s="11">
        <v>2.0</v>
      </c>
      <c r="N382" s="8" t="s">
        <v>33</v>
      </c>
      <c r="O382" s="12">
        <f t="shared" si="1"/>
        <v>0.3175</v>
      </c>
      <c r="P382" s="12">
        <f t="shared" si="4"/>
        <v>4.653429384</v>
      </c>
    </row>
    <row r="383">
      <c r="A383" s="15">
        <f t="shared" si="3"/>
        <v>382</v>
      </c>
      <c r="B383" s="15" t="s">
        <v>26</v>
      </c>
      <c r="C383" s="15" t="s">
        <v>19</v>
      </c>
      <c r="D383" s="15" t="s">
        <v>1315</v>
      </c>
      <c r="E383" s="15" t="s">
        <v>820</v>
      </c>
      <c r="F383" s="15" t="s">
        <v>598</v>
      </c>
      <c r="G383" s="15" t="s">
        <v>440</v>
      </c>
      <c r="H383" s="15" t="s">
        <v>39</v>
      </c>
      <c r="I383" s="16">
        <v>1.75</v>
      </c>
      <c r="J383" s="16">
        <v>0.15</v>
      </c>
      <c r="K383" s="16">
        <v>0.1342</v>
      </c>
      <c r="L383" s="17">
        <v>45615.0</v>
      </c>
      <c r="M383" s="18">
        <v>1.775</v>
      </c>
      <c r="N383" s="15" t="s">
        <v>33</v>
      </c>
      <c r="O383" s="19">
        <f t="shared" si="1"/>
        <v>0.104005</v>
      </c>
      <c r="P383" s="19">
        <f t="shared" si="4"/>
        <v>4.757434384</v>
      </c>
    </row>
    <row r="384">
      <c r="A384" s="8">
        <f t="shared" si="3"/>
        <v>383</v>
      </c>
      <c r="B384" s="8" t="s">
        <v>26</v>
      </c>
      <c r="C384" s="8" t="s">
        <v>19</v>
      </c>
      <c r="D384" s="8" t="s">
        <v>1316</v>
      </c>
      <c r="E384" s="8" t="s">
        <v>38</v>
      </c>
      <c r="F384" s="8" t="s">
        <v>598</v>
      </c>
      <c r="G384" s="8" t="s">
        <v>29</v>
      </c>
      <c r="H384" s="8" t="s">
        <v>39</v>
      </c>
      <c r="I384" s="9">
        <v>-4.0</v>
      </c>
      <c r="J384" s="9">
        <v>0.4</v>
      </c>
      <c r="K384" s="9">
        <v>0.3241</v>
      </c>
      <c r="L384" s="10">
        <v>45615.0</v>
      </c>
      <c r="M384" s="11">
        <v>1.702</v>
      </c>
      <c r="N384" s="8" t="s">
        <v>33</v>
      </c>
      <c r="O384" s="12">
        <f t="shared" si="1"/>
        <v>0.2275182</v>
      </c>
      <c r="P384" s="12">
        <f t="shared" si="4"/>
        <v>4.984952584</v>
      </c>
    </row>
    <row r="385">
      <c r="A385" s="15">
        <f t="shared" si="3"/>
        <v>384</v>
      </c>
      <c r="B385" s="15" t="s">
        <v>35</v>
      </c>
      <c r="C385" s="15" t="s">
        <v>19</v>
      </c>
      <c r="D385" s="15" t="s">
        <v>1317</v>
      </c>
      <c r="E385" s="15" t="s">
        <v>157</v>
      </c>
      <c r="F385" s="15" t="s">
        <v>22</v>
      </c>
      <c r="G385" s="15" t="s">
        <v>29</v>
      </c>
      <c r="H385" s="15" t="s">
        <v>24</v>
      </c>
      <c r="I385" s="16">
        <v>-1.0</v>
      </c>
      <c r="J385" s="16">
        <v>0.15</v>
      </c>
      <c r="K385" s="16">
        <v>0.1474</v>
      </c>
      <c r="L385" s="17">
        <v>45615.0</v>
      </c>
      <c r="M385" s="18">
        <v>2.075</v>
      </c>
      <c r="N385" s="15" t="s">
        <v>70</v>
      </c>
      <c r="O385" s="19">
        <f t="shared" si="1"/>
        <v>0</v>
      </c>
      <c r="P385" s="19">
        <f t="shared" si="4"/>
        <v>4.984952584</v>
      </c>
    </row>
    <row r="386">
      <c r="A386" s="8">
        <f t="shared" si="3"/>
        <v>385</v>
      </c>
      <c r="B386" s="8" t="s">
        <v>35</v>
      </c>
      <c r="C386" s="8" t="s">
        <v>40</v>
      </c>
      <c r="D386" s="8" t="s">
        <v>1318</v>
      </c>
      <c r="E386" s="8" t="s">
        <v>1319</v>
      </c>
      <c r="F386" s="8" t="s">
        <v>22</v>
      </c>
      <c r="G386" s="8" t="s">
        <v>29</v>
      </c>
      <c r="H386" s="8" t="s">
        <v>24</v>
      </c>
      <c r="I386" s="9">
        <v>-2.5</v>
      </c>
      <c r="J386" s="9">
        <v>0.3</v>
      </c>
      <c r="K386" s="9">
        <v>0.2948</v>
      </c>
      <c r="L386" s="56">
        <v>45615.0</v>
      </c>
      <c r="M386" s="11">
        <v>1.825</v>
      </c>
      <c r="N386" s="8" t="s">
        <v>25</v>
      </c>
      <c r="O386" s="12">
        <f t="shared" si="1"/>
        <v>-0.2948</v>
      </c>
      <c r="P386" s="12">
        <f t="shared" si="4"/>
        <v>4.690152584</v>
      </c>
    </row>
    <row r="387">
      <c r="A387" s="15">
        <f t="shared" si="3"/>
        <v>386</v>
      </c>
      <c r="B387" s="15" t="s">
        <v>131</v>
      </c>
      <c r="C387" s="15" t="s">
        <v>19</v>
      </c>
      <c r="D387" s="15" t="s">
        <v>1320</v>
      </c>
      <c r="E387" s="15" t="s">
        <v>316</v>
      </c>
      <c r="F387" s="15" t="s">
        <v>22</v>
      </c>
      <c r="G387" s="15" t="s">
        <v>29</v>
      </c>
      <c r="H387" s="15" t="s">
        <v>24</v>
      </c>
      <c r="I387" s="16">
        <v>-3.75</v>
      </c>
      <c r="J387" s="16">
        <v>0.25</v>
      </c>
      <c r="K387" s="16">
        <v>0.237</v>
      </c>
      <c r="L387" s="17">
        <v>45615.0</v>
      </c>
      <c r="M387" s="18">
        <v>2.02</v>
      </c>
      <c r="N387" s="15" t="s">
        <v>79</v>
      </c>
      <c r="O387" s="19">
        <f t="shared" si="1"/>
        <v>-0.1185</v>
      </c>
      <c r="P387" s="19">
        <f t="shared" si="4"/>
        <v>4.571652584</v>
      </c>
    </row>
    <row r="388">
      <c r="A388" s="8">
        <f t="shared" si="3"/>
        <v>387</v>
      </c>
      <c r="B388" s="8" t="s">
        <v>26</v>
      </c>
      <c r="C388" s="8" t="s">
        <v>19</v>
      </c>
      <c r="D388" s="8" t="s">
        <v>1321</v>
      </c>
      <c r="E388" s="8" t="s">
        <v>48</v>
      </c>
      <c r="F388" s="8" t="s">
        <v>598</v>
      </c>
      <c r="G388" s="8" t="s">
        <v>29</v>
      </c>
      <c r="H388" s="8" t="s">
        <v>24</v>
      </c>
      <c r="I388" s="9">
        <v>-2.75</v>
      </c>
      <c r="J388" s="9">
        <v>0.4</v>
      </c>
      <c r="K388" s="9">
        <v>0.3789</v>
      </c>
      <c r="L388" s="10">
        <v>45616.0</v>
      </c>
      <c r="M388" s="11">
        <v>1.925</v>
      </c>
      <c r="N388" s="8" t="s">
        <v>25</v>
      </c>
      <c r="O388" s="12">
        <f t="shared" si="1"/>
        <v>-0.3789</v>
      </c>
      <c r="P388" s="12">
        <f t="shared" si="4"/>
        <v>4.192752584</v>
      </c>
    </row>
    <row r="389">
      <c r="A389" s="15">
        <f t="shared" si="3"/>
        <v>388</v>
      </c>
      <c r="B389" s="15" t="s">
        <v>35</v>
      </c>
      <c r="C389" s="15" t="s">
        <v>19</v>
      </c>
      <c r="D389" s="15" t="s">
        <v>1322</v>
      </c>
      <c r="E389" s="15" t="s">
        <v>193</v>
      </c>
      <c r="F389" s="15" t="s">
        <v>22</v>
      </c>
      <c r="G389" s="15" t="s">
        <v>29</v>
      </c>
      <c r="H389" s="15" t="s">
        <v>24</v>
      </c>
      <c r="I389" s="16">
        <v>-0.75</v>
      </c>
      <c r="J389" s="16">
        <v>0.2</v>
      </c>
      <c r="K389" s="16">
        <v>0.3859</v>
      </c>
      <c r="L389" s="17">
        <v>45616.0</v>
      </c>
      <c r="M389" s="18">
        <v>2.02</v>
      </c>
      <c r="N389" s="15" t="s">
        <v>79</v>
      </c>
      <c r="O389" s="19">
        <f t="shared" si="1"/>
        <v>-0.19295</v>
      </c>
      <c r="P389" s="19">
        <f t="shared" si="4"/>
        <v>3.999802584</v>
      </c>
    </row>
    <row r="390">
      <c r="A390" s="8">
        <f t="shared" si="3"/>
        <v>389</v>
      </c>
      <c r="B390" s="8" t="s">
        <v>129</v>
      </c>
      <c r="C390" s="8" t="s">
        <v>19</v>
      </c>
      <c r="D390" s="8" t="s">
        <v>1323</v>
      </c>
      <c r="E390" s="8" t="s">
        <v>193</v>
      </c>
      <c r="F390" s="8" t="s">
        <v>22</v>
      </c>
      <c r="G390" s="8" t="s">
        <v>892</v>
      </c>
      <c r="H390" s="8" t="s">
        <v>24</v>
      </c>
      <c r="I390" s="9">
        <v>0.0</v>
      </c>
      <c r="J390" s="9">
        <v>0.2</v>
      </c>
      <c r="K390" s="9">
        <v>0.2</v>
      </c>
      <c r="L390" s="10">
        <v>45616.0</v>
      </c>
      <c r="M390" s="11">
        <v>1.85</v>
      </c>
      <c r="N390" s="8" t="s">
        <v>70</v>
      </c>
      <c r="O390" s="12">
        <f t="shared" si="1"/>
        <v>0</v>
      </c>
      <c r="P390" s="12">
        <f t="shared" si="4"/>
        <v>3.999802584</v>
      </c>
    </row>
    <row r="391">
      <c r="A391" s="15">
        <f t="shared" si="3"/>
        <v>390</v>
      </c>
      <c r="B391" s="15" t="s">
        <v>129</v>
      </c>
      <c r="C391" s="15" t="s">
        <v>19</v>
      </c>
      <c r="D391" s="15" t="s">
        <v>1324</v>
      </c>
      <c r="E391" s="15" t="s">
        <v>48</v>
      </c>
      <c r="F391" s="15" t="s">
        <v>22</v>
      </c>
      <c r="G391" s="15" t="s">
        <v>892</v>
      </c>
      <c r="H391" s="15" t="s">
        <v>24</v>
      </c>
      <c r="I391" s="16">
        <v>0.0</v>
      </c>
      <c r="J391" s="16">
        <v>0.2</v>
      </c>
      <c r="K391" s="16">
        <v>0.0862</v>
      </c>
      <c r="L391" s="17">
        <v>45616.0</v>
      </c>
      <c r="M391" s="18">
        <v>1.625</v>
      </c>
      <c r="N391" s="15" t="s">
        <v>70</v>
      </c>
      <c r="O391" s="19">
        <f t="shared" si="1"/>
        <v>0</v>
      </c>
      <c r="P391" s="19">
        <f t="shared" si="4"/>
        <v>3.999802584</v>
      </c>
    </row>
    <row r="392">
      <c r="A392" s="8">
        <f t="shared" si="3"/>
        <v>391</v>
      </c>
      <c r="B392" s="8" t="s">
        <v>26</v>
      </c>
      <c r="C392" s="8" t="s">
        <v>19</v>
      </c>
      <c r="D392" s="8" t="s">
        <v>1325</v>
      </c>
      <c r="E392" s="8" t="s">
        <v>78</v>
      </c>
      <c r="F392" s="8" t="s">
        <v>22</v>
      </c>
      <c r="G392" s="8" t="s">
        <v>29</v>
      </c>
      <c r="H392" s="8" t="s">
        <v>24</v>
      </c>
      <c r="I392" s="9">
        <v>-2.25</v>
      </c>
      <c r="J392" s="9">
        <v>0.2</v>
      </c>
      <c r="K392" s="9">
        <v>0.1137</v>
      </c>
      <c r="L392" s="10">
        <v>45616.0</v>
      </c>
      <c r="M392" s="11">
        <v>1.7</v>
      </c>
      <c r="N392" s="8" t="s">
        <v>25</v>
      </c>
      <c r="O392" s="12">
        <f t="shared" si="1"/>
        <v>-0.1137</v>
      </c>
      <c r="P392" s="12">
        <f t="shared" si="4"/>
        <v>3.886102584</v>
      </c>
    </row>
    <row r="393">
      <c r="A393" s="15">
        <f t="shared" si="3"/>
        <v>392</v>
      </c>
      <c r="B393" s="15" t="s">
        <v>26</v>
      </c>
      <c r="C393" s="15" t="s">
        <v>19</v>
      </c>
      <c r="D393" s="15" t="s">
        <v>1326</v>
      </c>
      <c r="E393" s="15" t="s">
        <v>78</v>
      </c>
      <c r="F393" s="15" t="s">
        <v>598</v>
      </c>
      <c r="G393" s="15" t="s">
        <v>29</v>
      </c>
      <c r="H393" s="15" t="s">
        <v>24</v>
      </c>
      <c r="I393" s="16">
        <v>-2.25</v>
      </c>
      <c r="J393" s="16">
        <v>0.4</v>
      </c>
      <c r="K393" s="16">
        <v>0.4</v>
      </c>
      <c r="L393" s="17">
        <v>45616.0</v>
      </c>
      <c r="M393" s="18">
        <v>1.95</v>
      </c>
      <c r="N393" s="15" t="s">
        <v>30</v>
      </c>
      <c r="O393" s="19">
        <f t="shared" si="1"/>
        <v>0.19</v>
      </c>
      <c r="P393" s="19">
        <f t="shared" si="4"/>
        <v>4.076102584</v>
      </c>
    </row>
    <row r="394">
      <c r="A394" s="8">
        <f t="shared" si="3"/>
        <v>393</v>
      </c>
      <c r="B394" s="8" t="s">
        <v>35</v>
      </c>
      <c r="C394" s="8" t="s">
        <v>19</v>
      </c>
      <c r="D394" s="8" t="s">
        <v>1327</v>
      </c>
      <c r="E394" s="8" t="s">
        <v>193</v>
      </c>
      <c r="F394" s="8" t="s">
        <v>22</v>
      </c>
      <c r="G394" s="8" t="s">
        <v>29</v>
      </c>
      <c r="H394" s="8" t="s">
        <v>24</v>
      </c>
      <c r="I394" s="9">
        <v>-0.75</v>
      </c>
      <c r="J394" s="9">
        <v>0.25</v>
      </c>
      <c r="K394" s="9">
        <v>0.25</v>
      </c>
      <c r="L394" s="10">
        <v>45617.0</v>
      </c>
      <c r="M394" s="11">
        <v>2.0</v>
      </c>
      <c r="N394" s="8" t="s">
        <v>25</v>
      </c>
      <c r="O394" s="12">
        <f t="shared" si="1"/>
        <v>-0.25</v>
      </c>
      <c r="P394" s="12">
        <f t="shared" si="4"/>
        <v>3.826102584</v>
      </c>
    </row>
    <row r="395">
      <c r="A395" s="15">
        <f t="shared" si="3"/>
        <v>394</v>
      </c>
      <c r="B395" s="15" t="s">
        <v>26</v>
      </c>
      <c r="C395" s="15" t="s">
        <v>19</v>
      </c>
      <c r="D395" s="15" t="s">
        <v>1328</v>
      </c>
      <c r="E395" s="15" t="s">
        <v>187</v>
      </c>
      <c r="F395" s="15" t="s">
        <v>22</v>
      </c>
      <c r="G395" s="15" t="s">
        <v>440</v>
      </c>
      <c r="H395" s="15" t="s">
        <v>39</v>
      </c>
      <c r="I395" s="16">
        <v>2.25</v>
      </c>
      <c r="J395" s="16">
        <v>0.2</v>
      </c>
      <c r="K395" s="16">
        <v>0.2</v>
      </c>
      <c r="L395" s="17">
        <v>45617.0</v>
      </c>
      <c r="M395" s="18">
        <v>1.95</v>
      </c>
      <c r="N395" s="15" t="s">
        <v>25</v>
      </c>
      <c r="O395" s="19">
        <f t="shared" si="1"/>
        <v>-0.2</v>
      </c>
      <c r="P395" s="19">
        <f t="shared" si="4"/>
        <v>3.626102584</v>
      </c>
    </row>
    <row r="396">
      <c r="A396" s="8">
        <f t="shared" si="3"/>
        <v>395</v>
      </c>
      <c r="B396" s="8" t="s">
        <v>26</v>
      </c>
      <c r="C396" s="8" t="s">
        <v>40</v>
      </c>
      <c r="D396" s="8" t="s">
        <v>1329</v>
      </c>
      <c r="E396" s="8" t="s">
        <v>66</v>
      </c>
      <c r="F396" s="8" t="s">
        <v>22</v>
      </c>
      <c r="G396" s="8" t="s">
        <v>29</v>
      </c>
      <c r="H396" s="8" t="s">
        <v>39</v>
      </c>
      <c r="I396" s="9">
        <v>-3.0</v>
      </c>
      <c r="J396" s="9">
        <v>0.2</v>
      </c>
      <c r="K396" s="9">
        <v>0.2</v>
      </c>
      <c r="L396" s="10">
        <v>45617.0</v>
      </c>
      <c r="M396" s="11">
        <v>1.825</v>
      </c>
      <c r="N396" s="8" t="s">
        <v>70</v>
      </c>
      <c r="O396" s="12">
        <f t="shared" si="1"/>
        <v>0</v>
      </c>
      <c r="P396" s="12">
        <f t="shared" si="4"/>
        <v>3.626102584</v>
      </c>
    </row>
    <row r="397">
      <c r="A397" s="15">
        <f t="shared" si="3"/>
        <v>396</v>
      </c>
      <c r="B397" s="15" t="s">
        <v>35</v>
      </c>
      <c r="C397" s="15" t="s">
        <v>19</v>
      </c>
      <c r="D397" s="15" t="s">
        <v>1330</v>
      </c>
      <c r="E397" s="15" t="s">
        <v>612</v>
      </c>
      <c r="F397" s="15" t="s">
        <v>22</v>
      </c>
      <c r="G397" s="15" t="s">
        <v>29</v>
      </c>
      <c r="H397" s="15" t="s">
        <v>24</v>
      </c>
      <c r="I397" s="16">
        <v>-1.0</v>
      </c>
      <c r="J397" s="16">
        <v>0.4</v>
      </c>
      <c r="K397" s="16">
        <v>0.1862</v>
      </c>
      <c r="L397" s="17">
        <v>45617.0</v>
      </c>
      <c r="M397" s="18">
        <v>1.7</v>
      </c>
      <c r="N397" s="15" t="s">
        <v>33</v>
      </c>
      <c r="O397" s="19">
        <f t="shared" si="1"/>
        <v>0.13034</v>
      </c>
      <c r="P397" s="19">
        <f t="shared" si="4"/>
        <v>3.756442584</v>
      </c>
    </row>
    <row r="398">
      <c r="A398" s="8">
        <f t="shared" si="3"/>
        <v>397</v>
      </c>
      <c r="B398" s="8" t="s">
        <v>26</v>
      </c>
      <c r="C398" s="8" t="s">
        <v>19</v>
      </c>
      <c r="D398" s="8" t="s">
        <v>1331</v>
      </c>
      <c r="E398" s="8" t="s">
        <v>78</v>
      </c>
      <c r="F398" s="8" t="s">
        <v>22</v>
      </c>
      <c r="G398" s="8" t="s">
        <v>29</v>
      </c>
      <c r="H398" s="8" t="s">
        <v>24</v>
      </c>
      <c r="I398" s="9">
        <v>-2.75</v>
      </c>
      <c r="J398" s="9">
        <v>0.4</v>
      </c>
      <c r="K398" s="9">
        <v>0.231</v>
      </c>
      <c r="L398" s="10">
        <v>45617.0</v>
      </c>
      <c r="M398" s="11">
        <v>1.9</v>
      </c>
      <c r="N398" s="8" t="s">
        <v>33</v>
      </c>
      <c r="O398" s="12">
        <f t="shared" si="1"/>
        <v>0.2079</v>
      </c>
      <c r="P398" s="12">
        <f t="shared" si="4"/>
        <v>3.964342584</v>
      </c>
    </row>
    <row r="399">
      <c r="A399" s="15">
        <f t="shared" si="3"/>
        <v>398</v>
      </c>
      <c r="B399" s="15" t="s">
        <v>26</v>
      </c>
      <c r="C399" s="15" t="s">
        <v>19</v>
      </c>
      <c r="D399" s="15" t="s">
        <v>1332</v>
      </c>
      <c r="E399" s="15" t="s">
        <v>167</v>
      </c>
      <c r="F399" s="15" t="s">
        <v>598</v>
      </c>
      <c r="G399" s="15" t="s">
        <v>29</v>
      </c>
      <c r="H399" s="15" t="s">
        <v>39</v>
      </c>
      <c r="I399" s="16">
        <v>-2.75</v>
      </c>
      <c r="J399" s="16">
        <v>0.4</v>
      </c>
      <c r="K399" s="16">
        <v>0.3355</v>
      </c>
      <c r="L399" s="17">
        <v>45618.0</v>
      </c>
      <c r="M399" s="18">
        <v>1.9</v>
      </c>
      <c r="N399" s="15" t="s">
        <v>25</v>
      </c>
      <c r="O399" s="19">
        <f t="shared" si="1"/>
        <v>-0.3355</v>
      </c>
      <c r="P399" s="19">
        <f t="shared" si="4"/>
        <v>3.628842584</v>
      </c>
    </row>
    <row r="400">
      <c r="A400" s="8">
        <f t="shared" si="3"/>
        <v>399</v>
      </c>
      <c r="B400" s="8" t="s">
        <v>26</v>
      </c>
      <c r="C400" s="8" t="s">
        <v>19</v>
      </c>
      <c r="D400" s="8" t="s">
        <v>1333</v>
      </c>
      <c r="E400" s="8" t="s">
        <v>167</v>
      </c>
      <c r="F400" s="8" t="s">
        <v>598</v>
      </c>
      <c r="G400" s="8" t="s">
        <v>29</v>
      </c>
      <c r="H400" s="8" t="s">
        <v>39</v>
      </c>
      <c r="I400" s="9">
        <v>-2.75</v>
      </c>
      <c r="J400" s="9">
        <v>0.4</v>
      </c>
      <c r="K400" s="9">
        <v>0.3627</v>
      </c>
      <c r="L400" s="10">
        <v>45618.0</v>
      </c>
      <c r="M400" s="11">
        <v>1.9</v>
      </c>
      <c r="N400" s="8" t="s">
        <v>33</v>
      </c>
      <c r="O400" s="12">
        <f t="shared" si="1"/>
        <v>0.32643</v>
      </c>
      <c r="P400" s="12">
        <f t="shared" si="4"/>
        <v>3.955272584</v>
      </c>
    </row>
    <row r="401">
      <c r="A401" s="15">
        <f t="shared" si="3"/>
        <v>400</v>
      </c>
      <c r="B401" s="15" t="s">
        <v>26</v>
      </c>
      <c r="C401" s="15" t="s">
        <v>19</v>
      </c>
      <c r="D401" s="15" t="s">
        <v>1334</v>
      </c>
      <c r="E401" s="15" t="s">
        <v>923</v>
      </c>
      <c r="F401" s="15" t="s">
        <v>598</v>
      </c>
      <c r="G401" s="15" t="s">
        <v>29</v>
      </c>
      <c r="H401" s="15" t="s">
        <v>24</v>
      </c>
      <c r="I401" s="16">
        <v>-2.0</v>
      </c>
      <c r="J401" s="16">
        <v>0.25</v>
      </c>
      <c r="K401" s="16">
        <v>0.1822</v>
      </c>
      <c r="L401" s="17">
        <v>45618.0</v>
      </c>
      <c r="M401" s="18">
        <v>1.975</v>
      </c>
      <c r="N401" s="15" t="s">
        <v>70</v>
      </c>
      <c r="O401" s="19">
        <f t="shared" si="1"/>
        <v>0</v>
      </c>
      <c r="P401" s="19">
        <f t="shared" si="4"/>
        <v>3.955272584</v>
      </c>
    </row>
    <row r="402">
      <c r="A402" s="8">
        <f t="shared" si="3"/>
        <v>401</v>
      </c>
      <c r="B402" s="8" t="s">
        <v>26</v>
      </c>
      <c r="C402" s="8" t="s">
        <v>19</v>
      </c>
      <c r="D402" s="8" t="s">
        <v>1335</v>
      </c>
      <c r="E402" s="8" t="s">
        <v>923</v>
      </c>
      <c r="F402" s="8" t="s">
        <v>22</v>
      </c>
      <c r="G402" s="8" t="s">
        <v>225</v>
      </c>
      <c r="H402" s="8" t="s">
        <v>24</v>
      </c>
      <c r="I402" s="9">
        <v>0.5</v>
      </c>
      <c r="J402" s="9">
        <v>0.15</v>
      </c>
      <c r="K402" s="9">
        <v>0.1423</v>
      </c>
      <c r="L402" s="10">
        <v>45618.0</v>
      </c>
      <c r="M402" s="11">
        <v>1.8</v>
      </c>
      <c r="N402" s="8" t="s">
        <v>25</v>
      </c>
      <c r="O402" s="12">
        <f t="shared" si="1"/>
        <v>-0.1423</v>
      </c>
      <c r="P402" s="12">
        <f t="shared" si="4"/>
        <v>3.812972584</v>
      </c>
    </row>
    <row r="403">
      <c r="A403" s="15">
        <f t="shared" si="3"/>
        <v>402</v>
      </c>
      <c r="B403" s="15" t="s">
        <v>26</v>
      </c>
      <c r="C403" s="15" t="s">
        <v>19</v>
      </c>
      <c r="D403" s="15" t="s">
        <v>1336</v>
      </c>
      <c r="E403" s="15" t="s">
        <v>583</v>
      </c>
      <c r="F403" s="15" t="s">
        <v>598</v>
      </c>
      <c r="G403" s="15" t="s">
        <v>29</v>
      </c>
      <c r="H403" s="15" t="s">
        <v>24</v>
      </c>
      <c r="I403" s="16">
        <v>-2.75</v>
      </c>
      <c r="J403" s="16">
        <v>0.25</v>
      </c>
      <c r="K403" s="16">
        <v>0.2372</v>
      </c>
      <c r="L403" s="17">
        <v>45618.0</v>
      </c>
      <c r="M403" s="18">
        <v>2.0</v>
      </c>
      <c r="N403" s="15" t="s">
        <v>33</v>
      </c>
      <c r="O403" s="19">
        <f t="shared" si="1"/>
        <v>0.2372</v>
      </c>
      <c r="P403" s="19">
        <f t="shared" si="4"/>
        <v>4.050172584</v>
      </c>
    </row>
    <row r="404">
      <c r="A404" s="8">
        <f t="shared" si="3"/>
        <v>403</v>
      </c>
      <c r="B404" s="8" t="s">
        <v>35</v>
      </c>
      <c r="C404" s="8" t="s">
        <v>19</v>
      </c>
      <c r="D404" s="8" t="s">
        <v>1337</v>
      </c>
      <c r="E404" s="8" t="s">
        <v>908</v>
      </c>
      <c r="F404" s="8" t="s">
        <v>598</v>
      </c>
      <c r="G404" s="8" t="s">
        <v>29</v>
      </c>
      <c r="H404" s="8" t="s">
        <v>39</v>
      </c>
      <c r="I404" s="9">
        <v>-3.75</v>
      </c>
      <c r="J404" s="9">
        <v>0.2</v>
      </c>
      <c r="K404" s="9">
        <v>0.0508</v>
      </c>
      <c r="L404" s="10">
        <v>45618.0</v>
      </c>
      <c r="M404" s="11">
        <v>1.85</v>
      </c>
      <c r="N404" s="8" t="s">
        <v>25</v>
      </c>
      <c r="O404" s="12">
        <f t="shared" si="1"/>
        <v>-0.0508</v>
      </c>
      <c r="P404" s="12">
        <f t="shared" si="4"/>
        <v>3.999372584</v>
      </c>
    </row>
    <row r="405">
      <c r="A405" s="15">
        <f t="shared" si="3"/>
        <v>404</v>
      </c>
      <c r="B405" s="15" t="s">
        <v>35</v>
      </c>
      <c r="C405" s="15" t="s">
        <v>19</v>
      </c>
      <c r="D405" s="15" t="s">
        <v>1338</v>
      </c>
      <c r="E405" s="15" t="s">
        <v>74</v>
      </c>
      <c r="F405" s="15" t="s">
        <v>598</v>
      </c>
      <c r="G405" s="15" t="s">
        <v>29</v>
      </c>
      <c r="H405" s="15" t="s">
        <v>39</v>
      </c>
      <c r="I405" s="16">
        <v>-1.0</v>
      </c>
      <c r="J405" s="16">
        <v>0.2</v>
      </c>
      <c r="K405" s="16">
        <v>0.2</v>
      </c>
      <c r="L405" s="17">
        <v>45618.0</v>
      </c>
      <c r="M405" s="18">
        <v>1.9</v>
      </c>
      <c r="N405" s="15" t="s">
        <v>33</v>
      </c>
      <c r="O405" s="19">
        <f t="shared" si="1"/>
        <v>0.18</v>
      </c>
      <c r="P405" s="19">
        <f t="shared" si="4"/>
        <v>4.179372584</v>
      </c>
    </row>
    <row r="406">
      <c r="A406" s="8">
        <f t="shared" si="3"/>
        <v>405</v>
      </c>
      <c r="B406" s="8" t="s">
        <v>35</v>
      </c>
      <c r="C406" s="8" t="s">
        <v>19</v>
      </c>
      <c r="D406" s="8" t="s">
        <v>1339</v>
      </c>
      <c r="E406" s="8" t="s">
        <v>1194</v>
      </c>
      <c r="F406" s="8" t="s">
        <v>598</v>
      </c>
      <c r="G406" s="8" t="s">
        <v>29</v>
      </c>
      <c r="H406" s="8" t="s">
        <v>39</v>
      </c>
      <c r="I406" s="9">
        <v>-0.75</v>
      </c>
      <c r="J406" s="9">
        <v>0.4</v>
      </c>
      <c r="K406" s="9">
        <v>0.4</v>
      </c>
      <c r="L406" s="10">
        <v>45618.0</v>
      </c>
      <c r="M406" s="11">
        <v>2.025</v>
      </c>
      <c r="N406" s="8" t="s">
        <v>33</v>
      </c>
      <c r="O406" s="12">
        <f t="shared" si="1"/>
        <v>0.41</v>
      </c>
      <c r="P406" s="12">
        <f t="shared" si="4"/>
        <v>4.589372584</v>
      </c>
    </row>
    <row r="407">
      <c r="A407" s="15">
        <f t="shared" si="3"/>
        <v>406</v>
      </c>
      <c r="B407" s="15" t="s">
        <v>35</v>
      </c>
      <c r="C407" s="15" t="s">
        <v>19</v>
      </c>
      <c r="D407" s="15" t="s">
        <v>1340</v>
      </c>
      <c r="E407" s="15" t="s">
        <v>463</v>
      </c>
      <c r="F407" s="15" t="s">
        <v>22</v>
      </c>
      <c r="G407" s="15" t="s">
        <v>29</v>
      </c>
      <c r="H407" s="15"/>
      <c r="I407" s="16">
        <v>-1.5</v>
      </c>
      <c r="J407" s="16">
        <v>0.2</v>
      </c>
      <c r="K407" s="16">
        <v>0.0833</v>
      </c>
      <c r="L407" s="57">
        <v>45618.0</v>
      </c>
      <c r="M407" s="18">
        <v>1.875</v>
      </c>
      <c r="N407" s="15" t="s">
        <v>25</v>
      </c>
      <c r="O407" s="19">
        <f t="shared" si="1"/>
        <v>-0.0833</v>
      </c>
      <c r="P407" s="19">
        <f t="shared" si="4"/>
        <v>4.506072584</v>
      </c>
    </row>
    <row r="408">
      <c r="A408" s="8">
        <f t="shared" si="3"/>
        <v>407</v>
      </c>
      <c r="B408" s="8" t="s">
        <v>35</v>
      </c>
      <c r="C408" s="8" t="s">
        <v>19</v>
      </c>
      <c r="D408" s="8" t="s">
        <v>1341</v>
      </c>
      <c r="E408" s="8" t="s">
        <v>448</v>
      </c>
      <c r="F408" s="8" t="s">
        <v>22</v>
      </c>
      <c r="G408" s="8" t="s">
        <v>29</v>
      </c>
      <c r="H408" s="8"/>
      <c r="I408" s="9">
        <v>-2.0</v>
      </c>
      <c r="J408" s="9">
        <v>0.2</v>
      </c>
      <c r="K408" s="9">
        <v>0.0966</v>
      </c>
      <c r="L408" s="10">
        <v>45618.0</v>
      </c>
      <c r="M408" s="11">
        <v>1.8</v>
      </c>
      <c r="N408" s="8" t="s">
        <v>70</v>
      </c>
      <c r="O408" s="12">
        <f t="shared" si="1"/>
        <v>0</v>
      </c>
      <c r="P408" s="12">
        <f t="shared" si="4"/>
        <v>4.506072584</v>
      </c>
    </row>
    <row r="409">
      <c r="A409" s="15">
        <f t="shared" si="3"/>
        <v>408</v>
      </c>
      <c r="B409" s="15" t="s">
        <v>35</v>
      </c>
      <c r="C409" s="15" t="s">
        <v>19</v>
      </c>
      <c r="D409" s="15" t="s">
        <v>1342</v>
      </c>
      <c r="E409" s="15" t="s">
        <v>50</v>
      </c>
      <c r="F409" s="15" t="s">
        <v>22</v>
      </c>
      <c r="G409" s="15" t="s">
        <v>29</v>
      </c>
      <c r="H409" s="15"/>
      <c r="I409" s="16">
        <v>-1.0</v>
      </c>
      <c r="J409" s="16">
        <v>0.2</v>
      </c>
      <c r="K409" s="16">
        <v>0.19</v>
      </c>
      <c r="L409" s="17">
        <v>45618.0</v>
      </c>
      <c r="M409" s="18">
        <v>1.8</v>
      </c>
      <c r="N409" s="15" t="s">
        <v>25</v>
      </c>
      <c r="O409" s="19">
        <f t="shared" si="1"/>
        <v>-0.19</v>
      </c>
      <c r="P409" s="19">
        <f t="shared" si="4"/>
        <v>4.316072584</v>
      </c>
    </row>
    <row r="410">
      <c r="A410" s="8">
        <f t="shared" si="3"/>
        <v>409</v>
      </c>
      <c r="B410" s="8" t="s">
        <v>35</v>
      </c>
      <c r="C410" s="8" t="s">
        <v>19</v>
      </c>
      <c r="D410" s="8" t="s">
        <v>1343</v>
      </c>
      <c r="E410" s="8" t="s">
        <v>50</v>
      </c>
      <c r="F410" s="8" t="s">
        <v>22</v>
      </c>
      <c r="G410" s="8" t="s">
        <v>29</v>
      </c>
      <c r="H410" s="8"/>
      <c r="I410" s="9">
        <v>-0.75</v>
      </c>
      <c r="J410" s="9">
        <v>0.2</v>
      </c>
      <c r="K410" s="9">
        <v>0.2</v>
      </c>
      <c r="L410" s="10">
        <v>45618.0</v>
      </c>
      <c r="M410" s="11">
        <v>1.925</v>
      </c>
      <c r="N410" s="8" t="s">
        <v>33</v>
      </c>
      <c r="O410" s="12">
        <f t="shared" si="1"/>
        <v>0.185</v>
      </c>
      <c r="P410" s="12">
        <f t="shared" si="4"/>
        <v>4.501072584</v>
      </c>
    </row>
    <row r="411">
      <c r="A411" s="15">
        <f t="shared" si="3"/>
        <v>410</v>
      </c>
      <c r="B411" s="15" t="s">
        <v>35</v>
      </c>
      <c r="C411" s="15" t="s">
        <v>19</v>
      </c>
      <c r="D411" s="15" t="s">
        <v>1344</v>
      </c>
      <c r="E411" s="15" t="s">
        <v>753</v>
      </c>
      <c r="F411" s="15" t="s">
        <v>22</v>
      </c>
      <c r="G411" s="15" t="s">
        <v>29</v>
      </c>
      <c r="H411" s="15"/>
      <c r="I411" s="16">
        <v>-4.25</v>
      </c>
      <c r="J411" s="16">
        <v>0.2</v>
      </c>
      <c r="K411" s="16">
        <v>0.1178</v>
      </c>
      <c r="L411" s="17">
        <v>45618.0</v>
      </c>
      <c r="M411" s="18">
        <v>1.975</v>
      </c>
      <c r="N411" s="15" t="s">
        <v>30</v>
      </c>
      <c r="O411" s="19">
        <f t="shared" si="1"/>
        <v>0.0574275</v>
      </c>
      <c r="P411" s="19">
        <f t="shared" si="4"/>
        <v>4.558500084</v>
      </c>
    </row>
    <row r="412">
      <c r="A412" s="8">
        <f t="shared" si="3"/>
        <v>411</v>
      </c>
      <c r="B412" s="8" t="s">
        <v>35</v>
      </c>
      <c r="C412" s="8" t="s">
        <v>19</v>
      </c>
      <c r="D412" s="8" t="s">
        <v>1345</v>
      </c>
      <c r="E412" s="8" t="s">
        <v>48</v>
      </c>
      <c r="F412" s="8" t="s">
        <v>22</v>
      </c>
      <c r="G412" s="8" t="s">
        <v>29</v>
      </c>
      <c r="H412" s="8"/>
      <c r="I412" s="9">
        <v>-1.0</v>
      </c>
      <c r="J412" s="9">
        <v>0.2</v>
      </c>
      <c r="K412" s="9">
        <v>0.2</v>
      </c>
      <c r="L412" s="10">
        <v>45619.0</v>
      </c>
      <c r="M412" s="11">
        <v>1.8</v>
      </c>
      <c r="N412" s="8" t="s">
        <v>25</v>
      </c>
      <c r="O412" s="12">
        <f t="shared" si="1"/>
        <v>-0.2</v>
      </c>
      <c r="P412" s="12">
        <f t="shared" si="4"/>
        <v>4.358500084</v>
      </c>
    </row>
    <row r="413">
      <c r="A413" s="15">
        <f t="shared" si="3"/>
        <v>412</v>
      </c>
      <c r="B413" s="15" t="s">
        <v>35</v>
      </c>
      <c r="C413" s="15" t="s">
        <v>40</v>
      </c>
      <c r="D413" s="15" t="s">
        <v>1346</v>
      </c>
      <c r="E413" s="15" t="s">
        <v>48</v>
      </c>
      <c r="F413" s="15" t="s">
        <v>22</v>
      </c>
      <c r="G413" s="15" t="s">
        <v>29</v>
      </c>
      <c r="H413" s="15"/>
      <c r="I413" s="16">
        <v>-4.75</v>
      </c>
      <c r="J413" s="16">
        <v>0.4</v>
      </c>
      <c r="K413" s="16">
        <v>0.4</v>
      </c>
      <c r="L413" s="17">
        <v>45619.0</v>
      </c>
      <c r="M413" s="18">
        <v>2.025</v>
      </c>
      <c r="N413" s="15" t="s">
        <v>25</v>
      </c>
      <c r="O413" s="19">
        <f t="shared" si="1"/>
        <v>-0.4</v>
      </c>
      <c r="P413" s="19">
        <f t="shared" si="4"/>
        <v>3.958500084</v>
      </c>
    </row>
    <row r="414">
      <c r="A414" s="8">
        <f t="shared" si="3"/>
        <v>413</v>
      </c>
      <c r="B414" s="8" t="s">
        <v>35</v>
      </c>
      <c r="C414" s="8" t="s">
        <v>19</v>
      </c>
      <c r="D414" s="8" t="s">
        <v>1347</v>
      </c>
      <c r="E414" s="8" t="s">
        <v>121</v>
      </c>
      <c r="F414" s="8" t="s">
        <v>22</v>
      </c>
      <c r="G414" s="8" t="s">
        <v>29</v>
      </c>
      <c r="H414" s="8"/>
      <c r="I414" s="9">
        <v>-1.25</v>
      </c>
      <c r="J414" s="9">
        <v>0.2</v>
      </c>
      <c r="K414" s="9">
        <v>0.2</v>
      </c>
      <c r="L414" s="10">
        <v>45619.0</v>
      </c>
      <c r="M414" s="11">
        <v>1.825</v>
      </c>
      <c r="N414" s="8" t="s">
        <v>30</v>
      </c>
      <c r="O414" s="12">
        <f t="shared" si="1"/>
        <v>0.0825</v>
      </c>
      <c r="P414" s="12">
        <f t="shared" si="4"/>
        <v>4.041000084</v>
      </c>
    </row>
    <row r="415">
      <c r="A415" s="15">
        <f t="shared" si="3"/>
        <v>414</v>
      </c>
      <c r="B415" s="15" t="s">
        <v>35</v>
      </c>
      <c r="C415" s="15" t="s">
        <v>19</v>
      </c>
      <c r="D415" s="15" t="s">
        <v>1348</v>
      </c>
      <c r="E415" s="15" t="s">
        <v>740</v>
      </c>
      <c r="F415" s="15" t="s">
        <v>598</v>
      </c>
      <c r="G415" s="15" t="s">
        <v>29</v>
      </c>
      <c r="H415" s="15"/>
      <c r="I415" s="16">
        <v>-1.0</v>
      </c>
      <c r="J415" s="16">
        <v>0.2</v>
      </c>
      <c r="K415" s="16">
        <v>0.2</v>
      </c>
      <c r="L415" s="17">
        <v>45619.0</v>
      </c>
      <c r="M415" s="18">
        <v>1.875</v>
      </c>
      <c r="N415" s="15" t="s">
        <v>70</v>
      </c>
      <c r="O415" s="19">
        <f t="shared" si="1"/>
        <v>0</v>
      </c>
      <c r="P415" s="19">
        <f t="shared" si="4"/>
        <v>4.041000084</v>
      </c>
    </row>
    <row r="416">
      <c r="A416" s="8">
        <f t="shared" si="3"/>
        <v>415</v>
      </c>
      <c r="B416" s="8" t="s">
        <v>35</v>
      </c>
      <c r="C416" s="8" t="s">
        <v>19</v>
      </c>
      <c r="D416" s="8" t="s">
        <v>1349</v>
      </c>
      <c r="E416" s="8" t="s">
        <v>21</v>
      </c>
      <c r="F416" s="8" t="s">
        <v>22</v>
      </c>
      <c r="G416" s="8" t="s">
        <v>29</v>
      </c>
      <c r="H416" s="8"/>
      <c r="I416" s="9">
        <v>-1.5</v>
      </c>
      <c r="J416" s="9">
        <v>0.2</v>
      </c>
      <c r="K416" s="9">
        <v>0.2</v>
      </c>
      <c r="L416" s="10">
        <v>45619.0</v>
      </c>
      <c r="M416" s="11">
        <v>1.925</v>
      </c>
      <c r="N416" s="8" t="s">
        <v>33</v>
      </c>
      <c r="O416" s="12">
        <f t="shared" si="1"/>
        <v>0.185</v>
      </c>
      <c r="P416" s="12">
        <f t="shared" si="4"/>
        <v>4.226000084</v>
      </c>
    </row>
    <row r="417">
      <c r="A417" s="15">
        <f t="shared" si="3"/>
        <v>416</v>
      </c>
      <c r="B417" s="15" t="s">
        <v>26</v>
      </c>
      <c r="C417" s="15" t="s">
        <v>19</v>
      </c>
      <c r="D417" s="15" t="s">
        <v>1350</v>
      </c>
      <c r="E417" s="15" t="s">
        <v>432</v>
      </c>
      <c r="F417" s="15" t="s">
        <v>598</v>
      </c>
      <c r="G417" s="15" t="s">
        <v>29</v>
      </c>
      <c r="H417" s="15"/>
      <c r="I417" s="16">
        <v>-3.0</v>
      </c>
      <c r="J417" s="16">
        <v>0.4</v>
      </c>
      <c r="K417" s="16">
        <v>0.4</v>
      </c>
      <c r="L417" s="17">
        <v>45619.0</v>
      </c>
      <c r="M417" s="18">
        <v>1.9</v>
      </c>
      <c r="N417" s="15" t="s">
        <v>33</v>
      </c>
      <c r="O417" s="19">
        <f t="shared" si="1"/>
        <v>0.36</v>
      </c>
      <c r="P417" s="19">
        <f t="shared" si="4"/>
        <v>4.586000084</v>
      </c>
    </row>
    <row r="418">
      <c r="A418" s="8">
        <f t="shared" si="3"/>
        <v>417</v>
      </c>
      <c r="B418" s="8" t="s">
        <v>35</v>
      </c>
      <c r="C418" s="8" t="s">
        <v>19</v>
      </c>
      <c r="D418" s="8" t="s">
        <v>1351</v>
      </c>
      <c r="E418" s="8" t="s">
        <v>93</v>
      </c>
      <c r="F418" s="8" t="s">
        <v>22</v>
      </c>
      <c r="G418" s="8" t="s">
        <v>29</v>
      </c>
      <c r="H418" s="8"/>
      <c r="I418" s="9">
        <v>-1.75</v>
      </c>
      <c r="J418" s="9">
        <v>0.2</v>
      </c>
      <c r="K418" s="9">
        <v>0.1892</v>
      </c>
      <c r="L418" s="10">
        <v>45619.0</v>
      </c>
      <c r="M418" s="11">
        <v>1.775</v>
      </c>
      <c r="N418" s="8" t="s">
        <v>33</v>
      </c>
      <c r="O418" s="12">
        <f t="shared" si="1"/>
        <v>0.14663</v>
      </c>
      <c r="P418" s="12">
        <f t="shared" si="4"/>
        <v>4.732630084</v>
      </c>
    </row>
    <row r="419">
      <c r="A419" s="15">
        <f t="shared" si="3"/>
        <v>418</v>
      </c>
      <c r="B419" s="15" t="s">
        <v>35</v>
      </c>
      <c r="C419" s="15" t="s">
        <v>19</v>
      </c>
      <c r="D419" s="15" t="s">
        <v>1352</v>
      </c>
      <c r="E419" s="15" t="s">
        <v>38</v>
      </c>
      <c r="F419" s="15" t="s">
        <v>22</v>
      </c>
      <c r="G419" s="15" t="s">
        <v>29</v>
      </c>
      <c r="H419" s="15"/>
      <c r="I419" s="16">
        <v>-0.75</v>
      </c>
      <c r="J419" s="16">
        <v>0.2</v>
      </c>
      <c r="K419" s="16">
        <v>0.2</v>
      </c>
      <c r="L419" s="17">
        <v>45619.0</v>
      </c>
      <c r="M419" s="18">
        <v>2.1</v>
      </c>
      <c r="N419" s="15" t="s">
        <v>79</v>
      </c>
      <c r="O419" s="19">
        <f t="shared" si="1"/>
        <v>-0.1</v>
      </c>
      <c r="P419" s="19">
        <f t="shared" si="4"/>
        <v>4.632630084</v>
      </c>
    </row>
    <row r="420">
      <c r="A420" s="8">
        <f t="shared" si="3"/>
        <v>419</v>
      </c>
      <c r="B420" s="8" t="s">
        <v>35</v>
      </c>
      <c r="C420" s="8" t="s">
        <v>19</v>
      </c>
      <c r="D420" s="8" t="s">
        <v>1353</v>
      </c>
      <c r="E420" s="8" t="s">
        <v>853</v>
      </c>
      <c r="F420" s="8" t="s">
        <v>22</v>
      </c>
      <c r="G420" s="8" t="s">
        <v>29</v>
      </c>
      <c r="H420" s="8"/>
      <c r="I420" s="9">
        <v>-0.75</v>
      </c>
      <c r="J420" s="9">
        <v>0.4</v>
      </c>
      <c r="K420" s="9">
        <f>47/56*0.4</f>
        <v>0.3357142857</v>
      </c>
      <c r="L420" s="10">
        <v>45619.0</v>
      </c>
      <c r="M420" s="11">
        <v>1.8</v>
      </c>
      <c r="N420" s="8" t="s">
        <v>79</v>
      </c>
      <c r="O420" s="12">
        <f t="shared" si="1"/>
        <v>-0.1678571429</v>
      </c>
      <c r="P420" s="12">
        <f t="shared" si="4"/>
        <v>4.464772941</v>
      </c>
    </row>
    <row r="421">
      <c r="A421" s="15">
        <f t="shared" si="3"/>
        <v>420</v>
      </c>
      <c r="B421" s="15" t="s">
        <v>35</v>
      </c>
      <c r="C421" s="15" t="s">
        <v>40</v>
      </c>
      <c r="D421" s="15" t="s">
        <v>1354</v>
      </c>
      <c r="E421" s="15" t="s">
        <v>99</v>
      </c>
      <c r="F421" s="15" t="s">
        <v>22</v>
      </c>
      <c r="G421" s="15" t="s">
        <v>29</v>
      </c>
      <c r="H421" s="15" t="s">
        <v>24</v>
      </c>
      <c r="I421" s="16">
        <v>-1.0</v>
      </c>
      <c r="J421" s="16">
        <v>0.4</v>
      </c>
      <c r="K421" s="16">
        <f>0.4*30/56</f>
        <v>0.2142857143</v>
      </c>
      <c r="L421" s="17">
        <v>45619.0</v>
      </c>
      <c r="M421" s="18">
        <v>1.9</v>
      </c>
      <c r="N421" s="15" t="s">
        <v>25</v>
      </c>
      <c r="O421" s="19">
        <f t="shared" si="1"/>
        <v>-0.2142857143</v>
      </c>
      <c r="P421" s="19">
        <f t="shared" si="4"/>
        <v>4.250487227</v>
      </c>
    </row>
    <row r="422">
      <c r="A422" s="8">
        <f t="shared" si="3"/>
        <v>421</v>
      </c>
      <c r="B422" s="8" t="s">
        <v>35</v>
      </c>
      <c r="C422" s="8" t="s">
        <v>19</v>
      </c>
      <c r="D422" s="8" t="s">
        <v>1355</v>
      </c>
      <c r="E422" s="8" t="s">
        <v>38</v>
      </c>
      <c r="F422" s="8" t="s">
        <v>22</v>
      </c>
      <c r="G422" s="8" t="s">
        <v>29</v>
      </c>
      <c r="H422" s="8" t="s">
        <v>39</v>
      </c>
      <c r="I422" s="9">
        <v>-0.75</v>
      </c>
      <c r="J422" s="9">
        <v>0.2</v>
      </c>
      <c r="K422" s="9">
        <v>0.2</v>
      </c>
      <c r="L422" s="10">
        <v>45619.0</v>
      </c>
      <c r="M422" s="11">
        <v>1.85</v>
      </c>
      <c r="N422" s="8" t="s">
        <v>25</v>
      </c>
      <c r="O422" s="12">
        <f t="shared" si="1"/>
        <v>-0.2</v>
      </c>
      <c r="P422" s="12">
        <f t="shared" si="4"/>
        <v>4.050487227</v>
      </c>
    </row>
    <row r="423">
      <c r="A423" s="15">
        <f t="shared" si="3"/>
        <v>422</v>
      </c>
      <c r="B423" s="15" t="s">
        <v>35</v>
      </c>
      <c r="C423" s="15" t="s">
        <v>19</v>
      </c>
      <c r="D423" s="15" t="s">
        <v>1356</v>
      </c>
      <c r="E423" s="15" t="s">
        <v>38</v>
      </c>
      <c r="F423" s="15" t="s">
        <v>22</v>
      </c>
      <c r="G423" s="15" t="s">
        <v>29</v>
      </c>
      <c r="H423" s="15" t="s">
        <v>24</v>
      </c>
      <c r="I423" s="16">
        <v>-1.0</v>
      </c>
      <c r="J423" s="16">
        <v>0.4</v>
      </c>
      <c r="K423" s="16">
        <f>0.4*49/56</f>
        <v>0.35</v>
      </c>
      <c r="L423" s="17">
        <v>45619.0</v>
      </c>
      <c r="M423" s="18">
        <v>1.85</v>
      </c>
      <c r="N423" s="15" t="s">
        <v>33</v>
      </c>
      <c r="O423" s="19">
        <f t="shared" si="1"/>
        <v>0.2975</v>
      </c>
      <c r="P423" s="19">
        <f t="shared" si="4"/>
        <v>4.347987227</v>
      </c>
    </row>
    <row r="424">
      <c r="A424" s="8">
        <f t="shared" si="3"/>
        <v>423</v>
      </c>
      <c r="B424" s="8" t="s">
        <v>35</v>
      </c>
      <c r="C424" s="8" t="s">
        <v>19</v>
      </c>
      <c r="D424" s="8" t="s">
        <v>1357</v>
      </c>
      <c r="E424" s="8" t="s">
        <v>583</v>
      </c>
      <c r="F424" s="8" t="s">
        <v>22</v>
      </c>
      <c r="G424" s="8" t="s">
        <v>29</v>
      </c>
      <c r="H424" s="8" t="s">
        <v>24</v>
      </c>
      <c r="I424" s="9">
        <v>-2.75</v>
      </c>
      <c r="J424" s="9">
        <v>0.2</v>
      </c>
      <c r="K424" s="9">
        <f>0.2*23/56</f>
        <v>0.08214285714</v>
      </c>
      <c r="L424" s="10">
        <v>45619.0</v>
      </c>
      <c r="M424" s="11">
        <v>1.775</v>
      </c>
      <c r="N424" s="8" t="s">
        <v>79</v>
      </c>
      <c r="O424" s="12">
        <f t="shared" si="1"/>
        <v>-0.04107142857</v>
      </c>
      <c r="P424" s="12">
        <f t="shared" si="4"/>
        <v>4.306915799</v>
      </c>
    </row>
    <row r="425">
      <c r="A425" s="15">
        <f t="shared" si="3"/>
        <v>424</v>
      </c>
      <c r="B425" s="15" t="s">
        <v>35</v>
      </c>
      <c r="C425" s="15" t="s">
        <v>19</v>
      </c>
      <c r="D425" s="15" t="s">
        <v>1358</v>
      </c>
      <c r="E425" s="15" t="s">
        <v>93</v>
      </c>
      <c r="F425" s="15" t="s">
        <v>22</v>
      </c>
      <c r="G425" s="15" t="s">
        <v>29</v>
      </c>
      <c r="H425" s="15" t="s">
        <v>39</v>
      </c>
      <c r="I425" s="16">
        <v>-0.75</v>
      </c>
      <c r="J425" s="16">
        <v>0.2</v>
      </c>
      <c r="K425" s="16">
        <f>10*0.2/56</f>
        <v>0.03571428571</v>
      </c>
      <c r="L425" s="17">
        <v>45619.0</v>
      </c>
      <c r="M425" s="18">
        <v>2.125</v>
      </c>
      <c r="N425" s="15" t="s">
        <v>33</v>
      </c>
      <c r="O425" s="19">
        <f t="shared" si="1"/>
        <v>0.04017857143</v>
      </c>
      <c r="P425" s="19">
        <f t="shared" si="4"/>
        <v>4.34709437</v>
      </c>
    </row>
    <row r="426">
      <c r="A426" s="8">
        <f t="shared" si="3"/>
        <v>425</v>
      </c>
      <c r="B426" s="8" t="s">
        <v>35</v>
      </c>
      <c r="C426" s="8" t="s">
        <v>19</v>
      </c>
      <c r="D426" s="8" t="s">
        <v>1359</v>
      </c>
      <c r="E426" s="8" t="s">
        <v>193</v>
      </c>
      <c r="F426" s="8" t="s">
        <v>22</v>
      </c>
      <c r="G426" s="8" t="s">
        <v>29</v>
      </c>
      <c r="H426" s="8" t="s">
        <v>24</v>
      </c>
      <c r="I426" s="9">
        <v>-0.75</v>
      </c>
      <c r="J426" s="9">
        <v>0.4</v>
      </c>
      <c r="K426" s="9">
        <f>0.4*41/56</f>
        <v>0.2928571429</v>
      </c>
      <c r="L426" s="10">
        <v>45619.0</v>
      </c>
      <c r="M426" s="11">
        <v>2.0</v>
      </c>
      <c r="N426" s="8" t="s">
        <v>79</v>
      </c>
      <c r="O426" s="12">
        <f t="shared" si="1"/>
        <v>-0.1464285714</v>
      </c>
      <c r="P426" s="12">
        <f t="shared" si="4"/>
        <v>4.200665799</v>
      </c>
    </row>
    <row r="427">
      <c r="A427" s="15">
        <f t="shared" si="3"/>
        <v>426</v>
      </c>
      <c r="B427" s="15" t="s">
        <v>35</v>
      </c>
      <c r="C427" s="15" t="s">
        <v>40</v>
      </c>
      <c r="D427" s="15" t="s">
        <v>1360</v>
      </c>
      <c r="E427" s="15" t="s">
        <v>44</v>
      </c>
      <c r="F427" s="15" t="s">
        <v>22</v>
      </c>
      <c r="G427" s="15" t="s">
        <v>29</v>
      </c>
      <c r="H427" s="15" t="s">
        <v>39</v>
      </c>
      <c r="I427" s="16">
        <v>-3.75</v>
      </c>
      <c r="J427" s="16">
        <v>0.2</v>
      </c>
      <c r="K427" s="16">
        <f>7/56*0.2</f>
        <v>0.025</v>
      </c>
      <c r="L427" s="17">
        <v>45619.0</v>
      </c>
      <c r="M427" s="18">
        <v>1.775</v>
      </c>
      <c r="N427" s="15" t="s">
        <v>25</v>
      </c>
      <c r="O427" s="19">
        <f t="shared" si="1"/>
        <v>-0.025</v>
      </c>
      <c r="P427" s="19">
        <f t="shared" si="4"/>
        <v>4.175665799</v>
      </c>
    </row>
    <row r="428">
      <c r="A428" s="8">
        <f t="shared" si="3"/>
        <v>427</v>
      </c>
      <c r="B428" s="8" t="s">
        <v>35</v>
      </c>
      <c r="C428" s="8" t="s">
        <v>19</v>
      </c>
      <c r="D428" s="8" t="s">
        <v>1361</v>
      </c>
      <c r="E428" s="8" t="s">
        <v>50</v>
      </c>
      <c r="F428" s="8" t="s">
        <v>22</v>
      </c>
      <c r="G428" s="8" t="s">
        <v>29</v>
      </c>
      <c r="H428" s="8" t="s">
        <v>39</v>
      </c>
      <c r="I428" s="9">
        <v>-1.0</v>
      </c>
      <c r="J428" s="9">
        <v>0.2</v>
      </c>
      <c r="K428" s="9">
        <f>0.2*44/56</f>
        <v>0.1571428571</v>
      </c>
      <c r="L428" s="10">
        <v>45619.0</v>
      </c>
      <c r="M428" s="11">
        <v>1.8</v>
      </c>
      <c r="N428" s="8" t="s">
        <v>33</v>
      </c>
      <c r="O428" s="12">
        <f t="shared" si="1"/>
        <v>0.1257142857</v>
      </c>
      <c r="P428" s="12">
        <f t="shared" si="4"/>
        <v>4.301380084</v>
      </c>
    </row>
    <row r="429">
      <c r="A429" s="15">
        <f t="shared" si="3"/>
        <v>428</v>
      </c>
      <c r="B429" s="15" t="s">
        <v>35</v>
      </c>
      <c r="C429" s="15" t="s">
        <v>19</v>
      </c>
      <c r="D429" s="15" t="s">
        <v>1362</v>
      </c>
      <c r="E429" s="15" t="s">
        <v>93</v>
      </c>
      <c r="F429" s="15" t="s">
        <v>22</v>
      </c>
      <c r="G429" s="15" t="s">
        <v>29</v>
      </c>
      <c r="H429" s="15" t="s">
        <v>24</v>
      </c>
      <c r="I429" s="16">
        <v>-1.25</v>
      </c>
      <c r="J429" s="16">
        <v>0.4</v>
      </c>
      <c r="K429" s="16">
        <f>0.4*53/56</f>
        <v>0.3785714286</v>
      </c>
      <c r="L429" s="17">
        <v>45619.0</v>
      </c>
      <c r="M429" s="18">
        <v>1.925</v>
      </c>
      <c r="N429" s="15" t="s">
        <v>30</v>
      </c>
      <c r="O429" s="19">
        <f t="shared" si="1"/>
        <v>0.1750892857</v>
      </c>
      <c r="P429" s="19">
        <f t="shared" si="4"/>
        <v>4.47646937</v>
      </c>
    </row>
    <row r="430">
      <c r="A430" s="8">
        <f t="shared" si="3"/>
        <v>429</v>
      </c>
      <c r="B430" s="8" t="s">
        <v>35</v>
      </c>
      <c r="C430" s="8" t="s">
        <v>19</v>
      </c>
      <c r="D430" s="8" t="s">
        <v>1363</v>
      </c>
      <c r="E430" s="8" t="s">
        <v>403</v>
      </c>
      <c r="F430" s="8" t="s">
        <v>22</v>
      </c>
      <c r="G430" s="8" t="s">
        <v>29</v>
      </c>
      <c r="H430" s="8" t="s">
        <v>24</v>
      </c>
      <c r="I430" s="9">
        <v>-1.25</v>
      </c>
      <c r="J430" s="9">
        <v>0.4</v>
      </c>
      <c r="K430" s="9">
        <f>0.4*19/56</f>
        <v>0.1357142857</v>
      </c>
      <c r="L430" s="10">
        <v>45619.0</v>
      </c>
      <c r="M430" s="11">
        <v>1.975</v>
      </c>
      <c r="N430" s="8" t="s">
        <v>25</v>
      </c>
      <c r="O430" s="12">
        <f t="shared" si="1"/>
        <v>-0.1357142857</v>
      </c>
      <c r="P430" s="12">
        <f t="shared" si="4"/>
        <v>4.340755084</v>
      </c>
    </row>
    <row r="431">
      <c r="A431" s="15">
        <f t="shared" si="3"/>
        <v>430</v>
      </c>
      <c r="B431" s="15" t="s">
        <v>129</v>
      </c>
      <c r="C431" s="15" t="s">
        <v>19</v>
      </c>
      <c r="D431" s="15" t="s">
        <v>1364</v>
      </c>
      <c r="E431" s="15" t="s">
        <v>78</v>
      </c>
      <c r="F431" s="15" t="s">
        <v>22</v>
      </c>
      <c r="G431" s="15" t="s">
        <v>892</v>
      </c>
      <c r="H431" s="15" t="s">
        <v>24</v>
      </c>
      <c r="I431" s="16">
        <v>0.0</v>
      </c>
      <c r="J431" s="16">
        <v>0.2</v>
      </c>
      <c r="K431" s="16">
        <v>0.2</v>
      </c>
      <c r="L431" s="17">
        <v>45619.0</v>
      </c>
      <c r="M431" s="18">
        <v>1.75</v>
      </c>
      <c r="N431" s="15" t="s">
        <v>33</v>
      </c>
      <c r="O431" s="19">
        <f t="shared" si="1"/>
        <v>0.15</v>
      </c>
      <c r="P431" s="19">
        <f t="shared" si="4"/>
        <v>4.490755084</v>
      </c>
    </row>
    <row r="432">
      <c r="A432" s="8">
        <f t="shared" si="3"/>
        <v>431</v>
      </c>
      <c r="B432" s="8" t="s">
        <v>35</v>
      </c>
      <c r="C432" s="8" t="s">
        <v>19</v>
      </c>
      <c r="D432" s="8" t="s">
        <v>1365</v>
      </c>
      <c r="E432" s="8" t="s">
        <v>374</v>
      </c>
      <c r="F432" s="8" t="s">
        <v>22</v>
      </c>
      <c r="G432" s="8" t="s">
        <v>29</v>
      </c>
      <c r="H432" s="8" t="s">
        <v>24</v>
      </c>
      <c r="I432" s="9">
        <v>-1.0</v>
      </c>
      <c r="J432" s="9">
        <v>0.4</v>
      </c>
      <c r="K432" s="9">
        <f>0.4*40/56</f>
        <v>0.2857142857</v>
      </c>
      <c r="L432" s="10">
        <v>45619.0</v>
      </c>
      <c r="M432" s="11">
        <v>1.725</v>
      </c>
      <c r="N432" s="8" t="s">
        <v>33</v>
      </c>
      <c r="O432" s="12">
        <f t="shared" si="1"/>
        <v>0.2071428571</v>
      </c>
      <c r="P432" s="12">
        <f t="shared" si="4"/>
        <v>4.697897941</v>
      </c>
    </row>
    <row r="433">
      <c r="A433" s="15">
        <f t="shared" si="3"/>
        <v>432</v>
      </c>
      <c r="B433" s="15" t="s">
        <v>35</v>
      </c>
      <c r="C433" s="15" t="s">
        <v>19</v>
      </c>
      <c r="D433" s="15" t="s">
        <v>1366</v>
      </c>
      <c r="E433" s="15" t="s">
        <v>93</v>
      </c>
      <c r="F433" s="15" t="s">
        <v>22</v>
      </c>
      <c r="G433" s="15" t="s">
        <v>29</v>
      </c>
      <c r="H433" s="15" t="s">
        <v>39</v>
      </c>
      <c r="I433" s="16">
        <v>-1.75</v>
      </c>
      <c r="J433" s="16">
        <v>0.2</v>
      </c>
      <c r="K433" s="16">
        <v>0.1857</v>
      </c>
      <c r="L433" s="17">
        <v>45620.0</v>
      </c>
      <c r="M433" s="18">
        <v>1.85</v>
      </c>
      <c r="N433" s="15" t="s">
        <v>79</v>
      </c>
      <c r="O433" s="19">
        <f t="shared" si="1"/>
        <v>-0.09285</v>
      </c>
      <c r="P433" s="19">
        <f t="shared" si="4"/>
        <v>4.605047941</v>
      </c>
    </row>
    <row r="434">
      <c r="A434" s="8">
        <f t="shared" si="3"/>
        <v>433</v>
      </c>
      <c r="B434" s="8" t="s">
        <v>35</v>
      </c>
      <c r="C434" s="8" t="s">
        <v>19</v>
      </c>
      <c r="D434" s="8" t="s">
        <v>1367</v>
      </c>
      <c r="E434" s="8" t="s">
        <v>1368</v>
      </c>
      <c r="F434" s="8" t="s">
        <v>22</v>
      </c>
      <c r="G434" s="8" t="s">
        <v>29</v>
      </c>
      <c r="H434" s="8" t="s">
        <v>39</v>
      </c>
      <c r="I434" s="9">
        <v>-1.0</v>
      </c>
      <c r="J434" s="9">
        <v>0.2</v>
      </c>
      <c r="K434" s="9">
        <v>0.1857</v>
      </c>
      <c r="L434" s="10">
        <v>45620.0</v>
      </c>
      <c r="M434" s="11">
        <v>1.85</v>
      </c>
      <c r="N434" s="8" t="s">
        <v>70</v>
      </c>
      <c r="O434" s="12">
        <f t="shared" si="1"/>
        <v>0</v>
      </c>
      <c r="P434" s="12">
        <f t="shared" si="4"/>
        <v>4.605047941</v>
      </c>
    </row>
    <row r="435">
      <c r="A435" s="15">
        <f t="shared" si="3"/>
        <v>434</v>
      </c>
      <c r="B435" s="15" t="s">
        <v>35</v>
      </c>
      <c r="C435" s="15" t="s">
        <v>40</v>
      </c>
      <c r="D435" s="15" t="s">
        <v>1369</v>
      </c>
      <c r="E435" s="15" t="s">
        <v>245</v>
      </c>
      <c r="F435" s="15" t="s">
        <v>22</v>
      </c>
      <c r="G435" s="15" t="s">
        <v>29</v>
      </c>
      <c r="H435" s="15" t="s">
        <v>24</v>
      </c>
      <c r="I435" s="16">
        <v>-3.75</v>
      </c>
      <c r="J435" s="16">
        <v>0.4</v>
      </c>
      <c r="K435" s="16">
        <v>0.3214</v>
      </c>
      <c r="L435" s="17">
        <v>45620.0</v>
      </c>
      <c r="M435" s="18">
        <v>1.95</v>
      </c>
      <c r="N435" s="15" t="s">
        <v>33</v>
      </c>
      <c r="O435" s="19">
        <f t="shared" si="1"/>
        <v>0.30533</v>
      </c>
      <c r="P435" s="19">
        <f t="shared" si="4"/>
        <v>4.910377941</v>
      </c>
    </row>
    <row r="436">
      <c r="A436" s="8">
        <f t="shared" si="3"/>
        <v>435</v>
      </c>
      <c r="B436" s="8" t="s">
        <v>35</v>
      </c>
      <c r="C436" s="8" t="s">
        <v>40</v>
      </c>
      <c r="D436" s="8" t="s">
        <v>1370</v>
      </c>
      <c r="E436" s="8" t="s">
        <v>99</v>
      </c>
      <c r="F436" s="8" t="s">
        <v>22</v>
      </c>
      <c r="G436" s="8" t="s">
        <v>29</v>
      </c>
      <c r="H436" s="8" t="s">
        <v>39</v>
      </c>
      <c r="I436" s="9">
        <v>-4.0</v>
      </c>
      <c r="J436" s="9">
        <v>0.2</v>
      </c>
      <c r="K436" s="9">
        <v>0.2</v>
      </c>
      <c r="L436" s="10">
        <v>45620.0</v>
      </c>
      <c r="M436" s="11">
        <v>1.875</v>
      </c>
      <c r="N436" s="8" t="s">
        <v>33</v>
      </c>
      <c r="O436" s="12">
        <f t="shared" si="1"/>
        <v>0.175</v>
      </c>
      <c r="P436" s="12">
        <f t="shared" si="4"/>
        <v>5.085377941</v>
      </c>
    </row>
    <row r="437">
      <c r="A437" s="15">
        <f t="shared" si="3"/>
        <v>436</v>
      </c>
      <c r="B437" s="15" t="s">
        <v>26</v>
      </c>
      <c r="C437" s="15" t="s">
        <v>40</v>
      </c>
      <c r="D437" s="15" t="s">
        <v>1371</v>
      </c>
      <c r="E437" s="15" t="s">
        <v>99</v>
      </c>
      <c r="F437" s="15" t="s">
        <v>598</v>
      </c>
      <c r="G437" s="15" t="s">
        <v>29</v>
      </c>
      <c r="H437" s="15" t="s">
        <v>24</v>
      </c>
      <c r="I437" s="16">
        <v>-3.75</v>
      </c>
      <c r="J437" s="16">
        <v>0.4</v>
      </c>
      <c r="K437" s="16">
        <v>0.015</v>
      </c>
      <c r="L437" s="17">
        <v>45620.0</v>
      </c>
      <c r="M437" s="18">
        <v>1.95</v>
      </c>
      <c r="N437" s="15" t="s">
        <v>25</v>
      </c>
      <c r="O437" s="19">
        <f t="shared" si="1"/>
        <v>-0.015</v>
      </c>
      <c r="P437" s="19">
        <f t="shared" si="4"/>
        <v>5.070377941</v>
      </c>
    </row>
    <row r="438">
      <c r="A438" s="8">
        <f t="shared" si="3"/>
        <v>437</v>
      </c>
      <c r="B438" s="8" t="s">
        <v>35</v>
      </c>
      <c r="C438" s="8" t="s">
        <v>40</v>
      </c>
      <c r="D438" s="8" t="s">
        <v>1372</v>
      </c>
      <c r="E438" s="8" t="s">
        <v>93</v>
      </c>
      <c r="F438" s="8" t="s">
        <v>22</v>
      </c>
      <c r="G438" s="8" t="s">
        <v>29</v>
      </c>
      <c r="H438" s="8" t="s">
        <v>24</v>
      </c>
      <c r="I438" s="9">
        <v>-5.5</v>
      </c>
      <c r="J438" s="9">
        <v>0.4</v>
      </c>
      <c r="K438" s="9">
        <v>0.35</v>
      </c>
      <c r="L438" s="10">
        <v>45620.0</v>
      </c>
      <c r="M438" s="11">
        <v>1.85</v>
      </c>
      <c r="N438" s="8" t="s">
        <v>33</v>
      </c>
      <c r="O438" s="12">
        <f t="shared" si="1"/>
        <v>0.2975</v>
      </c>
      <c r="P438" s="12">
        <f t="shared" si="4"/>
        <v>5.367877941</v>
      </c>
    </row>
    <row r="439">
      <c r="A439" s="15">
        <f t="shared" si="3"/>
        <v>438</v>
      </c>
      <c r="B439" s="15" t="s">
        <v>35</v>
      </c>
      <c r="C439" s="15" t="s">
        <v>19</v>
      </c>
      <c r="D439" s="15" t="s">
        <v>1373</v>
      </c>
      <c r="E439" s="15" t="s">
        <v>245</v>
      </c>
      <c r="F439" s="15" t="s">
        <v>22</v>
      </c>
      <c r="G439" s="15" t="s">
        <v>29</v>
      </c>
      <c r="H439" s="15" t="s">
        <v>39</v>
      </c>
      <c r="I439" s="16">
        <v>-2.5</v>
      </c>
      <c r="J439" s="16">
        <v>0.2</v>
      </c>
      <c r="K439" s="16">
        <v>0.2</v>
      </c>
      <c r="L439" s="17">
        <v>45620.0</v>
      </c>
      <c r="M439" s="18">
        <v>1.9</v>
      </c>
      <c r="N439" s="15" t="s">
        <v>25</v>
      </c>
      <c r="O439" s="19">
        <f t="shared" si="1"/>
        <v>-0.2</v>
      </c>
      <c r="P439" s="19">
        <f t="shared" si="4"/>
        <v>5.167877941</v>
      </c>
    </row>
    <row r="440">
      <c r="A440" s="8">
        <f t="shared" si="3"/>
        <v>439</v>
      </c>
      <c r="B440" s="8" t="s">
        <v>35</v>
      </c>
      <c r="C440" s="8" t="s">
        <v>19</v>
      </c>
      <c r="D440" s="8" t="s">
        <v>1374</v>
      </c>
      <c r="E440" s="8" t="s">
        <v>196</v>
      </c>
      <c r="F440" s="8" t="s">
        <v>22</v>
      </c>
      <c r="G440" s="8" t="s">
        <v>29</v>
      </c>
      <c r="H440" s="8" t="s">
        <v>39</v>
      </c>
      <c r="I440" s="9">
        <v>-3.0</v>
      </c>
      <c r="J440" s="9">
        <v>0.2</v>
      </c>
      <c r="K440" s="9">
        <v>0.2</v>
      </c>
      <c r="L440" s="56">
        <v>45620.0</v>
      </c>
      <c r="M440" s="11">
        <v>1.725</v>
      </c>
      <c r="N440" s="8" t="s">
        <v>70</v>
      </c>
      <c r="O440" s="12">
        <f t="shared" si="1"/>
        <v>0</v>
      </c>
      <c r="P440" s="12">
        <f t="shared" si="4"/>
        <v>5.167877941</v>
      </c>
    </row>
    <row r="441">
      <c r="A441" s="15">
        <f t="shared" si="3"/>
        <v>440</v>
      </c>
      <c r="B441" s="15" t="s">
        <v>35</v>
      </c>
      <c r="C441" s="15" t="s">
        <v>19</v>
      </c>
      <c r="D441" s="15" t="s">
        <v>1375</v>
      </c>
      <c r="E441" s="15" t="s">
        <v>44</v>
      </c>
      <c r="F441" s="15" t="s">
        <v>22</v>
      </c>
      <c r="G441" s="15" t="s">
        <v>29</v>
      </c>
      <c r="H441" s="15" t="s">
        <v>24</v>
      </c>
      <c r="I441" s="16">
        <v>-1.0</v>
      </c>
      <c r="J441" s="16">
        <v>0.4</v>
      </c>
      <c r="K441" s="16">
        <v>0.4</v>
      </c>
      <c r="L441" s="17">
        <v>45620.0</v>
      </c>
      <c r="M441" s="18">
        <v>1.85</v>
      </c>
      <c r="N441" s="15" t="s">
        <v>33</v>
      </c>
      <c r="O441" s="19">
        <f t="shared" si="1"/>
        <v>0.34</v>
      </c>
      <c r="P441" s="19">
        <f t="shared" si="4"/>
        <v>5.507877941</v>
      </c>
    </row>
    <row r="442">
      <c r="A442" s="8">
        <f t="shared" si="3"/>
        <v>441</v>
      </c>
      <c r="B442" s="8" t="s">
        <v>35</v>
      </c>
      <c r="C442" s="8" t="s">
        <v>40</v>
      </c>
      <c r="D442" s="8" t="s">
        <v>1376</v>
      </c>
      <c r="E442" s="8" t="s">
        <v>106</v>
      </c>
      <c r="F442" s="8" t="s">
        <v>22</v>
      </c>
      <c r="G442" s="8" t="s">
        <v>29</v>
      </c>
      <c r="H442" s="8" t="s">
        <v>39</v>
      </c>
      <c r="I442" s="9">
        <v>-1.0</v>
      </c>
      <c r="J442" s="9">
        <v>0.2</v>
      </c>
      <c r="K442" s="9">
        <v>0.2</v>
      </c>
      <c r="L442" s="10">
        <v>45620.0</v>
      </c>
      <c r="M442" s="11">
        <v>1.9</v>
      </c>
      <c r="N442" s="8" t="s">
        <v>70</v>
      </c>
      <c r="O442" s="12">
        <f t="shared" si="1"/>
        <v>0</v>
      </c>
      <c r="P442" s="12">
        <f t="shared" si="4"/>
        <v>5.507877941</v>
      </c>
    </row>
    <row r="443">
      <c r="A443" s="15">
        <f t="shared" si="3"/>
        <v>442</v>
      </c>
      <c r="B443" s="15" t="s">
        <v>35</v>
      </c>
      <c r="C443" s="15" t="s">
        <v>19</v>
      </c>
      <c r="D443" s="15" t="s">
        <v>1377</v>
      </c>
      <c r="E443" s="15" t="s">
        <v>121</v>
      </c>
      <c r="F443" s="15" t="s">
        <v>22</v>
      </c>
      <c r="G443" s="15" t="s">
        <v>29</v>
      </c>
      <c r="H443" s="15" t="s">
        <v>24</v>
      </c>
      <c r="I443" s="16">
        <v>-1.0</v>
      </c>
      <c r="J443" s="16">
        <v>0.4</v>
      </c>
      <c r="K443" s="16">
        <v>0.4</v>
      </c>
      <c r="L443" s="17">
        <v>45620.0</v>
      </c>
      <c r="M443" s="18">
        <v>1.875</v>
      </c>
      <c r="N443" s="15" t="s">
        <v>33</v>
      </c>
      <c r="O443" s="19">
        <f t="shared" si="1"/>
        <v>0.35</v>
      </c>
      <c r="P443" s="19">
        <f t="shared" si="4"/>
        <v>5.857877941</v>
      </c>
    </row>
    <row r="444">
      <c r="A444" s="8">
        <f t="shared" si="3"/>
        <v>443</v>
      </c>
      <c r="B444" s="8" t="s">
        <v>35</v>
      </c>
      <c r="C444" s="8" t="s">
        <v>40</v>
      </c>
      <c r="D444" s="8" t="s">
        <v>1378</v>
      </c>
      <c r="E444" s="8" t="s">
        <v>50</v>
      </c>
      <c r="F444" s="8" t="s">
        <v>22</v>
      </c>
      <c r="G444" s="8" t="s">
        <v>29</v>
      </c>
      <c r="H444" s="8" t="s">
        <v>24</v>
      </c>
      <c r="I444" s="9">
        <v>-2.25</v>
      </c>
      <c r="J444" s="9">
        <v>0.4</v>
      </c>
      <c r="K444" s="9">
        <v>0.25</v>
      </c>
      <c r="L444" s="10">
        <v>45620.0</v>
      </c>
      <c r="M444" s="11">
        <v>1.95</v>
      </c>
      <c r="N444" s="8" t="s">
        <v>30</v>
      </c>
      <c r="O444" s="12">
        <f t="shared" si="1"/>
        <v>0.11875</v>
      </c>
      <c r="P444" s="12">
        <f t="shared" si="4"/>
        <v>5.976627941</v>
      </c>
    </row>
    <row r="445">
      <c r="A445" s="15">
        <f t="shared" si="3"/>
        <v>444</v>
      </c>
      <c r="B445" s="15" t="s">
        <v>35</v>
      </c>
      <c r="C445" s="15" t="s">
        <v>19</v>
      </c>
      <c r="D445" s="15" t="s">
        <v>1379</v>
      </c>
      <c r="E445" s="15" t="s">
        <v>612</v>
      </c>
      <c r="F445" s="15" t="s">
        <v>22</v>
      </c>
      <c r="G445" s="15" t="s">
        <v>29</v>
      </c>
      <c r="H445" s="15" t="s">
        <v>24</v>
      </c>
      <c r="I445" s="16">
        <v>-1.0</v>
      </c>
      <c r="J445" s="16">
        <v>0.4</v>
      </c>
      <c r="K445" s="16">
        <v>0.1928</v>
      </c>
      <c r="L445" s="17">
        <v>45620.0</v>
      </c>
      <c r="M445" s="18">
        <v>1.85</v>
      </c>
      <c r="N445" s="15" t="s">
        <v>25</v>
      </c>
      <c r="O445" s="19">
        <f t="shared" si="1"/>
        <v>-0.1928</v>
      </c>
      <c r="P445" s="19">
        <f t="shared" si="4"/>
        <v>5.783827941</v>
      </c>
    </row>
    <row r="446">
      <c r="A446" s="8">
        <f t="shared" si="3"/>
        <v>445</v>
      </c>
      <c r="B446" s="8" t="s">
        <v>129</v>
      </c>
      <c r="C446" s="8" t="s">
        <v>40</v>
      </c>
      <c r="D446" s="8" t="s">
        <v>1380</v>
      </c>
      <c r="E446" s="8" t="s">
        <v>66</v>
      </c>
      <c r="F446" s="8" t="s">
        <v>22</v>
      </c>
      <c r="G446" s="8" t="s">
        <v>892</v>
      </c>
      <c r="H446" s="8" t="s">
        <v>24</v>
      </c>
      <c r="I446" s="9">
        <v>0.0</v>
      </c>
      <c r="J446" s="9">
        <v>0.2</v>
      </c>
      <c r="K446" s="9">
        <v>0.1642</v>
      </c>
      <c r="L446" s="10">
        <v>45620.0</v>
      </c>
      <c r="M446" s="11">
        <v>1.825</v>
      </c>
      <c r="N446" s="8" t="s">
        <v>33</v>
      </c>
      <c r="O446" s="12">
        <f t="shared" si="1"/>
        <v>0.135465</v>
      </c>
      <c r="P446" s="12">
        <f t="shared" si="4"/>
        <v>5.919292941</v>
      </c>
    </row>
    <row r="447">
      <c r="A447" s="15">
        <f t="shared" si="3"/>
        <v>446</v>
      </c>
      <c r="B447" s="15" t="s">
        <v>35</v>
      </c>
      <c r="C447" s="15" t="s">
        <v>19</v>
      </c>
      <c r="D447" s="15" t="s">
        <v>1381</v>
      </c>
      <c r="E447" s="15" t="s">
        <v>93</v>
      </c>
      <c r="F447" s="15" t="s">
        <v>22</v>
      </c>
      <c r="G447" s="15" t="s">
        <v>29</v>
      </c>
      <c r="H447" s="15" t="s">
        <v>39</v>
      </c>
      <c r="I447" s="16">
        <v>-0.75</v>
      </c>
      <c r="J447" s="16">
        <v>0.2</v>
      </c>
      <c r="K447" s="16">
        <v>0.078</v>
      </c>
      <c r="L447" s="17">
        <v>45620.0</v>
      </c>
      <c r="M447" s="18">
        <v>1.725</v>
      </c>
      <c r="N447" s="15" t="s">
        <v>79</v>
      </c>
      <c r="O447" s="19">
        <f t="shared" si="1"/>
        <v>-0.039</v>
      </c>
      <c r="P447" s="19">
        <f t="shared" si="4"/>
        <v>5.880292941</v>
      </c>
    </row>
    <row r="448">
      <c r="A448" s="8">
        <f t="shared" si="3"/>
        <v>447</v>
      </c>
      <c r="B448" s="8" t="s">
        <v>35</v>
      </c>
      <c r="C448" s="8" t="s">
        <v>19</v>
      </c>
      <c r="D448" s="8" t="s">
        <v>1382</v>
      </c>
      <c r="E448" s="8" t="s">
        <v>124</v>
      </c>
      <c r="F448" s="8" t="s">
        <v>22</v>
      </c>
      <c r="G448" s="8" t="s">
        <v>29</v>
      </c>
      <c r="H448" s="8" t="s">
        <v>24</v>
      </c>
      <c r="I448" s="9">
        <v>-0.75</v>
      </c>
      <c r="J448" s="9">
        <v>0.4</v>
      </c>
      <c r="K448" s="9">
        <v>0.3214</v>
      </c>
      <c r="L448" s="56">
        <v>45620.0</v>
      </c>
      <c r="M448" s="11">
        <v>1.95</v>
      </c>
      <c r="N448" s="8" t="s">
        <v>79</v>
      </c>
      <c r="O448" s="12">
        <f t="shared" si="1"/>
        <v>-0.1607</v>
      </c>
      <c r="P448" s="12">
        <f t="shared" si="4"/>
        <v>5.719592941</v>
      </c>
    </row>
    <row r="449">
      <c r="A449" s="15">
        <f t="shared" si="3"/>
        <v>448</v>
      </c>
      <c r="B449" s="15" t="s">
        <v>35</v>
      </c>
      <c r="C449" s="15" t="s">
        <v>19</v>
      </c>
      <c r="D449" s="15" t="s">
        <v>1383</v>
      </c>
      <c r="E449" s="15" t="s">
        <v>93</v>
      </c>
      <c r="F449" s="15" t="s">
        <v>22</v>
      </c>
      <c r="G449" s="15" t="s">
        <v>29</v>
      </c>
      <c r="H449" s="15" t="s">
        <v>24</v>
      </c>
      <c r="I449" s="16">
        <v>-0.75</v>
      </c>
      <c r="J449" s="16">
        <v>0.4</v>
      </c>
      <c r="K449" s="16">
        <v>0.3214</v>
      </c>
      <c r="L449" s="17">
        <v>45620.0</v>
      </c>
      <c r="M449" s="18">
        <v>2.075</v>
      </c>
      <c r="N449" s="15" t="s">
        <v>33</v>
      </c>
      <c r="O449" s="19">
        <f t="shared" si="1"/>
        <v>0.345505</v>
      </c>
      <c r="P449" s="19">
        <f t="shared" si="4"/>
        <v>6.065097941</v>
      </c>
    </row>
    <row r="450">
      <c r="A450" s="8">
        <f t="shared" si="3"/>
        <v>449</v>
      </c>
      <c r="B450" s="8" t="s">
        <v>35</v>
      </c>
      <c r="C450" s="8" t="s">
        <v>19</v>
      </c>
      <c r="D450" s="8" t="s">
        <v>1384</v>
      </c>
      <c r="E450" s="8" t="s">
        <v>74</v>
      </c>
      <c r="F450" s="8" t="s">
        <v>22</v>
      </c>
      <c r="G450" s="8" t="s">
        <v>29</v>
      </c>
      <c r="H450" s="8" t="s">
        <v>24</v>
      </c>
      <c r="I450" s="9">
        <v>-1.0</v>
      </c>
      <c r="J450" s="9">
        <v>0.4</v>
      </c>
      <c r="K450" s="9">
        <v>0.3285</v>
      </c>
      <c r="L450" s="10">
        <v>45620.0</v>
      </c>
      <c r="M450" s="11">
        <v>1.75</v>
      </c>
      <c r="N450" s="8" t="s">
        <v>33</v>
      </c>
      <c r="O450" s="12">
        <f t="shared" si="1"/>
        <v>0.246375</v>
      </c>
      <c r="P450" s="12">
        <f t="shared" si="4"/>
        <v>6.311472941</v>
      </c>
    </row>
    <row r="451">
      <c r="A451" s="15">
        <f t="shared" si="3"/>
        <v>450</v>
      </c>
      <c r="B451" s="15" t="s">
        <v>26</v>
      </c>
      <c r="C451" s="15" t="s">
        <v>40</v>
      </c>
      <c r="D451" s="15" t="s">
        <v>1385</v>
      </c>
      <c r="E451" s="15" t="s">
        <v>86</v>
      </c>
      <c r="F451" s="15" t="s">
        <v>598</v>
      </c>
      <c r="G451" s="15" t="s">
        <v>29</v>
      </c>
      <c r="H451" s="15" t="s">
        <v>24</v>
      </c>
      <c r="I451" s="16">
        <v>-3.25</v>
      </c>
      <c r="J451" s="16">
        <v>0.4</v>
      </c>
      <c r="K451" s="16">
        <v>0.4</v>
      </c>
      <c r="L451" s="17">
        <v>45620.0</v>
      </c>
      <c r="M451" s="18">
        <v>1.9</v>
      </c>
      <c r="N451" s="15" t="s">
        <v>30</v>
      </c>
      <c r="O451" s="19">
        <f t="shared" si="1"/>
        <v>0.18</v>
      </c>
      <c r="P451" s="19">
        <f t="shared" si="4"/>
        <v>6.491472941</v>
      </c>
    </row>
    <row r="452">
      <c r="A452" s="8">
        <f t="shared" si="3"/>
        <v>451</v>
      </c>
      <c r="B452" s="8" t="s">
        <v>35</v>
      </c>
      <c r="C452" s="8" t="s">
        <v>19</v>
      </c>
      <c r="D452" s="8" t="s">
        <v>1386</v>
      </c>
      <c r="E452" s="8" t="s">
        <v>93</v>
      </c>
      <c r="F452" s="8" t="s">
        <v>22</v>
      </c>
      <c r="G452" s="8" t="s">
        <v>29</v>
      </c>
      <c r="H452" s="8" t="s">
        <v>39</v>
      </c>
      <c r="I452" s="9">
        <v>-4.5</v>
      </c>
      <c r="J452" s="9">
        <v>0.2</v>
      </c>
      <c r="K452" s="9">
        <v>0.0178</v>
      </c>
      <c r="L452" s="10">
        <v>45620.0</v>
      </c>
      <c r="M452" s="11">
        <v>2.05</v>
      </c>
      <c r="N452" s="8" t="s">
        <v>33</v>
      </c>
      <c r="O452" s="12">
        <f t="shared" si="1"/>
        <v>0.01869</v>
      </c>
      <c r="P452" s="12">
        <f t="shared" si="4"/>
        <v>6.510162941</v>
      </c>
    </row>
    <row r="453">
      <c r="A453" s="15">
        <f t="shared" si="3"/>
        <v>452</v>
      </c>
      <c r="B453" s="15" t="s">
        <v>35</v>
      </c>
      <c r="C453" s="15" t="s">
        <v>19</v>
      </c>
      <c r="D453" s="15" t="s">
        <v>1387</v>
      </c>
      <c r="E453" s="15" t="s">
        <v>78</v>
      </c>
      <c r="F453" s="15" t="s">
        <v>22</v>
      </c>
      <c r="G453" s="15" t="s">
        <v>29</v>
      </c>
      <c r="H453" s="15" t="s">
        <v>24</v>
      </c>
      <c r="I453" s="16">
        <v>-3.5</v>
      </c>
      <c r="J453" s="16">
        <v>0.4</v>
      </c>
      <c r="K453" s="16">
        <v>0.3</v>
      </c>
      <c r="L453" s="17">
        <v>45620.0</v>
      </c>
      <c r="M453" s="18">
        <v>1.825</v>
      </c>
      <c r="N453" s="15" t="s">
        <v>33</v>
      </c>
      <c r="O453" s="19">
        <f t="shared" si="1"/>
        <v>0.2475</v>
      </c>
      <c r="P453" s="19">
        <f t="shared" si="4"/>
        <v>6.757662941</v>
      </c>
    </row>
    <row r="454">
      <c r="A454" s="8">
        <f t="shared" si="3"/>
        <v>453</v>
      </c>
      <c r="B454" s="8" t="s">
        <v>35</v>
      </c>
      <c r="C454" s="8" t="s">
        <v>19</v>
      </c>
      <c r="D454" s="8" t="s">
        <v>1388</v>
      </c>
      <c r="E454" s="8" t="s">
        <v>78</v>
      </c>
      <c r="F454" s="8" t="s">
        <v>22</v>
      </c>
      <c r="G454" s="8" t="s">
        <v>29</v>
      </c>
      <c r="H454" s="8" t="s">
        <v>24</v>
      </c>
      <c r="I454" s="9">
        <v>-1.0</v>
      </c>
      <c r="J454" s="9">
        <v>0.4</v>
      </c>
      <c r="K454" s="9">
        <v>0.3857</v>
      </c>
      <c r="L454" s="10">
        <v>45620.0</v>
      </c>
      <c r="M454" s="11">
        <v>1.85</v>
      </c>
      <c r="N454" s="8" t="s">
        <v>70</v>
      </c>
      <c r="O454" s="12">
        <f t="shared" si="1"/>
        <v>0</v>
      </c>
      <c r="P454" s="12">
        <f t="shared" si="4"/>
        <v>6.757662941</v>
      </c>
    </row>
    <row r="455">
      <c r="A455" s="15">
        <f t="shared" si="3"/>
        <v>454</v>
      </c>
      <c r="B455" s="15" t="s">
        <v>35</v>
      </c>
      <c r="C455" s="15" t="s">
        <v>19</v>
      </c>
      <c r="D455" s="15" t="s">
        <v>1389</v>
      </c>
      <c r="E455" s="15" t="s">
        <v>174</v>
      </c>
      <c r="F455" s="15" t="s">
        <v>22</v>
      </c>
      <c r="G455" s="15" t="s">
        <v>29</v>
      </c>
      <c r="H455" s="15" t="s">
        <v>24</v>
      </c>
      <c r="I455" s="16">
        <v>-0.75</v>
      </c>
      <c r="J455" s="16">
        <v>0.5</v>
      </c>
      <c r="K455" s="16">
        <v>0.4909</v>
      </c>
      <c r="L455" s="17">
        <v>45621.0</v>
      </c>
      <c r="M455" s="18">
        <v>2.05</v>
      </c>
      <c r="N455" s="15" t="s">
        <v>33</v>
      </c>
      <c r="O455" s="19">
        <f t="shared" si="1"/>
        <v>0.515445</v>
      </c>
      <c r="P455" s="19">
        <f t="shared" si="4"/>
        <v>7.273107941</v>
      </c>
    </row>
    <row r="456">
      <c r="A456" s="8">
        <f t="shared" si="3"/>
        <v>455</v>
      </c>
      <c r="B456" s="8" t="s">
        <v>35</v>
      </c>
      <c r="C456" s="8" t="s">
        <v>19</v>
      </c>
      <c r="D456" s="8" t="s">
        <v>1390</v>
      </c>
      <c r="E456" s="8" t="s">
        <v>96</v>
      </c>
      <c r="F456" s="8" t="s">
        <v>22</v>
      </c>
      <c r="G456" s="8" t="s">
        <v>29</v>
      </c>
      <c r="H456" s="8" t="s">
        <v>24</v>
      </c>
      <c r="I456" s="9">
        <v>-0.75</v>
      </c>
      <c r="J456" s="9">
        <v>0.5</v>
      </c>
      <c r="K456" s="9">
        <v>0.5</v>
      </c>
      <c r="L456" s="10">
        <v>45621.0</v>
      </c>
      <c r="M456" s="11">
        <v>1.825</v>
      </c>
      <c r="N456" s="8" t="s">
        <v>79</v>
      </c>
      <c r="O456" s="12">
        <f t="shared" si="1"/>
        <v>-0.25</v>
      </c>
      <c r="P456" s="12">
        <f t="shared" si="4"/>
        <v>7.023107941</v>
      </c>
    </row>
    <row r="457">
      <c r="A457" s="15">
        <f t="shared" si="3"/>
        <v>456</v>
      </c>
      <c r="B457" s="15" t="s">
        <v>35</v>
      </c>
      <c r="C457" s="15" t="s">
        <v>19</v>
      </c>
      <c r="D457" s="15" t="s">
        <v>1391</v>
      </c>
      <c r="E457" s="15" t="s">
        <v>167</v>
      </c>
      <c r="F457" s="15" t="s">
        <v>22</v>
      </c>
      <c r="G457" s="15" t="s">
        <v>29</v>
      </c>
      <c r="H457" s="15" t="s">
        <v>39</v>
      </c>
      <c r="I457" s="16">
        <v>-2.75</v>
      </c>
      <c r="J457" s="16">
        <v>0.25</v>
      </c>
      <c r="K457" s="16">
        <v>0.2454</v>
      </c>
      <c r="L457" s="17">
        <v>45621.0</v>
      </c>
      <c r="M457" s="18">
        <v>1.85</v>
      </c>
      <c r="N457" s="15" t="s">
        <v>25</v>
      </c>
      <c r="O457" s="19">
        <f t="shared" si="1"/>
        <v>-0.2454</v>
      </c>
      <c r="P457" s="19">
        <f t="shared" si="4"/>
        <v>6.777707941</v>
      </c>
    </row>
    <row r="458">
      <c r="A458" s="8">
        <f t="shared" si="3"/>
        <v>457</v>
      </c>
      <c r="B458" s="8" t="s">
        <v>35</v>
      </c>
      <c r="C458" s="8" t="s">
        <v>19</v>
      </c>
      <c r="D458" s="8" t="s">
        <v>1392</v>
      </c>
      <c r="E458" s="8" t="s">
        <v>227</v>
      </c>
      <c r="F458" s="8" t="s">
        <v>22</v>
      </c>
      <c r="G458" s="8" t="s">
        <v>29</v>
      </c>
      <c r="H458" s="8" t="s">
        <v>39</v>
      </c>
      <c r="I458" s="9">
        <v>-3.0</v>
      </c>
      <c r="J458" s="9">
        <v>0.25</v>
      </c>
      <c r="K458" s="9">
        <v>0.2409</v>
      </c>
      <c r="L458" s="10">
        <v>45621.0</v>
      </c>
      <c r="M458" s="11">
        <v>1.925</v>
      </c>
      <c r="N458" s="8" t="s">
        <v>33</v>
      </c>
      <c r="O458" s="12">
        <f t="shared" si="1"/>
        <v>0.2228325</v>
      </c>
      <c r="P458" s="12">
        <f t="shared" si="4"/>
        <v>7.000540441</v>
      </c>
    </row>
    <row r="459">
      <c r="A459" s="15">
        <f t="shared" si="3"/>
        <v>458</v>
      </c>
      <c r="B459" s="15" t="s">
        <v>35</v>
      </c>
      <c r="C459" s="15" t="s">
        <v>19</v>
      </c>
      <c r="D459" s="15" t="s">
        <v>1393</v>
      </c>
      <c r="E459" s="15" t="s">
        <v>147</v>
      </c>
      <c r="F459" s="15" t="s">
        <v>22</v>
      </c>
      <c r="G459" s="15" t="s">
        <v>29</v>
      </c>
      <c r="H459" s="15" t="s">
        <v>39</v>
      </c>
      <c r="I459" s="16">
        <v>-1.0</v>
      </c>
      <c r="J459" s="16">
        <v>0.25</v>
      </c>
      <c r="K459" s="16">
        <v>0.1227</v>
      </c>
      <c r="L459" s="17">
        <v>45621.0</v>
      </c>
      <c r="M459" s="18">
        <v>1.8</v>
      </c>
      <c r="N459" s="15" t="s">
        <v>70</v>
      </c>
      <c r="O459" s="19">
        <f t="shared" si="1"/>
        <v>0</v>
      </c>
      <c r="P459" s="19">
        <f t="shared" si="4"/>
        <v>7.000540441</v>
      </c>
    </row>
    <row r="460">
      <c r="A460" s="8">
        <f t="shared" si="3"/>
        <v>459</v>
      </c>
      <c r="B460" s="8" t="s">
        <v>35</v>
      </c>
      <c r="C460" s="8" t="s">
        <v>19</v>
      </c>
      <c r="D460" s="8" t="s">
        <v>1394</v>
      </c>
      <c r="E460" s="8" t="s">
        <v>456</v>
      </c>
      <c r="F460" s="8" t="s">
        <v>22</v>
      </c>
      <c r="G460" s="8" t="s">
        <v>29</v>
      </c>
      <c r="H460" s="8" t="s">
        <v>39</v>
      </c>
      <c r="I460" s="9">
        <v>-4.25</v>
      </c>
      <c r="J460" s="9">
        <v>0.25</v>
      </c>
      <c r="K460" s="9">
        <v>0.25</v>
      </c>
      <c r="L460" s="10">
        <v>45621.0</v>
      </c>
      <c r="M460" s="11">
        <v>1.575</v>
      </c>
      <c r="N460" s="8" t="s">
        <v>33</v>
      </c>
      <c r="O460" s="12">
        <f t="shared" si="1"/>
        <v>0.14375</v>
      </c>
      <c r="P460" s="12">
        <f t="shared" si="4"/>
        <v>7.144290441</v>
      </c>
    </row>
    <row r="461">
      <c r="A461" s="15">
        <f t="shared" si="3"/>
        <v>460</v>
      </c>
      <c r="B461" s="15" t="s">
        <v>35</v>
      </c>
      <c r="C461" s="15" t="s">
        <v>19</v>
      </c>
      <c r="D461" s="15" t="s">
        <v>1395</v>
      </c>
      <c r="E461" s="15" t="s">
        <v>189</v>
      </c>
      <c r="F461" s="15" t="s">
        <v>22</v>
      </c>
      <c r="G461" s="15" t="s">
        <v>29</v>
      </c>
      <c r="H461" s="15" t="s">
        <v>39</v>
      </c>
      <c r="I461" s="16">
        <v>-1.0</v>
      </c>
      <c r="J461" s="16">
        <v>0.25</v>
      </c>
      <c r="K461" s="16">
        <v>0.1727</v>
      </c>
      <c r="L461" s="17">
        <v>45622.0</v>
      </c>
      <c r="M461" s="18">
        <v>1.875</v>
      </c>
      <c r="N461" s="15" t="s">
        <v>25</v>
      </c>
      <c r="O461" s="19">
        <f t="shared" si="1"/>
        <v>-0.1727</v>
      </c>
      <c r="P461" s="19">
        <f t="shared" si="4"/>
        <v>6.971590441</v>
      </c>
    </row>
    <row r="462">
      <c r="A462" s="8">
        <f t="shared" si="3"/>
        <v>461</v>
      </c>
      <c r="B462" s="8" t="s">
        <v>35</v>
      </c>
      <c r="C462" s="8" t="s">
        <v>19</v>
      </c>
      <c r="D462" s="8" t="s">
        <v>1396</v>
      </c>
      <c r="E462" s="8" t="s">
        <v>703</v>
      </c>
      <c r="F462" s="8" t="s">
        <v>22</v>
      </c>
      <c r="G462" s="8" t="s">
        <v>29</v>
      </c>
      <c r="H462" s="8" t="s">
        <v>39</v>
      </c>
      <c r="I462" s="9">
        <v>-1.0</v>
      </c>
      <c r="J462" s="9">
        <v>0.25</v>
      </c>
      <c r="K462" s="9">
        <v>0.2409</v>
      </c>
      <c r="L462" s="10">
        <v>45622.0</v>
      </c>
      <c r="M462" s="11">
        <v>2.05</v>
      </c>
      <c r="N462" s="8" t="s">
        <v>25</v>
      </c>
      <c r="O462" s="12">
        <f t="shared" si="1"/>
        <v>-0.2409</v>
      </c>
      <c r="P462" s="12">
        <f t="shared" si="4"/>
        <v>6.730690441</v>
      </c>
    </row>
    <row r="463">
      <c r="A463" s="15">
        <f t="shared" si="3"/>
        <v>462</v>
      </c>
      <c r="B463" s="15" t="s">
        <v>35</v>
      </c>
      <c r="C463" s="15" t="s">
        <v>19</v>
      </c>
      <c r="D463" s="15" t="s">
        <v>1397</v>
      </c>
      <c r="E463" s="15" t="s">
        <v>794</v>
      </c>
      <c r="F463" s="15" t="s">
        <v>22</v>
      </c>
      <c r="G463" s="15" t="s">
        <v>29</v>
      </c>
      <c r="H463" s="15" t="s">
        <v>39</v>
      </c>
      <c r="I463" s="16">
        <v>-1.75</v>
      </c>
      <c r="J463" s="16">
        <v>0.25</v>
      </c>
      <c r="K463" s="16">
        <v>0.2409</v>
      </c>
      <c r="L463" s="17">
        <v>45622.0</v>
      </c>
      <c r="M463" s="18">
        <v>2.0</v>
      </c>
      <c r="N463" s="15" t="s">
        <v>33</v>
      </c>
      <c r="O463" s="19">
        <f t="shared" si="1"/>
        <v>0.2409</v>
      </c>
      <c r="P463" s="19">
        <f t="shared" si="4"/>
        <v>6.971590441</v>
      </c>
    </row>
    <row r="464">
      <c r="A464" s="8">
        <f t="shared" si="3"/>
        <v>463</v>
      </c>
      <c r="B464" s="8" t="s">
        <v>35</v>
      </c>
      <c r="C464" s="8" t="s">
        <v>19</v>
      </c>
      <c r="D464" s="8" t="s">
        <v>1398</v>
      </c>
      <c r="E464" s="8" t="s">
        <v>316</v>
      </c>
      <c r="F464" s="8" t="s">
        <v>22</v>
      </c>
      <c r="G464" s="8" t="s">
        <v>29</v>
      </c>
      <c r="H464" s="8" t="s">
        <v>39</v>
      </c>
      <c r="I464" s="9">
        <v>-2.75</v>
      </c>
      <c r="J464" s="9">
        <v>0.25</v>
      </c>
      <c r="K464" s="9">
        <v>0.25</v>
      </c>
      <c r="L464" s="56">
        <v>45622.0</v>
      </c>
      <c r="M464" s="11">
        <v>2.075</v>
      </c>
      <c r="N464" s="8" t="s">
        <v>33</v>
      </c>
      <c r="O464" s="12">
        <f t="shared" si="1"/>
        <v>0.26875</v>
      </c>
      <c r="P464" s="12">
        <f t="shared" si="4"/>
        <v>7.240340441</v>
      </c>
    </row>
    <row r="465">
      <c r="A465" s="15">
        <f t="shared" si="3"/>
        <v>464</v>
      </c>
      <c r="B465" s="15" t="s">
        <v>35</v>
      </c>
      <c r="C465" s="15" t="s">
        <v>19</v>
      </c>
      <c r="D465" s="15" t="s">
        <v>1399</v>
      </c>
      <c r="E465" s="15" t="s">
        <v>38</v>
      </c>
      <c r="F465" s="15" t="s">
        <v>22</v>
      </c>
      <c r="G465" s="15" t="s">
        <v>29</v>
      </c>
      <c r="H465" s="15" t="s">
        <v>39</v>
      </c>
      <c r="I465" s="16">
        <v>-1.75</v>
      </c>
      <c r="J465" s="16">
        <v>0.25</v>
      </c>
      <c r="K465" s="16">
        <v>0.24</v>
      </c>
      <c r="L465" s="57">
        <v>45622.0</v>
      </c>
      <c r="M465" s="18">
        <f>591.35/375</f>
        <v>1.576933333</v>
      </c>
      <c r="N465" s="15" t="s">
        <v>33</v>
      </c>
      <c r="O465" s="19">
        <f t="shared" si="1"/>
        <v>0.138464</v>
      </c>
      <c r="P465" s="19">
        <f t="shared" si="4"/>
        <v>7.378804441</v>
      </c>
    </row>
    <row r="466">
      <c r="A466" s="8">
        <f t="shared" si="3"/>
        <v>465</v>
      </c>
      <c r="B466" s="8" t="s">
        <v>35</v>
      </c>
      <c r="C466" s="8" t="s">
        <v>19</v>
      </c>
      <c r="D466" s="8" t="s">
        <v>1400</v>
      </c>
      <c r="E466" s="8" t="s">
        <v>624</v>
      </c>
      <c r="F466" s="8" t="s">
        <v>22</v>
      </c>
      <c r="G466" s="8" t="s">
        <v>29</v>
      </c>
      <c r="H466" s="8" t="s">
        <v>24</v>
      </c>
      <c r="I466" s="9">
        <v>-3.25</v>
      </c>
      <c r="J466" s="9">
        <v>0.5</v>
      </c>
      <c r="K466" s="9">
        <v>0.4866</v>
      </c>
      <c r="L466" s="10">
        <v>45623.0</v>
      </c>
      <c r="M466" s="11">
        <v>1.8</v>
      </c>
      <c r="N466" s="8" t="s">
        <v>30</v>
      </c>
      <c r="O466" s="12">
        <f t="shared" si="1"/>
        <v>0.19464</v>
      </c>
      <c r="P466" s="12">
        <f t="shared" si="4"/>
        <v>7.573444441</v>
      </c>
    </row>
    <row r="467">
      <c r="A467" s="15">
        <f t="shared" si="3"/>
        <v>466</v>
      </c>
      <c r="B467" s="15" t="s">
        <v>35</v>
      </c>
      <c r="C467" s="15" t="s">
        <v>19</v>
      </c>
      <c r="D467" s="15" t="s">
        <v>1401</v>
      </c>
      <c r="E467" s="15" t="s">
        <v>157</v>
      </c>
      <c r="F467" s="15" t="s">
        <v>22</v>
      </c>
      <c r="G467" s="15" t="s">
        <v>29</v>
      </c>
      <c r="H467" s="15" t="s">
        <v>24</v>
      </c>
      <c r="I467" s="16">
        <v>-2.75</v>
      </c>
      <c r="J467" s="16">
        <v>0.5</v>
      </c>
      <c r="K467" s="16">
        <v>0.2276</v>
      </c>
      <c r="L467" s="17">
        <v>45623.0</v>
      </c>
      <c r="M467" s="18">
        <v>2.0</v>
      </c>
      <c r="N467" s="15" t="s">
        <v>79</v>
      </c>
      <c r="O467" s="19">
        <f t="shared" si="1"/>
        <v>-0.1138</v>
      </c>
      <c r="P467" s="19">
        <f t="shared" si="4"/>
        <v>7.459644441</v>
      </c>
    </row>
    <row r="468">
      <c r="A468" s="8">
        <f t="shared" si="3"/>
        <v>467</v>
      </c>
      <c r="B468" s="8" t="s">
        <v>35</v>
      </c>
      <c r="C468" s="8" t="s">
        <v>19</v>
      </c>
      <c r="D468" s="8" t="s">
        <v>1402</v>
      </c>
      <c r="E468" s="8" t="s">
        <v>245</v>
      </c>
      <c r="F468" s="8" t="s">
        <v>22</v>
      </c>
      <c r="G468" s="8" t="s">
        <v>29</v>
      </c>
      <c r="H468" s="8" t="s">
        <v>39</v>
      </c>
      <c r="I468" s="9">
        <v>-1.25</v>
      </c>
      <c r="J468" s="9">
        <v>0.25</v>
      </c>
      <c r="K468" s="9">
        <v>0.2276</v>
      </c>
      <c r="L468" s="10">
        <v>45623.0</v>
      </c>
      <c r="M468" s="11">
        <v>1.95</v>
      </c>
      <c r="N468" s="8" t="s">
        <v>30</v>
      </c>
      <c r="O468" s="12">
        <f t="shared" si="1"/>
        <v>0.10811</v>
      </c>
      <c r="P468" s="12">
        <f t="shared" si="4"/>
        <v>7.567754441</v>
      </c>
    </row>
    <row r="469">
      <c r="A469" s="15">
        <f t="shared" si="3"/>
        <v>468</v>
      </c>
      <c r="B469" s="15" t="s">
        <v>35</v>
      </c>
      <c r="C469" s="15" t="s">
        <v>19</v>
      </c>
      <c r="D469" s="15" t="s">
        <v>1403</v>
      </c>
      <c r="E469" s="15" t="s">
        <v>642</v>
      </c>
      <c r="F469" s="15" t="s">
        <v>22</v>
      </c>
      <c r="G469" s="15" t="s">
        <v>29</v>
      </c>
      <c r="H469" s="15" t="s">
        <v>24</v>
      </c>
      <c r="I469" s="16">
        <v>-2.75</v>
      </c>
      <c r="J469" s="16">
        <v>0.5</v>
      </c>
      <c r="K469" s="16">
        <v>0.2232</v>
      </c>
      <c r="L469" s="17">
        <v>45623.0</v>
      </c>
      <c r="M469" s="18">
        <v>1.825</v>
      </c>
      <c r="N469" s="15" t="s">
        <v>79</v>
      </c>
      <c r="O469" s="19">
        <f t="shared" si="1"/>
        <v>-0.1116</v>
      </c>
      <c r="P469" s="19">
        <f t="shared" si="4"/>
        <v>7.456154441</v>
      </c>
    </row>
    <row r="470">
      <c r="A470" s="8">
        <f t="shared" si="3"/>
        <v>469</v>
      </c>
      <c r="B470" s="8" t="s">
        <v>26</v>
      </c>
      <c r="C470" s="8" t="s">
        <v>19</v>
      </c>
      <c r="D470" s="8" t="s">
        <v>1404</v>
      </c>
      <c r="E470" s="8" t="s">
        <v>227</v>
      </c>
      <c r="F470" s="8" t="s">
        <v>22</v>
      </c>
      <c r="G470" s="8" t="s">
        <v>29</v>
      </c>
      <c r="H470" s="8"/>
      <c r="I470" s="9">
        <v>-4.0</v>
      </c>
      <c r="J470" s="9">
        <v>0.25</v>
      </c>
      <c r="K470" s="9">
        <v>0.2276</v>
      </c>
      <c r="L470" s="10">
        <v>45623.0</v>
      </c>
      <c r="M470" s="11">
        <v>1.95</v>
      </c>
      <c r="N470" s="8" t="s">
        <v>25</v>
      </c>
      <c r="O470" s="12">
        <f t="shared" si="1"/>
        <v>-0.2276</v>
      </c>
      <c r="P470" s="12">
        <f t="shared" si="4"/>
        <v>7.228554441</v>
      </c>
    </row>
    <row r="471">
      <c r="A471" s="15">
        <f t="shared" si="3"/>
        <v>470</v>
      </c>
      <c r="B471" s="15" t="s">
        <v>35</v>
      </c>
      <c r="C471" s="15" t="s">
        <v>19</v>
      </c>
      <c r="D471" s="15" t="s">
        <v>1405</v>
      </c>
      <c r="E471" s="15" t="s">
        <v>703</v>
      </c>
      <c r="F471" s="15" t="s">
        <v>22</v>
      </c>
      <c r="G471" s="15" t="s">
        <v>29</v>
      </c>
      <c r="H471" s="15" t="s">
        <v>39</v>
      </c>
      <c r="I471" s="16">
        <v>-2.25</v>
      </c>
      <c r="J471" s="16">
        <v>0.25</v>
      </c>
      <c r="K471" s="16">
        <v>0.25</v>
      </c>
      <c r="L471" s="17">
        <v>45623.0</v>
      </c>
      <c r="M471" s="18">
        <v>2.0</v>
      </c>
      <c r="N471" s="15" t="s">
        <v>25</v>
      </c>
      <c r="O471" s="19">
        <f t="shared" si="1"/>
        <v>-0.25</v>
      </c>
      <c r="P471" s="19">
        <f t="shared" si="4"/>
        <v>6.978554441</v>
      </c>
    </row>
    <row r="472">
      <c r="A472" s="8">
        <f t="shared" si="3"/>
        <v>471</v>
      </c>
      <c r="B472" s="8" t="s">
        <v>35</v>
      </c>
      <c r="C472" s="8" t="s">
        <v>19</v>
      </c>
      <c r="D472" s="8" t="s">
        <v>1406</v>
      </c>
      <c r="E472" s="8" t="s">
        <v>48</v>
      </c>
      <c r="F472" s="8" t="s">
        <v>22</v>
      </c>
      <c r="G472" s="8" t="s">
        <v>29</v>
      </c>
      <c r="H472" s="8" t="s">
        <v>39</v>
      </c>
      <c r="I472" s="9">
        <v>-1.0</v>
      </c>
      <c r="J472" s="9">
        <v>0.25</v>
      </c>
      <c r="K472" s="9">
        <v>0.063</v>
      </c>
      <c r="L472" s="56">
        <v>45623.0</v>
      </c>
      <c r="M472" s="11">
        <v>1.975</v>
      </c>
      <c r="N472" s="8" t="s">
        <v>70</v>
      </c>
      <c r="O472" s="12">
        <f t="shared" si="1"/>
        <v>0</v>
      </c>
      <c r="P472" s="12">
        <f t="shared" si="4"/>
        <v>6.978554441</v>
      </c>
    </row>
    <row r="473">
      <c r="A473" s="15">
        <f t="shared" si="3"/>
        <v>472</v>
      </c>
      <c r="B473" s="15" t="s">
        <v>35</v>
      </c>
      <c r="C473" s="15" t="s">
        <v>19</v>
      </c>
      <c r="D473" s="15" t="s">
        <v>1407</v>
      </c>
      <c r="E473" s="15" t="s">
        <v>806</v>
      </c>
      <c r="F473" s="15" t="s">
        <v>22</v>
      </c>
      <c r="G473" s="15" t="s">
        <v>29</v>
      </c>
      <c r="H473" s="15" t="s">
        <v>24</v>
      </c>
      <c r="I473" s="16">
        <v>-0.75</v>
      </c>
      <c r="J473" s="16">
        <v>0.5</v>
      </c>
      <c r="K473" s="16">
        <v>0.3333</v>
      </c>
      <c r="L473" s="17">
        <v>45623.0</v>
      </c>
      <c r="M473" s="18">
        <v>1.8</v>
      </c>
      <c r="N473" s="15" t="s">
        <v>33</v>
      </c>
      <c r="O473" s="19">
        <f t="shared" si="1"/>
        <v>0.26664</v>
      </c>
      <c r="P473" s="19">
        <f t="shared" si="4"/>
        <v>7.245194441</v>
      </c>
    </row>
    <row r="474">
      <c r="A474" s="8">
        <f t="shared" si="3"/>
        <v>473</v>
      </c>
      <c r="B474" s="8" t="s">
        <v>135</v>
      </c>
      <c r="C474" s="8" t="s">
        <v>19</v>
      </c>
      <c r="D474" s="8" t="s">
        <v>1408</v>
      </c>
      <c r="E474" s="8" t="s">
        <v>93</v>
      </c>
      <c r="F474" s="8" t="s">
        <v>22</v>
      </c>
      <c r="G474" s="8" t="s">
        <v>29</v>
      </c>
      <c r="H474" s="8"/>
      <c r="I474" s="9">
        <v>-2.75</v>
      </c>
      <c r="J474" s="9">
        <v>0.1</v>
      </c>
      <c r="K474" s="9">
        <v>0.1</v>
      </c>
      <c r="L474" s="10">
        <v>45623.0</v>
      </c>
      <c r="M474" s="11">
        <v>1.9</v>
      </c>
      <c r="N474" s="8" t="s">
        <v>25</v>
      </c>
      <c r="O474" s="12">
        <f t="shared" si="1"/>
        <v>-0.1</v>
      </c>
      <c r="P474" s="12">
        <f t="shared" si="4"/>
        <v>7.145194441</v>
      </c>
    </row>
    <row r="475">
      <c r="A475" s="15">
        <f t="shared" si="3"/>
        <v>474</v>
      </c>
      <c r="B475" s="15" t="s">
        <v>35</v>
      </c>
      <c r="C475" s="15" t="s">
        <v>19</v>
      </c>
      <c r="D475" s="15" t="s">
        <v>1409</v>
      </c>
      <c r="E475" s="15" t="s">
        <v>82</v>
      </c>
      <c r="F475" s="15" t="s">
        <v>22</v>
      </c>
      <c r="G475" s="15" t="s">
        <v>29</v>
      </c>
      <c r="H475" s="15" t="s">
        <v>39</v>
      </c>
      <c r="I475" s="16">
        <v>-1.0</v>
      </c>
      <c r="J475" s="16">
        <v>0.25</v>
      </c>
      <c r="K475" s="16">
        <v>0.25</v>
      </c>
      <c r="L475" s="17">
        <v>45623.0</v>
      </c>
      <c r="M475" s="18">
        <v>1.9</v>
      </c>
      <c r="N475" s="15" t="s">
        <v>70</v>
      </c>
      <c r="O475" s="19">
        <f t="shared" si="1"/>
        <v>0</v>
      </c>
      <c r="P475" s="19">
        <f t="shared" si="4"/>
        <v>7.145194441</v>
      </c>
    </row>
    <row r="476">
      <c r="A476" s="8">
        <f t="shared" si="3"/>
        <v>475</v>
      </c>
      <c r="B476" s="8" t="s">
        <v>35</v>
      </c>
      <c r="C476" s="8" t="s">
        <v>19</v>
      </c>
      <c r="D476" s="8" t="s">
        <v>1410</v>
      </c>
      <c r="E476" s="8" t="s">
        <v>642</v>
      </c>
      <c r="F476" s="8" t="s">
        <v>22</v>
      </c>
      <c r="G476" s="8" t="s">
        <v>29</v>
      </c>
      <c r="H476" s="8" t="s">
        <v>24</v>
      </c>
      <c r="I476" s="9">
        <v>-5.25</v>
      </c>
      <c r="J476" s="9">
        <v>0.5</v>
      </c>
      <c r="K476" s="9">
        <v>0.5</v>
      </c>
      <c r="L476" s="10">
        <v>45624.0</v>
      </c>
      <c r="M476" s="11">
        <v>2.025</v>
      </c>
      <c r="N476" s="8" t="s">
        <v>30</v>
      </c>
      <c r="O476" s="12">
        <f t="shared" si="1"/>
        <v>0.25625</v>
      </c>
      <c r="P476" s="12">
        <f t="shared" si="4"/>
        <v>7.401444441</v>
      </c>
    </row>
    <row r="477">
      <c r="A477" s="15">
        <f t="shared" si="3"/>
        <v>476</v>
      </c>
      <c r="B477" s="15" t="s">
        <v>35</v>
      </c>
      <c r="C477" s="15" t="s">
        <v>19</v>
      </c>
      <c r="D477" s="15" t="s">
        <v>1411</v>
      </c>
      <c r="E477" s="15" t="s">
        <v>167</v>
      </c>
      <c r="F477" s="15" t="s">
        <v>22</v>
      </c>
      <c r="G477" s="15" t="s">
        <v>29</v>
      </c>
      <c r="H477" s="15" t="s">
        <v>39</v>
      </c>
      <c r="I477" s="16">
        <v>-1.0</v>
      </c>
      <c r="J477" s="16">
        <v>0.25</v>
      </c>
      <c r="K477" s="16">
        <v>0.25</v>
      </c>
      <c r="L477" s="17">
        <v>45624.0</v>
      </c>
      <c r="M477" s="18">
        <v>1.975</v>
      </c>
      <c r="N477" s="15" t="s">
        <v>70</v>
      </c>
      <c r="O477" s="19">
        <f t="shared" si="1"/>
        <v>0</v>
      </c>
      <c r="P477" s="19">
        <f t="shared" si="4"/>
        <v>7.401444441</v>
      </c>
    </row>
    <row r="478">
      <c r="A478" s="8">
        <f t="shared" si="3"/>
        <v>477</v>
      </c>
      <c r="B478" s="8" t="s">
        <v>35</v>
      </c>
      <c r="C478" s="8" t="s">
        <v>19</v>
      </c>
      <c r="D478" s="8" t="s">
        <v>1412</v>
      </c>
      <c r="E478" s="8" t="s">
        <v>372</v>
      </c>
      <c r="F478" s="8" t="s">
        <v>22</v>
      </c>
      <c r="G478" s="8" t="s">
        <v>892</v>
      </c>
      <c r="H478" s="8"/>
      <c r="I478" s="9">
        <v>0.0</v>
      </c>
      <c r="J478" s="9">
        <v>0.25</v>
      </c>
      <c r="K478" s="9">
        <v>0.25</v>
      </c>
      <c r="L478" s="10">
        <v>45624.0</v>
      </c>
      <c r="M478" s="11">
        <v>1.9</v>
      </c>
      <c r="N478" s="8" t="s">
        <v>70</v>
      </c>
      <c r="O478" s="12">
        <f t="shared" si="1"/>
        <v>0</v>
      </c>
      <c r="P478" s="12">
        <f t="shared" si="4"/>
        <v>7.401444441</v>
      </c>
    </row>
    <row r="479">
      <c r="A479" s="15">
        <f t="shared" si="3"/>
        <v>478</v>
      </c>
      <c r="B479" s="15" t="s">
        <v>35</v>
      </c>
      <c r="C479" s="15" t="s">
        <v>19</v>
      </c>
      <c r="D479" s="15" t="s">
        <v>1413</v>
      </c>
      <c r="E479" s="15" t="s">
        <v>806</v>
      </c>
      <c r="F479" s="15" t="s">
        <v>22</v>
      </c>
      <c r="G479" s="15" t="s">
        <v>29</v>
      </c>
      <c r="H479" s="15" t="s">
        <v>24</v>
      </c>
      <c r="I479" s="16">
        <v>-0.75</v>
      </c>
      <c r="J479" s="16">
        <v>0.5</v>
      </c>
      <c r="K479" s="16">
        <v>0.4921</v>
      </c>
      <c r="L479" s="17">
        <v>45624.0</v>
      </c>
      <c r="M479" s="18">
        <v>1.95</v>
      </c>
      <c r="N479" s="15" t="s">
        <v>79</v>
      </c>
      <c r="O479" s="19">
        <f t="shared" si="1"/>
        <v>-0.24605</v>
      </c>
      <c r="P479" s="19">
        <f t="shared" si="4"/>
        <v>7.155394441</v>
      </c>
    </row>
    <row r="480">
      <c r="A480" s="8">
        <f t="shared" si="3"/>
        <v>479</v>
      </c>
      <c r="B480" s="8" t="s">
        <v>35</v>
      </c>
      <c r="C480" s="8" t="s">
        <v>19</v>
      </c>
      <c r="D480" s="8" t="s">
        <v>1414</v>
      </c>
      <c r="E480" s="8" t="s">
        <v>162</v>
      </c>
      <c r="F480" s="8" t="s">
        <v>22</v>
      </c>
      <c r="G480" s="8" t="s">
        <v>29</v>
      </c>
      <c r="H480" s="8" t="s">
        <v>39</v>
      </c>
      <c r="I480" s="9">
        <v>-0.75</v>
      </c>
      <c r="J480" s="9">
        <v>0.25</v>
      </c>
      <c r="K480" s="9">
        <v>0.2343</v>
      </c>
      <c r="L480" s="56">
        <v>45624.0</v>
      </c>
      <c r="M480" s="11">
        <v>1.9</v>
      </c>
      <c r="N480" s="8" t="s">
        <v>79</v>
      </c>
      <c r="O480" s="12">
        <f t="shared" si="1"/>
        <v>-0.11715</v>
      </c>
      <c r="P480" s="12">
        <f t="shared" si="4"/>
        <v>7.038244441</v>
      </c>
    </row>
    <row r="481">
      <c r="A481" s="15">
        <f t="shared" si="3"/>
        <v>480</v>
      </c>
      <c r="B481" s="15" t="s">
        <v>35</v>
      </c>
      <c r="C481" s="15" t="s">
        <v>19</v>
      </c>
      <c r="D481" s="15" t="s">
        <v>1415</v>
      </c>
      <c r="E481" s="15" t="s">
        <v>423</v>
      </c>
      <c r="F481" s="15" t="s">
        <v>22</v>
      </c>
      <c r="G481" s="15" t="s">
        <v>29</v>
      </c>
      <c r="H481" s="15" t="s">
        <v>39</v>
      </c>
      <c r="I481" s="16">
        <v>-3.75</v>
      </c>
      <c r="J481" s="16">
        <v>0.25</v>
      </c>
      <c r="K481" s="16">
        <v>0.0625</v>
      </c>
      <c r="L481" s="17">
        <v>45624.0</v>
      </c>
      <c r="M481" s="18">
        <v>2.025</v>
      </c>
      <c r="N481" s="15" t="s">
        <v>33</v>
      </c>
      <c r="O481" s="19">
        <f t="shared" si="1"/>
        <v>0.0640625</v>
      </c>
      <c r="P481" s="19">
        <f t="shared" si="4"/>
        <v>7.102306941</v>
      </c>
    </row>
    <row r="482">
      <c r="A482" s="8">
        <f t="shared" si="3"/>
        <v>481</v>
      </c>
      <c r="B482" s="8" t="s">
        <v>35</v>
      </c>
      <c r="C482" s="8" t="s">
        <v>19</v>
      </c>
      <c r="D482" s="8" t="s">
        <v>1416</v>
      </c>
      <c r="E482" s="8" t="s">
        <v>193</v>
      </c>
      <c r="F482" s="8" t="s">
        <v>22</v>
      </c>
      <c r="G482" s="8" t="s">
        <v>29</v>
      </c>
      <c r="H482" s="8" t="s">
        <v>24</v>
      </c>
      <c r="I482" s="9">
        <v>-0.75</v>
      </c>
      <c r="J482" s="9">
        <v>0.5</v>
      </c>
      <c r="K482" s="9">
        <v>0.5</v>
      </c>
      <c r="L482" s="10">
        <v>45624.0</v>
      </c>
      <c r="M482" s="11">
        <v>2.0</v>
      </c>
      <c r="N482" s="8" t="s">
        <v>33</v>
      </c>
      <c r="O482" s="12">
        <f t="shared" si="1"/>
        <v>0.5</v>
      </c>
      <c r="P482" s="12">
        <f t="shared" si="4"/>
        <v>7.602306941</v>
      </c>
    </row>
    <row r="483">
      <c r="A483" s="15">
        <f t="shared" si="3"/>
        <v>482</v>
      </c>
      <c r="B483" s="15" t="s">
        <v>35</v>
      </c>
      <c r="C483" s="15" t="s">
        <v>19</v>
      </c>
      <c r="D483" s="15" t="s">
        <v>1417</v>
      </c>
      <c r="E483" s="15" t="s">
        <v>635</v>
      </c>
      <c r="F483" s="15" t="s">
        <v>22</v>
      </c>
      <c r="G483" s="15" t="s">
        <v>29</v>
      </c>
      <c r="H483" s="15" t="s">
        <v>39</v>
      </c>
      <c r="I483" s="16">
        <v>-5.5</v>
      </c>
      <c r="J483" s="16">
        <v>0.25</v>
      </c>
      <c r="K483" s="16">
        <v>0.25</v>
      </c>
      <c r="L483" s="17">
        <v>45624.0</v>
      </c>
      <c r="M483" s="18">
        <v>1.925</v>
      </c>
      <c r="N483" s="15" t="s">
        <v>33</v>
      </c>
      <c r="O483" s="19">
        <f t="shared" si="1"/>
        <v>0.23125</v>
      </c>
      <c r="P483" s="19">
        <f t="shared" si="4"/>
        <v>7.833556941</v>
      </c>
    </row>
    <row r="484">
      <c r="A484" s="8">
        <f t="shared" si="3"/>
        <v>483</v>
      </c>
      <c r="B484" s="8" t="s">
        <v>35</v>
      </c>
      <c r="C484" s="8" t="s">
        <v>19</v>
      </c>
      <c r="D484" s="8" t="s">
        <v>1418</v>
      </c>
      <c r="E484" s="8" t="s">
        <v>167</v>
      </c>
      <c r="F484" s="8" t="s">
        <v>22</v>
      </c>
      <c r="G484" s="8" t="s">
        <v>29</v>
      </c>
      <c r="H484" s="8" t="s">
        <v>24</v>
      </c>
      <c r="I484" s="9">
        <v>-2.5</v>
      </c>
      <c r="J484" s="9">
        <v>0.3</v>
      </c>
      <c r="K484" s="9">
        <v>0.1714</v>
      </c>
      <c r="L484" s="10">
        <v>45624.0</v>
      </c>
      <c r="M484" s="11">
        <v>1.975</v>
      </c>
      <c r="N484" s="8" t="s">
        <v>25</v>
      </c>
      <c r="O484" s="12">
        <f t="shared" si="1"/>
        <v>-0.1714</v>
      </c>
      <c r="P484" s="12">
        <f t="shared" si="4"/>
        <v>7.662156941</v>
      </c>
    </row>
    <row r="485">
      <c r="A485" s="15">
        <f t="shared" si="3"/>
        <v>484</v>
      </c>
      <c r="B485" s="15" t="s">
        <v>35</v>
      </c>
      <c r="C485" s="15" t="s">
        <v>19</v>
      </c>
      <c r="D485" s="15" t="s">
        <v>1419</v>
      </c>
      <c r="E485" s="15" t="s">
        <v>167</v>
      </c>
      <c r="F485" s="15" t="s">
        <v>22</v>
      </c>
      <c r="G485" s="15" t="s">
        <v>29</v>
      </c>
      <c r="H485" s="15" t="s">
        <v>24</v>
      </c>
      <c r="I485" s="16">
        <v>-2.25</v>
      </c>
      <c r="J485" s="16">
        <v>0.5</v>
      </c>
      <c r="K485" s="16">
        <v>0.5</v>
      </c>
      <c r="L485" s="17">
        <v>45624.0</v>
      </c>
      <c r="M485" s="18">
        <v>2.025</v>
      </c>
      <c r="N485" s="15" t="s">
        <v>33</v>
      </c>
      <c r="O485" s="19">
        <f t="shared" si="1"/>
        <v>0.5125</v>
      </c>
      <c r="P485" s="19">
        <f t="shared" si="4"/>
        <v>8.174656941</v>
      </c>
    </row>
    <row r="486">
      <c r="A486" s="8">
        <f t="shared" si="3"/>
        <v>485</v>
      </c>
      <c r="B486" s="8" t="s">
        <v>26</v>
      </c>
      <c r="C486" s="8" t="s">
        <v>19</v>
      </c>
      <c r="D486" s="8" t="s">
        <v>1420</v>
      </c>
      <c r="E486" s="8" t="s">
        <v>372</v>
      </c>
      <c r="F486" s="8" t="s">
        <v>598</v>
      </c>
      <c r="G486" s="8" t="s">
        <v>29</v>
      </c>
      <c r="H486" s="8" t="s">
        <v>39</v>
      </c>
      <c r="I486" s="9">
        <v>-2.75</v>
      </c>
      <c r="J486" s="9">
        <v>0.5</v>
      </c>
      <c r="K486" s="9">
        <v>0.4013</v>
      </c>
      <c r="L486" s="10">
        <v>45624.0</v>
      </c>
      <c r="M486" s="11">
        <v>1.825</v>
      </c>
      <c r="N486" s="8" t="s">
        <v>25</v>
      </c>
      <c r="O486" s="12">
        <f t="shared" si="1"/>
        <v>-0.4013</v>
      </c>
      <c r="P486" s="12">
        <f t="shared" si="4"/>
        <v>7.773356941</v>
      </c>
    </row>
    <row r="487">
      <c r="A487" s="15">
        <f t="shared" si="3"/>
        <v>486</v>
      </c>
      <c r="B487" s="15" t="s">
        <v>35</v>
      </c>
      <c r="C487" s="15" t="s">
        <v>19</v>
      </c>
      <c r="D487" s="15" t="s">
        <v>1421</v>
      </c>
      <c r="E487" s="15" t="s">
        <v>82</v>
      </c>
      <c r="F487" s="15" t="s">
        <v>22</v>
      </c>
      <c r="G487" s="15" t="s">
        <v>29</v>
      </c>
      <c r="H487" s="15" t="s">
        <v>39</v>
      </c>
      <c r="I487" s="16">
        <v>-1.0</v>
      </c>
      <c r="J487" s="16">
        <v>0.25</v>
      </c>
      <c r="K487" s="16">
        <v>0.2302</v>
      </c>
      <c r="L487" s="17">
        <v>45624.0</v>
      </c>
      <c r="M487" s="18">
        <v>1.8</v>
      </c>
      <c r="N487" s="15" t="s">
        <v>25</v>
      </c>
      <c r="O487" s="19">
        <f t="shared" si="1"/>
        <v>-0.2302</v>
      </c>
      <c r="P487" s="19">
        <f t="shared" si="4"/>
        <v>7.543156941</v>
      </c>
    </row>
    <row r="488">
      <c r="A488" s="8">
        <f t="shared" si="3"/>
        <v>487</v>
      </c>
      <c r="B488" s="8" t="s">
        <v>35</v>
      </c>
      <c r="C488" s="8" t="s">
        <v>19</v>
      </c>
      <c r="D488" s="8" t="s">
        <v>1422</v>
      </c>
      <c r="E488" s="8" t="s">
        <v>157</v>
      </c>
      <c r="F488" s="8" t="s">
        <v>22</v>
      </c>
      <c r="G488" s="8" t="s">
        <v>29</v>
      </c>
      <c r="H488" s="8" t="s">
        <v>24</v>
      </c>
      <c r="I488" s="9">
        <v>-1.5</v>
      </c>
      <c r="J488" s="9">
        <v>0.5</v>
      </c>
      <c r="K488" s="9">
        <v>0.5</v>
      </c>
      <c r="L488" s="56">
        <v>45625.0</v>
      </c>
      <c r="M488" s="11">
        <v>1.875</v>
      </c>
      <c r="N488" s="8" t="s">
        <v>25</v>
      </c>
      <c r="O488" s="12">
        <f t="shared" si="1"/>
        <v>-0.5</v>
      </c>
      <c r="P488" s="12">
        <f t="shared" si="4"/>
        <v>7.043156941</v>
      </c>
    </row>
    <row r="489">
      <c r="A489" s="15">
        <f t="shared" si="3"/>
        <v>488</v>
      </c>
      <c r="B489" s="15" t="s">
        <v>26</v>
      </c>
      <c r="C489" s="15" t="s">
        <v>19</v>
      </c>
      <c r="D489" s="15" t="s">
        <v>1423</v>
      </c>
      <c r="E489" s="15" t="s">
        <v>583</v>
      </c>
      <c r="F489" s="15" t="s">
        <v>22</v>
      </c>
      <c r="G489" s="15" t="s">
        <v>225</v>
      </c>
      <c r="H489" s="15" t="s">
        <v>24</v>
      </c>
      <c r="I489" s="16">
        <v>1.75</v>
      </c>
      <c r="J489" s="16">
        <v>0.2</v>
      </c>
      <c r="K489" s="16">
        <v>0.2</v>
      </c>
      <c r="L489" s="17">
        <v>45625.0</v>
      </c>
      <c r="M489" s="18">
        <v>1.8</v>
      </c>
      <c r="N489" s="15" t="s">
        <v>25</v>
      </c>
      <c r="O489" s="19">
        <f t="shared" si="1"/>
        <v>-0.2</v>
      </c>
      <c r="P489" s="19">
        <f t="shared" si="4"/>
        <v>6.843156941</v>
      </c>
    </row>
    <row r="490">
      <c r="A490" s="8">
        <f t="shared" si="3"/>
        <v>489</v>
      </c>
      <c r="B490" s="8" t="s">
        <v>26</v>
      </c>
      <c r="C490" s="8" t="s">
        <v>19</v>
      </c>
      <c r="D490" s="8" t="s">
        <v>1424</v>
      </c>
      <c r="E490" s="8" t="s">
        <v>583</v>
      </c>
      <c r="F490" s="8" t="s">
        <v>22</v>
      </c>
      <c r="G490" s="8" t="s">
        <v>225</v>
      </c>
      <c r="H490" s="8" t="s">
        <v>24</v>
      </c>
      <c r="I490" s="9">
        <v>3.25</v>
      </c>
      <c r="J490" s="9">
        <v>0.2</v>
      </c>
      <c r="K490" s="9">
        <v>0.1081</v>
      </c>
      <c r="L490" s="10">
        <v>45625.0</v>
      </c>
      <c r="M490" s="11">
        <v>1.8</v>
      </c>
      <c r="N490" s="8" t="s">
        <v>33</v>
      </c>
      <c r="O490" s="12">
        <f t="shared" si="1"/>
        <v>0.08648</v>
      </c>
      <c r="P490" s="12">
        <f t="shared" si="4"/>
        <v>6.929636941</v>
      </c>
    </row>
    <row r="491">
      <c r="A491" s="15">
        <f t="shared" si="3"/>
        <v>490</v>
      </c>
      <c r="B491" s="15" t="s">
        <v>35</v>
      </c>
      <c r="C491" s="15" t="s">
        <v>19</v>
      </c>
      <c r="D491" s="15" t="s">
        <v>1425</v>
      </c>
      <c r="E491" s="15" t="s">
        <v>432</v>
      </c>
      <c r="F491" s="15" t="s">
        <v>22</v>
      </c>
      <c r="G491" s="15" t="s">
        <v>29</v>
      </c>
      <c r="H491" s="15" t="s">
        <v>24</v>
      </c>
      <c r="I491" s="16">
        <v>-3.5</v>
      </c>
      <c r="J491" s="16">
        <v>0.5</v>
      </c>
      <c r="K491" s="16">
        <v>0.3918</v>
      </c>
      <c r="L491" s="17">
        <v>45625.0</v>
      </c>
      <c r="M491" s="18">
        <v>1.8</v>
      </c>
      <c r="N491" s="15" t="s">
        <v>25</v>
      </c>
      <c r="O491" s="19">
        <f t="shared" si="1"/>
        <v>-0.3918</v>
      </c>
      <c r="P491" s="19">
        <f t="shared" si="4"/>
        <v>6.537836941</v>
      </c>
    </row>
    <row r="492">
      <c r="A492" s="8">
        <f t="shared" si="3"/>
        <v>491</v>
      </c>
      <c r="B492" s="8" t="s">
        <v>35</v>
      </c>
      <c r="C492" s="8" t="s">
        <v>19</v>
      </c>
      <c r="D492" s="8" t="s">
        <v>1426</v>
      </c>
      <c r="E492" s="8" t="s">
        <v>38</v>
      </c>
      <c r="F492" s="8" t="s">
        <v>22</v>
      </c>
      <c r="G492" s="8" t="s">
        <v>29</v>
      </c>
      <c r="H492" s="8" t="s">
        <v>39</v>
      </c>
      <c r="I492" s="9">
        <v>-4.25</v>
      </c>
      <c r="J492" s="9">
        <v>0.5</v>
      </c>
      <c r="K492" s="9">
        <v>0.5</v>
      </c>
      <c r="L492" s="10">
        <v>45625.0</v>
      </c>
      <c r="M492" s="11">
        <v>1.825</v>
      </c>
      <c r="N492" s="8" t="s">
        <v>70</v>
      </c>
      <c r="O492" s="12">
        <f t="shared" si="1"/>
        <v>0</v>
      </c>
      <c r="P492" s="12">
        <f t="shared" si="4"/>
        <v>6.537836941</v>
      </c>
    </row>
    <row r="493">
      <c r="A493" s="15">
        <f t="shared" si="3"/>
        <v>492</v>
      </c>
      <c r="B493" s="15" t="s">
        <v>26</v>
      </c>
      <c r="C493" s="15" t="s">
        <v>19</v>
      </c>
      <c r="D493" s="15" t="s">
        <v>1427</v>
      </c>
      <c r="E493" s="15" t="s">
        <v>157</v>
      </c>
      <c r="F493" s="15" t="s">
        <v>22</v>
      </c>
      <c r="G493" s="15" t="s">
        <v>29</v>
      </c>
      <c r="H493" s="15" t="s">
        <v>39</v>
      </c>
      <c r="I493" s="16">
        <v>-3.0</v>
      </c>
      <c r="J493" s="16">
        <v>0.5</v>
      </c>
      <c r="K493" s="16">
        <v>0.4812</v>
      </c>
      <c r="L493" s="17">
        <v>45625.0</v>
      </c>
      <c r="M493" s="18">
        <f>1.3384</f>
        <v>1.3384</v>
      </c>
      <c r="N493" s="15" t="s">
        <v>33</v>
      </c>
      <c r="O493" s="19">
        <f t="shared" si="1"/>
        <v>0.16283808</v>
      </c>
      <c r="P493" s="19">
        <f t="shared" si="4"/>
        <v>6.700675021</v>
      </c>
    </row>
    <row r="494">
      <c r="A494" s="8">
        <f t="shared" si="3"/>
        <v>493</v>
      </c>
      <c r="B494" s="8" t="s">
        <v>35</v>
      </c>
      <c r="C494" s="8" t="s">
        <v>19</v>
      </c>
      <c r="D494" s="8" t="s">
        <v>1428</v>
      </c>
      <c r="E494" s="8" t="s">
        <v>157</v>
      </c>
      <c r="F494" s="8" t="s">
        <v>22</v>
      </c>
      <c r="G494" s="8" t="s">
        <v>29</v>
      </c>
      <c r="H494" s="8" t="s">
        <v>39</v>
      </c>
      <c r="I494" s="9">
        <v>-2.25</v>
      </c>
      <c r="J494" s="9">
        <v>0.25</v>
      </c>
      <c r="K494" s="9">
        <v>0.175</v>
      </c>
      <c r="L494" s="56">
        <v>45625.0</v>
      </c>
      <c r="M494" s="11">
        <v>1.925</v>
      </c>
      <c r="N494" s="8" t="s">
        <v>33</v>
      </c>
      <c r="O494" s="12">
        <f t="shared" si="1"/>
        <v>0.161875</v>
      </c>
      <c r="P494" s="12">
        <f t="shared" si="4"/>
        <v>6.862550021</v>
      </c>
    </row>
    <row r="495">
      <c r="A495" s="15">
        <f t="shared" si="3"/>
        <v>494</v>
      </c>
      <c r="B495" s="15" t="s">
        <v>35</v>
      </c>
      <c r="C495" s="15" t="s">
        <v>19</v>
      </c>
      <c r="D495" s="15" t="s">
        <v>1429</v>
      </c>
      <c r="E495" s="15" t="s">
        <v>820</v>
      </c>
      <c r="F495" s="15" t="s">
        <v>22</v>
      </c>
      <c r="G495" s="15" t="s">
        <v>29</v>
      </c>
      <c r="H495" s="15" t="s">
        <v>24</v>
      </c>
      <c r="I495" s="16">
        <v>-1.0</v>
      </c>
      <c r="J495" s="16">
        <v>0.5</v>
      </c>
      <c r="K495" s="16">
        <v>0.1875</v>
      </c>
      <c r="L495" s="57">
        <v>45625.0</v>
      </c>
      <c r="M495" s="18">
        <v>1.975</v>
      </c>
      <c r="N495" s="15" t="s">
        <v>70</v>
      </c>
      <c r="O495" s="19">
        <f t="shared" si="1"/>
        <v>0</v>
      </c>
      <c r="P495" s="19">
        <f t="shared" si="4"/>
        <v>6.862550021</v>
      </c>
    </row>
    <row r="496">
      <c r="A496" s="8">
        <f t="shared" si="3"/>
        <v>495</v>
      </c>
      <c r="B496" s="8" t="s">
        <v>35</v>
      </c>
      <c r="C496" s="8" t="s">
        <v>19</v>
      </c>
      <c r="D496" s="8" t="s">
        <v>1430</v>
      </c>
      <c r="E496" s="8" t="s">
        <v>877</v>
      </c>
      <c r="F496" s="8" t="s">
        <v>22</v>
      </c>
      <c r="G496" s="8" t="s">
        <v>29</v>
      </c>
      <c r="H496" s="8" t="s">
        <v>39</v>
      </c>
      <c r="I496" s="9">
        <v>-0.75</v>
      </c>
      <c r="J496" s="9">
        <v>0.25</v>
      </c>
      <c r="K496" s="9">
        <v>0.25</v>
      </c>
      <c r="L496" s="56">
        <v>45625.0</v>
      </c>
      <c r="M496" s="11">
        <v>2.075</v>
      </c>
      <c r="N496" s="8" t="s">
        <v>79</v>
      </c>
      <c r="O496" s="12">
        <f t="shared" si="1"/>
        <v>-0.125</v>
      </c>
      <c r="P496" s="12">
        <f t="shared" si="4"/>
        <v>6.737550021</v>
      </c>
    </row>
    <row r="497">
      <c r="A497" s="15">
        <f t="shared" si="3"/>
        <v>496</v>
      </c>
      <c r="B497" s="15" t="s">
        <v>35</v>
      </c>
      <c r="C497" s="15" t="s">
        <v>19</v>
      </c>
      <c r="D497" s="15" t="s">
        <v>1431</v>
      </c>
      <c r="E497" s="15" t="s">
        <v>612</v>
      </c>
      <c r="F497" s="15" t="s">
        <v>22</v>
      </c>
      <c r="G497" s="15" t="s">
        <v>29</v>
      </c>
      <c r="H497" s="15" t="s">
        <v>24</v>
      </c>
      <c r="I497" s="16">
        <v>-0.75</v>
      </c>
      <c r="J497" s="16">
        <v>0.5</v>
      </c>
      <c r="K497" s="16">
        <v>0.5</v>
      </c>
      <c r="L497" s="57">
        <v>45625.0</v>
      </c>
      <c r="M497" s="18">
        <v>2.075</v>
      </c>
      <c r="N497" s="15" t="s">
        <v>33</v>
      </c>
      <c r="O497" s="19">
        <f t="shared" si="1"/>
        <v>0.5375</v>
      </c>
      <c r="P497" s="19">
        <f t="shared" si="4"/>
        <v>7.275050021</v>
      </c>
    </row>
    <row r="498">
      <c r="A498" s="8">
        <f t="shared" si="3"/>
        <v>497</v>
      </c>
      <c r="B498" s="8" t="s">
        <v>35</v>
      </c>
      <c r="C498" s="8" t="s">
        <v>19</v>
      </c>
      <c r="D498" s="8" t="s">
        <v>1432</v>
      </c>
      <c r="E498" s="8" t="s">
        <v>38</v>
      </c>
      <c r="F498" s="8" t="s">
        <v>22</v>
      </c>
      <c r="G498" s="8" t="s">
        <v>29</v>
      </c>
      <c r="H498" s="8" t="s">
        <v>24</v>
      </c>
      <c r="I498" s="9">
        <v>-6.25</v>
      </c>
      <c r="J498" s="9">
        <v>0.5</v>
      </c>
      <c r="K498" s="9">
        <v>0.5</v>
      </c>
      <c r="L498" s="56">
        <v>45625.0</v>
      </c>
      <c r="M498" s="11">
        <v>1.95</v>
      </c>
      <c r="N498" s="8" t="s">
        <v>33</v>
      </c>
      <c r="O498" s="12">
        <f t="shared" si="1"/>
        <v>0.475</v>
      </c>
      <c r="P498" s="12">
        <f t="shared" si="4"/>
        <v>7.750050021</v>
      </c>
    </row>
    <row r="499">
      <c r="A499" s="15">
        <f t="shared" si="3"/>
        <v>498</v>
      </c>
      <c r="B499" s="15" t="s">
        <v>35</v>
      </c>
      <c r="C499" s="15" t="s">
        <v>19</v>
      </c>
      <c r="D499" s="15" t="s">
        <v>1433</v>
      </c>
      <c r="E499" s="15" t="s">
        <v>78</v>
      </c>
      <c r="F499" s="15" t="s">
        <v>22</v>
      </c>
      <c r="G499" s="15" t="s">
        <v>29</v>
      </c>
      <c r="H499" s="15" t="s">
        <v>39</v>
      </c>
      <c r="I499" s="16">
        <v>-1.5</v>
      </c>
      <c r="J499" s="16">
        <v>0.25</v>
      </c>
      <c r="K499" s="16">
        <v>0.25</v>
      </c>
      <c r="L499" s="57">
        <v>45625.0</v>
      </c>
      <c r="M499" s="18">
        <v>1.95</v>
      </c>
      <c r="N499" s="15" t="s">
        <v>33</v>
      </c>
      <c r="O499" s="19">
        <f t="shared" si="1"/>
        <v>0.2375</v>
      </c>
      <c r="P499" s="19">
        <f t="shared" si="4"/>
        <v>7.987550021</v>
      </c>
    </row>
    <row r="500">
      <c r="A500" s="8">
        <f t="shared" si="3"/>
        <v>499</v>
      </c>
      <c r="B500" s="8" t="s">
        <v>26</v>
      </c>
      <c r="C500" s="8" t="s">
        <v>19</v>
      </c>
      <c r="D500" s="8" t="s">
        <v>1434</v>
      </c>
      <c r="E500" s="8" t="s">
        <v>48</v>
      </c>
      <c r="F500" s="8" t="s">
        <v>22</v>
      </c>
      <c r="G500" s="8" t="s">
        <v>29</v>
      </c>
      <c r="H500" s="8"/>
      <c r="I500" s="9">
        <v>-3.5</v>
      </c>
      <c r="J500" s="9">
        <v>0.5</v>
      </c>
      <c r="K500" s="9">
        <v>0.5</v>
      </c>
      <c r="L500" s="56">
        <v>45626.0</v>
      </c>
      <c r="M500" s="11">
        <v>1.9</v>
      </c>
      <c r="N500" s="8" t="s">
        <v>25</v>
      </c>
      <c r="O500" s="12">
        <f t="shared" si="1"/>
        <v>-0.5</v>
      </c>
      <c r="P500" s="12">
        <f t="shared" si="4"/>
        <v>7.487550021</v>
      </c>
    </row>
    <row r="501">
      <c r="A501" s="15">
        <f t="shared" si="3"/>
        <v>500</v>
      </c>
      <c r="B501" s="15" t="s">
        <v>35</v>
      </c>
      <c r="C501" s="15" t="s">
        <v>19</v>
      </c>
      <c r="D501" s="15" t="s">
        <v>1435</v>
      </c>
      <c r="E501" s="15" t="s">
        <v>1436</v>
      </c>
      <c r="F501" s="15" t="s">
        <v>22</v>
      </c>
      <c r="G501" s="15" t="s">
        <v>29</v>
      </c>
      <c r="H501" s="15" t="s">
        <v>24</v>
      </c>
      <c r="I501" s="16">
        <v>-1.5</v>
      </c>
      <c r="J501" s="16">
        <v>0.5</v>
      </c>
      <c r="K501" s="16">
        <v>0.5</v>
      </c>
      <c r="L501" s="57">
        <v>45626.0</v>
      </c>
      <c r="M501" s="18">
        <v>1.9</v>
      </c>
      <c r="N501" s="15" t="s">
        <v>25</v>
      </c>
      <c r="O501" s="19">
        <f t="shared" si="1"/>
        <v>-0.5</v>
      </c>
      <c r="P501" s="19">
        <f t="shared" si="4"/>
        <v>6.987550021</v>
      </c>
    </row>
    <row r="502">
      <c r="A502" s="8">
        <f t="shared" si="3"/>
        <v>501</v>
      </c>
      <c r="B502" s="8" t="s">
        <v>26</v>
      </c>
      <c r="C502" s="8" t="s">
        <v>19</v>
      </c>
      <c r="D502" s="8" t="s">
        <v>1437</v>
      </c>
      <c r="E502" s="8" t="s">
        <v>84</v>
      </c>
      <c r="F502" s="8" t="s">
        <v>22</v>
      </c>
      <c r="G502" s="8" t="s">
        <v>29</v>
      </c>
      <c r="H502" s="8"/>
      <c r="I502" s="9">
        <v>-2.75</v>
      </c>
      <c r="J502" s="9">
        <v>0.5</v>
      </c>
      <c r="K502" s="9">
        <v>0.5</v>
      </c>
      <c r="L502" s="56">
        <v>45626.0</v>
      </c>
      <c r="M502" s="11">
        <v>1.875</v>
      </c>
      <c r="N502" s="8" t="s">
        <v>25</v>
      </c>
      <c r="O502" s="12">
        <f t="shared" si="1"/>
        <v>-0.5</v>
      </c>
      <c r="P502" s="12">
        <f t="shared" si="4"/>
        <v>6.487550021</v>
      </c>
    </row>
    <row r="503">
      <c r="A503" s="15">
        <f t="shared" si="3"/>
        <v>502</v>
      </c>
      <c r="B503" s="15" t="s">
        <v>26</v>
      </c>
      <c r="C503" s="15" t="s">
        <v>19</v>
      </c>
      <c r="D503" s="15" t="s">
        <v>1438</v>
      </c>
      <c r="E503" s="15" t="s">
        <v>84</v>
      </c>
      <c r="F503" s="15" t="s">
        <v>22</v>
      </c>
      <c r="G503" s="15" t="s">
        <v>29</v>
      </c>
      <c r="H503" s="15"/>
      <c r="I503" s="16">
        <v>-2.75</v>
      </c>
      <c r="J503" s="16">
        <v>0.5</v>
      </c>
      <c r="K503" s="16">
        <v>0.5</v>
      </c>
      <c r="L503" s="57">
        <v>45626.0</v>
      </c>
      <c r="M503" s="18">
        <v>1.925</v>
      </c>
      <c r="N503" s="15" t="s">
        <v>33</v>
      </c>
      <c r="O503" s="19">
        <f t="shared" si="1"/>
        <v>0.4625</v>
      </c>
      <c r="P503" s="19">
        <f t="shared" si="4"/>
        <v>6.950050021</v>
      </c>
    </row>
    <row r="504">
      <c r="A504" s="8">
        <f t="shared" si="3"/>
        <v>503</v>
      </c>
      <c r="B504" s="8" t="s">
        <v>26</v>
      </c>
      <c r="C504" s="8" t="s">
        <v>19</v>
      </c>
      <c r="D504" s="8" t="s">
        <v>1439</v>
      </c>
      <c r="E504" s="8" t="s">
        <v>66</v>
      </c>
      <c r="F504" s="8" t="s">
        <v>22</v>
      </c>
      <c r="G504" s="8" t="s">
        <v>225</v>
      </c>
      <c r="H504" s="8"/>
      <c r="I504" s="9">
        <v>0.5</v>
      </c>
      <c r="J504" s="9">
        <v>0.5</v>
      </c>
      <c r="K504" s="9">
        <v>0.25</v>
      </c>
      <c r="L504" s="56">
        <v>45626.0</v>
      </c>
      <c r="M504" s="11">
        <v>1.9</v>
      </c>
      <c r="N504" s="8" t="s">
        <v>33</v>
      </c>
      <c r="O504" s="12">
        <f t="shared" si="1"/>
        <v>0.225</v>
      </c>
      <c r="P504" s="12">
        <f t="shared" si="4"/>
        <v>7.175050021</v>
      </c>
    </row>
    <row r="505">
      <c r="A505" s="15">
        <f t="shared" si="3"/>
        <v>504</v>
      </c>
      <c r="B505" s="15" t="s">
        <v>26</v>
      </c>
      <c r="C505" s="15" t="s">
        <v>19</v>
      </c>
      <c r="D505" s="15" t="s">
        <v>1440</v>
      </c>
      <c r="E505" s="15" t="s">
        <v>93</v>
      </c>
      <c r="F505" s="15" t="s">
        <v>22</v>
      </c>
      <c r="G505" s="15" t="s">
        <v>225</v>
      </c>
      <c r="H505" s="15"/>
      <c r="I505" s="16">
        <v>1.5</v>
      </c>
      <c r="J505" s="16">
        <v>0.25</v>
      </c>
      <c r="K505" s="16">
        <v>0.1666</v>
      </c>
      <c r="L505" s="57">
        <v>45626.0</v>
      </c>
      <c r="M505" s="18">
        <v>1.75</v>
      </c>
      <c r="N505" s="15" t="s">
        <v>33</v>
      </c>
      <c r="O505" s="19">
        <f t="shared" si="1"/>
        <v>0.12495</v>
      </c>
      <c r="P505" s="19">
        <f t="shared" si="4"/>
        <v>7.300000021</v>
      </c>
    </row>
    <row r="506">
      <c r="A506" s="8">
        <f t="shared" si="3"/>
        <v>505</v>
      </c>
      <c r="B506" s="8" t="s">
        <v>26</v>
      </c>
      <c r="C506" s="8" t="s">
        <v>19</v>
      </c>
      <c r="D506" s="8" t="s">
        <v>1441</v>
      </c>
      <c r="E506" s="8" t="s">
        <v>38</v>
      </c>
      <c r="F506" s="8" t="s">
        <v>22</v>
      </c>
      <c r="G506" s="8" t="s">
        <v>29</v>
      </c>
      <c r="H506" s="8"/>
      <c r="I506" s="9">
        <v>-4.25</v>
      </c>
      <c r="J506" s="9">
        <v>0.5</v>
      </c>
      <c r="K506" s="9">
        <v>0.5</v>
      </c>
      <c r="L506" s="56">
        <v>45626.0</v>
      </c>
      <c r="M506" s="11">
        <v>1.7</v>
      </c>
      <c r="N506" s="8" t="s">
        <v>25</v>
      </c>
      <c r="O506" s="12">
        <f t="shared" si="1"/>
        <v>-0.5</v>
      </c>
      <c r="P506" s="12">
        <f t="shared" si="4"/>
        <v>6.800000021</v>
      </c>
    </row>
    <row r="507">
      <c r="A507" s="15">
        <f t="shared" si="3"/>
        <v>506</v>
      </c>
      <c r="B507" s="15" t="s">
        <v>35</v>
      </c>
      <c r="C507" s="15" t="s">
        <v>19</v>
      </c>
      <c r="D507" s="15" t="s">
        <v>1442</v>
      </c>
      <c r="E507" s="15" t="s">
        <v>229</v>
      </c>
      <c r="F507" s="15" t="s">
        <v>22</v>
      </c>
      <c r="G507" s="15" t="s">
        <v>29</v>
      </c>
      <c r="H507" s="15" t="s">
        <v>24</v>
      </c>
      <c r="I507" s="16">
        <v>-1.0</v>
      </c>
      <c r="J507" s="16">
        <v>0.25</v>
      </c>
      <c r="K507" s="16">
        <v>0.1547</v>
      </c>
      <c r="L507" s="57">
        <v>45626.0</v>
      </c>
      <c r="M507" s="18">
        <v>1.7</v>
      </c>
      <c r="N507" s="15" t="s">
        <v>33</v>
      </c>
      <c r="O507" s="19">
        <f t="shared" si="1"/>
        <v>0.10829</v>
      </c>
      <c r="P507" s="19">
        <f t="shared" si="4"/>
        <v>6.908290021</v>
      </c>
    </row>
    <row r="508">
      <c r="A508" s="8">
        <f t="shared" si="3"/>
        <v>507</v>
      </c>
      <c r="B508" s="8" t="s">
        <v>26</v>
      </c>
      <c r="C508" s="8" t="s">
        <v>19</v>
      </c>
      <c r="D508" s="8" t="s">
        <v>1443</v>
      </c>
      <c r="E508" s="8" t="s">
        <v>245</v>
      </c>
      <c r="F508" s="8" t="s">
        <v>22</v>
      </c>
      <c r="G508" s="8" t="s">
        <v>29</v>
      </c>
      <c r="H508" s="8"/>
      <c r="I508" s="9">
        <v>-3.75</v>
      </c>
      <c r="J508" s="9">
        <v>0.5</v>
      </c>
      <c r="K508" s="9">
        <v>0.4761</v>
      </c>
      <c r="L508" s="56">
        <v>45626.0</v>
      </c>
      <c r="M508" s="11">
        <v>1.7</v>
      </c>
      <c r="N508" s="8" t="s">
        <v>79</v>
      </c>
      <c r="O508" s="12">
        <f t="shared" si="1"/>
        <v>-0.23805</v>
      </c>
      <c r="P508" s="12">
        <f t="shared" si="4"/>
        <v>6.670240021</v>
      </c>
    </row>
    <row r="509">
      <c r="A509" s="15">
        <f t="shared" si="3"/>
        <v>508</v>
      </c>
      <c r="B509" s="15" t="s">
        <v>35</v>
      </c>
      <c r="C509" s="15" t="s">
        <v>19</v>
      </c>
      <c r="D509" s="15" t="s">
        <v>1444</v>
      </c>
      <c r="E509" s="15" t="s">
        <v>99</v>
      </c>
      <c r="F509" s="15" t="s">
        <v>22</v>
      </c>
      <c r="G509" s="15" t="s">
        <v>29</v>
      </c>
      <c r="H509" s="15" t="s">
        <v>39</v>
      </c>
      <c r="I509" s="16">
        <v>-2.0</v>
      </c>
      <c r="J509" s="16">
        <v>0.25</v>
      </c>
      <c r="K509" s="16">
        <v>0.238</v>
      </c>
      <c r="L509" s="57">
        <v>45626.0</v>
      </c>
      <c r="M509" s="18">
        <v>1.95</v>
      </c>
      <c r="N509" s="15" t="s">
        <v>33</v>
      </c>
      <c r="O509" s="19">
        <f t="shared" si="1"/>
        <v>0.2261</v>
      </c>
      <c r="P509" s="19">
        <f t="shared" si="4"/>
        <v>6.896340021</v>
      </c>
    </row>
    <row r="510">
      <c r="A510" s="8">
        <f t="shared" si="3"/>
        <v>509</v>
      </c>
      <c r="B510" s="8" t="s">
        <v>35</v>
      </c>
      <c r="C510" s="8" t="s">
        <v>19</v>
      </c>
      <c r="D510" s="8" t="s">
        <v>1445</v>
      </c>
      <c r="E510" s="8" t="s">
        <v>93</v>
      </c>
      <c r="F510" s="8" t="s">
        <v>22</v>
      </c>
      <c r="G510" s="8" t="s">
        <v>29</v>
      </c>
      <c r="H510" s="8" t="s">
        <v>24</v>
      </c>
      <c r="I510" s="9">
        <v>-2.0</v>
      </c>
      <c r="J510" s="9">
        <v>0.5</v>
      </c>
      <c r="K510" s="9">
        <v>0.4761</v>
      </c>
      <c r="L510" s="56">
        <v>45626.0</v>
      </c>
      <c r="M510" s="11">
        <v>1.725</v>
      </c>
      <c r="N510" s="8" t="s">
        <v>25</v>
      </c>
      <c r="O510" s="12">
        <f t="shared" si="1"/>
        <v>-0.4761</v>
      </c>
      <c r="P510" s="12">
        <f t="shared" si="4"/>
        <v>6.420240021</v>
      </c>
    </row>
    <row r="511">
      <c r="A511" s="15">
        <f t="shared" si="3"/>
        <v>510</v>
      </c>
      <c r="B511" s="15" t="s">
        <v>26</v>
      </c>
      <c r="C511" s="15" t="s">
        <v>19</v>
      </c>
      <c r="D511" s="15" t="s">
        <v>1446</v>
      </c>
      <c r="E511" s="15" t="s">
        <v>607</v>
      </c>
      <c r="F511" s="15" t="s">
        <v>22</v>
      </c>
      <c r="G511" s="15" t="s">
        <v>29</v>
      </c>
      <c r="H511" s="15"/>
      <c r="I511" s="16">
        <v>-4.25</v>
      </c>
      <c r="J511" s="16">
        <v>0.5</v>
      </c>
      <c r="K511" s="16">
        <v>0.4821</v>
      </c>
      <c r="L511" s="57">
        <v>45626.0</v>
      </c>
      <c r="M511" s="18">
        <v>1.875</v>
      </c>
      <c r="N511" s="15" t="s">
        <v>25</v>
      </c>
      <c r="O511" s="19">
        <f t="shared" si="1"/>
        <v>-0.4821</v>
      </c>
      <c r="P511" s="19">
        <f t="shared" si="4"/>
        <v>5.938140021</v>
      </c>
    </row>
    <row r="512">
      <c r="A512" s="8">
        <f t="shared" si="3"/>
        <v>511</v>
      </c>
      <c r="B512" s="8" t="s">
        <v>35</v>
      </c>
      <c r="C512" s="8" t="s">
        <v>19</v>
      </c>
      <c r="D512" s="8" t="s">
        <v>1447</v>
      </c>
      <c r="E512" s="8" t="s">
        <v>169</v>
      </c>
      <c r="F512" s="8" t="s">
        <v>22</v>
      </c>
      <c r="G512" s="8" t="s">
        <v>29</v>
      </c>
      <c r="H512" s="8" t="s">
        <v>24</v>
      </c>
      <c r="I512" s="9">
        <v>-2.25</v>
      </c>
      <c r="J512" s="9">
        <v>0.5</v>
      </c>
      <c r="K512" s="9">
        <v>0.3928</v>
      </c>
      <c r="L512" s="56">
        <v>45626.0</v>
      </c>
      <c r="M512" s="11">
        <v>2.0</v>
      </c>
      <c r="N512" s="8" t="s">
        <v>25</v>
      </c>
      <c r="O512" s="12">
        <f t="shared" si="1"/>
        <v>-0.3928</v>
      </c>
      <c r="P512" s="12">
        <f t="shared" si="4"/>
        <v>5.545340021</v>
      </c>
    </row>
    <row r="513">
      <c r="A513" s="15">
        <f t="shared" si="3"/>
        <v>512</v>
      </c>
      <c r="B513" s="15" t="s">
        <v>35</v>
      </c>
      <c r="C513" s="15" t="s">
        <v>19</v>
      </c>
      <c r="D513" s="15" t="s">
        <v>1448</v>
      </c>
      <c r="E513" s="15" t="s">
        <v>121</v>
      </c>
      <c r="F513" s="15" t="s">
        <v>22</v>
      </c>
      <c r="G513" s="15" t="s">
        <v>29</v>
      </c>
      <c r="H513" s="15" t="s">
        <v>39</v>
      </c>
      <c r="I513" s="16">
        <v>-5.25</v>
      </c>
      <c r="J513" s="16">
        <v>0.25</v>
      </c>
      <c r="K513" s="16">
        <v>0.2321</v>
      </c>
      <c r="L513" s="57">
        <v>45626.0</v>
      </c>
      <c r="M513" s="18">
        <v>1.975</v>
      </c>
      <c r="N513" s="15" t="s">
        <v>33</v>
      </c>
      <c r="O513" s="19">
        <f t="shared" si="1"/>
        <v>0.2262975</v>
      </c>
      <c r="P513" s="19">
        <f t="shared" si="4"/>
        <v>5.771637521</v>
      </c>
    </row>
    <row r="514">
      <c r="A514" s="8">
        <f t="shared" si="3"/>
        <v>513</v>
      </c>
      <c r="B514" s="8" t="s">
        <v>26</v>
      </c>
      <c r="C514" s="8" t="s">
        <v>19</v>
      </c>
      <c r="D514" s="8" t="s">
        <v>1449</v>
      </c>
      <c r="E514" s="8" t="s">
        <v>66</v>
      </c>
      <c r="F514" s="8" t="s">
        <v>22</v>
      </c>
      <c r="G514" s="8" t="s">
        <v>225</v>
      </c>
      <c r="H514" s="8"/>
      <c r="I514" s="9">
        <v>1.5</v>
      </c>
      <c r="J514" s="9">
        <v>0.25</v>
      </c>
      <c r="K514" s="9">
        <v>0.25</v>
      </c>
      <c r="L514" s="56">
        <v>45626.0</v>
      </c>
      <c r="M514" s="11">
        <v>1.85</v>
      </c>
      <c r="N514" s="8" t="s">
        <v>33</v>
      </c>
      <c r="O514" s="12">
        <f t="shared" si="1"/>
        <v>0.2125</v>
      </c>
      <c r="P514" s="12">
        <f t="shared" si="4"/>
        <v>5.984137521</v>
      </c>
    </row>
    <row r="515">
      <c r="A515" s="15">
        <f t="shared" si="3"/>
        <v>514</v>
      </c>
      <c r="B515" s="15" t="s">
        <v>26</v>
      </c>
      <c r="C515" s="15" t="s">
        <v>19</v>
      </c>
      <c r="D515" s="15" t="s">
        <v>1450</v>
      </c>
      <c r="E515" s="15" t="s">
        <v>38</v>
      </c>
      <c r="F515" s="15" t="s">
        <v>22</v>
      </c>
      <c r="G515" s="15" t="s">
        <v>892</v>
      </c>
      <c r="H515" s="15"/>
      <c r="I515" s="16">
        <v>1.5</v>
      </c>
      <c r="J515" s="16">
        <v>0.26</v>
      </c>
      <c r="K515" s="16">
        <v>0.2476</v>
      </c>
      <c r="L515" s="57">
        <v>45626.0</v>
      </c>
      <c r="M515" s="18">
        <v>1.9</v>
      </c>
      <c r="N515" s="15" t="s">
        <v>33</v>
      </c>
      <c r="O515" s="19">
        <f t="shared" si="1"/>
        <v>0.22284</v>
      </c>
      <c r="P515" s="19">
        <f t="shared" si="4"/>
        <v>6.206977521</v>
      </c>
    </row>
    <row r="516">
      <c r="A516" s="8">
        <f t="shared" si="3"/>
        <v>515</v>
      </c>
      <c r="B516" s="8" t="s">
        <v>26</v>
      </c>
      <c r="C516" s="8" t="s">
        <v>19</v>
      </c>
      <c r="D516" s="8" t="s">
        <v>1451</v>
      </c>
      <c r="E516" s="8" t="s">
        <v>66</v>
      </c>
      <c r="F516" s="8" t="s">
        <v>22</v>
      </c>
      <c r="G516" s="8" t="s">
        <v>225</v>
      </c>
      <c r="H516" s="8"/>
      <c r="I516" s="9">
        <v>2.25</v>
      </c>
      <c r="J516" s="9">
        <v>0.5</v>
      </c>
      <c r="K516" s="9">
        <v>0.4583</v>
      </c>
      <c r="L516" s="56">
        <v>45626.0</v>
      </c>
      <c r="M516" s="11">
        <v>1.8</v>
      </c>
      <c r="N516" s="8" t="s">
        <v>33</v>
      </c>
      <c r="O516" s="12">
        <f t="shared" si="1"/>
        <v>0.36664</v>
      </c>
      <c r="P516" s="12">
        <f t="shared" si="4"/>
        <v>6.573617521</v>
      </c>
    </row>
    <row r="517">
      <c r="A517" s="15">
        <f t="shared" si="3"/>
        <v>516</v>
      </c>
      <c r="B517" s="15" t="s">
        <v>35</v>
      </c>
      <c r="C517" s="15" t="s">
        <v>40</v>
      </c>
      <c r="D517" s="15" t="s">
        <v>1452</v>
      </c>
      <c r="E517" s="15" t="s">
        <v>93</v>
      </c>
      <c r="F517" s="15" t="s">
        <v>22</v>
      </c>
      <c r="G517" s="15" t="s">
        <v>29</v>
      </c>
      <c r="H517" s="15"/>
      <c r="I517" s="16">
        <v>-4.0</v>
      </c>
      <c r="J517" s="16">
        <v>0.25</v>
      </c>
      <c r="K517" s="16">
        <v>0.0892</v>
      </c>
      <c r="L517" s="57">
        <v>45626.0</v>
      </c>
      <c r="M517" s="18">
        <v>1.95</v>
      </c>
      <c r="N517" s="15" t="s">
        <v>25</v>
      </c>
      <c r="O517" s="19">
        <f t="shared" si="1"/>
        <v>-0.0892</v>
      </c>
      <c r="P517" s="19">
        <f t="shared" si="4"/>
        <v>6.484417521</v>
      </c>
    </row>
    <row r="518">
      <c r="A518" s="8">
        <f t="shared" si="3"/>
        <v>517</v>
      </c>
      <c r="B518" s="8" t="s">
        <v>35</v>
      </c>
      <c r="C518" s="8" t="s">
        <v>19</v>
      </c>
      <c r="D518" s="8" t="s">
        <v>1453</v>
      </c>
      <c r="E518" s="8" t="s">
        <v>607</v>
      </c>
      <c r="F518" s="8" t="s">
        <v>22</v>
      </c>
      <c r="G518" s="8" t="s">
        <v>29</v>
      </c>
      <c r="H518" s="8" t="s">
        <v>39</v>
      </c>
      <c r="I518" s="9">
        <v>-1.5</v>
      </c>
      <c r="J518" s="9">
        <v>0.25</v>
      </c>
      <c r="K518" s="9">
        <v>0.238</v>
      </c>
      <c r="L518" s="56">
        <v>45626.0</v>
      </c>
      <c r="M518" s="11">
        <v>1.875</v>
      </c>
      <c r="N518" s="8" t="s">
        <v>33</v>
      </c>
      <c r="O518" s="12">
        <f t="shared" si="1"/>
        <v>0.20825</v>
      </c>
      <c r="P518" s="12">
        <f t="shared" si="4"/>
        <v>6.692667521</v>
      </c>
    </row>
    <row r="519">
      <c r="A519" s="15">
        <f t="shared" si="3"/>
        <v>518</v>
      </c>
      <c r="B519" s="15" t="s">
        <v>26</v>
      </c>
      <c r="C519" s="15" t="s">
        <v>19</v>
      </c>
      <c r="D519" s="15" t="s">
        <v>1454</v>
      </c>
      <c r="E519" s="15" t="s">
        <v>248</v>
      </c>
      <c r="F519" s="15" t="s">
        <v>22</v>
      </c>
      <c r="G519" s="15" t="s">
        <v>225</v>
      </c>
      <c r="H519" s="15"/>
      <c r="I519" s="16">
        <v>0.25</v>
      </c>
      <c r="J519" s="16">
        <v>0.3</v>
      </c>
      <c r="K519" s="16">
        <v>0.2928</v>
      </c>
      <c r="L519" s="57">
        <v>45626.0</v>
      </c>
      <c r="M519" s="18">
        <v>1.95</v>
      </c>
      <c r="N519" s="15" t="s">
        <v>25</v>
      </c>
      <c r="O519" s="19">
        <f t="shared" si="1"/>
        <v>-0.2928</v>
      </c>
      <c r="P519" s="19">
        <f t="shared" si="4"/>
        <v>6.399867521</v>
      </c>
    </row>
    <row r="520">
      <c r="A520" s="8">
        <f t="shared" si="3"/>
        <v>519</v>
      </c>
      <c r="B520" s="8" t="s">
        <v>26</v>
      </c>
      <c r="C520" s="8" t="s">
        <v>40</v>
      </c>
      <c r="D520" s="8" t="s">
        <v>1455</v>
      </c>
      <c r="E520" s="8" t="s">
        <v>93</v>
      </c>
      <c r="F520" s="8" t="s">
        <v>22</v>
      </c>
      <c r="G520" s="8" t="s">
        <v>29</v>
      </c>
      <c r="H520" s="8"/>
      <c r="I520" s="9">
        <v>-4.25</v>
      </c>
      <c r="J520" s="9">
        <v>0.5</v>
      </c>
      <c r="K520" s="9">
        <f>0.48/2</f>
        <v>0.24</v>
      </c>
      <c r="L520" s="56">
        <v>45626.0</v>
      </c>
      <c r="M520" s="11">
        <v>1.9</v>
      </c>
      <c r="N520" s="8" t="s">
        <v>33</v>
      </c>
      <c r="O520" s="12">
        <f t="shared" si="1"/>
        <v>0.216</v>
      </c>
      <c r="P520" s="12">
        <f t="shared" si="4"/>
        <v>6.615867521</v>
      </c>
    </row>
    <row r="521">
      <c r="A521" s="15">
        <f t="shared" si="3"/>
        <v>520</v>
      </c>
      <c r="B521" s="15" t="s">
        <v>26</v>
      </c>
      <c r="C521" s="15" t="s">
        <v>40</v>
      </c>
      <c r="D521" s="15" t="s">
        <v>1456</v>
      </c>
      <c r="E521" s="15" t="s">
        <v>93</v>
      </c>
      <c r="F521" s="15" t="s">
        <v>22</v>
      </c>
      <c r="G521" s="15" t="s">
        <v>225</v>
      </c>
      <c r="H521" s="15"/>
      <c r="I521" s="16">
        <v>3.25</v>
      </c>
      <c r="J521" s="16">
        <v>0.26</v>
      </c>
      <c r="K521" s="16">
        <f>0.2507/2</f>
        <v>0.12535</v>
      </c>
      <c r="L521" s="57">
        <v>45626.0</v>
      </c>
      <c r="M521" s="18">
        <v>1.9</v>
      </c>
      <c r="N521" s="15" t="s">
        <v>25</v>
      </c>
      <c r="O521" s="19">
        <f t="shared" si="1"/>
        <v>-0.12535</v>
      </c>
      <c r="P521" s="19">
        <f t="shared" si="4"/>
        <v>6.490517521</v>
      </c>
    </row>
    <row r="522">
      <c r="A522" s="8">
        <f t="shared" si="3"/>
        <v>521</v>
      </c>
      <c r="B522" s="8" t="s">
        <v>35</v>
      </c>
      <c r="C522" s="8" t="s">
        <v>19</v>
      </c>
      <c r="D522" s="8" t="s">
        <v>1457</v>
      </c>
      <c r="E522" s="8" t="s">
        <v>233</v>
      </c>
      <c r="F522" s="8" t="s">
        <v>22</v>
      </c>
      <c r="G522" s="8" t="s">
        <v>29</v>
      </c>
      <c r="H522" s="8" t="s">
        <v>24</v>
      </c>
      <c r="I522" s="9">
        <v>-0.75</v>
      </c>
      <c r="J522" s="9">
        <v>0.5</v>
      </c>
      <c r="K522" s="9">
        <v>0.369</v>
      </c>
      <c r="L522" s="56">
        <v>45626.0</v>
      </c>
      <c r="M522" s="11">
        <v>2.05</v>
      </c>
      <c r="N522" s="8" t="s">
        <v>33</v>
      </c>
      <c r="O522" s="12">
        <f t="shared" si="1"/>
        <v>0.38745</v>
      </c>
      <c r="P522" s="12">
        <f t="shared" si="4"/>
        <v>6.877967521</v>
      </c>
    </row>
    <row r="523">
      <c r="A523" s="15">
        <f t="shared" si="3"/>
        <v>522</v>
      </c>
      <c r="B523" s="15" t="s">
        <v>35</v>
      </c>
      <c r="C523" s="15" t="s">
        <v>19</v>
      </c>
      <c r="D523" s="15" t="s">
        <v>1458</v>
      </c>
      <c r="E523" s="15" t="s">
        <v>93</v>
      </c>
      <c r="F523" s="15" t="s">
        <v>22</v>
      </c>
      <c r="G523" s="15" t="s">
        <v>29</v>
      </c>
      <c r="H523" s="15" t="s">
        <v>24</v>
      </c>
      <c r="I523" s="16">
        <v>-0.75</v>
      </c>
      <c r="J523" s="16">
        <v>0.5</v>
      </c>
      <c r="K523" s="16">
        <v>0.3809</v>
      </c>
      <c r="L523" s="57">
        <v>45626.0</v>
      </c>
      <c r="M523" s="18">
        <v>2.025</v>
      </c>
      <c r="N523" s="15" t="s">
        <v>25</v>
      </c>
      <c r="O523" s="19">
        <f t="shared" si="1"/>
        <v>-0.3809</v>
      </c>
      <c r="P523" s="19">
        <f t="shared" si="4"/>
        <v>6.497067521</v>
      </c>
    </row>
    <row r="524">
      <c r="A524" s="8">
        <f t="shared" si="3"/>
        <v>523</v>
      </c>
      <c r="B524" s="8" t="s">
        <v>35</v>
      </c>
      <c r="C524" s="8" t="s">
        <v>19</v>
      </c>
      <c r="D524" s="8" t="s">
        <v>1459</v>
      </c>
      <c r="E524" s="8" t="s">
        <v>1460</v>
      </c>
      <c r="F524" s="8" t="s">
        <v>22</v>
      </c>
      <c r="G524" s="8" t="s">
        <v>29</v>
      </c>
      <c r="H524" s="8" t="s">
        <v>24</v>
      </c>
      <c r="I524" s="9">
        <v>-1.0</v>
      </c>
      <c r="J524" s="9">
        <v>0.5</v>
      </c>
      <c r="K524" s="9">
        <v>0.4642</v>
      </c>
      <c r="L524" s="56">
        <v>45626.0</v>
      </c>
      <c r="M524" s="11">
        <v>1.75</v>
      </c>
      <c r="N524" s="8" t="s">
        <v>70</v>
      </c>
      <c r="O524" s="12">
        <f t="shared" si="1"/>
        <v>0</v>
      </c>
      <c r="P524" s="12">
        <f t="shared" si="4"/>
        <v>6.497067521</v>
      </c>
    </row>
    <row r="525">
      <c r="A525" s="15">
        <f t="shared" si="3"/>
        <v>524</v>
      </c>
      <c r="B525" s="15" t="s">
        <v>35</v>
      </c>
      <c r="C525" s="15" t="s">
        <v>19</v>
      </c>
      <c r="D525" s="15" t="s">
        <v>1461</v>
      </c>
      <c r="E525" s="15" t="s">
        <v>93</v>
      </c>
      <c r="F525" s="15" t="s">
        <v>22</v>
      </c>
      <c r="G525" s="15" t="s">
        <v>29</v>
      </c>
      <c r="H525" s="15" t="s">
        <v>39</v>
      </c>
      <c r="I525" s="16">
        <v>-1.75</v>
      </c>
      <c r="J525" s="16">
        <v>0.25</v>
      </c>
      <c r="K525" s="16">
        <v>0.238</v>
      </c>
      <c r="L525" s="57">
        <v>45626.0</v>
      </c>
      <c r="M525" s="18">
        <v>1.85</v>
      </c>
      <c r="N525" s="15" t="s">
        <v>25</v>
      </c>
      <c r="O525" s="19">
        <f t="shared" si="1"/>
        <v>-0.238</v>
      </c>
      <c r="P525" s="19">
        <f t="shared" si="4"/>
        <v>6.259067521</v>
      </c>
    </row>
    <row r="526">
      <c r="A526" s="8">
        <f t="shared" si="3"/>
        <v>525</v>
      </c>
      <c r="B526" s="59"/>
      <c r="C526" s="59"/>
      <c r="D526" s="8"/>
      <c r="E526" s="59"/>
      <c r="F526" s="8"/>
      <c r="G526" s="8"/>
      <c r="H526" s="59"/>
      <c r="I526" s="9"/>
      <c r="J526" s="9"/>
      <c r="K526" s="9"/>
      <c r="L526" s="56"/>
      <c r="M526" s="11"/>
      <c r="N526" s="8"/>
      <c r="O526" s="12" t="str">
        <f t="shared" si="1"/>
        <v/>
      </c>
      <c r="P526" s="12">
        <f t="shared" si="4"/>
        <v>6.259067521</v>
      </c>
    </row>
    <row r="527">
      <c r="A527" s="15">
        <f t="shared" si="3"/>
        <v>526</v>
      </c>
      <c r="B527" s="58"/>
      <c r="C527" s="58"/>
      <c r="D527" s="15"/>
      <c r="E527" s="58"/>
      <c r="F527" s="15"/>
      <c r="G527" s="15"/>
      <c r="H527" s="58"/>
      <c r="I527" s="16"/>
      <c r="J527" s="16"/>
      <c r="K527" s="16"/>
      <c r="L527" s="57"/>
      <c r="M527" s="18"/>
      <c r="N527" s="15"/>
      <c r="O527" s="19" t="str">
        <f t="shared" si="1"/>
        <v/>
      </c>
      <c r="P527" s="19">
        <f t="shared" si="4"/>
        <v>6.259067521</v>
      </c>
    </row>
    <row r="528">
      <c r="A528" s="8">
        <f t="shared" si="3"/>
        <v>527</v>
      </c>
      <c r="B528" s="59"/>
      <c r="C528" s="59"/>
      <c r="D528" s="8"/>
      <c r="E528" s="59"/>
      <c r="F528" s="8"/>
      <c r="G528" s="8"/>
      <c r="H528" s="59"/>
      <c r="I528" s="9"/>
      <c r="J528" s="9"/>
      <c r="K528" s="9"/>
      <c r="L528" s="56"/>
      <c r="M528" s="11"/>
      <c r="N528" s="8"/>
      <c r="O528" s="12" t="str">
        <f t="shared" si="1"/>
        <v/>
      </c>
      <c r="P528" s="12">
        <f t="shared" si="4"/>
        <v>6.259067521</v>
      </c>
    </row>
    <row r="529">
      <c r="A529" s="15">
        <f t="shared" si="3"/>
        <v>528</v>
      </c>
      <c r="B529" s="58"/>
      <c r="C529" s="58"/>
      <c r="D529" s="15"/>
      <c r="E529" s="58"/>
      <c r="F529" s="15"/>
      <c r="G529" s="15"/>
      <c r="H529" s="58"/>
      <c r="I529" s="58"/>
      <c r="J529" s="16"/>
      <c r="K529" s="58"/>
      <c r="L529" s="57"/>
      <c r="M529" s="58"/>
      <c r="N529" s="58"/>
      <c r="O529" s="19" t="str">
        <f>IF(N530="ganha",(K529*(M529-1)),IF(N530="perdida",-K529,IF(N530="devolvida",0,IF(N530="ganha/devolvida",((K529*(M529-1)))/2,IF(N530="perdida/devolvida",-K529/2,IF(N530="Aguardando",0,""))))))</f>
        <v/>
      </c>
      <c r="P529" s="19">
        <f t="shared" si="4"/>
        <v>6.259067521</v>
      </c>
    </row>
    <row r="530">
      <c r="A530" s="8">
        <f t="shared" si="3"/>
        <v>529</v>
      </c>
      <c r="B530" s="59"/>
      <c r="C530" s="59"/>
      <c r="D530" s="8"/>
      <c r="E530" s="59"/>
      <c r="F530" s="8"/>
      <c r="G530" s="8"/>
      <c r="H530" s="59"/>
      <c r="I530" s="59"/>
      <c r="J530" s="9"/>
      <c r="K530" s="59"/>
      <c r="L530" s="56"/>
      <c r="M530" s="59"/>
      <c r="N530" s="59"/>
      <c r="O530" s="59"/>
      <c r="P530" s="12">
        <f t="shared" si="4"/>
        <v>6.259067521</v>
      </c>
    </row>
    <row r="531">
      <c r="A531" s="15">
        <f t="shared" si="3"/>
        <v>530</v>
      </c>
      <c r="B531" s="58"/>
      <c r="C531" s="58"/>
      <c r="D531" s="15"/>
      <c r="E531" s="58"/>
      <c r="F531" s="15"/>
      <c r="G531" s="15"/>
      <c r="H531" s="58"/>
      <c r="I531" s="58"/>
      <c r="J531" s="16"/>
      <c r="K531" s="58"/>
      <c r="L531" s="57"/>
      <c r="M531" s="58"/>
      <c r="N531" s="58"/>
      <c r="O531" s="58"/>
      <c r="P531" s="19">
        <f t="shared" si="4"/>
        <v>6.259067521</v>
      </c>
    </row>
    <row r="532">
      <c r="A532" s="8">
        <f t="shared" si="3"/>
        <v>531</v>
      </c>
      <c r="B532" s="59"/>
      <c r="C532" s="59"/>
      <c r="D532" s="8"/>
      <c r="E532" s="59"/>
      <c r="F532" s="8"/>
      <c r="G532" s="8"/>
      <c r="H532" s="59"/>
      <c r="I532" s="59"/>
      <c r="J532" s="9"/>
      <c r="K532" s="59"/>
      <c r="L532" s="56"/>
      <c r="M532" s="59"/>
      <c r="N532" s="59"/>
      <c r="O532" s="59"/>
      <c r="P532" s="12">
        <f t="shared" si="4"/>
        <v>6.259067521</v>
      </c>
    </row>
    <row r="533">
      <c r="A533" s="15">
        <f t="shared" si="3"/>
        <v>532</v>
      </c>
      <c r="B533" s="58"/>
      <c r="C533" s="58"/>
      <c r="D533" s="15"/>
      <c r="E533" s="58"/>
      <c r="F533" s="15"/>
      <c r="G533" s="15"/>
      <c r="H533" s="58"/>
      <c r="I533" s="58"/>
      <c r="J533" s="16"/>
      <c r="K533" s="58"/>
      <c r="L533" s="57"/>
      <c r="M533" s="58"/>
      <c r="N533" s="58"/>
      <c r="O533" s="58"/>
      <c r="P533" s="19">
        <f t="shared" si="4"/>
        <v>6.259067521</v>
      </c>
    </row>
    <row r="534">
      <c r="A534" s="8">
        <f t="shared" si="3"/>
        <v>533</v>
      </c>
      <c r="B534" s="59"/>
      <c r="C534" s="59"/>
      <c r="D534" s="8"/>
      <c r="E534" s="59"/>
      <c r="F534" s="8"/>
      <c r="G534" s="8"/>
      <c r="H534" s="59"/>
      <c r="I534" s="59"/>
      <c r="J534" s="9"/>
      <c r="K534" s="59"/>
      <c r="L534" s="56"/>
      <c r="M534" s="59"/>
      <c r="N534" s="59"/>
      <c r="O534" s="59"/>
      <c r="P534" s="12">
        <f t="shared" si="4"/>
        <v>6.259067521</v>
      </c>
    </row>
    <row r="535">
      <c r="A535" s="15">
        <f t="shared" si="3"/>
        <v>534</v>
      </c>
      <c r="B535" s="58"/>
      <c r="C535" s="58"/>
      <c r="D535" s="15"/>
      <c r="E535" s="58"/>
      <c r="F535" s="15"/>
      <c r="G535" s="15"/>
      <c r="H535" s="58"/>
      <c r="I535" s="58"/>
      <c r="J535" s="16"/>
      <c r="K535" s="58"/>
      <c r="L535" s="57"/>
      <c r="M535" s="58"/>
      <c r="N535" s="58"/>
      <c r="O535" s="58"/>
      <c r="P535" s="19">
        <f t="shared" si="4"/>
        <v>6.259067521</v>
      </c>
    </row>
    <row r="536">
      <c r="A536" s="8">
        <f t="shared" si="3"/>
        <v>535</v>
      </c>
      <c r="B536" s="59"/>
      <c r="C536" s="59"/>
      <c r="D536" s="8"/>
      <c r="E536" s="59"/>
      <c r="F536" s="8"/>
      <c r="G536" s="8"/>
      <c r="H536" s="59"/>
      <c r="I536" s="59"/>
      <c r="J536" s="9"/>
      <c r="K536" s="59"/>
      <c r="L536" s="56"/>
      <c r="M536" s="59"/>
      <c r="N536" s="59"/>
      <c r="O536" s="59"/>
      <c r="P536" s="12">
        <f t="shared" si="4"/>
        <v>6.259067521</v>
      </c>
    </row>
    <row r="537">
      <c r="A537" s="15">
        <f t="shared" si="3"/>
        <v>536</v>
      </c>
      <c r="B537" s="58"/>
      <c r="C537" s="58"/>
      <c r="D537" s="58"/>
      <c r="E537" s="58"/>
      <c r="F537" s="15"/>
      <c r="G537" s="15"/>
      <c r="H537" s="58"/>
      <c r="I537" s="58"/>
      <c r="J537" s="16"/>
      <c r="K537" s="58"/>
      <c r="L537" s="57"/>
      <c r="M537" s="58"/>
      <c r="N537" s="58"/>
      <c r="O537" s="58"/>
      <c r="P537" s="19">
        <f t="shared" si="4"/>
        <v>6.259067521</v>
      </c>
    </row>
    <row r="538">
      <c r="A538" s="8">
        <f t="shared" si="3"/>
        <v>537</v>
      </c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12">
        <f t="shared" si="4"/>
        <v>6.259067521</v>
      </c>
    </row>
    <row r="539">
      <c r="A539" s="15">
        <f t="shared" si="3"/>
        <v>538</v>
      </c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9">
        <f t="shared" si="4"/>
        <v>6.259067521</v>
      </c>
    </row>
    <row r="540">
      <c r="A540" s="8">
        <f t="shared" si="3"/>
        <v>539</v>
      </c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12">
        <f t="shared" si="4"/>
        <v>6.259067521</v>
      </c>
    </row>
    <row r="541">
      <c r="A541" s="15">
        <f t="shared" si="3"/>
        <v>540</v>
      </c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</row>
    <row r="542">
      <c r="A542" s="8">
        <f t="shared" si="3"/>
        <v>541</v>
      </c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</row>
    <row r="543">
      <c r="A543" s="15">
        <f t="shared" si="3"/>
        <v>542</v>
      </c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</row>
    <row r="544">
      <c r="A544" s="8">
        <f t="shared" si="3"/>
        <v>543</v>
      </c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</row>
    <row r="545">
      <c r="A545" s="15">
        <f t="shared" si="3"/>
        <v>544</v>
      </c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</row>
    <row r="546">
      <c r="A546" s="8">
        <f t="shared" si="3"/>
        <v>545</v>
      </c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</row>
    <row r="547">
      <c r="A547" s="15">
        <f t="shared" si="3"/>
        <v>546</v>
      </c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</row>
    <row r="548">
      <c r="A548" s="8">
        <f t="shared" si="3"/>
        <v>547</v>
      </c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</row>
    <row r="549">
      <c r="A549" s="15">
        <f t="shared" si="3"/>
        <v>548</v>
      </c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</row>
    <row r="550">
      <c r="A550" s="8">
        <f t="shared" si="3"/>
        <v>549</v>
      </c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</row>
    <row r="551">
      <c r="A551" s="15">
        <f t="shared" si="3"/>
        <v>550</v>
      </c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</row>
    <row r="552">
      <c r="A552" s="8">
        <f t="shared" si="3"/>
        <v>551</v>
      </c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</row>
    <row r="553">
      <c r="A553" s="15">
        <f t="shared" si="3"/>
        <v>552</v>
      </c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</row>
    <row r="554">
      <c r="A554" s="8">
        <f t="shared" si="3"/>
        <v>553</v>
      </c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</row>
    <row r="555">
      <c r="A555" s="15">
        <f t="shared" si="3"/>
        <v>554</v>
      </c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</row>
    <row r="556">
      <c r="A556" s="8">
        <f t="shared" si="3"/>
        <v>555</v>
      </c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</row>
    <row r="557">
      <c r="A557" s="15">
        <f t="shared" si="3"/>
        <v>556</v>
      </c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</row>
    <row r="558">
      <c r="A558" s="8">
        <f t="shared" si="3"/>
        <v>557</v>
      </c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</row>
    <row r="559">
      <c r="A559" s="15">
        <f t="shared" si="3"/>
        <v>558</v>
      </c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</row>
    <row r="560">
      <c r="A560" s="8">
        <f t="shared" si="3"/>
        <v>559</v>
      </c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</row>
    <row r="561">
      <c r="A561" s="15">
        <f t="shared" si="3"/>
        <v>560</v>
      </c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</row>
    <row r="562">
      <c r="A562" s="8">
        <f t="shared" si="3"/>
        <v>561</v>
      </c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</row>
    <row r="563">
      <c r="A563" s="15">
        <f t="shared" si="3"/>
        <v>562</v>
      </c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</row>
    <row r="564">
      <c r="A564" s="8">
        <f t="shared" si="3"/>
        <v>563</v>
      </c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</row>
    <row r="565">
      <c r="A565" s="15">
        <f t="shared" si="3"/>
        <v>564</v>
      </c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</row>
    <row r="566">
      <c r="A566" s="8">
        <f t="shared" si="3"/>
        <v>565</v>
      </c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</row>
    <row r="567">
      <c r="A567" s="15">
        <f t="shared" si="3"/>
        <v>566</v>
      </c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</row>
    <row r="568">
      <c r="A568" s="8">
        <f t="shared" si="3"/>
        <v>567</v>
      </c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</row>
    <row r="569">
      <c r="A569" s="15">
        <f t="shared" si="3"/>
        <v>568</v>
      </c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</row>
    <row r="570">
      <c r="A570" s="8">
        <f t="shared" si="3"/>
        <v>569</v>
      </c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</row>
    <row r="571">
      <c r="A571" s="15">
        <f t="shared" si="3"/>
        <v>570</v>
      </c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</row>
    <row r="572">
      <c r="A572" s="8">
        <f t="shared" si="3"/>
        <v>571</v>
      </c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</row>
    <row r="573">
      <c r="A573" s="15">
        <f t="shared" si="3"/>
        <v>572</v>
      </c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</row>
    <row r="574">
      <c r="A574" s="8">
        <f t="shared" si="3"/>
        <v>573</v>
      </c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</row>
    <row r="575">
      <c r="A575" s="15">
        <f t="shared" si="3"/>
        <v>574</v>
      </c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</row>
    <row r="576">
      <c r="A576" s="8">
        <f t="shared" si="3"/>
        <v>575</v>
      </c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</row>
    <row r="1002">
      <c r="A1002" s="59"/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</row>
    <row r="1004">
      <c r="A1004" s="59"/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</row>
    <row r="1006">
      <c r="A1006" s="107"/>
      <c r="B1006" s="107"/>
      <c r="C1006" s="107"/>
      <c r="D1006" s="107"/>
      <c r="E1006" s="107"/>
      <c r="F1006" s="107"/>
      <c r="G1006" s="107"/>
      <c r="H1006" s="107"/>
      <c r="I1006" s="107"/>
      <c r="J1006" s="107"/>
      <c r="K1006" s="107"/>
      <c r="L1006" s="107"/>
      <c r="M1006" s="107"/>
      <c r="N1006" s="59"/>
      <c r="O1006" s="107"/>
      <c r="P1006" s="107"/>
    </row>
  </sheetData>
  <autoFilter ref="$A$1:$T$576"/>
  <customSheetViews>
    <customSheetView guid="{3D13BECD-F97B-4CC8-B9FC-728C2CBFEBF1}" filter="1" showAutoFilter="1">
      <autoFilter ref="$A$1:$P$483">
        <filterColumn colId="4">
          <filters>
            <filter val="País Gales"/>
            <filter val="Nigéria"/>
            <filter val="Bulgária"/>
            <filter val="COSAFA"/>
            <filter val="Argentina"/>
            <filter val="México"/>
            <filter val="Algéria"/>
            <filter val="EAU"/>
            <filter val="UAE"/>
            <filter val="Jamaica"/>
            <filter val="Paraguai"/>
            <filter val="Peru"/>
            <filter val="Singapura"/>
            <filter val="Hong Kong"/>
            <filter val="Aruba"/>
            <filter val="Costa Rica"/>
            <filter val="Andorra"/>
            <filter val="Kuwait"/>
            <filter val="Filipinas"/>
            <filter val="Bósnia e Herz"/>
            <filter val="USA"/>
            <filter val="Grécia"/>
            <filter val="Paises Baixos"/>
            <filter val="Djibouti"/>
            <filter val="Armênia"/>
            <filter val="Uruguai"/>
            <filter val="Porto Rico"/>
            <filter val="San Marino"/>
            <filter val="Tunísia"/>
            <filter val="Camboja"/>
            <filter val="País de Gales"/>
            <filter val="Letônia"/>
            <filter val="América Norte"/>
            <filter val="Geórgia"/>
            <filter val="Tanzânia"/>
            <filter val="Escócia"/>
            <filter val="Panamá"/>
            <filter val="Em. Árab Uni"/>
            <filter val="Malásia"/>
            <filter val="CAF"/>
            <filter val="Moçambique"/>
            <filter val="Colômbia"/>
            <filter val="Uzbequistão"/>
            <filter val="Honduras"/>
            <filter val="Catar"/>
            <filter val="Zimbabue"/>
            <filter val="Países Baixos"/>
            <filter val="Ruanda"/>
            <filter val="Suécia"/>
            <filter val="Vietnã"/>
            <filter val="Bahrein"/>
            <filter val="Europa"/>
            <filter val="Jordânia"/>
            <filter val="Índia"/>
          </filters>
        </filterColumn>
      </autoFilter>
    </customSheetView>
    <customSheetView guid="{9BA04A38-02DA-4F02-BBBB-302FC15326E0}" filter="1" showAutoFilter="1">
      <autoFilter ref="$A$1:$P$483">
        <filterColumn colId="6">
          <filters>
            <filter val="Dupla"/>
            <filter val="AH-"/>
            <filter val="NG"/>
            <filter val="DC"/>
          </filters>
        </filterColumn>
      </autoFilter>
    </customSheetView>
    <customSheetView guid="{F477B962-7F95-4B58-B796-7F91B20D0221}" filter="1" showAutoFilter="1">
      <autoFilter ref="$A$1:$T$483">
        <filterColumn colId="6">
          <filters>
            <filter val="Dupla"/>
            <filter val="AH-"/>
            <filter val="Under"/>
            <filter val="NG"/>
            <filter val="DC"/>
          </filters>
        </filterColumn>
      </autoFilter>
    </customSheetView>
    <customSheetView guid="{BA551338-6311-4C02-9137-137E692B7D93}" filter="1" showAutoFilter="1">
      <autoFilter ref="$A$1:$P$483">
        <filterColumn colId="8">
          <filters>
            <filter val="2.50"/>
            <filter val="4.75"/>
            <filter val="5.00"/>
            <filter val="3.25"/>
            <filter val="0.75"/>
            <filter val="1.00"/>
            <filter val="3.00"/>
            <filter val="2.75"/>
            <filter val="0.50"/>
            <filter val="-4.50"/>
            <filter val="-5.00"/>
            <filter val="-2.50"/>
            <filter val="-0.50"/>
            <filter val="-2.75"/>
            <filter val="0.25"/>
            <filter val="-4.75"/>
            <filter val="-0.75"/>
            <filter val="-3.25"/>
            <filter val="-3.00"/>
            <filter val="-1.00"/>
            <filter val="-5.25"/>
            <filter val="-1.25"/>
            <filter val="6.00"/>
            <filter val="4.25"/>
            <filter val="0.00"/>
            <filter val="2.25"/>
            <filter val="2.00"/>
            <filter val="1.75"/>
            <filter val="1.50"/>
            <filter val="0"/>
            <filter val="-3.50"/>
            <filter val="-5.50"/>
            <filter val="-3.75"/>
            <filter val="-1.50"/>
            <filter val="-4.00"/>
            <filter val="1.25"/>
            <filter val="-5.75"/>
            <filter val="-6.00"/>
            <filter val="-2.00"/>
            <filter val="-4.25"/>
            <filter val="-1.75"/>
            <filter val="-2.5"/>
            <filter val="-2.25"/>
            <filter val="-0.25"/>
          </filters>
        </filterColumn>
      </autoFilter>
    </customSheetView>
    <customSheetView guid="{8BE028A4-B37D-4082-AE82-07BBC89EBB11}" filter="1" showAutoFilter="1">
      <autoFilter ref="$A$1:$P$483"/>
    </customSheetView>
    <customSheetView guid="{B1E9CC24-145D-4007-8A11-90FD9E435072}" filter="1" showAutoFilter="1">
      <autoFilter ref="$A$1:$T$483">
        <filterColumn colId="4">
          <filters>
            <filter val="Hungria"/>
            <filter val="País Gales"/>
            <filter val="Zâmbia"/>
            <filter val="Angola"/>
            <filter val="Nigéria"/>
            <filter val="Bolívia"/>
            <filter val="Bulgária"/>
            <filter val="Romênia"/>
            <filter val="Etiópia"/>
            <filter val="Guatemala"/>
            <filter val="COSAFA"/>
            <filter val="Argentina"/>
            <filter val="Argélia"/>
            <filter val="Algéria"/>
            <filter val="Costa Marfim"/>
            <filter val="Eslovênia"/>
            <filter val="Ásia"/>
            <filter val="Quênia"/>
            <filter val="EAU"/>
            <filter val="UAE"/>
            <filter val="Jamaica"/>
            <filter val="Paraguai"/>
            <filter val="Peru"/>
            <filter val="Singapura"/>
            <filter val="Hong Kong"/>
            <filter val="Aruba"/>
            <filter val="Costa Rica"/>
            <filter val="Irlanda Norte"/>
            <filter val="Andorra"/>
            <filter val="Kuwait"/>
            <filter val="Filipinas"/>
            <filter val="Bósnia e Herz"/>
            <filter val="Irlanda"/>
            <filter val="USA"/>
            <filter val="Djibouti"/>
            <filter val="Internacional"/>
            <filter val="Áustria"/>
            <filter val="Armênia"/>
            <filter val="Uruguai"/>
            <filter val="Ucrânia"/>
            <filter val="Porto Rico"/>
            <filter val="San Marino"/>
            <filter val="Polônia"/>
            <filter val="Tunísia"/>
            <filter val="Camboja"/>
            <filter val="País de Gales"/>
            <filter val="África Sul"/>
            <filter val="Letônia"/>
            <filter val="América Norte"/>
            <filter val="Geórgia"/>
            <filter val="Escócia"/>
            <filter val="Panamá"/>
            <filter val="Noruega"/>
            <filter val="Em. Árab Uni"/>
            <filter val="Malásia"/>
            <filter val="Omã"/>
            <filter val="CAF"/>
            <filter val="Moçambique"/>
            <filter val="Colômbia"/>
            <filter val="Bélgica"/>
            <filter val="Eslováquia"/>
            <filter val="Croácia"/>
            <filter val="Uzbequistão"/>
            <filter val="Honduras"/>
            <filter val="Rep. Tcheca"/>
            <filter val="Catar"/>
            <filter val="Zimbabue"/>
            <filter val="Burundi"/>
            <filter val="Países Baixos"/>
            <filter val="Suécia"/>
            <filter val="Malta"/>
            <filter val="Vietnã"/>
            <filter val="Bahrein"/>
            <filter val="Kosovo"/>
            <filter val="Europa"/>
            <filter val="Estônia"/>
            <filter val="Jordânia"/>
            <filter val="Sérvia"/>
            <filter val="Montenegro"/>
          </filters>
        </filterColumn>
      </autoFilter>
    </customSheetView>
    <customSheetView guid="{C0AB1544-F4B4-45C0-8975-97F745A006DC}" filter="1" showAutoFilter="1">
      <autoFilter ref="$A$1:$T$483"/>
    </customSheetView>
    <customSheetView guid="{978C25F2-69C0-4E3B-8EFC-6A6EC3E48DD3}" filter="1" showAutoFilter="1">
      <autoFilter ref="$A$1:$T$483"/>
    </customSheetView>
    <customSheetView guid="{9B5C888F-E11A-4842-8D0B-62F1614802A4}" filter="1" showAutoFilter="1">
      <autoFilter ref="$A$1:$O$286">
        <filterColumn colId="6">
          <filters>
            <filter val="AH+"/>
            <filter val="AH-"/>
            <filter val="DC"/>
          </filters>
        </filterColumn>
      </autoFilter>
    </customSheetView>
    <customSheetView guid="{D9D1A42E-DDFC-4032-8664-60A2E47E0D40}" filter="1" showAutoFilter="1">
      <autoFilter ref="$A$1:$O$286"/>
    </customSheetView>
  </customSheetViews>
  <mergeCells count="14">
    <mergeCell ref="R67:T67"/>
    <mergeCell ref="R68:T68"/>
    <mergeCell ref="R69:T69"/>
    <mergeCell ref="R70:T70"/>
    <mergeCell ref="R71:T71"/>
    <mergeCell ref="R72:T72"/>
    <mergeCell ref="R73:T73"/>
    <mergeCell ref="R60:T60"/>
    <mergeCell ref="R61:T61"/>
    <mergeCell ref="R62:T62"/>
    <mergeCell ref="R63:T63"/>
    <mergeCell ref="R64:T64"/>
    <mergeCell ref="R65:T65"/>
    <mergeCell ref="R66:T66"/>
  </mergeCells>
  <conditionalFormatting sqref="N2:N528">
    <cfRule type="cellIs" dxfId="0" priority="1" operator="equal">
      <formula>"Ganha"</formula>
    </cfRule>
  </conditionalFormatting>
  <conditionalFormatting sqref="N2:N528">
    <cfRule type="cellIs" dxfId="1" priority="2" operator="equal">
      <formula>"Ganha/devolvida"</formula>
    </cfRule>
  </conditionalFormatting>
  <conditionalFormatting sqref="N2:N528">
    <cfRule type="cellIs" dxfId="2" priority="3" operator="equal">
      <formula>"Devolvida"</formula>
    </cfRule>
  </conditionalFormatting>
  <conditionalFormatting sqref="N2:N528">
    <cfRule type="cellIs" dxfId="3" priority="4" operator="equal">
      <formula>"Perdida/devolvida"</formula>
    </cfRule>
  </conditionalFormatting>
  <conditionalFormatting sqref="N2:N528">
    <cfRule type="cellIs" dxfId="4" priority="5" operator="equal">
      <formula>"Perdida"</formula>
    </cfRule>
  </conditionalFormatting>
  <conditionalFormatting sqref="O2:O529 P2:P1006 S2:S35">
    <cfRule type="cellIs" dxfId="0" priority="6" operator="greaterThan">
      <formula>0</formula>
    </cfRule>
  </conditionalFormatting>
  <conditionalFormatting sqref="O2:O529 P2:P1006 S2:S35">
    <cfRule type="cellIs" dxfId="4" priority="7" operator="lessThan">
      <formula>0</formula>
    </cfRule>
  </conditionalFormatting>
  <conditionalFormatting sqref="O2:O1006 P2:P13 S2:S35">
    <cfRule type="cellIs" dxfId="2" priority="8" operator="equal">
      <formula>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60.88"/>
    <col customWidth="1" min="6" max="9" width="6.38"/>
    <col customWidth="1" min="10" max="10" width="5.5"/>
    <col customWidth="1" min="11" max="11" width="8.0"/>
    <col customWidth="1" min="12" max="12" width="11.25"/>
    <col customWidth="1" min="13" max="13" width="4.5"/>
    <col customWidth="1" min="14" max="14" width="8.13"/>
    <col customWidth="1" min="15" max="15" width="9.5"/>
    <col customWidth="1" min="16" max="19" width="5.88"/>
    <col customWidth="1" min="20" max="20" width="6.5"/>
    <col customWidth="1" min="21" max="21" width="14.75"/>
    <col customWidth="1" min="22" max="22" width="7.38"/>
    <col customWidth="1" min="23" max="23" width="7.25"/>
    <col customWidth="1" min="24" max="24" width="4.13"/>
    <col customWidth="1" min="25" max="25" width="6.25"/>
    <col customWidth="1" min="26" max="26" width="6.5"/>
    <col customWidth="1" min="27" max="27" width="11.63"/>
  </cols>
  <sheetData>
    <row r="1">
      <c r="A1" s="1">
        <v>4.0</v>
      </c>
      <c r="B1" s="2" t="s">
        <v>1</v>
      </c>
      <c r="C1" s="2" t="s">
        <v>2</v>
      </c>
      <c r="D1" s="2" t="s">
        <v>1462</v>
      </c>
      <c r="E1" s="3" t="s">
        <v>3</v>
      </c>
      <c r="F1" s="2" t="s">
        <v>1463</v>
      </c>
      <c r="G1" s="2" t="s">
        <v>1464</v>
      </c>
      <c r="H1" s="108" t="s">
        <v>1465</v>
      </c>
      <c r="I1" s="2" t="s">
        <v>1466</v>
      </c>
      <c r="J1" s="2" t="s">
        <v>1467</v>
      </c>
      <c r="K1" s="2" t="s">
        <v>1468</v>
      </c>
      <c r="L1" s="3" t="s">
        <v>4</v>
      </c>
      <c r="M1" s="3" t="s">
        <v>5</v>
      </c>
      <c r="N1" s="3" t="s">
        <v>6</v>
      </c>
      <c r="O1" s="2" t="s">
        <v>7</v>
      </c>
      <c r="P1" s="4" t="s">
        <v>8</v>
      </c>
      <c r="Q1" s="5" t="s">
        <v>9</v>
      </c>
      <c r="R1" s="4" t="s">
        <v>10</v>
      </c>
      <c r="S1" s="6" t="s">
        <v>11</v>
      </c>
      <c r="T1" s="97" t="s">
        <v>12</v>
      </c>
      <c r="U1" s="3" t="s">
        <v>13</v>
      </c>
      <c r="V1" s="5" t="s">
        <v>14</v>
      </c>
      <c r="W1" s="4" t="s">
        <v>15</v>
      </c>
      <c r="Y1" s="3" t="s">
        <v>16</v>
      </c>
      <c r="Z1" s="3" t="s">
        <v>15</v>
      </c>
      <c r="AA1" s="3" t="s">
        <v>17</v>
      </c>
    </row>
    <row r="2">
      <c r="A2" s="8">
        <f>1</f>
        <v>1</v>
      </c>
      <c r="B2" s="8" t="s">
        <v>135</v>
      </c>
      <c r="C2" s="8" t="s">
        <v>19</v>
      </c>
      <c r="D2" s="8">
        <v>0.0</v>
      </c>
      <c r="E2" s="8" t="s">
        <v>1469</v>
      </c>
      <c r="F2" s="8">
        <v>15.0</v>
      </c>
      <c r="G2" s="8">
        <v>1.0</v>
      </c>
      <c r="H2" s="109">
        <f>20/(15*2)</f>
        <v>0.6666666667</v>
      </c>
      <c r="I2" s="8"/>
      <c r="J2" s="8"/>
      <c r="K2" s="8">
        <v>0.0</v>
      </c>
      <c r="L2" s="8" t="s">
        <v>1470</v>
      </c>
      <c r="M2" s="8" t="s">
        <v>598</v>
      </c>
      <c r="N2" s="8" t="s">
        <v>1471</v>
      </c>
      <c r="O2" s="8" t="s">
        <v>24</v>
      </c>
      <c r="P2" s="9">
        <v>-2.25</v>
      </c>
      <c r="Q2" s="9">
        <v>0.25</v>
      </c>
      <c r="R2" s="9">
        <v>0.25</v>
      </c>
      <c r="S2" s="10">
        <v>45567.0</v>
      </c>
      <c r="T2" s="11">
        <v>1.825</v>
      </c>
      <c r="U2" s="8" t="s">
        <v>33</v>
      </c>
      <c r="V2" s="12">
        <f t="shared" ref="V2:V393" si="1">IF(U2="ganha",(R2*(T2-1)),IF(U2="perdida",-R2,IF(U2="devolvida",0,IF(U2="ganha/devolvida",((R2*(T2-1)))/2,IF(U2="perdida/devolvida",-R2/2,IF(U2="Aguardando",0,""))))))</f>
        <v>0.20625</v>
      </c>
      <c r="W2" s="12">
        <f>V2</f>
        <v>0.20625</v>
      </c>
      <c r="Y2" s="66">
        <v>45566.0</v>
      </c>
      <c r="Z2" s="13">
        <f t="shared" ref="Z2:Z32" si="2">SUMIF($S$2:$S$2984,Y2,$V$2:$V$2984)</f>
        <v>0</v>
      </c>
      <c r="AA2" s="14">
        <f>SUMIF($U$2:$U$2984,"Aguardando",$R$2:$R$2984)</f>
        <v>0</v>
      </c>
    </row>
    <row r="3" ht="16.5" customHeight="1">
      <c r="A3" s="15">
        <f t="shared" ref="A3:A408" si="3">A2+1</f>
        <v>2</v>
      </c>
      <c r="B3" s="15" t="s">
        <v>18</v>
      </c>
      <c r="C3" s="15" t="s">
        <v>19</v>
      </c>
      <c r="D3" s="15">
        <v>21.0</v>
      </c>
      <c r="E3" s="15" t="s">
        <v>1472</v>
      </c>
      <c r="F3" s="15">
        <v>12.0</v>
      </c>
      <c r="G3" s="15">
        <v>18.0</v>
      </c>
      <c r="H3" s="110">
        <f t="shared" ref="H3:H4" si="4">5/(19*2)</f>
        <v>0.1315789474</v>
      </c>
      <c r="I3" s="15" t="s">
        <v>1473</v>
      </c>
      <c r="J3" s="15" t="s">
        <v>1474</v>
      </c>
      <c r="K3" s="15">
        <v>1.0</v>
      </c>
      <c r="L3" s="15" t="s">
        <v>121</v>
      </c>
      <c r="M3" s="15" t="s">
        <v>22</v>
      </c>
      <c r="N3" s="15" t="s">
        <v>225</v>
      </c>
      <c r="O3" s="15" t="s">
        <v>24</v>
      </c>
      <c r="P3" s="16">
        <v>0.75</v>
      </c>
      <c r="Q3" s="16">
        <v>0.25</v>
      </c>
      <c r="R3" s="16">
        <v>0.0202</v>
      </c>
      <c r="S3" s="17">
        <v>45567.0</v>
      </c>
      <c r="T3" s="18">
        <v>1.825</v>
      </c>
      <c r="U3" s="15" t="s">
        <v>25</v>
      </c>
      <c r="V3" s="19">
        <f t="shared" si="1"/>
        <v>-0.0202</v>
      </c>
      <c r="W3" s="19">
        <f t="shared" ref="W3:W396" si="5">W2+V3</f>
        <v>0.18605</v>
      </c>
      <c r="Y3" s="66">
        <v>45567.0</v>
      </c>
      <c r="Z3" s="13">
        <f t="shared" si="2"/>
        <v>-0.8055875</v>
      </c>
    </row>
    <row r="4">
      <c r="A4" s="8">
        <f t="shared" si="3"/>
        <v>3</v>
      </c>
      <c r="B4" s="8" t="s">
        <v>18</v>
      </c>
      <c r="C4" s="8" t="s">
        <v>19</v>
      </c>
      <c r="D4" s="8">
        <v>24.0</v>
      </c>
      <c r="E4" s="8" t="s">
        <v>1475</v>
      </c>
      <c r="F4" s="8">
        <v>12.0</v>
      </c>
      <c r="G4" s="8">
        <v>18.0</v>
      </c>
      <c r="H4" s="111">
        <f t="shared" si="4"/>
        <v>0.1315789474</v>
      </c>
      <c r="I4" s="8" t="s">
        <v>1473</v>
      </c>
      <c r="J4" s="8" t="s">
        <v>1474</v>
      </c>
      <c r="K4" s="8">
        <v>1.0</v>
      </c>
      <c r="L4" s="8" t="s">
        <v>121</v>
      </c>
      <c r="M4" s="8" t="s">
        <v>22</v>
      </c>
      <c r="N4" s="8" t="s">
        <v>225</v>
      </c>
      <c r="O4" s="8" t="s">
        <v>24</v>
      </c>
      <c r="P4" s="9">
        <v>0.5</v>
      </c>
      <c r="Q4" s="9">
        <v>0.5</v>
      </c>
      <c r="R4" s="9">
        <v>0.4839</v>
      </c>
      <c r="S4" s="10">
        <v>45567.0</v>
      </c>
      <c r="T4" s="11">
        <v>1.925</v>
      </c>
      <c r="U4" s="8" t="s">
        <v>25</v>
      </c>
      <c r="V4" s="12">
        <f t="shared" si="1"/>
        <v>-0.4839</v>
      </c>
      <c r="W4" s="12">
        <f t="shared" si="5"/>
        <v>-0.29785</v>
      </c>
      <c r="Y4" s="66">
        <v>45568.0</v>
      </c>
      <c r="Z4" s="13">
        <f t="shared" si="2"/>
        <v>-0.25</v>
      </c>
      <c r="AA4" s="3" t="s">
        <v>34</v>
      </c>
    </row>
    <row r="5">
      <c r="A5" s="15">
        <f t="shared" si="3"/>
        <v>4</v>
      </c>
      <c r="B5" s="15" t="s">
        <v>18</v>
      </c>
      <c r="C5" s="15" t="s">
        <v>19</v>
      </c>
      <c r="D5" s="15">
        <v>63.0</v>
      </c>
      <c r="E5" s="15" t="s">
        <v>1476</v>
      </c>
      <c r="F5" s="15">
        <v>6.0</v>
      </c>
      <c r="G5" s="15">
        <v>11.0</v>
      </c>
      <c r="H5" s="15"/>
      <c r="I5" s="15" t="s">
        <v>1473</v>
      </c>
      <c r="J5" s="15" t="s">
        <v>1477</v>
      </c>
      <c r="K5" s="15">
        <v>-2.0</v>
      </c>
      <c r="L5" s="15" t="s">
        <v>923</v>
      </c>
      <c r="M5" s="15" t="s">
        <v>22</v>
      </c>
      <c r="N5" s="15" t="s">
        <v>894</v>
      </c>
      <c r="O5" s="15" t="s">
        <v>24</v>
      </c>
      <c r="P5" s="16">
        <v>-0.25</v>
      </c>
      <c r="Q5" s="16">
        <v>0.25</v>
      </c>
      <c r="R5" s="16">
        <v>0.1129</v>
      </c>
      <c r="S5" s="17">
        <v>45567.0</v>
      </c>
      <c r="T5" s="18">
        <v>1.875</v>
      </c>
      <c r="U5" s="15" t="s">
        <v>33</v>
      </c>
      <c r="V5" s="19">
        <f t="shared" si="1"/>
        <v>0.0987875</v>
      </c>
      <c r="W5" s="19">
        <f t="shared" si="5"/>
        <v>-0.1990625</v>
      </c>
      <c r="Y5" s="66">
        <v>45569.0</v>
      </c>
      <c r="Z5" s="13">
        <f t="shared" si="2"/>
        <v>-0.7075</v>
      </c>
      <c r="AA5" s="20">
        <f>sum(R2:R1017)</f>
        <v>88.42585</v>
      </c>
    </row>
    <row r="6">
      <c r="A6" s="8">
        <f t="shared" si="3"/>
        <v>5</v>
      </c>
      <c r="B6" s="8" t="s">
        <v>18</v>
      </c>
      <c r="C6" s="8" t="s">
        <v>19</v>
      </c>
      <c r="D6" s="8">
        <v>56.0</v>
      </c>
      <c r="E6" s="8" t="s">
        <v>1478</v>
      </c>
      <c r="F6" s="8">
        <v>15.0</v>
      </c>
      <c r="G6" s="8">
        <v>14.0</v>
      </c>
      <c r="H6" s="111">
        <f>5/(19*2)</f>
        <v>0.1315789474</v>
      </c>
      <c r="I6" s="8" t="s">
        <v>1479</v>
      </c>
      <c r="J6" s="8" t="s">
        <v>1480</v>
      </c>
      <c r="K6" s="8">
        <v>0.0</v>
      </c>
      <c r="L6" s="8" t="s">
        <v>121</v>
      </c>
      <c r="M6" s="8" t="s">
        <v>22</v>
      </c>
      <c r="N6" s="8" t="s">
        <v>892</v>
      </c>
      <c r="O6" s="8" t="s">
        <v>24</v>
      </c>
      <c r="P6" s="9">
        <v>0.0</v>
      </c>
      <c r="Q6" s="9">
        <v>0.25</v>
      </c>
      <c r="R6" s="9">
        <v>0.25</v>
      </c>
      <c r="S6" s="10">
        <v>45567.0</v>
      </c>
      <c r="T6" s="11">
        <v>1.9</v>
      </c>
      <c r="U6" s="8" t="s">
        <v>70</v>
      </c>
      <c r="V6" s="12">
        <f t="shared" si="1"/>
        <v>0</v>
      </c>
      <c r="W6" s="12">
        <f t="shared" si="5"/>
        <v>-0.1990625</v>
      </c>
      <c r="Y6" s="66">
        <v>45570.0</v>
      </c>
      <c r="Z6" s="13">
        <f t="shared" si="2"/>
        <v>-0.09442751</v>
      </c>
    </row>
    <row r="7">
      <c r="A7" s="15">
        <f t="shared" si="3"/>
        <v>6</v>
      </c>
      <c r="B7" s="15" t="s">
        <v>129</v>
      </c>
      <c r="C7" s="15" t="s">
        <v>19</v>
      </c>
      <c r="D7" s="15"/>
      <c r="E7" s="15" t="s">
        <v>1481</v>
      </c>
      <c r="F7" s="15">
        <v>10.0</v>
      </c>
      <c r="G7" s="15">
        <v>9.0</v>
      </c>
      <c r="H7" s="110">
        <f>7/(15*2)</f>
        <v>0.2333333333</v>
      </c>
      <c r="I7" s="15" t="s">
        <v>1479</v>
      </c>
      <c r="J7" s="15" t="s">
        <v>1480</v>
      </c>
      <c r="K7" s="15">
        <v>0.0</v>
      </c>
      <c r="L7" s="15" t="s">
        <v>101</v>
      </c>
      <c r="M7" s="15" t="s">
        <v>22</v>
      </c>
      <c r="N7" s="15" t="s">
        <v>892</v>
      </c>
      <c r="O7" s="15" t="s">
        <v>24</v>
      </c>
      <c r="P7" s="16">
        <v>0.0</v>
      </c>
      <c r="Q7" s="16">
        <v>0.25</v>
      </c>
      <c r="R7" s="16">
        <v>0.246</v>
      </c>
      <c r="S7" s="17">
        <v>45567.0</v>
      </c>
      <c r="T7" s="18">
        <v>1.7</v>
      </c>
      <c r="U7" s="15" t="s">
        <v>25</v>
      </c>
      <c r="V7" s="19">
        <f t="shared" si="1"/>
        <v>-0.246</v>
      </c>
      <c r="W7" s="19">
        <f t="shared" si="5"/>
        <v>-0.4450625</v>
      </c>
      <c r="Y7" s="66">
        <v>45571.0</v>
      </c>
      <c r="Z7" s="13">
        <f t="shared" si="2"/>
        <v>0.3595914</v>
      </c>
      <c r="AA7" s="3" t="s">
        <v>45</v>
      </c>
    </row>
    <row r="8">
      <c r="A8" s="8">
        <f t="shared" si="3"/>
        <v>7</v>
      </c>
      <c r="B8" s="8" t="s">
        <v>131</v>
      </c>
      <c r="C8" s="8" t="s">
        <v>40</v>
      </c>
      <c r="D8" s="8"/>
      <c r="E8" s="8" t="s">
        <v>1482</v>
      </c>
      <c r="F8" s="8"/>
      <c r="G8" s="8"/>
      <c r="H8" s="109"/>
      <c r="I8" s="8"/>
      <c r="J8" s="8"/>
      <c r="K8" s="8"/>
      <c r="L8" s="8" t="s">
        <v>66</v>
      </c>
      <c r="M8" s="8" t="s">
        <v>22</v>
      </c>
      <c r="N8" s="8" t="s">
        <v>23</v>
      </c>
      <c r="O8" s="8" t="s">
        <v>24</v>
      </c>
      <c r="P8" s="9">
        <v>-13.5</v>
      </c>
      <c r="Q8" s="9">
        <v>0.15</v>
      </c>
      <c r="R8" s="9">
        <v>0.1452</v>
      </c>
      <c r="S8" s="10">
        <v>45567.0</v>
      </c>
      <c r="T8" s="11">
        <v>1.925</v>
      </c>
      <c r="U8" s="8" t="s">
        <v>25</v>
      </c>
      <c r="V8" s="12">
        <f t="shared" si="1"/>
        <v>-0.1452</v>
      </c>
      <c r="W8" s="12">
        <f t="shared" si="5"/>
        <v>-0.5902625</v>
      </c>
      <c r="Y8" s="66">
        <v>45572.0</v>
      </c>
      <c r="Z8" s="13">
        <f t="shared" si="2"/>
        <v>0</v>
      </c>
      <c r="AA8" s="21">
        <f>Z33/(SUM(R2:R4937)-AA2)</f>
        <v>0.006099159616</v>
      </c>
    </row>
    <row r="9">
      <c r="A9" s="15">
        <f t="shared" si="3"/>
        <v>8</v>
      </c>
      <c r="B9" s="15" t="s">
        <v>135</v>
      </c>
      <c r="C9" s="15" t="s">
        <v>19</v>
      </c>
      <c r="D9" s="15">
        <v>0.0</v>
      </c>
      <c r="E9" s="15" t="s">
        <v>1483</v>
      </c>
      <c r="F9" s="15"/>
      <c r="G9" s="15"/>
      <c r="H9" s="110"/>
      <c r="I9" s="15"/>
      <c r="J9" s="15"/>
      <c r="K9" s="15"/>
      <c r="L9" s="15" t="s">
        <v>121</v>
      </c>
      <c r="M9" s="15" t="s">
        <v>598</v>
      </c>
      <c r="N9" s="15" t="s">
        <v>1471</v>
      </c>
      <c r="O9" s="15" t="s">
        <v>24</v>
      </c>
      <c r="P9" s="16">
        <v>-2.25</v>
      </c>
      <c r="Q9" s="16">
        <v>0.3</v>
      </c>
      <c r="R9" s="16">
        <v>0.3</v>
      </c>
      <c r="S9" s="17">
        <v>45567.0</v>
      </c>
      <c r="T9" s="18">
        <v>1.85</v>
      </c>
      <c r="U9" s="15" t="s">
        <v>25</v>
      </c>
      <c r="V9" s="19">
        <f t="shared" si="1"/>
        <v>-0.3</v>
      </c>
      <c r="W9" s="19">
        <f t="shared" si="5"/>
        <v>-0.8902625</v>
      </c>
      <c r="Y9" s="66">
        <v>45573.0</v>
      </c>
      <c r="Z9" s="13">
        <f t="shared" si="2"/>
        <v>0.20827</v>
      </c>
    </row>
    <row r="10">
      <c r="A10" s="8">
        <f t="shared" si="3"/>
        <v>9</v>
      </c>
      <c r="B10" s="8" t="s">
        <v>18</v>
      </c>
      <c r="C10" s="8" t="s">
        <v>19</v>
      </c>
      <c r="D10" s="8"/>
      <c r="E10" s="8" t="s">
        <v>1484</v>
      </c>
      <c r="F10" s="8"/>
      <c r="G10" s="8"/>
      <c r="H10" s="8"/>
      <c r="I10" s="8" t="s">
        <v>1473</v>
      </c>
      <c r="J10" s="8" t="s">
        <v>1474</v>
      </c>
      <c r="K10" s="8">
        <v>-1.0</v>
      </c>
      <c r="L10" s="8" t="s">
        <v>121</v>
      </c>
      <c r="M10" s="8" t="s">
        <v>22</v>
      </c>
      <c r="N10" s="8" t="s">
        <v>225</v>
      </c>
      <c r="O10" s="8" t="s">
        <v>24</v>
      </c>
      <c r="P10" s="9">
        <v>0.25</v>
      </c>
      <c r="Q10" s="9">
        <v>0.25</v>
      </c>
      <c r="R10" s="9">
        <v>0.25</v>
      </c>
      <c r="S10" s="10">
        <v>45567.0</v>
      </c>
      <c r="T10" s="11">
        <v>2.025</v>
      </c>
      <c r="U10" s="8" t="s">
        <v>70</v>
      </c>
      <c r="V10" s="12">
        <f t="shared" si="1"/>
        <v>0</v>
      </c>
      <c r="W10" s="12">
        <f t="shared" si="5"/>
        <v>-0.8902625</v>
      </c>
      <c r="Y10" s="66">
        <v>45574.0</v>
      </c>
      <c r="Z10" s="13">
        <f t="shared" si="2"/>
        <v>-0.245</v>
      </c>
      <c r="AA10" s="2" t="s">
        <v>51</v>
      </c>
    </row>
    <row r="11">
      <c r="A11" s="15">
        <f t="shared" si="3"/>
        <v>10</v>
      </c>
      <c r="B11" s="15" t="s">
        <v>26</v>
      </c>
      <c r="C11" s="15" t="s">
        <v>19</v>
      </c>
      <c r="D11" s="15">
        <v>38.0</v>
      </c>
      <c r="E11" s="15" t="s">
        <v>1485</v>
      </c>
      <c r="F11" s="15"/>
      <c r="G11" s="15"/>
      <c r="H11" s="110"/>
      <c r="I11" s="15" t="s">
        <v>1479</v>
      </c>
      <c r="J11" s="15" t="s">
        <v>1480</v>
      </c>
      <c r="K11" s="15">
        <v>0.0</v>
      </c>
      <c r="L11" s="15" t="s">
        <v>908</v>
      </c>
      <c r="M11" s="15" t="s">
        <v>22</v>
      </c>
      <c r="N11" s="15" t="s">
        <v>892</v>
      </c>
      <c r="O11" s="15" t="s">
        <v>24</v>
      </c>
      <c r="P11" s="16">
        <v>0.0</v>
      </c>
      <c r="Q11" s="16">
        <v>0.5</v>
      </c>
      <c r="R11" s="16">
        <v>0.5</v>
      </c>
      <c r="S11" s="17">
        <v>45567.0</v>
      </c>
      <c r="T11" s="18">
        <v>1.9</v>
      </c>
      <c r="U11" s="15" t="s">
        <v>70</v>
      </c>
      <c r="V11" s="19">
        <f t="shared" si="1"/>
        <v>0</v>
      </c>
      <c r="W11" s="19">
        <f t="shared" si="5"/>
        <v>-0.8902625</v>
      </c>
      <c r="Y11" s="66">
        <v>45575.0</v>
      </c>
      <c r="Z11" s="13">
        <f t="shared" si="2"/>
        <v>0.49565</v>
      </c>
      <c r="AA11" s="14">
        <f>average(R2:R1003)</f>
        <v>0.2880320847</v>
      </c>
    </row>
    <row r="12">
      <c r="A12" s="8">
        <f t="shared" si="3"/>
        <v>11</v>
      </c>
      <c r="B12" s="8" t="s">
        <v>26</v>
      </c>
      <c r="C12" s="8" t="s">
        <v>19</v>
      </c>
      <c r="D12" s="8">
        <v>68.0</v>
      </c>
      <c r="E12" s="8" t="s">
        <v>1486</v>
      </c>
      <c r="F12" s="8"/>
      <c r="G12" s="8"/>
      <c r="H12" s="8"/>
      <c r="I12" s="8" t="s">
        <v>1473</v>
      </c>
      <c r="J12" s="8" t="s">
        <v>1480</v>
      </c>
      <c r="K12" s="8">
        <v>0.0</v>
      </c>
      <c r="L12" s="8" t="s">
        <v>908</v>
      </c>
      <c r="M12" s="8" t="s">
        <v>22</v>
      </c>
      <c r="N12" s="8" t="s">
        <v>892</v>
      </c>
      <c r="O12" s="8" t="s">
        <v>24</v>
      </c>
      <c r="P12" s="9">
        <v>0.0</v>
      </c>
      <c r="Q12" s="9">
        <v>0.25</v>
      </c>
      <c r="R12" s="9">
        <v>0.25</v>
      </c>
      <c r="S12" s="54">
        <v>45567.0</v>
      </c>
      <c r="T12" s="11">
        <v>2.13</v>
      </c>
      <c r="U12" s="8" t="s">
        <v>70</v>
      </c>
      <c r="V12" s="12">
        <f t="shared" si="1"/>
        <v>0</v>
      </c>
      <c r="W12" s="12">
        <f t="shared" si="5"/>
        <v>-0.8902625</v>
      </c>
      <c r="Y12" s="66">
        <v>45576.0</v>
      </c>
      <c r="Z12" s="13">
        <f t="shared" si="2"/>
        <v>0.47775</v>
      </c>
    </row>
    <row r="13">
      <c r="A13" s="15">
        <f t="shared" si="3"/>
        <v>12</v>
      </c>
      <c r="B13" s="15" t="s">
        <v>26</v>
      </c>
      <c r="C13" s="15" t="s">
        <v>19</v>
      </c>
      <c r="D13" s="15"/>
      <c r="E13" s="15" t="s">
        <v>1487</v>
      </c>
      <c r="F13" s="15"/>
      <c r="G13" s="15"/>
      <c r="H13" s="110"/>
      <c r="I13" s="15" t="s">
        <v>1479</v>
      </c>
      <c r="J13" s="15" t="s">
        <v>1480</v>
      </c>
      <c r="K13" s="15">
        <v>0.0</v>
      </c>
      <c r="L13" s="15" t="s">
        <v>463</v>
      </c>
      <c r="M13" s="15" t="s">
        <v>22</v>
      </c>
      <c r="N13" s="15" t="s">
        <v>892</v>
      </c>
      <c r="O13" s="15" t="s">
        <v>24</v>
      </c>
      <c r="P13" s="16">
        <v>0.0</v>
      </c>
      <c r="Q13" s="16">
        <v>0.25</v>
      </c>
      <c r="R13" s="16">
        <v>0.1129</v>
      </c>
      <c r="S13" s="17">
        <v>45567.0</v>
      </c>
      <c r="T13" s="18">
        <v>1.75</v>
      </c>
      <c r="U13" s="15" t="s">
        <v>33</v>
      </c>
      <c r="V13" s="19">
        <f t="shared" si="1"/>
        <v>0.084675</v>
      </c>
      <c r="W13" s="19">
        <f t="shared" si="5"/>
        <v>-0.8055875</v>
      </c>
      <c r="Y13" s="66">
        <v>45577.0</v>
      </c>
      <c r="Z13" s="13">
        <f t="shared" si="2"/>
        <v>-0.24585</v>
      </c>
      <c r="AA13" s="2" t="s">
        <v>55</v>
      </c>
    </row>
    <row r="14">
      <c r="A14" s="8">
        <f t="shared" si="3"/>
        <v>13</v>
      </c>
      <c r="B14" s="8" t="s">
        <v>18</v>
      </c>
      <c r="C14" s="8" t="s">
        <v>19</v>
      </c>
      <c r="D14" s="8"/>
      <c r="E14" s="8" t="s">
        <v>1488</v>
      </c>
      <c r="F14" s="8"/>
      <c r="G14" s="8"/>
      <c r="H14" s="8"/>
      <c r="I14" s="8" t="s">
        <v>1479</v>
      </c>
      <c r="J14" s="8" t="s">
        <v>1480</v>
      </c>
      <c r="K14" s="8">
        <v>1.0</v>
      </c>
      <c r="L14" s="8" t="s">
        <v>63</v>
      </c>
      <c r="M14" s="8" t="s">
        <v>22</v>
      </c>
      <c r="N14" s="8" t="s">
        <v>892</v>
      </c>
      <c r="O14" s="8" t="s">
        <v>24</v>
      </c>
      <c r="P14" s="9">
        <v>0.0</v>
      </c>
      <c r="Q14" s="9">
        <v>0.25</v>
      </c>
      <c r="R14" s="9">
        <v>0.25</v>
      </c>
      <c r="S14" s="10">
        <v>45568.0</v>
      </c>
      <c r="T14" s="11">
        <v>1.725</v>
      </c>
      <c r="U14" s="8" t="s">
        <v>25</v>
      </c>
      <c r="V14" s="12">
        <f t="shared" si="1"/>
        <v>-0.25</v>
      </c>
      <c r="W14" s="12">
        <f t="shared" si="5"/>
        <v>-1.0555875</v>
      </c>
      <c r="Y14" s="66">
        <v>45578.0</v>
      </c>
      <c r="Z14" s="13">
        <f t="shared" si="2"/>
        <v>-0.74131525</v>
      </c>
      <c r="AA14" s="21">
        <f>(SUMPRODUCT(--(Q2:Q1003 = R2:R1003))-countif(Q2:Q1003,""))/countif(Q2:Q1003,"&gt;0")</f>
        <v>0.7035830619</v>
      </c>
    </row>
    <row r="15">
      <c r="A15" s="15">
        <f t="shared" si="3"/>
        <v>14</v>
      </c>
      <c r="B15" s="15" t="s">
        <v>137</v>
      </c>
      <c r="C15" s="15" t="s">
        <v>19</v>
      </c>
      <c r="D15" s="15">
        <v>70.0</v>
      </c>
      <c r="E15" s="15" t="s">
        <v>1489</v>
      </c>
      <c r="F15" s="15">
        <v>4.0</v>
      </c>
      <c r="G15" s="15">
        <v>1.0</v>
      </c>
      <c r="H15" s="15">
        <f>8/(8*2)</f>
        <v>0.5</v>
      </c>
      <c r="I15" s="15" t="s">
        <v>1473</v>
      </c>
      <c r="J15" s="15" t="s">
        <v>1480</v>
      </c>
      <c r="K15" s="15">
        <v>0.0</v>
      </c>
      <c r="L15" s="15" t="s">
        <v>1025</v>
      </c>
      <c r="M15" s="15" t="s">
        <v>22</v>
      </c>
      <c r="N15" s="15" t="s">
        <v>892</v>
      </c>
      <c r="O15" s="15" t="s">
        <v>24</v>
      </c>
      <c r="P15" s="16">
        <v>0.0</v>
      </c>
      <c r="Q15" s="16">
        <v>0.5</v>
      </c>
      <c r="R15" s="16">
        <v>0.5</v>
      </c>
      <c r="S15" s="17">
        <v>45569.0</v>
      </c>
      <c r="T15" s="18">
        <v>1.71</v>
      </c>
      <c r="U15" s="15" t="s">
        <v>33</v>
      </c>
      <c r="V15" s="19">
        <f t="shared" si="1"/>
        <v>0.355</v>
      </c>
      <c r="W15" s="19">
        <f t="shared" si="5"/>
        <v>-0.7005875</v>
      </c>
      <c r="Y15" s="66">
        <v>45579.0</v>
      </c>
      <c r="Z15" s="13">
        <f t="shared" si="2"/>
        <v>0.2</v>
      </c>
    </row>
    <row r="16">
      <c r="A16" s="8">
        <f t="shared" si="3"/>
        <v>15</v>
      </c>
      <c r="B16" s="8" t="s">
        <v>18</v>
      </c>
      <c r="C16" s="8" t="s">
        <v>19</v>
      </c>
      <c r="D16" s="8"/>
      <c r="E16" s="8" t="s">
        <v>1490</v>
      </c>
      <c r="F16" s="8">
        <v>4.0</v>
      </c>
      <c r="G16" s="8">
        <v>6.0</v>
      </c>
      <c r="H16" s="111">
        <f>5/(9*2)</f>
        <v>0.2777777778</v>
      </c>
      <c r="I16" s="8" t="s">
        <v>1473</v>
      </c>
      <c r="J16" s="8" t="s">
        <v>1474</v>
      </c>
      <c r="K16" s="8">
        <v>0.0</v>
      </c>
      <c r="L16" s="8" t="s">
        <v>583</v>
      </c>
      <c r="M16" s="8" t="s">
        <v>22</v>
      </c>
      <c r="N16" s="8" t="s">
        <v>941</v>
      </c>
      <c r="O16" s="8" t="s">
        <v>24</v>
      </c>
      <c r="P16" s="9">
        <v>0.0</v>
      </c>
      <c r="Q16" s="9">
        <v>0.25</v>
      </c>
      <c r="R16" s="9">
        <v>0.25</v>
      </c>
      <c r="S16" s="10">
        <v>45569.0</v>
      </c>
      <c r="T16" s="11">
        <v>3.25</v>
      </c>
      <c r="U16" s="8" t="s">
        <v>70</v>
      </c>
      <c r="V16" s="12">
        <f t="shared" si="1"/>
        <v>0</v>
      </c>
      <c r="W16" s="12">
        <f t="shared" si="5"/>
        <v>-0.7005875</v>
      </c>
      <c r="Y16" s="66">
        <v>45580.0</v>
      </c>
      <c r="Z16" s="13">
        <f t="shared" si="2"/>
        <v>0</v>
      </c>
      <c r="AA16" s="2" t="s">
        <v>61</v>
      </c>
    </row>
    <row r="17">
      <c r="A17" s="15">
        <f t="shared" si="3"/>
        <v>16</v>
      </c>
      <c r="B17" s="15" t="s">
        <v>18</v>
      </c>
      <c r="C17" s="15" t="s">
        <v>19</v>
      </c>
      <c r="D17" s="15"/>
      <c r="E17" s="15" t="s">
        <v>1491</v>
      </c>
      <c r="F17" s="15">
        <v>8.0</v>
      </c>
      <c r="G17" s="15">
        <v>9.0</v>
      </c>
      <c r="H17" s="110">
        <f>8/(9*2)</f>
        <v>0.4444444444</v>
      </c>
      <c r="I17" s="15" t="s">
        <v>1473</v>
      </c>
      <c r="J17" s="15" t="s">
        <v>1480</v>
      </c>
      <c r="K17" s="15">
        <v>-2.0</v>
      </c>
      <c r="L17" s="15" t="s">
        <v>675</v>
      </c>
      <c r="M17" s="15" t="s">
        <v>22</v>
      </c>
      <c r="N17" s="15" t="s">
        <v>892</v>
      </c>
      <c r="O17" s="15" t="s">
        <v>24</v>
      </c>
      <c r="P17" s="16">
        <v>0.0</v>
      </c>
      <c r="Q17" s="16">
        <v>0.25</v>
      </c>
      <c r="R17" s="16">
        <v>0.25</v>
      </c>
      <c r="S17" s="17">
        <v>45569.0</v>
      </c>
      <c r="T17" s="18">
        <v>2.25</v>
      </c>
      <c r="U17" s="15" t="s">
        <v>33</v>
      </c>
      <c r="V17" s="19">
        <f t="shared" si="1"/>
        <v>0.3125</v>
      </c>
      <c r="W17" s="19">
        <f t="shared" si="5"/>
        <v>-0.3880875</v>
      </c>
      <c r="Y17" s="66">
        <v>45581.0</v>
      </c>
      <c r="Z17" s="13">
        <f t="shared" si="2"/>
        <v>-0.765335</v>
      </c>
      <c r="AA17" s="22">
        <f>average(T2:T202)</f>
        <v>1.850184928</v>
      </c>
    </row>
    <row r="18">
      <c r="A18" s="8">
        <f t="shared" si="3"/>
        <v>17</v>
      </c>
      <c r="B18" s="8" t="s">
        <v>18</v>
      </c>
      <c r="C18" s="8" t="s">
        <v>19</v>
      </c>
      <c r="D18" s="8"/>
      <c r="E18" s="8" t="s">
        <v>1492</v>
      </c>
      <c r="F18" s="8"/>
      <c r="G18" s="8"/>
      <c r="H18" s="111"/>
      <c r="I18" s="8" t="s">
        <v>1479</v>
      </c>
      <c r="J18" s="8" t="s">
        <v>1480</v>
      </c>
      <c r="K18" s="8">
        <v>-2.0</v>
      </c>
      <c r="L18" s="8" t="s">
        <v>1493</v>
      </c>
      <c r="M18" s="8" t="s">
        <v>22</v>
      </c>
      <c r="N18" s="8" t="s">
        <v>892</v>
      </c>
      <c r="O18" s="8" t="s">
        <v>24</v>
      </c>
      <c r="P18" s="9">
        <v>0.0</v>
      </c>
      <c r="Q18" s="9">
        <v>0.5</v>
      </c>
      <c r="R18" s="9">
        <v>0.5</v>
      </c>
      <c r="S18" s="10">
        <v>45569.0</v>
      </c>
      <c r="T18" s="11">
        <v>2.375</v>
      </c>
      <c r="U18" s="8" t="s">
        <v>25</v>
      </c>
      <c r="V18" s="12">
        <f t="shared" si="1"/>
        <v>-0.5</v>
      </c>
      <c r="W18" s="12">
        <f t="shared" si="5"/>
        <v>-0.8880875</v>
      </c>
      <c r="Y18" s="66">
        <v>45582.0</v>
      </c>
      <c r="Z18" s="13">
        <f t="shared" si="2"/>
        <v>-0.04627666667</v>
      </c>
    </row>
    <row r="19">
      <c r="A19" s="15">
        <f t="shared" si="3"/>
        <v>18</v>
      </c>
      <c r="B19" s="15" t="s">
        <v>131</v>
      </c>
      <c r="C19" s="15" t="s">
        <v>19</v>
      </c>
      <c r="D19" s="15"/>
      <c r="E19" s="15" t="s">
        <v>1494</v>
      </c>
      <c r="F19" s="15">
        <v>10.0</v>
      </c>
      <c r="G19" s="15">
        <v>6.0</v>
      </c>
      <c r="H19" s="110">
        <f t="shared" ref="H19:H20" si="6">6/(15*2)</f>
        <v>0.2</v>
      </c>
      <c r="I19" s="15"/>
      <c r="J19" s="15"/>
      <c r="K19" s="15"/>
      <c r="L19" s="15" t="s">
        <v>231</v>
      </c>
      <c r="M19" s="15" t="s">
        <v>22</v>
      </c>
      <c r="N19" s="15" t="s">
        <v>440</v>
      </c>
      <c r="O19" s="15" t="s">
        <v>24</v>
      </c>
      <c r="P19" s="16">
        <v>0.5</v>
      </c>
      <c r="Q19" s="16">
        <v>0.15</v>
      </c>
      <c r="R19" s="16">
        <v>0.15</v>
      </c>
      <c r="S19" s="17">
        <v>45569.0</v>
      </c>
      <c r="T19" s="18">
        <v>3.3</v>
      </c>
      <c r="U19" s="15" t="s">
        <v>25</v>
      </c>
      <c r="V19" s="19">
        <f t="shared" si="1"/>
        <v>-0.15</v>
      </c>
      <c r="W19" s="19">
        <f t="shared" si="5"/>
        <v>-1.0380875</v>
      </c>
      <c r="Y19" s="66">
        <v>45583.0</v>
      </c>
      <c r="Z19" s="13">
        <f t="shared" si="2"/>
        <v>-0.25</v>
      </c>
    </row>
    <row r="20">
      <c r="A20" s="8">
        <f t="shared" si="3"/>
        <v>19</v>
      </c>
      <c r="B20" s="8" t="s">
        <v>131</v>
      </c>
      <c r="C20" s="8" t="s">
        <v>19</v>
      </c>
      <c r="D20" s="8">
        <v>77.0</v>
      </c>
      <c r="E20" s="8" t="s">
        <v>1495</v>
      </c>
      <c r="F20" s="8">
        <v>10.0</v>
      </c>
      <c r="G20" s="8">
        <v>6.0</v>
      </c>
      <c r="H20" s="111">
        <f t="shared" si="6"/>
        <v>0.2</v>
      </c>
      <c r="I20" s="8" t="s">
        <v>1479</v>
      </c>
      <c r="J20" s="8" t="s">
        <v>1480</v>
      </c>
      <c r="K20" s="8">
        <v>0.0</v>
      </c>
      <c r="L20" s="8" t="s">
        <v>231</v>
      </c>
      <c r="M20" s="8" t="s">
        <v>22</v>
      </c>
      <c r="N20" s="8" t="s">
        <v>892</v>
      </c>
      <c r="O20" s="8" t="s">
        <v>24</v>
      </c>
      <c r="P20" s="9">
        <v>0.0</v>
      </c>
      <c r="Q20" s="9">
        <v>0.5</v>
      </c>
      <c r="R20" s="9">
        <v>0.5</v>
      </c>
      <c r="S20" s="54">
        <v>45569.0</v>
      </c>
      <c r="T20" s="11">
        <v>1.8</v>
      </c>
      <c r="U20" s="8" t="s">
        <v>70</v>
      </c>
      <c r="V20" s="12">
        <f t="shared" si="1"/>
        <v>0</v>
      </c>
      <c r="W20" s="12">
        <f t="shared" si="5"/>
        <v>-1.0380875</v>
      </c>
      <c r="Y20" s="66">
        <v>45584.0</v>
      </c>
      <c r="Z20" s="13">
        <f t="shared" si="2"/>
        <v>1.4923059</v>
      </c>
    </row>
    <row r="21">
      <c r="A21" s="15">
        <f t="shared" si="3"/>
        <v>20</v>
      </c>
      <c r="B21" s="15" t="s">
        <v>18</v>
      </c>
      <c r="C21" s="15" t="s">
        <v>19</v>
      </c>
      <c r="D21" s="15">
        <v>36.0</v>
      </c>
      <c r="E21" s="15" t="s">
        <v>1496</v>
      </c>
      <c r="F21" s="15">
        <v>13.0</v>
      </c>
      <c r="G21" s="15">
        <v>15.0</v>
      </c>
      <c r="H21" s="110">
        <f>3/(15*2)</f>
        <v>0.1</v>
      </c>
      <c r="I21" s="15" t="s">
        <v>1479</v>
      </c>
      <c r="J21" s="15" t="s">
        <v>1480</v>
      </c>
      <c r="K21" s="15">
        <v>0.0</v>
      </c>
      <c r="L21" s="15" t="s">
        <v>273</v>
      </c>
      <c r="M21" s="15" t="s">
        <v>22</v>
      </c>
      <c r="N21" s="15" t="s">
        <v>892</v>
      </c>
      <c r="O21" s="15" t="s">
        <v>24</v>
      </c>
      <c r="P21" s="16">
        <v>0.0</v>
      </c>
      <c r="Q21" s="16">
        <v>0.5</v>
      </c>
      <c r="R21" s="16">
        <v>0.5</v>
      </c>
      <c r="S21" s="17">
        <v>45569.0</v>
      </c>
      <c r="T21" s="18">
        <v>1.75</v>
      </c>
      <c r="U21" s="15" t="s">
        <v>70</v>
      </c>
      <c r="V21" s="19">
        <f t="shared" si="1"/>
        <v>0</v>
      </c>
      <c r="W21" s="19">
        <f t="shared" si="5"/>
        <v>-1.0380875</v>
      </c>
      <c r="Y21" s="66">
        <v>45585.0</v>
      </c>
      <c r="Z21" s="13">
        <f t="shared" si="2"/>
        <v>1.32625</v>
      </c>
    </row>
    <row r="22">
      <c r="A22" s="8">
        <f t="shared" si="3"/>
        <v>21</v>
      </c>
      <c r="B22" s="8" t="s">
        <v>26</v>
      </c>
      <c r="C22" s="8" t="s">
        <v>19</v>
      </c>
      <c r="D22" s="8">
        <v>0.0</v>
      </c>
      <c r="E22" s="8" t="s">
        <v>1497</v>
      </c>
      <c r="F22" s="8">
        <v>2.0</v>
      </c>
      <c r="G22" s="8">
        <v>3.0</v>
      </c>
      <c r="H22" s="8">
        <f>6/(4*2)</f>
        <v>0.75</v>
      </c>
      <c r="I22" s="8" t="s">
        <v>1479</v>
      </c>
      <c r="J22" s="8" t="s">
        <v>1477</v>
      </c>
      <c r="K22" s="8">
        <v>0.0</v>
      </c>
      <c r="L22" s="8" t="s">
        <v>82</v>
      </c>
      <c r="M22" s="8" t="s">
        <v>598</v>
      </c>
      <c r="N22" s="8" t="s">
        <v>894</v>
      </c>
      <c r="O22" s="8" t="s">
        <v>39</v>
      </c>
      <c r="P22" s="9">
        <v>-0.25</v>
      </c>
      <c r="Q22" s="9">
        <v>0.25</v>
      </c>
      <c r="R22" s="9">
        <v>0.25</v>
      </c>
      <c r="S22" s="10">
        <v>45569.0</v>
      </c>
      <c r="T22" s="11">
        <v>1.85</v>
      </c>
      <c r="U22" s="8" t="s">
        <v>79</v>
      </c>
      <c r="V22" s="12">
        <f t="shared" si="1"/>
        <v>-0.125</v>
      </c>
      <c r="W22" s="12">
        <f t="shared" si="5"/>
        <v>-1.1630875</v>
      </c>
      <c r="Y22" s="66">
        <v>45586.0</v>
      </c>
      <c r="Z22" s="13">
        <f t="shared" si="2"/>
        <v>0</v>
      </c>
    </row>
    <row r="23">
      <c r="A23" s="15">
        <f t="shared" si="3"/>
        <v>22</v>
      </c>
      <c r="B23" s="15" t="s">
        <v>26</v>
      </c>
      <c r="C23" s="15" t="s">
        <v>19</v>
      </c>
      <c r="D23" s="15">
        <v>24.0</v>
      </c>
      <c r="E23" s="15" t="s">
        <v>1498</v>
      </c>
      <c r="F23" s="15">
        <v>12.0</v>
      </c>
      <c r="G23" s="15">
        <v>11.0</v>
      </c>
      <c r="H23" s="110">
        <f>9/(15*2)</f>
        <v>0.3</v>
      </c>
      <c r="I23" s="15" t="s">
        <v>1473</v>
      </c>
      <c r="J23" s="15" t="s">
        <v>1480</v>
      </c>
      <c r="K23" s="15">
        <v>1.0</v>
      </c>
      <c r="L23" s="15" t="s">
        <v>316</v>
      </c>
      <c r="M23" s="15" t="s">
        <v>22</v>
      </c>
      <c r="N23" s="15" t="s">
        <v>1150</v>
      </c>
      <c r="O23" s="15" t="s">
        <v>24</v>
      </c>
      <c r="P23" s="16">
        <v>0.0</v>
      </c>
      <c r="Q23" s="16">
        <v>0.25</v>
      </c>
      <c r="R23" s="16">
        <v>0.25</v>
      </c>
      <c r="S23" s="17">
        <v>45569.0</v>
      </c>
      <c r="T23" s="18">
        <v>1.7</v>
      </c>
      <c r="U23" s="15" t="s">
        <v>70</v>
      </c>
      <c r="V23" s="19">
        <f t="shared" si="1"/>
        <v>0</v>
      </c>
      <c r="W23" s="19">
        <f t="shared" si="5"/>
        <v>-1.1630875</v>
      </c>
      <c r="Y23" s="66">
        <v>45587.0</v>
      </c>
      <c r="Z23" s="13">
        <f t="shared" si="2"/>
        <v>0.30765</v>
      </c>
    </row>
    <row r="24">
      <c r="A24" s="8">
        <f t="shared" si="3"/>
        <v>23</v>
      </c>
      <c r="B24" s="8" t="s">
        <v>18</v>
      </c>
      <c r="C24" s="8" t="s">
        <v>19</v>
      </c>
      <c r="D24" s="8"/>
      <c r="E24" s="8" t="s">
        <v>1499</v>
      </c>
      <c r="F24" s="8">
        <v>8.0</v>
      </c>
      <c r="G24" s="8">
        <v>18.0</v>
      </c>
      <c r="H24" s="111">
        <f>2/(19*2)</f>
        <v>0.05263157895</v>
      </c>
      <c r="I24" s="8" t="s">
        <v>1479</v>
      </c>
      <c r="J24" s="8" t="s">
        <v>1480</v>
      </c>
      <c r="K24" s="8">
        <v>1.0</v>
      </c>
      <c r="L24" s="8" t="s">
        <v>174</v>
      </c>
      <c r="M24" s="8" t="s">
        <v>22</v>
      </c>
      <c r="N24" s="8" t="s">
        <v>892</v>
      </c>
      <c r="O24" s="8" t="s">
        <v>24</v>
      </c>
      <c r="P24" s="9">
        <v>0.0</v>
      </c>
      <c r="Q24" s="98">
        <v>0.6</v>
      </c>
      <c r="R24" s="33">
        <v>0.6</v>
      </c>
      <c r="S24" s="10">
        <v>45569.0</v>
      </c>
      <c r="T24" s="11">
        <v>1.775</v>
      </c>
      <c r="U24" s="8" t="s">
        <v>25</v>
      </c>
      <c r="V24" s="12">
        <f t="shared" si="1"/>
        <v>-0.6</v>
      </c>
      <c r="W24" s="12">
        <f t="shared" si="5"/>
        <v>-1.7630875</v>
      </c>
      <c r="Y24" s="66">
        <v>45588.0</v>
      </c>
      <c r="Z24" s="13">
        <f t="shared" si="2"/>
        <v>0.3496</v>
      </c>
    </row>
    <row r="25">
      <c r="A25" s="15">
        <f t="shared" si="3"/>
        <v>24</v>
      </c>
      <c r="B25" s="15" t="s">
        <v>129</v>
      </c>
      <c r="C25" s="15" t="s">
        <v>19</v>
      </c>
      <c r="D25" s="15">
        <v>23.0</v>
      </c>
      <c r="E25" s="15" t="s">
        <v>1500</v>
      </c>
      <c r="F25" s="15">
        <v>4.0</v>
      </c>
      <c r="G25" s="15">
        <v>6.0</v>
      </c>
      <c r="H25" s="110">
        <f>32/(9*2)</f>
        <v>1.777777778</v>
      </c>
      <c r="I25" s="15" t="s">
        <v>1473</v>
      </c>
      <c r="J25" s="15" t="s">
        <v>1480</v>
      </c>
      <c r="K25" s="15">
        <v>0.0</v>
      </c>
      <c r="L25" s="15" t="s">
        <v>1501</v>
      </c>
      <c r="M25" s="15" t="s">
        <v>22</v>
      </c>
      <c r="N25" s="15" t="s">
        <v>892</v>
      </c>
      <c r="O25" s="15" t="s">
        <v>24</v>
      </c>
      <c r="P25" s="16">
        <v>0.0</v>
      </c>
      <c r="Q25" s="99">
        <v>0.25</v>
      </c>
      <c r="R25" s="43">
        <v>0.082</v>
      </c>
      <c r="S25" s="17">
        <v>45570.0</v>
      </c>
      <c r="T25" s="18">
        <v>1.975</v>
      </c>
      <c r="U25" s="15" t="s">
        <v>33</v>
      </c>
      <c r="V25" s="19">
        <f t="shared" si="1"/>
        <v>0.07995</v>
      </c>
      <c r="W25" s="19">
        <f t="shared" si="5"/>
        <v>-1.6831375</v>
      </c>
      <c r="Y25" s="66">
        <v>45589.0</v>
      </c>
      <c r="Z25" s="13">
        <f t="shared" si="2"/>
        <v>0.286238</v>
      </c>
    </row>
    <row r="26">
      <c r="A26" s="8">
        <f t="shared" si="3"/>
        <v>25</v>
      </c>
      <c r="B26" s="8" t="s">
        <v>26</v>
      </c>
      <c r="C26" s="8" t="s">
        <v>19</v>
      </c>
      <c r="D26" s="8">
        <v>53.0</v>
      </c>
      <c r="E26" s="8" t="s">
        <v>1502</v>
      </c>
      <c r="F26" s="8"/>
      <c r="G26" s="8"/>
      <c r="H26" s="111"/>
      <c r="I26" s="8" t="s">
        <v>1473</v>
      </c>
      <c r="J26" s="8" t="s">
        <v>1477</v>
      </c>
      <c r="K26" s="8">
        <v>0.0</v>
      </c>
      <c r="L26" s="8" t="s">
        <v>84</v>
      </c>
      <c r="M26" s="8" t="s">
        <v>22</v>
      </c>
      <c r="N26" s="8" t="s">
        <v>894</v>
      </c>
      <c r="O26" s="8" t="s">
        <v>24</v>
      </c>
      <c r="P26" s="9">
        <v>-0.5</v>
      </c>
      <c r="Q26" s="9">
        <v>0.25</v>
      </c>
      <c r="R26" s="9">
        <v>0.21875</v>
      </c>
      <c r="S26" s="10">
        <v>45570.0</v>
      </c>
      <c r="T26" s="11">
        <v>1.775</v>
      </c>
      <c r="U26" s="8" t="s">
        <v>33</v>
      </c>
      <c r="V26" s="12">
        <f t="shared" si="1"/>
        <v>0.16953125</v>
      </c>
      <c r="W26" s="12">
        <f t="shared" si="5"/>
        <v>-1.51360625</v>
      </c>
      <c r="Y26" s="66">
        <v>45590.0</v>
      </c>
      <c r="Z26" s="13">
        <f t="shared" si="2"/>
        <v>0.30452</v>
      </c>
    </row>
    <row r="27">
      <c r="A27" s="15">
        <f t="shared" si="3"/>
        <v>26</v>
      </c>
      <c r="B27" s="15" t="s">
        <v>131</v>
      </c>
      <c r="C27" s="15" t="s">
        <v>19</v>
      </c>
      <c r="D27" s="15"/>
      <c r="E27" s="15" t="s">
        <v>1503</v>
      </c>
      <c r="F27" s="15">
        <v>1.0</v>
      </c>
      <c r="G27" s="15">
        <v>3.0</v>
      </c>
      <c r="H27" s="110">
        <f>5/(9*2)</f>
        <v>0.2777777778</v>
      </c>
      <c r="I27" s="15" t="s">
        <v>1473</v>
      </c>
      <c r="J27" s="15" t="s">
        <v>1480</v>
      </c>
      <c r="K27" s="15">
        <v>-2.0</v>
      </c>
      <c r="L27" s="15" t="s">
        <v>583</v>
      </c>
      <c r="M27" s="15" t="s">
        <v>22</v>
      </c>
      <c r="N27" s="15" t="s">
        <v>892</v>
      </c>
      <c r="O27" s="15" t="s">
        <v>24</v>
      </c>
      <c r="P27" s="16">
        <v>0.0</v>
      </c>
      <c r="Q27" s="16">
        <v>0.5</v>
      </c>
      <c r="R27" s="16">
        <v>0.4688</v>
      </c>
      <c r="S27" s="17">
        <v>45570.0</v>
      </c>
      <c r="T27" s="18">
        <v>1.975</v>
      </c>
      <c r="U27" s="15" t="s">
        <v>25</v>
      </c>
      <c r="V27" s="19">
        <f t="shared" si="1"/>
        <v>-0.4688</v>
      </c>
      <c r="W27" s="19">
        <f t="shared" si="5"/>
        <v>-1.98240625</v>
      </c>
      <c r="Y27" s="66">
        <v>45591.0</v>
      </c>
      <c r="Z27" s="13">
        <f t="shared" si="2"/>
        <v>-0.038255</v>
      </c>
    </row>
    <row r="28">
      <c r="A28" s="8">
        <f t="shared" si="3"/>
        <v>27</v>
      </c>
      <c r="B28" s="8" t="s">
        <v>26</v>
      </c>
      <c r="C28" s="8" t="s">
        <v>19</v>
      </c>
      <c r="D28" s="8">
        <v>37.0</v>
      </c>
      <c r="E28" s="8" t="s">
        <v>1504</v>
      </c>
      <c r="F28" s="8"/>
      <c r="G28" s="8"/>
      <c r="H28" s="111"/>
      <c r="I28" s="8" t="s">
        <v>1479</v>
      </c>
      <c r="J28" s="8" t="s">
        <v>1474</v>
      </c>
      <c r="K28" s="8">
        <v>0.0</v>
      </c>
      <c r="L28" s="8" t="s">
        <v>96</v>
      </c>
      <c r="M28" s="8" t="s">
        <v>22</v>
      </c>
      <c r="N28" s="8" t="s">
        <v>941</v>
      </c>
      <c r="O28" s="8" t="s">
        <v>24</v>
      </c>
      <c r="P28" s="9">
        <v>0.0</v>
      </c>
      <c r="Q28" s="9">
        <v>0.5</v>
      </c>
      <c r="R28" s="9">
        <v>0.4922</v>
      </c>
      <c r="S28" s="10">
        <v>45570.0</v>
      </c>
      <c r="T28" s="11">
        <v>1.02</v>
      </c>
      <c r="U28" s="8" t="s">
        <v>33</v>
      </c>
      <c r="V28" s="12">
        <f t="shared" si="1"/>
        <v>0.009844</v>
      </c>
      <c r="W28" s="12">
        <f t="shared" si="5"/>
        <v>-1.97256225</v>
      </c>
      <c r="Y28" s="66">
        <v>45592.0</v>
      </c>
      <c r="Z28" s="13">
        <f t="shared" si="2"/>
        <v>-0.449285</v>
      </c>
    </row>
    <row r="29">
      <c r="A29" s="15">
        <f t="shared" si="3"/>
        <v>28</v>
      </c>
      <c r="B29" s="15" t="s">
        <v>26</v>
      </c>
      <c r="C29" s="15" t="s">
        <v>19</v>
      </c>
      <c r="D29" s="15">
        <v>44.0</v>
      </c>
      <c r="E29" s="15" t="s">
        <v>1505</v>
      </c>
      <c r="F29" s="15"/>
      <c r="G29" s="15"/>
      <c r="H29" s="110"/>
      <c r="I29" s="15" t="s">
        <v>1479</v>
      </c>
      <c r="J29" s="15" t="s">
        <v>1480</v>
      </c>
      <c r="K29" s="15">
        <v>0.0</v>
      </c>
      <c r="L29" s="15" t="s">
        <v>96</v>
      </c>
      <c r="M29" s="15" t="s">
        <v>22</v>
      </c>
      <c r="N29" s="15" t="s">
        <v>892</v>
      </c>
      <c r="O29" s="15" t="s">
        <v>24</v>
      </c>
      <c r="P29" s="16">
        <v>0.0</v>
      </c>
      <c r="Q29" s="16">
        <v>0.25</v>
      </c>
      <c r="R29" s="16">
        <v>0.2461</v>
      </c>
      <c r="S29" s="55">
        <v>45570.0</v>
      </c>
      <c r="T29" s="18">
        <v>1.7</v>
      </c>
      <c r="U29" s="15" t="s">
        <v>70</v>
      </c>
      <c r="V29" s="19">
        <f t="shared" si="1"/>
        <v>0</v>
      </c>
      <c r="W29" s="19">
        <f t="shared" si="5"/>
        <v>-1.97256225</v>
      </c>
      <c r="Y29" s="66">
        <v>45593.0</v>
      </c>
      <c r="Z29" s="13">
        <f t="shared" si="2"/>
        <v>0.1975</v>
      </c>
    </row>
    <row r="30">
      <c r="A30" s="8">
        <f t="shared" si="3"/>
        <v>29</v>
      </c>
      <c r="B30" s="8" t="s">
        <v>26</v>
      </c>
      <c r="C30" s="8" t="s">
        <v>19</v>
      </c>
      <c r="D30" s="8"/>
      <c r="E30" s="8" t="s">
        <v>1506</v>
      </c>
      <c r="F30" s="8"/>
      <c r="G30" s="8"/>
      <c r="H30" s="111"/>
      <c r="I30" s="8" t="s">
        <v>1473</v>
      </c>
      <c r="J30" s="8" t="s">
        <v>1474</v>
      </c>
      <c r="K30" s="8">
        <v>0.0</v>
      </c>
      <c r="L30" s="8" t="s">
        <v>38</v>
      </c>
      <c r="M30" s="8" t="s">
        <v>22</v>
      </c>
      <c r="N30" s="8" t="s">
        <v>941</v>
      </c>
      <c r="O30" s="8" t="s">
        <v>24</v>
      </c>
      <c r="P30" s="9">
        <v>0.0</v>
      </c>
      <c r="Q30" s="9">
        <v>0.5</v>
      </c>
      <c r="R30" s="9">
        <v>0.4844</v>
      </c>
      <c r="S30" s="10">
        <v>45570.0</v>
      </c>
      <c r="T30" s="11">
        <v>1.8</v>
      </c>
      <c r="U30" s="8" t="s">
        <v>70</v>
      </c>
      <c r="V30" s="12">
        <f t="shared" si="1"/>
        <v>0</v>
      </c>
      <c r="W30" s="12">
        <f t="shared" si="5"/>
        <v>-1.97256225</v>
      </c>
      <c r="Y30" s="66">
        <v>45594.0</v>
      </c>
      <c r="Z30" s="13">
        <f t="shared" si="2"/>
        <v>-0.13175</v>
      </c>
    </row>
    <row r="31">
      <c r="A31" s="15">
        <f t="shared" si="3"/>
        <v>30</v>
      </c>
      <c r="B31" s="15" t="s">
        <v>26</v>
      </c>
      <c r="C31" s="15" t="s">
        <v>19</v>
      </c>
      <c r="D31" s="15"/>
      <c r="E31" s="15" t="s">
        <v>1507</v>
      </c>
      <c r="F31" s="15"/>
      <c r="G31" s="15"/>
      <c r="H31" s="110"/>
      <c r="I31" s="15" t="s">
        <v>1473</v>
      </c>
      <c r="J31" s="15" t="s">
        <v>1480</v>
      </c>
      <c r="K31" s="15">
        <v>-1.0</v>
      </c>
      <c r="L31" s="15" t="s">
        <v>121</v>
      </c>
      <c r="M31" s="15" t="s">
        <v>22</v>
      </c>
      <c r="N31" s="15" t="s">
        <v>892</v>
      </c>
      <c r="O31" s="15" t="s">
        <v>24</v>
      </c>
      <c r="P31" s="16">
        <v>0.0</v>
      </c>
      <c r="Q31" s="16">
        <v>0.5</v>
      </c>
      <c r="R31" s="16">
        <v>0.4727</v>
      </c>
      <c r="S31" s="17">
        <v>45570.0</v>
      </c>
      <c r="T31" s="18">
        <v>2.4</v>
      </c>
      <c r="U31" s="15" t="s">
        <v>25</v>
      </c>
      <c r="V31" s="19">
        <f t="shared" si="1"/>
        <v>-0.4727</v>
      </c>
      <c r="W31" s="19">
        <f t="shared" si="5"/>
        <v>-2.44526225</v>
      </c>
      <c r="Y31" s="66">
        <v>45595.0</v>
      </c>
      <c r="Z31" s="13">
        <f t="shared" si="2"/>
        <v>0.35047</v>
      </c>
    </row>
    <row r="32">
      <c r="A32" s="8">
        <f t="shared" si="3"/>
        <v>31</v>
      </c>
      <c r="B32" s="8" t="s">
        <v>26</v>
      </c>
      <c r="C32" s="8" t="s">
        <v>19</v>
      </c>
      <c r="D32" s="8"/>
      <c r="E32" s="8" t="s">
        <v>1508</v>
      </c>
      <c r="F32" s="8"/>
      <c r="G32" s="8"/>
      <c r="H32" s="111"/>
      <c r="I32" s="8" t="s">
        <v>1479</v>
      </c>
      <c r="J32" s="8" t="s">
        <v>1480</v>
      </c>
      <c r="K32" s="8">
        <v>0.0</v>
      </c>
      <c r="L32" s="8" t="s">
        <v>82</v>
      </c>
      <c r="M32" s="8" t="s">
        <v>22</v>
      </c>
      <c r="N32" s="8" t="s">
        <v>892</v>
      </c>
      <c r="O32" s="8" t="s">
        <v>24</v>
      </c>
      <c r="P32" s="9">
        <v>0.0</v>
      </c>
      <c r="Q32" s="9">
        <v>0.75</v>
      </c>
      <c r="R32" s="9">
        <v>0.7109</v>
      </c>
      <c r="S32" s="10">
        <v>45570.0</v>
      </c>
      <c r="T32" s="11">
        <v>1.75</v>
      </c>
      <c r="U32" s="8" t="s">
        <v>33</v>
      </c>
      <c r="V32" s="12">
        <f t="shared" si="1"/>
        <v>0.533175</v>
      </c>
      <c r="W32" s="12">
        <f t="shared" si="5"/>
        <v>-1.91208725</v>
      </c>
      <c r="Y32" s="66">
        <v>45596.0</v>
      </c>
      <c r="Z32" s="13">
        <f t="shared" si="2"/>
        <v>-1.04589</v>
      </c>
    </row>
    <row r="33">
      <c r="A33" s="15">
        <f t="shared" si="3"/>
        <v>32</v>
      </c>
      <c r="B33" s="15" t="s">
        <v>26</v>
      </c>
      <c r="C33" s="15" t="s">
        <v>19</v>
      </c>
      <c r="D33" s="15"/>
      <c r="E33" s="15" t="s">
        <v>1509</v>
      </c>
      <c r="F33" s="15">
        <v>14.0</v>
      </c>
      <c r="G33" s="15">
        <v>8.0</v>
      </c>
      <c r="H33" s="110">
        <f>8/(15*2)</f>
        <v>0.2666666667</v>
      </c>
      <c r="I33" s="15" t="s">
        <v>1479</v>
      </c>
      <c r="J33" s="15" t="s">
        <v>1480</v>
      </c>
      <c r="K33" s="15">
        <v>0.0</v>
      </c>
      <c r="L33" s="15" t="s">
        <v>703</v>
      </c>
      <c r="M33" s="15" t="s">
        <v>22</v>
      </c>
      <c r="N33" s="15" t="s">
        <v>892</v>
      </c>
      <c r="O33" s="15" t="s">
        <v>24</v>
      </c>
      <c r="P33" s="16">
        <v>0.0</v>
      </c>
      <c r="Q33" s="16">
        <v>0.5</v>
      </c>
      <c r="R33" s="16">
        <v>0.4609</v>
      </c>
      <c r="S33" s="17">
        <v>45570.0</v>
      </c>
      <c r="T33" s="18">
        <v>1.75</v>
      </c>
      <c r="U33" s="15" t="s">
        <v>33</v>
      </c>
      <c r="V33" s="19">
        <f t="shared" si="1"/>
        <v>0.345675</v>
      </c>
      <c r="W33" s="19">
        <f t="shared" si="5"/>
        <v>-1.56641225</v>
      </c>
      <c r="Y33" s="94" t="s">
        <v>89</v>
      </c>
      <c r="Z33" s="28">
        <f>SUM(Z2:Z32)</f>
        <v>0.5393233733</v>
      </c>
    </row>
    <row r="34">
      <c r="A34" s="8">
        <f t="shared" si="3"/>
        <v>33</v>
      </c>
      <c r="B34" s="8" t="s">
        <v>129</v>
      </c>
      <c r="C34" s="8" t="s">
        <v>19</v>
      </c>
      <c r="D34" s="8">
        <v>72.0</v>
      </c>
      <c r="E34" s="8" t="s">
        <v>1510</v>
      </c>
      <c r="F34" s="8"/>
      <c r="G34" s="8"/>
      <c r="H34" s="8"/>
      <c r="I34" s="8" t="s">
        <v>1473</v>
      </c>
      <c r="J34" s="8" t="s">
        <v>1480</v>
      </c>
      <c r="K34" s="8">
        <v>1.0</v>
      </c>
      <c r="L34" s="8" t="s">
        <v>66</v>
      </c>
      <c r="M34" s="8" t="s">
        <v>22</v>
      </c>
      <c r="N34" s="8" t="s">
        <v>892</v>
      </c>
      <c r="O34" s="8" t="s">
        <v>24</v>
      </c>
      <c r="P34" s="9">
        <v>0.0</v>
      </c>
      <c r="Q34" s="9">
        <v>0.5</v>
      </c>
      <c r="R34" s="9">
        <v>0.4922</v>
      </c>
      <c r="S34" s="54">
        <v>45570.0</v>
      </c>
      <c r="T34" s="11">
        <v>1.875</v>
      </c>
      <c r="U34" s="8" t="s">
        <v>70</v>
      </c>
      <c r="V34" s="12">
        <f t="shared" si="1"/>
        <v>0</v>
      </c>
      <c r="W34" s="12">
        <f t="shared" si="5"/>
        <v>-1.56641225</v>
      </c>
    </row>
    <row r="35">
      <c r="A35" s="15">
        <f t="shared" si="3"/>
        <v>34</v>
      </c>
      <c r="B35" s="15" t="s">
        <v>26</v>
      </c>
      <c r="C35" s="15" t="s">
        <v>19</v>
      </c>
      <c r="D35" s="15">
        <v>75.0</v>
      </c>
      <c r="E35" s="15" t="s">
        <v>1511</v>
      </c>
      <c r="F35" s="15">
        <v>10.0</v>
      </c>
      <c r="G35" s="15">
        <v>6.0</v>
      </c>
      <c r="H35" s="110">
        <f>8/(15*2)</f>
        <v>0.2666666667</v>
      </c>
      <c r="I35" s="15" t="s">
        <v>1479</v>
      </c>
      <c r="J35" s="15" t="s">
        <v>1480</v>
      </c>
      <c r="K35" s="15">
        <v>0.0</v>
      </c>
      <c r="L35" s="15" t="s">
        <v>316</v>
      </c>
      <c r="M35" s="15" t="s">
        <v>22</v>
      </c>
      <c r="N35" s="15" t="s">
        <v>892</v>
      </c>
      <c r="O35" s="15" t="s">
        <v>24</v>
      </c>
      <c r="P35" s="16">
        <v>0.0</v>
      </c>
      <c r="Q35" s="16">
        <v>0.5</v>
      </c>
      <c r="R35" s="16">
        <v>0.4883</v>
      </c>
      <c r="S35" s="17">
        <v>45570.0</v>
      </c>
      <c r="T35" s="18">
        <v>2.0</v>
      </c>
      <c r="U35" s="15" t="s">
        <v>25</v>
      </c>
      <c r="V35" s="19">
        <f t="shared" si="1"/>
        <v>-0.4883</v>
      </c>
      <c r="W35" s="19">
        <f t="shared" si="5"/>
        <v>-2.05471225</v>
      </c>
      <c r="Y35" s="29"/>
    </row>
    <row r="36">
      <c r="A36" s="8">
        <f t="shared" si="3"/>
        <v>35</v>
      </c>
      <c r="B36" s="8" t="s">
        <v>129</v>
      </c>
      <c r="C36" s="8" t="s">
        <v>19</v>
      </c>
      <c r="D36" s="8">
        <v>74.0</v>
      </c>
      <c r="E36" s="8" t="s">
        <v>1512</v>
      </c>
      <c r="F36" s="8"/>
      <c r="G36" s="8"/>
      <c r="H36" s="111"/>
      <c r="I36" s="8" t="s">
        <v>1479</v>
      </c>
      <c r="J36" s="8" t="s">
        <v>1480</v>
      </c>
      <c r="K36" s="8">
        <v>0.0</v>
      </c>
      <c r="L36" s="8" t="s">
        <v>66</v>
      </c>
      <c r="M36" s="8" t="s">
        <v>22</v>
      </c>
      <c r="N36" s="8" t="s">
        <v>892</v>
      </c>
      <c r="O36" s="8" t="s">
        <v>24</v>
      </c>
      <c r="P36" s="9">
        <v>0.0</v>
      </c>
      <c r="Q36" s="9">
        <v>0.5</v>
      </c>
      <c r="R36" s="9">
        <v>0.4727</v>
      </c>
      <c r="S36" s="10">
        <v>45570.0</v>
      </c>
      <c r="T36" s="11">
        <v>1.85</v>
      </c>
      <c r="U36" s="8" t="s">
        <v>33</v>
      </c>
      <c r="V36" s="12">
        <f t="shared" si="1"/>
        <v>0.401795</v>
      </c>
      <c r="W36" s="12">
        <f t="shared" si="5"/>
        <v>-1.65291725</v>
      </c>
      <c r="Y36" s="30"/>
    </row>
    <row r="37">
      <c r="A37" s="15">
        <f t="shared" si="3"/>
        <v>36</v>
      </c>
      <c r="B37" s="15" t="s">
        <v>26</v>
      </c>
      <c r="C37" s="15" t="s">
        <v>19</v>
      </c>
      <c r="D37" s="15">
        <v>79.0</v>
      </c>
      <c r="E37" s="15" t="s">
        <v>1513</v>
      </c>
      <c r="F37" s="15"/>
      <c r="G37" s="15"/>
      <c r="H37" s="110"/>
      <c r="I37" s="15" t="s">
        <v>1479</v>
      </c>
      <c r="J37" s="15" t="s">
        <v>1480</v>
      </c>
      <c r="K37" s="15">
        <v>-1.0</v>
      </c>
      <c r="L37" s="15" t="s">
        <v>84</v>
      </c>
      <c r="M37" s="15" t="s">
        <v>22</v>
      </c>
      <c r="N37" s="15" t="s">
        <v>892</v>
      </c>
      <c r="O37" s="15" t="s">
        <v>24</v>
      </c>
      <c r="P37" s="16">
        <v>0.0</v>
      </c>
      <c r="Q37" s="16">
        <v>0.25</v>
      </c>
      <c r="R37" s="16">
        <v>0.0195</v>
      </c>
      <c r="S37" s="17">
        <v>45570.0</v>
      </c>
      <c r="T37" s="18">
        <v>1.825</v>
      </c>
      <c r="U37" s="15" t="s">
        <v>70</v>
      </c>
      <c r="V37" s="19">
        <f t="shared" si="1"/>
        <v>0</v>
      </c>
      <c r="W37" s="19">
        <f t="shared" si="5"/>
        <v>-1.65291725</v>
      </c>
      <c r="Y37" s="30"/>
    </row>
    <row r="38">
      <c r="A38" s="8">
        <f t="shared" si="3"/>
        <v>37</v>
      </c>
      <c r="B38" s="8" t="s">
        <v>129</v>
      </c>
      <c r="C38" s="8" t="s">
        <v>19</v>
      </c>
      <c r="D38" s="8">
        <v>40.0</v>
      </c>
      <c r="E38" s="8" t="s">
        <v>1514</v>
      </c>
      <c r="F38" s="8">
        <v>13.0</v>
      </c>
      <c r="G38" s="8">
        <v>14.0</v>
      </c>
      <c r="H38" s="109">
        <f>9/(15*2)</f>
        <v>0.3</v>
      </c>
      <c r="I38" s="8" t="s">
        <v>1479</v>
      </c>
      <c r="J38" s="8" t="s">
        <v>1480</v>
      </c>
      <c r="K38" s="8">
        <v>0.0</v>
      </c>
      <c r="L38" s="8" t="s">
        <v>1025</v>
      </c>
      <c r="M38" s="8" t="s">
        <v>22</v>
      </c>
      <c r="N38" s="8" t="s">
        <v>892</v>
      </c>
      <c r="O38" s="8" t="s">
        <v>24</v>
      </c>
      <c r="P38" s="9">
        <v>0.0</v>
      </c>
      <c r="Q38" s="9">
        <v>0.5</v>
      </c>
      <c r="R38" s="9">
        <v>0.4648</v>
      </c>
      <c r="S38" s="54">
        <v>45570.0</v>
      </c>
      <c r="T38" s="8">
        <v>1.95</v>
      </c>
      <c r="U38" s="8" t="s">
        <v>70</v>
      </c>
      <c r="V38" s="12">
        <f t="shared" si="1"/>
        <v>0</v>
      </c>
      <c r="W38" s="12">
        <f t="shared" si="5"/>
        <v>-1.65291725</v>
      </c>
      <c r="Y38" s="30"/>
    </row>
    <row r="39">
      <c r="A39" s="15">
        <f t="shared" si="3"/>
        <v>38</v>
      </c>
      <c r="B39" s="15" t="s">
        <v>129</v>
      </c>
      <c r="C39" s="15" t="s">
        <v>19</v>
      </c>
      <c r="D39" s="15">
        <v>32.0</v>
      </c>
      <c r="E39" s="15" t="s">
        <v>1515</v>
      </c>
      <c r="F39" s="15"/>
      <c r="G39" s="15"/>
      <c r="H39" s="110"/>
      <c r="I39" s="15" t="s">
        <v>1479</v>
      </c>
      <c r="J39" s="15" t="s">
        <v>1474</v>
      </c>
      <c r="K39" s="15">
        <v>0.0</v>
      </c>
      <c r="L39" s="15" t="s">
        <v>74</v>
      </c>
      <c r="M39" s="15" t="s">
        <v>22</v>
      </c>
      <c r="N39" s="15" t="s">
        <v>941</v>
      </c>
      <c r="O39" s="15" t="s">
        <v>24</v>
      </c>
      <c r="P39" s="16">
        <v>0.0</v>
      </c>
      <c r="Q39" s="16">
        <v>0.5</v>
      </c>
      <c r="R39" s="16">
        <v>0.4648</v>
      </c>
      <c r="S39" s="17">
        <v>45570.0</v>
      </c>
      <c r="T39" s="18">
        <v>1.675</v>
      </c>
      <c r="U39" s="15" t="s">
        <v>70</v>
      </c>
      <c r="V39" s="19">
        <f t="shared" si="1"/>
        <v>0</v>
      </c>
      <c r="W39" s="19">
        <f t="shared" si="5"/>
        <v>-1.65291725</v>
      </c>
      <c r="Y39" s="30"/>
    </row>
    <row r="40">
      <c r="A40" s="8">
        <f t="shared" si="3"/>
        <v>39</v>
      </c>
      <c r="B40" s="8" t="s">
        <v>129</v>
      </c>
      <c r="C40" s="8" t="s">
        <v>19</v>
      </c>
      <c r="D40" s="8"/>
      <c r="E40" s="8" t="s">
        <v>1516</v>
      </c>
      <c r="F40" s="8">
        <v>13.0</v>
      </c>
      <c r="G40" s="8">
        <v>14.0</v>
      </c>
      <c r="H40" s="111">
        <f>9/(15*2)</f>
        <v>0.3</v>
      </c>
      <c r="I40" s="8"/>
      <c r="J40" s="8"/>
      <c r="K40" s="8"/>
      <c r="L40" s="8" t="s">
        <v>1025</v>
      </c>
      <c r="M40" s="8" t="s">
        <v>22</v>
      </c>
      <c r="N40" s="8" t="s">
        <v>440</v>
      </c>
      <c r="O40" s="8" t="s">
        <v>24</v>
      </c>
      <c r="P40" s="9">
        <v>0.5</v>
      </c>
      <c r="Q40" s="9">
        <v>0.5</v>
      </c>
      <c r="R40" s="9">
        <v>0.5</v>
      </c>
      <c r="S40" s="10">
        <v>45570.0</v>
      </c>
      <c r="T40" s="11">
        <v>1.95</v>
      </c>
      <c r="U40" s="8" t="s">
        <v>25</v>
      </c>
      <c r="V40" s="12">
        <f t="shared" si="1"/>
        <v>-0.5</v>
      </c>
      <c r="W40" s="12">
        <f t="shared" si="5"/>
        <v>-2.15291725</v>
      </c>
      <c r="Y40" s="30"/>
    </row>
    <row r="41">
      <c r="A41" s="15">
        <f t="shared" si="3"/>
        <v>40</v>
      </c>
      <c r="B41" s="15" t="s">
        <v>26</v>
      </c>
      <c r="C41" s="15" t="s">
        <v>40</v>
      </c>
      <c r="D41" s="15">
        <v>57.0</v>
      </c>
      <c r="E41" s="15" t="s">
        <v>1517</v>
      </c>
      <c r="F41" s="15"/>
      <c r="G41" s="15"/>
      <c r="H41" s="110"/>
      <c r="I41" s="15" t="s">
        <v>1473</v>
      </c>
      <c r="J41" s="15" t="s">
        <v>1474</v>
      </c>
      <c r="K41" s="15">
        <v>1.0</v>
      </c>
      <c r="L41" s="15" t="s">
        <v>93</v>
      </c>
      <c r="M41" s="15" t="s">
        <v>22</v>
      </c>
      <c r="N41" s="15" t="s">
        <v>225</v>
      </c>
      <c r="O41" s="15" t="s">
        <v>24</v>
      </c>
      <c r="P41" s="16">
        <v>0.25</v>
      </c>
      <c r="Q41" s="16">
        <v>0.25</v>
      </c>
      <c r="R41" s="16">
        <v>0.25</v>
      </c>
      <c r="S41" s="17">
        <v>45570.0</v>
      </c>
      <c r="T41" s="18">
        <v>1.775</v>
      </c>
      <c r="U41" s="15" t="s">
        <v>70</v>
      </c>
      <c r="V41" s="19">
        <f t="shared" si="1"/>
        <v>0</v>
      </c>
      <c r="W41" s="19">
        <f t="shared" si="5"/>
        <v>-2.15291725</v>
      </c>
      <c r="Y41" s="30"/>
    </row>
    <row r="42">
      <c r="A42" s="8">
        <f t="shared" si="3"/>
        <v>41</v>
      </c>
      <c r="B42" s="31" t="s">
        <v>18</v>
      </c>
      <c r="C42" s="32" t="s">
        <v>19</v>
      </c>
      <c r="D42" s="32">
        <v>60.0</v>
      </c>
      <c r="E42" s="32" t="s">
        <v>1518</v>
      </c>
      <c r="F42" s="8">
        <v>20.0</v>
      </c>
      <c r="G42" s="8">
        <v>17.0</v>
      </c>
      <c r="H42" s="111">
        <f>2/(19*2)</f>
        <v>0.05263157895</v>
      </c>
      <c r="I42" s="32" t="s">
        <v>1473</v>
      </c>
      <c r="J42" s="32" t="s">
        <v>1480</v>
      </c>
      <c r="K42" s="32">
        <v>0.0</v>
      </c>
      <c r="L42" s="32" t="s">
        <v>174</v>
      </c>
      <c r="M42" s="32" t="s">
        <v>22</v>
      </c>
      <c r="N42" s="32" t="s">
        <v>892</v>
      </c>
      <c r="O42" s="8" t="s">
        <v>24</v>
      </c>
      <c r="P42" s="33">
        <v>0.0</v>
      </c>
      <c r="Q42" s="33">
        <v>0.25</v>
      </c>
      <c r="R42" s="33">
        <v>0.25</v>
      </c>
      <c r="S42" s="34">
        <v>45570.0</v>
      </c>
      <c r="T42" s="35">
        <v>1.75</v>
      </c>
      <c r="U42" s="8" t="s">
        <v>33</v>
      </c>
      <c r="V42" s="12">
        <f t="shared" si="1"/>
        <v>0.1875</v>
      </c>
      <c r="W42" s="12">
        <f t="shared" si="5"/>
        <v>-1.96541725</v>
      </c>
      <c r="Y42" s="30"/>
    </row>
    <row r="43">
      <c r="A43" s="15">
        <f t="shared" si="3"/>
        <v>42</v>
      </c>
      <c r="B43" s="15" t="s">
        <v>18</v>
      </c>
      <c r="C43" s="15" t="s">
        <v>19</v>
      </c>
      <c r="D43" s="15">
        <v>23.0</v>
      </c>
      <c r="E43" s="15" t="s">
        <v>1519</v>
      </c>
      <c r="F43" s="15"/>
      <c r="G43" s="15"/>
      <c r="H43" s="110"/>
      <c r="I43" s="15" t="s">
        <v>1479</v>
      </c>
      <c r="J43" s="15" t="s">
        <v>1474</v>
      </c>
      <c r="K43" s="15">
        <v>0.0</v>
      </c>
      <c r="L43" s="15" t="s">
        <v>82</v>
      </c>
      <c r="M43" s="15" t="s">
        <v>22</v>
      </c>
      <c r="N43" s="15" t="s">
        <v>225</v>
      </c>
      <c r="O43" s="15" t="s">
        <v>24</v>
      </c>
      <c r="P43" s="16">
        <v>0.25</v>
      </c>
      <c r="Q43" s="16">
        <v>0.25</v>
      </c>
      <c r="R43" s="16">
        <v>0.2383</v>
      </c>
      <c r="S43" s="17">
        <v>45570.0</v>
      </c>
      <c r="T43" s="18">
        <f>363.2/250</f>
        <v>1.4528</v>
      </c>
      <c r="U43" s="15" t="s">
        <v>33</v>
      </c>
      <c r="V43" s="19">
        <f t="shared" si="1"/>
        <v>0.10790224</v>
      </c>
      <c r="W43" s="19">
        <f t="shared" si="5"/>
        <v>-1.85751501</v>
      </c>
      <c r="Y43" s="30"/>
    </row>
    <row r="44">
      <c r="A44" s="8">
        <f t="shared" si="3"/>
        <v>43</v>
      </c>
      <c r="B44" s="8" t="s">
        <v>129</v>
      </c>
      <c r="C44" s="8" t="s">
        <v>19</v>
      </c>
      <c r="D44" s="8"/>
      <c r="E44" s="8" t="s">
        <v>1520</v>
      </c>
      <c r="F44" s="8"/>
      <c r="G44" s="8"/>
      <c r="H44" s="111"/>
      <c r="I44" s="8" t="s">
        <v>1473</v>
      </c>
      <c r="J44" s="8" t="s">
        <v>1480</v>
      </c>
      <c r="K44" s="8">
        <v>0.0</v>
      </c>
      <c r="L44" s="8" t="s">
        <v>82</v>
      </c>
      <c r="M44" s="8" t="s">
        <v>22</v>
      </c>
      <c r="N44" s="8" t="s">
        <v>892</v>
      </c>
      <c r="O44" s="8" t="s">
        <v>24</v>
      </c>
      <c r="P44" s="9">
        <v>0.0</v>
      </c>
      <c r="Q44" s="9">
        <v>0.5</v>
      </c>
      <c r="R44" s="9">
        <v>0.5</v>
      </c>
      <c r="S44" s="10">
        <v>45570.0</v>
      </c>
      <c r="T44" s="11">
        <v>1.85</v>
      </c>
      <c r="U44" s="8" t="s">
        <v>70</v>
      </c>
      <c r="V44" s="12">
        <f t="shared" si="1"/>
        <v>0</v>
      </c>
      <c r="W44" s="12">
        <f t="shared" si="5"/>
        <v>-1.85751501</v>
      </c>
      <c r="Y44" s="30"/>
    </row>
    <row r="45">
      <c r="A45" s="15">
        <f t="shared" si="3"/>
        <v>44</v>
      </c>
      <c r="B45" s="15" t="s">
        <v>129</v>
      </c>
      <c r="C45" s="15" t="s">
        <v>19</v>
      </c>
      <c r="D45" s="15"/>
      <c r="E45" s="15" t="s">
        <v>1521</v>
      </c>
      <c r="F45" s="15"/>
      <c r="G45" s="15"/>
      <c r="H45" s="110"/>
      <c r="I45" s="15" t="s">
        <v>1473</v>
      </c>
      <c r="J45" s="15" t="s">
        <v>1474</v>
      </c>
      <c r="K45" s="15">
        <v>0.0</v>
      </c>
      <c r="L45" s="15" t="s">
        <v>93</v>
      </c>
      <c r="M45" s="15" t="s">
        <v>22</v>
      </c>
      <c r="N45" s="15" t="s">
        <v>225</v>
      </c>
      <c r="O45" s="15" t="s">
        <v>1522</v>
      </c>
      <c r="P45" s="16">
        <v>0.25</v>
      </c>
      <c r="Q45" s="16">
        <v>0.5</v>
      </c>
      <c r="R45" s="16">
        <v>0.4844</v>
      </c>
      <c r="S45" s="17">
        <v>45571.0</v>
      </c>
      <c r="T45" s="18">
        <v>1.825</v>
      </c>
      <c r="U45" s="15" t="s">
        <v>33</v>
      </c>
      <c r="V45" s="19">
        <f t="shared" si="1"/>
        <v>0.39963</v>
      </c>
      <c r="W45" s="19">
        <f t="shared" si="5"/>
        <v>-1.45788501</v>
      </c>
    </row>
    <row r="46">
      <c r="A46" s="8">
        <f t="shared" si="3"/>
        <v>45</v>
      </c>
      <c r="B46" s="8" t="s">
        <v>137</v>
      </c>
      <c r="C46" s="8" t="s">
        <v>40</v>
      </c>
      <c r="D46" s="8"/>
      <c r="E46" s="8" t="s">
        <v>1523</v>
      </c>
      <c r="F46" s="8"/>
      <c r="G46" s="8"/>
      <c r="H46" s="111"/>
      <c r="I46" s="8" t="s">
        <v>1473</v>
      </c>
      <c r="J46" s="8" t="s">
        <v>1480</v>
      </c>
      <c r="K46" s="8">
        <v>0.0</v>
      </c>
      <c r="L46" s="8" t="s">
        <v>1031</v>
      </c>
      <c r="M46" s="8" t="s">
        <v>22</v>
      </c>
      <c r="N46" s="8" t="s">
        <v>892</v>
      </c>
      <c r="O46" s="8" t="s">
        <v>24</v>
      </c>
      <c r="P46" s="9">
        <v>0.0</v>
      </c>
      <c r="Q46" s="9">
        <v>0.5</v>
      </c>
      <c r="R46" s="9">
        <v>0.4414</v>
      </c>
      <c r="S46" s="10">
        <v>45571.0</v>
      </c>
      <c r="T46" s="11">
        <v>1.975</v>
      </c>
      <c r="U46" s="8" t="s">
        <v>25</v>
      </c>
      <c r="V46" s="12">
        <f t="shared" si="1"/>
        <v>-0.4414</v>
      </c>
      <c r="W46" s="12">
        <f t="shared" si="5"/>
        <v>-1.89928501</v>
      </c>
    </row>
    <row r="47">
      <c r="A47" s="15">
        <f t="shared" si="3"/>
        <v>46</v>
      </c>
      <c r="B47" s="15" t="s">
        <v>26</v>
      </c>
      <c r="C47" s="15" t="s">
        <v>19</v>
      </c>
      <c r="D47" s="15"/>
      <c r="E47" s="15" t="s">
        <v>1524</v>
      </c>
      <c r="F47" s="15">
        <v>8.0</v>
      </c>
      <c r="G47" s="15">
        <v>2.0</v>
      </c>
      <c r="H47" s="110">
        <f>9/(15*2)</f>
        <v>0.3</v>
      </c>
      <c r="I47" s="15" t="s">
        <v>1473</v>
      </c>
      <c r="J47" s="15" t="s">
        <v>1480</v>
      </c>
      <c r="K47" s="15">
        <v>0.0</v>
      </c>
      <c r="L47" s="15" t="s">
        <v>99</v>
      </c>
      <c r="M47" s="15" t="s">
        <v>22</v>
      </c>
      <c r="N47" s="15" t="s">
        <v>892</v>
      </c>
      <c r="O47" s="15" t="s">
        <v>24</v>
      </c>
      <c r="P47" s="16">
        <v>0.0</v>
      </c>
      <c r="Q47" s="16">
        <v>0.5</v>
      </c>
      <c r="R47" s="16">
        <v>0.4922</v>
      </c>
      <c r="S47" s="17">
        <v>45571.0</v>
      </c>
      <c r="T47" s="18">
        <v>1.95</v>
      </c>
      <c r="U47" s="15" t="s">
        <v>70</v>
      </c>
      <c r="V47" s="19">
        <f t="shared" si="1"/>
        <v>0</v>
      </c>
      <c r="W47" s="19">
        <f t="shared" si="5"/>
        <v>-1.89928501</v>
      </c>
    </row>
    <row r="48">
      <c r="A48" s="8">
        <f t="shared" si="3"/>
        <v>47</v>
      </c>
      <c r="B48" s="8" t="s">
        <v>129</v>
      </c>
      <c r="C48" s="8" t="s">
        <v>19</v>
      </c>
      <c r="D48" s="8"/>
      <c r="E48" s="8" t="s">
        <v>1525</v>
      </c>
      <c r="F48" s="8"/>
      <c r="G48" s="8"/>
      <c r="H48" s="111"/>
      <c r="I48" s="8" t="s">
        <v>1473</v>
      </c>
      <c r="J48" s="8" t="s">
        <v>1474</v>
      </c>
      <c r="K48" s="8">
        <v>0.0</v>
      </c>
      <c r="L48" s="8" t="s">
        <v>93</v>
      </c>
      <c r="M48" s="8" t="s">
        <v>22</v>
      </c>
      <c r="N48" s="8" t="s">
        <v>941</v>
      </c>
      <c r="O48" s="8" t="s">
        <v>1522</v>
      </c>
      <c r="P48" s="9">
        <v>0.0</v>
      </c>
      <c r="Q48" s="9">
        <v>0.25</v>
      </c>
      <c r="R48" s="9">
        <v>0.25</v>
      </c>
      <c r="S48" s="10">
        <v>45571.0</v>
      </c>
      <c r="T48" s="11">
        <v>2.1</v>
      </c>
      <c r="U48" s="8" t="s">
        <v>33</v>
      </c>
      <c r="V48" s="12">
        <f t="shared" si="1"/>
        <v>0.275</v>
      </c>
      <c r="W48" s="12">
        <f t="shared" si="5"/>
        <v>-1.62428501</v>
      </c>
    </row>
    <row r="49">
      <c r="A49" s="15">
        <f t="shared" si="3"/>
        <v>48</v>
      </c>
      <c r="B49" s="15" t="s">
        <v>129</v>
      </c>
      <c r="C49" s="15" t="s">
        <v>19</v>
      </c>
      <c r="D49" s="15"/>
      <c r="E49" s="95" t="s">
        <v>1526</v>
      </c>
      <c r="F49" s="15">
        <v>11.0</v>
      </c>
      <c r="G49" s="15">
        <v>6.0</v>
      </c>
      <c r="H49" s="110">
        <f>9/(15*2)</f>
        <v>0.3</v>
      </c>
      <c r="I49" s="15" t="s">
        <v>1473</v>
      </c>
      <c r="J49" s="15" t="s">
        <v>1480</v>
      </c>
      <c r="K49" s="15">
        <v>0.0</v>
      </c>
      <c r="L49" s="15" t="s">
        <v>99</v>
      </c>
      <c r="M49" s="15" t="s">
        <v>22</v>
      </c>
      <c r="N49" s="15" t="s">
        <v>892</v>
      </c>
      <c r="O49" s="15" t="s">
        <v>24</v>
      </c>
      <c r="P49" s="16">
        <v>0.0</v>
      </c>
      <c r="Q49" s="16">
        <v>0.5</v>
      </c>
      <c r="R49" s="16">
        <v>0.5</v>
      </c>
      <c r="S49" s="17">
        <v>45571.0</v>
      </c>
      <c r="T49" s="18">
        <v>2.0</v>
      </c>
      <c r="U49" s="15" t="s">
        <v>70</v>
      </c>
      <c r="V49" s="19">
        <f t="shared" si="1"/>
        <v>0</v>
      </c>
      <c r="W49" s="19">
        <f t="shared" si="5"/>
        <v>-1.62428501</v>
      </c>
    </row>
    <row r="50">
      <c r="A50" s="8">
        <f t="shared" si="3"/>
        <v>49</v>
      </c>
      <c r="B50" s="8" t="s">
        <v>129</v>
      </c>
      <c r="C50" s="8" t="s">
        <v>19</v>
      </c>
      <c r="D50" s="8">
        <v>80.0</v>
      </c>
      <c r="E50" s="8" t="s">
        <v>1527</v>
      </c>
      <c r="F50" s="8">
        <v>6.0</v>
      </c>
      <c r="G50" s="8">
        <v>9.0</v>
      </c>
      <c r="H50" s="111">
        <f>4/(17*2)</f>
        <v>0.1176470588</v>
      </c>
      <c r="I50" s="8" t="s">
        <v>1479</v>
      </c>
      <c r="J50" s="8" t="s">
        <v>1480</v>
      </c>
      <c r="K50" s="8">
        <v>-2.0</v>
      </c>
      <c r="L50" s="8" t="s">
        <v>93</v>
      </c>
      <c r="M50" s="8" t="s">
        <v>22</v>
      </c>
      <c r="N50" s="8" t="s">
        <v>892</v>
      </c>
      <c r="O50" s="8" t="s">
        <v>24</v>
      </c>
      <c r="P50" s="9">
        <v>0.0</v>
      </c>
      <c r="Q50" s="9">
        <v>0.5</v>
      </c>
      <c r="R50" s="9">
        <v>0.49</v>
      </c>
      <c r="S50" s="10">
        <v>45571.0</v>
      </c>
      <c r="T50" s="11">
        <v>1.65</v>
      </c>
      <c r="U50" s="8" t="s">
        <v>70</v>
      </c>
      <c r="V50" s="12">
        <f t="shared" si="1"/>
        <v>0</v>
      </c>
      <c r="W50" s="12">
        <f t="shared" si="5"/>
        <v>-1.62428501</v>
      </c>
    </row>
    <row r="51">
      <c r="A51" s="15">
        <f t="shared" si="3"/>
        <v>50</v>
      </c>
      <c r="B51" s="15" t="s">
        <v>129</v>
      </c>
      <c r="C51" s="15" t="s">
        <v>19</v>
      </c>
      <c r="D51" s="15">
        <v>20.0</v>
      </c>
      <c r="E51" s="15" t="s">
        <v>1528</v>
      </c>
      <c r="F51" s="15">
        <v>7.0</v>
      </c>
      <c r="G51" s="15">
        <v>5.0</v>
      </c>
      <c r="H51" s="110">
        <f>2/(17*2)</f>
        <v>0.05882352941</v>
      </c>
      <c r="I51" s="15" t="s">
        <v>1479</v>
      </c>
      <c r="J51" s="15" t="s">
        <v>1477</v>
      </c>
      <c r="K51" s="15">
        <v>0.0</v>
      </c>
      <c r="L51" s="15" t="s">
        <v>48</v>
      </c>
      <c r="M51" s="15" t="s">
        <v>22</v>
      </c>
      <c r="N51" s="15" t="s">
        <v>894</v>
      </c>
      <c r="O51" s="15" t="s">
        <v>24</v>
      </c>
      <c r="P51" s="16">
        <v>-0.25</v>
      </c>
      <c r="Q51" s="16">
        <v>0.25</v>
      </c>
      <c r="R51" s="16">
        <v>0.25</v>
      </c>
      <c r="S51" s="17">
        <v>45571.0</v>
      </c>
      <c r="T51" s="18">
        <v>1.8</v>
      </c>
      <c r="U51" s="15" t="s">
        <v>33</v>
      </c>
      <c r="V51" s="19">
        <f t="shared" si="1"/>
        <v>0.2</v>
      </c>
      <c r="W51" s="19">
        <f t="shared" si="5"/>
        <v>-1.42428501</v>
      </c>
      <c r="X51" s="40"/>
      <c r="Y51" s="41" t="s">
        <v>125</v>
      </c>
      <c r="Z51" s="41" t="s">
        <v>126</v>
      </c>
      <c r="AA51" s="41" t="s">
        <v>45</v>
      </c>
    </row>
    <row r="52">
      <c r="A52" s="8">
        <f t="shared" si="3"/>
        <v>51</v>
      </c>
      <c r="B52" s="8" t="s">
        <v>26</v>
      </c>
      <c r="C52" s="8" t="s">
        <v>19</v>
      </c>
      <c r="D52" s="8">
        <v>35.0</v>
      </c>
      <c r="E52" s="8" t="s">
        <v>1529</v>
      </c>
      <c r="F52" s="8">
        <v>6.0</v>
      </c>
      <c r="G52" s="8">
        <v>7.0</v>
      </c>
      <c r="H52" s="111">
        <f>4/(13*2)</f>
        <v>0.1538461538</v>
      </c>
      <c r="I52" s="8" t="s">
        <v>1473</v>
      </c>
      <c r="J52" s="8" t="s">
        <v>1480</v>
      </c>
      <c r="K52" s="8">
        <v>1.0</v>
      </c>
      <c r="L52" s="8" t="s">
        <v>50</v>
      </c>
      <c r="M52" s="8" t="s">
        <v>22</v>
      </c>
      <c r="N52" s="8" t="s">
        <v>892</v>
      </c>
      <c r="O52" s="8" t="s">
        <v>24</v>
      </c>
      <c r="P52" s="9">
        <v>0.0</v>
      </c>
      <c r="Q52" s="9">
        <v>0.25</v>
      </c>
      <c r="R52" s="9">
        <v>0.25</v>
      </c>
      <c r="S52" s="10">
        <v>45571.0</v>
      </c>
      <c r="T52" s="11">
        <v>1.925</v>
      </c>
      <c r="U52" s="8" t="s">
        <v>70</v>
      </c>
      <c r="V52" s="12">
        <f t="shared" si="1"/>
        <v>0</v>
      </c>
      <c r="W52" s="12">
        <f t="shared" si="5"/>
        <v>-1.42428501</v>
      </c>
      <c r="X52" s="41" t="s">
        <v>18</v>
      </c>
      <c r="Y52" s="45">
        <f t="shared" ref="Y52:Y58" si="7">SUMIF($B$2:$B$2984,X52,$V$2:$V$2984)</f>
        <v>0.17869974</v>
      </c>
      <c r="Z52" s="45">
        <f t="shared" ref="Z52:Z58" si="8">SUMIF($B$2:$B$2984,X52,$R$2:$R$2984)</f>
        <v>13.8306</v>
      </c>
      <c r="AA52" s="46">
        <f t="shared" ref="AA52:AA58" si="9">Y52/Z52</f>
        <v>0.01292060648</v>
      </c>
    </row>
    <row r="53">
      <c r="A53" s="15">
        <f t="shared" si="3"/>
        <v>52</v>
      </c>
      <c r="B53" s="15" t="s">
        <v>26</v>
      </c>
      <c r="C53" s="42" t="s">
        <v>19</v>
      </c>
      <c r="D53" s="42">
        <v>54.0</v>
      </c>
      <c r="E53" s="42" t="s">
        <v>1530</v>
      </c>
      <c r="F53" s="15">
        <v>10.0</v>
      </c>
      <c r="G53" s="15">
        <v>15.0</v>
      </c>
      <c r="H53" s="110">
        <f>6/(19*2)</f>
        <v>0.1578947368</v>
      </c>
      <c r="I53" s="42" t="s">
        <v>1479</v>
      </c>
      <c r="J53" s="42" t="s">
        <v>1480</v>
      </c>
      <c r="K53" s="42">
        <v>0.0</v>
      </c>
      <c r="L53" s="15" t="s">
        <v>121</v>
      </c>
      <c r="M53" s="15" t="s">
        <v>22</v>
      </c>
      <c r="N53" s="15" t="s">
        <v>892</v>
      </c>
      <c r="O53" s="15" t="s">
        <v>24</v>
      </c>
      <c r="P53" s="43">
        <v>0.0</v>
      </c>
      <c r="Q53" s="43">
        <v>0.75</v>
      </c>
      <c r="R53" s="43">
        <v>0.7461</v>
      </c>
      <c r="S53" s="17">
        <v>45571.0</v>
      </c>
      <c r="T53" s="44">
        <v>1.574</v>
      </c>
      <c r="U53" s="15" t="s">
        <v>33</v>
      </c>
      <c r="V53" s="19">
        <f t="shared" si="1"/>
        <v>0.4282614</v>
      </c>
      <c r="W53" s="19">
        <f t="shared" si="5"/>
        <v>-0.99602361</v>
      </c>
      <c r="X53" s="41" t="s">
        <v>129</v>
      </c>
      <c r="Y53" s="45">
        <f t="shared" si="7"/>
        <v>1.6411059</v>
      </c>
      <c r="Z53" s="45">
        <f t="shared" si="8"/>
        <v>15.7151</v>
      </c>
      <c r="AA53" s="46">
        <f t="shared" si="9"/>
        <v>0.1044286005</v>
      </c>
    </row>
    <row r="54">
      <c r="A54" s="8">
        <f t="shared" si="3"/>
        <v>53</v>
      </c>
      <c r="B54" s="8" t="s">
        <v>129</v>
      </c>
      <c r="C54" s="8" t="s">
        <v>19</v>
      </c>
      <c r="D54" s="8">
        <v>54.0</v>
      </c>
      <c r="E54" s="47" t="s">
        <v>1531</v>
      </c>
      <c r="F54" s="8">
        <v>18.0</v>
      </c>
      <c r="G54" s="8">
        <v>6.0</v>
      </c>
      <c r="H54" s="111">
        <f>9/(17*2)</f>
        <v>0.2647058824</v>
      </c>
      <c r="I54" s="8" t="s">
        <v>1473</v>
      </c>
      <c r="J54" s="8" t="s">
        <v>1480</v>
      </c>
      <c r="K54" s="8">
        <v>-1.0</v>
      </c>
      <c r="L54" s="8" t="s">
        <v>101</v>
      </c>
      <c r="M54" s="8" t="s">
        <v>22</v>
      </c>
      <c r="N54" s="8" t="s">
        <v>892</v>
      </c>
      <c r="O54" s="8" t="s">
        <v>24</v>
      </c>
      <c r="P54" s="26">
        <v>0.0</v>
      </c>
      <c r="Q54" s="26">
        <v>0.5</v>
      </c>
      <c r="R54" s="26">
        <v>0.5</v>
      </c>
      <c r="S54" s="10">
        <v>45571.0</v>
      </c>
      <c r="T54" s="11">
        <v>1.725</v>
      </c>
      <c r="U54" s="8" t="s">
        <v>70</v>
      </c>
      <c r="V54" s="12">
        <f t="shared" si="1"/>
        <v>0</v>
      </c>
      <c r="W54" s="12">
        <f t="shared" si="5"/>
        <v>-0.99602361</v>
      </c>
      <c r="X54" s="41" t="s">
        <v>131</v>
      </c>
      <c r="Y54" s="45">
        <f t="shared" si="7"/>
        <v>-0.78346</v>
      </c>
      <c r="Z54" s="45">
        <f t="shared" si="8"/>
        <v>3.057</v>
      </c>
      <c r="AA54" s="46">
        <f t="shared" si="9"/>
        <v>-0.2562839385</v>
      </c>
    </row>
    <row r="55">
      <c r="A55" s="15">
        <f t="shared" si="3"/>
        <v>54</v>
      </c>
      <c r="B55" s="15" t="s">
        <v>26</v>
      </c>
      <c r="C55" s="15" t="s">
        <v>19</v>
      </c>
      <c r="D55" s="15">
        <v>68.0</v>
      </c>
      <c r="E55" s="42" t="s">
        <v>1532</v>
      </c>
      <c r="F55" s="15">
        <v>6.0</v>
      </c>
      <c r="G55" s="15">
        <v>7.0</v>
      </c>
      <c r="H55" s="110">
        <f>4/(13*2)</f>
        <v>0.1538461538</v>
      </c>
      <c r="I55" s="15" t="s">
        <v>1479</v>
      </c>
      <c r="J55" s="15" t="s">
        <v>1480</v>
      </c>
      <c r="K55" s="15">
        <v>-1.0</v>
      </c>
      <c r="L55" s="15" t="s">
        <v>50</v>
      </c>
      <c r="M55" s="15" t="s">
        <v>22</v>
      </c>
      <c r="N55" s="15" t="s">
        <v>892</v>
      </c>
      <c r="O55" s="15" t="s">
        <v>24</v>
      </c>
      <c r="P55" s="16">
        <v>0.0</v>
      </c>
      <c r="Q55" s="16">
        <v>0.25</v>
      </c>
      <c r="R55" s="16">
        <v>0.25</v>
      </c>
      <c r="S55" s="55">
        <v>45571.0</v>
      </c>
      <c r="T55" s="18">
        <v>1.9</v>
      </c>
      <c r="U55" s="15" t="s">
        <v>70</v>
      </c>
      <c r="V55" s="19">
        <f t="shared" si="1"/>
        <v>0</v>
      </c>
      <c r="W55" s="19">
        <f t="shared" si="5"/>
        <v>-0.99602361</v>
      </c>
      <c r="X55" s="41" t="s">
        <v>26</v>
      </c>
      <c r="Y55" s="45">
        <f t="shared" si="7"/>
        <v>-0.1226002667</v>
      </c>
      <c r="Z55" s="45">
        <f t="shared" si="8"/>
        <v>45.28925</v>
      </c>
      <c r="AA55" s="46">
        <f t="shared" si="9"/>
        <v>-0.002707050054</v>
      </c>
    </row>
    <row r="56">
      <c r="A56" s="8">
        <f t="shared" si="3"/>
        <v>55</v>
      </c>
      <c r="B56" s="8" t="s">
        <v>137</v>
      </c>
      <c r="C56" s="8" t="s">
        <v>19</v>
      </c>
      <c r="D56" s="8">
        <v>50.0</v>
      </c>
      <c r="E56" s="8" t="s">
        <v>1533</v>
      </c>
      <c r="F56" s="8">
        <v>4.0</v>
      </c>
      <c r="G56" s="8">
        <v>1.0</v>
      </c>
      <c r="H56" s="111">
        <f t="shared" ref="H56:H57" si="10">5/(13*2)</f>
        <v>0.1923076923</v>
      </c>
      <c r="I56" s="8" t="s">
        <v>1473</v>
      </c>
      <c r="J56" s="8" t="s">
        <v>1480</v>
      </c>
      <c r="K56" s="8">
        <v>0.0</v>
      </c>
      <c r="L56" s="8" t="s">
        <v>66</v>
      </c>
      <c r="M56" s="8" t="s">
        <v>22</v>
      </c>
      <c r="N56" s="8" t="s">
        <v>892</v>
      </c>
      <c r="O56" s="8" t="s">
        <v>24</v>
      </c>
      <c r="P56" s="9">
        <v>0.0</v>
      </c>
      <c r="Q56" s="9">
        <v>0.25</v>
      </c>
      <c r="R56" s="9">
        <v>0.25</v>
      </c>
      <c r="S56" s="54">
        <v>45571.0</v>
      </c>
      <c r="T56" s="11">
        <v>1.7</v>
      </c>
      <c r="U56" s="8" t="s">
        <v>25</v>
      </c>
      <c r="V56" s="12">
        <f t="shared" si="1"/>
        <v>-0.25</v>
      </c>
      <c r="W56" s="12">
        <f t="shared" si="5"/>
        <v>-1.24602361</v>
      </c>
      <c r="X56" s="41" t="s">
        <v>35</v>
      </c>
      <c r="Y56" s="45">
        <f t="shared" si="7"/>
        <v>-0.197535</v>
      </c>
      <c r="Z56" s="45">
        <f t="shared" si="8"/>
        <v>1.2427</v>
      </c>
      <c r="AA56" s="46">
        <f t="shared" si="9"/>
        <v>-0.1589563048</v>
      </c>
    </row>
    <row r="57">
      <c r="A57" s="15">
        <f t="shared" si="3"/>
        <v>56</v>
      </c>
      <c r="B57" s="15" t="s">
        <v>137</v>
      </c>
      <c r="C57" s="15" t="s">
        <v>19</v>
      </c>
      <c r="D57" s="15">
        <v>50.0</v>
      </c>
      <c r="E57" s="15" t="s">
        <v>1534</v>
      </c>
      <c r="F57" s="15">
        <v>4.0</v>
      </c>
      <c r="G57" s="15">
        <v>1.0</v>
      </c>
      <c r="H57" s="110">
        <f t="shared" si="10"/>
        <v>0.1923076923</v>
      </c>
      <c r="I57" s="15" t="s">
        <v>1473</v>
      </c>
      <c r="J57" s="15" t="s">
        <v>1474</v>
      </c>
      <c r="K57" s="15">
        <v>0.0</v>
      </c>
      <c r="L57" s="15" t="s">
        <v>66</v>
      </c>
      <c r="M57" s="15" t="s">
        <v>22</v>
      </c>
      <c r="N57" s="15" t="s">
        <v>941</v>
      </c>
      <c r="O57" s="15" t="s">
        <v>24</v>
      </c>
      <c r="P57" s="16">
        <v>0.0</v>
      </c>
      <c r="Q57" s="16">
        <v>0.25</v>
      </c>
      <c r="R57" s="16">
        <v>0.25</v>
      </c>
      <c r="S57" s="55">
        <v>45571.0</v>
      </c>
      <c r="T57" s="18">
        <v>1.725</v>
      </c>
      <c r="U57" s="15" t="s">
        <v>25</v>
      </c>
      <c r="V57" s="19">
        <f t="shared" si="1"/>
        <v>-0.25</v>
      </c>
      <c r="W57" s="19">
        <f t="shared" si="5"/>
        <v>-1.49602361</v>
      </c>
      <c r="X57" s="41" t="s">
        <v>135</v>
      </c>
      <c r="Y57" s="45">
        <f t="shared" si="7"/>
        <v>-0.63075</v>
      </c>
      <c r="Z57" s="45">
        <f t="shared" si="8"/>
        <v>1.087</v>
      </c>
      <c r="AA57" s="46">
        <f t="shared" si="9"/>
        <v>-0.5802667893</v>
      </c>
    </row>
    <row r="58">
      <c r="A58" s="8">
        <f t="shared" si="3"/>
        <v>57</v>
      </c>
      <c r="B58" s="8" t="s">
        <v>26</v>
      </c>
      <c r="C58" s="8" t="s">
        <v>19</v>
      </c>
      <c r="D58" s="8">
        <v>50.0</v>
      </c>
      <c r="E58" s="8" t="s">
        <v>1535</v>
      </c>
      <c r="F58" s="8"/>
      <c r="G58" s="8"/>
      <c r="H58" s="111"/>
      <c r="I58" s="8" t="s">
        <v>1479</v>
      </c>
      <c r="J58" s="8" t="s">
        <v>1480</v>
      </c>
      <c r="K58" s="8">
        <v>-1.0</v>
      </c>
      <c r="L58" s="8" t="s">
        <v>93</v>
      </c>
      <c r="M58" s="8" t="s">
        <v>22</v>
      </c>
      <c r="N58" s="8" t="s">
        <v>892</v>
      </c>
      <c r="O58" s="8" t="s">
        <v>24</v>
      </c>
      <c r="P58" s="9">
        <v>0.0</v>
      </c>
      <c r="Q58" s="9">
        <v>0.75</v>
      </c>
      <c r="R58" s="9">
        <v>0.75</v>
      </c>
      <c r="S58" s="54">
        <v>45571.0</v>
      </c>
      <c r="T58" s="11">
        <v>1.71</v>
      </c>
      <c r="U58" s="8" t="s">
        <v>33</v>
      </c>
      <c r="V58" s="12">
        <f t="shared" si="1"/>
        <v>0.5325</v>
      </c>
      <c r="W58" s="12">
        <f t="shared" si="5"/>
        <v>-0.96352361</v>
      </c>
      <c r="X58" s="41" t="s">
        <v>137</v>
      </c>
      <c r="Y58" s="45">
        <f t="shared" si="7"/>
        <v>0.453863</v>
      </c>
      <c r="Z58" s="45">
        <f t="shared" si="8"/>
        <v>6.5089</v>
      </c>
      <c r="AA58" s="46">
        <f t="shared" si="9"/>
        <v>0.06972960101</v>
      </c>
    </row>
    <row r="59">
      <c r="A59" s="15">
        <f t="shared" si="3"/>
        <v>58</v>
      </c>
      <c r="B59" s="15" t="s">
        <v>35</v>
      </c>
      <c r="C59" s="15" t="s">
        <v>19</v>
      </c>
      <c r="D59" s="15">
        <v>60.0</v>
      </c>
      <c r="E59" s="42" t="s">
        <v>1536</v>
      </c>
      <c r="F59" s="15">
        <v>16.0</v>
      </c>
      <c r="G59" s="15">
        <v>17.0</v>
      </c>
      <c r="H59" s="110">
        <f>5/(17*2)</f>
        <v>0.1470588235</v>
      </c>
      <c r="I59" s="15" t="s">
        <v>1479</v>
      </c>
      <c r="J59" s="15" t="s">
        <v>1480</v>
      </c>
      <c r="K59" s="15">
        <v>0.0</v>
      </c>
      <c r="L59" s="15" t="s">
        <v>162</v>
      </c>
      <c r="M59" s="15" t="s">
        <v>22</v>
      </c>
      <c r="N59" s="15" t="s">
        <v>892</v>
      </c>
      <c r="O59" s="15" t="s">
        <v>39</v>
      </c>
      <c r="P59" s="16">
        <v>0.0</v>
      </c>
      <c r="Q59" s="16">
        <v>0.1</v>
      </c>
      <c r="R59" s="16">
        <v>0.0344</v>
      </c>
      <c r="S59" s="17">
        <v>45571.0</v>
      </c>
      <c r="T59" s="18">
        <v>1.75</v>
      </c>
      <c r="U59" s="15" t="s">
        <v>25</v>
      </c>
      <c r="V59" s="19">
        <f t="shared" si="1"/>
        <v>-0.0344</v>
      </c>
      <c r="W59" s="49">
        <f t="shared" si="5"/>
        <v>-0.99792361</v>
      </c>
    </row>
    <row r="60">
      <c r="A60" s="8">
        <f t="shared" si="3"/>
        <v>59</v>
      </c>
      <c r="B60" s="8" t="s">
        <v>18</v>
      </c>
      <c r="C60" s="8" t="s">
        <v>40</v>
      </c>
      <c r="D60" s="8">
        <v>79.0</v>
      </c>
      <c r="E60" s="47" t="s">
        <v>1537</v>
      </c>
      <c r="F60" s="8"/>
      <c r="G60" s="8"/>
      <c r="H60" s="111"/>
      <c r="I60" s="8" t="s">
        <v>1479</v>
      </c>
      <c r="J60" s="8" t="s">
        <v>1480</v>
      </c>
      <c r="K60" s="8">
        <v>0.0</v>
      </c>
      <c r="L60" s="8" t="s">
        <v>172</v>
      </c>
      <c r="M60" s="8" t="s">
        <v>22</v>
      </c>
      <c r="N60" s="8" t="s">
        <v>892</v>
      </c>
      <c r="O60" s="8" t="s">
        <v>24</v>
      </c>
      <c r="P60" s="9">
        <v>0.0</v>
      </c>
      <c r="Q60" s="9">
        <v>0.75</v>
      </c>
      <c r="R60" s="9">
        <v>0.75</v>
      </c>
      <c r="S60" s="10">
        <v>45571.0</v>
      </c>
      <c r="T60" s="11">
        <v>1.775</v>
      </c>
      <c r="U60" s="8" t="s">
        <v>70</v>
      </c>
      <c r="V60" s="12">
        <f t="shared" si="1"/>
        <v>0</v>
      </c>
      <c r="W60" s="48">
        <f t="shared" si="5"/>
        <v>-0.99792361</v>
      </c>
      <c r="X60" s="100" t="s">
        <v>0</v>
      </c>
      <c r="Y60" s="101" t="s">
        <v>960</v>
      </c>
      <c r="Z60" s="102"/>
      <c r="AA60" s="103"/>
    </row>
    <row r="61">
      <c r="A61" s="15">
        <f t="shared" si="3"/>
        <v>60</v>
      </c>
      <c r="B61" s="15" t="s">
        <v>137</v>
      </c>
      <c r="C61" s="15" t="s">
        <v>19</v>
      </c>
      <c r="D61" s="15">
        <v>60.0</v>
      </c>
      <c r="E61" s="42" t="s">
        <v>1538</v>
      </c>
      <c r="F61" s="15">
        <v>11.0</v>
      </c>
      <c r="G61" s="15">
        <v>15.0</v>
      </c>
      <c r="H61" s="110">
        <f>2/(15*2)</f>
        <v>0.06666666667</v>
      </c>
      <c r="I61" s="15" t="s">
        <v>1479</v>
      </c>
      <c r="J61" s="15" t="s">
        <v>1480</v>
      </c>
      <c r="K61" s="15">
        <v>0.0</v>
      </c>
      <c r="L61" s="15" t="s">
        <v>714</v>
      </c>
      <c r="M61" s="15" t="s">
        <v>22</v>
      </c>
      <c r="N61" s="15" t="s">
        <v>892</v>
      </c>
      <c r="O61" s="15" t="s">
        <v>24</v>
      </c>
      <c r="P61" s="16">
        <v>0.0</v>
      </c>
      <c r="Q61" s="16">
        <v>0.75</v>
      </c>
      <c r="R61" s="16">
        <v>0.5</v>
      </c>
      <c r="S61" s="17">
        <v>45571.0</v>
      </c>
      <c r="T61" s="18">
        <v>1.85</v>
      </c>
      <c r="U61" s="15" t="s">
        <v>25</v>
      </c>
      <c r="V61" s="19">
        <f t="shared" si="1"/>
        <v>-0.5</v>
      </c>
      <c r="W61" s="49">
        <f t="shared" si="5"/>
        <v>-1.49792361</v>
      </c>
      <c r="X61" s="41">
        <v>1.0</v>
      </c>
      <c r="Y61" s="104" t="s">
        <v>962</v>
      </c>
      <c r="Z61" s="102"/>
      <c r="AA61" s="103"/>
    </row>
    <row r="62">
      <c r="A62" s="8">
        <f t="shared" si="3"/>
        <v>61</v>
      </c>
      <c r="B62" s="8" t="s">
        <v>18</v>
      </c>
      <c r="C62" s="8" t="s">
        <v>19</v>
      </c>
      <c r="D62" s="8">
        <v>10.0</v>
      </c>
      <c r="E62" s="47" t="s">
        <v>1539</v>
      </c>
      <c r="F62" s="8">
        <v>9.0</v>
      </c>
      <c r="G62" s="8">
        <v>13.0</v>
      </c>
      <c r="H62" s="111">
        <f>6/(15*2)</f>
        <v>0.2</v>
      </c>
      <c r="I62" s="8" t="s">
        <v>1479</v>
      </c>
      <c r="J62" s="8" t="s">
        <v>1480</v>
      </c>
      <c r="K62" s="8">
        <v>0.0</v>
      </c>
      <c r="L62" s="8" t="s">
        <v>316</v>
      </c>
      <c r="M62" s="8" t="s">
        <v>22</v>
      </c>
      <c r="N62" s="8" t="s">
        <v>892</v>
      </c>
      <c r="O62" s="8" t="s">
        <v>24</v>
      </c>
      <c r="P62" s="26">
        <v>0.0</v>
      </c>
      <c r="Q62" s="9">
        <v>0.5</v>
      </c>
      <c r="R62" s="9">
        <v>0.5</v>
      </c>
      <c r="S62" s="10">
        <v>45573.0</v>
      </c>
      <c r="T62" s="11">
        <v>1.70554</v>
      </c>
      <c r="U62" s="8" t="s">
        <v>33</v>
      </c>
      <c r="V62" s="12">
        <f t="shared" si="1"/>
        <v>0.35277</v>
      </c>
      <c r="W62" s="48">
        <f t="shared" si="5"/>
        <v>-1.14515361</v>
      </c>
      <c r="X62" s="41">
        <v>2.0</v>
      </c>
      <c r="Y62" s="104" t="s">
        <v>965</v>
      </c>
      <c r="Z62" s="102"/>
      <c r="AA62" s="103"/>
    </row>
    <row r="63">
      <c r="A63" s="15">
        <f t="shared" si="3"/>
        <v>62</v>
      </c>
      <c r="B63" s="15" t="s">
        <v>131</v>
      </c>
      <c r="C63" s="15" t="s">
        <v>19</v>
      </c>
      <c r="D63" s="15"/>
      <c r="E63" s="42" t="s">
        <v>1540</v>
      </c>
      <c r="F63" s="15">
        <v>9.0</v>
      </c>
      <c r="G63" s="15">
        <v>11.0</v>
      </c>
      <c r="H63" s="110">
        <f>8/(15*2)</f>
        <v>0.2666666667</v>
      </c>
      <c r="I63" s="15" t="s">
        <v>1479</v>
      </c>
      <c r="J63" s="15" t="s">
        <v>1480</v>
      </c>
      <c r="K63" s="15">
        <v>-1.0</v>
      </c>
      <c r="L63" s="15" t="s">
        <v>82</v>
      </c>
      <c r="M63" s="15" t="s">
        <v>22</v>
      </c>
      <c r="N63" s="15" t="s">
        <v>892</v>
      </c>
      <c r="O63" s="15" t="s">
        <v>1522</v>
      </c>
      <c r="P63" s="43">
        <v>0.0</v>
      </c>
      <c r="Q63" s="16">
        <v>0.25</v>
      </c>
      <c r="R63" s="16">
        <v>0.1445</v>
      </c>
      <c r="S63" s="17">
        <v>45573.0</v>
      </c>
      <c r="T63" s="18">
        <v>1.7</v>
      </c>
      <c r="U63" s="15" t="s">
        <v>25</v>
      </c>
      <c r="V63" s="19">
        <f t="shared" si="1"/>
        <v>-0.1445</v>
      </c>
      <c r="W63" s="49">
        <f t="shared" si="5"/>
        <v>-1.28965361</v>
      </c>
      <c r="X63" s="41">
        <v>3.0</v>
      </c>
      <c r="Y63" s="104" t="s">
        <v>967</v>
      </c>
      <c r="Z63" s="102"/>
      <c r="AA63" s="103"/>
    </row>
    <row r="64">
      <c r="A64" s="8">
        <f t="shared" si="3"/>
        <v>63</v>
      </c>
      <c r="B64" s="8" t="s">
        <v>135</v>
      </c>
      <c r="C64" s="8" t="s">
        <v>19</v>
      </c>
      <c r="D64" s="8">
        <v>0.0</v>
      </c>
      <c r="E64" s="47" t="s">
        <v>1541</v>
      </c>
      <c r="F64" s="8">
        <v>5.0</v>
      </c>
      <c r="G64" s="8">
        <v>6.0</v>
      </c>
      <c r="H64" s="111">
        <f>3/(16*2)</f>
        <v>0.09375</v>
      </c>
      <c r="I64" s="8"/>
      <c r="J64" s="8"/>
      <c r="K64" s="8"/>
      <c r="L64" s="8" t="s">
        <v>167</v>
      </c>
      <c r="M64" s="8" t="s">
        <v>598</v>
      </c>
      <c r="N64" s="8" t="s">
        <v>1471</v>
      </c>
      <c r="O64" s="8" t="s">
        <v>24</v>
      </c>
      <c r="P64" s="26">
        <v>-2.25</v>
      </c>
      <c r="Q64" s="9">
        <v>0.25</v>
      </c>
      <c r="R64" s="9">
        <v>0.25</v>
      </c>
      <c r="S64" s="10">
        <v>45574.0</v>
      </c>
      <c r="T64" s="11">
        <v>1.9</v>
      </c>
      <c r="U64" s="8" t="s">
        <v>25</v>
      </c>
      <c r="V64" s="12">
        <f t="shared" si="1"/>
        <v>-0.25</v>
      </c>
      <c r="W64" s="48">
        <f t="shared" si="5"/>
        <v>-1.53965361</v>
      </c>
      <c r="X64" s="41">
        <v>4.0</v>
      </c>
      <c r="Y64" s="104" t="s">
        <v>969</v>
      </c>
      <c r="Z64" s="102"/>
      <c r="AA64" s="103"/>
    </row>
    <row r="65">
      <c r="A65" s="15">
        <f t="shared" si="3"/>
        <v>64</v>
      </c>
      <c r="B65" s="15" t="s">
        <v>35</v>
      </c>
      <c r="C65" s="15" t="s">
        <v>19</v>
      </c>
      <c r="D65" s="15"/>
      <c r="E65" s="42" t="s">
        <v>1542</v>
      </c>
      <c r="F65" s="15"/>
      <c r="G65" s="15"/>
      <c r="H65" s="110"/>
      <c r="I65" s="15" t="s">
        <v>1479</v>
      </c>
      <c r="J65" s="15" t="s">
        <v>1474</v>
      </c>
      <c r="K65" s="15">
        <v>0.0</v>
      </c>
      <c r="L65" s="15" t="s">
        <v>873</v>
      </c>
      <c r="M65" s="15" t="s">
        <v>22</v>
      </c>
      <c r="N65" s="15" t="s">
        <v>225</v>
      </c>
      <c r="O65" s="15" t="s">
        <v>24</v>
      </c>
      <c r="P65" s="43">
        <v>0.25</v>
      </c>
      <c r="Q65" s="16">
        <v>0.1</v>
      </c>
      <c r="R65" s="16">
        <v>0.1</v>
      </c>
      <c r="S65" s="17">
        <v>45574.0</v>
      </c>
      <c r="T65" s="18">
        <v>1.7</v>
      </c>
      <c r="U65" s="15" t="s">
        <v>30</v>
      </c>
      <c r="V65" s="19">
        <f t="shared" si="1"/>
        <v>0.035</v>
      </c>
      <c r="W65" s="49">
        <f t="shared" si="5"/>
        <v>-1.50465361</v>
      </c>
      <c r="X65" s="41">
        <v>5.0</v>
      </c>
      <c r="Y65" s="104" t="s">
        <v>971</v>
      </c>
      <c r="Z65" s="102"/>
      <c r="AA65" s="103"/>
    </row>
    <row r="66">
      <c r="A66" s="8">
        <f t="shared" si="3"/>
        <v>65</v>
      </c>
      <c r="B66" s="8" t="s">
        <v>137</v>
      </c>
      <c r="C66" s="8" t="s">
        <v>19</v>
      </c>
      <c r="D66" s="8"/>
      <c r="E66" s="47" t="s">
        <v>1543</v>
      </c>
      <c r="F66" s="8"/>
      <c r="G66" s="8"/>
      <c r="H66" s="111"/>
      <c r="I66" s="8" t="s">
        <v>1473</v>
      </c>
      <c r="J66" s="8" t="s">
        <v>1474</v>
      </c>
      <c r="K66" s="8">
        <v>0.0</v>
      </c>
      <c r="L66" s="8" t="s">
        <v>84</v>
      </c>
      <c r="M66" s="8" t="s">
        <v>22</v>
      </c>
      <c r="N66" s="8" t="s">
        <v>225</v>
      </c>
      <c r="O66" s="8" t="s">
        <v>24</v>
      </c>
      <c r="P66" s="9">
        <v>0.25</v>
      </c>
      <c r="Q66" s="9">
        <v>0.25</v>
      </c>
      <c r="R66" s="9">
        <v>0.25</v>
      </c>
      <c r="S66" s="10">
        <v>45574.0</v>
      </c>
      <c r="T66" s="11">
        <v>1.8</v>
      </c>
      <c r="U66" s="8" t="s">
        <v>33</v>
      </c>
      <c r="V66" s="12">
        <f t="shared" si="1"/>
        <v>0.2</v>
      </c>
      <c r="W66" s="48">
        <f t="shared" si="5"/>
        <v>-1.30465361</v>
      </c>
      <c r="X66" s="41">
        <v>6.0</v>
      </c>
      <c r="Y66" s="104" t="s">
        <v>973</v>
      </c>
      <c r="Z66" s="102"/>
      <c r="AA66" s="103"/>
    </row>
    <row r="67">
      <c r="A67" s="15">
        <f t="shared" si="3"/>
        <v>66</v>
      </c>
      <c r="B67" s="15" t="s">
        <v>35</v>
      </c>
      <c r="C67" s="15" t="s">
        <v>19</v>
      </c>
      <c r="D67" s="15"/>
      <c r="E67" s="42" t="s">
        <v>1544</v>
      </c>
      <c r="F67" s="15">
        <v>3.0</v>
      </c>
      <c r="G67" s="15">
        <v>7.0</v>
      </c>
      <c r="H67" s="110">
        <f>2/(7*2)</f>
        <v>0.1428571429</v>
      </c>
      <c r="I67" s="15" t="s">
        <v>1479</v>
      </c>
      <c r="J67" s="15" t="s">
        <v>1480</v>
      </c>
      <c r="K67" s="15">
        <v>0.0</v>
      </c>
      <c r="L67" s="15" t="s">
        <v>82</v>
      </c>
      <c r="M67" s="15" t="s">
        <v>22</v>
      </c>
      <c r="N67" s="15" t="s">
        <v>892</v>
      </c>
      <c r="O67" s="15" t="s">
        <v>24</v>
      </c>
      <c r="P67" s="16">
        <v>0.0</v>
      </c>
      <c r="Q67" s="16">
        <v>0.2</v>
      </c>
      <c r="R67" s="16">
        <v>0.2</v>
      </c>
      <c r="S67" s="17">
        <v>45574.0</v>
      </c>
      <c r="T67" s="18">
        <v>1.825</v>
      </c>
      <c r="U67" s="15" t="s">
        <v>25</v>
      </c>
      <c r="V67" s="19">
        <f t="shared" si="1"/>
        <v>-0.2</v>
      </c>
      <c r="W67" s="49">
        <f t="shared" si="5"/>
        <v>-1.50465361</v>
      </c>
      <c r="X67" s="41">
        <v>7.0</v>
      </c>
      <c r="Y67" s="104" t="s">
        <v>975</v>
      </c>
      <c r="Z67" s="102"/>
      <c r="AA67" s="103"/>
    </row>
    <row r="68">
      <c r="A68" s="8">
        <f t="shared" si="3"/>
        <v>67</v>
      </c>
      <c r="B68" s="8" t="s">
        <v>18</v>
      </c>
      <c r="C68" s="8" t="s">
        <v>19</v>
      </c>
      <c r="D68" s="8"/>
      <c r="E68" s="47" t="s">
        <v>1545</v>
      </c>
      <c r="F68" s="8"/>
      <c r="G68" s="8"/>
      <c r="H68" s="111"/>
      <c r="I68" s="8" t="s">
        <v>1479</v>
      </c>
      <c r="J68" s="8" t="s">
        <v>1480</v>
      </c>
      <c r="K68" s="8">
        <v>0.0</v>
      </c>
      <c r="L68" s="8" t="s">
        <v>82</v>
      </c>
      <c r="M68" s="8" t="s">
        <v>22</v>
      </c>
      <c r="N68" s="8" t="s">
        <v>892</v>
      </c>
      <c r="O68" s="8" t="s">
        <v>24</v>
      </c>
      <c r="P68" s="9">
        <v>0.0</v>
      </c>
      <c r="Q68" s="9">
        <v>0.5</v>
      </c>
      <c r="R68" s="9">
        <v>0.5</v>
      </c>
      <c r="S68" s="10">
        <v>45574.0</v>
      </c>
      <c r="T68" s="11">
        <v>2.025</v>
      </c>
      <c r="U68" s="8" t="s">
        <v>70</v>
      </c>
      <c r="V68" s="12">
        <f t="shared" si="1"/>
        <v>0</v>
      </c>
      <c r="W68" s="48">
        <f t="shared" si="5"/>
        <v>-1.50465361</v>
      </c>
      <c r="X68" s="41">
        <v>8.0</v>
      </c>
      <c r="Y68" s="104" t="s">
        <v>977</v>
      </c>
      <c r="Z68" s="102"/>
      <c r="AA68" s="103"/>
    </row>
    <row r="69">
      <c r="A69" s="15">
        <f t="shared" si="3"/>
        <v>68</v>
      </c>
      <c r="B69" s="15" t="s">
        <v>35</v>
      </c>
      <c r="C69" s="15" t="s">
        <v>19</v>
      </c>
      <c r="D69" s="15"/>
      <c r="E69" s="42" t="s">
        <v>1546</v>
      </c>
      <c r="F69" s="15"/>
      <c r="G69" s="15"/>
      <c r="H69" s="110"/>
      <c r="I69" s="15" t="s">
        <v>1479</v>
      </c>
      <c r="J69" s="15" t="s">
        <v>1474</v>
      </c>
      <c r="K69" s="15">
        <v>0.0</v>
      </c>
      <c r="L69" s="15" t="s">
        <v>341</v>
      </c>
      <c r="M69" s="15" t="s">
        <v>22</v>
      </c>
      <c r="N69" s="15" t="s">
        <v>225</v>
      </c>
      <c r="O69" s="15" t="s">
        <v>24</v>
      </c>
      <c r="P69" s="24">
        <v>0.25</v>
      </c>
      <c r="Q69" s="16">
        <v>0.2</v>
      </c>
      <c r="R69" s="16">
        <v>0.2</v>
      </c>
      <c r="S69" s="17">
        <v>45574.0</v>
      </c>
      <c r="T69" s="18">
        <v>1.9</v>
      </c>
      <c r="U69" s="15" t="s">
        <v>25</v>
      </c>
      <c r="V69" s="19">
        <f t="shared" si="1"/>
        <v>-0.2</v>
      </c>
      <c r="W69" s="49">
        <f t="shared" si="5"/>
        <v>-1.70465361</v>
      </c>
      <c r="X69" s="41">
        <v>9.0</v>
      </c>
      <c r="Y69" s="104" t="s">
        <v>979</v>
      </c>
      <c r="Z69" s="102"/>
      <c r="AA69" s="103"/>
    </row>
    <row r="70">
      <c r="A70" s="8">
        <f t="shared" si="3"/>
        <v>69</v>
      </c>
      <c r="B70" s="8" t="s">
        <v>18</v>
      </c>
      <c r="C70" s="8" t="s">
        <v>19</v>
      </c>
      <c r="D70" s="8"/>
      <c r="E70" s="47" t="s">
        <v>1547</v>
      </c>
      <c r="F70" s="8"/>
      <c r="G70" s="8"/>
      <c r="H70" s="111"/>
      <c r="I70" s="8" t="s">
        <v>1473</v>
      </c>
      <c r="J70" s="8" t="s">
        <v>1480</v>
      </c>
      <c r="K70" s="8">
        <v>0.0</v>
      </c>
      <c r="L70" s="32" t="s">
        <v>84</v>
      </c>
      <c r="M70" s="8" t="s">
        <v>22</v>
      </c>
      <c r="N70" s="8" t="s">
        <v>892</v>
      </c>
      <c r="O70" s="8" t="s">
        <v>24</v>
      </c>
      <c r="P70" s="33">
        <v>0.0</v>
      </c>
      <c r="Q70" s="9">
        <v>0.2</v>
      </c>
      <c r="R70" s="9">
        <v>0.2</v>
      </c>
      <c r="S70" s="10">
        <v>45574.0</v>
      </c>
      <c r="T70" s="11">
        <v>1.85</v>
      </c>
      <c r="U70" s="8" t="s">
        <v>33</v>
      </c>
      <c r="V70" s="12">
        <f t="shared" si="1"/>
        <v>0.17</v>
      </c>
      <c r="W70" s="48">
        <f t="shared" si="5"/>
        <v>-1.53465361</v>
      </c>
      <c r="X70" s="41">
        <v>10.0</v>
      </c>
      <c r="Y70" s="104" t="s">
        <v>981</v>
      </c>
      <c r="Z70" s="102"/>
      <c r="AA70" s="103"/>
    </row>
    <row r="71">
      <c r="A71" s="15">
        <f t="shared" si="3"/>
        <v>70</v>
      </c>
      <c r="B71" s="36" t="s">
        <v>35</v>
      </c>
      <c r="C71" s="37" t="s">
        <v>19</v>
      </c>
      <c r="D71" s="37"/>
      <c r="E71" s="42" t="s">
        <v>1548</v>
      </c>
      <c r="F71" s="37">
        <v>10.0</v>
      </c>
      <c r="G71" s="37">
        <v>4.0</v>
      </c>
      <c r="H71" s="110">
        <f>32/(9*2)</f>
        <v>1.777777778</v>
      </c>
      <c r="I71" s="15" t="s">
        <v>1479</v>
      </c>
      <c r="J71" s="15" t="s">
        <v>1480</v>
      </c>
      <c r="K71" s="15">
        <v>0.0</v>
      </c>
      <c r="L71" s="37" t="s">
        <v>1549</v>
      </c>
      <c r="M71" s="37" t="s">
        <v>22</v>
      </c>
      <c r="N71" s="37" t="s">
        <v>892</v>
      </c>
      <c r="O71" s="15" t="s">
        <v>39</v>
      </c>
      <c r="P71" s="24">
        <v>0.0</v>
      </c>
      <c r="Q71" s="24">
        <v>0.1</v>
      </c>
      <c r="R71" s="24">
        <v>0.1</v>
      </c>
      <c r="S71" s="105">
        <v>45574.0</v>
      </c>
      <c r="T71" s="39">
        <v>2.15</v>
      </c>
      <c r="U71" s="15" t="s">
        <v>70</v>
      </c>
      <c r="V71" s="19">
        <f t="shared" si="1"/>
        <v>0</v>
      </c>
      <c r="W71" s="49">
        <f t="shared" si="5"/>
        <v>-1.53465361</v>
      </c>
      <c r="X71" s="41">
        <v>11.0</v>
      </c>
      <c r="Y71" s="104" t="s">
        <v>983</v>
      </c>
      <c r="Z71" s="102"/>
      <c r="AA71" s="103"/>
    </row>
    <row r="72">
      <c r="A72" s="8">
        <f t="shared" si="3"/>
        <v>71</v>
      </c>
      <c r="B72" s="31" t="s">
        <v>35</v>
      </c>
      <c r="C72" s="32" t="s">
        <v>19</v>
      </c>
      <c r="D72" s="32"/>
      <c r="E72" s="47" t="s">
        <v>1550</v>
      </c>
      <c r="F72" s="32"/>
      <c r="G72" s="32"/>
      <c r="H72" s="111"/>
      <c r="I72" s="8" t="s">
        <v>1479</v>
      </c>
      <c r="J72" s="8" t="s">
        <v>1480</v>
      </c>
      <c r="K72" s="8">
        <v>0.0</v>
      </c>
      <c r="L72" s="32" t="s">
        <v>78</v>
      </c>
      <c r="M72" s="32" t="s">
        <v>22</v>
      </c>
      <c r="N72" s="32" t="s">
        <v>892</v>
      </c>
      <c r="O72" s="8" t="s">
        <v>24</v>
      </c>
      <c r="P72" s="33">
        <v>0.0</v>
      </c>
      <c r="Q72" s="33">
        <v>0.1</v>
      </c>
      <c r="R72" s="33">
        <v>0.1</v>
      </c>
      <c r="S72" s="106">
        <v>45575.0</v>
      </c>
      <c r="T72" s="35">
        <v>2.48</v>
      </c>
      <c r="U72" s="8" t="s">
        <v>70</v>
      </c>
      <c r="V72" s="12">
        <f t="shared" si="1"/>
        <v>0</v>
      </c>
      <c r="W72" s="48">
        <f t="shared" si="5"/>
        <v>-1.53465361</v>
      </c>
      <c r="X72" s="41">
        <v>12.0</v>
      </c>
      <c r="Y72" s="104" t="s">
        <v>985</v>
      </c>
      <c r="Z72" s="102"/>
      <c r="AA72" s="103"/>
    </row>
    <row r="73">
      <c r="A73" s="15">
        <f t="shared" si="3"/>
        <v>72</v>
      </c>
      <c r="B73" s="15" t="s">
        <v>18</v>
      </c>
      <c r="C73" s="15" t="s">
        <v>19</v>
      </c>
      <c r="D73" s="15"/>
      <c r="E73" s="42" t="s">
        <v>1551</v>
      </c>
      <c r="F73" s="15"/>
      <c r="G73" s="15"/>
      <c r="H73" s="110"/>
      <c r="I73" s="15" t="s">
        <v>1473</v>
      </c>
      <c r="J73" s="15" t="s">
        <v>1480</v>
      </c>
      <c r="K73" s="15">
        <v>0.0</v>
      </c>
      <c r="L73" s="37" t="s">
        <v>873</v>
      </c>
      <c r="M73" s="37" t="s">
        <v>22</v>
      </c>
      <c r="N73" s="15" t="s">
        <v>892</v>
      </c>
      <c r="O73" s="15" t="s">
        <v>24</v>
      </c>
      <c r="P73" s="16">
        <v>0.0</v>
      </c>
      <c r="Q73" s="16">
        <v>0.25</v>
      </c>
      <c r="R73" s="16">
        <v>0.25</v>
      </c>
      <c r="S73" s="105">
        <v>45575.0</v>
      </c>
      <c r="T73" s="18">
        <v>1.875</v>
      </c>
      <c r="U73" s="15" t="s">
        <v>33</v>
      </c>
      <c r="V73" s="19">
        <f t="shared" si="1"/>
        <v>0.21875</v>
      </c>
      <c r="W73" s="49">
        <f t="shared" si="5"/>
        <v>-1.31590361</v>
      </c>
      <c r="X73" s="41">
        <v>13.0</v>
      </c>
      <c r="Y73" s="104" t="s">
        <v>987</v>
      </c>
      <c r="Z73" s="102"/>
      <c r="AA73" s="103"/>
    </row>
    <row r="74">
      <c r="A74" s="8">
        <f t="shared" si="3"/>
        <v>73</v>
      </c>
      <c r="B74" s="8" t="s">
        <v>18</v>
      </c>
      <c r="C74" s="8" t="s">
        <v>19</v>
      </c>
      <c r="D74" s="8"/>
      <c r="E74" s="47" t="s">
        <v>1552</v>
      </c>
      <c r="F74" s="8"/>
      <c r="G74" s="8"/>
      <c r="H74" s="111"/>
      <c r="I74" s="8" t="s">
        <v>1479</v>
      </c>
      <c r="J74" s="8" t="s">
        <v>1480</v>
      </c>
      <c r="K74" s="8">
        <v>0.0</v>
      </c>
      <c r="L74" s="8" t="s">
        <v>78</v>
      </c>
      <c r="M74" s="8" t="s">
        <v>22</v>
      </c>
      <c r="N74" s="8" t="s">
        <v>892</v>
      </c>
      <c r="O74" s="8" t="s">
        <v>24</v>
      </c>
      <c r="P74" s="9">
        <v>0.0</v>
      </c>
      <c r="Q74" s="9">
        <v>0.5</v>
      </c>
      <c r="R74" s="9">
        <v>0.5</v>
      </c>
      <c r="S74" s="10">
        <v>45575.0</v>
      </c>
      <c r="T74" s="11">
        <v>1.7</v>
      </c>
      <c r="U74" s="8" t="s">
        <v>33</v>
      </c>
      <c r="V74" s="12">
        <f t="shared" si="1"/>
        <v>0.35</v>
      </c>
      <c r="W74" s="48">
        <f t="shared" si="5"/>
        <v>-0.96590361</v>
      </c>
    </row>
    <row r="75">
      <c r="A75" s="15">
        <f t="shared" si="3"/>
        <v>74</v>
      </c>
      <c r="B75" s="15" t="s">
        <v>18</v>
      </c>
      <c r="C75" s="15" t="s">
        <v>19</v>
      </c>
      <c r="D75" s="15"/>
      <c r="E75" s="15" t="s">
        <v>1553</v>
      </c>
      <c r="F75" s="15"/>
      <c r="G75" s="15"/>
      <c r="H75" s="110"/>
      <c r="I75" s="15" t="s">
        <v>1473</v>
      </c>
      <c r="J75" s="15" t="s">
        <v>1480</v>
      </c>
      <c r="K75" s="15">
        <v>0.0</v>
      </c>
      <c r="L75" s="15" t="s">
        <v>78</v>
      </c>
      <c r="M75" s="15" t="s">
        <v>22</v>
      </c>
      <c r="N75" s="15" t="s">
        <v>892</v>
      </c>
      <c r="O75" s="15" t="s">
        <v>24</v>
      </c>
      <c r="P75" s="16">
        <v>0.0</v>
      </c>
      <c r="Q75" s="16">
        <v>0.25</v>
      </c>
      <c r="R75" s="16">
        <v>0.0556</v>
      </c>
      <c r="S75" s="17">
        <v>45575.0</v>
      </c>
      <c r="T75" s="18">
        <v>1.775</v>
      </c>
      <c r="U75" s="15" t="s">
        <v>25</v>
      </c>
      <c r="V75" s="19">
        <f t="shared" si="1"/>
        <v>-0.0556</v>
      </c>
      <c r="W75" s="49">
        <f t="shared" si="5"/>
        <v>-1.02150361</v>
      </c>
    </row>
    <row r="76">
      <c r="A76" s="8">
        <f t="shared" si="3"/>
        <v>75</v>
      </c>
      <c r="B76" s="8" t="s">
        <v>35</v>
      </c>
      <c r="C76" s="8" t="s">
        <v>19</v>
      </c>
      <c r="D76" s="8"/>
      <c r="E76" s="8" t="s">
        <v>1554</v>
      </c>
      <c r="F76" s="8">
        <v>11.0</v>
      </c>
      <c r="G76" s="8">
        <v>10.0</v>
      </c>
      <c r="H76" s="111">
        <f>14/(15*2)</f>
        <v>0.4666666667</v>
      </c>
      <c r="I76" s="8" t="s">
        <v>1479</v>
      </c>
      <c r="J76" s="8" t="s">
        <v>1480</v>
      </c>
      <c r="K76" s="8">
        <v>0.0</v>
      </c>
      <c r="L76" s="8" t="s">
        <v>74</v>
      </c>
      <c r="M76" s="8" t="s">
        <v>22</v>
      </c>
      <c r="N76" s="8" t="s">
        <v>892</v>
      </c>
      <c r="O76" s="8" t="s">
        <v>39</v>
      </c>
      <c r="P76" s="9">
        <v>0.0</v>
      </c>
      <c r="Q76" s="9">
        <v>0.1</v>
      </c>
      <c r="R76" s="9">
        <v>0.0175</v>
      </c>
      <c r="S76" s="10">
        <v>45575.0</v>
      </c>
      <c r="T76" s="11">
        <v>1.6</v>
      </c>
      <c r="U76" s="8" t="s">
        <v>25</v>
      </c>
      <c r="V76" s="12">
        <f t="shared" si="1"/>
        <v>-0.0175</v>
      </c>
      <c r="W76" s="48">
        <f t="shared" si="5"/>
        <v>-1.03900361</v>
      </c>
    </row>
    <row r="77">
      <c r="A77" s="15">
        <f t="shared" si="3"/>
        <v>76</v>
      </c>
      <c r="B77" s="15" t="s">
        <v>135</v>
      </c>
      <c r="C77" s="15" t="s">
        <v>19</v>
      </c>
      <c r="D77" s="15">
        <v>0.0</v>
      </c>
      <c r="E77" s="15" t="s">
        <v>1555</v>
      </c>
      <c r="F77" s="15">
        <v>4.0</v>
      </c>
      <c r="G77" s="15">
        <v>3.0</v>
      </c>
      <c r="H77" s="110">
        <f t="shared" ref="H77:H78" si="11">6/(9*2)</f>
        <v>0.3333333333</v>
      </c>
      <c r="I77" s="15"/>
      <c r="J77" s="15"/>
      <c r="K77" s="15"/>
      <c r="L77" s="15" t="s">
        <v>583</v>
      </c>
      <c r="M77" s="15" t="s">
        <v>598</v>
      </c>
      <c r="N77" s="15" t="s">
        <v>1471</v>
      </c>
      <c r="O77" s="15" t="s">
        <v>24</v>
      </c>
      <c r="P77" s="16">
        <v>-2.5</v>
      </c>
      <c r="Q77" s="16">
        <v>0.25</v>
      </c>
      <c r="R77" s="16">
        <v>0.037</v>
      </c>
      <c r="S77" s="17">
        <v>45576.0</v>
      </c>
      <c r="T77" s="18">
        <v>1.875</v>
      </c>
      <c r="U77" s="15" t="s">
        <v>25</v>
      </c>
      <c r="V77" s="19">
        <f t="shared" si="1"/>
        <v>-0.037</v>
      </c>
      <c r="W77" s="19">
        <f t="shared" si="5"/>
        <v>-1.07600361</v>
      </c>
    </row>
    <row r="78">
      <c r="A78" s="8">
        <f t="shared" si="3"/>
        <v>77</v>
      </c>
      <c r="B78" s="8" t="s">
        <v>18</v>
      </c>
      <c r="C78" s="8" t="s">
        <v>19</v>
      </c>
      <c r="D78" s="8">
        <v>37.0</v>
      </c>
      <c r="E78" s="8" t="s">
        <v>1556</v>
      </c>
      <c r="F78" s="8">
        <v>10.0</v>
      </c>
      <c r="G78" s="8">
        <v>6.0</v>
      </c>
      <c r="H78" s="111">
        <f t="shared" si="11"/>
        <v>0.3333333333</v>
      </c>
      <c r="I78" s="8" t="s">
        <v>1473</v>
      </c>
      <c r="J78" s="8" t="s">
        <v>1480</v>
      </c>
      <c r="K78" s="8">
        <v>0.0</v>
      </c>
      <c r="L78" s="8" t="s">
        <v>583</v>
      </c>
      <c r="M78" s="8" t="s">
        <v>22</v>
      </c>
      <c r="N78" s="8" t="s">
        <v>892</v>
      </c>
      <c r="O78" s="8" t="s">
        <v>24</v>
      </c>
      <c r="P78" s="9">
        <v>0.0</v>
      </c>
      <c r="Q78" s="9">
        <v>0.5</v>
      </c>
      <c r="R78" s="9">
        <v>0.5</v>
      </c>
      <c r="S78" s="10">
        <v>45576.0</v>
      </c>
      <c r="T78" s="11">
        <v>1.2695</v>
      </c>
      <c r="U78" s="8" t="s">
        <v>33</v>
      </c>
      <c r="V78" s="12">
        <f t="shared" si="1"/>
        <v>0.13475</v>
      </c>
      <c r="W78" s="12">
        <f t="shared" si="5"/>
        <v>-0.94125361</v>
      </c>
    </row>
    <row r="79">
      <c r="A79" s="15">
        <f t="shared" si="3"/>
        <v>78</v>
      </c>
      <c r="B79" s="15" t="s">
        <v>18</v>
      </c>
      <c r="C79" s="15" t="s">
        <v>19</v>
      </c>
      <c r="D79" s="15">
        <v>70.0</v>
      </c>
      <c r="E79" s="15" t="s">
        <v>1557</v>
      </c>
      <c r="F79" s="15">
        <v>12.0</v>
      </c>
      <c r="G79" s="15">
        <v>8.0</v>
      </c>
      <c r="H79" s="110">
        <f>1/(15*2)</f>
        <v>0.03333333333</v>
      </c>
      <c r="I79" s="15" t="s">
        <v>1473</v>
      </c>
      <c r="J79" s="15" t="s">
        <v>1480</v>
      </c>
      <c r="K79" s="15">
        <v>0.0</v>
      </c>
      <c r="L79" s="15" t="s">
        <v>1558</v>
      </c>
      <c r="M79" s="15" t="s">
        <v>22</v>
      </c>
      <c r="N79" s="15" t="s">
        <v>892</v>
      </c>
      <c r="O79" s="15" t="s">
        <v>24</v>
      </c>
      <c r="P79" s="16">
        <v>0.0</v>
      </c>
      <c r="Q79" s="16">
        <v>0.5</v>
      </c>
      <c r="R79" s="16">
        <v>0.5</v>
      </c>
      <c r="S79" s="17">
        <v>45576.0</v>
      </c>
      <c r="T79" s="18">
        <v>1.76</v>
      </c>
      <c r="U79" s="15" t="s">
        <v>33</v>
      </c>
      <c r="V79" s="19">
        <f t="shared" si="1"/>
        <v>0.38</v>
      </c>
      <c r="W79" s="19">
        <f t="shared" si="5"/>
        <v>-0.56125361</v>
      </c>
    </row>
    <row r="80">
      <c r="A80" s="8">
        <f t="shared" si="3"/>
        <v>79</v>
      </c>
      <c r="B80" s="8" t="s">
        <v>35</v>
      </c>
      <c r="C80" s="8" t="s">
        <v>19</v>
      </c>
      <c r="D80" s="8"/>
      <c r="E80" s="8" t="s">
        <v>1559</v>
      </c>
      <c r="F80" s="8">
        <v>3.0</v>
      </c>
      <c r="G80" s="8">
        <v>4.0</v>
      </c>
      <c r="H80" s="111">
        <f>7/(15*2)</f>
        <v>0.2333333333</v>
      </c>
      <c r="I80" s="8" t="s">
        <v>1473</v>
      </c>
      <c r="J80" s="8" t="s">
        <v>1480</v>
      </c>
      <c r="K80" s="8">
        <v>0.0</v>
      </c>
      <c r="L80" s="8" t="s">
        <v>93</v>
      </c>
      <c r="M80" s="8" t="s">
        <v>22</v>
      </c>
      <c r="N80" s="8" t="s">
        <v>892</v>
      </c>
      <c r="O80" s="8" t="s">
        <v>24</v>
      </c>
      <c r="P80" s="9">
        <v>0.0</v>
      </c>
      <c r="Q80" s="9">
        <v>0.1</v>
      </c>
      <c r="R80" s="9">
        <v>0.1</v>
      </c>
      <c r="S80" s="10">
        <v>45576.0</v>
      </c>
      <c r="T80" s="11">
        <v>2.15</v>
      </c>
      <c r="U80" s="8" t="s">
        <v>70</v>
      </c>
      <c r="V80" s="12">
        <f t="shared" si="1"/>
        <v>0</v>
      </c>
      <c r="W80" s="12">
        <f t="shared" si="5"/>
        <v>-0.56125361</v>
      </c>
    </row>
    <row r="81">
      <c r="A81" s="15">
        <f t="shared" si="3"/>
        <v>80</v>
      </c>
      <c r="B81" s="15" t="s">
        <v>35</v>
      </c>
      <c r="C81" s="15" t="s">
        <v>19</v>
      </c>
      <c r="D81" s="15"/>
      <c r="E81" s="15" t="s">
        <v>1560</v>
      </c>
      <c r="F81" s="15">
        <v>4.0</v>
      </c>
      <c r="G81" s="15">
        <v>6.0</v>
      </c>
      <c r="H81" s="110">
        <f>30/(15*2)</f>
        <v>1</v>
      </c>
      <c r="I81" s="15" t="s">
        <v>1479</v>
      </c>
      <c r="J81" s="15" t="s">
        <v>1480</v>
      </c>
      <c r="K81" s="15">
        <v>0.0</v>
      </c>
      <c r="L81" s="15" t="s">
        <v>84</v>
      </c>
      <c r="M81" s="15" t="s">
        <v>22</v>
      </c>
      <c r="N81" s="15" t="s">
        <v>892</v>
      </c>
      <c r="O81" s="15" t="s">
        <v>24</v>
      </c>
      <c r="P81" s="16">
        <v>0.0</v>
      </c>
      <c r="Q81" s="16">
        <v>0.1</v>
      </c>
      <c r="R81" s="16">
        <v>0.019</v>
      </c>
      <c r="S81" s="17">
        <v>45576.0</v>
      </c>
      <c r="T81" s="18">
        <v>1.675</v>
      </c>
      <c r="U81" s="15" t="s">
        <v>70</v>
      </c>
      <c r="V81" s="19">
        <f t="shared" si="1"/>
        <v>0</v>
      </c>
      <c r="W81" s="19">
        <f t="shared" si="5"/>
        <v>-0.56125361</v>
      </c>
    </row>
    <row r="82">
      <c r="A82" s="8">
        <f t="shared" si="3"/>
        <v>81</v>
      </c>
      <c r="B82" s="8" t="s">
        <v>129</v>
      </c>
      <c r="C82" s="8" t="s">
        <v>19</v>
      </c>
      <c r="D82" s="8">
        <v>64.0</v>
      </c>
      <c r="E82" s="8" t="s">
        <v>1561</v>
      </c>
      <c r="F82" s="8"/>
      <c r="G82" s="8"/>
      <c r="H82" s="111"/>
      <c r="I82" s="8" t="s">
        <v>1479</v>
      </c>
      <c r="J82" s="8" t="s">
        <v>1480</v>
      </c>
      <c r="K82" s="8">
        <v>-1.0</v>
      </c>
      <c r="L82" s="8" t="s">
        <v>820</v>
      </c>
      <c r="M82" s="8" t="s">
        <v>22</v>
      </c>
      <c r="N82" s="8" t="s">
        <v>892</v>
      </c>
      <c r="O82" s="8" t="s">
        <v>24</v>
      </c>
      <c r="P82" s="9">
        <v>0.0</v>
      </c>
      <c r="Q82" s="9">
        <v>0.7</v>
      </c>
      <c r="R82" s="9">
        <v>0.7</v>
      </c>
      <c r="S82" s="10">
        <v>45577.0</v>
      </c>
      <c r="T82" s="11">
        <v>1.65</v>
      </c>
      <c r="U82" s="8" t="s">
        <v>33</v>
      </c>
      <c r="V82" s="12">
        <f t="shared" si="1"/>
        <v>0.455</v>
      </c>
      <c r="W82" s="12">
        <f t="shared" si="5"/>
        <v>-0.10625361</v>
      </c>
    </row>
    <row r="83">
      <c r="A83" s="15">
        <f t="shared" si="3"/>
        <v>82</v>
      </c>
      <c r="B83" s="15" t="s">
        <v>18</v>
      </c>
      <c r="C83" s="15" t="s">
        <v>19</v>
      </c>
      <c r="D83" s="15">
        <v>21.0</v>
      </c>
      <c r="E83" s="15" t="s">
        <v>1562</v>
      </c>
      <c r="F83" s="15">
        <v>8.0</v>
      </c>
      <c r="G83" s="15">
        <v>3.0</v>
      </c>
      <c r="H83" s="110">
        <f>7/(9*2)</f>
        <v>0.3888888889</v>
      </c>
      <c r="I83" s="15" t="s">
        <v>1473</v>
      </c>
      <c r="J83" s="15" t="s">
        <v>1480</v>
      </c>
      <c r="K83" s="15">
        <v>0.0</v>
      </c>
      <c r="L83" s="15" t="s">
        <v>583</v>
      </c>
      <c r="M83" s="15" t="s">
        <v>22</v>
      </c>
      <c r="N83" s="15" t="s">
        <v>892</v>
      </c>
      <c r="O83" s="15" t="s">
        <v>24</v>
      </c>
      <c r="P83" s="16">
        <v>0.0</v>
      </c>
      <c r="Q83" s="16">
        <v>0.25</v>
      </c>
      <c r="R83" s="16">
        <v>0.25</v>
      </c>
      <c r="S83" s="55">
        <v>45577.0</v>
      </c>
      <c r="T83" s="18">
        <v>1.775</v>
      </c>
      <c r="U83" s="15" t="s">
        <v>33</v>
      </c>
      <c r="V83" s="19">
        <f t="shared" si="1"/>
        <v>0.19375</v>
      </c>
      <c r="W83" s="19">
        <f t="shared" si="5"/>
        <v>0.08749639</v>
      </c>
    </row>
    <row r="84">
      <c r="A84" s="8">
        <f t="shared" si="3"/>
        <v>83</v>
      </c>
      <c r="B84" s="8" t="s">
        <v>129</v>
      </c>
      <c r="C84" s="8" t="s">
        <v>19</v>
      </c>
      <c r="D84" s="8">
        <v>61.0</v>
      </c>
      <c r="E84" s="8" t="s">
        <v>1563</v>
      </c>
      <c r="F84" s="8">
        <v>6.0</v>
      </c>
      <c r="G84" s="8">
        <v>12.0</v>
      </c>
      <c r="H84" s="111">
        <f>9/(15*2)</f>
        <v>0.3</v>
      </c>
      <c r="I84" s="8" t="s">
        <v>1479</v>
      </c>
      <c r="J84" s="8" t="s">
        <v>1480</v>
      </c>
      <c r="K84" s="8">
        <v>0.0</v>
      </c>
      <c r="L84" s="8" t="s">
        <v>101</v>
      </c>
      <c r="M84" s="8" t="s">
        <v>22</v>
      </c>
      <c r="N84" s="8" t="s">
        <v>892</v>
      </c>
      <c r="O84" s="8" t="s">
        <v>24</v>
      </c>
      <c r="P84" s="9">
        <v>0.0</v>
      </c>
      <c r="Q84" s="9">
        <v>0.25</v>
      </c>
      <c r="R84" s="9">
        <v>0.25</v>
      </c>
      <c r="S84" s="54">
        <v>45577.0</v>
      </c>
      <c r="T84" s="11">
        <v>1.65</v>
      </c>
      <c r="U84" s="8" t="s">
        <v>25</v>
      </c>
      <c r="V84" s="12">
        <f t="shared" si="1"/>
        <v>-0.25</v>
      </c>
      <c r="W84" s="12">
        <f t="shared" si="5"/>
        <v>-0.16250361</v>
      </c>
    </row>
    <row r="85">
      <c r="A85" s="15">
        <f t="shared" si="3"/>
        <v>84</v>
      </c>
      <c r="B85" s="15" t="s">
        <v>18</v>
      </c>
      <c r="C85" s="15" t="s">
        <v>19</v>
      </c>
      <c r="D85" s="15"/>
      <c r="E85" s="15" t="s">
        <v>1564</v>
      </c>
      <c r="F85" s="15">
        <v>8.0</v>
      </c>
      <c r="G85" s="15">
        <v>3.0</v>
      </c>
      <c r="H85" s="110">
        <f>7/(9*2)</f>
        <v>0.3888888889</v>
      </c>
      <c r="I85" s="15" t="s">
        <v>1479</v>
      </c>
      <c r="J85" s="15" t="s">
        <v>1480</v>
      </c>
      <c r="K85" s="15">
        <v>0.0</v>
      </c>
      <c r="L85" s="15" t="s">
        <v>583</v>
      </c>
      <c r="M85" s="15" t="s">
        <v>22</v>
      </c>
      <c r="N85" s="15" t="s">
        <v>892</v>
      </c>
      <c r="O85" s="15" t="s">
        <v>24</v>
      </c>
      <c r="P85" s="16">
        <v>0.0</v>
      </c>
      <c r="Q85" s="16">
        <v>0.25</v>
      </c>
      <c r="R85" s="16">
        <v>0.25</v>
      </c>
      <c r="S85" s="55">
        <v>45577.0</v>
      </c>
      <c r="T85" s="18">
        <v>2.0</v>
      </c>
      <c r="U85" s="15" t="s">
        <v>25</v>
      </c>
      <c r="V85" s="19">
        <f t="shared" si="1"/>
        <v>-0.25</v>
      </c>
      <c r="W85" s="19">
        <f t="shared" si="5"/>
        <v>-0.41250361</v>
      </c>
    </row>
    <row r="86">
      <c r="A86" s="8">
        <f t="shared" si="3"/>
        <v>85</v>
      </c>
      <c r="B86" s="8" t="s">
        <v>137</v>
      </c>
      <c r="C86" s="8" t="s">
        <v>19</v>
      </c>
      <c r="D86" s="8"/>
      <c r="E86" s="8" t="s">
        <v>1565</v>
      </c>
      <c r="F86" s="8"/>
      <c r="G86" s="8"/>
      <c r="H86" s="111"/>
      <c r="I86" s="8" t="s">
        <v>1479</v>
      </c>
      <c r="J86" s="8" t="s">
        <v>1480</v>
      </c>
      <c r="K86" s="8">
        <v>0.0</v>
      </c>
      <c r="L86" s="8" t="s">
        <v>66</v>
      </c>
      <c r="M86" s="8" t="s">
        <v>22</v>
      </c>
      <c r="N86" s="8" t="s">
        <v>892</v>
      </c>
      <c r="O86" s="8" t="s">
        <v>24</v>
      </c>
      <c r="P86" s="9">
        <v>0.0</v>
      </c>
      <c r="Q86" s="9">
        <v>0.25</v>
      </c>
      <c r="R86" s="9">
        <v>0.25</v>
      </c>
      <c r="S86" s="54">
        <v>45577.0</v>
      </c>
      <c r="T86" s="11">
        <v>1.85</v>
      </c>
      <c r="U86" s="8" t="s">
        <v>33</v>
      </c>
      <c r="V86" s="12">
        <f t="shared" si="1"/>
        <v>0.2125</v>
      </c>
      <c r="W86" s="12">
        <f t="shared" si="5"/>
        <v>-0.20000361</v>
      </c>
    </row>
    <row r="87">
      <c r="A87" s="15">
        <f t="shared" si="3"/>
        <v>86</v>
      </c>
      <c r="B87" s="15" t="s">
        <v>129</v>
      </c>
      <c r="C87" s="15" t="s">
        <v>19</v>
      </c>
      <c r="D87" s="15"/>
      <c r="E87" s="15" t="s">
        <v>1566</v>
      </c>
      <c r="F87" s="15"/>
      <c r="G87" s="15"/>
      <c r="H87" s="110"/>
      <c r="I87" s="15" t="s">
        <v>1473</v>
      </c>
      <c r="J87" s="15" t="s">
        <v>1480</v>
      </c>
      <c r="K87" s="15">
        <v>-1.0</v>
      </c>
      <c r="L87" s="15" t="s">
        <v>1031</v>
      </c>
      <c r="M87" s="15" t="s">
        <v>22</v>
      </c>
      <c r="N87" s="15" t="s">
        <v>892</v>
      </c>
      <c r="O87" s="15" t="s">
        <v>24</v>
      </c>
      <c r="P87" s="16">
        <v>0.0</v>
      </c>
      <c r="Q87" s="16">
        <v>0.5</v>
      </c>
      <c r="R87" s="16">
        <v>0.4206</v>
      </c>
      <c r="S87" s="55">
        <v>45577.0</v>
      </c>
      <c r="T87" s="18">
        <v>1.8</v>
      </c>
      <c r="U87" s="15" t="s">
        <v>70</v>
      </c>
      <c r="V87" s="19">
        <f t="shared" si="1"/>
        <v>0</v>
      </c>
      <c r="W87" s="19">
        <f t="shared" si="5"/>
        <v>-0.20000361</v>
      </c>
    </row>
    <row r="88">
      <c r="A88" s="8">
        <f t="shared" si="3"/>
        <v>87</v>
      </c>
      <c r="B88" s="8" t="s">
        <v>26</v>
      </c>
      <c r="C88" s="8" t="s">
        <v>19</v>
      </c>
      <c r="D88" s="8"/>
      <c r="E88" s="8" t="s">
        <v>1567</v>
      </c>
      <c r="F88" s="8">
        <v>10.0</v>
      </c>
      <c r="G88" s="8">
        <v>3.0</v>
      </c>
      <c r="H88" s="111">
        <f>1/(15*2)</f>
        <v>0.03333333333</v>
      </c>
      <c r="I88" s="8"/>
      <c r="J88" s="8"/>
      <c r="K88" s="8"/>
      <c r="L88" s="8" t="s">
        <v>1558</v>
      </c>
      <c r="M88" s="8" t="s">
        <v>22</v>
      </c>
      <c r="N88" s="8" t="s">
        <v>1471</v>
      </c>
      <c r="O88" s="8" t="s">
        <v>24</v>
      </c>
      <c r="P88" s="9">
        <v>-1.75</v>
      </c>
      <c r="Q88" s="9">
        <v>0.25</v>
      </c>
      <c r="R88" s="9">
        <v>0.25</v>
      </c>
      <c r="S88" s="10">
        <v>45577.0</v>
      </c>
      <c r="T88" s="11">
        <v>1.95</v>
      </c>
      <c r="U88" s="8" t="s">
        <v>25</v>
      </c>
      <c r="V88" s="12">
        <f t="shared" si="1"/>
        <v>-0.25</v>
      </c>
      <c r="W88" s="12">
        <f t="shared" si="5"/>
        <v>-0.45000361</v>
      </c>
    </row>
    <row r="89">
      <c r="A89" s="15">
        <f t="shared" si="3"/>
        <v>88</v>
      </c>
      <c r="B89" s="15" t="s">
        <v>26</v>
      </c>
      <c r="C89" s="15" t="s">
        <v>40</v>
      </c>
      <c r="D89" s="15"/>
      <c r="E89" s="15" t="s">
        <v>1568</v>
      </c>
      <c r="F89" s="15"/>
      <c r="G89" s="15"/>
      <c r="H89" s="110"/>
      <c r="I89" s="15" t="s">
        <v>1473</v>
      </c>
      <c r="J89" s="15" t="s">
        <v>1474</v>
      </c>
      <c r="K89" s="15">
        <v>0.0</v>
      </c>
      <c r="L89" s="15" t="s">
        <v>124</v>
      </c>
      <c r="M89" s="15" t="s">
        <v>22</v>
      </c>
      <c r="N89" s="15" t="s">
        <v>225</v>
      </c>
      <c r="O89" s="15" t="s">
        <v>24</v>
      </c>
      <c r="P89" s="16">
        <v>0.5</v>
      </c>
      <c r="Q89" s="16">
        <v>0.25</v>
      </c>
      <c r="R89" s="16">
        <v>0.2341</v>
      </c>
      <c r="S89" s="55">
        <v>45577.0</v>
      </c>
      <c r="T89" s="18">
        <v>1.85</v>
      </c>
      <c r="U89" s="15" t="s">
        <v>25</v>
      </c>
      <c r="V89" s="19">
        <f t="shared" si="1"/>
        <v>-0.2341</v>
      </c>
      <c r="W89" s="19">
        <f t="shared" si="5"/>
        <v>-0.68410361</v>
      </c>
    </row>
    <row r="90">
      <c r="A90" s="8">
        <f t="shared" si="3"/>
        <v>89</v>
      </c>
      <c r="B90" s="8" t="s">
        <v>26</v>
      </c>
      <c r="C90" s="8" t="s">
        <v>40</v>
      </c>
      <c r="D90" s="8">
        <v>0.0</v>
      </c>
      <c r="E90" s="8" t="s">
        <v>1569</v>
      </c>
      <c r="F90" s="8"/>
      <c r="G90" s="8"/>
      <c r="H90" s="111"/>
      <c r="I90" s="8"/>
      <c r="J90" s="8"/>
      <c r="K90" s="8"/>
      <c r="L90" s="8" t="s">
        <v>683</v>
      </c>
      <c r="M90" s="8" t="s">
        <v>598</v>
      </c>
      <c r="N90" s="8" t="s">
        <v>1471</v>
      </c>
      <c r="O90" s="8" t="s">
        <v>24</v>
      </c>
      <c r="P90" s="9">
        <v>-3.0</v>
      </c>
      <c r="Q90" s="9">
        <v>0.25</v>
      </c>
      <c r="R90" s="9">
        <v>0.25</v>
      </c>
      <c r="S90" s="10">
        <v>45577.0</v>
      </c>
      <c r="T90" s="11">
        <v>1.85</v>
      </c>
      <c r="U90" s="8" t="s">
        <v>70</v>
      </c>
      <c r="V90" s="12">
        <f t="shared" si="1"/>
        <v>0</v>
      </c>
      <c r="W90" s="12">
        <f t="shared" si="5"/>
        <v>-0.68410361</v>
      </c>
    </row>
    <row r="91">
      <c r="A91" s="15">
        <f t="shared" si="3"/>
        <v>90</v>
      </c>
      <c r="B91" s="15" t="s">
        <v>26</v>
      </c>
      <c r="C91" s="15" t="s">
        <v>19</v>
      </c>
      <c r="D91" s="15">
        <v>11.0</v>
      </c>
      <c r="E91" s="15" t="s">
        <v>1570</v>
      </c>
      <c r="F91" s="15">
        <v>8.0</v>
      </c>
      <c r="G91" s="15">
        <v>14.0</v>
      </c>
      <c r="H91" s="110">
        <f>5/(17*2)</f>
        <v>0.1470588235</v>
      </c>
      <c r="I91" s="15"/>
      <c r="J91" s="15"/>
      <c r="K91" s="15"/>
      <c r="L91" s="15" t="s">
        <v>93</v>
      </c>
      <c r="M91" s="15" t="s">
        <v>22</v>
      </c>
      <c r="N91" s="15" t="s">
        <v>1471</v>
      </c>
      <c r="O91" s="15" t="s">
        <v>24</v>
      </c>
      <c r="P91" s="16">
        <v>-2.25</v>
      </c>
      <c r="Q91" s="16">
        <v>0.25</v>
      </c>
      <c r="R91" s="16">
        <v>0.25</v>
      </c>
      <c r="S91" s="17">
        <v>45577.0</v>
      </c>
      <c r="T91" s="18">
        <v>1.508</v>
      </c>
      <c r="U91" s="15" t="s">
        <v>33</v>
      </c>
      <c r="V91" s="19">
        <f t="shared" si="1"/>
        <v>0.127</v>
      </c>
      <c r="W91" s="19">
        <f t="shared" si="5"/>
        <v>-0.55710361</v>
      </c>
    </row>
    <row r="92">
      <c r="A92" s="8">
        <f t="shared" si="3"/>
        <v>91</v>
      </c>
      <c r="B92" s="8" t="s">
        <v>135</v>
      </c>
      <c r="C92" s="8" t="s">
        <v>40</v>
      </c>
      <c r="D92" s="8">
        <v>0.0</v>
      </c>
      <c r="E92" s="8" t="s">
        <v>1571</v>
      </c>
      <c r="F92" s="8"/>
      <c r="G92" s="8"/>
      <c r="H92" s="111"/>
      <c r="I92" s="8"/>
      <c r="J92" s="8"/>
      <c r="K92" s="8"/>
      <c r="L92" s="8" t="s">
        <v>93</v>
      </c>
      <c r="M92" s="8" t="s">
        <v>598</v>
      </c>
      <c r="N92" s="8" t="s">
        <v>1471</v>
      </c>
      <c r="O92" s="8" t="s">
        <v>24</v>
      </c>
      <c r="P92" s="9">
        <v>-2.5</v>
      </c>
      <c r="Q92" s="9">
        <v>0.25</v>
      </c>
      <c r="R92" s="9">
        <v>0.25</v>
      </c>
      <c r="S92" s="10">
        <v>45577.0</v>
      </c>
      <c r="T92" s="11">
        <v>1.85</v>
      </c>
      <c r="U92" s="8" t="s">
        <v>25</v>
      </c>
      <c r="V92" s="12">
        <f t="shared" si="1"/>
        <v>-0.25</v>
      </c>
      <c r="W92" s="12">
        <f t="shared" si="5"/>
        <v>-0.80710361</v>
      </c>
    </row>
    <row r="93">
      <c r="A93" s="15">
        <f t="shared" si="3"/>
        <v>92</v>
      </c>
      <c r="B93" s="15" t="s">
        <v>131</v>
      </c>
      <c r="C93" s="15" t="s">
        <v>19</v>
      </c>
      <c r="D93" s="15">
        <v>83.0</v>
      </c>
      <c r="E93" s="15" t="s">
        <v>1572</v>
      </c>
      <c r="F93" s="15"/>
      <c r="G93" s="15"/>
      <c r="H93" s="110"/>
      <c r="I93" s="15" t="s">
        <v>1479</v>
      </c>
      <c r="J93" s="15" t="s">
        <v>1480</v>
      </c>
      <c r="K93" s="15">
        <v>-1.0</v>
      </c>
      <c r="L93" s="15" t="s">
        <v>93</v>
      </c>
      <c r="M93" s="15" t="s">
        <v>22</v>
      </c>
      <c r="N93" s="15" t="s">
        <v>892</v>
      </c>
      <c r="O93" s="15" t="s">
        <v>24</v>
      </c>
      <c r="P93" s="16">
        <v>0.0</v>
      </c>
      <c r="Q93" s="16">
        <v>0.5</v>
      </c>
      <c r="R93" s="16">
        <v>0.5</v>
      </c>
      <c r="S93" s="17">
        <v>45577.0</v>
      </c>
      <c r="T93" s="18">
        <v>1.85</v>
      </c>
      <c r="U93" s="15" t="s">
        <v>70</v>
      </c>
      <c r="V93" s="19">
        <f t="shared" si="1"/>
        <v>0</v>
      </c>
      <c r="W93" s="19">
        <f t="shared" si="5"/>
        <v>-0.80710361</v>
      </c>
    </row>
    <row r="94">
      <c r="A94" s="8">
        <f t="shared" si="3"/>
        <v>93</v>
      </c>
      <c r="B94" s="8" t="s">
        <v>18</v>
      </c>
      <c r="C94" s="8" t="s">
        <v>19</v>
      </c>
      <c r="D94" s="8">
        <v>53.0</v>
      </c>
      <c r="E94" s="8" t="s">
        <v>1573</v>
      </c>
      <c r="F94" s="8"/>
      <c r="G94" s="8"/>
      <c r="H94" s="111"/>
      <c r="I94" s="8" t="s">
        <v>1479</v>
      </c>
      <c r="J94" s="8" t="s">
        <v>1480</v>
      </c>
      <c r="K94" s="8">
        <v>1.0</v>
      </c>
      <c r="L94" s="8" t="s">
        <v>50</v>
      </c>
      <c r="M94" s="8" t="s">
        <v>22</v>
      </c>
      <c r="N94" s="8" t="s">
        <v>892</v>
      </c>
      <c r="O94" s="8" t="s">
        <v>24</v>
      </c>
      <c r="P94" s="9">
        <v>0.0</v>
      </c>
      <c r="Q94" s="9">
        <v>0.25</v>
      </c>
      <c r="R94" s="9">
        <v>0.25</v>
      </c>
      <c r="S94" s="10">
        <v>45577.0</v>
      </c>
      <c r="T94" s="11">
        <v>2.2</v>
      </c>
      <c r="U94" s="8" t="s">
        <v>70</v>
      </c>
      <c r="V94" s="12">
        <f t="shared" si="1"/>
        <v>0</v>
      </c>
      <c r="W94" s="12">
        <f t="shared" si="5"/>
        <v>-0.80710361</v>
      </c>
    </row>
    <row r="95">
      <c r="A95" s="15">
        <f t="shared" si="3"/>
        <v>94</v>
      </c>
      <c r="B95" s="15" t="s">
        <v>129</v>
      </c>
      <c r="C95" s="15" t="s">
        <v>19</v>
      </c>
      <c r="D95" s="15">
        <v>78.0</v>
      </c>
      <c r="E95" s="15" t="s">
        <v>1574</v>
      </c>
      <c r="F95" s="15">
        <v>8.0</v>
      </c>
      <c r="G95" s="15">
        <v>14.0</v>
      </c>
      <c r="H95" s="110">
        <f>5/(17*2)</f>
        <v>0.1470588235</v>
      </c>
      <c r="I95" s="15" t="s">
        <v>1479</v>
      </c>
      <c r="J95" s="15" t="s">
        <v>1480</v>
      </c>
      <c r="K95" s="15">
        <v>-1.0</v>
      </c>
      <c r="L95" s="15" t="s">
        <v>93</v>
      </c>
      <c r="M95" s="15" t="s">
        <v>22</v>
      </c>
      <c r="N95" s="15" t="s">
        <v>892</v>
      </c>
      <c r="O95" s="15" t="s">
        <v>24</v>
      </c>
      <c r="P95" s="16">
        <v>0.0</v>
      </c>
      <c r="Q95" s="16">
        <v>0.5</v>
      </c>
      <c r="R95" s="16">
        <v>0.5</v>
      </c>
      <c r="S95" s="17">
        <v>45577.0</v>
      </c>
      <c r="T95" s="18">
        <v>1.725</v>
      </c>
      <c r="U95" s="15" t="s">
        <v>70</v>
      </c>
      <c r="V95" s="19">
        <f t="shared" si="1"/>
        <v>0</v>
      </c>
      <c r="W95" s="19">
        <f t="shared" si="5"/>
        <v>-0.80710361</v>
      </c>
    </row>
    <row r="96">
      <c r="A96" s="8">
        <f t="shared" si="3"/>
        <v>95</v>
      </c>
      <c r="B96" s="8" t="s">
        <v>129</v>
      </c>
      <c r="C96" s="8" t="s">
        <v>19</v>
      </c>
      <c r="D96" s="8"/>
      <c r="E96" s="8" t="s">
        <v>1575</v>
      </c>
      <c r="F96" s="8">
        <v>6.0</v>
      </c>
      <c r="G96" s="8">
        <v>1.0</v>
      </c>
      <c r="H96" s="111">
        <f>10/(15*2)</f>
        <v>0.3333333333</v>
      </c>
      <c r="I96" s="8" t="s">
        <v>1473</v>
      </c>
      <c r="J96" s="8" t="s">
        <v>1480</v>
      </c>
      <c r="K96" s="8">
        <v>-1.0</v>
      </c>
      <c r="L96" s="8" t="s">
        <v>99</v>
      </c>
      <c r="M96" s="8" t="s">
        <v>22</v>
      </c>
      <c r="N96" s="8" t="s">
        <v>892</v>
      </c>
      <c r="O96" s="8" t="s">
        <v>39</v>
      </c>
      <c r="P96" s="9">
        <v>0.0</v>
      </c>
      <c r="Q96" s="9">
        <v>0.5</v>
      </c>
      <c r="R96" s="9">
        <v>0.4762</v>
      </c>
      <c r="S96" s="54">
        <v>45578.0</v>
      </c>
      <c r="T96" s="11">
        <v>1.725</v>
      </c>
      <c r="U96" s="8" t="s">
        <v>25</v>
      </c>
      <c r="V96" s="12">
        <f t="shared" si="1"/>
        <v>-0.4762</v>
      </c>
      <c r="W96" s="12">
        <f t="shared" si="5"/>
        <v>-1.28330361</v>
      </c>
    </row>
    <row r="97">
      <c r="A97" s="15">
        <f t="shared" si="3"/>
        <v>96</v>
      </c>
      <c r="B97" s="15" t="s">
        <v>129</v>
      </c>
      <c r="C97" s="15" t="s">
        <v>19</v>
      </c>
      <c r="D97" s="15"/>
      <c r="E97" s="15" t="s">
        <v>1576</v>
      </c>
      <c r="F97" s="15">
        <v>8.0</v>
      </c>
      <c r="G97" s="15">
        <v>10.0</v>
      </c>
      <c r="H97" s="15"/>
      <c r="I97" s="15" t="s">
        <v>1473</v>
      </c>
      <c r="J97" s="15" t="s">
        <v>1480</v>
      </c>
      <c r="K97" s="15">
        <v>0.0</v>
      </c>
      <c r="L97" s="15" t="s">
        <v>93</v>
      </c>
      <c r="M97" s="15" t="s">
        <v>22</v>
      </c>
      <c r="N97" s="15" t="s">
        <v>892</v>
      </c>
      <c r="O97" s="15" t="s">
        <v>24</v>
      </c>
      <c r="P97" s="16">
        <v>0.0</v>
      </c>
      <c r="Q97" s="16">
        <v>0.75</v>
      </c>
      <c r="R97" s="16">
        <v>0.7143</v>
      </c>
      <c r="S97" s="17">
        <v>45578.0</v>
      </c>
      <c r="T97" s="18">
        <v>1.8</v>
      </c>
      <c r="U97" s="15" t="s">
        <v>25</v>
      </c>
      <c r="V97" s="19">
        <f t="shared" si="1"/>
        <v>-0.7143</v>
      </c>
      <c r="W97" s="19">
        <f t="shared" si="5"/>
        <v>-1.99760361</v>
      </c>
    </row>
    <row r="98">
      <c r="A98" s="8">
        <f t="shared" si="3"/>
        <v>97</v>
      </c>
      <c r="B98" s="8" t="s">
        <v>35</v>
      </c>
      <c r="C98" s="8" t="s">
        <v>19</v>
      </c>
      <c r="D98" s="8"/>
      <c r="E98" s="8" t="s">
        <v>1577</v>
      </c>
      <c r="F98" s="8">
        <v>8.0</v>
      </c>
      <c r="G98" s="8">
        <v>13.0</v>
      </c>
      <c r="H98" s="111">
        <f>5/(17*2)</f>
        <v>0.1470588235</v>
      </c>
      <c r="I98" s="8" t="s">
        <v>1479</v>
      </c>
      <c r="J98" s="8" t="s">
        <v>1480</v>
      </c>
      <c r="K98" s="8">
        <v>0.0</v>
      </c>
      <c r="L98" s="8" t="s">
        <v>93</v>
      </c>
      <c r="M98" s="8" t="s">
        <v>22</v>
      </c>
      <c r="N98" s="8" t="s">
        <v>892</v>
      </c>
      <c r="O98" s="8" t="s">
        <v>24</v>
      </c>
      <c r="P98" s="9">
        <v>0.0</v>
      </c>
      <c r="Q98" s="9">
        <v>0.1</v>
      </c>
      <c r="R98" s="9">
        <v>0.0952</v>
      </c>
      <c r="S98" s="10">
        <v>45578.0</v>
      </c>
      <c r="T98" s="11">
        <v>1.7</v>
      </c>
      <c r="U98" s="8" t="s">
        <v>70</v>
      </c>
      <c r="V98" s="12">
        <f t="shared" si="1"/>
        <v>0</v>
      </c>
      <c r="W98" s="12">
        <f t="shared" si="5"/>
        <v>-1.99760361</v>
      </c>
    </row>
    <row r="99">
      <c r="A99" s="15">
        <f t="shared" si="3"/>
        <v>98</v>
      </c>
      <c r="B99" s="15" t="s">
        <v>26</v>
      </c>
      <c r="C99" s="15" t="s">
        <v>40</v>
      </c>
      <c r="D99" s="15"/>
      <c r="E99" s="15" t="s">
        <v>1578</v>
      </c>
      <c r="F99" s="15"/>
      <c r="G99" s="15"/>
      <c r="H99" s="110"/>
      <c r="I99" s="15"/>
      <c r="J99" s="15"/>
      <c r="K99" s="15"/>
      <c r="L99" s="15" t="s">
        <v>50</v>
      </c>
      <c r="M99" s="15" t="s">
        <v>598</v>
      </c>
      <c r="N99" s="15" t="s">
        <v>1471</v>
      </c>
      <c r="O99" s="15" t="s">
        <v>24</v>
      </c>
      <c r="P99" s="16">
        <v>-3.0</v>
      </c>
      <c r="Q99" s="16">
        <v>0.25</v>
      </c>
      <c r="R99" s="16">
        <v>0.2381</v>
      </c>
      <c r="S99" s="17">
        <v>45578.0</v>
      </c>
      <c r="T99" s="18">
        <v>1.9</v>
      </c>
      <c r="U99" s="15" t="s">
        <v>70</v>
      </c>
      <c r="V99" s="19">
        <f t="shared" si="1"/>
        <v>0</v>
      </c>
      <c r="W99" s="19">
        <f t="shared" si="5"/>
        <v>-1.99760361</v>
      </c>
    </row>
    <row r="100">
      <c r="A100" s="8">
        <f t="shared" si="3"/>
        <v>99</v>
      </c>
      <c r="B100" s="8" t="s">
        <v>26</v>
      </c>
      <c r="C100" s="8" t="s">
        <v>19</v>
      </c>
      <c r="D100" s="8"/>
      <c r="E100" s="8" t="s">
        <v>1579</v>
      </c>
      <c r="F100" s="8"/>
      <c r="G100" s="8"/>
      <c r="H100" s="111"/>
      <c r="I100" s="8" t="s">
        <v>1473</v>
      </c>
      <c r="J100" s="8" t="s">
        <v>1474</v>
      </c>
      <c r="K100" s="8">
        <v>0.0</v>
      </c>
      <c r="L100" s="8" t="s">
        <v>683</v>
      </c>
      <c r="M100" s="8" t="s">
        <v>22</v>
      </c>
      <c r="N100" s="8" t="s">
        <v>225</v>
      </c>
      <c r="O100" s="8" t="s">
        <v>24</v>
      </c>
      <c r="P100" s="9">
        <v>0.25</v>
      </c>
      <c r="Q100" s="9">
        <v>0.5</v>
      </c>
      <c r="R100" s="9">
        <v>0.3373</v>
      </c>
      <c r="S100" s="54">
        <v>45578.0</v>
      </c>
      <c r="T100" s="11">
        <v>1.75</v>
      </c>
      <c r="U100" s="8" t="s">
        <v>33</v>
      </c>
      <c r="V100" s="12">
        <f t="shared" si="1"/>
        <v>0.252975</v>
      </c>
      <c r="W100" s="12">
        <f t="shared" si="5"/>
        <v>-1.74462861</v>
      </c>
    </row>
    <row r="101">
      <c r="A101" s="15">
        <f t="shared" si="3"/>
        <v>100</v>
      </c>
      <c r="B101" s="15" t="s">
        <v>26</v>
      </c>
      <c r="C101" s="15" t="s">
        <v>19</v>
      </c>
      <c r="D101" s="15"/>
      <c r="E101" s="15" t="s">
        <v>1580</v>
      </c>
      <c r="F101" s="15"/>
      <c r="G101" s="15"/>
      <c r="H101" s="110"/>
      <c r="I101" s="15" t="s">
        <v>1479</v>
      </c>
      <c r="J101" s="15" t="s">
        <v>1474</v>
      </c>
      <c r="K101" s="15">
        <v>-1.0</v>
      </c>
      <c r="L101" s="15" t="s">
        <v>157</v>
      </c>
      <c r="M101" s="15" t="s">
        <v>22</v>
      </c>
      <c r="N101" s="15" t="s">
        <v>225</v>
      </c>
      <c r="O101" s="15" t="s">
        <v>24</v>
      </c>
      <c r="P101" s="16">
        <v>0.25</v>
      </c>
      <c r="Q101" s="16">
        <v>0.5</v>
      </c>
      <c r="R101" s="16">
        <v>0.4683</v>
      </c>
      <c r="S101" s="17">
        <v>45578.0</v>
      </c>
      <c r="T101" s="18">
        <v>1.567</v>
      </c>
      <c r="U101" s="15" t="s">
        <v>30</v>
      </c>
      <c r="V101" s="19">
        <f t="shared" si="1"/>
        <v>0.13276305</v>
      </c>
      <c r="W101" s="19">
        <f t="shared" si="5"/>
        <v>-1.61186556</v>
      </c>
    </row>
    <row r="102">
      <c r="A102" s="8">
        <f t="shared" si="3"/>
        <v>101</v>
      </c>
      <c r="B102" s="8" t="s">
        <v>26</v>
      </c>
      <c r="C102" s="8" t="s">
        <v>19</v>
      </c>
      <c r="D102" s="8"/>
      <c r="E102" s="8" t="s">
        <v>1581</v>
      </c>
      <c r="F102" s="8">
        <v>9.0</v>
      </c>
      <c r="G102" s="8">
        <v>8.0</v>
      </c>
      <c r="H102" s="111">
        <f t="shared" ref="H102:H103" si="12">6/(15*2)</f>
        <v>0.2</v>
      </c>
      <c r="I102" s="8" t="s">
        <v>1479</v>
      </c>
      <c r="J102" s="8" t="s">
        <v>1474</v>
      </c>
      <c r="K102" s="8">
        <v>0.0</v>
      </c>
      <c r="L102" s="8" t="s">
        <v>229</v>
      </c>
      <c r="M102" s="8" t="s">
        <v>22</v>
      </c>
      <c r="N102" s="8" t="s">
        <v>941</v>
      </c>
      <c r="O102" s="8" t="s">
        <v>24</v>
      </c>
      <c r="P102" s="9">
        <v>0.0</v>
      </c>
      <c r="Q102" s="9">
        <v>0.25</v>
      </c>
      <c r="R102" s="9">
        <v>0.2341</v>
      </c>
      <c r="S102" s="54">
        <v>45578.0</v>
      </c>
      <c r="T102" s="11">
        <v>2.1</v>
      </c>
      <c r="U102" s="8" t="s">
        <v>70</v>
      </c>
      <c r="V102" s="12">
        <f t="shared" si="1"/>
        <v>0</v>
      </c>
      <c r="W102" s="12">
        <f t="shared" si="5"/>
        <v>-1.61186556</v>
      </c>
    </row>
    <row r="103">
      <c r="A103" s="15">
        <f t="shared" si="3"/>
        <v>102</v>
      </c>
      <c r="B103" s="15" t="s">
        <v>26</v>
      </c>
      <c r="C103" s="15" t="s">
        <v>19</v>
      </c>
      <c r="D103" s="15"/>
      <c r="E103" s="15" t="s">
        <v>1582</v>
      </c>
      <c r="F103" s="15">
        <v>9.0</v>
      </c>
      <c r="G103" s="15">
        <v>8.0</v>
      </c>
      <c r="H103" s="110">
        <f t="shared" si="12"/>
        <v>0.2</v>
      </c>
      <c r="I103" s="15" t="s">
        <v>1479</v>
      </c>
      <c r="J103" s="15" t="s">
        <v>1480</v>
      </c>
      <c r="K103" s="15">
        <v>0.0</v>
      </c>
      <c r="L103" s="15" t="s">
        <v>229</v>
      </c>
      <c r="M103" s="15" t="s">
        <v>22</v>
      </c>
      <c r="N103" s="15" t="s">
        <v>225</v>
      </c>
      <c r="O103" s="15" t="s">
        <v>24</v>
      </c>
      <c r="P103" s="16">
        <v>0.25</v>
      </c>
      <c r="Q103" s="16">
        <v>0.23</v>
      </c>
      <c r="R103" s="16">
        <v>0.4683</v>
      </c>
      <c r="S103" s="17">
        <v>45578.0</v>
      </c>
      <c r="T103" s="18">
        <v>1.725</v>
      </c>
      <c r="U103" s="15" t="s">
        <v>25</v>
      </c>
      <c r="V103" s="19">
        <f t="shared" si="1"/>
        <v>-0.4683</v>
      </c>
      <c r="W103" s="19">
        <f t="shared" si="5"/>
        <v>-2.08016556</v>
      </c>
    </row>
    <row r="104">
      <c r="A104" s="8">
        <f t="shared" si="3"/>
        <v>103</v>
      </c>
      <c r="B104" s="8" t="s">
        <v>26</v>
      </c>
      <c r="C104" s="8" t="s">
        <v>19</v>
      </c>
      <c r="D104" s="8">
        <v>0.0</v>
      </c>
      <c r="E104" s="8" t="s">
        <v>1583</v>
      </c>
      <c r="F104" s="8"/>
      <c r="G104" s="8"/>
      <c r="H104" s="109"/>
      <c r="I104" s="8"/>
      <c r="J104" s="8"/>
      <c r="K104" s="8"/>
      <c r="L104" s="8" t="s">
        <v>50</v>
      </c>
      <c r="M104" s="8" t="s">
        <v>598</v>
      </c>
      <c r="N104" s="8" t="s">
        <v>1471</v>
      </c>
      <c r="O104" s="8" t="s">
        <v>24</v>
      </c>
      <c r="P104" s="9">
        <v>-3.0</v>
      </c>
      <c r="Q104" s="9">
        <v>0.25</v>
      </c>
      <c r="R104" s="9">
        <v>0.25</v>
      </c>
      <c r="S104" s="10">
        <v>45578.0</v>
      </c>
      <c r="T104" s="11">
        <v>2.0</v>
      </c>
      <c r="U104" s="8" t="s">
        <v>25</v>
      </c>
      <c r="V104" s="12">
        <f t="shared" si="1"/>
        <v>-0.25</v>
      </c>
      <c r="W104" s="12">
        <f t="shared" si="5"/>
        <v>-2.33016556</v>
      </c>
    </row>
    <row r="105">
      <c r="A105" s="15">
        <f t="shared" si="3"/>
        <v>104</v>
      </c>
      <c r="B105" s="15" t="s">
        <v>26</v>
      </c>
      <c r="C105" s="15" t="s">
        <v>19</v>
      </c>
      <c r="D105" s="15">
        <v>0.0</v>
      </c>
      <c r="E105" s="15" t="s">
        <v>1584</v>
      </c>
      <c r="F105" s="15">
        <v>5.0</v>
      </c>
      <c r="G105" s="15">
        <v>1.0</v>
      </c>
      <c r="H105" s="112">
        <f>7/(13*2)</f>
        <v>0.2692307692</v>
      </c>
      <c r="I105" s="15"/>
      <c r="J105" s="15"/>
      <c r="K105" s="15"/>
      <c r="L105" s="15" t="s">
        <v>50</v>
      </c>
      <c r="M105" s="15" t="s">
        <v>598</v>
      </c>
      <c r="N105" s="15" t="s">
        <v>1471</v>
      </c>
      <c r="O105" s="15" t="s">
        <v>24</v>
      </c>
      <c r="P105" s="16">
        <v>-3.0</v>
      </c>
      <c r="Q105" s="16">
        <v>0.25</v>
      </c>
      <c r="R105" s="16">
        <v>0.246</v>
      </c>
      <c r="S105" s="17">
        <v>45578.0</v>
      </c>
      <c r="T105" s="18">
        <v>2.0</v>
      </c>
      <c r="U105" s="15" t="s">
        <v>25</v>
      </c>
      <c r="V105" s="19">
        <f t="shared" si="1"/>
        <v>-0.246</v>
      </c>
      <c r="W105" s="19">
        <f t="shared" si="5"/>
        <v>-2.57616556</v>
      </c>
    </row>
    <row r="106">
      <c r="A106" s="8">
        <f t="shared" si="3"/>
        <v>105</v>
      </c>
      <c r="B106" s="8" t="s">
        <v>26</v>
      </c>
      <c r="C106" s="8" t="s">
        <v>19</v>
      </c>
      <c r="D106" s="8">
        <v>0.0</v>
      </c>
      <c r="E106" s="8" t="s">
        <v>1585</v>
      </c>
      <c r="F106" s="8"/>
      <c r="G106" s="8"/>
      <c r="H106" s="109"/>
      <c r="I106" s="8"/>
      <c r="J106" s="8"/>
      <c r="K106" s="8"/>
      <c r="L106" s="8" t="s">
        <v>50</v>
      </c>
      <c r="M106" s="8" t="s">
        <v>598</v>
      </c>
      <c r="N106" s="8" t="s">
        <v>1471</v>
      </c>
      <c r="O106" s="8" t="s">
        <v>24</v>
      </c>
      <c r="P106" s="9">
        <v>-3.5</v>
      </c>
      <c r="Q106" s="9">
        <v>0.25</v>
      </c>
      <c r="R106" s="9">
        <v>0.25</v>
      </c>
      <c r="S106" s="10">
        <v>45578.0</v>
      </c>
      <c r="T106" s="11">
        <f>377.78/250</f>
        <v>1.51112</v>
      </c>
      <c r="U106" s="8" t="s">
        <v>33</v>
      </c>
      <c r="V106" s="12">
        <f t="shared" si="1"/>
        <v>0.12778</v>
      </c>
      <c r="W106" s="12">
        <f t="shared" si="5"/>
        <v>-2.44838556</v>
      </c>
    </row>
    <row r="107">
      <c r="A107" s="15">
        <f t="shared" si="3"/>
        <v>106</v>
      </c>
      <c r="B107" s="15" t="s">
        <v>26</v>
      </c>
      <c r="C107" s="15" t="s">
        <v>19</v>
      </c>
      <c r="D107" s="15"/>
      <c r="E107" s="15" t="s">
        <v>1586</v>
      </c>
      <c r="F107" s="15">
        <v>8.0</v>
      </c>
      <c r="G107" s="15">
        <v>15.0</v>
      </c>
      <c r="H107" s="112">
        <f>2/(16*2)</f>
        <v>0.0625</v>
      </c>
      <c r="I107" s="15"/>
      <c r="J107" s="15"/>
      <c r="K107" s="15"/>
      <c r="L107" s="15" t="s">
        <v>48</v>
      </c>
      <c r="M107" s="15" t="s">
        <v>22</v>
      </c>
      <c r="N107" s="15" t="s">
        <v>1471</v>
      </c>
      <c r="O107" s="15" t="s">
        <v>24</v>
      </c>
      <c r="P107" s="16">
        <v>-2.75</v>
      </c>
      <c r="Q107" s="16">
        <v>0.25</v>
      </c>
      <c r="R107" s="16">
        <v>0.25</v>
      </c>
      <c r="S107" s="17">
        <v>45578.0</v>
      </c>
      <c r="T107" s="18">
        <f>441.73/250</f>
        <v>1.76692</v>
      </c>
      <c r="U107" s="15" t="s">
        <v>33</v>
      </c>
      <c r="V107" s="19">
        <f t="shared" si="1"/>
        <v>0.19173</v>
      </c>
      <c r="W107" s="19">
        <f t="shared" si="5"/>
        <v>-2.25665556</v>
      </c>
    </row>
    <row r="108">
      <c r="A108" s="8">
        <f t="shared" si="3"/>
        <v>107</v>
      </c>
      <c r="B108" s="8" t="s">
        <v>26</v>
      </c>
      <c r="C108" s="8" t="s">
        <v>19</v>
      </c>
      <c r="D108" s="8">
        <v>0.0</v>
      </c>
      <c r="E108" s="8" t="s">
        <v>1587</v>
      </c>
      <c r="F108" s="8">
        <v>3.0</v>
      </c>
      <c r="G108" s="8">
        <v>4.0</v>
      </c>
      <c r="H108" s="109">
        <f t="shared" ref="H108:H109" si="13">5/(17*2)</f>
        <v>0.1470588235</v>
      </c>
      <c r="I108" s="8"/>
      <c r="J108" s="8"/>
      <c r="K108" s="8"/>
      <c r="L108" s="8" t="s">
        <v>121</v>
      </c>
      <c r="M108" s="8" t="s">
        <v>598</v>
      </c>
      <c r="N108" s="8" t="s">
        <v>1471</v>
      </c>
      <c r="O108" s="8" t="s">
        <v>24</v>
      </c>
      <c r="P108" s="9">
        <v>-2.25</v>
      </c>
      <c r="Q108" s="9">
        <v>0.25</v>
      </c>
      <c r="R108" s="9">
        <v>0.25</v>
      </c>
      <c r="S108" s="10">
        <v>45578.0</v>
      </c>
      <c r="T108" s="11">
        <v>1.8</v>
      </c>
      <c r="U108" s="8" t="s">
        <v>30</v>
      </c>
      <c r="V108" s="12">
        <f t="shared" si="1"/>
        <v>0.1</v>
      </c>
      <c r="W108" s="12">
        <f t="shared" si="5"/>
        <v>-2.15665556</v>
      </c>
    </row>
    <row r="109">
      <c r="A109" s="15">
        <f t="shared" si="3"/>
        <v>108</v>
      </c>
      <c r="B109" s="15" t="s">
        <v>26</v>
      </c>
      <c r="C109" s="15" t="s">
        <v>19</v>
      </c>
      <c r="D109" s="15">
        <v>0.0</v>
      </c>
      <c r="E109" s="15" t="s">
        <v>1588</v>
      </c>
      <c r="F109" s="15">
        <v>2.0</v>
      </c>
      <c r="G109" s="15">
        <v>5.0</v>
      </c>
      <c r="H109" s="112">
        <f t="shared" si="13"/>
        <v>0.1470588235</v>
      </c>
      <c r="I109" s="15"/>
      <c r="J109" s="15"/>
      <c r="K109" s="15"/>
      <c r="L109" s="15" t="s">
        <v>121</v>
      </c>
      <c r="M109" s="15" t="s">
        <v>598</v>
      </c>
      <c r="N109" s="15" t="s">
        <v>1471</v>
      </c>
      <c r="O109" s="15" t="s">
        <v>24</v>
      </c>
      <c r="P109" s="16">
        <v>-3.0</v>
      </c>
      <c r="Q109" s="16">
        <v>0.25</v>
      </c>
      <c r="R109" s="16">
        <v>0.25</v>
      </c>
      <c r="S109" s="17">
        <v>45578.0</v>
      </c>
      <c r="T109" s="18">
        <v>1.75</v>
      </c>
      <c r="U109" s="15" t="s">
        <v>33</v>
      </c>
      <c r="V109" s="19">
        <f t="shared" si="1"/>
        <v>0.1875</v>
      </c>
      <c r="W109" s="19">
        <f t="shared" si="5"/>
        <v>-1.96915556</v>
      </c>
    </row>
    <row r="110">
      <c r="A110" s="8">
        <f t="shared" si="3"/>
        <v>109</v>
      </c>
      <c r="B110" s="8" t="s">
        <v>26</v>
      </c>
      <c r="C110" s="8" t="s">
        <v>19</v>
      </c>
      <c r="D110" s="8">
        <v>0.0</v>
      </c>
      <c r="E110" s="8" t="s">
        <v>1589</v>
      </c>
      <c r="F110" s="8">
        <v>10.0</v>
      </c>
      <c r="G110" s="8">
        <v>6.0</v>
      </c>
      <c r="H110" s="109">
        <f>7/(19*2)</f>
        <v>0.1842105263</v>
      </c>
      <c r="I110" s="8"/>
      <c r="J110" s="8"/>
      <c r="K110" s="8"/>
      <c r="L110" s="8" t="s">
        <v>121</v>
      </c>
      <c r="M110" s="8" t="s">
        <v>598</v>
      </c>
      <c r="N110" s="8" t="s">
        <v>1471</v>
      </c>
      <c r="O110" s="8" t="s">
        <v>24</v>
      </c>
      <c r="P110" s="9">
        <v>-2.5</v>
      </c>
      <c r="Q110" s="9">
        <v>0.25</v>
      </c>
      <c r="R110" s="9">
        <v>0.2421</v>
      </c>
      <c r="S110" s="10">
        <v>45578.0</v>
      </c>
      <c r="T110" s="11">
        <v>1.727</v>
      </c>
      <c r="U110" s="8" t="s">
        <v>33</v>
      </c>
      <c r="V110" s="12">
        <f t="shared" si="1"/>
        <v>0.1760067</v>
      </c>
      <c r="W110" s="12">
        <f t="shared" si="5"/>
        <v>-1.79314886</v>
      </c>
    </row>
    <row r="111">
      <c r="A111" s="15">
        <f t="shared" si="3"/>
        <v>110</v>
      </c>
      <c r="B111" s="15" t="s">
        <v>18</v>
      </c>
      <c r="C111" s="15" t="s">
        <v>19</v>
      </c>
      <c r="D111" s="15">
        <v>40.0</v>
      </c>
      <c r="E111" s="15" t="s">
        <v>1590</v>
      </c>
      <c r="F111" s="113">
        <v>8.0</v>
      </c>
      <c r="G111" s="113">
        <v>9.0</v>
      </c>
      <c r="H111" s="112">
        <f>5/(17*2)</f>
        <v>0.1470588235</v>
      </c>
      <c r="I111" s="15" t="s">
        <v>1479</v>
      </c>
      <c r="J111" s="15" t="s">
        <v>1480</v>
      </c>
      <c r="K111" s="15">
        <v>-1.0</v>
      </c>
      <c r="L111" s="15" t="s">
        <v>121</v>
      </c>
      <c r="M111" s="15" t="s">
        <v>22</v>
      </c>
      <c r="N111" s="15" t="s">
        <v>892</v>
      </c>
      <c r="O111" s="15" t="s">
        <v>24</v>
      </c>
      <c r="P111" s="16">
        <v>0.0</v>
      </c>
      <c r="Q111" s="16">
        <v>0.75</v>
      </c>
      <c r="R111" s="16">
        <v>0.7381</v>
      </c>
      <c r="S111" s="17">
        <v>45578.0</v>
      </c>
      <c r="T111" s="18">
        <v>1.725</v>
      </c>
      <c r="U111" s="15" t="s">
        <v>25</v>
      </c>
      <c r="V111" s="19">
        <f t="shared" si="1"/>
        <v>-0.7381</v>
      </c>
      <c r="W111" s="19">
        <f t="shared" si="5"/>
        <v>-2.53124886</v>
      </c>
    </row>
    <row r="112">
      <c r="A112" s="8">
        <f t="shared" si="3"/>
        <v>111</v>
      </c>
      <c r="B112" s="8" t="s">
        <v>35</v>
      </c>
      <c r="C112" s="8" t="s">
        <v>19</v>
      </c>
      <c r="D112" s="8">
        <v>60.0</v>
      </c>
      <c r="E112" s="8" t="s">
        <v>1591</v>
      </c>
      <c r="F112" s="8">
        <v>1.0</v>
      </c>
      <c r="G112" s="8">
        <v>4.0</v>
      </c>
      <c r="H112" s="109">
        <f>24/(13*2)</f>
        <v>0.9230769231</v>
      </c>
      <c r="I112" s="8" t="s">
        <v>1479</v>
      </c>
      <c r="J112" s="8" t="s">
        <v>1480</v>
      </c>
      <c r="K112" s="8">
        <v>0.0</v>
      </c>
      <c r="L112" s="8" t="s">
        <v>940</v>
      </c>
      <c r="M112" s="8" t="s">
        <v>22</v>
      </c>
      <c r="N112" s="8" t="s">
        <v>892</v>
      </c>
      <c r="O112" s="8" t="s">
        <v>24</v>
      </c>
      <c r="P112" s="9">
        <v>0.0</v>
      </c>
      <c r="Q112" s="9">
        <v>0.1</v>
      </c>
      <c r="R112" s="9">
        <v>0.1</v>
      </c>
      <c r="S112" s="10">
        <v>45578.0</v>
      </c>
      <c r="T112" s="11">
        <v>1.8</v>
      </c>
      <c r="U112" s="8" t="s">
        <v>33</v>
      </c>
      <c r="V112" s="12">
        <f t="shared" si="1"/>
        <v>0.08</v>
      </c>
      <c r="W112" s="12">
        <f t="shared" si="5"/>
        <v>-2.45124886</v>
      </c>
    </row>
    <row r="113">
      <c r="A113" s="15">
        <f t="shared" si="3"/>
        <v>112</v>
      </c>
      <c r="B113" s="15" t="s">
        <v>26</v>
      </c>
      <c r="C113" s="15" t="s">
        <v>19</v>
      </c>
      <c r="D113" s="15">
        <v>25.0</v>
      </c>
      <c r="E113" s="15" t="s">
        <v>1592</v>
      </c>
      <c r="F113" s="15">
        <v>6.0</v>
      </c>
      <c r="G113" s="15">
        <v>4.0</v>
      </c>
      <c r="H113" s="112">
        <f>5/(17*2)</f>
        <v>0.1470588235</v>
      </c>
      <c r="I113" s="15" t="s">
        <v>1479</v>
      </c>
      <c r="J113" s="15" t="s">
        <v>1480</v>
      </c>
      <c r="K113" s="15">
        <v>1.0</v>
      </c>
      <c r="L113" s="15" t="s">
        <v>121</v>
      </c>
      <c r="M113" s="15" t="s">
        <v>22</v>
      </c>
      <c r="N113" s="15" t="s">
        <v>892</v>
      </c>
      <c r="O113" s="15" t="s">
        <v>24</v>
      </c>
      <c r="P113" s="16">
        <v>0.0</v>
      </c>
      <c r="Q113" s="16">
        <v>0.25</v>
      </c>
      <c r="R113" s="16">
        <v>0.01</v>
      </c>
      <c r="S113" s="57">
        <v>45578.0</v>
      </c>
      <c r="T113" s="18">
        <v>1.925</v>
      </c>
      <c r="U113" s="15" t="s">
        <v>25</v>
      </c>
      <c r="V113" s="19">
        <f t="shared" si="1"/>
        <v>-0.01</v>
      </c>
      <c r="W113" s="19">
        <f t="shared" si="5"/>
        <v>-2.46124886</v>
      </c>
    </row>
    <row r="114">
      <c r="A114" s="8">
        <f t="shared" si="3"/>
        <v>113</v>
      </c>
      <c r="B114" s="8" t="s">
        <v>129</v>
      </c>
      <c r="C114" s="8" t="s">
        <v>19</v>
      </c>
      <c r="D114" s="8"/>
      <c r="E114" s="8" t="s">
        <v>1593</v>
      </c>
      <c r="F114" s="8">
        <v>9.0</v>
      </c>
      <c r="G114" s="8">
        <v>2.0</v>
      </c>
      <c r="H114" s="109">
        <f>3/(16*2)</f>
        <v>0.09375</v>
      </c>
      <c r="I114" s="8" t="s">
        <v>1473</v>
      </c>
      <c r="J114" s="8" t="s">
        <v>1474</v>
      </c>
      <c r="K114" s="8">
        <v>1.0</v>
      </c>
      <c r="L114" s="8" t="s">
        <v>48</v>
      </c>
      <c r="M114" s="8" t="s">
        <v>22</v>
      </c>
      <c r="N114" s="8" t="s">
        <v>225</v>
      </c>
      <c r="O114" s="8" t="s">
        <v>24</v>
      </c>
      <c r="P114" s="9">
        <v>0.25</v>
      </c>
      <c r="Q114" s="9">
        <v>0.5</v>
      </c>
      <c r="R114" s="9">
        <v>0.369</v>
      </c>
      <c r="S114" s="10">
        <v>45578.0</v>
      </c>
      <c r="T114" s="11">
        <v>1.7</v>
      </c>
      <c r="U114" s="8" t="s">
        <v>33</v>
      </c>
      <c r="V114" s="12">
        <f t="shared" si="1"/>
        <v>0.2583</v>
      </c>
      <c r="W114" s="12">
        <f t="shared" si="5"/>
        <v>-2.20294886</v>
      </c>
    </row>
    <row r="115">
      <c r="A115" s="15">
        <f t="shared" si="3"/>
        <v>114</v>
      </c>
      <c r="B115" s="15" t="s">
        <v>26</v>
      </c>
      <c r="C115" s="15" t="s">
        <v>19</v>
      </c>
      <c r="D115" s="15">
        <v>0.0</v>
      </c>
      <c r="E115" s="15" t="s">
        <v>1594</v>
      </c>
      <c r="F115" s="15">
        <v>8.0</v>
      </c>
      <c r="G115" s="15">
        <v>4.0</v>
      </c>
      <c r="H115" s="112">
        <f>7/(17*2)</f>
        <v>0.2058823529</v>
      </c>
      <c r="I115" s="15"/>
      <c r="J115" s="15"/>
      <c r="K115" s="15"/>
      <c r="L115" s="15" t="s">
        <v>93</v>
      </c>
      <c r="M115" s="15" t="s">
        <v>598</v>
      </c>
      <c r="N115" s="15" t="s">
        <v>1471</v>
      </c>
      <c r="O115" s="15" t="s">
        <v>24</v>
      </c>
      <c r="P115" s="16">
        <v>-2.75</v>
      </c>
      <c r="Q115" s="16">
        <v>0.25</v>
      </c>
      <c r="R115" s="16">
        <v>0.2341</v>
      </c>
      <c r="S115" s="17">
        <v>45578.0</v>
      </c>
      <c r="T115" s="18">
        <v>1.8</v>
      </c>
      <c r="U115" s="15" t="s">
        <v>33</v>
      </c>
      <c r="V115" s="19">
        <f t="shared" si="1"/>
        <v>0.18728</v>
      </c>
      <c r="W115" s="19">
        <f t="shared" si="5"/>
        <v>-2.01566886</v>
      </c>
    </row>
    <row r="116">
      <c r="A116" s="8">
        <f t="shared" si="3"/>
        <v>115</v>
      </c>
      <c r="B116" s="8" t="s">
        <v>18</v>
      </c>
      <c r="C116" s="8" t="s">
        <v>19</v>
      </c>
      <c r="D116" s="8">
        <v>76.0</v>
      </c>
      <c r="E116" s="8" t="s">
        <v>1595</v>
      </c>
      <c r="F116" s="8">
        <v>12.0</v>
      </c>
      <c r="G116" s="8">
        <v>2.0</v>
      </c>
      <c r="H116" s="109">
        <f>6/(15*2)</f>
        <v>0.2</v>
      </c>
      <c r="I116" s="8" t="s">
        <v>1473</v>
      </c>
      <c r="J116" s="8" t="s">
        <v>1480</v>
      </c>
      <c r="K116" s="8">
        <v>0.0</v>
      </c>
      <c r="L116" s="8" t="s">
        <v>229</v>
      </c>
      <c r="M116" s="8" t="s">
        <v>22</v>
      </c>
      <c r="N116" s="8" t="s">
        <v>892</v>
      </c>
      <c r="O116" s="8" t="s">
        <v>24</v>
      </c>
      <c r="P116" s="9">
        <v>0.0</v>
      </c>
      <c r="Q116" s="9">
        <v>0.75</v>
      </c>
      <c r="R116" s="9">
        <v>0.623</v>
      </c>
      <c r="S116" s="10">
        <v>45578.0</v>
      </c>
      <c r="T116" s="11">
        <v>1.75</v>
      </c>
      <c r="U116" s="8" t="s">
        <v>33</v>
      </c>
      <c r="V116" s="12">
        <f t="shared" si="1"/>
        <v>0.46725</v>
      </c>
      <c r="W116" s="12">
        <f t="shared" si="5"/>
        <v>-1.54841886</v>
      </c>
    </row>
    <row r="117">
      <c r="A117" s="15">
        <f t="shared" si="3"/>
        <v>116</v>
      </c>
      <c r="B117" s="15" t="s">
        <v>26</v>
      </c>
      <c r="C117" s="15" t="s">
        <v>19</v>
      </c>
      <c r="D117" s="15">
        <v>66.0</v>
      </c>
      <c r="E117" s="15" t="s">
        <v>1596</v>
      </c>
      <c r="F117" s="15"/>
      <c r="G117" s="15"/>
      <c r="H117" s="112"/>
      <c r="I117" s="15" t="s">
        <v>1473</v>
      </c>
      <c r="J117" s="15" t="s">
        <v>1480</v>
      </c>
      <c r="K117" s="15">
        <v>0.0</v>
      </c>
      <c r="L117" s="15" t="s">
        <v>50</v>
      </c>
      <c r="M117" s="15" t="s">
        <v>22</v>
      </c>
      <c r="N117" s="15" t="s">
        <v>892</v>
      </c>
      <c r="O117" s="15" t="s">
        <v>24</v>
      </c>
      <c r="P117" s="16">
        <v>0.0</v>
      </c>
      <c r="Q117" s="16">
        <v>0.75</v>
      </c>
      <c r="R117" s="16">
        <v>0.631</v>
      </c>
      <c r="S117" s="17">
        <v>45578.0</v>
      </c>
      <c r="T117" s="18">
        <v>2.05</v>
      </c>
      <c r="U117" s="15" t="s">
        <v>70</v>
      </c>
      <c r="V117" s="19">
        <f t="shared" si="1"/>
        <v>0</v>
      </c>
      <c r="W117" s="19">
        <f t="shared" si="5"/>
        <v>-1.54841886</v>
      </c>
    </row>
    <row r="118" ht="15.0" customHeight="1">
      <c r="A118" s="8">
        <f t="shared" si="3"/>
        <v>117</v>
      </c>
      <c r="B118" s="8" t="s">
        <v>26</v>
      </c>
      <c r="C118" s="8" t="s">
        <v>19</v>
      </c>
      <c r="D118" s="8">
        <v>0.0</v>
      </c>
      <c r="E118" s="8" t="s">
        <v>1597</v>
      </c>
      <c r="F118" s="8"/>
      <c r="G118" s="8"/>
      <c r="H118" s="109"/>
      <c r="I118" s="8"/>
      <c r="J118" s="8"/>
      <c r="K118" s="8"/>
      <c r="L118" s="8" t="s">
        <v>231</v>
      </c>
      <c r="M118" s="8" t="s">
        <v>22</v>
      </c>
      <c r="N118" s="8" t="s">
        <v>1471</v>
      </c>
      <c r="O118" s="8" t="s">
        <v>24</v>
      </c>
      <c r="P118" s="9">
        <v>-1.75</v>
      </c>
      <c r="Q118" s="9">
        <v>0.5</v>
      </c>
      <c r="R118" s="9">
        <v>0.25</v>
      </c>
      <c r="S118" s="10">
        <v>45579.0</v>
      </c>
      <c r="T118" s="11">
        <v>1.8</v>
      </c>
      <c r="U118" s="8" t="s">
        <v>33</v>
      </c>
      <c r="V118" s="12">
        <f t="shared" si="1"/>
        <v>0.2</v>
      </c>
      <c r="W118" s="12">
        <f t="shared" si="5"/>
        <v>-1.34841886</v>
      </c>
    </row>
    <row r="119">
      <c r="A119" s="15">
        <f t="shared" si="3"/>
        <v>118</v>
      </c>
      <c r="B119" s="15" t="s">
        <v>18</v>
      </c>
      <c r="C119" s="15" t="s">
        <v>19</v>
      </c>
      <c r="D119" s="15">
        <v>82.0</v>
      </c>
      <c r="E119" s="15" t="s">
        <v>1598</v>
      </c>
      <c r="F119" s="15"/>
      <c r="G119" s="15"/>
      <c r="H119" s="112"/>
      <c r="I119" s="15"/>
      <c r="J119" s="15"/>
      <c r="K119" s="15"/>
      <c r="L119" s="15" t="s">
        <v>923</v>
      </c>
      <c r="M119" s="15" t="s">
        <v>22</v>
      </c>
      <c r="N119" s="15" t="s">
        <v>892</v>
      </c>
      <c r="O119" s="15" t="s">
        <v>24</v>
      </c>
      <c r="P119" s="16">
        <v>0.0</v>
      </c>
      <c r="Q119" s="16">
        <v>0.25</v>
      </c>
      <c r="R119" s="16">
        <v>0.25</v>
      </c>
      <c r="S119" s="17">
        <v>45580.0</v>
      </c>
      <c r="T119" s="18">
        <v>1.675</v>
      </c>
      <c r="U119" s="15" t="s">
        <v>70</v>
      </c>
      <c r="V119" s="19">
        <f t="shared" si="1"/>
        <v>0</v>
      </c>
      <c r="W119" s="19">
        <f t="shared" si="5"/>
        <v>-1.34841886</v>
      </c>
    </row>
    <row r="120">
      <c r="A120" s="8">
        <f t="shared" si="3"/>
        <v>119</v>
      </c>
      <c r="B120" s="8" t="s">
        <v>137</v>
      </c>
      <c r="C120" s="8" t="s">
        <v>19</v>
      </c>
      <c r="D120" s="8"/>
      <c r="E120" s="8" t="s">
        <v>1599</v>
      </c>
      <c r="F120" s="8">
        <v>3.0</v>
      </c>
      <c r="G120" s="8">
        <v>11.0</v>
      </c>
      <c r="H120" s="109">
        <f>7/(15*2)</f>
        <v>0.2333333333</v>
      </c>
      <c r="I120" s="8" t="s">
        <v>1473</v>
      </c>
      <c r="J120" s="8" t="s">
        <v>1480</v>
      </c>
      <c r="K120" s="8">
        <v>0.0</v>
      </c>
      <c r="L120" s="8" t="s">
        <v>1600</v>
      </c>
      <c r="M120" s="8" t="s">
        <v>22</v>
      </c>
      <c r="N120" s="8" t="s">
        <v>892</v>
      </c>
      <c r="O120" s="8" t="s">
        <v>24</v>
      </c>
      <c r="P120" s="9">
        <v>0.0</v>
      </c>
      <c r="Q120" s="9">
        <v>0.25</v>
      </c>
      <c r="R120" s="9">
        <v>0.25</v>
      </c>
      <c r="S120" s="10">
        <v>45581.0</v>
      </c>
      <c r="T120" s="11">
        <v>2.075</v>
      </c>
      <c r="U120" s="8" t="s">
        <v>25</v>
      </c>
      <c r="V120" s="12">
        <f t="shared" si="1"/>
        <v>-0.25</v>
      </c>
      <c r="W120" s="12">
        <f t="shared" si="5"/>
        <v>-1.59841886</v>
      </c>
    </row>
    <row r="121">
      <c r="A121" s="15">
        <f t="shared" si="3"/>
        <v>120</v>
      </c>
      <c r="B121" s="15" t="s">
        <v>18</v>
      </c>
      <c r="C121" s="15" t="s">
        <v>19</v>
      </c>
      <c r="D121" s="15"/>
      <c r="E121" s="15" t="s">
        <v>1601</v>
      </c>
      <c r="F121" s="15"/>
      <c r="G121" s="15"/>
      <c r="H121" s="112"/>
      <c r="I121" s="15" t="s">
        <v>1479</v>
      </c>
      <c r="J121" s="15" t="s">
        <v>1477</v>
      </c>
      <c r="K121" s="15">
        <v>-2.0</v>
      </c>
      <c r="L121" s="15" t="s">
        <v>191</v>
      </c>
      <c r="M121" s="15" t="s">
        <v>22</v>
      </c>
      <c r="N121" s="15" t="s">
        <v>894</v>
      </c>
      <c r="O121" s="15" t="s">
        <v>24</v>
      </c>
      <c r="P121" s="16">
        <v>-0.25</v>
      </c>
      <c r="Q121" s="16">
        <v>0.3</v>
      </c>
      <c r="R121" s="16">
        <v>0.3</v>
      </c>
      <c r="S121" s="17">
        <v>45581.0</v>
      </c>
      <c r="T121" s="18">
        <v>1.75</v>
      </c>
      <c r="U121" s="15" t="s">
        <v>33</v>
      </c>
      <c r="V121" s="19">
        <f t="shared" si="1"/>
        <v>0.225</v>
      </c>
      <c r="W121" s="19">
        <f t="shared" si="5"/>
        <v>-1.37341886</v>
      </c>
    </row>
    <row r="122">
      <c r="A122" s="8">
        <f t="shared" si="3"/>
        <v>121</v>
      </c>
      <c r="B122" s="8" t="s">
        <v>35</v>
      </c>
      <c r="C122" s="8" t="s">
        <v>19</v>
      </c>
      <c r="D122" s="8"/>
      <c r="E122" s="8" t="s">
        <v>1602</v>
      </c>
      <c r="F122" s="8">
        <v>4.0</v>
      </c>
      <c r="G122" s="8">
        <v>14.0</v>
      </c>
      <c r="H122" s="8"/>
      <c r="I122" s="8" t="s">
        <v>1473</v>
      </c>
      <c r="J122" s="8" t="s">
        <v>1474</v>
      </c>
      <c r="K122" s="8">
        <v>0.0</v>
      </c>
      <c r="L122" s="8" t="s">
        <v>1194</v>
      </c>
      <c r="M122" s="8" t="s">
        <v>22</v>
      </c>
      <c r="N122" s="8" t="s">
        <v>892</v>
      </c>
      <c r="O122" s="8" t="s">
        <v>24</v>
      </c>
      <c r="P122" s="9">
        <v>0.0</v>
      </c>
      <c r="Q122" s="9">
        <v>0.1</v>
      </c>
      <c r="R122" s="9">
        <v>0.0766</v>
      </c>
      <c r="S122" s="10">
        <v>45581.0</v>
      </c>
      <c r="T122" s="11">
        <v>1.775</v>
      </c>
      <c r="U122" s="8" t="s">
        <v>33</v>
      </c>
      <c r="V122" s="12">
        <f t="shared" si="1"/>
        <v>0.059365</v>
      </c>
      <c r="W122" s="12">
        <f t="shared" si="5"/>
        <v>-1.31405386</v>
      </c>
    </row>
    <row r="123">
      <c r="A123" s="15">
        <f t="shared" si="3"/>
        <v>122</v>
      </c>
      <c r="B123" s="15" t="s">
        <v>26</v>
      </c>
      <c r="C123" s="15" t="s">
        <v>19</v>
      </c>
      <c r="D123" s="15"/>
      <c r="E123" s="15" t="s">
        <v>1603</v>
      </c>
      <c r="F123" s="15">
        <v>14.0</v>
      </c>
      <c r="G123" s="15">
        <v>15.0</v>
      </c>
      <c r="H123" s="112">
        <f>9/(15*2)</f>
        <v>0.3</v>
      </c>
      <c r="I123" s="15" t="s">
        <v>1479</v>
      </c>
      <c r="J123" s="15" t="s">
        <v>1480</v>
      </c>
      <c r="K123" s="15">
        <v>0.0</v>
      </c>
      <c r="L123" s="15" t="s">
        <v>101</v>
      </c>
      <c r="M123" s="15" t="s">
        <v>22</v>
      </c>
      <c r="N123" s="15" t="s">
        <v>892</v>
      </c>
      <c r="O123" s="15" t="s">
        <v>24</v>
      </c>
      <c r="P123" s="16">
        <v>0.0</v>
      </c>
      <c r="Q123" s="16">
        <v>0.25</v>
      </c>
      <c r="R123" s="16">
        <v>0.25</v>
      </c>
      <c r="S123" s="17">
        <v>45581.0</v>
      </c>
      <c r="T123" s="18">
        <v>1.9</v>
      </c>
      <c r="U123" s="15" t="s">
        <v>25</v>
      </c>
      <c r="V123" s="19">
        <f t="shared" si="1"/>
        <v>-0.25</v>
      </c>
      <c r="W123" s="19">
        <f t="shared" si="5"/>
        <v>-1.56405386</v>
      </c>
    </row>
    <row r="124">
      <c r="A124" s="8">
        <f t="shared" si="3"/>
        <v>123</v>
      </c>
      <c r="B124" s="8" t="s">
        <v>26</v>
      </c>
      <c r="C124" s="8" t="s">
        <v>19</v>
      </c>
      <c r="D124" s="8">
        <v>0.0</v>
      </c>
      <c r="E124" s="8" t="s">
        <v>1604</v>
      </c>
      <c r="F124" s="8">
        <v>15.0</v>
      </c>
      <c r="G124" s="8">
        <v>16.0</v>
      </c>
      <c r="H124" s="109">
        <f>6/(19*2)</f>
        <v>0.1578947368</v>
      </c>
      <c r="I124" s="8"/>
      <c r="J124" s="8"/>
      <c r="K124" s="8"/>
      <c r="L124" s="8" t="s">
        <v>191</v>
      </c>
      <c r="M124" s="8" t="s">
        <v>598</v>
      </c>
      <c r="N124" s="8" t="s">
        <v>1471</v>
      </c>
      <c r="O124" s="8" t="s">
        <v>24</v>
      </c>
      <c r="P124" s="9">
        <v>-1.75</v>
      </c>
      <c r="Q124" s="9">
        <v>0.25</v>
      </c>
      <c r="R124" s="9">
        <v>0.0742</v>
      </c>
      <c r="S124" s="10">
        <v>45581.0</v>
      </c>
      <c r="T124" s="11">
        <v>1.9</v>
      </c>
      <c r="U124" s="8" t="s">
        <v>25</v>
      </c>
      <c r="V124" s="12">
        <f t="shared" si="1"/>
        <v>-0.0742</v>
      </c>
      <c r="W124" s="12">
        <f t="shared" si="5"/>
        <v>-1.63825386</v>
      </c>
    </row>
    <row r="125">
      <c r="A125" s="15">
        <f t="shared" si="3"/>
        <v>124</v>
      </c>
      <c r="B125" s="15" t="s">
        <v>18</v>
      </c>
      <c r="C125" s="15" t="s">
        <v>19</v>
      </c>
      <c r="D125" s="15"/>
      <c r="E125" s="15" t="s">
        <v>1605</v>
      </c>
      <c r="F125" s="15">
        <v>10.0</v>
      </c>
      <c r="G125" s="15">
        <v>8.0</v>
      </c>
      <c r="H125" s="15"/>
      <c r="I125" s="15" t="s">
        <v>1479</v>
      </c>
      <c r="J125" s="15" t="s">
        <v>1480</v>
      </c>
      <c r="K125" s="15">
        <v>1.0</v>
      </c>
      <c r="L125" s="15" t="s">
        <v>644</v>
      </c>
      <c r="M125" s="15" t="s">
        <v>22</v>
      </c>
      <c r="N125" s="15" t="s">
        <v>892</v>
      </c>
      <c r="O125" s="15" t="s">
        <v>24</v>
      </c>
      <c r="P125" s="16">
        <v>0.0</v>
      </c>
      <c r="Q125" s="16">
        <v>0.5</v>
      </c>
      <c r="R125" s="16">
        <v>0.4805</v>
      </c>
      <c r="S125" s="17">
        <v>45581.0</v>
      </c>
      <c r="T125" s="18">
        <v>1.675</v>
      </c>
      <c r="U125" s="15" t="s">
        <v>25</v>
      </c>
      <c r="V125" s="19">
        <f t="shared" si="1"/>
        <v>-0.4805</v>
      </c>
      <c r="W125" s="19">
        <f t="shared" si="5"/>
        <v>-2.11875386</v>
      </c>
    </row>
    <row r="126">
      <c r="A126" s="8">
        <f t="shared" si="3"/>
        <v>125</v>
      </c>
      <c r="B126" s="8" t="s">
        <v>26</v>
      </c>
      <c r="C126" s="8" t="s">
        <v>19</v>
      </c>
      <c r="D126" s="8"/>
      <c r="E126" s="8" t="s">
        <v>1606</v>
      </c>
      <c r="F126" s="8"/>
      <c r="G126" s="8"/>
      <c r="H126" s="109"/>
      <c r="I126" s="8" t="s">
        <v>1473</v>
      </c>
      <c r="J126" s="8" t="s">
        <v>1480</v>
      </c>
      <c r="K126" s="8">
        <v>0.0</v>
      </c>
      <c r="L126" s="8" t="s">
        <v>78</v>
      </c>
      <c r="M126" s="8" t="s">
        <v>22</v>
      </c>
      <c r="N126" s="8" t="s">
        <v>892</v>
      </c>
      <c r="O126" s="8" t="s">
        <v>24</v>
      </c>
      <c r="P126" s="9">
        <v>0.0</v>
      </c>
      <c r="Q126" s="9">
        <v>0.25</v>
      </c>
      <c r="R126" s="9">
        <v>0.25</v>
      </c>
      <c r="S126" s="10">
        <v>45581.0</v>
      </c>
      <c r="T126" s="11">
        <v>1.975</v>
      </c>
      <c r="U126" s="8" t="s">
        <v>25</v>
      </c>
      <c r="V126" s="12">
        <f t="shared" si="1"/>
        <v>-0.25</v>
      </c>
      <c r="W126" s="12">
        <f t="shared" si="5"/>
        <v>-2.36875386</v>
      </c>
    </row>
    <row r="127">
      <c r="A127" s="15">
        <f t="shared" si="3"/>
        <v>126</v>
      </c>
      <c r="B127" s="15" t="s">
        <v>26</v>
      </c>
      <c r="C127" s="15" t="s">
        <v>19</v>
      </c>
      <c r="D127" s="15"/>
      <c r="E127" s="15" t="s">
        <v>1607</v>
      </c>
      <c r="F127" s="15">
        <v>6.0</v>
      </c>
      <c r="G127" s="15">
        <v>2.0</v>
      </c>
      <c r="H127" s="112"/>
      <c r="I127" s="15"/>
      <c r="J127" s="15"/>
      <c r="K127" s="15"/>
      <c r="L127" s="15" t="s">
        <v>1549</v>
      </c>
      <c r="M127" s="15" t="s">
        <v>22</v>
      </c>
      <c r="N127" s="15" t="s">
        <v>1471</v>
      </c>
      <c r="O127" s="15" t="s">
        <v>24</v>
      </c>
      <c r="P127" s="16">
        <v>-2.25</v>
      </c>
      <c r="Q127" s="16">
        <v>0.25</v>
      </c>
      <c r="R127" s="16">
        <v>0.25</v>
      </c>
      <c r="S127" s="17">
        <v>45581.0</v>
      </c>
      <c r="T127" s="18">
        <v>1.75</v>
      </c>
      <c r="U127" s="15" t="s">
        <v>25</v>
      </c>
      <c r="V127" s="19">
        <f t="shared" si="1"/>
        <v>-0.25</v>
      </c>
      <c r="W127" s="19">
        <f t="shared" si="5"/>
        <v>-2.61875386</v>
      </c>
    </row>
    <row r="128">
      <c r="A128" s="8">
        <f t="shared" si="3"/>
        <v>127</v>
      </c>
      <c r="B128" s="8" t="s">
        <v>35</v>
      </c>
      <c r="C128" s="8" t="s">
        <v>19</v>
      </c>
      <c r="D128" s="8"/>
      <c r="E128" s="8" t="s">
        <v>1608</v>
      </c>
      <c r="F128" s="8">
        <v>13.0</v>
      </c>
      <c r="G128" s="8">
        <v>15.0</v>
      </c>
      <c r="H128" s="109">
        <f>15/(15*2)</f>
        <v>0.5</v>
      </c>
      <c r="I128" s="8" t="s">
        <v>1479</v>
      </c>
      <c r="J128" s="8" t="s">
        <v>1480</v>
      </c>
      <c r="K128" s="8">
        <v>0.0</v>
      </c>
      <c r="L128" s="8" t="s">
        <v>74</v>
      </c>
      <c r="M128" s="8" t="s">
        <v>22</v>
      </c>
      <c r="N128" s="8" t="s">
        <v>892</v>
      </c>
      <c r="O128" s="8" t="s">
        <v>24</v>
      </c>
      <c r="P128" s="9">
        <v>0.0</v>
      </c>
      <c r="Q128" s="9">
        <v>0.1</v>
      </c>
      <c r="R128" s="9">
        <v>0.1</v>
      </c>
      <c r="S128" s="10">
        <v>45581.0</v>
      </c>
      <c r="T128" s="11">
        <v>1.8</v>
      </c>
      <c r="U128" s="8" t="s">
        <v>33</v>
      </c>
      <c r="V128" s="12">
        <f t="shared" si="1"/>
        <v>0.08</v>
      </c>
      <c r="W128" s="12">
        <f t="shared" si="5"/>
        <v>-2.53875386</v>
      </c>
    </row>
    <row r="129">
      <c r="A129" s="15">
        <f t="shared" si="3"/>
        <v>128</v>
      </c>
      <c r="B129" s="15" t="s">
        <v>129</v>
      </c>
      <c r="C129" s="15" t="s">
        <v>19</v>
      </c>
      <c r="D129" s="15"/>
      <c r="E129" s="15" t="s">
        <v>1609</v>
      </c>
      <c r="F129" s="15">
        <v>8.0</v>
      </c>
      <c r="G129" s="15">
        <v>6.0</v>
      </c>
      <c r="H129" s="112">
        <f>6/(11*2)</f>
        <v>0.2727272727</v>
      </c>
      <c r="I129" s="15" t="s">
        <v>1473</v>
      </c>
      <c r="J129" s="15" t="s">
        <v>1474</v>
      </c>
      <c r="K129" s="15">
        <v>1.0</v>
      </c>
      <c r="L129" s="15" t="s">
        <v>172</v>
      </c>
      <c r="M129" s="15" t="s">
        <v>22</v>
      </c>
      <c r="N129" s="15" t="s">
        <v>225</v>
      </c>
      <c r="O129" s="15" t="s">
        <v>24</v>
      </c>
      <c r="P129" s="16">
        <v>0.5</v>
      </c>
      <c r="Q129" s="16">
        <v>0.5</v>
      </c>
      <c r="R129" s="16">
        <v>0.5</v>
      </c>
      <c r="S129" s="55">
        <v>45581.0</v>
      </c>
      <c r="T129" s="18">
        <v>1.85</v>
      </c>
      <c r="U129" s="15" t="s">
        <v>33</v>
      </c>
      <c r="V129" s="19">
        <f t="shared" si="1"/>
        <v>0.425</v>
      </c>
      <c r="W129" s="19">
        <f t="shared" si="5"/>
        <v>-2.11375386</v>
      </c>
    </row>
    <row r="130">
      <c r="A130" s="8">
        <f t="shared" si="3"/>
        <v>129</v>
      </c>
      <c r="B130" s="8" t="s">
        <v>26</v>
      </c>
      <c r="C130" s="8" t="s">
        <v>19</v>
      </c>
      <c r="D130" s="8"/>
      <c r="E130" s="8" t="s">
        <v>1610</v>
      </c>
      <c r="F130" s="8">
        <v>9.0</v>
      </c>
      <c r="G130" s="8">
        <v>14.0</v>
      </c>
      <c r="H130" s="109">
        <f>7/(15*2)</f>
        <v>0.2333333333</v>
      </c>
      <c r="I130" s="8"/>
      <c r="J130" s="8"/>
      <c r="K130" s="8"/>
      <c r="L130" s="8" t="s">
        <v>231</v>
      </c>
      <c r="M130" s="8" t="s">
        <v>22</v>
      </c>
      <c r="N130" s="8" t="s">
        <v>1471</v>
      </c>
      <c r="O130" s="8" t="s">
        <v>24</v>
      </c>
      <c r="P130" s="9">
        <v>-1.75</v>
      </c>
      <c r="Q130" s="9">
        <v>0.25</v>
      </c>
      <c r="R130" s="9">
        <v>0.2422</v>
      </c>
      <c r="S130" s="54">
        <v>45582.0</v>
      </c>
      <c r="T130" s="11">
        <v>2.025</v>
      </c>
      <c r="U130" s="8" t="s">
        <v>25</v>
      </c>
      <c r="V130" s="12">
        <f t="shared" si="1"/>
        <v>-0.2422</v>
      </c>
      <c r="W130" s="12">
        <f t="shared" si="5"/>
        <v>-2.35595386</v>
      </c>
    </row>
    <row r="131">
      <c r="A131" s="15">
        <f t="shared" si="3"/>
        <v>130</v>
      </c>
      <c r="B131" s="15" t="s">
        <v>26</v>
      </c>
      <c r="C131" s="15" t="s">
        <v>19</v>
      </c>
      <c r="D131" s="15"/>
      <c r="E131" s="15" t="s">
        <v>1611</v>
      </c>
      <c r="F131" s="15"/>
      <c r="G131" s="15"/>
      <c r="H131" s="112"/>
      <c r="I131" s="15" t="s">
        <v>1473</v>
      </c>
      <c r="J131" s="15" t="s">
        <v>1480</v>
      </c>
      <c r="K131" s="15">
        <v>0.0</v>
      </c>
      <c r="L131" s="15" t="s">
        <v>820</v>
      </c>
      <c r="M131" s="15" t="s">
        <v>22</v>
      </c>
      <c r="N131" s="15" t="s">
        <v>892</v>
      </c>
      <c r="O131" s="15" t="s">
        <v>24</v>
      </c>
      <c r="P131" s="16">
        <v>0.0</v>
      </c>
      <c r="Q131" s="16">
        <v>0.25</v>
      </c>
      <c r="R131" s="16">
        <v>0.2383</v>
      </c>
      <c r="S131" s="17">
        <v>45582.0</v>
      </c>
      <c r="T131" s="18">
        <f>245/150</f>
        <v>1.633333333</v>
      </c>
      <c r="U131" s="15" t="s">
        <v>33</v>
      </c>
      <c r="V131" s="19">
        <f t="shared" si="1"/>
        <v>0.1509233333</v>
      </c>
      <c r="W131" s="19">
        <f t="shared" si="5"/>
        <v>-2.205030527</v>
      </c>
    </row>
    <row r="132">
      <c r="A132" s="8">
        <f t="shared" si="3"/>
        <v>131</v>
      </c>
      <c r="B132" s="8" t="s">
        <v>26</v>
      </c>
      <c r="C132" s="8" t="s">
        <v>19</v>
      </c>
      <c r="D132" s="8"/>
      <c r="E132" s="8" t="s">
        <v>1612</v>
      </c>
      <c r="F132" s="8">
        <v>14.0</v>
      </c>
      <c r="G132" s="8">
        <v>5.0</v>
      </c>
      <c r="H132" s="109">
        <f>2/(15*2)</f>
        <v>0.06666666667</v>
      </c>
      <c r="I132" s="8" t="s">
        <v>1479</v>
      </c>
      <c r="J132" s="8" t="s">
        <v>1474</v>
      </c>
      <c r="K132" s="8">
        <v>-1.0</v>
      </c>
      <c r="L132" s="8" t="s">
        <v>1558</v>
      </c>
      <c r="M132" s="8" t="s">
        <v>22</v>
      </c>
      <c r="N132" s="8" t="s">
        <v>225</v>
      </c>
      <c r="O132" s="8" t="s">
        <v>24</v>
      </c>
      <c r="P132" s="9">
        <v>0.5</v>
      </c>
      <c r="Q132" s="9">
        <v>0.25</v>
      </c>
      <c r="R132" s="9">
        <v>0.25</v>
      </c>
      <c r="S132" s="10">
        <v>45582.0</v>
      </c>
      <c r="T132" s="11">
        <f>295/250</f>
        <v>1.18</v>
      </c>
      <c r="U132" s="8" t="s">
        <v>33</v>
      </c>
      <c r="V132" s="12">
        <f t="shared" si="1"/>
        <v>0.045</v>
      </c>
      <c r="W132" s="12">
        <f t="shared" si="5"/>
        <v>-2.160030527</v>
      </c>
    </row>
    <row r="133">
      <c r="A133" s="15">
        <f t="shared" si="3"/>
        <v>132</v>
      </c>
      <c r="B133" s="15"/>
      <c r="C133" s="15" t="s">
        <v>19</v>
      </c>
      <c r="D133" s="15"/>
      <c r="E133" s="15" t="s">
        <v>1613</v>
      </c>
      <c r="F133" s="15"/>
      <c r="G133" s="15"/>
      <c r="H133" s="112"/>
      <c r="I133" s="15" t="s">
        <v>1479</v>
      </c>
      <c r="J133" s="15" t="s">
        <v>1480</v>
      </c>
      <c r="K133" s="15">
        <v>0.0</v>
      </c>
      <c r="L133" s="15" t="s">
        <v>78</v>
      </c>
      <c r="M133" s="15" t="s">
        <v>22</v>
      </c>
      <c r="N133" s="15" t="s">
        <v>892</v>
      </c>
      <c r="O133" s="15" t="s">
        <v>24</v>
      </c>
      <c r="P133" s="16">
        <v>0.0</v>
      </c>
      <c r="Q133" s="16">
        <v>0.25</v>
      </c>
      <c r="R133" s="16">
        <v>0.25</v>
      </c>
      <c r="S133" s="17">
        <v>45582.0</v>
      </c>
      <c r="T133" s="18">
        <v>1.9</v>
      </c>
      <c r="U133" s="15" t="s">
        <v>70</v>
      </c>
      <c r="V133" s="19">
        <f t="shared" si="1"/>
        <v>0</v>
      </c>
      <c r="W133" s="19">
        <f t="shared" si="5"/>
        <v>-2.160030527</v>
      </c>
    </row>
    <row r="134">
      <c r="A134" s="8">
        <f t="shared" si="3"/>
        <v>133</v>
      </c>
      <c r="B134" s="8"/>
      <c r="C134" s="8" t="s">
        <v>19</v>
      </c>
      <c r="D134" s="8">
        <v>33.0</v>
      </c>
      <c r="E134" s="8" t="s">
        <v>1614</v>
      </c>
      <c r="F134" s="8">
        <v>5.0</v>
      </c>
      <c r="G134" s="8">
        <v>7.0</v>
      </c>
      <c r="H134" s="109">
        <f>7/(9*2)</f>
        <v>0.3888888889</v>
      </c>
      <c r="I134" s="8" t="s">
        <v>1479</v>
      </c>
      <c r="J134" s="8" t="s">
        <v>1480</v>
      </c>
      <c r="K134" s="8">
        <v>-1.0</v>
      </c>
      <c r="L134" s="8" t="s">
        <v>583</v>
      </c>
      <c r="M134" s="8" t="s">
        <v>22</v>
      </c>
      <c r="N134" s="8" t="s">
        <v>892</v>
      </c>
      <c r="O134" s="8" t="s">
        <v>24</v>
      </c>
      <c r="P134" s="9">
        <v>0.0</v>
      </c>
      <c r="Q134" s="9">
        <v>0.5</v>
      </c>
      <c r="R134" s="9">
        <v>0.5</v>
      </c>
      <c r="S134" s="10">
        <v>45583.0</v>
      </c>
      <c r="T134" s="11">
        <v>1.775</v>
      </c>
      <c r="U134" s="8" t="s">
        <v>70</v>
      </c>
      <c r="V134" s="12">
        <f t="shared" si="1"/>
        <v>0</v>
      </c>
      <c r="W134" s="12">
        <f t="shared" si="5"/>
        <v>-2.160030527</v>
      </c>
    </row>
    <row r="135">
      <c r="A135" s="15">
        <f t="shared" si="3"/>
        <v>134</v>
      </c>
      <c r="B135" s="15"/>
      <c r="C135" s="15" t="s">
        <v>19</v>
      </c>
      <c r="D135" s="15">
        <v>24.0</v>
      </c>
      <c r="E135" s="15" t="s">
        <v>1615</v>
      </c>
      <c r="F135" s="15">
        <v>15.0</v>
      </c>
      <c r="G135" s="15">
        <v>10.0</v>
      </c>
      <c r="H135" s="112">
        <f>12/(15*2)</f>
        <v>0.4</v>
      </c>
      <c r="I135" s="15" t="s">
        <v>1473</v>
      </c>
      <c r="J135" s="15" t="s">
        <v>1480</v>
      </c>
      <c r="K135" s="15">
        <v>0.0</v>
      </c>
      <c r="L135" s="15" t="s">
        <v>646</v>
      </c>
      <c r="M135" s="15" t="s">
        <v>22</v>
      </c>
      <c r="N135" s="15" t="s">
        <v>892</v>
      </c>
      <c r="O135" s="15" t="s">
        <v>24</v>
      </c>
      <c r="P135" s="16">
        <v>0.0</v>
      </c>
      <c r="Q135" s="16">
        <v>0.5</v>
      </c>
      <c r="R135" s="16">
        <v>0.5</v>
      </c>
      <c r="S135" s="17">
        <v>45583.0</v>
      </c>
      <c r="T135" s="18">
        <v>1.975</v>
      </c>
      <c r="U135" s="15" t="s">
        <v>70</v>
      </c>
      <c r="V135" s="19">
        <f t="shared" si="1"/>
        <v>0</v>
      </c>
      <c r="W135" s="19">
        <f t="shared" si="5"/>
        <v>-2.160030527</v>
      </c>
    </row>
    <row r="136">
      <c r="A136" s="8">
        <f t="shared" si="3"/>
        <v>135</v>
      </c>
      <c r="B136" s="8" t="s">
        <v>26</v>
      </c>
      <c r="C136" s="8" t="s">
        <v>19</v>
      </c>
      <c r="D136" s="8">
        <v>0.0</v>
      </c>
      <c r="E136" s="8" t="s">
        <v>1616</v>
      </c>
      <c r="F136" s="8"/>
      <c r="G136" s="8"/>
      <c r="H136" s="109"/>
      <c r="I136" s="8"/>
      <c r="J136" s="8"/>
      <c r="K136" s="8"/>
      <c r="L136" s="8" t="s">
        <v>82</v>
      </c>
      <c r="M136" s="8" t="s">
        <v>598</v>
      </c>
      <c r="N136" s="8" t="s">
        <v>1471</v>
      </c>
      <c r="O136" s="8" t="s">
        <v>24</v>
      </c>
      <c r="P136" s="9">
        <v>-3.25</v>
      </c>
      <c r="Q136" s="9">
        <v>0.25</v>
      </c>
      <c r="R136" s="9">
        <v>0.25</v>
      </c>
      <c r="S136" s="10">
        <v>45583.0</v>
      </c>
      <c r="T136" s="11">
        <v>1.95</v>
      </c>
      <c r="U136" s="8" t="s">
        <v>25</v>
      </c>
      <c r="V136" s="12">
        <f t="shared" si="1"/>
        <v>-0.25</v>
      </c>
      <c r="W136" s="12">
        <f t="shared" si="5"/>
        <v>-2.410030527</v>
      </c>
    </row>
    <row r="137">
      <c r="A137" s="15">
        <f t="shared" si="3"/>
        <v>136</v>
      </c>
      <c r="B137" s="15" t="s">
        <v>129</v>
      </c>
      <c r="C137" s="15" t="s">
        <v>19</v>
      </c>
      <c r="D137" s="15"/>
      <c r="E137" s="15" t="s">
        <v>1617</v>
      </c>
      <c r="F137" s="15"/>
      <c r="G137" s="15"/>
      <c r="H137" s="112"/>
      <c r="I137" s="15" t="s">
        <v>1473</v>
      </c>
      <c r="J137" s="15" t="s">
        <v>1480</v>
      </c>
      <c r="K137" s="15">
        <v>0.0</v>
      </c>
      <c r="L137" s="15" t="s">
        <v>101</v>
      </c>
      <c r="M137" s="15" t="s">
        <v>22</v>
      </c>
      <c r="N137" s="15" t="s">
        <v>892</v>
      </c>
      <c r="O137" s="15" t="s">
        <v>24</v>
      </c>
      <c r="P137" s="16">
        <v>0.0</v>
      </c>
      <c r="Q137" s="16">
        <v>0.25</v>
      </c>
      <c r="R137" s="16">
        <v>0.25</v>
      </c>
      <c r="S137" s="17">
        <v>45584.0</v>
      </c>
      <c r="T137" s="18">
        <v>2.15</v>
      </c>
      <c r="U137" s="15" t="s">
        <v>70</v>
      </c>
      <c r="V137" s="19">
        <f t="shared" si="1"/>
        <v>0</v>
      </c>
      <c r="W137" s="19">
        <f t="shared" si="5"/>
        <v>-2.410030527</v>
      </c>
    </row>
    <row r="138">
      <c r="A138" s="8">
        <f t="shared" si="3"/>
        <v>137</v>
      </c>
      <c r="B138" s="8" t="s">
        <v>26</v>
      </c>
      <c r="C138" s="8" t="s">
        <v>19</v>
      </c>
      <c r="D138" s="8">
        <v>0.0</v>
      </c>
      <c r="E138" s="8" t="s">
        <v>1618</v>
      </c>
      <c r="F138" s="8">
        <v>10.0</v>
      </c>
      <c r="G138" s="8">
        <v>5.0</v>
      </c>
      <c r="H138" s="109">
        <f>7/(9*2)</f>
        <v>0.3888888889</v>
      </c>
      <c r="I138" s="8"/>
      <c r="J138" s="8"/>
      <c r="K138" s="8"/>
      <c r="L138" s="8" t="s">
        <v>675</v>
      </c>
      <c r="M138" s="8" t="s">
        <v>598</v>
      </c>
      <c r="N138" s="8" t="s">
        <v>1471</v>
      </c>
      <c r="O138" s="8" t="s">
        <v>24</v>
      </c>
      <c r="P138" s="9">
        <v>-2.25</v>
      </c>
      <c r="Q138" s="9">
        <v>0.25</v>
      </c>
      <c r="R138" s="9">
        <v>0.25</v>
      </c>
      <c r="S138" s="10">
        <v>45584.0</v>
      </c>
      <c r="T138" s="11">
        <v>1.9</v>
      </c>
      <c r="U138" s="8" t="s">
        <v>33</v>
      </c>
      <c r="V138" s="12">
        <f t="shared" si="1"/>
        <v>0.225</v>
      </c>
      <c r="W138" s="12">
        <f t="shared" si="5"/>
        <v>-2.185030527</v>
      </c>
    </row>
    <row r="139">
      <c r="A139" s="15">
        <f t="shared" si="3"/>
        <v>138</v>
      </c>
      <c r="B139" s="15" t="s">
        <v>26</v>
      </c>
      <c r="C139" s="15" t="s">
        <v>19</v>
      </c>
      <c r="D139" s="15">
        <v>0.0</v>
      </c>
      <c r="E139" s="15" t="s">
        <v>1619</v>
      </c>
      <c r="F139" s="15"/>
      <c r="G139" s="15"/>
      <c r="H139" s="112"/>
      <c r="I139" s="15"/>
      <c r="J139" s="15"/>
      <c r="K139" s="15"/>
      <c r="L139" s="15" t="s">
        <v>121</v>
      </c>
      <c r="M139" s="15" t="s">
        <v>598</v>
      </c>
      <c r="N139" s="15" t="s">
        <v>1471</v>
      </c>
      <c r="O139" s="15" t="s">
        <v>24</v>
      </c>
      <c r="P139" s="16">
        <v>-3.0</v>
      </c>
      <c r="Q139" s="16">
        <v>0.25</v>
      </c>
      <c r="R139" s="16">
        <v>0.25</v>
      </c>
      <c r="S139" s="17">
        <v>45584.0</v>
      </c>
      <c r="T139" s="18">
        <v>1.95</v>
      </c>
      <c r="U139" s="15" t="s">
        <v>33</v>
      </c>
      <c r="V139" s="19">
        <f t="shared" si="1"/>
        <v>0.2375</v>
      </c>
      <c r="W139" s="19">
        <f t="shared" si="5"/>
        <v>-1.947530527</v>
      </c>
    </row>
    <row r="140">
      <c r="A140" s="8">
        <f t="shared" si="3"/>
        <v>139</v>
      </c>
      <c r="B140" s="8" t="s">
        <v>26</v>
      </c>
      <c r="C140" s="8" t="s">
        <v>19</v>
      </c>
      <c r="D140" s="8">
        <v>69.0</v>
      </c>
      <c r="E140" s="8" t="s">
        <v>1620</v>
      </c>
      <c r="F140" s="8"/>
      <c r="G140" s="8"/>
      <c r="H140" s="109"/>
      <c r="I140" s="8" t="s">
        <v>1473</v>
      </c>
      <c r="J140" s="8" t="s">
        <v>1480</v>
      </c>
      <c r="K140" s="8">
        <v>-1.0</v>
      </c>
      <c r="L140" s="8" t="s">
        <v>121</v>
      </c>
      <c r="M140" s="8" t="s">
        <v>22</v>
      </c>
      <c r="N140" s="8" t="s">
        <v>892</v>
      </c>
      <c r="O140" s="8" t="s">
        <v>24</v>
      </c>
      <c r="P140" s="9">
        <v>0.0</v>
      </c>
      <c r="Q140" s="9">
        <v>0.5</v>
      </c>
      <c r="R140" s="9">
        <v>0.4922</v>
      </c>
      <c r="S140" s="10">
        <v>45584.0</v>
      </c>
      <c r="T140" s="11">
        <v>1.975</v>
      </c>
      <c r="U140" s="8" t="s">
        <v>70</v>
      </c>
      <c r="V140" s="12">
        <f t="shared" si="1"/>
        <v>0</v>
      </c>
      <c r="W140" s="12">
        <f t="shared" si="5"/>
        <v>-1.947530527</v>
      </c>
    </row>
    <row r="141">
      <c r="A141" s="15">
        <f t="shared" si="3"/>
        <v>140</v>
      </c>
      <c r="B141" s="15" t="s">
        <v>26</v>
      </c>
      <c r="C141" s="15" t="s">
        <v>19</v>
      </c>
      <c r="D141" s="15">
        <v>0.0</v>
      </c>
      <c r="E141" s="15" t="s">
        <v>1621</v>
      </c>
      <c r="F141" s="15">
        <v>15.0</v>
      </c>
      <c r="G141" s="15">
        <v>8.0</v>
      </c>
      <c r="H141" s="112">
        <f>4/(15*2)</f>
        <v>0.1333333333</v>
      </c>
      <c r="I141" s="15"/>
      <c r="J141" s="15"/>
      <c r="K141" s="15"/>
      <c r="L141" s="15" t="s">
        <v>273</v>
      </c>
      <c r="M141" s="15" t="s">
        <v>598</v>
      </c>
      <c r="N141" s="15" t="s">
        <v>1471</v>
      </c>
      <c r="O141" s="15" t="s">
        <v>24</v>
      </c>
      <c r="P141" s="16">
        <v>-2.5</v>
      </c>
      <c r="Q141" s="16">
        <v>0.25</v>
      </c>
      <c r="R141" s="16">
        <v>0.2422</v>
      </c>
      <c r="S141" s="17">
        <v>45584.0</v>
      </c>
      <c r="T141" s="18">
        <v>1.9</v>
      </c>
      <c r="U141" s="15" t="s">
        <v>25</v>
      </c>
      <c r="V141" s="19">
        <f t="shared" si="1"/>
        <v>-0.2422</v>
      </c>
      <c r="W141" s="19">
        <f t="shared" si="5"/>
        <v>-2.189730527</v>
      </c>
    </row>
    <row r="142">
      <c r="A142" s="8">
        <f t="shared" si="3"/>
        <v>141</v>
      </c>
      <c r="B142" s="8" t="s">
        <v>26</v>
      </c>
      <c r="C142" s="8" t="s">
        <v>19</v>
      </c>
      <c r="D142" s="8">
        <v>0.0</v>
      </c>
      <c r="E142" s="8" t="s">
        <v>1622</v>
      </c>
      <c r="F142" s="8"/>
      <c r="G142" s="8"/>
      <c r="H142" s="8"/>
      <c r="I142" s="8"/>
      <c r="J142" s="8"/>
      <c r="K142" s="8"/>
      <c r="L142" s="8" t="s">
        <v>50</v>
      </c>
      <c r="M142" s="8" t="s">
        <v>598</v>
      </c>
      <c r="N142" s="8" t="s">
        <v>1471</v>
      </c>
      <c r="O142" s="8" t="s">
        <v>24</v>
      </c>
      <c r="P142" s="9">
        <v>-3.0</v>
      </c>
      <c r="Q142" s="9">
        <v>0.25</v>
      </c>
      <c r="R142" s="9">
        <v>0.25</v>
      </c>
      <c r="S142" s="54">
        <v>45584.0</v>
      </c>
      <c r="T142" s="11">
        <v>1.8</v>
      </c>
      <c r="U142" s="8" t="s">
        <v>33</v>
      </c>
      <c r="V142" s="12">
        <f t="shared" si="1"/>
        <v>0.2</v>
      </c>
      <c r="W142" s="12">
        <f t="shared" si="5"/>
        <v>-1.989730527</v>
      </c>
    </row>
    <row r="143">
      <c r="A143" s="15">
        <f t="shared" si="3"/>
        <v>142</v>
      </c>
      <c r="B143" s="15" t="s">
        <v>26</v>
      </c>
      <c r="C143" s="15" t="s">
        <v>19</v>
      </c>
      <c r="D143" s="15">
        <v>0.0</v>
      </c>
      <c r="E143" s="15" t="s">
        <v>1623</v>
      </c>
      <c r="F143" s="15">
        <v>14.0</v>
      </c>
      <c r="G143" s="15">
        <v>7.0</v>
      </c>
      <c r="H143" s="110">
        <f>8/(19*2)</f>
        <v>0.2105263158</v>
      </c>
      <c r="I143" s="15"/>
      <c r="J143" s="15"/>
      <c r="K143" s="15"/>
      <c r="L143" s="15" t="s">
        <v>121</v>
      </c>
      <c r="M143" s="15" t="s">
        <v>598</v>
      </c>
      <c r="N143" s="15" t="s">
        <v>1471</v>
      </c>
      <c r="O143" s="15" t="s">
        <v>24</v>
      </c>
      <c r="P143" s="16">
        <v>-2.25</v>
      </c>
      <c r="Q143" s="16">
        <v>0.25</v>
      </c>
      <c r="R143" s="16">
        <v>0.25</v>
      </c>
      <c r="S143" s="17">
        <v>45584.0</v>
      </c>
      <c r="T143" s="18">
        <v>1.85</v>
      </c>
      <c r="U143" s="15" t="s">
        <v>33</v>
      </c>
      <c r="V143" s="19">
        <f t="shared" si="1"/>
        <v>0.2125</v>
      </c>
      <c r="W143" s="19">
        <f t="shared" si="5"/>
        <v>-1.777230527</v>
      </c>
    </row>
    <row r="144">
      <c r="A144" s="8">
        <f t="shared" si="3"/>
        <v>143</v>
      </c>
      <c r="B144" s="8" t="s">
        <v>26</v>
      </c>
      <c r="C144" s="8" t="s">
        <v>19</v>
      </c>
      <c r="D144" s="8"/>
      <c r="E144" s="8" t="s">
        <v>1624</v>
      </c>
      <c r="F144" s="8"/>
      <c r="G144" s="8"/>
      <c r="H144" s="111"/>
      <c r="I144" s="8" t="s">
        <v>1479</v>
      </c>
      <c r="J144" s="8" t="s">
        <v>1477</v>
      </c>
      <c r="K144" s="8">
        <v>0.0</v>
      </c>
      <c r="L144" s="8" t="s">
        <v>121</v>
      </c>
      <c r="M144" s="8" t="s">
        <v>22</v>
      </c>
      <c r="N144" s="8" t="s">
        <v>894</v>
      </c>
      <c r="O144" s="8" t="s">
        <v>24</v>
      </c>
      <c r="P144" s="9">
        <v>-1.0</v>
      </c>
      <c r="Q144" s="9">
        <v>0.1</v>
      </c>
      <c r="R144" s="9">
        <v>0.0734</v>
      </c>
      <c r="S144" s="10">
        <v>45584.0</v>
      </c>
      <c r="T144" s="11">
        <v>1.875</v>
      </c>
      <c r="U144" s="8" t="s">
        <v>33</v>
      </c>
      <c r="V144" s="12">
        <f t="shared" si="1"/>
        <v>0.064225</v>
      </c>
      <c r="W144" s="12">
        <f t="shared" si="5"/>
        <v>-1.713005527</v>
      </c>
    </row>
    <row r="145">
      <c r="A145" s="15">
        <f t="shared" si="3"/>
        <v>144</v>
      </c>
      <c r="B145" s="15" t="s">
        <v>26</v>
      </c>
      <c r="C145" s="15" t="s">
        <v>19</v>
      </c>
      <c r="D145" s="15"/>
      <c r="E145" s="15" t="s">
        <v>1625</v>
      </c>
      <c r="F145" s="15">
        <v>9.0</v>
      </c>
      <c r="G145" s="15">
        <v>11.0</v>
      </c>
      <c r="H145" s="110">
        <f>22/(15*2)</f>
        <v>0.7333333333</v>
      </c>
      <c r="I145" s="15" t="s">
        <v>1479</v>
      </c>
      <c r="J145" s="15" t="s">
        <v>1477</v>
      </c>
      <c r="K145" s="15">
        <v>0.0</v>
      </c>
      <c r="L145" s="15" t="s">
        <v>1470</v>
      </c>
      <c r="M145" s="15" t="s">
        <v>22</v>
      </c>
      <c r="N145" s="15" t="s">
        <v>894</v>
      </c>
      <c r="O145" s="15" t="s">
        <v>24</v>
      </c>
      <c r="P145" s="16">
        <v>-0.25</v>
      </c>
      <c r="Q145" s="16">
        <v>0.1</v>
      </c>
      <c r="R145" s="16">
        <v>0.1</v>
      </c>
      <c r="S145" s="17">
        <v>45584.0</v>
      </c>
      <c r="T145" s="18">
        <v>1.9</v>
      </c>
      <c r="U145" s="15" t="s">
        <v>25</v>
      </c>
      <c r="V145" s="19">
        <f t="shared" si="1"/>
        <v>-0.1</v>
      </c>
      <c r="W145" s="19">
        <f t="shared" si="5"/>
        <v>-1.813005527</v>
      </c>
    </row>
    <row r="146">
      <c r="A146" s="8">
        <f t="shared" si="3"/>
        <v>145</v>
      </c>
      <c r="B146" s="8" t="s">
        <v>26</v>
      </c>
      <c r="C146" s="8" t="s">
        <v>19</v>
      </c>
      <c r="D146" s="8">
        <v>0.0</v>
      </c>
      <c r="E146" s="8" t="s">
        <v>1626</v>
      </c>
      <c r="F146" s="8"/>
      <c r="G146" s="8"/>
      <c r="H146" s="111"/>
      <c r="I146" s="8"/>
      <c r="J146" s="8"/>
      <c r="K146" s="8"/>
      <c r="L146" s="8" t="s">
        <v>121</v>
      </c>
      <c r="M146" s="8" t="s">
        <v>598</v>
      </c>
      <c r="N146" s="8" t="s">
        <v>1471</v>
      </c>
      <c r="O146" s="8" t="s">
        <v>24</v>
      </c>
      <c r="P146" s="9">
        <v>-3.25</v>
      </c>
      <c r="Q146" s="9">
        <v>0.25</v>
      </c>
      <c r="R146" s="9">
        <v>0.25</v>
      </c>
      <c r="S146" s="10">
        <v>45584.0</v>
      </c>
      <c r="T146" s="11">
        <v>1.85</v>
      </c>
      <c r="U146" s="8" t="s">
        <v>25</v>
      </c>
      <c r="V146" s="12">
        <f t="shared" si="1"/>
        <v>-0.25</v>
      </c>
      <c r="W146" s="12">
        <f t="shared" si="5"/>
        <v>-2.063005527</v>
      </c>
    </row>
    <row r="147">
      <c r="A147" s="15">
        <f t="shared" si="3"/>
        <v>146</v>
      </c>
      <c r="B147" s="15" t="s">
        <v>129</v>
      </c>
      <c r="C147" s="15" t="s">
        <v>19</v>
      </c>
      <c r="D147" s="15"/>
      <c r="E147" s="15" t="s">
        <v>1627</v>
      </c>
      <c r="F147" s="15"/>
      <c r="G147" s="15"/>
      <c r="H147" s="110"/>
      <c r="I147" s="15" t="s">
        <v>1473</v>
      </c>
      <c r="J147" s="15" t="s">
        <v>1474</v>
      </c>
      <c r="K147" s="15">
        <v>0.0</v>
      </c>
      <c r="L147" s="15" t="s">
        <v>703</v>
      </c>
      <c r="M147" s="15" t="s">
        <v>22</v>
      </c>
      <c r="N147" s="15" t="s">
        <v>1023</v>
      </c>
      <c r="O147" s="15" t="s">
        <v>24</v>
      </c>
      <c r="P147" s="16">
        <v>0.5</v>
      </c>
      <c r="Q147" s="16">
        <v>0.5</v>
      </c>
      <c r="R147" s="16">
        <v>0.3867</v>
      </c>
      <c r="S147" s="17">
        <v>45584.0</v>
      </c>
      <c r="T147" s="18">
        <v>1.727</v>
      </c>
      <c r="U147" s="15" t="s">
        <v>33</v>
      </c>
      <c r="V147" s="19">
        <f t="shared" si="1"/>
        <v>0.2811309</v>
      </c>
      <c r="W147" s="19">
        <f t="shared" si="5"/>
        <v>-1.781874627</v>
      </c>
    </row>
    <row r="148">
      <c r="A148" s="8">
        <f t="shared" si="3"/>
        <v>147</v>
      </c>
      <c r="B148" s="8" t="s">
        <v>131</v>
      </c>
      <c r="C148" s="8" t="s">
        <v>19</v>
      </c>
      <c r="D148" s="8">
        <v>63.0</v>
      </c>
      <c r="E148" s="8" t="s">
        <v>1628</v>
      </c>
      <c r="F148" s="8">
        <v>4.0</v>
      </c>
      <c r="G148" s="8">
        <v>8.0</v>
      </c>
      <c r="H148" s="111">
        <f>11/(9*2)</f>
        <v>0.6111111111</v>
      </c>
      <c r="I148" s="8" t="s">
        <v>1479</v>
      </c>
      <c r="J148" s="8" t="s">
        <v>1480</v>
      </c>
      <c r="K148" s="8">
        <v>-1.0</v>
      </c>
      <c r="L148" s="8" t="s">
        <v>624</v>
      </c>
      <c r="M148" s="8" t="s">
        <v>22</v>
      </c>
      <c r="N148" s="8" t="s">
        <v>892</v>
      </c>
      <c r="O148" s="8" t="s">
        <v>24</v>
      </c>
      <c r="P148" s="9">
        <v>0.0</v>
      </c>
      <c r="Q148" s="9">
        <v>0.5</v>
      </c>
      <c r="R148" s="9">
        <v>0.4922</v>
      </c>
      <c r="S148" s="56">
        <v>45584.0</v>
      </c>
      <c r="T148" s="11">
        <v>2.0</v>
      </c>
      <c r="U148" s="8" t="s">
        <v>70</v>
      </c>
      <c r="V148" s="12">
        <f t="shared" si="1"/>
        <v>0</v>
      </c>
      <c r="W148" s="12">
        <f t="shared" si="5"/>
        <v>-1.781874627</v>
      </c>
    </row>
    <row r="149">
      <c r="A149" s="15">
        <f t="shared" si="3"/>
        <v>148</v>
      </c>
      <c r="B149" s="15" t="s">
        <v>26</v>
      </c>
      <c r="C149" s="15" t="s">
        <v>19</v>
      </c>
      <c r="D149" s="15">
        <v>55.0</v>
      </c>
      <c r="E149" s="15" t="s">
        <v>1629</v>
      </c>
      <c r="F149" s="15">
        <v>13.0</v>
      </c>
      <c r="G149" s="15">
        <v>14.0</v>
      </c>
      <c r="H149" s="110">
        <f>7/(17*2)</f>
        <v>0.2058823529</v>
      </c>
      <c r="I149" s="15" t="s">
        <v>1479</v>
      </c>
      <c r="J149" s="15" t="s">
        <v>1480</v>
      </c>
      <c r="K149" s="15">
        <v>0.0</v>
      </c>
      <c r="L149" s="15" t="s">
        <v>806</v>
      </c>
      <c r="M149" s="15" t="s">
        <v>22</v>
      </c>
      <c r="N149" s="15" t="s">
        <v>892</v>
      </c>
      <c r="O149" s="15" t="s">
        <v>24</v>
      </c>
      <c r="P149" s="16">
        <v>0.0</v>
      </c>
      <c r="Q149" s="16">
        <v>0.6</v>
      </c>
      <c r="R149" s="16">
        <v>0.6</v>
      </c>
      <c r="S149" s="17">
        <v>45584.0</v>
      </c>
      <c r="T149" s="18">
        <v>1.85</v>
      </c>
      <c r="U149" s="15" t="s">
        <v>33</v>
      </c>
      <c r="V149" s="19">
        <f t="shared" si="1"/>
        <v>0.51</v>
      </c>
      <c r="W149" s="19">
        <f t="shared" si="5"/>
        <v>-1.271874627</v>
      </c>
    </row>
    <row r="150">
      <c r="A150" s="8">
        <f t="shared" si="3"/>
        <v>149</v>
      </c>
      <c r="B150" s="8" t="s">
        <v>26</v>
      </c>
      <c r="C150" s="8" t="s">
        <v>19</v>
      </c>
      <c r="D150" s="8">
        <v>0.0</v>
      </c>
      <c r="E150" s="8" t="s">
        <v>1630</v>
      </c>
      <c r="F150" s="8">
        <v>3.0</v>
      </c>
      <c r="G150" s="8">
        <v>13.0</v>
      </c>
      <c r="H150" s="111"/>
      <c r="I150" s="8"/>
      <c r="J150" s="8"/>
      <c r="K150" s="8"/>
      <c r="L150" s="8" t="s">
        <v>68</v>
      </c>
      <c r="M150" s="8" t="s">
        <v>598</v>
      </c>
      <c r="N150" s="8" t="s">
        <v>1471</v>
      </c>
      <c r="O150" s="8" t="s">
        <v>24</v>
      </c>
      <c r="P150" s="9">
        <v>-1.75</v>
      </c>
      <c r="Q150" s="9">
        <v>0.25</v>
      </c>
      <c r="R150" s="9">
        <v>0.25</v>
      </c>
      <c r="S150" s="10">
        <v>45584.0</v>
      </c>
      <c r="T150" s="11">
        <v>1.825</v>
      </c>
      <c r="U150" s="8" t="s">
        <v>25</v>
      </c>
      <c r="V150" s="12">
        <f t="shared" si="1"/>
        <v>-0.25</v>
      </c>
      <c r="W150" s="12">
        <f t="shared" si="5"/>
        <v>-1.521874627</v>
      </c>
    </row>
    <row r="151">
      <c r="A151" s="15">
        <f t="shared" si="3"/>
        <v>150</v>
      </c>
      <c r="B151" s="15" t="s">
        <v>26</v>
      </c>
      <c r="C151" s="15" t="s">
        <v>19</v>
      </c>
      <c r="D151" s="15">
        <v>65.0</v>
      </c>
      <c r="E151" s="15" t="s">
        <v>1631</v>
      </c>
      <c r="F151" s="15">
        <v>8.0</v>
      </c>
      <c r="G151" s="15">
        <v>10.0</v>
      </c>
      <c r="H151" s="112">
        <f t="shared" ref="H151:H152" si="14">5/(13*2)</f>
        <v>0.1923076923</v>
      </c>
      <c r="I151" s="15" t="s">
        <v>1479</v>
      </c>
      <c r="J151" s="15" t="s">
        <v>1480</v>
      </c>
      <c r="K151" s="15">
        <v>-1.0</v>
      </c>
      <c r="L151" s="15" t="s">
        <v>50</v>
      </c>
      <c r="M151" s="15" t="s">
        <v>22</v>
      </c>
      <c r="N151" s="15" t="s">
        <v>892</v>
      </c>
      <c r="O151" s="15" t="s">
        <v>24</v>
      </c>
      <c r="P151" s="16">
        <v>0.0</v>
      </c>
      <c r="Q151" s="16">
        <v>0.5</v>
      </c>
      <c r="R151" s="16">
        <v>0.4883</v>
      </c>
      <c r="S151" s="17">
        <v>45584.0</v>
      </c>
      <c r="T151" s="18">
        <v>1.725</v>
      </c>
      <c r="U151" s="15" t="s">
        <v>70</v>
      </c>
      <c r="V151" s="19">
        <f t="shared" si="1"/>
        <v>0</v>
      </c>
      <c r="W151" s="19">
        <f t="shared" si="5"/>
        <v>-1.521874627</v>
      </c>
    </row>
    <row r="152">
      <c r="A152" s="8">
        <f t="shared" si="3"/>
        <v>151</v>
      </c>
      <c r="B152" s="8" t="s">
        <v>26</v>
      </c>
      <c r="C152" s="8" t="s">
        <v>19</v>
      </c>
      <c r="D152" s="8">
        <v>81.0</v>
      </c>
      <c r="E152" s="8" t="s">
        <v>1632</v>
      </c>
      <c r="F152" s="8">
        <v>8.0</v>
      </c>
      <c r="G152" s="8">
        <v>10.0</v>
      </c>
      <c r="H152" s="111">
        <f t="shared" si="14"/>
        <v>0.1923076923</v>
      </c>
      <c r="I152" s="8" t="s">
        <v>1473</v>
      </c>
      <c r="J152" s="8" t="s">
        <v>1480</v>
      </c>
      <c r="K152" s="8" t="s">
        <v>1633</v>
      </c>
      <c r="L152" s="8" t="s">
        <v>50</v>
      </c>
      <c r="M152" s="8" t="s">
        <v>22</v>
      </c>
      <c r="N152" s="8" t="s">
        <v>892</v>
      </c>
      <c r="O152" s="8" t="s">
        <v>24</v>
      </c>
      <c r="P152" s="9">
        <v>0.0</v>
      </c>
      <c r="Q152" s="9">
        <v>0.25</v>
      </c>
      <c r="R152" s="9">
        <v>0.25</v>
      </c>
      <c r="S152" s="10">
        <v>45584.0</v>
      </c>
      <c r="T152" s="11">
        <v>2.05</v>
      </c>
      <c r="U152" s="8" t="s">
        <v>70</v>
      </c>
      <c r="V152" s="12">
        <f t="shared" si="1"/>
        <v>0</v>
      </c>
      <c r="W152" s="12">
        <f t="shared" si="5"/>
        <v>-1.521874627</v>
      </c>
    </row>
    <row r="153">
      <c r="A153" s="15">
        <f t="shared" si="3"/>
        <v>152</v>
      </c>
      <c r="B153" s="15" t="s">
        <v>137</v>
      </c>
      <c r="C153" s="15" t="s">
        <v>19</v>
      </c>
      <c r="D153" s="15"/>
      <c r="E153" s="15" t="s">
        <v>1634</v>
      </c>
      <c r="F153" s="15">
        <v>8.0</v>
      </c>
      <c r="G153" s="15">
        <v>10.0</v>
      </c>
      <c r="H153" s="110">
        <f>9/(11*2)</f>
        <v>0.4090909091</v>
      </c>
      <c r="I153" s="15" t="s">
        <v>1479</v>
      </c>
      <c r="J153" s="15" t="s">
        <v>1480</v>
      </c>
      <c r="K153" s="15">
        <v>-1.0</v>
      </c>
      <c r="L153" s="15" t="s">
        <v>60</v>
      </c>
      <c r="M153" s="15" t="s">
        <v>22</v>
      </c>
      <c r="N153" s="15" t="s">
        <v>892</v>
      </c>
      <c r="O153" s="15" t="s">
        <v>24</v>
      </c>
      <c r="P153" s="16">
        <v>0.0</v>
      </c>
      <c r="Q153" s="16">
        <v>0.4</v>
      </c>
      <c r="R153" s="16">
        <v>0.4</v>
      </c>
      <c r="S153" s="17">
        <v>45584.0</v>
      </c>
      <c r="T153" s="18">
        <v>1.775</v>
      </c>
      <c r="U153" s="15" t="s">
        <v>33</v>
      </c>
      <c r="V153" s="19">
        <f t="shared" si="1"/>
        <v>0.31</v>
      </c>
      <c r="W153" s="19">
        <f t="shared" si="5"/>
        <v>-1.211874627</v>
      </c>
    </row>
    <row r="154">
      <c r="A154" s="8">
        <f t="shared" si="3"/>
        <v>153</v>
      </c>
      <c r="B154" s="8" t="s">
        <v>129</v>
      </c>
      <c r="C154" s="8" t="s">
        <v>19</v>
      </c>
      <c r="D154" s="8"/>
      <c r="E154" s="8" t="s">
        <v>1635</v>
      </c>
      <c r="F154" s="8"/>
      <c r="G154" s="8"/>
      <c r="H154" s="111"/>
      <c r="I154" s="8" t="s">
        <v>1473</v>
      </c>
      <c r="J154" s="8" t="s">
        <v>1480</v>
      </c>
      <c r="K154" s="8">
        <v>-1.0</v>
      </c>
      <c r="L154" s="8" t="s">
        <v>1003</v>
      </c>
      <c r="M154" s="8" t="s">
        <v>22</v>
      </c>
      <c r="N154" s="8" t="s">
        <v>892</v>
      </c>
      <c r="O154" s="8" t="s">
        <v>24</v>
      </c>
      <c r="P154" s="9">
        <v>0.0</v>
      </c>
      <c r="Q154" s="9">
        <v>0.4</v>
      </c>
      <c r="R154" s="9">
        <v>0.3922</v>
      </c>
      <c r="S154" s="10">
        <v>45584.0</v>
      </c>
      <c r="T154" s="11">
        <v>1.75</v>
      </c>
      <c r="U154" s="8" t="s">
        <v>33</v>
      </c>
      <c r="V154" s="12">
        <f t="shared" si="1"/>
        <v>0.29415</v>
      </c>
      <c r="W154" s="12">
        <f t="shared" si="5"/>
        <v>-0.9177246267</v>
      </c>
    </row>
    <row r="155">
      <c r="A155" s="15">
        <f t="shared" si="3"/>
        <v>154</v>
      </c>
      <c r="B155" s="15" t="s">
        <v>129</v>
      </c>
      <c r="C155" s="15" t="s">
        <v>19</v>
      </c>
      <c r="D155" s="15"/>
      <c r="E155" s="15" t="s">
        <v>1636</v>
      </c>
      <c r="F155" s="15">
        <v>17.0</v>
      </c>
      <c r="G155" s="15">
        <v>15.0</v>
      </c>
      <c r="H155" s="110">
        <f>6/(17*2)</f>
        <v>0.1764705882</v>
      </c>
      <c r="I155" s="15" t="s">
        <v>1473</v>
      </c>
      <c r="J155" s="15" t="s">
        <v>1480</v>
      </c>
      <c r="K155" s="15">
        <v>0.0</v>
      </c>
      <c r="L155" s="15" t="s">
        <v>93</v>
      </c>
      <c r="M155" s="15" t="s">
        <v>22</v>
      </c>
      <c r="N155" s="15" t="s">
        <v>892</v>
      </c>
      <c r="O155" s="15" t="s">
        <v>24</v>
      </c>
      <c r="P155" s="16">
        <v>0.0</v>
      </c>
      <c r="Q155" s="16">
        <v>0.25</v>
      </c>
      <c r="R155" s="16">
        <v>0.25</v>
      </c>
      <c r="S155" s="17">
        <v>45585.0</v>
      </c>
      <c r="T155" s="18">
        <v>1.9</v>
      </c>
      <c r="U155" s="15" t="s">
        <v>70</v>
      </c>
      <c r="V155" s="19">
        <f t="shared" si="1"/>
        <v>0</v>
      </c>
      <c r="W155" s="19">
        <f t="shared" si="5"/>
        <v>-0.9177246267</v>
      </c>
    </row>
    <row r="156">
      <c r="A156" s="8">
        <f t="shared" si="3"/>
        <v>155</v>
      </c>
      <c r="B156" s="8" t="s">
        <v>129</v>
      </c>
      <c r="C156" s="8" t="s">
        <v>40</v>
      </c>
      <c r="D156" s="8"/>
      <c r="E156" s="8" t="s">
        <v>1637</v>
      </c>
      <c r="F156" s="8"/>
      <c r="G156" s="8"/>
      <c r="H156" s="8"/>
      <c r="I156" s="8" t="s">
        <v>1473</v>
      </c>
      <c r="J156" s="8" t="s">
        <v>1480</v>
      </c>
      <c r="K156" s="8">
        <v>1.0</v>
      </c>
      <c r="L156" s="8" t="s">
        <v>93</v>
      </c>
      <c r="M156" s="8" t="s">
        <v>22</v>
      </c>
      <c r="N156" s="8" t="s">
        <v>892</v>
      </c>
      <c r="O156" s="8" t="s">
        <v>24</v>
      </c>
      <c r="P156" s="9">
        <v>0.0</v>
      </c>
      <c r="Q156" s="9">
        <v>0.5</v>
      </c>
      <c r="R156" s="9">
        <v>0.5</v>
      </c>
      <c r="S156" s="10">
        <v>45585.0</v>
      </c>
      <c r="T156" s="11">
        <v>2.025</v>
      </c>
      <c r="U156" s="8" t="s">
        <v>33</v>
      </c>
      <c r="V156" s="12">
        <f t="shared" si="1"/>
        <v>0.5125</v>
      </c>
      <c r="W156" s="12">
        <f t="shared" si="5"/>
        <v>-0.4052246267</v>
      </c>
    </row>
    <row r="157">
      <c r="A157" s="15">
        <f t="shared" si="3"/>
        <v>156</v>
      </c>
      <c r="B157" s="15" t="s">
        <v>26</v>
      </c>
      <c r="C157" s="15" t="s">
        <v>19</v>
      </c>
      <c r="D157" s="15"/>
      <c r="E157" s="15" t="s">
        <v>1638</v>
      </c>
      <c r="F157" s="15">
        <v>2.0</v>
      </c>
      <c r="G157" s="15">
        <v>4.0</v>
      </c>
      <c r="H157" s="110">
        <f>8/(13*2)</f>
        <v>0.3076923077</v>
      </c>
      <c r="I157" s="15"/>
      <c r="J157" s="15"/>
      <c r="K157" s="15"/>
      <c r="L157" s="15" t="s">
        <v>50</v>
      </c>
      <c r="M157" s="15" t="s">
        <v>598</v>
      </c>
      <c r="N157" s="15" t="s">
        <v>1471</v>
      </c>
      <c r="O157" s="15" t="s">
        <v>24</v>
      </c>
      <c r="P157" s="16">
        <v>-3.0</v>
      </c>
      <c r="Q157" s="16">
        <v>0.25</v>
      </c>
      <c r="R157" s="16">
        <v>0.25</v>
      </c>
      <c r="S157" s="17">
        <v>45585.0</v>
      </c>
      <c r="T157" s="18">
        <v>1.7</v>
      </c>
      <c r="U157" s="15" t="s">
        <v>70</v>
      </c>
      <c r="V157" s="19">
        <f t="shared" si="1"/>
        <v>0</v>
      </c>
      <c r="W157" s="19">
        <f t="shared" si="5"/>
        <v>-0.4052246267</v>
      </c>
    </row>
    <row r="158">
      <c r="A158" s="8">
        <f t="shared" si="3"/>
        <v>157</v>
      </c>
      <c r="B158" s="8" t="s">
        <v>26</v>
      </c>
      <c r="C158" s="8" t="s">
        <v>19</v>
      </c>
      <c r="D158" s="8"/>
      <c r="E158" s="8" t="s">
        <v>1639</v>
      </c>
      <c r="F158" s="8"/>
      <c r="G158" s="8"/>
      <c r="H158" s="111"/>
      <c r="I158" s="8"/>
      <c r="J158" s="8"/>
      <c r="K158" s="8"/>
      <c r="L158" s="8" t="s">
        <v>221</v>
      </c>
      <c r="M158" s="8" t="s">
        <v>598</v>
      </c>
      <c r="N158" s="8" t="s">
        <v>1471</v>
      </c>
      <c r="O158" s="8" t="s">
        <v>24</v>
      </c>
      <c r="P158" s="9">
        <v>-3.25</v>
      </c>
      <c r="Q158" s="9">
        <v>0.25</v>
      </c>
      <c r="R158" s="9">
        <v>0.25</v>
      </c>
      <c r="S158" s="54">
        <v>45585.0</v>
      </c>
      <c r="T158" s="11">
        <v>1.85</v>
      </c>
      <c r="U158" s="8" t="s">
        <v>25</v>
      </c>
      <c r="V158" s="12">
        <f t="shared" si="1"/>
        <v>-0.25</v>
      </c>
      <c r="W158" s="12">
        <f t="shared" si="5"/>
        <v>-0.6552246267</v>
      </c>
    </row>
    <row r="159">
      <c r="A159" s="15">
        <f t="shared" si="3"/>
        <v>158</v>
      </c>
      <c r="B159" s="15" t="s">
        <v>129</v>
      </c>
      <c r="C159" s="15" t="s">
        <v>19</v>
      </c>
      <c r="D159" s="15"/>
      <c r="E159" s="15" t="s">
        <v>1640</v>
      </c>
      <c r="F159" s="15"/>
      <c r="G159" s="15"/>
      <c r="H159" s="15"/>
      <c r="I159" s="15" t="s">
        <v>1473</v>
      </c>
      <c r="J159" s="15" t="s">
        <v>1477</v>
      </c>
      <c r="K159" s="15">
        <v>1.0</v>
      </c>
      <c r="L159" s="15" t="s">
        <v>99</v>
      </c>
      <c r="M159" s="15" t="s">
        <v>22</v>
      </c>
      <c r="N159" s="15" t="s">
        <v>894</v>
      </c>
      <c r="O159" s="15" t="s">
        <v>24</v>
      </c>
      <c r="P159" s="16">
        <v>-0.5</v>
      </c>
      <c r="Q159" s="16">
        <v>0.25</v>
      </c>
      <c r="R159" s="16">
        <v>0.25</v>
      </c>
      <c r="S159" s="17">
        <v>45585.0</v>
      </c>
      <c r="T159" s="18">
        <v>1.7</v>
      </c>
      <c r="U159" s="15" t="s">
        <v>33</v>
      </c>
      <c r="V159" s="19">
        <f t="shared" si="1"/>
        <v>0.175</v>
      </c>
      <c r="W159" s="19">
        <f t="shared" si="5"/>
        <v>-0.4802246267</v>
      </c>
    </row>
    <row r="160">
      <c r="A160" s="8">
        <f t="shared" si="3"/>
        <v>159</v>
      </c>
      <c r="B160" s="8" t="s">
        <v>129</v>
      </c>
      <c r="C160" s="8" t="s">
        <v>19</v>
      </c>
      <c r="D160" s="8"/>
      <c r="E160" s="8" t="s">
        <v>1641</v>
      </c>
      <c r="F160" s="8">
        <v>12.0</v>
      </c>
      <c r="G160" s="8">
        <v>11.0</v>
      </c>
      <c r="H160" s="111">
        <f>11/(15*2)</f>
        <v>0.3666666667</v>
      </c>
      <c r="I160" s="8" t="s">
        <v>1473</v>
      </c>
      <c r="J160" s="8" t="s">
        <v>1474</v>
      </c>
      <c r="K160" s="8">
        <v>1.0</v>
      </c>
      <c r="L160" s="8" t="s">
        <v>99</v>
      </c>
      <c r="M160" s="8" t="s">
        <v>22</v>
      </c>
      <c r="N160" s="8" t="s">
        <v>225</v>
      </c>
      <c r="O160" s="8" t="s">
        <v>24</v>
      </c>
      <c r="P160" s="9">
        <v>0.5</v>
      </c>
      <c r="Q160" s="9">
        <v>0.25</v>
      </c>
      <c r="R160" s="9">
        <v>0.25</v>
      </c>
      <c r="S160" s="10">
        <v>45585.0</v>
      </c>
      <c r="T160" s="11">
        <v>1.7</v>
      </c>
      <c r="U160" s="8" t="s">
        <v>33</v>
      </c>
      <c r="V160" s="12">
        <f t="shared" si="1"/>
        <v>0.175</v>
      </c>
      <c r="W160" s="12">
        <f t="shared" si="5"/>
        <v>-0.3052246267</v>
      </c>
    </row>
    <row r="161">
      <c r="A161" s="15">
        <f t="shared" si="3"/>
        <v>160</v>
      </c>
      <c r="B161" s="15" t="s">
        <v>26</v>
      </c>
      <c r="C161" s="15" t="s">
        <v>19</v>
      </c>
      <c r="D161" s="15"/>
      <c r="E161" s="15" t="s">
        <v>1642</v>
      </c>
      <c r="F161" s="15">
        <v>8.0</v>
      </c>
      <c r="G161" s="15">
        <v>12.0</v>
      </c>
      <c r="H161" s="110">
        <f>24/(13*2)</f>
        <v>0.9230769231</v>
      </c>
      <c r="I161" s="15" t="s">
        <v>1479</v>
      </c>
      <c r="J161" s="15" t="s">
        <v>1480</v>
      </c>
      <c r="K161" s="15">
        <v>0.0</v>
      </c>
      <c r="L161" s="15" t="s">
        <v>463</v>
      </c>
      <c r="M161" s="15" t="s">
        <v>22</v>
      </c>
      <c r="N161" s="15" t="s">
        <v>892</v>
      </c>
      <c r="O161" s="15" t="s">
        <v>24</v>
      </c>
      <c r="P161" s="16">
        <v>0.0</v>
      </c>
      <c r="Q161" s="16">
        <v>0.25</v>
      </c>
      <c r="R161" s="16">
        <v>0.1055</v>
      </c>
      <c r="S161" s="17">
        <v>45585.0</v>
      </c>
      <c r="T161" s="18">
        <v>1.75</v>
      </c>
      <c r="U161" s="15" t="s">
        <v>25</v>
      </c>
      <c r="V161" s="19">
        <f t="shared" si="1"/>
        <v>-0.1055</v>
      </c>
      <c r="W161" s="19">
        <f t="shared" si="5"/>
        <v>-0.4107246267</v>
      </c>
    </row>
    <row r="162">
      <c r="A162" s="8">
        <f t="shared" si="3"/>
        <v>161</v>
      </c>
      <c r="B162" s="8" t="s">
        <v>129</v>
      </c>
      <c r="C162" s="8" t="s">
        <v>19</v>
      </c>
      <c r="D162" s="8"/>
      <c r="E162" s="8" t="s">
        <v>1643</v>
      </c>
      <c r="F162" s="8">
        <v>12.0</v>
      </c>
      <c r="G162" s="8">
        <v>11.0</v>
      </c>
      <c r="H162" s="111">
        <f>11/(15*2)</f>
        <v>0.3666666667</v>
      </c>
      <c r="I162" s="8" t="s">
        <v>1473</v>
      </c>
      <c r="J162" s="8" t="s">
        <v>1474</v>
      </c>
      <c r="K162" s="8">
        <v>1.0</v>
      </c>
      <c r="L162" s="8" t="s">
        <v>99</v>
      </c>
      <c r="M162" s="8" t="s">
        <v>22</v>
      </c>
      <c r="N162" s="8" t="s">
        <v>225</v>
      </c>
      <c r="O162" s="8" t="s">
        <v>24</v>
      </c>
      <c r="P162" s="9">
        <v>0.25</v>
      </c>
      <c r="Q162" s="9">
        <v>0.25</v>
      </c>
      <c r="R162" s="9">
        <v>0.25</v>
      </c>
      <c r="S162" s="10">
        <v>45585.0</v>
      </c>
      <c r="T162" s="11">
        <v>1.9</v>
      </c>
      <c r="U162" s="8" t="s">
        <v>33</v>
      </c>
      <c r="V162" s="12">
        <f t="shared" si="1"/>
        <v>0.225</v>
      </c>
      <c r="W162" s="12">
        <f t="shared" si="5"/>
        <v>-0.1857246267</v>
      </c>
    </row>
    <row r="163">
      <c r="A163" s="15">
        <f t="shared" si="3"/>
        <v>162</v>
      </c>
      <c r="B163" s="15" t="s">
        <v>26</v>
      </c>
      <c r="C163" s="15" t="s">
        <v>19</v>
      </c>
      <c r="D163" s="15">
        <v>0.0</v>
      </c>
      <c r="E163" s="15" t="s">
        <v>1644</v>
      </c>
      <c r="F163" s="15">
        <v>5.0</v>
      </c>
      <c r="G163" s="15">
        <v>10.0</v>
      </c>
      <c r="H163" s="112">
        <f>5/(9*2)</f>
        <v>0.2777777778</v>
      </c>
      <c r="I163" s="15"/>
      <c r="J163" s="15"/>
      <c r="K163" s="15"/>
      <c r="L163" s="15" t="s">
        <v>48</v>
      </c>
      <c r="M163" s="15" t="s">
        <v>598</v>
      </c>
      <c r="N163" s="15" t="s">
        <v>1471</v>
      </c>
      <c r="O163" s="15" t="s">
        <v>24</v>
      </c>
      <c r="P163" s="16">
        <v>-2.0</v>
      </c>
      <c r="Q163" s="16">
        <v>0.25</v>
      </c>
      <c r="R163" s="16">
        <v>0.25</v>
      </c>
      <c r="S163" s="17">
        <v>45585.0</v>
      </c>
      <c r="T163" s="18">
        <v>1.9</v>
      </c>
      <c r="U163" s="15" t="s">
        <v>33</v>
      </c>
      <c r="V163" s="19">
        <f t="shared" si="1"/>
        <v>0.225</v>
      </c>
      <c r="W163" s="19">
        <f t="shared" si="5"/>
        <v>0.03927537333</v>
      </c>
    </row>
    <row r="164">
      <c r="A164" s="8">
        <f t="shared" si="3"/>
        <v>163</v>
      </c>
      <c r="B164" s="8" t="s">
        <v>26</v>
      </c>
      <c r="C164" s="8" t="s">
        <v>19</v>
      </c>
      <c r="D164" s="8">
        <v>0.0</v>
      </c>
      <c r="E164" s="8" t="s">
        <v>1645</v>
      </c>
      <c r="F164" s="8">
        <v>12.0</v>
      </c>
      <c r="G164" s="8">
        <v>7.0</v>
      </c>
      <c r="H164" s="111">
        <f>6/(17*2)</f>
        <v>0.1764705882</v>
      </c>
      <c r="I164" s="8"/>
      <c r="J164" s="8"/>
      <c r="K164" s="8"/>
      <c r="L164" s="8" t="s">
        <v>121</v>
      </c>
      <c r="M164" s="8" t="s">
        <v>598</v>
      </c>
      <c r="N164" s="8" t="s">
        <v>1471</v>
      </c>
      <c r="O164" s="8" t="s">
        <v>24</v>
      </c>
      <c r="P164" s="9">
        <v>-2.5</v>
      </c>
      <c r="Q164" s="9">
        <v>0.25</v>
      </c>
      <c r="R164" s="9">
        <v>0.25</v>
      </c>
      <c r="S164" s="10">
        <v>45585.0</v>
      </c>
      <c r="T164" s="11">
        <v>1.8</v>
      </c>
      <c r="U164" s="8" t="s">
        <v>33</v>
      </c>
      <c r="V164" s="12">
        <f t="shared" si="1"/>
        <v>0.2</v>
      </c>
      <c r="W164" s="12">
        <f t="shared" si="5"/>
        <v>0.2392753733</v>
      </c>
    </row>
    <row r="165">
      <c r="A165" s="15">
        <f t="shared" si="3"/>
        <v>164</v>
      </c>
      <c r="B165" s="15" t="s">
        <v>26</v>
      </c>
      <c r="C165" s="15" t="s">
        <v>19</v>
      </c>
      <c r="D165" s="15">
        <v>0.0</v>
      </c>
      <c r="E165" s="15" t="s">
        <v>1646</v>
      </c>
      <c r="F165" s="15"/>
      <c r="G165" s="15"/>
      <c r="H165" s="110"/>
      <c r="I165" s="15"/>
      <c r="J165" s="15"/>
      <c r="K165" s="15"/>
      <c r="L165" s="15" t="s">
        <v>50</v>
      </c>
      <c r="M165" s="15" t="s">
        <v>598</v>
      </c>
      <c r="N165" s="15" t="s">
        <v>1471</v>
      </c>
      <c r="O165" s="15" t="s">
        <v>24</v>
      </c>
      <c r="P165" s="16">
        <v>-3.0</v>
      </c>
      <c r="Q165" s="16">
        <v>0.25</v>
      </c>
      <c r="R165" s="16">
        <v>0.25</v>
      </c>
      <c r="S165" s="17">
        <v>45585.0</v>
      </c>
      <c r="T165" s="18">
        <v>1.9</v>
      </c>
      <c r="U165" s="15" t="s">
        <v>25</v>
      </c>
      <c r="V165" s="19">
        <f t="shared" si="1"/>
        <v>-0.25</v>
      </c>
      <c r="W165" s="19">
        <f t="shared" si="5"/>
        <v>-0.01072462667</v>
      </c>
    </row>
    <row r="166">
      <c r="A166" s="8">
        <f t="shared" si="3"/>
        <v>165</v>
      </c>
      <c r="B166" s="8" t="s">
        <v>26</v>
      </c>
      <c r="C166" s="8" t="s">
        <v>19</v>
      </c>
      <c r="D166" s="8"/>
      <c r="E166" s="8" t="s">
        <v>1647</v>
      </c>
      <c r="F166" s="8">
        <v>8.0</v>
      </c>
      <c r="G166" s="8">
        <v>5.0</v>
      </c>
      <c r="H166" s="111">
        <f>4/(15*2)</f>
        <v>0.1333333333</v>
      </c>
      <c r="I166" s="8"/>
      <c r="J166" s="8"/>
      <c r="K166" s="8"/>
      <c r="L166" s="8" t="s">
        <v>273</v>
      </c>
      <c r="M166" s="8" t="s">
        <v>22</v>
      </c>
      <c r="N166" s="8" t="s">
        <v>892</v>
      </c>
      <c r="O166" s="8" t="s">
        <v>24</v>
      </c>
      <c r="P166" s="9">
        <v>0.0</v>
      </c>
      <c r="Q166" s="9">
        <v>0.25</v>
      </c>
      <c r="R166" s="9">
        <v>0.25</v>
      </c>
      <c r="S166" s="10">
        <v>45585.0</v>
      </c>
      <c r="T166" s="11">
        <v>2.025</v>
      </c>
      <c r="U166" s="8" t="s">
        <v>33</v>
      </c>
      <c r="V166" s="12">
        <f t="shared" si="1"/>
        <v>0.25625</v>
      </c>
      <c r="W166" s="12">
        <f t="shared" si="5"/>
        <v>0.2455253733</v>
      </c>
    </row>
    <row r="167">
      <c r="A167" s="15">
        <f t="shared" si="3"/>
        <v>166</v>
      </c>
      <c r="B167" s="15" t="s">
        <v>129</v>
      </c>
      <c r="C167" s="15" t="s">
        <v>40</v>
      </c>
      <c r="D167" s="15"/>
      <c r="E167" s="15" t="s">
        <v>1648</v>
      </c>
      <c r="F167" s="15"/>
      <c r="G167" s="15"/>
      <c r="H167" s="110"/>
      <c r="I167" s="15" t="s">
        <v>1479</v>
      </c>
      <c r="J167" s="15" t="s">
        <v>1480</v>
      </c>
      <c r="K167" s="15">
        <v>0.0</v>
      </c>
      <c r="L167" s="15" t="s">
        <v>50</v>
      </c>
      <c r="M167" s="15" t="s">
        <v>22</v>
      </c>
      <c r="N167" s="15" t="s">
        <v>892</v>
      </c>
      <c r="O167" s="15" t="s">
        <v>24</v>
      </c>
      <c r="P167" s="16">
        <v>0.0</v>
      </c>
      <c r="Q167" s="16">
        <v>0.25</v>
      </c>
      <c r="R167" s="16">
        <v>0.25</v>
      </c>
      <c r="S167" s="17">
        <v>45585.0</v>
      </c>
      <c r="T167" s="18">
        <v>1.9</v>
      </c>
      <c r="U167" s="15" t="s">
        <v>33</v>
      </c>
      <c r="V167" s="19">
        <f t="shared" si="1"/>
        <v>0.225</v>
      </c>
      <c r="W167" s="19">
        <f t="shared" si="5"/>
        <v>0.4705253733</v>
      </c>
    </row>
    <row r="168">
      <c r="A168" s="8">
        <f t="shared" si="3"/>
        <v>167</v>
      </c>
      <c r="B168" s="8" t="s">
        <v>26</v>
      </c>
      <c r="C168" s="8" t="s">
        <v>19</v>
      </c>
      <c r="D168" s="8"/>
      <c r="E168" s="8" t="s">
        <v>1649</v>
      </c>
      <c r="F168" s="8">
        <v>17.0</v>
      </c>
      <c r="G168" s="8">
        <v>14.0</v>
      </c>
      <c r="H168" s="111">
        <f>6/(17*2)</f>
        <v>0.1764705882</v>
      </c>
      <c r="I168" s="8"/>
      <c r="J168" s="8"/>
      <c r="K168" s="8"/>
      <c r="L168" s="8" t="s">
        <v>121</v>
      </c>
      <c r="M168" s="8" t="s">
        <v>598</v>
      </c>
      <c r="N168" s="8" t="s">
        <v>1471</v>
      </c>
      <c r="O168" s="8" t="s">
        <v>24</v>
      </c>
      <c r="P168" s="9">
        <v>-2.5</v>
      </c>
      <c r="Q168" s="9">
        <v>0.25</v>
      </c>
      <c r="R168" s="9">
        <v>0.25</v>
      </c>
      <c r="S168" s="10">
        <v>45585.0</v>
      </c>
      <c r="T168" s="11">
        <v>1.85</v>
      </c>
      <c r="U168" s="8" t="s">
        <v>70</v>
      </c>
      <c r="V168" s="12">
        <f t="shared" si="1"/>
        <v>0</v>
      </c>
      <c r="W168" s="12">
        <f t="shared" si="5"/>
        <v>0.4705253733</v>
      </c>
    </row>
    <row r="169">
      <c r="A169" s="15">
        <f t="shared" si="3"/>
        <v>168</v>
      </c>
      <c r="B169" s="15" t="s">
        <v>26</v>
      </c>
      <c r="C169" s="15" t="s">
        <v>19</v>
      </c>
      <c r="D169" s="15"/>
      <c r="E169" s="15" t="s">
        <v>1650</v>
      </c>
      <c r="F169" s="15"/>
      <c r="G169" s="15"/>
      <c r="H169" s="110"/>
      <c r="I169" s="15"/>
      <c r="J169" s="15"/>
      <c r="K169" s="15"/>
      <c r="L169" s="15" t="s">
        <v>93</v>
      </c>
      <c r="M169" s="15" t="s">
        <v>598</v>
      </c>
      <c r="N169" s="15" t="s">
        <v>1471</v>
      </c>
      <c r="O169" s="15" t="s">
        <v>24</v>
      </c>
      <c r="P169" s="16">
        <v>-3.0</v>
      </c>
      <c r="Q169" s="16">
        <v>0.25</v>
      </c>
      <c r="R169" s="16">
        <v>0.25</v>
      </c>
      <c r="S169" s="17">
        <v>45585.0</v>
      </c>
      <c r="T169" s="18">
        <v>1.95</v>
      </c>
      <c r="U169" s="15" t="s">
        <v>33</v>
      </c>
      <c r="V169" s="19">
        <f t="shared" si="1"/>
        <v>0.2375</v>
      </c>
      <c r="W169" s="19">
        <f t="shared" si="5"/>
        <v>0.7080253733</v>
      </c>
    </row>
    <row r="170">
      <c r="A170" s="8">
        <f t="shared" si="3"/>
        <v>169</v>
      </c>
      <c r="B170" s="8" t="s">
        <v>131</v>
      </c>
      <c r="C170" s="8" t="s">
        <v>19</v>
      </c>
      <c r="D170" s="8"/>
      <c r="E170" s="8" t="s">
        <v>1651</v>
      </c>
      <c r="F170" s="8">
        <v>9.0</v>
      </c>
      <c r="G170" s="8">
        <v>15.0</v>
      </c>
      <c r="H170" s="111">
        <f>4/(17*2)</f>
        <v>0.1176470588</v>
      </c>
      <c r="I170" s="8"/>
      <c r="J170" s="8"/>
      <c r="K170" s="8"/>
      <c r="L170" s="8" t="s">
        <v>48</v>
      </c>
      <c r="M170" s="8" t="s">
        <v>22</v>
      </c>
      <c r="N170" s="8" t="s">
        <v>892</v>
      </c>
      <c r="O170" s="8" t="s">
        <v>24</v>
      </c>
      <c r="P170" s="9">
        <v>0.0</v>
      </c>
      <c r="Q170" s="9">
        <v>0.5</v>
      </c>
      <c r="R170" s="9">
        <v>0.5</v>
      </c>
      <c r="S170" s="10">
        <v>45585.0</v>
      </c>
      <c r="T170" s="11">
        <v>1.825</v>
      </c>
      <c r="U170" s="8" t="s">
        <v>70</v>
      </c>
      <c r="V170" s="12">
        <f t="shared" si="1"/>
        <v>0</v>
      </c>
      <c r="W170" s="12">
        <f t="shared" si="5"/>
        <v>0.7080253733</v>
      </c>
    </row>
    <row r="171">
      <c r="A171" s="15">
        <f t="shared" si="3"/>
        <v>170</v>
      </c>
      <c r="B171" s="15" t="s">
        <v>26</v>
      </c>
      <c r="C171" s="15" t="s">
        <v>19</v>
      </c>
      <c r="D171" s="15"/>
      <c r="E171" s="15" t="s">
        <v>1652</v>
      </c>
      <c r="F171" s="15">
        <v>15.0</v>
      </c>
      <c r="G171" s="15">
        <v>9.0</v>
      </c>
      <c r="H171" s="110">
        <f>3/(16*2)</f>
        <v>0.09375</v>
      </c>
      <c r="I171" s="15" t="s">
        <v>1479</v>
      </c>
      <c r="J171" s="15" t="s">
        <v>1474</v>
      </c>
      <c r="K171" s="15">
        <v>0.0</v>
      </c>
      <c r="L171" s="15" t="s">
        <v>48</v>
      </c>
      <c r="M171" s="15" t="s">
        <v>22</v>
      </c>
      <c r="N171" s="15" t="s">
        <v>941</v>
      </c>
      <c r="O171" s="15" t="s">
        <v>24</v>
      </c>
      <c r="P171" s="16">
        <v>0.0</v>
      </c>
      <c r="Q171" s="16">
        <v>0.25</v>
      </c>
      <c r="R171" s="16">
        <v>0.25</v>
      </c>
      <c r="S171" s="17">
        <v>45585.0</v>
      </c>
      <c r="T171" s="18">
        <v>1.727</v>
      </c>
      <c r="U171" s="15" t="s">
        <v>33</v>
      </c>
      <c r="V171" s="19">
        <f t="shared" si="1"/>
        <v>0.18175</v>
      </c>
      <c r="W171" s="19">
        <f t="shared" si="5"/>
        <v>0.8897753733</v>
      </c>
    </row>
    <row r="172">
      <c r="A172" s="8">
        <f t="shared" si="3"/>
        <v>171</v>
      </c>
      <c r="B172" s="8" t="s">
        <v>26</v>
      </c>
      <c r="C172" s="8" t="s">
        <v>19</v>
      </c>
      <c r="D172" s="8"/>
      <c r="E172" s="8" t="s">
        <v>1653</v>
      </c>
      <c r="F172" s="8">
        <v>4.0</v>
      </c>
      <c r="G172" s="8">
        <v>2.0</v>
      </c>
      <c r="H172" s="111">
        <f>4/(17*2)</f>
        <v>0.1176470588</v>
      </c>
      <c r="I172" s="8" t="s">
        <v>1479</v>
      </c>
      <c r="J172" s="8" t="s">
        <v>1474</v>
      </c>
      <c r="K172" s="8"/>
      <c r="L172" s="8" t="s">
        <v>48</v>
      </c>
      <c r="M172" s="8" t="s">
        <v>22</v>
      </c>
      <c r="N172" s="8" t="s">
        <v>941</v>
      </c>
      <c r="O172" s="8" t="s">
        <v>24</v>
      </c>
      <c r="P172" s="9">
        <v>0.0</v>
      </c>
      <c r="Q172" s="9">
        <v>0.25</v>
      </c>
      <c r="R172" s="9">
        <v>0.25</v>
      </c>
      <c r="S172" s="10">
        <v>45585.0</v>
      </c>
      <c r="T172" s="11">
        <v>2.25</v>
      </c>
      <c r="U172" s="8" t="s">
        <v>25</v>
      </c>
      <c r="V172" s="12">
        <f t="shared" si="1"/>
        <v>-0.25</v>
      </c>
      <c r="W172" s="12">
        <f t="shared" si="5"/>
        <v>0.6397753733</v>
      </c>
    </row>
    <row r="173">
      <c r="A173" s="15">
        <f t="shared" si="3"/>
        <v>172</v>
      </c>
      <c r="B173" s="15" t="s">
        <v>26</v>
      </c>
      <c r="C173" s="15" t="s">
        <v>19</v>
      </c>
      <c r="D173" s="15"/>
      <c r="E173" s="15" t="s">
        <v>1654</v>
      </c>
      <c r="F173" s="15"/>
      <c r="G173" s="15"/>
      <c r="H173" s="110"/>
      <c r="I173" s="15" t="s">
        <v>1473</v>
      </c>
      <c r="J173" s="15" t="s">
        <v>1480</v>
      </c>
      <c r="K173" s="15">
        <v>-1.0</v>
      </c>
      <c r="L173" s="15" t="s">
        <v>96</v>
      </c>
      <c r="M173" s="15" t="s">
        <v>22</v>
      </c>
      <c r="N173" s="15" t="s">
        <v>892</v>
      </c>
      <c r="O173" s="15" t="s">
        <v>24</v>
      </c>
      <c r="P173" s="16">
        <v>0.0</v>
      </c>
      <c r="Q173" s="16">
        <v>0.5</v>
      </c>
      <c r="R173" s="16">
        <v>0.5</v>
      </c>
      <c r="S173" s="17">
        <v>45585.0</v>
      </c>
      <c r="T173" s="18">
        <v>2.0</v>
      </c>
      <c r="U173" s="15" t="s">
        <v>70</v>
      </c>
      <c r="V173" s="19">
        <f t="shared" si="1"/>
        <v>0</v>
      </c>
      <c r="W173" s="19">
        <f t="shared" si="5"/>
        <v>0.6397753733</v>
      </c>
    </row>
    <row r="174">
      <c r="A174" s="8">
        <f t="shared" si="3"/>
        <v>173</v>
      </c>
      <c r="B174" s="8" t="s">
        <v>26</v>
      </c>
      <c r="C174" s="8" t="s">
        <v>19</v>
      </c>
      <c r="D174" s="8">
        <v>0.0</v>
      </c>
      <c r="E174" s="8" t="s">
        <v>1655</v>
      </c>
      <c r="F174" s="8">
        <v>3.0</v>
      </c>
      <c r="G174" s="8">
        <v>6.0</v>
      </c>
      <c r="H174" s="111">
        <f t="shared" ref="H174:H175" si="15">6/(17*2)</f>
        <v>0.1764705882</v>
      </c>
      <c r="I174" s="8"/>
      <c r="J174" s="8"/>
      <c r="K174" s="8"/>
      <c r="L174" s="8" t="s">
        <v>124</v>
      </c>
      <c r="M174" s="8" t="s">
        <v>598</v>
      </c>
      <c r="N174" s="8" t="s">
        <v>1471</v>
      </c>
      <c r="O174" s="8" t="s">
        <v>24</v>
      </c>
      <c r="P174" s="9">
        <v>-2.0</v>
      </c>
      <c r="Q174" s="9">
        <v>0.25</v>
      </c>
      <c r="R174" s="9">
        <v>0.25</v>
      </c>
      <c r="S174" s="56">
        <v>45585.0</v>
      </c>
      <c r="T174" s="11">
        <v>1.775</v>
      </c>
      <c r="U174" s="8" t="s">
        <v>33</v>
      </c>
      <c r="V174" s="12">
        <f t="shared" si="1"/>
        <v>0.19375</v>
      </c>
      <c r="W174" s="12">
        <f t="shared" si="5"/>
        <v>0.8335253733</v>
      </c>
    </row>
    <row r="175">
      <c r="A175" s="15">
        <f t="shared" si="3"/>
        <v>174</v>
      </c>
      <c r="B175" s="15" t="s">
        <v>26</v>
      </c>
      <c r="C175" s="15" t="s">
        <v>19</v>
      </c>
      <c r="D175" s="15">
        <v>0.0</v>
      </c>
      <c r="E175" s="15" t="s">
        <v>1656</v>
      </c>
      <c r="F175" s="15">
        <v>2.0</v>
      </c>
      <c r="G175" s="15">
        <v>4.0</v>
      </c>
      <c r="H175" s="110">
        <f t="shared" si="15"/>
        <v>0.1764705882</v>
      </c>
      <c r="I175" s="15"/>
      <c r="J175" s="15"/>
      <c r="K175" s="15"/>
      <c r="L175" s="15" t="s">
        <v>124</v>
      </c>
      <c r="M175" s="15" t="s">
        <v>598</v>
      </c>
      <c r="N175" s="15" t="s">
        <v>1471</v>
      </c>
      <c r="O175" s="15" t="s">
        <v>24</v>
      </c>
      <c r="P175" s="16">
        <v>-2.0</v>
      </c>
      <c r="Q175" s="16">
        <v>0.25</v>
      </c>
      <c r="R175" s="16">
        <v>0.25</v>
      </c>
      <c r="S175" s="17">
        <v>45585.0</v>
      </c>
      <c r="T175" s="18">
        <v>1.9</v>
      </c>
      <c r="U175" s="15" t="s">
        <v>33</v>
      </c>
      <c r="V175" s="19">
        <f t="shared" si="1"/>
        <v>0.225</v>
      </c>
      <c r="W175" s="19">
        <f t="shared" si="5"/>
        <v>1.058525373</v>
      </c>
    </row>
    <row r="176">
      <c r="A176" s="8">
        <f t="shared" si="3"/>
        <v>175</v>
      </c>
      <c r="B176" s="8" t="s">
        <v>26</v>
      </c>
      <c r="C176" s="8" t="s">
        <v>19</v>
      </c>
      <c r="D176" s="8"/>
      <c r="E176" s="8" t="s">
        <v>1657</v>
      </c>
      <c r="F176" s="8">
        <v>3.0</v>
      </c>
      <c r="G176" s="8">
        <v>12.0</v>
      </c>
      <c r="H176" s="111">
        <f>1/(15*2)</f>
        <v>0.03333333333</v>
      </c>
      <c r="I176" s="8"/>
      <c r="J176" s="8"/>
      <c r="K176" s="8"/>
      <c r="L176" s="8" t="s">
        <v>68</v>
      </c>
      <c r="M176" s="8" t="s">
        <v>598</v>
      </c>
      <c r="N176" s="8" t="s">
        <v>1471</v>
      </c>
      <c r="O176" s="8" t="s">
        <v>24</v>
      </c>
      <c r="P176" s="9">
        <v>-1.75</v>
      </c>
      <c r="Q176" s="9">
        <v>0.2</v>
      </c>
      <c r="R176" s="9">
        <v>0.2</v>
      </c>
      <c r="S176" s="10">
        <v>45585.0</v>
      </c>
      <c r="T176" s="11">
        <v>1.825</v>
      </c>
      <c r="U176" s="8" t="s">
        <v>25</v>
      </c>
      <c r="V176" s="12">
        <f t="shared" si="1"/>
        <v>-0.2</v>
      </c>
      <c r="W176" s="12">
        <f t="shared" si="5"/>
        <v>0.8585253733</v>
      </c>
    </row>
    <row r="177">
      <c r="A177" s="15">
        <f t="shared" si="3"/>
        <v>176</v>
      </c>
      <c r="B177" s="15" t="s">
        <v>26</v>
      </c>
      <c r="C177" s="15" t="s">
        <v>19</v>
      </c>
      <c r="D177" s="15"/>
      <c r="E177" s="15" t="s">
        <v>1658</v>
      </c>
      <c r="F177" s="15">
        <v>15.0</v>
      </c>
      <c r="G177" s="15">
        <v>16.0</v>
      </c>
      <c r="H177" s="112">
        <f>3/(15*2)</f>
        <v>0.1</v>
      </c>
      <c r="I177" s="15"/>
      <c r="J177" s="15"/>
      <c r="K177" s="15"/>
      <c r="L177" s="15" t="s">
        <v>616</v>
      </c>
      <c r="M177" s="15" t="s">
        <v>598</v>
      </c>
      <c r="N177" s="15" t="s">
        <v>1471</v>
      </c>
      <c r="O177" s="15" t="s">
        <v>24</v>
      </c>
      <c r="P177" s="16">
        <v>-2.0</v>
      </c>
      <c r="Q177" s="16">
        <v>0.2</v>
      </c>
      <c r="R177" s="16">
        <v>0.2</v>
      </c>
      <c r="S177" s="17">
        <v>45585.0</v>
      </c>
      <c r="T177" s="18">
        <v>1.8</v>
      </c>
      <c r="U177" s="15" t="s">
        <v>25</v>
      </c>
      <c r="V177" s="19">
        <f t="shared" si="1"/>
        <v>-0.2</v>
      </c>
      <c r="W177" s="19">
        <f t="shared" si="5"/>
        <v>0.6585253733</v>
      </c>
    </row>
    <row r="178">
      <c r="A178" s="8">
        <f t="shared" si="3"/>
        <v>177</v>
      </c>
      <c r="B178" s="8" t="s">
        <v>129</v>
      </c>
      <c r="C178" s="8" t="s">
        <v>19</v>
      </c>
      <c r="D178" s="8"/>
      <c r="E178" s="8" t="s">
        <v>1659</v>
      </c>
      <c r="F178" s="8"/>
      <c r="G178" s="8"/>
      <c r="H178" s="111"/>
      <c r="I178" s="8" t="s">
        <v>1473</v>
      </c>
      <c r="J178" s="8" t="s">
        <v>1474</v>
      </c>
      <c r="K178" s="8">
        <v>0.0</v>
      </c>
      <c r="L178" s="8" t="s">
        <v>78</v>
      </c>
      <c r="M178" s="8" t="s">
        <v>22</v>
      </c>
      <c r="N178" s="8" t="s">
        <v>225</v>
      </c>
      <c r="O178" s="8" t="s">
        <v>24</v>
      </c>
      <c r="P178" s="9">
        <v>0.25</v>
      </c>
      <c r="Q178" s="9">
        <v>0.25</v>
      </c>
      <c r="R178" s="9">
        <v>0.25</v>
      </c>
      <c r="S178" s="54">
        <v>45585.0</v>
      </c>
      <c r="T178" s="11">
        <v>1.9</v>
      </c>
      <c r="U178" s="8" t="s">
        <v>25</v>
      </c>
      <c r="V178" s="12">
        <f t="shared" si="1"/>
        <v>-0.25</v>
      </c>
      <c r="W178" s="12">
        <f t="shared" si="5"/>
        <v>0.4085253733</v>
      </c>
    </row>
    <row r="179">
      <c r="A179" s="15">
        <f t="shared" si="3"/>
        <v>178</v>
      </c>
      <c r="B179" s="15" t="s">
        <v>26</v>
      </c>
      <c r="C179" s="15" t="s">
        <v>19</v>
      </c>
      <c r="D179" s="15"/>
      <c r="E179" s="15" t="s">
        <v>1660</v>
      </c>
      <c r="F179" s="15">
        <v>2.0</v>
      </c>
      <c r="G179" s="15">
        <v>3.0</v>
      </c>
      <c r="H179" s="112">
        <f>3/(15*2)</f>
        <v>0.1</v>
      </c>
      <c r="I179" s="15"/>
      <c r="J179" s="15"/>
      <c r="K179" s="15"/>
      <c r="L179" s="15" t="s">
        <v>1558</v>
      </c>
      <c r="M179" s="15" t="s">
        <v>598</v>
      </c>
      <c r="N179" s="15" t="s">
        <v>1471</v>
      </c>
      <c r="O179" s="15" t="s">
        <v>24</v>
      </c>
      <c r="P179" s="16">
        <v>-2.0</v>
      </c>
      <c r="Q179" s="16">
        <v>0.25</v>
      </c>
      <c r="R179" s="16">
        <v>0.25</v>
      </c>
      <c r="S179" s="17">
        <v>45586.0</v>
      </c>
      <c r="T179" s="18">
        <v>1.85</v>
      </c>
      <c r="U179" s="15" t="s">
        <v>70</v>
      </c>
      <c r="V179" s="19">
        <f t="shared" si="1"/>
        <v>0</v>
      </c>
      <c r="W179" s="19">
        <f t="shared" si="5"/>
        <v>0.4085253733</v>
      </c>
    </row>
    <row r="180">
      <c r="A180" s="8">
        <f t="shared" si="3"/>
        <v>179</v>
      </c>
      <c r="B180" s="8" t="s">
        <v>137</v>
      </c>
      <c r="C180" s="8" t="s">
        <v>19</v>
      </c>
      <c r="D180" s="8">
        <v>30.0</v>
      </c>
      <c r="E180" s="8" t="s">
        <v>1661</v>
      </c>
      <c r="F180" s="8"/>
      <c r="G180" s="8"/>
      <c r="H180" s="111"/>
      <c r="I180" s="8" t="s">
        <v>1479</v>
      </c>
      <c r="J180" s="8" t="s">
        <v>1480</v>
      </c>
      <c r="K180" s="8">
        <v>0.0</v>
      </c>
      <c r="L180" s="8" t="s">
        <v>82</v>
      </c>
      <c r="M180" s="8" t="s">
        <v>22</v>
      </c>
      <c r="N180" s="8" t="s">
        <v>892</v>
      </c>
      <c r="O180" s="8" t="s">
        <v>24</v>
      </c>
      <c r="P180" s="9">
        <v>0.0</v>
      </c>
      <c r="Q180" s="9">
        <v>0.7</v>
      </c>
      <c r="R180" s="9">
        <v>0.7</v>
      </c>
      <c r="S180" s="10">
        <v>45587.0</v>
      </c>
      <c r="T180" s="11">
        <v>1.4395</v>
      </c>
      <c r="U180" s="8" t="s">
        <v>33</v>
      </c>
      <c r="V180" s="12">
        <f t="shared" si="1"/>
        <v>0.30765</v>
      </c>
      <c r="W180" s="12">
        <f t="shared" si="5"/>
        <v>0.7161753733</v>
      </c>
    </row>
    <row r="181">
      <c r="A181" s="15">
        <f t="shared" si="3"/>
        <v>180</v>
      </c>
      <c r="B181" s="15" t="s">
        <v>137</v>
      </c>
      <c r="C181" s="15" t="s">
        <v>19</v>
      </c>
      <c r="D181" s="15">
        <v>79.0</v>
      </c>
      <c r="E181" s="15" t="s">
        <v>1662</v>
      </c>
      <c r="F181" s="15">
        <v>3.0</v>
      </c>
      <c r="G181" s="15">
        <v>4.0</v>
      </c>
      <c r="H181" s="110">
        <f>2/(15*2)</f>
        <v>0.06666666667</v>
      </c>
      <c r="I181" s="15" t="s">
        <v>1479</v>
      </c>
      <c r="J181" s="15" t="s">
        <v>1480</v>
      </c>
      <c r="K181" s="15">
        <v>-1.0</v>
      </c>
      <c r="L181" s="15" t="s">
        <v>1460</v>
      </c>
      <c r="M181" s="15" t="s">
        <v>22</v>
      </c>
      <c r="N181" s="15" t="s">
        <v>892</v>
      </c>
      <c r="O181" s="15" t="s">
        <v>24</v>
      </c>
      <c r="P181" s="16">
        <v>0.0</v>
      </c>
      <c r="Q181" s="16">
        <v>0.7</v>
      </c>
      <c r="R181" s="16">
        <v>0.7</v>
      </c>
      <c r="S181" s="17">
        <v>45587.0</v>
      </c>
      <c r="T181" s="18">
        <v>1.9</v>
      </c>
      <c r="U181" s="15" t="s">
        <v>70</v>
      </c>
      <c r="V181" s="19">
        <f t="shared" si="1"/>
        <v>0</v>
      </c>
      <c r="W181" s="19">
        <f t="shared" si="5"/>
        <v>0.7161753733</v>
      </c>
    </row>
    <row r="182">
      <c r="A182" s="8">
        <f t="shared" si="3"/>
        <v>181</v>
      </c>
      <c r="B182" s="8" t="s">
        <v>129</v>
      </c>
      <c r="C182" s="8" t="s">
        <v>19</v>
      </c>
      <c r="D182" s="8"/>
      <c r="E182" s="8" t="s">
        <v>1663</v>
      </c>
      <c r="F182" s="8"/>
      <c r="G182" s="8"/>
      <c r="H182" s="111"/>
      <c r="I182" s="8" t="s">
        <v>1479</v>
      </c>
      <c r="J182" s="8" t="s">
        <v>1474</v>
      </c>
      <c r="K182" s="8">
        <v>0.0</v>
      </c>
      <c r="L182" s="8" t="s">
        <v>675</v>
      </c>
      <c r="M182" s="8" t="s">
        <v>22</v>
      </c>
      <c r="N182" s="8" t="s">
        <v>225</v>
      </c>
      <c r="O182" s="8" t="s">
        <v>24</v>
      </c>
      <c r="P182" s="9">
        <v>0.5</v>
      </c>
      <c r="Q182" s="9">
        <v>0.25</v>
      </c>
      <c r="R182" s="9">
        <v>0.1865</v>
      </c>
      <c r="S182" s="10">
        <v>45588.0</v>
      </c>
      <c r="T182" s="11">
        <v>1.9</v>
      </c>
      <c r="U182" s="8" t="s">
        <v>33</v>
      </c>
      <c r="V182" s="12">
        <f t="shared" si="1"/>
        <v>0.16785</v>
      </c>
      <c r="W182" s="12">
        <f t="shared" si="5"/>
        <v>0.8840253733</v>
      </c>
    </row>
    <row r="183">
      <c r="A183" s="15">
        <f t="shared" si="3"/>
        <v>182</v>
      </c>
      <c r="B183" s="15" t="s">
        <v>26</v>
      </c>
      <c r="C183" s="15" t="s">
        <v>19</v>
      </c>
      <c r="D183" s="15">
        <v>0.0</v>
      </c>
      <c r="E183" s="15" t="s">
        <v>1664</v>
      </c>
      <c r="F183" s="15">
        <v>8.0</v>
      </c>
      <c r="G183" s="15">
        <v>11.0</v>
      </c>
      <c r="H183" s="110">
        <f>7/(17*2)</f>
        <v>0.2058823529</v>
      </c>
      <c r="I183" s="15"/>
      <c r="J183" s="15"/>
      <c r="K183" s="15"/>
      <c r="L183" s="15" t="s">
        <v>121</v>
      </c>
      <c r="M183" s="15" t="s">
        <v>598</v>
      </c>
      <c r="N183" s="15" t="s">
        <v>1471</v>
      </c>
      <c r="O183" s="15" t="s">
        <v>24</v>
      </c>
      <c r="P183" s="16">
        <v>-2.5</v>
      </c>
      <c r="Q183" s="16">
        <v>0.25</v>
      </c>
      <c r="R183" s="16">
        <v>0.25</v>
      </c>
      <c r="S183" s="17">
        <v>45588.0</v>
      </c>
      <c r="T183" s="18">
        <v>1.727</v>
      </c>
      <c r="U183" s="15" t="s">
        <v>33</v>
      </c>
      <c r="V183" s="19">
        <f t="shared" si="1"/>
        <v>0.18175</v>
      </c>
      <c r="W183" s="19">
        <f t="shared" si="5"/>
        <v>1.065775373</v>
      </c>
    </row>
    <row r="184">
      <c r="A184" s="8">
        <f t="shared" si="3"/>
        <v>183</v>
      </c>
      <c r="B184" s="8" t="s">
        <v>26</v>
      </c>
      <c r="C184" s="8" t="s">
        <v>19</v>
      </c>
      <c r="D184" s="8"/>
      <c r="E184" s="8" t="s">
        <v>1665</v>
      </c>
      <c r="F184" s="8"/>
      <c r="G184" s="8"/>
      <c r="H184" s="8"/>
      <c r="I184" s="8" t="s">
        <v>1473</v>
      </c>
      <c r="J184" s="8" t="s">
        <v>1480</v>
      </c>
      <c r="K184" s="8">
        <v>0.0</v>
      </c>
      <c r="L184" s="8" t="s">
        <v>1666</v>
      </c>
      <c r="M184" s="8" t="s">
        <v>22</v>
      </c>
      <c r="N184" s="8" t="s">
        <v>892</v>
      </c>
      <c r="O184" s="8" t="s">
        <v>24</v>
      </c>
      <c r="P184" s="9">
        <v>0.0</v>
      </c>
      <c r="Q184" s="9">
        <v>0.5</v>
      </c>
      <c r="R184" s="9">
        <v>0.5</v>
      </c>
      <c r="S184" s="10">
        <v>45588.0</v>
      </c>
      <c r="T184" s="11">
        <v>2.0</v>
      </c>
      <c r="U184" s="8" t="s">
        <v>70</v>
      </c>
      <c r="V184" s="12">
        <f t="shared" si="1"/>
        <v>0</v>
      </c>
      <c r="W184" s="12">
        <f t="shared" si="5"/>
        <v>1.065775373</v>
      </c>
    </row>
    <row r="185">
      <c r="A185" s="15">
        <f t="shared" si="3"/>
        <v>184</v>
      </c>
      <c r="B185" s="15" t="s">
        <v>137</v>
      </c>
      <c r="C185" s="15" t="s">
        <v>19</v>
      </c>
      <c r="D185" s="15"/>
      <c r="E185" s="15" t="s">
        <v>1667</v>
      </c>
      <c r="F185" s="15"/>
      <c r="G185" s="15"/>
      <c r="H185" s="110"/>
      <c r="I185" s="15" t="s">
        <v>1473</v>
      </c>
      <c r="J185" s="15" t="s">
        <v>1480</v>
      </c>
      <c r="K185" s="15">
        <v>0.0</v>
      </c>
      <c r="L185" s="15" t="s">
        <v>231</v>
      </c>
      <c r="M185" s="15" t="s">
        <v>22</v>
      </c>
      <c r="N185" s="15" t="s">
        <v>892</v>
      </c>
      <c r="O185" s="15" t="s">
        <v>24</v>
      </c>
      <c r="P185" s="16">
        <v>0.0</v>
      </c>
      <c r="Q185" s="16">
        <v>0.25</v>
      </c>
      <c r="R185" s="16">
        <v>0.25</v>
      </c>
      <c r="S185" s="17">
        <v>45588.0</v>
      </c>
      <c r="T185" s="18">
        <v>1.95</v>
      </c>
      <c r="U185" s="15" t="s">
        <v>70</v>
      </c>
      <c r="V185" s="19">
        <f t="shared" si="1"/>
        <v>0</v>
      </c>
      <c r="W185" s="19">
        <f t="shared" si="5"/>
        <v>1.065775373</v>
      </c>
    </row>
    <row r="186">
      <c r="A186" s="8">
        <f t="shared" si="3"/>
        <v>185</v>
      </c>
      <c r="B186" s="8" t="s">
        <v>26</v>
      </c>
      <c r="C186" s="8" t="s">
        <v>19</v>
      </c>
      <c r="D186" s="8"/>
      <c r="E186" s="8" t="s">
        <v>1668</v>
      </c>
      <c r="F186" s="8">
        <v>14.0</v>
      </c>
      <c r="G186" s="8">
        <v>5.0</v>
      </c>
      <c r="H186" s="111">
        <f>9/(19*2)</f>
        <v>0.2368421053</v>
      </c>
      <c r="I186" s="8" t="s">
        <v>1473</v>
      </c>
      <c r="J186" s="8" t="s">
        <v>1480</v>
      </c>
      <c r="K186" s="8">
        <v>-1.0</v>
      </c>
      <c r="L186" s="8" t="s">
        <v>121</v>
      </c>
      <c r="M186" s="8" t="s">
        <v>22</v>
      </c>
      <c r="N186" s="8" t="s">
        <v>892</v>
      </c>
      <c r="O186" s="8" t="s">
        <v>24</v>
      </c>
      <c r="P186" s="9">
        <v>0.0</v>
      </c>
      <c r="Q186" s="9">
        <v>0.5</v>
      </c>
      <c r="R186" s="9">
        <v>0.4841</v>
      </c>
      <c r="S186" s="10">
        <v>45588.0</v>
      </c>
      <c r="T186" s="11">
        <v>1.8</v>
      </c>
      <c r="U186" s="8" t="s">
        <v>70</v>
      </c>
      <c r="V186" s="12">
        <f t="shared" si="1"/>
        <v>0</v>
      </c>
      <c r="W186" s="12">
        <f t="shared" si="5"/>
        <v>1.065775373</v>
      </c>
    </row>
    <row r="187">
      <c r="A187" s="15">
        <f t="shared" si="3"/>
        <v>186</v>
      </c>
      <c r="B187" s="15" t="s">
        <v>137</v>
      </c>
      <c r="C187" s="15" t="s">
        <v>19</v>
      </c>
      <c r="D187" s="15"/>
      <c r="E187" s="15" t="s">
        <v>1669</v>
      </c>
      <c r="F187" s="15"/>
      <c r="G187" s="15"/>
      <c r="H187" s="110"/>
      <c r="I187" s="15" t="s">
        <v>1479</v>
      </c>
      <c r="J187" s="15" t="s">
        <v>1474</v>
      </c>
      <c r="K187" s="15">
        <v>0.0</v>
      </c>
      <c r="L187" s="15" t="s">
        <v>86</v>
      </c>
      <c r="M187" s="15" t="s">
        <v>22</v>
      </c>
      <c r="N187" s="15" t="s">
        <v>225</v>
      </c>
      <c r="O187" s="15" t="s">
        <v>24</v>
      </c>
      <c r="P187" s="16">
        <v>0.5</v>
      </c>
      <c r="Q187" s="16">
        <v>0.2</v>
      </c>
      <c r="R187" s="16">
        <v>0.1873</v>
      </c>
      <c r="S187" s="17">
        <v>45589.0</v>
      </c>
      <c r="T187" s="18">
        <f>212/200</f>
        <v>1.06</v>
      </c>
      <c r="U187" s="15" t="s">
        <v>33</v>
      </c>
      <c r="V187" s="19">
        <f t="shared" si="1"/>
        <v>0.011238</v>
      </c>
      <c r="W187" s="19">
        <f t="shared" si="5"/>
        <v>1.077013373</v>
      </c>
    </row>
    <row r="188">
      <c r="A188" s="8">
        <f t="shared" si="3"/>
        <v>187</v>
      </c>
      <c r="B188" s="8" t="s">
        <v>26</v>
      </c>
      <c r="C188" s="8" t="s">
        <v>19</v>
      </c>
      <c r="D188" s="8">
        <v>0.0</v>
      </c>
      <c r="E188" s="8" t="s">
        <v>1670</v>
      </c>
      <c r="F188" s="8">
        <v>11.0</v>
      </c>
      <c r="G188" s="8">
        <v>8.0</v>
      </c>
      <c r="H188" s="111">
        <f t="shared" ref="H188:H189" si="16">5/(15*2)</f>
        <v>0.1666666667</v>
      </c>
      <c r="I188" s="8"/>
      <c r="J188" s="8"/>
      <c r="K188" s="8"/>
      <c r="L188" s="8" t="s">
        <v>1031</v>
      </c>
      <c r="M188" s="8" t="s">
        <v>598</v>
      </c>
      <c r="N188" s="8" t="s">
        <v>1471</v>
      </c>
      <c r="O188" s="8" t="s">
        <v>24</v>
      </c>
      <c r="P188" s="9">
        <v>-2.25</v>
      </c>
      <c r="Q188" s="9">
        <v>0.25</v>
      </c>
      <c r="R188" s="9">
        <v>0.25</v>
      </c>
      <c r="S188" s="10">
        <v>45589.0</v>
      </c>
      <c r="T188" s="11">
        <v>1.8</v>
      </c>
      <c r="U188" s="8" t="s">
        <v>30</v>
      </c>
      <c r="V188" s="12">
        <f t="shared" si="1"/>
        <v>0.1</v>
      </c>
      <c r="W188" s="12">
        <f t="shared" si="5"/>
        <v>1.177013373</v>
      </c>
    </row>
    <row r="189">
      <c r="A189" s="15">
        <f t="shared" si="3"/>
        <v>188</v>
      </c>
      <c r="B189" s="15" t="s">
        <v>26</v>
      </c>
      <c r="C189" s="15" t="s">
        <v>19</v>
      </c>
      <c r="D189" s="15">
        <v>0.0</v>
      </c>
      <c r="E189" s="15" t="s">
        <v>1671</v>
      </c>
      <c r="F189" s="15">
        <v>5.0</v>
      </c>
      <c r="G189" s="15">
        <v>7.0</v>
      </c>
      <c r="H189" s="110">
        <f t="shared" si="16"/>
        <v>0.1666666667</v>
      </c>
      <c r="I189" s="15"/>
      <c r="J189" s="15"/>
      <c r="K189" s="15"/>
      <c r="L189" s="15" t="s">
        <v>1031</v>
      </c>
      <c r="M189" s="15" t="s">
        <v>598</v>
      </c>
      <c r="N189" s="15" t="s">
        <v>1471</v>
      </c>
      <c r="O189" s="15" t="s">
        <v>24</v>
      </c>
      <c r="P189" s="16">
        <v>-2.0</v>
      </c>
      <c r="Q189" s="16">
        <v>0.25</v>
      </c>
      <c r="R189" s="16">
        <v>0.25</v>
      </c>
      <c r="S189" s="17">
        <v>45589.0</v>
      </c>
      <c r="T189" s="18">
        <v>1.9</v>
      </c>
      <c r="U189" s="15" t="s">
        <v>33</v>
      </c>
      <c r="V189" s="19">
        <f t="shared" si="1"/>
        <v>0.225</v>
      </c>
      <c r="W189" s="19">
        <f t="shared" si="5"/>
        <v>1.402013373</v>
      </c>
    </row>
    <row r="190">
      <c r="A190" s="8">
        <f t="shared" si="3"/>
        <v>189</v>
      </c>
      <c r="B190" s="8" t="s">
        <v>26</v>
      </c>
      <c r="C190" s="8" t="s">
        <v>19</v>
      </c>
      <c r="D190" s="8">
        <v>0.0</v>
      </c>
      <c r="E190" s="8" t="s">
        <v>1672</v>
      </c>
      <c r="F190" s="8">
        <v>18.0</v>
      </c>
      <c r="G190" s="8">
        <v>14.0</v>
      </c>
      <c r="H190" s="111">
        <f>13/(19*2)</f>
        <v>0.3421052632</v>
      </c>
      <c r="I190" s="8"/>
      <c r="J190" s="8"/>
      <c r="K190" s="8"/>
      <c r="L190" s="8" t="s">
        <v>646</v>
      </c>
      <c r="M190" s="8" t="s">
        <v>598</v>
      </c>
      <c r="N190" s="8" t="s">
        <v>1471</v>
      </c>
      <c r="O190" s="8" t="s">
        <v>24</v>
      </c>
      <c r="P190" s="9">
        <v>-1.75</v>
      </c>
      <c r="Q190" s="9">
        <v>0.1</v>
      </c>
      <c r="R190" s="9">
        <v>0.1</v>
      </c>
      <c r="S190" s="10">
        <v>45589.0</v>
      </c>
      <c r="T190" s="11">
        <v>2.0</v>
      </c>
      <c r="U190" s="8" t="s">
        <v>79</v>
      </c>
      <c r="V190" s="12">
        <f t="shared" si="1"/>
        <v>-0.05</v>
      </c>
      <c r="W190" s="12">
        <f t="shared" si="5"/>
        <v>1.352013373</v>
      </c>
    </row>
    <row r="191">
      <c r="A191" s="15">
        <f t="shared" si="3"/>
        <v>190</v>
      </c>
      <c r="B191" s="15" t="s">
        <v>26</v>
      </c>
      <c r="C191" s="15" t="s">
        <v>19</v>
      </c>
      <c r="D191" s="15">
        <v>0.0</v>
      </c>
      <c r="E191" s="15" t="s">
        <v>1673</v>
      </c>
      <c r="F191" s="15">
        <v>14.0</v>
      </c>
      <c r="G191" s="15">
        <v>12.0</v>
      </c>
      <c r="H191" s="110">
        <f>5/(15*2)</f>
        <v>0.1666666667</v>
      </c>
      <c r="I191" s="15"/>
      <c r="J191" s="15"/>
      <c r="K191" s="15"/>
      <c r="L191" s="15" t="s">
        <v>1031</v>
      </c>
      <c r="M191" s="15" t="s">
        <v>598</v>
      </c>
      <c r="N191" s="15" t="s">
        <v>1471</v>
      </c>
      <c r="O191" s="15" t="s">
        <v>24</v>
      </c>
      <c r="P191" s="16">
        <v>-2.0</v>
      </c>
      <c r="Q191" s="16">
        <v>0.3</v>
      </c>
      <c r="R191" s="16">
        <v>0.281</v>
      </c>
      <c r="S191" s="17">
        <v>45590.0</v>
      </c>
      <c r="T191" s="18">
        <v>1.825</v>
      </c>
      <c r="U191" s="15" t="s">
        <v>25</v>
      </c>
      <c r="V191" s="19">
        <f t="shared" si="1"/>
        <v>-0.281</v>
      </c>
      <c r="W191" s="19">
        <f t="shared" si="5"/>
        <v>1.071013373</v>
      </c>
    </row>
    <row r="192">
      <c r="A192" s="8">
        <f t="shared" si="3"/>
        <v>191</v>
      </c>
      <c r="B192" s="8" t="s">
        <v>26</v>
      </c>
      <c r="C192" s="8" t="s">
        <v>19</v>
      </c>
      <c r="D192" s="8">
        <v>0.0</v>
      </c>
      <c r="E192" s="8" t="s">
        <v>1674</v>
      </c>
      <c r="F192" s="8">
        <v>3.0</v>
      </c>
      <c r="G192" s="8">
        <v>7.0</v>
      </c>
      <c r="H192" s="111">
        <f>8/(15*2)</f>
        <v>0.2666666667</v>
      </c>
      <c r="I192" s="8"/>
      <c r="J192" s="8"/>
      <c r="K192" s="8"/>
      <c r="L192" s="8" t="s">
        <v>167</v>
      </c>
      <c r="M192" s="8" t="s">
        <v>598</v>
      </c>
      <c r="N192" s="8" t="s">
        <v>1471</v>
      </c>
      <c r="O192" s="8" t="s">
        <v>24</v>
      </c>
      <c r="P192" s="9">
        <v>-2.25</v>
      </c>
      <c r="Q192" s="9">
        <v>0.1</v>
      </c>
      <c r="R192" s="9">
        <v>0.0905</v>
      </c>
      <c r="S192" s="10">
        <v>45590.0</v>
      </c>
      <c r="T192" s="11">
        <v>1.9</v>
      </c>
      <c r="U192" s="8" t="s">
        <v>25</v>
      </c>
      <c r="V192" s="12">
        <f t="shared" si="1"/>
        <v>-0.0905</v>
      </c>
      <c r="W192" s="12">
        <f t="shared" si="5"/>
        <v>0.9805133733</v>
      </c>
    </row>
    <row r="193">
      <c r="A193" s="15">
        <f t="shared" si="3"/>
        <v>192</v>
      </c>
      <c r="B193" s="15" t="s">
        <v>26</v>
      </c>
      <c r="C193" s="15" t="s">
        <v>19</v>
      </c>
      <c r="D193" s="15"/>
      <c r="E193" s="15" t="s">
        <v>1675</v>
      </c>
      <c r="F193" s="15"/>
      <c r="G193" s="15"/>
      <c r="H193" s="110"/>
      <c r="I193" s="15" t="s">
        <v>1479</v>
      </c>
      <c r="J193" s="15" t="s">
        <v>1480</v>
      </c>
      <c r="K193" s="15">
        <v>-1.0</v>
      </c>
      <c r="L193" s="15" t="s">
        <v>683</v>
      </c>
      <c r="M193" s="15" t="s">
        <v>22</v>
      </c>
      <c r="N193" s="15" t="s">
        <v>892</v>
      </c>
      <c r="O193" s="15" t="s">
        <v>24</v>
      </c>
      <c r="P193" s="16">
        <v>0.0</v>
      </c>
      <c r="Q193" s="16">
        <v>0.7</v>
      </c>
      <c r="R193" s="16">
        <v>0.7</v>
      </c>
      <c r="S193" s="17">
        <v>45590.0</v>
      </c>
      <c r="T193" s="18">
        <f>(456.25+366.27+333.5)/700</f>
        <v>1.651457143</v>
      </c>
      <c r="U193" s="15" t="s">
        <v>33</v>
      </c>
      <c r="V193" s="19">
        <f t="shared" si="1"/>
        <v>0.45602</v>
      </c>
      <c r="W193" s="19">
        <f t="shared" si="5"/>
        <v>1.436533373</v>
      </c>
    </row>
    <row r="194">
      <c r="A194" s="8">
        <f t="shared" si="3"/>
        <v>193</v>
      </c>
      <c r="B194" s="8" t="s">
        <v>26</v>
      </c>
      <c r="C194" s="8" t="s">
        <v>19</v>
      </c>
      <c r="D194" s="8"/>
      <c r="E194" s="8" t="s">
        <v>1676</v>
      </c>
      <c r="F194" s="8"/>
      <c r="G194" s="8"/>
      <c r="H194" s="111"/>
      <c r="I194" s="8" t="s">
        <v>1479</v>
      </c>
      <c r="J194" s="8" t="s">
        <v>1480</v>
      </c>
      <c r="K194" s="8">
        <v>0.0</v>
      </c>
      <c r="L194" s="8" t="s">
        <v>1493</v>
      </c>
      <c r="M194" s="8" t="s">
        <v>22</v>
      </c>
      <c r="N194" s="8" t="s">
        <v>892</v>
      </c>
      <c r="O194" s="8" t="s">
        <v>24</v>
      </c>
      <c r="P194" s="9">
        <v>0.0</v>
      </c>
      <c r="Q194" s="9">
        <v>0.25</v>
      </c>
      <c r="R194" s="9">
        <v>0.0806</v>
      </c>
      <c r="S194" s="10">
        <v>45590.0</v>
      </c>
      <c r="T194" s="11">
        <v>1.75</v>
      </c>
      <c r="U194" s="8" t="s">
        <v>70</v>
      </c>
      <c r="V194" s="12">
        <f t="shared" si="1"/>
        <v>0</v>
      </c>
      <c r="W194" s="12">
        <f t="shared" si="5"/>
        <v>1.436533373</v>
      </c>
    </row>
    <row r="195">
      <c r="A195" s="15">
        <f t="shared" si="3"/>
        <v>194</v>
      </c>
      <c r="B195" s="15" t="s">
        <v>26</v>
      </c>
      <c r="C195" s="15" t="s">
        <v>19</v>
      </c>
      <c r="D195" s="15">
        <v>0.0</v>
      </c>
      <c r="E195" s="15" t="s">
        <v>1677</v>
      </c>
      <c r="F195" s="15">
        <v>14.0</v>
      </c>
      <c r="G195" s="15">
        <v>8.0</v>
      </c>
      <c r="H195" s="110">
        <f>11/(15*2)</f>
        <v>0.3666666667</v>
      </c>
      <c r="I195" s="15"/>
      <c r="J195" s="15"/>
      <c r="K195" s="15"/>
      <c r="L195" s="15" t="s">
        <v>101</v>
      </c>
      <c r="M195" s="15" t="s">
        <v>598</v>
      </c>
      <c r="N195" s="15" t="s">
        <v>1471</v>
      </c>
      <c r="O195" s="15" t="s">
        <v>24</v>
      </c>
      <c r="P195" s="16">
        <v>-3.5</v>
      </c>
      <c r="Q195" s="16">
        <v>0.3</v>
      </c>
      <c r="R195" s="16">
        <v>0.3</v>
      </c>
      <c r="S195" s="17">
        <v>45590.0</v>
      </c>
      <c r="T195" s="18">
        <v>1.9</v>
      </c>
      <c r="U195" s="15" t="s">
        <v>33</v>
      </c>
      <c r="V195" s="19">
        <f t="shared" si="1"/>
        <v>0.27</v>
      </c>
      <c r="W195" s="19">
        <f t="shared" si="5"/>
        <v>1.706533373</v>
      </c>
    </row>
    <row r="196">
      <c r="A196" s="8">
        <f t="shared" si="3"/>
        <v>195</v>
      </c>
      <c r="B196" s="8" t="s">
        <v>129</v>
      </c>
      <c r="C196" s="8" t="s">
        <v>19</v>
      </c>
      <c r="D196" s="8"/>
      <c r="E196" s="8" t="s">
        <v>1678</v>
      </c>
      <c r="F196" s="8">
        <v>18.0</v>
      </c>
      <c r="G196" s="8">
        <v>12.0</v>
      </c>
      <c r="H196" s="111">
        <f>3/(19*2)</f>
        <v>0.07894736842</v>
      </c>
      <c r="I196" s="8" t="s">
        <v>1473</v>
      </c>
      <c r="J196" s="8" t="s">
        <v>1480</v>
      </c>
      <c r="K196" s="8">
        <v>-1.0</v>
      </c>
      <c r="L196" s="8" t="s">
        <v>174</v>
      </c>
      <c r="M196" s="8" t="s">
        <v>22</v>
      </c>
      <c r="N196" s="8" t="s">
        <v>892</v>
      </c>
      <c r="O196" s="8" t="s">
        <v>24</v>
      </c>
      <c r="P196" s="9">
        <v>0.0</v>
      </c>
      <c r="Q196" s="9">
        <v>0.5</v>
      </c>
      <c r="R196" s="9">
        <v>0.5</v>
      </c>
      <c r="S196" s="10">
        <v>45590.0</v>
      </c>
      <c r="T196" s="11">
        <v>2.025</v>
      </c>
      <c r="U196" s="8" t="s">
        <v>70</v>
      </c>
      <c r="V196" s="12">
        <f t="shared" si="1"/>
        <v>0</v>
      </c>
      <c r="W196" s="12">
        <f t="shared" si="5"/>
        <v>1.706533373</v>
      </c>
    </row>
    <row r="197">
      <c r="A197" s="15">
        <f t="shared" si="3"/>
        <v>196</v>
      </c>
      <c r="B197" s="15" t="s">
        <v>26</v>
      </c>
      <c r="C197" s="15" t="s">
        <v>19</v>
      </c>
      <c r="D197" s="15">
        <v>0.0</v>
      </c>
      <c r="E197" s="15" t="s">
        <v>1679</v>
      </c>
      <c r="F197" s="15">
        <v>3.0</v>
      </c>
      <c r="G197" s="15">
        <v>9.0</v>
      </c>
      <c r="H197" s="110">
        <f>5/(15*2)</f>
        <v>0.1666666667</v>
      </c>
      <c r="I197" s="15"/>
      <c r="J197" s="15"/>
      <c r="K197" s="15"/>
      <c r="L197" s="15" t="s">
        <v>1031</v>
      </c>
      <c r="M197" s="15" t="s">
        <v>598</v>
      </c>
      <c r="N197" s="15" t="s">
        <v>1471</v>
      </c>
      <c r="O197" s="15" t="s">
        <v>24</v>
      </c>
      <c r="P197" s="16">
        <v>-2.5</v>
      </c>
      <c r="Q197" s="16">
        <v>0.25</v>
      </c>
      <c r="R197" s="16">
        <v>0.25</v>
      </c>
      <c r="S197" s="17">
        <v>45590.0</v>
      </c>
      <c r="T197" s="18">
        <v>1.95</v>
      </c>
      <c r="U197" s="15" t="s">
        <v>25</v>
      </c>
      <c r="V197" s="19">
        <f t="shared" si="1"/>
        <v>-0.25</v>
      </c>
      <c r="W197" s="19">
        <f t="shared" si="5"/>
        <v>1.456533373</v>
      </c>
    </row>
    <row r="198">
      <c r="A198" s="8">
        <f t="shared" si="3"/>
        <v>197</v>
      </c>
      <c r="B198" s="8" t="s">
        <v>26</v>
      </c>
      <c r="C198" s="8" t="s">
        <v>19</v>
      </c>
      <c r="D198" s="8"/>
      <c r="E198" s="8" t="s">
        <v>1680</v>
      </c>
      <c r="F198" s="8"/>
      <c r="G198" s="8"/>
      <c r="H198" s="111"/>
      <c r="I198" s="8" t="s">
        <v>1473</v>
      </c>
      <c r="J198" s="8" t="s">
        <v>1480</v>
      </c>
      <c r="K198" s="8">
        <v>0.0</v>
      </c>
      <c r="L198" s="8" t="s">
        <v>1493</v>
      </c>
      <c r="M198" s="8" t="s">
        <v>22</v>
      </c>
      <c r="N198" s="8" t="s">
        <v>892</v>
      </c>
      <c r="O198" s="8" t="s">
        <v>24</v>
      </c>
      <c r="P198" s="9">
        <v>0.0</v>
      </c>
      <c r="Q198" s="9">
        <v>0.5</v>
      </c>
      <c r="R198" s="9">
        <v>0.5</v>
      </c>
      <c r="S198" s="10">
        <v>45590.0</v>
      </c>
      <c r="T198" s="11">
        <v>2.025</v>
      </c>
      <c r="U198" s="8" t="s">
        <v>70</v>
      </c>
      <c r="V198" s="12">
        <f t="shared" si="1"/>
        <v>0</v>
      </c>
      <c r="W198" s="12">
        <f t="shared" si="5"/>
        <v>1.456533373</v>
      </c>
    </row>
    <row r="199">
      <c r="A199" s="15">
        <f t="shared" si="3"/>
        <v>198</v>
      </c>
      <c r="B199" s="15" t="s">
        <v>18</v>
      </c>
      <c r="C199" s="15" t="s">
        <v>19</v>
      </c>
      <c r="D199" s="15"/>
      <c r="E199" s="15" t="s">
        <v>1681</v>
      </c>
      <c r="F199" s="15">
        <v>11.0</v>
      </c>
      <c r="G199" s="15">
        <v>7.0</v>
      </c>
      <c r="H199" s="110">
        <f>2/(13*2)</f>
        <v>0.07692307692</v>
      </c>
      <c r="I199" s="15"/>
      <c r="J199" s="15"/>
      <c r="K199" s="15"/>
      <c r="L199" s="15" t="s">
        <v>644</v>
      </c>
      <c r="M199" s="15" t="s">
        <v>22</v>
      </c>
      <c r="N199" s="15" t="s">
        <v>225</v>
      </c>
      <c r="O199" s="15" t="s">
        <v>24</v>
      </c>
      <c r="P199" s="16">
        <v>0.25</v>
      </c>
      <c r="Q199" s="16">
        <v>0.25</v>
      </c>
      <c r="R199" s="16">
        <v>0.25</v>
      </c>
      <c r="S199" s="17">
        <v>45590.0</v>
      </c>
      <c r="T199" s="18">
        <v>1.9</v>
      </c>
      <c r="U199" s="15" t="s">
        <v>30</v>
      </c>
      <c r="V199" s="19">
        <f t="shared" si="1"/>
        <v>0.1125</v>
      </c>
      <c r="W199" s="19">
        <f t="shared" si="5"/>
        <v>1.569033373</v>
      </c>
    </row>
    <row r="200">
      <c r="A200" s="8">
        <f t="shared" si="3"/>
        <v>199</v>
      </c>
      <c r="B200" s="8" t="s">
        <v>26</v>
      </c>
      <c r="C200" s="8" t="s">
        <v>19</v>
      </c>
      <c r="D200" s="8">
        <v>0.0</v>
      </c>
      <c r="E200" s="8" t="s">
        <v>1682</v>
      </c>
      <c r="F200" s="8">
        <v>3.0</v>
      </c>
      <c r="G200" s="8">
        <v>6.0</v>
      </c>
      <c r="H200" s="111">
        <f>3/(19*2)</f>
        <v>0.07894736842</v>
      </c>
      <c r="I200" s="8"/>
      <c r="J200" s="8"/>
      <c r="K200" s="8"/>
      <c r="L200" s="8" t="s">
        <v>174</v>
      </c>
      <c r="M200" s="8" t="s">
        <v>598</v>
      </c>
      <c r="N200" s="8" t="s">
        <v>1471</v>
      </c>
      <c r="O200" s="8" t="s">
        <v>24</v>
      </c>
      <c r="P200" s="9">
        <v>-2.0</v>
      </c>
      <c r="Q200" s="9">
        <v>0.3</v>
      </c>
      <c r="R200" s="9">
        <v>0.3</v>
      </c>
      <c r="S200" s="10">
        <v>45590.0</v>
      </c>
      <c r="T200" s="11">
        <v>1.9</v>
      </c>
      <c r="U200" s="8" t="s">
        <v>25</v>
      </c>
      <c r="V200" s="12">
        <f t="shared" si="1"/>
        <v>-0.3</v>
      </c>
      <c r="W200" s="12">
        <f t="shared" si="5"/>
        <v>1.269033373</v>
      </c>
    </row>
    <row r="201">
      <c r="A201" s="15">
        <f t="shared" si="3"/>
        <v>200</v>
      </c>
      <c r="B201" s="15" t="s">
        <v>26</v>
      </c>
      <c r="C201" s="15" t="s">
        <v>19</v>
      </c>
      <c r="D201" s="15">
        <v>0.0</v>
      </c>
      <c r="E201" s="15" t="s">
        <v>1683</v>
      </c>
      <c r="F201" s="15">
        <v>5.0</v>
      </c>
      <c r="G201" s="15">
        <v>9.0</v>
      </c>
      <c r="H201" s="110">
        <f>11/(15*2)</f>
        <v>0.3666666667</v>
      </c>
      <c r="I201" s="15"/>
      <c r="J201" s="15"/>
      <c r="K201" s="15"/>
      <c r="L201" s="15" t="s">
        <v>214</v>
      </c>
      <c r="M201" s="15" t="s">
        <v>598</v>
      </c>
      <c r="N201" s="15" t="s">
        <v>1471</v>
      </c>
      <c r="O201" s="15" t="s">
        <v>24</v>
      </c>
      <c r="P201" s="16">
        <v>-3.0</v>
      </c>
      <c r="Q201" s="16">
        <v>0.1</v>
      </c>
      <c r="R201" s="16">
        <v>0.1</v>
      </c>
      <c r="S201" s="17">
        <v>45590.0</v>
      </c>
      <c r="T201" s="18">
        <v>1.825</v>
      </c>
      <c r="U201" s="15" t="s">
        <v>33</v>
      </c>
      <c r="V201" s="19">
        <f t="shared" si="1"/>
        <v>0.0825</v>
      </c>
      <c r="W201" s="19">
        <f t="shared" si="5"/>
        <v>1.351533373</v>
      </c>
    </row>
    <row r="202">
      <c r="A202" s="8">
        <f t="shared" si="3"/>
        <v>201</v>
      </c>
      <c r="B202" s="8" t="s">
        <v>26</v>
      </c>
      <c r="C202" s="8" t="s">
        <v>19</v>
      </c>
      <c r="D202" s="8">
        <v>0.0</v>
      </c>
      <c r="E202" s="8" t="s">
        <v>1684</v>
      </c>
      <c r="F202" s="8">
        <v>2.0</v>
      </c>
      <c r="G202" s="8">
        <v>5.0</v>
      </c>
      <c r="H202" s="111">
        <f>9/(11*2)</f>
        <v>0.4090909091</v>
      </c>
      <c r="I202" s="8"/>
      <c r="J202" s="8"/>
      <c r="K202" s="8"/>
      <c r="L202" s="8" t="s">
        <v>196</v>
      </c>
      <c r="M202" s="8" t="s">
        <v>598</v>
      </c>
      <c r="N202" s="8" t="s">
        <v>1471</v>
      </c>
      <c r="O202" s="8" t="s">
        <v>24</v>
      </c>
      <c r="P202" s="9">
        <v>-2.0</v>
      </c>
      <c r="Q202" s="9">
        <v>0.2</v>
      </c>
      <c r="R202" s="9">
        <v>0.2</v>
      </c>
      <c r="S202" s="10">
        <v>45590.0</v>
      </c>
      <c r="T202" s="11">
        <v>1.9</v>
      </c>
      <c r="U202" s="8" t="s">
        <v>33</v>
      </c>
      <c r="V202" s="12">
        <f t="shared" si="1"/>
        <v>0.18</v>
      </c>
      <c r="W202" s="12">
        <f t="shared" si="5"/>
        <v>1.531533373</v>
      </c>
    </row>
    <row r="203">
      <c r="A203" s="15">
        <f t="shared" si="3"/>
        <v>202</v>
      </c>
      <c r="B203" s="15" t="s">
        <v>26</v>
      </c>
      <c r="C203" s="15" t="s">
        <v>19</v>
      </c>
      <c r="D203" s="15">
        <v>0.0</v>
      </c>
      <c r="E203" s="15" t="s">
        <v>1685</v>
      </c>
      <c r="F203" s="15">
        <v>7.0</v>
      </c>
      <c r="G203" s="15">
        <v>8.0</v>
      </c>
      <c r="H203" s="110"/>
      <c r="I203" s="15"/>
      <c r="J203" s="15"/>
      <c r="K203" s="15"/>
      <c r="L203" s="15" t="s">
        <v>341</v>
      </c>
      <c r="M203" s="15" t="s">
        <v>598</v>
      </c>
      <c r="N203" s="15" t="s">
        <v>1471</v>
      </c>
      <c r="O203" s="15" t="s">
        <v>24</v>
      </c>
      <c r="P203" s="16">
        <v>-2.5</v>
      </c>
      <c r="Q203" s="16">
        <v>0.1</v>
      </c>
      <c r="R203" s="16">
        <v>0.1</v>
      </c>
      <c r="S203" s="17">
        <v>45590.0</v>
      </c>
      <c r="T203" s="18">
        <v>1.95</v>
      </c>
      <c r="U203" s="15" t="s">
        <v>33</v>
      </c>
      <c r="V203" s="19">
        <f t="shared" si="1"/>
        <v>0.095</v>
      </c>
      <c r="W203" s="19">
        <f t="shared" si="5"/>
        <v>1.626533373</v>
      </c>
    </row>
    <row r="204">
      <c r="A204" s="8">
        <f t="shared" si="3"/>
        <v>203</v>
      </c>
      <c r="B204" s="8" t="s">
        <v>26</v>
      </c>
      <c r="C204" s="8" t="s">
        <v>19</v>
      </c>
      <c r="D204" s="8">
        <v>0.0</v>
      </c>
      <c r="E204" s="8" t="s">
        <v>1686</v>
      </c>
      <c r="F204" s="8">
        <v>7.0</v>
      </c>
      <c r="G204" s="8">
        <v>6.0</v>
      </c>
      <c r="H204" s="111">
        <f>5/(13*2)</f>
        <v>0.1923076923</v>
      </c>
      <c r="I204" s="8"/>
      <c r="J204" s="8"/>
      <c r="K204" s="8"/>
      <c r="L204" s="8" t="s">
        <v>341</v>
      </c>
      <c r="M204" s="8" t="s">
        <v>598</v>
      </c>
      <c r="N204" s="8" t="s">
        <v>1471</v>
      </c>
      <c r="O204" s="8" t="s">
        <v>24</v>
      </c>
      <c r="P204" s="9">
        <v>-3.5</v>
      </c>
      <c r="Q204" s="9">
        <v>0.1</v>
      </c>
      <c r="R204" s="9">
        <v>0.1</v>
      </c>
      <c r="S204" s="10">
        <v>45590.0</v>
      </c>
      <c r="T204" s="11">
        <v>1.95</v>
      </c>
      <c r="U204" s="8" t="s">
        <v>25</v>
      </c>
      <c r="V204" s="12">
        <f t="shared" si="1"/>
        <v>-0.1</v>
      </c>
      <c r="W204" s="12">
        <f t="shared" si="5"/>
        <v>1.526533373</v>
      </c>
    </row>
    <row r="205">
      <c r="A205" s="15">
        <f t="shared" si="3"/>
        <v>204</v>
      </c>
      <c r="B205" s="15" t="s">
        <v>26</v>
      </c>
      <c r="C205" s="15" t="s">
        <v>19</v>
      </c>
      <c r="D205" s="15">
        <v>0.0</v>
      </c>
      <c r="E205" s="15" t="s">
        <v>1687</v>
      </c>
      <c r="F205" s="15">
        <v>18.0</v>
      </c>
      <c r="G205" s="15">
        <v>15.0</v>
      </c>
      <c r="H205" s="110">
        <f>6/(17*2)</f>
        <v>0.1764705882</v>
      </c>
      <c r="I205" s="15"/>
      <c r="J205" s="15"/>
      <c r="K205" s="15"/>
      <c r="L205" s="15" t="s">
        <v>124</v>
      </c>
      <c r="M205" s="15" t="s">
        <v>598</v>
      </c>
      <c r="N205" s="15" t="s">
        <v>1471</v>
      </c>
      <c r="O205" s="15" t="s">
        <v>24</v>
      </c>
      <c r="P205" s="16">
        <v>-2.0</v>
      </c>
      <c r="Q205" s="16">
        <v>0.3</v>
      </c>
      <c r="R205" s="16">
        <v>0.3</v>
      </c>
      <c r="S205" s="17">
        <v>45590.0</v>
      </c>
      <c r="T205" s="18">
        <v>2.0</v>
      </c>
      <c r="U205" s="15" t="s">
        <v>33</v>
      </c>
      <c r="V205" s="19">
        <f t="shared" si="1"/>
        <v>0.3</v>
      </c>
      <c r="W205" s="19">
        <f t="shared" si="5"/>
        <v>1.826533373</v>
      </c>
    </row>
    <row r="206">
      <c r="A206" s="8">
        <f t="shared" si="3"/>
        <v>205</v>
      </c>
      <c r="B206" s="8" t="s">
        <v>26</v>
      </c>
      <c r="C206" s="8" t="s">
        <v>19</v>
      </c>
      <c r="D206" s="8"/>
      <c r="E206" s="8" t="s">
        <v>1688</v>
      </c>
      <c r="F206" s="8">
        <v>1.0</v>
      </c>
      <c r="G206" s="8">
        <v>13.0</v>
      </c>
      <c r="H206" s="111">
        <f>4/(15*2)</f>
        <v>0.1333333333</v>
      </c>
      <c r="I206" s="8" t="s">
        <v>1479</v>
      </c>
      <c r="J206" s="8" t="s">
        <v>1480</v>
      </c>
      <c r="K206" s="8">
        <v>0.0</v>
      </c>
      <c r="L206" s="8" t="s">
        <v>714</v>
      </c>
      <c r="M206" s="8" t="s">
        <v>22</v>
      </c>
      <c r="N206" s="8" t="s">
        <v>892</v>
      </c>
      <c r="O206" s="8" t="s">
        <v>24</v>
      </c>
      <c r="P206" s="9">
        <v>0.0</v>
      </c>
      <c r="Q206" s="9">
        <v>0.25</v>
      </c>
      <c r="R206" s="9">
        <v>0.0476</v>
      </c>
      <c r="S206" s="10">
        <v>45590.0</v>
      </c>
      <c r="T206" s="11">
        <v>1.7</v>
      </c>
      <c r="U206" s="8" t="s">
        <v>70</v>
      </c>
      <c r="V206" s="12">
        <f t="shared" si="1"/>
        <v>0</v>
      </c>
      <c r="W206" s="12">
        <f t="shared" si="5"/>
        <v>1.826533373</v>
      </c>
    </row>
    <row r="207">
      <c r="A207" s="15">
        <f t="shared" si="3"/>
        <v>206</v>
      </c>
      <c r="B207" s="15" t="s">
        <v>26</v>
      </c>
      <c r="C207" s="15" t="s">
        <v>19</v>
      </c>
      <c r="D207" s="15">
        <v>0.0</v>
      </c>
      <c r="E207" s="15" t="s">
        <v>1689</v>
      </c>
      <c r="F207" s="15">
        <v>8.0</v>
      </c>
      <c r="G207" s="15">
        <v>9.0</v>
      </c>
      <c r="H207" s="110">
        <f>6/(15*2)</f>
        <v>0.2</v>
      </c>
      <c r="I207" s="15"/>
      <c r="J207" s="15"/>
      <c r="K207" s="15"/>
      <c r="L207" s="15" t="s">
        <v>964</v>
      </c>
      <c r="M207" s="15" t="s">
        <v>598</v>
      </c>
      <c r="N207" s="15" t="s">
        <v>1471</v>
      </c>
      <c r="O207" s="15" t="s">
        <v>24</v>
      </c>
      <c r="P207" s="16">
        <v>-2.5</v>
      </c>
      <c r="Q207" s="16">
        <v>0.2</v>
      </c>
      <c r="R207" s="16">
        <v>0.1</v>
      </c>
      <c r="S207" s="17">
        <v>45590.0</v>
      </c>
      <c r="T207" s="18">
        <v>1.8</v>
      </c>
      <c r="U207" s="15" t="s">
        <v>33</v>
      </c>
      <c r="V207" s="19">
        <f t="shared" si="1"/>
        <v>0.08</v>
      </c>
      <c r="W207" s="19">
        <f t="shared" si="5"/>
        <v>1.906533373</v>
      </c>
    </row>
    <row r="208">
      <c r="A208" s="8">
        <f t="shared" si="3"/>
        <v>207</v>
      </c>
      <c r="B208" s="8" t="s">
        <v>18</v>
      </c>
      <c r="C208" s="8" t="s">
        <v>19</v>
      </c>
      <c r="D208" s="8"/>
      <c r="E208" s="8" t="s">
        <v>1690</v>
      </c>
      <c r="F208" s="8">
        <v>10.0</v>
      </c>
      <c r="G208" s="8">
        <v>8.0</v>
      </c>
      <c r="H208" s="111">
        <f>12/(15*2)</f>
        <v>0.4</v>
      </c>
      <c r="I208" s="8" t="s">
        <v>1479</v>
      </c>
      <c r="J208" s="8" t="s">
        <v>1480</v>
      </c>
      <c r="K208" s="8">
        <v>-1.0</v>
      </c>
      <c r="L208" s="8" t="s">
        <v>316</v>
      </c>
      <c r="M208" s="8" t="s">
        <v>22</v>
      </c>
      <c r="N208" s="8" t="s">
        <v>892</v>
      </c>
      <c r="O208" s="8" t="s">
        <v>24</v>
      </c>
      <c r="P208" s="9">
        <v>0.0</v>
      </c>
      <c r="Q208" s="9">
        <v>0.25</v>
      </c>
      <c r="R208" s="9">
        <v>0.25</v>
      </c>
      <c r="S208" s="10">
        <v>45590.0</v>
      </c>
      <c r="T208" s="11">
        <v>1.975</v>
      </c>
      <c r="U208" s="8" t="s">
        <v>25</v>
      </c>
      <c r="V208" s="12">
        <f t="shared" si="1"/>
        <v>-0.25</v>
      </c>
      <c r="W208" s="12">
        <f t="shared" si="5"/>
        <v>1.656533373</v>
      </c>
    </row>
    <row r="209">
      <c r="A209" s="15">
        <f t="shared" si="3"/>
        <v>208</v>
      </c>
      <c r="B209" s="15" t="s">
        <v>26</v>
      </c>
      <c r="C209" s="15" t="s">
        <v>19</v>
      </c>
      <c r="D209" s="15">
        <v>0.0</v>
      </c>
      <c r="E209" s="15" t="s">
        <v>1691</v>
      </c>
      <c r="F209" s="15"/>
      <c r="G209" s="15"/>
      <c r="H209" s="110"/>
      <c r="I209" s="15"/>
      <c r="J209" s="15"/>
      <c r="K209" s="15"/>
      <c r="L209" s="15" t="s">
        <v>121</v>
      </c>
      <c r="M209" s="15" t="s">
        <v>598</v>
      </c>
      <c r="N209" s="15" t="s">
        <v>1471</v>
      </c>
      <c r="O209" s="15" t="s">
        <v>24</v>
      </c>
      <c r="P209" s="16">
        <v>-2.5</v>
      </c>
      <c r="Q209" s="16">
        <v>0.25</v>
      </c>
      <c r="R209" s="16">
        <v>0.25</v>
      </c>
      <c r="S209" s="17">
        <v>45591.0</v>
      </c>
      <c r="T209" s="18">
        <v>1.9</v>
      </c>
      <c r="U209" s="15" t="s">
        <v>33</v>
      </c>
      <c r="V209" s="19">
        <f t="shared" si="1"/>
        <v>0.225</v>
      </c>
      <c r="W209" s="19">
        <f t="shared" si="5"/>
        <v>1.881533373</v>
      </c>
    </row>
    <row r="210">
      <c r="A210" s="8">
        <f t="shared" si="3"/>
        <v>209</v>
      </c>
      <c r="B210" s="8" t="s">
        <v>26</v>
      </c>
      <c r="C210" s="8" t="s">
        <v>19</v>
      </c>
      <c r="D210" s="8">
        <v>0.0</v>
      </c>
      <c r="E210" s="8" t="s">
        <v>1692</v>
      </c>
      <c r="F210" s="8">
        <v>2.0</v>
      </c>
      <c r="G210" s="8">
        <v>3.0</v>
      </c>
      <c r="H210" s="111">
        <f>9/(17*2)</f>
        <v>0.2647058824</v>
      </c>
      <c r="I210" s="8"/>
      <c r="J210" s="8"/>
      <c r="K210" s="8"/>
      <c r="L210" s="8" t="s">
        <v>93</v>
      </c>
      <c r="M210" s="8" t="s">
        <v>598</v>
      </c>
      <c r="N210" s="8" t="s">
        <v>1471</v>
      </c>
      <c r="O210" s="8" t="s">
        <v>24</v>
      </c>
      <c r="P210" s="9">
        <v>-3.0</v>
      </c>
      <c r="Q210" s="9">
        <v>0.2</v>
      </c>
      <c r="R210" s="9">
        <v>0.2</v>
      </c>
      <c r="S210" s="10">
        <v>45591.0</v>
      </c>
      <c r="T210" s="11">
        <v>1.725</v>
      </c>
      <c r="U210" s="8" t="s">
        <v>33</v>
      </c>
      <c r="V210" s="12">
        <f t="shared" si="1"/>
        <v>0.145</v>
      </c>
      <c r="W210" s="12">
        <f t="shared" si="5"/>
        <v>2.026533373</v>
      </c>
    </row>
    <row r="211">
      <c r="A211" s="15">
        <f t="shared" si="3"/>
        <v>210</v>
      </c>
      <c r="B211" s="15" t="s">
        <v>26</v>
      </c>
      <c r="C211" s="15" t="s">
        <v>19</v>
      </c>
      <c r="D211" s="15">
        <v>0.0</v>
      </c>
      <c r="E211" s="15" t="s">
        <v>1693</v>
      </c>
      <c r="F211" s="15">
        <v>7.0</v>
      </c>
      <c r="G211" s="15">
        <v>14.0</v>
      </c>
      <c r="H211" s="110">
        <f>10/(15*2)</f>
        <v>0.3333333333</v>
      </c>
      <c r="I211" s="15"/>
      <c r="J211" s="15"/>
      <c r="K211" s="15"/>
      <c r="L211" s="15" t="s">
        <v>101</v>
      </c>
      <c r="M211" s="15" t="s">
        <v>598</v>
      </c>
      <c r="N211" s="15" t="s">
        <v>1471</v>
      </c>
      <c r="O211" s="15" t="s">
        <v>24</v>
      </c>
      <c r="P211" s="16">
        <v>-3.5</v>
      </c>
      <c r="Q211" s="16">
        <v>0.15</v>
      </c>
      <c r="R211" s="16">
        <v>0.15</v>
      </c>
      <c r="S211" s="17">
        <v>45591.0</v>
      </c>
      <c r="T211" s="18">
        <v>2.0</v>
      </c>
      <c r="U211" s="15" t="s">
        <v>25</v>
      </c>
      <c r="V211" s="19">
        <f t="shared" si="1"/>
        <v>-0.15</v>
      </c>
      <c r="W211" s="19">
        <f t="shared" si="5"/>
        <v>1.876533373</v>
      </c>
    </row>
    <row r="212">
      <c r="A212" s="8">
        <f t="shared" si="3"/>
        <v>211</v>
      </c>
      <c r="B212" s="8" t="s">
        <v>26</v>
      </c>
      <c r="C212" s="8" t="s">
        <v>19</v>
      </c>
      <c r="D212" s="8">
        <v>0.0</v>
      </c>
      <c r="E212" s="8" t="s">
        <v>1694</v>
      </c>
      <c r="F212" s="8">
        <v>12.0</v>
      </c>
      <c r="G212" s="8">
        <v>11.0</v>
      </c>
      <c r="H212" s="111">
        <f>8/(15*2)</f>
        <v>0.2666666667</v>
      </c>
      <c r="I212" s="8"/>
      <c r="J212" s="8"/>
      <c r="K212" s="8"/>
      <c r="L212" s="8" t="s">
        <v>853</v>
      </c>
      <c r="M212" s="8" t="s">
        <v>598</v>
      </c>
      <c r="N212" s="8" t="s">
        <v>1471</v>
      </c>
      <c r="O212" s="8" t="s">
        <v>24</v>
      </c>
      <c r="P212" s="9">
        <v>-2.0</v>
      </c>
      <c r="Q212" s="9">
        <v>0.25</v>
      </c>
      <c r="R212" s="9">
        <v>0.25</v>
      </c>
      <c r="S212" s="54">
        <v>45591.0</v>
      </c>
      <c r="T212" s="11">
        <v>1.85</v>
      </c>
      <c r="U212" s="8" t="s">
        <v>25</v>
      </c>
      <c r="V212" s="12">
        <f t="shared" si="1"/>
        <v>-0.25</v>
      </c>
      <c r="W212" s="12">
        <f t="shared" si="5"/>
        <v>1.626533373</v>
      </c>
    </row>
    <row r="213">
      <c r="A213" s="15">
        <f t="shared" si="3"/>
        <v>212</v>
      </c>
      <c r="B213" s="15" t="s">
        <v>26</v>
      </c>
      <c r="C213" s="15" t="s">
        <v>19</v>
      </c>
      <c r="D213" s="15">
        <v>0.0</v>
      </c>
      <c r="E213" s="15" t="s">
        <v>1695</v>
      </c>
      <c r="F213" s="15"/>
      <c r="G213" s="15"/>
      <c r="H213" s="110"/>
      <c r="I213" s="15"/>
      <c r="J213" s="15"/>
      <c r="K213" s="15"/>
      <c r="L213" s="15" t="s">
        <v>93</v>
      </c>
      <c r="M213" s="15" t="s">
        <v>598</v>
      </c>
      <c r="N213" s="15" t="s">
        <v>1471</v>
      </c>
      <c r="O213" s="15" t="s">
        <v>24</v>
      </c>
      <c r="P213" s="16">
        <v>-3.0</v>
      </c>
      <c r="Q213" s="16">
        <v>0.25</v>
      </c>
      <c r="R213" s="16">
        <v>0.25</v>
      </c>
      <c r="S213" s="17">
        <v>45591.0</v>
      </c>
      <c r="T213" s="18">
        <v>1.8</v>
      </c>
      <c r="U213" s="15" t="s">
        <v>70</v>
      </c>
      <c r="V213" s="19">
        <f t="shared" si="1"/>
        <v>0</v>
      </c>
      <c r="W213" s="19">
        <f t="shared" si="5"/>
        <v>1.626533373</v>
      </c>
    </row>
    <row r="214">
      <c r="A214" s="8">
        <f t="shared" si="3"/>
        <v>213</v>
      </c>
      <c r="B214" s="8" t="s">
        <v>26</v>
      </c>
      <c r="C214" s="8" t="s">
        <v>19</v>
      </c>
      <c r="D214" s="8">
        <v>63.0</v>
      </c>
      <c r="E214" s="8" t="s">
        <v>1696</v>
      </c>
      <c r="F214" s="8"/>
      <c r="G214" s="8"/>
      <c r="H214" s="111"/>
      <c r="I214" s="8" t="s">
        <v>1479</v>
      </c>
      <c r="J214" s="8" t="s">
        <v>1480</v>
      </c>
      <c r="K214" s="8">
        <v>1.0</v>
      </c>
      <c r="L214" s="8" t="s">
        <v>229</v>
      </c>
      <c r="M214" s="8" t="s">
        <v>22</v>
      </c>
      <c r="N214" s="8" t="s">
        <v>892</v>
      </c>
      <c r="O214" s="8" t="s">
        <v>24</v>
      </c>
      <c r="P214" s="9">
        <v>0.0</v>
      </c>
      <c r="Q214" s="9">
        <v>0.25</v>
      </c>
      <c r="R214" s="9">
        <v>0.25</v>
      </c>
      <c r="S214" s="10">
        <v>45591.0</v>
      </c>
      <c r="T214" s="11">
        <v>1.7</v>
      </c>
      <c r="U214" s="8" t="s">
        <v>33</v>
      </c>
      <c r="V214" s="12">
        <f t="shared" si="1"/>
        <v>0.175</v>
      </c>
      <c r="W214" s="12">
        <f t="shared" si="5"/>
        <v>1.801533373</v>
      </c>
    </row>
    <row r="215">
      <c r="A215" s="15">
        <f t="shared" si="3"/>
        <v>214</v>
      </c>
      <c r="B215" s="15" t="s">
        <v>26</v>
      </c>
      <c r="C215" s="15" t="s">
        <v>19</v>
      </c>
      <c r="D215" s="15">
        <v>0.0</v>
      </c>
      <c r="E215" s="37" t="s">
        <v>1697</v>
      </c>
      <c r="F215" s="37">
        <v>5.0</v>
      </c>
      <c r="G215" s="37">
        <v>11.0</v>
      </c>
      <c r="H215" s="110">
        <f>8/(15*2)</f>
        <v>0.2666666667</v>
      </c>
      <c r="I215" s="15"/>
      <c r="J215" s="15"/>
      <c r="K215" s="15"/>
      <c r="L215" s="15" t="s">
        <v>93</v>
      </c>
      <c r="M215" s="15" t="s">
        <v>598</v>
      </c>
      <c r="N215" s="15" t="s">
        <v>1471</v>
      </c>
      <c r="O215" s="15" t="s">
        <v>24</v>
      </c>
      <c r="P215" s="16">
        <v>-2.75</v>
      </c>
      <c r="Q215" s="16">
        <v>0.25</v>
      </c>
      <c r="R215" s="16">
        <v>0.25</v>
      </c>
      <c r="S215" s="17">
        <v>45591.0</v>
      </c>
      <c r="T215" s="18">
        <v>1.825</v>
      </c>
      <c r="U215" s="15" t="s">
        <v>79</v>
      </c>
      <c r="V215" s="19">
        <f t="shared" si="1"/>
        <v>-0.125</v>
      </c>
      <c r="W215" s="19">
        <f t="shared" si="5"/>
        <v>1.676533373</v>
      </c>
    </row>
    <row r="216">
      <c r="A216" s="8">
        <f t="shared" si="3"/>
        <v>215</v>
      </c>
      <c r="B216" s="8" t="s">
        <v>26</v>
      </c>
      <c r="C216" s="8" t="s">
        <v>19</v>
      </c>
      <c r="D216" s="8">
        <v>0.0</v>
      </c>
      <c r="E216" s="47" t="s">
        <v>1698</v>
      </c>
      <c r="F216" s="47">
        <v>4.0</v>
      </c>
      <c r="G216" s="47">
        <v>2.0</v>
      </c>
      <c r="H216" s="111">
        <f>8/(9*2)</f>
        <v>0.4444444444</v>
      </c>
      <c r="I216" s="8"/>
      <c r="J216" s="8"/>
      <c r="K216" s="8"/>
      <c r="L216" s="8" t="s">
        <v>583</v>
      </c>
      <c r="M216" s="8" t="s">
        <v>598</v>
      </c>
      <c r="N216" s="8" t="s">
        <v>1471</v>
      </c>
      <c r="O216" s="8" t="s">
        <v>24</v>
      </c>
      <c r="P216" s="9">
        <v>-2.25</v>
      </c>
      <c r="Q216" s="9">
        <v>0.25</v>
      </c>
      <c r="R216" s="9">
        <v>0.25</v>
      </c>
      <c r="S216" s="10">
        <v>45591.0</v>
      </c>
      <c r="T216" s="11">
        <v>1.9</v>
      </c>
      <c r="U216" s="8" t="s">
        <v>25</v>
      </c>
      <c r="V216" s="12">
        <f t="shared" si="1"/>
        <v>-0.25</v>
      </c>
      <c r="W216" s="12">
        <f t="shared" si="5"/>
        <v>1.426533373</v>
      </c>
    </row>
    <row r="217">
      <c r="A217" s="15">
        <f t="shared" si="3"/>
        <v>216</v>
      </c>
      <c r="B217" s="15" t="s">
        <v>26</v>
      </c>
      <c r="C217" s="15" t="s">
        <v>19</v>
      </c>
      <c r="D217" s="15">
        <v>0.0</v>
      </c>
      <c r="E217" s="42" t="s">
        <v>1699</v>
      </c>
      <c r="F217" s="42">
        <v>16.0</v>
      </c>
      <c r="G217" s="42">
        <v>6.0</v>
      </c>
      <c r="H217" s="110">
        <f t="shared" ref="H217:H218" si="17">5/(15*2)</f>
        <v>0.1666666667</v>
      </c>
      <c r="I217" s="15"/>
      <c r="J217" s="15"/>
      <c r="K217" s="15"/>
      <c r="L217" s="15" t="s">
        <v>273</v>
      </c>
      <c r="M217" s="15" t="s">
        <v>598</v>
      </c>
      <c r="N217" s="15" t="s">
        <v>1471</v>
      </c>
      <c r="O217" s="15" t="s">
        <v>24</v>
      </c>
      <c r="P217" s="16">
        <v>-2.5</v>
      </c>
      <c r="Q217" s="16">
        <v>0.25</v>
      </c>
      <c r="R217" s="16">
        <v>0.25</v>
      </c>
      <c r="S217" s="17">
        <v>45591.0</v>
      </c>
      <c r="T217" s="18">
        <v>1.8</v>
      </c>
      <c r="U217" s="15" t="s">
        <v>33</v>
      </c>
      <c r="V217" s="19">
        <f t="shared" si="1"/>
        <v>0.2</v>
      </c>
      <c r="W217" s="19">
        <f t="shared" si="5"/>
        <v>1.626533373</v>
      </c>
    </row>
    <row r="218">
      <c r="A218" s="8">
        <f t="shared" si="3"/>
        <v>217</v>
      </c>
      <c r="B218" s="8" t="s">
        <v>26</v>
      </c>
      <c r="C218" s="8" t="s">
        <v>19</v>
      </c>
      <c r="D218" s="8">
        <v>0.0</v>
      </c>
      <c r="E218" s="8" t="s">
        <v>1700</v>
      </c>
      <c r="F218" s="8">
        <v>4.0</v>
      </c>
      <c r="G218" s="8">
        <v>5.0</v>
      </c>
      <c r="H218" s="111">
        <f t="shared" si="17"/>
        <v>0.1666666667</v>
      </c>
      <c r="I218" s="8"/>
      <c r="J218" s="8"/>
      <c r="K218" s="8"/>
      <c r="L218" s="8" t="s">
        <v>273</v>
      </c>
      <c r="M218" s="8" t="s">
        <v>598</v>
      </c>
      <c r="N218" s="8" t="s">
        <v>1471</v>
      </c>
      <c r="O218" s="8" t="s">
        <v>24</v>
      </c>
      <c r="P218" s="9">
        <v>-2.75</v>
      </c>
      <c r="Q218" s="9">
        <v>0.15</v>
      </c>
      <c r="R218" s="9">
        <v>0.15</v>
      </c>
      <c r="S218" s="10">
        <v>45591.0</v>
      </c>
      <c r="T218" s="11">
        <v>1.825</v>
      </c>
      <c r="U218" s="8" t="s">
        <v>33</v>
      </c>
      <c r="V218" s="12">
        <f t="shared" si="1"/>
        <v>0.12375</v>
      </c>
      <c r="W218" s="12">
        <f t="shared" si="5"/>
        <v>1.750283373</v>
      </c>
    </row>
    <row r="219">
      <c r="A219" s="15">
        <f t="shared" si="3"/>
        <v>218</v>
      </c>
      <c r="B219" s="15" t="s">
        <v>26</v>
      </c>
      <c r="C219" s="15" t="s">
        <v>19</v>
      </c>
      <c r="D219" s="15">
        <v>0.0</v>
      </c>
      <c r="E219" s="15" t="s">
        <v>1701</v>
      </c>
      <c r="F219" s="15">
        <v>10.0</v>
      </c>
      <c r="G219" s="15">
        <v>2.0</v>
      </c>
      <c r="H219" s="110">
        <f>13/(17*2)</f>
        <v>0.3823529412</v>
      </c>
      <c r="I219" s="15"/>
      <c r="J219" s="15"/>
      <c r="K219" s="15"/>
      <c r="L219" s="15" t="s">
        <v>432</v>
      </c>
      <c r="M219" s="15" t="s">
        <v>598</v>
      </c>
      <c r="N219" s="15" t="s">
        <v>1471</v>
      </c>
      <c r="O219" s="15" t="s">
        <v>24</v>
      </c>
      <c r="P219" s="16">
        <v>-2.75</v>
      </c>
      <c r="Q219" s="16">
        <v>0.25</v>
      </c>
      <c r="R219" s="16">
        <v>0.25</v>
      </c>
      <c r="S219" s="17">
        <v>45591.0</v>
      </c>
      <c r="T219" s="18">
        <v>1.825</v>
      </c>
      <c r="U219" s="15" t="s">
        <v>79</v>
      </c>
      <c r="V219" s="19">
        <f t="shared" si="1"/>
        <v>-0.125</v>
      </c>
      <c r="W219" s="19">
        <f t="shared" si="5"/>
        <v>1.625283373</v>
      </c>
    </row>
    <row r="220">
      <c r="A220" s="8">
        <f t="shared" si="3"/>
        <v>219</v>
      </c>
      <c r="B220" s="8" t="s">
        <v>26</v>
      </c>
      <c r="C220" s="8" t="s">
        <v>40</v>
      </c>
      <c r="D220" s="8">
        <v>0.0</v>
      </c>
      <c r="E220" s="8" t="s">
        <v>1702</v>
      </c>
      <c r="F220" s="8"/>
      <c r="G220" s="8"/>
      <c r="H220" s="111"/>
      <c r="I220" s="8"/>
      <c r="J220" s="8"/>
      <c r="K220" s="8"/>
      <c r="L220" s="8" t="s">
        <v>93</v>
      </c>
      <c r="M220" s="8" t="s">
        <v>598</v>
      </c>
      <c r="N220" s="8" t="s">
        <v>1471</v>
      </c>
      <c r="O220" s="8" t="s">
        <v>24</v>
      </c>
      <c r="P220" s="9">
        <v>-2.75</v>
      </c>
      <c r="Q220" s="9">
        <v>0.25</v>
      </c>
      <c r="R220" s="9">
        <v>0.25</v>
      </c>
      <c r="S220" s="10">
        <v>45591.0</v>
      </c>
      <c r="T220" s="11">
        <v>1.8</v>
      </c>
      <c r="U220" s="8" t="s">
        <v>33</v>
      </c>
      <c r="V220" s="12">
        <f t="shared" si="1"/>
        <v>0.2</v>
      </c>
      <c r="W220" s="12">
        <f t="shared" si="5"/>
        <v>1.825283373</v>
      </c>
    </row>
    <row r="221">
      <c r="A221" s="15">
        <f t="shared" si="3"/>
        <v>220</v>
      </c>
      <c r="B221" s="15" t="s">
        <v>26</v>
      </c>
      <c r="C221" s="15" t="s">
        <v>19</v>
      </c>
      <c r="D221" s="15">
        <v>0.0</v>
      </c>
      <c r="E221" s="15" t="s">
        <v>1703</v>
      </c>
      <c r="F221" s="15">
        <v>1.0</v>
      </c>
      <c r="G221" s="15">
        <v>5.0</v>
      </c>
      <c r="H221" s="110">
        <f>6/(17*2)</f>
        <v>0.1764705882</v>
      </c>
      <c r="I221" s="15"/>
      <c r="J221" s="15"/>
      <c r="K221" s="15"/>
      <c r="L221" s="15" t="s">
        <v>115</v>
      </c>
      <c r="M221" s="15" t="s">
        <v>598</v>
      </c>
      <c r="N221" s="15" t="s">
        <v>1471</v>
      </c>
      <c r="O221" s="15" t="s">
        <v>24</v>
      </c>
      <c r="P221" s="16">
        <v>-2.0</v>
      </c>
      <c r="Q221" s="16">
        <v>0.6</v>
      </c>
      <c r="R221" s="16">
        <v>0.3</v>
      </c>
      <c r="S221" s="17">
        <v>45591.0</v>
      </c>
      <c r="T221" s="18">
        <v>1.8</v>
      </c>
      <c r="U221" s="15" t="s">
        <v>25</v>
      </c>
      <c r="V221" s="19">
        <f t="shared" si="1"/>
        <v>-0.3</v>
      </c>
      <c r="W221" s="19">
        <f t="shared" si="5"/>
        <v>1.525283373</v>
      </c>
    </row>
    <row r="222">
      <c r="A222" s="8">
        <f t="shared" si="3"/>
        <v>221</v>
      </c>
      <c r="B222" s="8" t="s">
        <v>26</v>
      </c>
      <c r="C222" s="8" t="s">
        <v>19</v>
      </c>
      <c r="D222" s="8">
        <v>19.0</v>
      </c>
      <c r="E222" s="8" t="s">
        <v>1704</v>
      </c>
      <c r="F222" s="8">
        <v>11.0</v>
      </c>
      <c r="G222" s="8">
        <v>2.0</v>
      </c>
      <c r="H222" s="111">
        <f>5/(15*2)</f>
        <v>0.1666666667</v>
      </c>
      <c r="I222" s="8" t="s">
        <v>1479</v>
      </c>
      <c r="J222" s="8" t="s">
        <v>1480</v>
      </c>
      <c r="K222" s="8">
        <v>0.0</v>
      </c>
      <c r="L222" s="8" t="s">
        <v>273</v>
      </c>
      <c r="M222" s="8" t="s">
        <v>22</v>
      </c>
      <c r="N222" s="8" t="s">
        <v>892</v>
      </c>
      <c r="O222" s="8" t="s">
        <v>24</v>
      </c>
      <c r="P222" s="9">
        <v>0.0</v>
      </c>
      <c r="Q222" s="9">
        <v>0.5</v>
      </c>
      <c r="R222" s="9">
        <v>0.5</v>
      </c>
      <c r="S222" s="10">
        <v>45591.0</v>
      </c>
      <c r="T222" s="11">
        <v>1.775</v>
      </c>
      <c r="U222" s="8" t="s">
        <v>25</v>
      </c>
      <c r="V222" s="12">
        <f t="shared" si="1"/>
        <v>-0.5</v>
      </c>
      <c r="W222" s="12">
        <f t="shared" si="5"/>
        <v>1.025283373</v>
      </c>
    </row>
    <row r="223">
      <c r="A223" s="15">
        <f t="shared" si="3"/>
        <v>222</v>
      </c>
      <c r="B223" s="15" t="s">
        <v>26</v>
      </c>
      <c r="C223" s="15" t="s">
        <v>19</v>
      </c>
      <c r="D223" s="15">
        <v>70.0</v>
      </c>
      <c r="E223" s="15" t="s">
        <v>1705</v>
      </c>
      <c r="F223" s="15">
        <v>8.0</v>
      </c>
      <c r="G223" s="15">
        <v>5.0</v>
      </c>
      <c r="H223" s="110">
        <f>9/(9*2)</f>
        <v>0.5</v>
      </c>
      <c r="I223" s="15" t="s">
        <v>1479</v>
      </c>
      <c r="J223" s="15" t="s">
        <v>1480</v>
      </c>
      <c r="K223" s="15">
        <v>-1.0</v>
      </c>
      <c r="L223" s="15" t="s">
        <v>675</v>
      </c>
      <c r="M223" s="15" t="s">
        <v>22</v>
      </c>
      <c r="N223" s="15" t="s">
        <v>892</v>
      </c>
      <c r="O223" s="15" t="s">
        <v>24</v>
      </c>
      <c r="P223" s="16">
        <v>0.0</v>
      </c>
      <c r="Q223" s="16">
        <v>0.25</v>
      </c>
      <c r="R223" s="16">
        <v>0.25</v>
      </c>
      <c r="S223" s="17">
        <v>45591.0</v>
      </c>
      <c r="T223" s="18">
        <v>2.3</v>
      </c>
      <c r="U223" s="15" t="s">
        <v>33</v>
      </c>
      <c r="V223" s="19">
        <f t="shared" si="1"/>
        <v>0.325</v>
      </c>
      <c r="W223" s="19">
        <f t="shared" si="5"/>
        <v>1.350283373</v>
      </c>
    </row>
    <row r="224">
      <c r="A224" s="8">
        <f t="shared" si="3"/>
        <v>223</v>
      </c>
      <c r="B224" s="8" t="s">
        <v>26</v>
      </c>
      <c r="C224" s="8" t="s">
        <v>19</v>
      </c>
      <c r="D224" s="8">
        <v>30.0</v>
      </c>
      <c r="E224" s="8" t="s">
        <v>1706</v>
      </c>
      <c r="F224" s="8">
        <v>10.0</v>
      </c>
      <c r="G224" s="8">
        <v>8.0</v>
      </c>
      <c r="H224" s="111">
        <f>14/(17*2)</f>
        <v>0.4117647059</v>
      </c>
      <c r="I224" s="8" t="s">
        <v>1473</v>
      </c>
      <c r="J224" s="8" t="s">
        <v>1480</v>
      </c>
      <c r="K224" s="8">
        <v>-1.0</v>
      </c>
      <c r="L224" s="8" t="s">
        <v>44</v>
      </c>
      <c r="M224" s="8" t="s">
        <v>22</v>
      </c>
      <c r="N224" s="8" t="s">
        <v>892</v>
      </c>
      <c r="O224" s="8" t="s">
        <v>24</v>
      </c>
      <c r="P224" s="9">
        <v>0.0</v>
      </c>
      <c r="Q224" s="9">
        <v>0.5</v>
      </c>
      <c r="R224" s="9">
        <v>0.5</v>
      </c>
      <c r="S224" s="10">
        <v>45591.0</v>
      </c>
      <c r="T224" s="11">
        <f>258/250</f>
        <v>1.032</v>
      </c>
      <c r="U224" s="8" t="s">
        <v>33</v>
      </c>
      <c r="V224" s="12">
        <f t="shared" si="1"/>
        <v>0.016</v>
      </c>
      <c r="W224" s="12">
        <f t="shared" si="5"/>
        <v>1.366283373</v>
      </c>
    </row>
    <row r="225">
      <c r="A225" s="15">
        <f t="shared" si="3"/>
        <v>224</v>
      </c>
      <c r="B225" s="15" t="s">
        <v>26</v>
      </c>
      <c r="C225" s="15" t="s">
        <v>19</v>
      </c>
      <c r="D225" s="15">
        <v>0.0</v>
      </c>
      <c r="E225" s="15" t="s">
        <v>1707</v>
      </c>
      <c r="F225" s="15">
        <v>2.0</v>
      </c>
      <c r="G225" s="15">
        <v>4.0</v>
      </c>
      <c r="H225" s="112">
        <f>22/(15*2)</f>
        <v>0.7333333333</v>
      </c>
      <c r="I225" s="15"/>
      <c r="J225" s="15"/>
      <c r="K225" s="15"/>
      <c r="L225" s="15" t="s">
        <v>1470</v>
      </c>
      <c r="M225" s="15" t="s">
        <v>598</v>
      </c>
      <c r="N225" s="15" t="s">
        <v>1471</v>
      </c>
      <c r="O225" s="15" t="s">
        <v>24</v>
      </c>
      <c r="P225" s="16">
        <v>-2.0</v>
      </c>
      <c r="Q225" s="16">
        <v>0.3</v>
      </c>
      <c r="R225" s="16">
        <v>0.3</v>
      </c>
      <c r="S225" s="17">
        <v>45591.0</v>
      </c>
      <c r="T225" s="18">
        <v>1.95</v>
      </c>
      <c r="U225" s="15" t="s">
        <v>25</v>
      </c>
      <c r="V225" s="19">
        <f t="shared" si="1"/>
        <v>-0.3</v>
      </c>
      <c r="W225" s="19">
        <f t="shared" si="5"/>
        <v>1.066283373</v>
      </c>
    </row>
    <row r="226">
      <c r="A226" s="8">
        <f t="shared" si="3"/>
        <v>225</v>
      </c>
      <c r="B226" s="8" t="s">
        <v>26</v>
      </c>
      <c r="C226" s="8" t="s">
        <v>19</v>
      </c>
      <c r="D226" s="8">
        <v>0.0</v>
      </c>
      <c r="E226" s="8" t="s">
        <v>1708</v>
      </c>
      <c r="F226" s="8"/>
      <c r="G226" s="8"/>
      <c r="H226" s="8"/>
      <c r="I226" s="8" t="s">
        <v>1473</v>
      </c>
      <c r="J226" s="8" t="s">
        <v>1474</v>
      </c>
      <c r="K226" s="8">
        <v>0.0</v>
      </c>
      <c r="L226" s="8" t="s">
        <v>82</v>
      </c>
      <c r="M226" s="8" t="s">
        <v>598</v>
      </c>
      <c r="N226" s="8" t="s">
        <v>225</v>
      </c>
      <c r="O226" s="8" t="s">
        <v>39</v>
      </c>
      <c r="P226" s="9">
        <v>1.5</v>
      </c>
      <c r="Q226" s="9">
        <v>0.05</v>
      </c>
      <c r="R226" s="9">
        <v>0.05</v>
      </c>
      <c r="S226" s="10">
        <v>45591.0</v>
      </c>
      <c r="T226" s="11">
        <f>72/50</f>
        <v>1.44</v>
      </c>
      <c r="U226" s="8" t="s">
        <v>33</v>
      </c>
      <c r="V226" s="12">
        <f t="shared" si="1"/>
        <v>0.022</v>
      </c>
      <c r="W226" s="12">
        <f t="shared" si="5"/>
        <v>1.088283373</v>
      </c>
    </row>
    <row r="227">
      <c r="A227" s="15">
        <f t="shared" si="3"/>
        <v>226</v>
      </c>
      <c r="B227" s="15" t="s">
        <v>26</v>
      </c>
      <c r="C227" s="15" t="s">
        <v>19</v>
      </c>
      <c r="D227" s="15">
        <v>0.0</v>
      </c>
      <c r="E227" s="15" t="s">
        <v>1709</v>
      </c>
      <c r="F227" s="15">
        <v>15.0</v>
      </c>
      <c r="G227" s="15">
        <v>14.0</v>
      </c>
      <c r="H227" s="112">
        <f>5/(15*2)</f>
        <v>0.1666666667</v>
      </c>
      <c r="I227" s="15"/>
      <c r="J227" s="15"/>
      <c r="K227" s="15"/>
      <c r="L227" s="15" t="s">
        <v>106</v>
      </c>
      <c r="M227" s="15" t="s">
        <v>598</v>
      </c>
      <c r="N227" s="15" t="s">
        <v>1471</v>
      </c>
      <c r="O227" s="15" t="s">
        <v>24</v>
      </c>
      <c r="P227" s="16">
        <v>-2.0</v>
      </c>
      <c r="Q227" s="16">
        <v>0.3</v>
      </c>
      <c r="R227" s="16">
        <v>0.3</v>
      </c>
      <c r="S227" s="17">
        <v>45591.0</v>
      </c>
      <c r="T227" s="18">
        <v>2.05</v>
      </c>
      <c r="U227" s="15" t="s">
        <v>25</v>
      </c>
      <c r="V227" s="19">
        <f t="shared" si="1"/>
        <v>-0.3</v>
      </c>
      <c r="W227" s="19">
        <f t="shared" si="5"/>
        <v>0.7882833733</v>
      </c>
    </row>
    <row r="228">
      <c r="A228" s="8">
        <f t="shared" si="3"/>
        <v>227</v>
      </c>
      <c r="B228" s="8" t="s">
        <v>26</v>
      </c>
      <c r="C228" s="8" t="s">
        <v>19</v>
      </c>
      <c r="D228" s="8">
        <v>14.0</v>
      </c>
      <c r="E228" s="8" t="s">
        <v>1710</v>
      </c>
      <c r="F228" s="8">
        <v>15.0</v>
      </c>
      <c r="G228" s="8">
        <v>11.0</v>
      </c>
      <c r="H228" s="109">
        <f>22/(15*2)</f>
        <v>0.7333333333</v>
      </c>
      <c r="I228" s="8" t="s">
        <v>1479</v>
      </c>
      <c r="J228" s="8" t="s">
        <v>1480</v>
      </c>
      <c r="K228" s="8">
        <v>0.0</v>
      </c>
      <c r="L228" s="8" t="s">
        <v>1470</v>
      </c>
      <c r="M228" s="8" t="s">
        <v>22</v>
      </c>
      <c r="N228" s="8" t="s">
        <v>892</v>
      </c>
      <c r="O228" s="8" t="s">
        <v>24</v>
      </c>
      <c r="P228" s="9">
        <v>0.0</v>
      </c>
      <c r="Q228" s="9">
        <v>0.25</v>
      </c>
      <c r="R228" s="9">
        <v>0.25</v>
      </c>
      <c r="S228" s="10">
        <v>45591.0</v>
      </c>
      <c r="T228" s="11">
        <v>1.62668</v>
      </c>
      <c r="U228" s="8" t="s">
        <v>33</v>
      </c>
      <c r="V228" s="12">
        <f t="shared" si="1"/>
        <v>0.15667</v>
      </c>
      <c r="W228" s="12">
        <f t="shared" si="5"/>
        <v>0.9449533733</v>
      </c>
    </row>
    <row r="229">
      <c r="A229" s="15">
        <f t="shared" si="3"/>
        <v>228</v>
      </c>
      <c r="B229" s="15" t="s">
        <v>137</v>
      </c>
      <c r="C229" s="15" t="s">
        <v>19</v>
      </c>
      <c r="D229" s="15">
        <v>66.0</v>
      </c>
      <c r="E229" s="15" t="s">
        <v>1711</v>
      </c>
      <c r="F229" s="15">
        <v>3.0</v>
      </c>
      <c r="G229" s="15">
        <v>1.0</v>
      </c>
      <c r="H229" s="112">
        <f>8/(9*2)</f>
        <v>0.4444444444</v>
      </c>
      <c r="I229" s="15" t="s">
        <v>1479</v>
      </c>
      <c r="J229" s="15" t="s">
        <v>1480</v>
      </c>
      <c r="K229" s="15">
        <v>-2.0</v>
      </c>
      <c r="L229" s="15" t="s">
        <v>583</v>
      </c>
      <c r="M229" s="15" t="s">
        <v>22</v>
      </c>
      <c r="N229" s="15" t="s">
        <v>892</v>
      </c>
      <c r="O229" s="15" t="s">
        <v>24</v>
      </c>
      <c r="P229" s="16">
        <v>0.0</v>
      </c>
      <c r="Q229" s="16">
        <v>0.25</v>
      </c>
      <c r="R229" s="16">
        <v>0.25</v>
      </c>
      <c r="S229" s="17">
        <v>45591.0</v>
      </c>
      <c r="T229" s="18">
        <v>2.25</v>
      </c>
      <c r="U229" s="15" t="s">
        <v>33</v>
      </c>
      <c r="V229" s="19">
        <f t="shared" si="1"/>
        <v>0.3125</v>
      </c>
      <c r="W229" s="19">
        <f t="shared" si="5"/>
        <v>1.257453373</v>
      </c>
    </row>
    <row r="230">
      <c r="A230" s="8">
        <f t="shared" si="3"/>
        <v>229</v>
      </c>
      <c r="B230" s="8" t="s">
        <v>26</v>
      </c>
      <c r="C230" s="8" t="s">
        <v>19</v>
      </c>
      <c r="D230" s="8"/>
      <c r="E230" s="8" t="s">
        <v>1704</v>
      </c>
      <c r="F230" s="8">
        <v>11.0</v>
      </c>
      <c r="G230" s="8">
        <v>2.0</v>
      </c>
      <c r="H230" s="109">
        <f>5/(15*2)</f>
        <v>0.1666666667</v>
      </c>
      <c r="I230" s="8" t="s">
        <v>1479</v>
      </c>
      <c r="J230" s="8" t="s">
        <v>1480</v>
      </c>
      <c r="K230" s="8">
        <v>-1.0</v>
      </c>
      <c r="L230" s="8" t="s">
        <v>273</v>
      </c>
      <c r="M230" s="8" t="s">
        <v>22</v>
      </c>
      <c r="N230" s="8" t="s">
        <v>892</v>
      </c>
      <c r="O230" s="8" t="s">
        <v>24</v>
      </c>
      <c r="P230" s="9">
        <v>0.0</v>
      </c>
      <c r="Q230" s="9">
        <v>0.1</v>
      </c>
      <c r="R230" s="9">
        <v>0.1</v>
      </c>
      <c r="S230" s="10">
        <v>45591.0</v>
      </c>
      <c r="T230" s="11">
        <v>1.85</v>
      </c>
      <c r="U230" s="8" t="s">
        <v>70</v>
      </c>
      <c r="V230" s="12">
        <f t="shared" si="1"/>
        <v>0</v>
      </c>
      <c r="W230" s="12">
        <f t="shared" si="5"/>
        <v>1.257453373</v>
      </c>
    </row>
    <row r="231">
      <c r="A231" s="15">
        <f t="shared" si="3"/>
        <v>230</v>
      </c>
      <c r="B231" s="15" t="s">
        <v>26</v>
      </c>
      <c r="C231" s="15" t="s">
        <v>19</v>
      </c>
      <c r="D231" s="15">
        <v>77.0</v>
      </c>
      <c r="E231" s="15" t="s">
        <v>1712</v>
      </c>
      <c r="F231" s="15"/>
      <c r="G231" s="15"/>
      <c r="H231" s="15"/>
      <c r="I231" s="15" t="s">
        <v>1479</v>
      </c>
      <c r="J231" s="15" t="s">
        <v>1480</v>
      </c>
      <c r="K231" s="15">
        <v>-1.0</v>
      </c>
      <c r="L231" s="15" t="s">
        <v>1493</v>
      </c>
      <c r="M231" s="15" t="s">
        <v>22</v>
      </c>
      <c r="N231" s="15" t="s">
        <v>892</v>
      </c>
      <c r="O231" s="15" t="s">
        <v>24</v>
      </c>
      <c r="P231" s="16">
        <v>0.0</v>
      </c>
      <c r="Q231" s="16">
        <v>0.25</v>
      </c>
      <c r="R231" s="16">
        <v>0.25</v>
      </c>
      <c r="S231" s="17">
        <v>45591.0</v>
      </c>
      <c r="T231" s="18">
        <v>1.8</v>
      </c>
      <c r="U231" s="15" t="s">
        <v>70</v>
      </c>
      <c r="V231" s="19">
        <f t="shared" si="1"/>
        <v>0</v>
      </c>
      <c r="W231" s="19">
        <f t="shared" si="5"/>
        <v>1.257453373</v>
      </c>
    </row>
    <row r="232">
      <c r="A232" s="8">
        <f t="shared" si="3"/>
        <v>231</v>
      </c>
      <c r="B232" s="8" t="s">
        <v>26</v>
      </c>
      <c r="C232" s="8" t="s">
        <v>19</v>
      </c>
      <c r="D232" s="8">
        <v>35.0</v>
      </c>
      <c r="E232" s="96" t="s">
        <v>1710</v>
      </c>
      <c r="F232" s="8">
        <v>15.0</v>
      </c>
      <c r="G232" s="8">
        <v>11.0</v>
      </c>
      <c r="H232" s="109">
        <f>22/(15*2)</f>
        <v>0.7333333333</v>
      </c>
      <c r="I232" s="8" t="s">
        <v>1479</v>
      </c>
      <c r="J232" s="8" t="s">
        <v>1480</v>
      </c>
      <c r="K232" s="8">
        <v>0.0</v>
      </c>
      <c r="L232" s="8" t="s">
        <v>1470</v>
      </c>
      <c r="M232" s="8" t="s">
        <v>22</v>
      </c>
      <c r="N232" s="8" t="s">
        <v>892</v>
      </c>
      <c r="O232" s="8" t="s">
        <v>24</v>
      </c>
      <c r="P232" s="9">
        <v>0.0</v>
      </c>
      <c r="Q232" s="9">
        <v>0.4</v>
      </c>
      <c r="R232" s="9">
        <v>0.4</v>
      </c>
      <c r="S232" s="10">
        <v>45591.0</v>
      </c>
      <c r="T232" s="11">
        <v>1.725</v>
      </c>
      <c r="U232" s="8" t="s">
        <v>70</v>
      </c>
      <c r="V232" s="12">
        <f t="shared" si="1"/>
        <v>0</v>
      </c>
      <c r="W232" s="12">
        <f t="shared" si="5"/>
        <v>1.257453373</v>
      </c>
    </row>
    <row r="233">
      <c r="A233" s="15">
        <f t="shared" si="3"/>
        <v>232</v>
      </c>
      <c r="B233" s="15" t="s">
        <v>26</v>
      </c>
      <c r="C233" s="15" t="s">
        <v>19</v>
      </c>
      <c r="D233" s="15">
        <v>0.0</v>
      </c>
      <c r="E233" s="15" t="s">
        <v>1713</v>
      </c>
      <c r="F233" s="15">
        <v>13.0</v>
      </c>
      <c r="G233" s="15">
        <v>7.0</v>
      </c>
      <c r="H233" s="112">
        <f>6/(15*2)</f>
        <v>0.2</v>
      </c>
      <c r="I233" s="15"/>
      <c r="J233" s="15"/>
      <c r="K233" s="15"/>
      <c r="L233" s="15" t="s">
        <v>659</v>
      </c>
      <c r="M233" s="15" t="s">
        <v>598</v>
      </c>
      <c r="N233" s="15" t="s">
        <v>1471</v>
      </c>
      <c r="O233" s="15" t="s">
        <v>24</v>
      </c>
      <c r="P233" s="16">
        <v>-2.0</v>
      </c>
      <c r="Q233" s="16">
        <v>0.3</v>
      </c>
      <c r="R233" s="16">
        <v>0.3</v>
      </c>
      <c r="S233" s="17">
        <v>45591.0</v>
      </c>
      <c r="T233" s="18">
        <v>2.025</v>
      </c>
      <c r="U233" s="15" t="s">
        <v>33</v>
      </c>
      <c r="V233" s="19">
        <f t="shared" si="1"/>
        <v>0.3075</v>
      </c>
      <c r="W233" s="19">
        <f t="shared" si="5"/>
        <v>1.564953373</v>
      </c>
    </row>
    <row r="234">
      <c r="A234" s="8">
        <f t="shared" si="3"/>
        <v>233</v>
      </c>
      <c r="B234" s="8" t="s">
        <v>26</v>
      </c>
      <c r="C234" s="8" t="s">
        <v>19</v>
      </c>
      <c r="D234" s="8">
        <v>0.0</v>
      </c>
      <c r="E234" s="8" t="s">
        <v>1714</v>
      </c>
      <c r="F234" s="8"/>
      <c r="G234" s="8"/>
      <c r="H234" s="8"/>
      <c r="I234" s="8"/>
      <c r="J234" s="8"/>
      <c r="K234" s="8"/>
      <c r="L234" s="8" t="s">
        <v>93</v>
      </c>
      <c r="M234" s="8" t="s">
        <v>598</v>
      </c>
      <c r="N234" s="8" t="s">
        <v>1471</v>
      </c>
      <c r="O234" s="8" t="s">
        <v>24</v>
      </c>
      <c r="P234" s="9">
        <v>-3.0</v>
      </c>
      <c r="Q234" s="9">
        <v>0.25</v>
      </c>
      <c r="R234" s="9">
        <v>0.25</v>
      </c>
      <c r="S234" s="10">
        <v>45591.0</v>
      </c>
      <c r="T234" s="11">
        <v>1.9</v>
      </c>
      <c r="U234" s="8" t="s">
        <v>25</v>
      </c>
      <c r="V234" s="12">
        <f t="shared" si="1"/>
        <v>-0.25</v>
      </c>
      <c r="W234" s="12">
        <f t="shared" si="5"/>
        <v>1.314953373</v>
      </c>
    </row>
    <row r="235">
      <c r="A235" s="15">
        <f t="shared" si="3"/>
        <v>234</v>
      </c>
      <c r="B235" s="15" t="s">
        <v>137</v>
      </c>
      <c r="C235" s="15" t="s">
        <v>19</v>
      </c>
      <c r="D235" s="15">
        <v>52.0</v>
      </c>
      <c r="E235" s="15" t="s">
        <v>1715</v>
      </c>
      <c r="F235" s="15"/>
      <c r="G235" s="15"/>
      <c r="H235" s="15"/>
      <c r="I235" s="15" t="s">
        <v>1473</v>
      </c>
      <c r="J235" s="15" t="s">
        <v>1480</v>
      </c>
      <c r="K235" s="15">
        <v>0.0</v>
      </c>
      <c r="L235" s="15" t="s">
        <v>121</v>
      </c>
      <c r="M235" s="15" t="s">
        <v>22</v>
      </c>
      <c r="N235" s="15" t="s">
        <v>892</v>
      </c>
      <c r="O235" s="15" t="s">
        <v>24</v>
      </c>
      <c r="P235" s="16">
        <v>0.0</v>
      </c>
      <c r="Q235" s="16">
        <v>0.25</v>
      </c>
      <c r="R235" s="16">
        <v>0.2302</v>
      </c>
      <c r="S235" s="17">
        <v>45591.0</v>
      </c>
      <c r="T235" s="18">
        <v>1.625</v>
      </c>
      <c r="U235" s="15" t="s">
        <v>33</v>
      </c>
      <c r="V235" s="19">
        <f t="shared" si="1"/>
        <v>0.143875</v>
      </c>
      <c r="W235" s="19">
        <f t="shared" si="5"/>
        <v>1.458828373</v>
      </c>
    </row>
    <row r="236">
      <c r="A236" s="8">
        <f t="shared" si="3"/>
        <v>235</v>
      </c>
      <c r="B236" s="8" t="s">
        <v>137</v>
      </c>
      <c r="C236" s="8" t="s">
        <v>19</v>
      </c>
      <c r="D236" s="8"/>
      <c r="E236" s="8" t="s">
        <v>1716</v>
      </c>
      <c r="F236" s="8">
        <v>16.0</v>
      </c>
      <c r="G236" s="8">
        <v>14.0</v>
      </c>
      <c r="H236" s="109">
        <f>5/(17*2)</f>
        <v>0.1470588235</v>
      </c>
      <c r="I236" s="8" t="s">
        <v>1479</v>
      </c>
      <c r="J236" s="8" t="s">
        <v>1480</v>
      </c>
      <c r="K236" s="8">
        <v>0.0</v>
      </c>
      <c r="L236" s="8" t="s">
        <v>1717</v>
      </c>
      <c r="M236" s="8" t="s">
        <v>22</v>
      </c>
      <c r="N236" s="8" t="s">
        <v>892</v>
      </c>
      <c r="O236" s="8" t="s">
        <v>24</v>
      </c>
      <c r="P236" s="9">
        <v>0.0</v>
      </c>
      <c r="Q236" s="9">
        <v>0.5</v>
      </c>
      <c r="R236" s="9">
        <v>0.5</v>
      </c>
      <c r="S236" s="10">
        <v>45591.0</v>
      </c>
      <c r="T236" s="11">
        <v>1.7</v>
      </c>
      <c r="U236" s="8" t="s">
        <v>70</v>
      </c>
      <c r="V236" s="12">
        <f t="shared" si="1"/>
        <v>0</v>
      </c>
      <c r="W236" s="12">
        <f t="shared" si="5"/>
        <v>1.458828373</v>
      </c>
    </row>
    <row r="237">
      <c r="A237" s="15">
        <f t="shared" si="3"/>
        <v>236</v>
      </c>
      <c r="B237" s="15" t="s">
        <v>26</v>
      </c>
      <c r="C237" s="15" t="s">
        <v>19</v>
      </c>
      <c r="D237" s="15"/>
      <c r="E237" s="15" t="s">
        <v>1718</v>
      </c>
      <c r="F237" s="15"/>
      <c r="G237" s="15"/>
      <c r="H237" s="15"/>
      <c r="I237" s="15" t="s">
        <v>1473</v>
      </c>
      <c r="J237" s="15" t="s">
        <v>1480</v>
      </c>
      <c r="K237" s="15">
        <v>-1.0</v>
      </c>
      <c r="L237" s="15" t="s">
        <v>853</v>
      </c>
      <c r="M237" s="15" t="s">
        <v>22</v>
      </c>
      <c r="N237" s="15" t="s">
        <v>892</v>
      </c>
      <c r="O237" s="15" t="s">
        <v>24</v>
      </c>
      <c r="P237" s="16">
        <v>0.0</v>
      </c>
      <c r="Q237" s="16">
        <v>0.25</v>
      </c>
      <c r="R237" s="16">
        <v>0.25</v>
      </c>
      <c r="S237" s="17">
        <v>45591.0</v>
      </c>
      <c r="T237" s="18">
        <v>2.025</v>
      </c>
      <c r="U237" s="15" t="s">
        <v>33</v>
      </c>
      <c r="V237" s="19">
        <f t="shared" si="1"/>
        <v>0.25625</v>
      </c>
      <c r="W237" s="19">
        <f t="shared" si="5"/>
        <v>1.715078373</v>
      </c>
    </row>
    <row r="238">
      <c r="A238" s="8">
        <f t="shared" si="3"/>
        <v>237</v>
      </c>
      <c r="B238" s="8" t="s">
        <v>26</v>
      </c>
      <c r="C238" s="8" t="s">
        <v>19</v>
      </c>
      <c r="D238" s="8"/>
      <c r="E238" s="8" t="s">
        <v>1719</v>
      </c>
      <c r="F238" s="8">
        <v>9.0</v>
      </c>
      <c r="G238" s="8">
        <v>5.0</v>
      </c>
      <c r="H238" s="109">
        <f>8/(15*2)</f>
        <v>0.2666666667</v>
      </c>
      <c r="I238" s="8" t="s">
        <v>1479</v>
      </c>
      <c r="J238" s="8" t="s">
        <v>1480</v>
      </c>
      <c r="K238" s="8">
        <v>0.0</v>
      </c>
      <c r="L238" s="8" t="s">
        <v>93</v>
      </c>
      <c r="M238" s="8" t="s">
        <v>22</v>
      </c>
      <c r="N238" s="8" t="s">
        <v>892</v>
      </c>
      <c r="O238" s="8" t="s">
        <v>24</v>
      </c>
      <c r="P238" s="9">
        <v>0.0</v>
      </c>
      <c r="Q238" s="9">
        <v>0.1</v>
      </c>
      <c r="R238" s="9">
        <v>0.0968</v>
      </c>
      <c r="S238" s="10">
        <v>45591.0</v>
      </c>
      <c r="T238" s="11">
        <v>1.85</v>
      </c>
      <c r="U238" s="8" t="s">
        <v>25</v>
      </c>
      <c r="V238" s="12">
        <f t="shared" si="1"/>
        <v>-0.0968</v>
      </c>
      <c r="W238" s="12">
        <f t="shared" si="5"/>
        <v>1.618278373</v>
      </c>
    </row>
    <row r="239">
      <c r="A239" s="15">
        <f t="shared" si="3"/>
        <v>238</v>
      </c>
      <c r="B239" s="15" t="s">
        <v>26</v>
      </c>
      <c r="C239" s="15" t="s">
        <v>19</v>
      </c>
      <c r="D239" s="15"/>
      <c r="E239" s="15" t="s">
        <v>1720</v>
      </c>
      <c r="F239" s="15"/>
      <c r="G239" s="15"/>
      <c r="H239" s="15"/>
      <c r="I239" s="15" t="s">
        <v>1473</v>
      </c>
      <c r="J239" s="15" t="s">
        <v>1480</v>
      </c>
      <c r="K239" s="15">
        <v>-1.0</v>
      </c>
      <c r="L239" s="15" t="s">
        <v>66</v>
      </c>
      <c r="M239" s="15" t="s">
        <v>22</v>
      </c>
      <c r="N239" s="15" t="s">
        <v>892</v>
      </c>
      <c r="O239" s="15" t="s">
        <v>24</v>
      </c>
      <c r="P239" s="16">
        <v>0.0</v>
      </c>
      <c r="Q239" s="16">
        <v>0.25</v>
      </c>
      <c r="R239" s="16">
        <v>0.2381</v>
      </c>
      <c r="S239" s="17">
        <v>45591.0</v>
      </c>
      <c r="T239" s="18">
        <v>2.1</v>
      </c>
      <c r="U239" s="15" t="s">
        <v>70</v>
      </c>
      <c r="V239" s="19">
        <f t="shared" si="1"/>
        <v>0</v>
      </c>
      <c r="W239" s="19">
        <f t="shared" si="5"/>
        <v>1.618278373</v>
      </c>
    </row>
    <row r="240">
      <c r="A240" s="8">
        <f t="shared" si="3"/>
        <v>239</v>
      </c>
      <c r="B240" s="8" t="s">
        <v>26</v>
      </c>
      <c r="C240" s="8" t="s">
        <v>19</v>
      </c>
      <c r="D240" s="8">
        <v>0.0</v>
      </c>
      <c r="E240" s="8" t="s">
        <v>1721</v>
      </c>
      <c r="F240" s="8">
        <v>16.0</v>
      </c>
      <c r="G240" s="8">
        <v>13.0</v>
      </c>
      <c r="H240" s="109">
        <f>13/(17*2)</f>
        <v>0.3823529412</v>
      </c>
      <c r="I240" s="8"/>
      <c r="J240" s="8"/>
      <c r="K240" s="8"/>
      <c r="L240" s="8" t="s">
        <v>432</v>
      </c>
      <c r="M240" s="8" t="s">
        <v>598</v>
      </c>
      <c r="N240" s="8" t="s">
        <v>1471</v>
      </c>
      <c r="O240" s="8" t="s">
        <v>24</v>
      </c>
      <c r="P240" s="9">
        <v>-3.0</v>
      </c>
      <c r="Q240" s="9">
        <v>0.3</v>
      </c>
      <c r="R240" s="9">
        <v>0.2905</v>
      </c>
      <c r="S240" s="10">
        <v>45591.0</v>
      </c>
      <c r="T240" s="11">
        <v>1.75</v>
      </c>
      <c r="U240" s="8" t="s">
        <v>70</v>
      </c>
      <c r="V240" s="12">
        <f t="shared" si="1"/>
        <v>0</v>
      </c>
      <c r="W240" s="12">
        <f t="shared" si="5"/>
        <v>1.618278373</v>
      </c>
    </row>
    <row r="241">
      <c r="A241" s="15">
        <f t="shared" si="3"/>
        <v>240</v>
      </c>
      <c r="B241" s="15" t="s">
        <v>18</v>
      </c>
      <c r="C241" s="15" t="s">
        <v>19</v>
      </c>
      <c r="D241" s="15"/>
      <c r="E241" s="15" t="s">
        <v>1722</v>
      </c>
      <c r="F241" s="15"/>
      <c r="G241" s="15"/>
      <c r="H241" s="112"/>
      <c r="I241" s="15" t="s">
        <v>1473</v>
      </c>
      <c r="J241" s="15" t="s">
        <v>1480</v>
      </c>
      <c r="K241" s="15">
        <v>1.0</v>
      </c>
      <c r="L241" s="15" t="s">
        <v>341</v>
      </c>
      <c r="M241" s="15" t="s">
        <v>22</v>
      </c>
      <c r="N241" s="15" t="s">
        <v>892</v>
      </c>
      <c r="O241" s="15" t="s">
        <v>24</v>
      </c>
      <c r="P241" s="16">
        <v>0.0</v>
      </c>
      <c r="Q241" s="16">
        <v>0.4</v>
      </c>
      <c r="R241" s="16">
        <v>0.3873</v>
      </c>
      <c r="S241" s="17">
        <v>45591.0</v>
      </c>
      <c r="T241" s="18">
        <v>1.825</v>
      </c>
      <c r="U241" s="15" t="s">
        <v>70</v>
      </c>
      <c r="V241" s="19">
        <f t="shared" si="1"/>
        <v>0</v>
      </c>
      <c r="W241" s="19">
        <f t="shared" si="5"/>
        <v>1.618278373</v>
      </c>
    </row>
    <row r="242">
      <c r="A242" s="8">
        <f t="shared" si="3"/>
        <v>241</v>
      </c>
      <c r="B242" s="8" t="s">
        <v>26</v>
      </c>
      <c r="C242" s="8" t="s">
        <v>19</v>
      </c>
      <c r="D242" s="8">
        <v>76.0</v>
      </c>
      <c r="E242" s="8" t="s">
        <v>1723</v>
      </c>
      <c r="F242" s="8"/>
      <c r="G242" s="8"/>
      <c r="H242" s="109"/>
      <c r="I242" s="8" t="s">
        <v>1473</v>
      </c>
      <c r="J242" s="8" t="s">
        <v>1474</v>
      </c>
      <c r="K242" s="8">
        <v>0.0</v>
      </c>
      <c r="L242" s="8" t="s">
        <v>50</v>
      </c>
      <c r="M242" s="8" t="s">
        <v>22</v>
      </c>
      <c r="N242" s="8" t="s">
        <v>941</v>
      </c>
      <c r="O242" s="8" t="s">
        <v>24</v>
      </c>
      <c r="P242" s="9">
        <v>0.0</v>
      </c>
      <c r="Q242" s="9">
        <v>0.1</v>
      </c>
      <c r="R242" s="9">
        <v>0.1</v>
      </c>
      <c r="S242" s="10">
        <v>45591.0</v>
      </c>
      <c r="T242" s="11">
        <v>4.5</v>
      </c>
      <c r="U242" s="8" t="s">
        <v>70</v>
      </c>
      <c r="V242" s="12">
        <f t="shared" si="1"/>
        <v>0</v>
      </c>
      <c r="W242" s="12">
        <f t="shared" si="5"/>
        <v>1.618278373</v>
      </c>
    </row>
    <row r="243">
      <c r="A243" s="15">
        <f t="shared" si="3"/>
        <v>242</v>
      </c>
      <c r="B243" s="15" t="s">
        <v>26</v>
      </c>
      <c r="C243" s="15" t="s">
        <v>19</v>
      </c>
      <c r="D243" s="15">
        <v>0.0</v>
      </c>
      <c r="E243" s="15" t="s">
        <v>1724</v>
      </c>
      <c r="F243" s="15">
        <v>13.0</v>
      </c>
      <c r="G243" s="15">
        <v>9.0</v>
      </c>
      <c r="H243" s="112">
        <f t="shared" ref="H243:H244" si="18">5/(13*2)</f>
        <v>0.1923076923</v>
      </c>
      <c r="I243" s="15" t="s">
        <v>1473</v>
      </c>
      <c r="J243" s="15" t="s">
        <v>1480</v>
      </c>
      <c r="K243" s="15">
        <v>0.0</v>
      </c>
      <c r="L243" s="15" t="s">
        <v>66</v>
      </c>
      <c r="M243" s="15" t="s">
        <v>598</v>
      </c>
      <c r="N243" s="15" t="s">
        <v>892</v>
      </c>
      <c r="O243" s="15" t="s">
        <v>24</v>
      </c>
      <c r="P243" s="16">
        <v>0.0</v>
      </c>
      <c r="Q243" s="16">
        <v>0.1</v>
      </c>
      <c r="R243" s="16">
        <v>0.1</v>
      </c>
      <c r="S243" s="17">
        <v>45592.0</v>
      </c>
      <c r="T243" s="18">
        <v>1.775</v>
      </c>
      <c r="U243" s="15" t="s">
        <v>25</v>
      </c>
      <c r="V243" s="19">
        <f t="shared" si="1"/>
        <v>-0.1</v>
      </c>
      <c r="W243" s="19">
        <f t="shared" si="5"/>
        <v>1.518278373</v>
      </c>
    </row>
    <row r="244">
      <c r="A244" s="8">
        <f t="shared" si="3"/>
        <v>243</v>
      </c>
      <c r="B244" s="8" t="s">
        <v>26</v>
      </c>
      <c r="C244" s="8" t="s">
        <v>19</v>
      </c>
      <c r="D244" s="8">
        <v>0.0</v>
      </c>
      <c r="E244" s="8" t="s">
        <v>1725</v>
      </c>
      <c r="F244" s="8">
        <v>13.0</v>
      </c>
      <c r="G244" s="8">
        <v>9.0</v>
      </c>
      <c r="H244" s="109">
        <f t="shared" si="18"/>
        <v>0.1923076923</v>
      </c>
      <c r="I244" s="8"/>
      <c r="J244" s="8"/>
      <c r="K244" s="8"/>
      <c r="L244" s="8" t="s">
        <v>66</v>
      </c>
      <c r="M244" s="8" t="s">
        <v>598</v>
      </c>
      <c r="N244" s="8" t="s">
        <v>1471</v>
      </c>
      <c r="O244" s="8" t="s">
        <v>24</v>
      </c>
      <c r="P244" s="9">
        <v>-2.0</v>
      </c>
      <c r="Q244" s="9">
        <v>0.1</v>
      </c>
      <c r="R244" s="9">
        <v>0.1</v>
      </c>
      <c r="S244" s="10">
        <v>45592.0</v>
      </c>
      <c r="T244" s="11">
        <v>1.8</v>
      </c>
      <c r="U244" s="8" t="s">
        <v>25</v>
      </c>
      <c r="V244" s="12">
        <f t="shared" si="1"/>
        <v>-0.1</v>
      </c>
      <c r="W244" s="12">
        <f t="shared" si="5"/>
        <v>1.418278373</v>
      </c>
    </row>
    <row r="245">
      <c r="A245" s="15">
        <f t="shared" si="3"/>
        <v>244</v>
      </c>
      <c r="B245" s="15" t="s">
        <v>26</v>
      </c>
      <c r="C245" s="15" t="s">
        <v>19</v>
      </c>
      <c r="D245" s="15"/>
      <c r="E245" s="15" t="s">
        <v>1726</v>
      </c>
      <c r="F245" s="15">
        <v>8.0</v>
      </c>
      <c r="G245" s="15">
        <v>9.0</v>
      </c>
      <c r="H245" s="112"/>
      <c r="I245" s="15" t="s">
        <v>1473</v>
      </c>
      <c r="J245" s="15" t="s">
        <v>1474</v>
      </c>
      <c r="K245" s="15">
        <v>0.0</v>
      </c>
      <c r="L245" s="15" t="s">
        <v>920</v>
      </c>
      <c r="M245" s="15" t="s">
        <v>22</v>
      </c>
      <c r="N245" s="15" t="s">
        <v>225</v>
      </c>
      <c r="O245" s="15" t="s">
        <v>24</v>
      </c>
      <c r="P245" s="16">
        <v>0.25</v>
      </c>
      <c r="Q245" s="16">
        <v>0.25</v>
      </c>
      <c r="R245" s="16">
        <v>0.25</v>
      </c>
      <c r="S245" s="55">
        <v>45592.0</v>
      </c>
      <c r="T245" s="18">
        <v>1.725</v>
      </c>
      <c r="U245" s="15" t="s">
        <v>25</v>
      </c>
      <c r="V245" s="19">
        <f t="shared" si="1"/>
        <v>-0.25</v>
      </c>
      <c r="W245" s="19">
        <f t="shared" si="5"/>
        <v>1.168278373</v>
      </c>
    </row>
    <row r="246">
      <c r="A246" s="8">
        <f t="shared" si="3"/>
        <v>245</v>
      </c>
      <c r="B246" s="8" t="s">
        <v>18</v>
      </c>
      <c r="C246" s="8" t="s">
        <v>19</v>
      </c>
      <c r="D246" s="8"/>
      <c r="E246" s="8" t="s">
        <v>1727</v>
      </c>
      <c r="F246" s="8"/>
      <c r="G246" s="8"/>
      <c r="H246" s="109"/>
      <c r="I246" s="8" t="s">
        <v>1479</v>
      </c>
      <c r="J246" s="8" t="s">
        <v>1480</v>
      </c>
      <c r="K246" s="8">
        <v>0.0</v>
      </c>
      <c r="L246" s="8" t="s">
        <v>820</v>
      </c>
      <c r="M246" s="8" t="s">
        <v>22</v>
      </c>
      <c r="N246" s="8" t="s">
        <v>892</v>
      </c>
      <c r="O246" s="8" t="s">
        <v>24</v>
      </c>
      <c r="P246" s="9">
        <v>0.0</v>
      </c>
      <c r="Q246" s="9">
        <v>0.25</v>
      </c>
      <c r="R246" s="9">
        <v>0.25</v>
      </c>
      <c r="S246" s="10">
        <v>45592.0</v>
      </c>
      <c r="T246" s="11">
        <v>1.625</v>
      </c>
      <c r="U246" s="8" t="s">
        <v>33</v>
      </c>
      <c r="V246" s="12">
        <f t="shared" si="1"/>
        <v>0.15625</v>
      </c>
      <c r="W246" s="12">
        <f t="shared" si="5"/>
        <v>1.324528373</v>
      </c>
    </row>
    <row r="247">
      <c r="A247" s="15">
        <f t="shared" si="3"/>
        <v>246</v>
      </c>
      <c r="B247" s="15" t="s">
        <v>26</v>
      </c>
      <c r="C247" s="15" t="s">
        <v>19</v>
      </c>
      <c r="D247" s="15">
        <v>0.0</v>
      </c>
      <c r="E247" s="15" t="s">
        <v>1728</v>
      </c>
      <c r="F247" s="15">
        <v>14.0</v>
      </c>
      <c r="G247" s="15">
        <v>13.0</v>
      </c>
      <c r="H247" s="112">
        <f>12/(15*2)</f>
        <v>0.4</v>
      </c>
      <c r="I247" s="15"/>
      <c r="J247" s="15"/>
      <c r="K247" s="15"/>
      <c r="L247" s="15" t="s">
        <v>99</v>
      </c>
      <c r="M247" s="15" t="s">
        <v>598</v>
      </c>
      <c r="N247" s="15" t="s">
        <v>1471</v>
      </c>
      <c r="O247" s="15" t="s">
        <v>24</v>
      </c>
      <c r="P247" s="16">
        <v>-2.5</v>
      </c>
      <c r="Q247" s="16">
        <v>0.3</v>
      </c>
      <c r="R247" s="16">
        <v>0.3</v>
      </c>
      <c r="S247" s="17">
        <v>45592.0</v>
      </c>
      <c r="T247" s="18">
        <v>1.9</v>
      </c>
      <c r="U247" s="15" t="s">
        <v>33</v>
      </c>
      <c r="V247" s="19">
        <f t="shared" si="1"/>
        <v>0.27</v>
      </c>
      <c r="W247" s="19">
        <f t="shared" si="5"/>
        <v>1.594528373</v>
      </c>
    </row>
    <row r="248">
      <c r="A248" s="8">
        <f t="shared" si="3"/>
        <v>247</v>
      </c>
      <c r="B248" s="8" t="s">
        <v>26</v>
      </c>
      <c r="C248" s="8" t="s">
        <v>19</v>
      </c>
      <c r="D248" s="8">
        <v>0.0</v>
      </c>
      <c r="E248" s="8" t="s">
        <v>1729</v>
      </c>
      <c r="F248" s="8">
        <v>2.0</v>
      </c>
      <c r="G248" s="8">
        <v>4.0</v>
      </c>
      <c r="H248" s="109">
        <f>8/(9*2)</f>
        <v>0.4444444444</v>
      </c>
      <c r="I248" s="8"/>
      <c r="J248" s="8"/>
      <c r="K248" s="8"/>
      <c r="L248" s="8" t="s">
        <v>675</v>
      </c>
      <c r="M248" s="8" t="s">
        <v>598</v>
      </c>
      <c r="N248" s="8" t="s">
        <v>1471</v>
      </c>
      <c r="O248" s="8" t="s">
        <v>24</v>
      </c>
      <c r="P248" s="9">
        <v>-2.5</v>
      </c>
      <c r="Q248" s="9">
        <v>0.25</v>
      </c>
      <c r="R248" s="9">
        <v>0.1828</v>
      </c>
      <c r="S248" s="10">
        <v>45592.0</v>
      </c>
      <c r="T248" s="11">
        <v>1.725</v>
      </c>
      <c r="U248" s="8" t="s">
        <v>33</v>
      </c>
      <c r="V248" s="12">
        <f t="shared" si="1"/>
        <v>0.13253</v>
      </c>
      <c r="W248" s="12">
        <f t="shared" si="5"/>
        <v>1.727058373</v>
      </c>
    </row>
    <row r="249">
      <c r="A249" s="15">
        <f t="shared" si="3"/>
        <v>248</v>
      </c>
      <c r="B249" s="15" t="s">
        <v>26</v>
      </c>
      <c r="C249" s="15" t="s">
        <v>40</v>
      </c>
      <c r="D249" s="15"/>
      <c r="E249" s="15" t="s">
        <v>1730</v>
      </c>
      <c r="F249" s="15"/>
      <c r="G249" s="15"/>
      <c r="H249" s="15"/>
      <c r="I249" s="15" t="s">
        <v>1473</v>
      </c>
      <c r="J249" s="15" t="s">
        <v>1474</v>
      </c>
      <c r="K249" s="15">
        <v>0.0</v>
      </c>
      <c r="L249" s="15" t="s">
        <v>124</v>
      </c>
      <c r="M249" s="15" t="s">
        <v>22</v>
      </c>
      <c r="N249" s="15" t="s">
        <v>225</v>
      </c>
      <c r="O249" s="15" t="s">
        <v>24</v>
      </c>
      <c r="P249" s="16">
        <v>0.25</v>
      </c>
      <c r="Q249" s="16">
        <v>0.5</v>
      </c>
      <c r="R249" s="16">
        <v>0.5</v>
      </c>
      <c r="S249" s="17">
        <v>45592.0</v>
      </c>
      <c r="T249" s="18">
        <v>1.95</v>
      </c>
      <c r="U249" s="15" t="s">
        <v>25</v>
      </c>
      <c r="V249" s="19">
        <f t="shared" si="1"/>
        <v>-0.5</v>
      </c>
      <c r="W249" s="19">
        <f t="shared" si="5"/>
        <v>1.227058373</v>
      </c>
    </row>
    <row r="250">
      <c r="A250" s="8">
        <f t="shared" si="3"/>
        <v>249</v>
      </c>
      <c r="B250" s="8" t="s">
        <v>131</v>
      </c>
      <c r="C250" s="8" t="s">
        <v>19</v>
      </c>
      <c r="D250" s="8">
        <v>55.0</v>
      </c>
      <c r="E250" s="8" t="s">
        <v>1731</v>
      </c>
      <c r="F250" s="8">
        <v>7.0</v>
      </c>
      <c r="G250" s="8">
        <v>1.0</v>
      </c>
      <c r="H250" s="109">
        <f>25/(13*2)</f>
        <v>0.9615384615</v>
      </c>
      <c r="I250" s="8" t="s">
        <v>1479</v>
      </c>
      <c r="J250" s="8" t="s">
        <v>1474</v>
      </c>
      <c r="K250" s="8">
        <v>-1.0</v>
      </c>
      <c r="L250" s="8" t="s">
        <v>463</v>
      </c>
      <c r="M250" s="8" t="s">
        <v>22</v>
      </c>
      <c r="N250" s="8" t="s">
        <v>225</v>
      </c>
      <c r="O250" s="8" t="s">
        <v>24</v>
      </c>
      <c r="P250" s="9">
        <v>0.5</v>
      </c>
      <c r="Q250" s="9">
        <v>0.25</v>
      </c>
      <c r="R250" s="9">
        <v>0.1563</v>
      </c>
      <c r="S250" s="10">
        <v>45592.0</v>
      </c>
      <c r="T250" s="11">
        <v>1.8</v>
      </c>
      <c r="U250" s="8" t="s">
        <v>33</v>
      </c>
      <c r="V250" s="12">
        <f t="shared" si="1"/>
        <v>0.12504</v>
      </c>
      <c r="W250" s="12">
        <f t="shared" si="5"/>
        <v>1.352098373</v>
      </c>
    </row>
    <row r="251">
      <c r="A251" s="15">
        <f t="shared" si="3"/>
        <v>250</v>
      </c>
      <c r="B251" s="15" t="s">
        <v>26</v>
      </c>
      <c r="C251" s="15" t="s">
        <v>19</v>
      </c>
      <c r="D251" s="15">
        <v>0.0</v>
      </c>
      <c r="E251" s="15" t="s">
        <v>1732</v>
      </c>
      <c r="F251" s="15">
        <v>7.0</v>
      </c>
      <c r="G251" s="15">
        <v>9.0</v>
      </c>
      <c r="H251" s="112">
        <f>9/(17*2)</f>
        <v>0.2647058824</v>
      </c>
      <c r="I251" s="15"/>
      <c r="J251" s="15"/>
      <c r="K251" s="15"/>
      <c r="L251" s="15" t="s">
        <v>44</v>
      </c>
      <c r="M251" s="15" t="s">
        <v>598</v>
      </c>
      <c r="N251" s="15" t="s">
        <v>1471</v>
      </c>
      <c r="O251" s="15" t="s">
        <v>39</v>
      </c>
      <c r="P251" s="16">
        <v>-2.75</v>
      </c>
      <c r="Q251" s="16">
        <v>0.1</v>
      </c>
      <c r="R251" s="16">
        <v>0.1</v>
      </c>
      <c r="S251" s="17">
        <v>45592.0</v>
      </c>
      <c r="T251" s="18">
        <v>1.975</v>
      </c>
      <c r="U251" s="15" t="s">
        <v>79</v>
      </c>
      <c r="V251" s="19">
        <f t="shared" si="1"/>
        <v>-0.05</v>
      </c>
      <c r="W251" s="19">
        <f t="shared" si="5"/>
        <v>1.302098373</v>
      </c>
    </row>
    <row r="252">
      <c r="A252" s="8">
        <f t="shared" si="3"/>
        <v>251</v>
      </c>
      <c r="B252" s="8" t="s">
        <v>26</v>
      </c>
      <c r="C252" s="8" t="s">
        <v>19</v>
      </c>
      <c r="D252" s="8">
        <v>75.0</v>
      </c>
      <c r="E252" s="8" t="s">
        <v>1733</v>
      </c>
      <c r="F252" s="8"/>
      <c r="G252" s="8"/>
      <c r="H252" s="109"/>
      <c r="I252" s="8" t="s">
        <v>1473</v>
      </c>
      <c r="J252" s="8" t="s">
        <v>1480</v>
      </c>
      <c r="K252" s="8">
        <v>0.0</v>
      </c>
      <c r="L252" s="8" t="s">
        <v>93</v>
      </c>
      <c r="M252" s="8" t="s">
        <v>22</v>
      </c>
      <c r="N252" s="8" t="s">
        <v>892</v>
      </c>
      <c r="O252" s="8" t="s">
        <v>24</v>
      </c>
      <c r="P252" s="9">
        <v>0.0</v>
      </c>
      <c r="Q252" s="9">
        <v>0.25</v>
      </c>
      <c r="R252" s="9">
        <v>0.25</v>
      </c>
      <c r="S252" s="10">
        <v>45592.0</v>
      </c>
      <c r="T252" s="11">
        <v>1.85</v>
      </c>
      <c r="U252" s="8" t="s">
        <v>70</v>
      </c>
      <c r="V252" s="12">
        <f t="shared" si="1"/>
        <v>0</v>
      </c>
      <c r="W252" s="12">
        <f t="shared" si="5"/>
        <v>1.302098373</v>
      </c>
    </row>
    <row r="253">
      <c r="A253" s="15">
        <f t="shared" si="3"/>
        <v>252</v>
      </c>
      <c r="B253" s="15" t="s">
        <v>26</v>
      </c>
      <c r="C253" s="15" t="s">
        <v>19</v>
      </c>
      <c r="D253" s="15">
        <v>0.0</v>
      </c>
      <c r="E253" s="15" t="s">
        <v>1734</v>
      </c>
      <c r="F253" s="15">
        <v>12.0</v>
      </c>
      <c r="G253" s="15">
        <v>8.0</v>
      </c>
      <c r="H253" s="112">
        <f>13/(17*2)</f>
        <v>0.3823529412</v>
      </c>
      <c r="I253" s="15"/>
      <c r="J253" s="15"/>
      <c r="K253" s="15"/>
      <c r="L253" s="15" t="s">
        <v>44</v>
      </c>
      <c r="M253" s="15" t="s">
        <v>598</v>
      </c>
      <c r="N253" s="15" t="s">
        <v>1471</v>
      </c>
      <c r="O253" s="15" t="s">
        <v>39</v>
      </c>
      <c r="P253" s="16">
        <v>-2.75</v>
      </c>
      <c r="Q253" s="16">
        <v>0.1</v>
      </c>
      <c r="R253" s="16">
        <v>0.1</v>
      </c>
      <c r="S253" s="17">
        <v>45592.0</v>
      </c>
      <c r="T253" s="18">
        <v>2.0</v>
      </c>
      <c r="U253" s="15" t="s">
        <v>25</v>
      </c>
      <c r="V253" s="19">
        <f t="shared" si="1"/>
        <v>-0.1</v>
      </c>
      <c r="W253" s="19">
        <f t="shared" si="5"/>
        <v>1.202098373</v>
      </c>
    </row>
    <row r="254">
      <c r="A254" s="8">
        <f t="shared" si="3"/>
        <v>253</v>
      </c>
      <c r="B254" s="8" t="s">
        <v>26</v>
      </c>
      <c r="C254" s="8" t="s">
        <v>19</v>
      </c>
      <c r="D254" s="8">
        <v>0.0</v>
      </c>
      <c r="E254" s="8" t="s">
        <v>1735</v>
      </c>
      <c r="F254" s="8">
        <v>11.0</v>
      </c>
      <c r="G254" s="8">
        <v>10.0</v>
      </c>
      <c r="H254" s="109">
        <f>10/(13*2)</f>
        <v>0.3846153846</v>
      </c>
      <c r="I254" s="8"/>
      <c r="J254" s="8"/>
      <c r="K254" s="8"/>
      <c r="L254" s="8" t="s">
        <v>703</v>
      </c>
      <c r="M254" s="8" t="s">
        <v>598</v>
      </c>
      <c r="N254" s="8" t="s">
        <v>1471</v>
      </c>
      <c r="O254" s="8" t="s">
        <v>24</v>
      </c>
      <c r="P254" s="9">
        <v>-3.5</v>
      </c>
      <c r="Q254" s="9">
        <v>0.3</v>
      </c>
      <c r="R254" s="9">
        <v>0.3</v>
      </c>
      <c r="S254" s="10">
        <v>45592.0</v>
      </c>
      <c r="T254" s="11">
        <v>1.85</v>
      </c>
      <c r="U254" s="8" t="s">
        <v>25</v>
      </c>
      <c r="V254" s="12">
        <f t="shared" si="1"/>
        <v>-0.3</v>
      </c>
      <c r="W254" s="12">
        <f t="shared" si="5"/>
        <v>0.9020983733</v>
      </c>
    </row>
    <row r="255">
      <c r="A255" s="15">
        <f t="shared" si="3"/>
        <v>254</v>
      </c>
      <c r="B255" s="15" t="s">
        <v>26</v>
      </c>
      <c r="C255" s="15" t="s">
        <v>19</v>
      </c>
      <c r="D255" s="15">
        <v>0.0</v>
      </c>
      <c r="E255" s="15" t="s">
        <v>1736</v>
      </c>
      <c r="F255" s="15">
        <v>15.0</v>
      </c>
      <c r="G255" s="15">
        <v>17.0</v>
      </c>
      <c r="H255" s="112">
        <f>5/(17*2)</f>
        <v>0.1470588235</v>
      </c>
      <c r="I255" s="15"/>
      <c r="J255" s="15"/>
      <c r="K255" s="15"/>
      <c r="L255" s="15" t="s">
        <v>1737</v>
      </c>
      <c r="M255" s="15" t="s">
        <v>598</v>
      </c>
      <c r="N255" s="15" t="s">
        <v>1471</v>
      </c>
      <c r="O255" s="15" t="s">
        <v>24</v>
      </c>
      <c r="P255" s="16">
        <v>-1.75</v>
      </c>
      <c r="Q255" s="16">
        <v>0.25</v>
      </c>
      <c r="R255" s="16">
        <v>0.25</v>
      </c>
      <c r="S255" s="17">
        <v>45592.0</v>
      </c>
      <c r="T255" s="18">
        <v>1.9</v>
      </c>
      <c r="U255" s="15" t="s">
        <v>25</v>
      </c>
      <c r="V255" s="19">
        <f t="shared" si="1"/>
        <v>-0.25</v>
      </c>
      <c r="W255" s="19">
        <f t="shared" si="5"/>
        <v>0.6520983733</v>
      </c>
    </row>
    <row r="256">
      <c r="A256" s="8">
        <f t="shared" si="3"/>
        <v>255</v>
      </c>
      <c r="B256" s="8" t="s">
        <v>26</v>
      </c>
      <c r="C256" s="8" t="s">
        <v>19</v>
      </c>
      <c r="D256" s="8">
        <v>0.0</v>
      </c>
      <c r="E256" s="8" t="s">
        <v>1738</v>
      </c>
      <c r="F256" s="8">
        <v>4.0</v>
      </c>
      <c r="G256" s="8">
        <v>14.0</v>
      </c>
      <c r="H256" s="109">
        <f>8/(17*2)</f>
        <v>0.2352941176</v>
      </c>
      <c r="I256" s="8"/>
      <c r="J256" s="8"/>
      <c r="K256" s="8"/>
      <c r="L256" s="8" t="s">
        <v>121</v>
      </c>
      <c r="M256" s="8" t="s">
        <v>598</v>
      </c>
      <c r="N256" s="8" t="s">
        <v>1471</v>
      </c>
      <c r="O256" s="8" t="s">
        <v>24</v>
      </c>
      <c r="P256" s="9">
        <v>-2.25</v>
      </c>
      <c r="Q256" s="9">
        <v>0.3</v>
      </c>
      <c r="R256" s="9">
        <v>0.3</v>
      </c>
      <c r="S256" s="10">
        <v>45592.0</v>
      </c>
      <c r="T256" s="11">
        <v>1.9</v>
      </c>
      <c r="U256" s="8" t="s">
        <v>25</v>
      </c>
      <c r="V256" s="12">
        <f t="shared" si="1"/>
        <v>-0.3</v>
      </c>
      <c r="W256" s="12">
        <f t="shared" si="5"/>
        <v>0.3520983733</v>
      </c>
    </row>
    <row r="257">
      <c r="A257" s="15">
        <f t="shared" si="3"/>
        <v>256</v>
      </c>
      <c r="B257" s="15" t="s">
        <v>26</v>
      </c>
      <c r="C257" s="15" t="s">
        <v>19</v>
      </c>
      <c r="D257" s="15">
        <v>0.0</v>
      </c>
      <c r="E257" s="15" t="s">
        <v>1739</v>
      </c>
      <c r="F257" s="15">
        <v>10.0</v>
      </c>
      <c r="G257" s="15">
        <v>13.0</v>
      </c>
      <c r="H257" s="112">
        <f>6/(15*2)</f>
        <v>0.2</v>
      </c>
      <c r="I257" s="15"/>
      <c r="J257" s="15"/>
      <c r="K257" s="15"/>
      <c r="L257" s="15" t="s">
        <v>952</v>
      </c>
      <c r="M257" s="15" t="s">
        <v>598</v>
      </c>
      <c r="N257" s="15" t="s">
        <v>1471</v>
      </c>
      <c r="O257" s="15" t="s">
        <v>24</v>
      </c>
      <c r="P257" s="16">
        <v>-1.75</v>
      </c>
      <c r="Q257" s="16">
        <v>0.3</v>
      </c>
      <c r="R257" s="16">
        <v>0.3</v>
      </c>
      <c r="S257" s="17">
        <v>45592.0</v>
      </c>
      <c r="T257" s="18">
        <v>1.9</v>
      </c>
      <c r="U257" s="15" t="s">
        <v>33</v>
      </c>
      <c r="V257" s="19">
        <f t="shared" si="1"/>
        <v>0.27</v>
      </c>
      <c r="W257" s="19">
        <f t="shared" si="5"/>
        <v>0.6220983733</v>
      </c>
    </row>
    <row r="258">
      <c r="A258" s="8">
        <f t="shared" si="3"/>
        <v>257</v>
      </c>
      <c r="B258" s="8" t="s">
        <v>26</v>
      </c>
      <c r="C258" s="8" t="s">
        <v>19</v>
      </c>
      <c r="D258" s="8">
        <v>0.0</v>
      </c>
      <c r="E258" s="8" t="s">
        <v>1740</v>
      </c>
      <c r="F258" s="8">
        <v>9.0</v>
      </c>
      <c r="G258" s="8">
        <v>2.0</v>
      </c>
      <c r="H258" s="109">
        <f>8/(17*2)</f>
        <v>0.2352941176</v>
      </c>
      <c r="I258" s="8"/>
      <c r="J258" s="8"/>
      <c r="K258" s="8"/>
      <c r="L258" s="8" t="s">
        <v>121</v>
      </c>
      <c r="M258" s="8" t="s">
        <v>598</v>
      </c>
      <c r="N258" s="8" t="s">
        <v>1471</v>
      </c>
      <c r="O258" s="8" t="s">
        <v>24</v>
      </c>
      <c r="P258" s="9">
        <v>-2.75</v>
      </c>
      <c r="Q258" s="9">
        <v>0.3</v>
      </c>
      <c r="R258" s="9">
        <v>0.3</v>
      </c>
      <c r="S258" s="10">
        <v>45592.0</v>
      </c>
      <c r="T258" s="11">
        <v>1.85</v>
      </c>
      <c r="U258" s="8" t="s">
        <v>33</v>
      </c>
      <c r="V258" s="12">
        <f t="shared" si="1"/>
        <v>0.255</v>
      </c>
      <c r="W258" s="12">
        <f t="shared" si="5"/>
        <v>0.8770983733</v>
      </c>
    </row>
    <row r="259">
      <c r="A259" s="15">
        <f t="shared" si="3"/>
        <v>258</v>
      </c>
      <c r="B259" s="15" t="s">
        <v>26</v>
      </c>
      <c r="C259" s="15" t="s">
        <v>19</v>
      </c>
      <c r="D259" s="15">
        <v>0.0</v>
      </c>
      <c r="E259" s="15" t="s">
        <v>1741</v>
      </c>
      <c r="F259" s="15">
        <v>8.0</v>
      </c>
      <c r="G259" s="15">
        <v>2.0</v>
      </c>
      <c r="H259" s="112">
        <f>6/(15*2)</f>
        <v>0.2</v>
      </c>
      <c r="I259" s="15"/>
      <c r="J259" s="15"/>
      <c r="K259" s="15"/>
      <c r="L259" s="15" t="s">
        <v>952</v>
      </c>
      <c r="M259" s="15" t="s">
        <v>598</v>
      </c>
      <c r="N259" s="15" t="s">
        <v>1471</v>
      </c>
      <c r="O259" s="15" t="s">
        <v>24</v>
      </c>
      <c r="P259" s="16">
        <v>-1.75</v>
      </c>
      <c r="Q259" s="16">
        <v>0.3</v>
      </c>
      <c r="R259" s="16">
        <v>0.3</v>
      </c>
      <c r="S259" s="17">
        <v>45592.0</v>
      </c>
      <c r="T259" s="18">
        <f>348.17/300</f>
        <v>1.160566667</v>
      </c>
      <c r="U259" s="15" t="s">
        <v>33</v>
      </c>
      <c r="V259" s="19">
        <f t="shared" si="1"/>
        <v>0.04817</v>
      </c>
      <c r="W259" s="19">
        <f t="shared" si="5"/>
        <v>0.9252683733</v>
      </c>
    </row>
    <row r="260">
      <c r="A260" s="8">
        <f t="shared" si="3"/>
        <v>259</v>
      </c>
      <c r="B260" s="8" t="s">
        <v>26</v>
      </c>
      <c r="C260" s="8" t="s">
        <v>19</v>
      </c>
      <c r="D260" s="8"/>
      <c r="E260" s="8" t="s">
        <v>1742</v>
      </c>
      <c r="F260" s="8">
        <v>6.0</v>
      </c>
      <c r="G260" s="8">
        <v>10.0</v>
      </c>
      <c r="H260" s="109">
        <f>5/(19*2)</f>
        <v>0.1315789474</v>
      </c>
      <c r="I260" s="8"/>
      <c r="J260" s="8"/>
      <c r="K260" s="8"/>
      <c r="L260" s="8" t="s">
        <v>115</v>
      </c>
      <c r="M260" s="8" t="s">
        <v>22</v>
      </c>
      <c r="N260" s="8" t="s">
        <v>892</v>
      </c>
      <c r="O260" s="8" t="s">
        <v>24</v>
      </c>
      <c r="P260" s="9">
        <v>0.0</v>
      </c>
      <c r="Q260" s="9">
        <v>0.25</v>
      </c>
      <c r="R260" s="9">
        <v>0.25</v>
      </c>
      <c r="S260" s="56">
        <v>45592.0</v>
      </c>
      <c r="T260" s="11">
        <v>1.675</v>
      </c>
      <c r="U260" s="8" t="s">
        <v>25</v>
      </c>
      <c r="V260" s="12">
        <f t="shared" si="1"/>
        <v>-0.25</v>
      </c>
      <c r="W260" s="12">
        <f t="shared" si="5"/>
        <v>0.6752683733</v>
      </c>
    </row>
    <row r="261">
      <c r="A261" s="15">
        <f t="shared" si="3"/>
        <v>260</v>
      </c>
      <c r="B261" s="15" t="s">
        <v>26</v>
      </c>
      <c r="C261" s="15" t="s">
        <v>19</v>
      </c>
      <c r="D261" s="15">
        <v>0.0</v>
      </c>
      <c r="E261" s="15" t="s">
        <v>1743</v>
      </c>
      <c r="F261" s="15">
        <v>10.0</v>
      </c>
      <c r="G261" s="15">
        <v>4.0</v>
      </c>
      <c r="H261" s="112"/>
      <c r="I261" s="15"/>
      <c r="J261" s="15"/>
      <c r="K261" s="15"/>
      <c r="L261" s="15" t="s">
        <v>1501</v>
      </c>
      <c r="M261" s="15" t="s">
        <v>598</v>
      </c>
      <c r="N261" s="15" t="s">
        <v>1471</v>
      </c>
      <c r="O261" s="15" t="s">
        <v>24</v>
      </c>
      <c r="P261" s="16">
        <v>-2.0</v>
      </c>
      <c r="Q261" s="16">
        <v>0.25</v>
      </c>
      <c r="R261" s="16">
        <v>0.25</v>
      </c>
      <c r="S261" s="17">
        <v>45592.0</v>
      </c>
      <c r="T261" s="18">
        <f>248.14/200</f>
        <v>1.2407</v>
      </c>
      <c r="U261" s="15" t="s">
        <v>33</v>
      </c>
      <c r="V261" s="19">
        <f t="shared" si="1"/>
        <v>0.060175</v>
      </c>
      <c r="W261" s="19">
        <f t="shared" si="5"/>
        <v>0.7354433733</v>
      </c>
    </row>
    <row r="262">
      <c r="A262" s="8">
        <f t="shared" si="3"/>
        <v>261</v>
      </c>
      <c r="B262" s="8" t="s">
        <v>129</v>
      </c>
      <c r="C262" s="8" t="s">
        <v>40</v>
      </c>
      <c r="D262" s="8"/>
      <c r="E262" s="8" t="s">
        <v>1744</v>
      </c>
      <c r="F262" s="8"/>
      <c r="G262" s="8"/>
      <c r="H262" s="109"/>
      <c r="I262" s="8" t="s">
        <v>1473</v>
      </c>
      <c r="J262" s="8" t="s">
        <v>1480</v>
      </c>
      <c r="K262" s="8">
        <v>1.0</v>
      </c>
      <c r="L262" s="8" t="s">
        <v>82</v>
      </c>
      <c r="M262" s="8" t="s">
        <v>22</v>
      </c>
      <c r="N262" s="8" t="s">
        <v>892</v>
      </c>
      <c r="O262" s="8" t="s">
        <v>24</v>
      </c>
      <c r="P262" s="9">
        <v>0.0</v>
      </c>
      <c r="Q262" s="9">
        <v>0.5</v>
      </c>
      <c r="R262" s="9">
        <v>0.5</v>
      </c>
      <c r="S262" s="10">
        <v>45592.0</v>
      </c>
      <c r="T262" s="11">
        <v>1.675</v>
      </c>
      <c r="U262" s="8" t="s">
        <v>70</v>
      </c>
      <c r="V262" s="12">
        <f t="shared" si="1"/>
        <v>0</v>
      </c>
      <c r="W262" s="12">
        <f t="shared" si="5"/>
        <v>0.7354433733</v>
      </c>
    </row>
    <row r="263">
      <c r="A263" s="15">
        <f t="shared" si="3"/>
        <v>262</v>
      </c>
      <c r="B263" s="15" t="s">
        <v>18</v>
      </c>
      <c r="C263" s="15" t="s">
        <v>19</v>
      </c>
      <c r="D263" s="15"/>
      <c r="E263" s="15" t="s">
        <v>1745</v>
      </c>
      <c r="F263" s="15">
        <v>6.0</v>
      </c>
      <c r="G263" s="15">
        <v>10.0</v>
      </c>
      <c r="H263" s="112">
        <f>13/(9*2)</f>
        <v>0.7222222222</v>
      </c>
      <c r="I263" s="15" t="s">
        <v>1479</v>
      </c>
      <c r="J263" s="15" t="s">
        <v>1480</v>
      </c>
      <c r="K263" s="15">
        <v>-1.0</v>
      </c>
      <c r="L263" s="15" t="s">
        <v>624</v>
      </c>
      <c r="M263" s="15" t="s">
        <v>22</v>
      </c>
      <c r="N263" s="15" t="s">
        <v>892</v>
      </c>
      <c r="O263" s="15" t="s">
        <v>24</v>
      </c>
      <c r="P263" s="16">
        <v>0.0</v>
      </c>
      <c r="Q263" s="16">
        <v>0.25</v>
      </c>
      <c r="R263" s="16">
        <v>0.25</v>
      </c>
      <c r="S263" s="17">
        <v>45592.0</v>
      </c>
      <c r="T263" s="18">
        <v>1.675</v>
      </c>
      <c r="U263" s="15" t="s">
        <v>33</v>
      </c>
      <c r="V263" s="19">
        <f t="shared" si="1"/>
        <v>0.16875</v>
      </c>
      <c r="W263" s="19">
        <f t="shared" si="5"/>
        <v>0.9041933733</v>
      </c>
    </row>
    <row r="264">
      <c r="A264" s="8">
        <f t="shared" si="3"/>
        <v>263</v>
      </c>
      <c r="B264" s="8" t="s">
        <v>129</v>
      </c>
      <c r="C264" s="8" t="s">
        <v>19</v>
      </c>
      <c r="D264" s="8">
        <v>57.0</v>
      </c>
      <c r="E264" s="8" t="s">
        <v>1746</v>
      </c>
      <c r="F264" s="8"/>
      <c r="G264" s="8"/>
      <c r="H264" s="109"/>
      <c r="I264" s="8" t="s">
        <v>1473</v>
      </c>
      <c r="J264" s="8" t="s">
        <v>1480</v>
      </c>
      <c r="K264" s="8">
        <v>0.0</v>
      </c>
      <c r="L264" s="8" t="s">
        <v>193</v>
      </c>
      <c r="M264" s="8" t="s">
        <v>22</v>
      </c>
      <c r="N264" s="8" t="s">
        <v>892</v>
      </c>
      <c r="O264" s="8" t="s">
        <v>24</v>
      </c>
      <c r="P264" s="9">
        <v>0.0</v>
      </c>
      <c r="Q264" s="9">
        <v>0.25</v>
      </c>
      <c r="R264" s="9">
        <v>0.25</v>
      </c>
      <c r="S264" s="10">
        <v>45592.0</v>
      </c>
      <c r="T264" s="11">
        <v>1.85</v>
      </c>
      <c r="U264" s="8" t="s">
        <v>70</v>
      </c>
      <c r="V264" s="12">
        <f t="shared" si="1"/>
        <v>0</v>
      </c>
      <c r="W264" s="12">
        <f t="shared" si="5"/>
        <v>0.9041933733</v>
      </c>
    </row>
    <row r="265">
      <c r="A265" s="15">
        <f t="shared" si="3"/>
        <v>264</v>
      </c>
      <c r="B265" s="15" t="s">
        <v>26</v>
      </c>
      <c r="C265" s="15" t="s">
        <v>19</v>
      </c>
      <c r="D265" s="15">
        <v>0.0</v>
      </c>
      <c r="E265" s="15" t="s">
        <v>1747</v>
      </c>
      <c r="F265" s="15">
        <v>10.0</v>
      </c>
      <c r="G265" s="15">
        <v>1.0</v>
      </c>
      <c r="H265" s="112">
        <f>7/(17*2)</f>
        <v>0.2058823529</v>
      </c>
      <c r="I265" s="15"/>
      <c r="J265" s="15"/>
      <c r="K265" s="15"/>
      <c r="L265" s="15" t="s">
        <v>124</v>
      </c>
      <c r="M265" s="15" t="s">
        <v>598</v>
      </c>
      <c r="N265" s="15" t="s">
        <v>1471</v>
      </c>
      <c r="O265" s="15" t="s">
        <v>24</v>
      </c>
      <c r="P265" s="16">
        <v>-2.0</v>
      </c>
      <c r="Q265" s="16">
        <v>0.3</v>
      </c>
      <c r="R265" s="16">
        <v>0.3</v>
      </c>
      <c r="S265" s="17">
        <v>45592.0</v>
      </c>
      <c r="T265" s="18">
        <v>1.75</v>
      </c>
      <c r="U265" s="15" t="s">
        <v>33</v>
      </c>
      <c r="V265" s="19">
        <f t="shared" si="1"/>
        <v>0.225</v>
      </c>
      <c r="W265" s="19">
        <f t="shared" si="5"/>
        <v>1.129193373</v>
      </c>
    </row>
    <row r="266">
      <c r="A266" s="8">
        <f t="shared" si="3"/>
        <v>265</v>
      </c>
      <c r="B266" s="8" t="s">
        <v>26</v>
      </c>
      <c r="C266" s="8" t="s">
        <v>19</v>
      </c>
      <c r="D266" s="8">
        <v>0.0</v>
      </c>
      <c r="E266" s="8" t="s">
        <v>1748</v>
      </c>
      <c r="F266" s="8"/>
      <c r="G266" s="8"/>
      <c r="H266" s="8"/>
      <c r="I266" s="8"/>
      <c r="J266" s="8"/>
      <c r="K266" s="8"/>
      <c r="L266" s="8" t="s">
        <v>66</v>
      </c>
      <c r="M266" s="8" t="s">
        <v>598</v>
      </c>
      <c r="N266" s="8" t="s">
        <v>1471</v>
      </c>
      <c r="O266" s="8" t="s">
        <v>39</v>
      </c>
      <c r="P266" s="9">
        <v>-2.25</v>
      </c>
      <c r="Q266" s="9">
        <v>0.2</v>
      </c>
      <c r="R266" s="9">
        <v>0.2</v>
      </c>
      <c r="S266" s="10">
        <v>45592.0</v>
      </c>
      <c r="T266" s="11">
        <v>1.8</v>
      </c>
      <c r="U266" s="8" t="s">
        <v>30</v>
      </c>
      <c r="V266" s="12">
        <f t="shared" si="1"/>
        <v>0.08</v>
      </c>
      <c r="W266" s="12">
        <f t="shared" si="5"/>
        <v>1.209193373</v>
      </c>
    </row>
    <row r="267">
      <c r="A267" s="15">
        <f t="shared" si="3"/>
        <v>266</v>
      </c>
      <c r="B267" s="15" t="s">
        <v>26</v>
      </c>
      <c r="C267" s="15" t="s">
        <v>19</v>
      </c>
      <c r="D267" s="15">
        <v>0.0</v>
      </c>
      <c r="E267" s="15" t="s">
        <v>1749</v>
      </c>
      <c r="F267" s="15">
        <v>7.0</v>
      </c>
      <c r="G267" s="15">
        <v>3.0</v>
      </c>
      <c r="H267" s="112">
        <f t="shared" ref="H267:H268" si="19">7/(17*2)</f>
        <v>0.2058823529</v>
      </c>
      <c r="I267" s="15"/>
      <c r="J267" s="15"/>
      <c r="K267" s="15"/>
      <c r="L267" s="15" t="s">
        <v>93</v>
      </c>
      <c r="M267" s="15" t="s">
        <v>598</v>
      </c>
      <c r="N267" s="15" t="s">
        <v>1471</v>
      </c>
      <c r="O267" s="15"/>
      <c r="P267" s="16">
        <v>-2.25</v>
      </c>
      <c r="Q267" s="16">
        <v>0.3</v>
      </c>
      <c r="R267" s="16">
        <v>0.3</v>
      </c>
      <c r="S267" s="17">
        <v>45592.0</v>
      </c>
      <c r="T267" s="18">
        <v>1.95</v>
      </c>
      <c r="U267" s="15" t="s">
        <v>30</v>
      </c>
      <c r="V267" s="19">
        <f t="shared" si="1"/>
        <v>0.1425</v>
      </c>
      <c r="W267" s="19">
        <f t="shared" si="5"/>
        <v>1.351693373</v>
      </c>
    </row>
    <row r="268">
      <c r="A268" s="8">
        <f t="shared" si="3"/>
        <v>267</v>
      </c>
      <c r="B268" s="8" t="s">
        <v>26</v>
      </c>
      <c r="C268" s="8" t="s">
        <v>19</v>
      </c>
      <c r="D268" s="8">
        <v>0.0</v>
      </c>
      <c r="E268" s="8" t="s">
        <v>1750</v>
      </c>
      <c r="F268" s="8">
        <v>10.0</v>
      </c>
      <c r="G268" s="8">
        <v>6.0</v>
      </c>
      <c r="H268" s="109">
        <f t="shared" si="19"/>
        <v>0.2058823529</v>
      </c>
      <c r="I268" s="8"/>
      <c r="J268" s="8"/>
      <c r="K268" s="8"/>
      <c r="L268" s="8" t="s">
        <v>93</v>
      </c>
      <c r="M268" s="8" t="s">
        <v>598</v>
      </c>
      <c r="N268" s="8" t="s">
        <v>1471</v>
      </c>
      <c r="O268" s="8"/>
      <c r="P268" s="9">
        <v>-2.0</v>
      </c>
      <c r="Q268" s="9">
        <v>0.15</v>
      </c>
      <c r="R268" s="9">
        <v>0.15</v>
      </c>
      <c r="S268" s="10">
        <v>45592.0</v>
      </c>
      <c r="T268" s="11">
        <v>2.02</v>
      </c>
      <c r="U268" s="8" t="s">
        <v>25</v>
      </c>
      <c r="V268" s="12">
        <f t="shared" si="1"/>
        <v>-0.15</v>
      </c>
      <c r="W268" s="12">
        <f t="shared" si="5"/>
        <v>1.201693373</v>
      </c>
    </row>
    <row r="269">
      <c r="A269" s="15">
        <f t="shared" si="3"/>
        <v>268</v>
      </c>
      <c r="B269" s="15" t="s">
        <v>26</v>
      </c>
      <c r="C269" s="15" t="s">
        <v>19</v>
      </c>
      <c r="D269" s="15">
        <v>0.0</v>
      </c>
      <c r="E269" s="15" t="s">
        <v>1751</v>
      </c>
      <c r="F269" s="15">
        <v>14.0</v>
      </c>
      <c r="G269" s="15">
        <v>5.0</v>
      </c>
      <c r="H269" s="112">
        <f>1/(15*2)</f>
        <v>0.03333333333</v>
      </c>
      <c r="I269" s="15"/>
      <c r="J269" s="15"/>
      <c r="K269" s="15"/>
      <c r="L269" s="15" t="s">
        <v>68</v>
      </c>
      <c r="M269" s="15" t="s">
        <v>598</v>
      </c>
      <c r="N269" s="15" t="s">
        <v>1471</v>
      </c>
      <c r="O269" s="15"/>
      <c r="P269" s="16">
        <v>-1.75</v>
      </c>
      <c r="Q269" s="16">
        <v>0.2</v>
      </c>
      <c r="R269" s="16">
        <v>0.2</v>
      </c>
      <c r="S269" s="17">
        <v>45592.0</v>
      </c>
      <c r="T269" s="18">
        <v>1.95</v>
      </c>
      <c r="U269" s="15" t="s">
        <v>33</v>
      </c>
      <c r="V269" s="19">
        <f t="shared" si="1"/>
        <v>0.19</v>
      </c>
      <c r="W269" s="19">
        <f t="shared" si="5"/>
        <v>1.391693373</v>
      </c>
    </row>
    <row r="270">
      <c r="A270" s="8">
        <f t="shared" si="3"/>
        <v>269</v>
      </c>
      <c r="B270" s="8" t="s">
        <v>26</v>
      </c>
      <c r="C270" s="8" t="s">
        <v>19</v>
      </c>
      <c r="D270" s="8"/>
      <c r="E270" s="8" t="s">
        <v>1752</v>
      </c>
      <c r="F270" s="8">
        <v>12.0</v>
      </c>
      <c r="G270" s="8">
        <v>13.0</v>
      </c>
      <c r="H270" s="109">
        <f t="shared" ref="H270:H271" si="20">7/(17*2)</f>
        <v>0.2058823529</v>
      </c>
      <c r="I270" s="8" t="s">
        <v>1479</v>
      </c>
      <c r="J270" s="8" t="s">
        <v>1480</v>
      </c>
      <c r="K270" s="8">
        <v>-1.0</v>
      </c>
      <c r="L270" s="8" t="s">
        <v>93</v>
      </c>
      <c r="M270" s="8" t="s">
        <v>22</v>
      </c>
      <c r="N270" s="8" t="s">
        <v>892</v>
      </c>
      <c r="O270" s="8"/>
      <c r="P270" s="9">
        <v>0.0</v>
      </c>
      <c r="Q270" s="9">
        <v>0.6</v>
      </c>
      <c r="R270" s="9">
        <v>0.4688</v>
      </c>
      <c r="S270" s="10">
        <v>45592.0</v>
      </c>
      <c r="T270" s="11">
        <v>1.95</v>
      </c>
      <c r="U270" s="8" t="s">
        <v>70</v>
      </c>
      <c r="V270" s="12">
        <f t="shared" si="1"/>
        <v>0</v>
      </c>
      <c r="W270" s="12">
        <f t="shared" si="5"/>
        <v>1.391693373</v>
      </c>
    </row>
    <row r="271">
      <c r="A271" s="15">
        <f t="shared" si="3"/>
        <v>270</v>
      </c>
      <c r="B271" s="15" t="s">
        <v>129</v>
      </c>
      <c r="C271" s="15" t="s">
        <v>19</v>
      </c>
      <c r="D271" s="15"/>
      <c r="E271" s="15" t="s">
        <v>1753</v>
      </c>
      <c r="F271" s="15">
        <v>7.0</v>
      </c>
      <c r="G271" s="15">
        <v>8.0</v>
      </c>
      <c r="H271" s="112">
        <f t="shared" si="20"/>
        <v>0.2058823529</v>
      </c>
      <c r="I271" s="15" t="s">
        <v>1473</v>
      </c>
      <c r="J271" s="15" t="s">
        <v>1480</v>
      </c>
      <c r="K271" s="15">
        <v>-2.0</v>
      </c>
      <c r="L271" s="15" t="s">
        <v>93</v>
      </c>
      <c r="M271" s="15" t="s">
        <v>22</v>
      </c>
      <c r="N271" s="15" t="s">
        <v>892</v>
      </c>
      <c r="O271" s="15"/>
      <c r="P271" s="16">
        <v>0.0</v>
      </c>
      <c r="Q271" s="16">
        <v>0.25</v>
      </c>
      <c r="R271" s="16">
        <v>0.25</v>
      </c>
      <c r="S271" s="17">
        <v>45592.0</v>
      </c>
      <c r="T271" s="18">
        <v>2.15</v>
      </c>
      <c r="U271" s="15" t="s">
        <v>70</v>
      </c>
      <c r="V271" s="19">
        <f t="shared" si="1"/>
        <v>0</v>
      </c>
      <c r="W271" s="19">
        <f t="shared" si="5"/>
        <v>1.391693373</v>
      </c>
    </row>
    <row r="272">
      <c r="A272" s="8">
        <f t="shared" si="3"/>
        <v>271</v>
      </c>
      <c r="B272" s="8" t="s">
        <v>129</v>
      </c>
      <c r="C272" s="8" t="s">
        <v>19</v>
      </c>
      <c r="D272" s="8"/>
      <c r="E272" s="8" t="s">
        <v>1754</v>
      </c>
      <c r="F272" s="8"/>
      <c r="G272" s="8"/>
      <c r="H272" s="8"/>
      <c r="I272" s="8" t="s">
        <v>1473</v>
      </c>
      <c r="J272" s="8" t="s">
        <v>1480</v>
      </c>
      <c r="K272" s="8">
        <v>0.0</v>
      </c>
      <c r="L272" s="8" t="s">
        <v>93</v>
      </c>
      <c r="M272" s="8" t="s">
        <v>22</v>
      </c>
      <c r="N272" s="8" t="s">
        <v>892</v>
      </c>
      <c r="O272" s="8"/>
      <c r="P272" s="9">
        <v>0.0</v>
      </c>
      <c r="Q272" s="9">
        <v>0.3</v>
      </c>
      <c r="R272" s="9">
        <v>0.3</v>
      </c>
      <c r="S272" s="10">
        <v>45592.0</v>
      </c>
      <c r="T272" s="11">
        <v>1.9</v>
      </c>
      <c r="U272" s="8" t="s">
        <v>70</v>
      </c>
      <c r="V272" s="12">
        <f t="shared" si="1"/>
        <v>0</v>
      </c>
      <c r="W272" s="12">
        <f t="shared" si="5"/>
        <v>1.391693373</v>
      </c>
    </row>
    <row r="273">
      <c r="A273" s="15">
        <f t="shared" si="3"/>
        <v>272</v>
      </c>
      <c r="B273" s="15" t="s">
        <v>129</v>
      </c>
      <c r="C273" s="15" t="s">
        <v>19</v>
      </c>
      <c r="D273" s="15"/>
      <c r="E273" s="15" t="s">
        <v>1753</v>
      </c>
      <c r="F273" s="15">
        <v>7.0</v>
      </c>
      <c r="G273" s="15">
        <v>8.0</v>
      </c>
      <c r="H273" s="112">
        <f t="shared" ref="H273:H274" si="21">7/(17*2)</f>
        <v>0.2058823529</v>
      </c>
      <c r="I273" s="15" t="s">
        <v>1473</v>
      </c>
      <c r="J273" s="15" t="s">
        <v>1480</v>
      </c>
      <c r="K273" s="15">
        <v>-1.0</v>
      </c>
      <c r="L273" s="15" t="s">
        <v>93</v>
      </c>
      <c r="M273" s="15" t="s">
        <v>22</v>
      </c>
      <c r="N273" s="15" t="s">
        <v>892</v>
      </c>
      <c r="O273" s="15"/>
      <c r="P273" s="16">
        <v>0.0</v>
      </c>
      <c r="Q273" s="16">
        <v>0.25</v>
      </c>
      <c r="R273" s="16">
        <v>0.2227</v>
      </c>
      <c r="S273" s="17">
        <v>45592.0</v>
      </c>
      <c r="T273" s="18">
        <v>1.85</v>
      </c>
      <c r="U273" s="15" t="s">
        <v>25</v>
      </c>
      <c r="V273" s="19">
        <f t="shared" si="1"/>
        <v>-0.2227</v>
      </c>
      <c r="W273" s="19">
        <f t="shared" si="5"/>
        <v>1.168993373</v>
      </c>
    </row>
    <row r="274">
      <c r="A274" s="8">
        <f t="shared" si="3"/>
        <v>273</v>
      </c>
      <c r="B274" s="8" t="s">
        <v>129</v>
      </c>
      <c r="C274" s="8" t="s">
        <v>19</v>
      </c>
      <c r="D274" s="8"/>
      <c r="E274" s="8" t="s">
        <v>1755</v>
      </c>
      <c r="F274" s="8">
        <v>10.0</v>
      </c>
      <c r="G274" s="8">
        <v>7.0</v>
      </c>
      <c r="H274" s="109">
        <f t="shared" si="21"/>
        <v>0.2058823529</v>
      </c>
      <c r="I274" s="8" t="s">
        <v>1479</v>
      </c>
      <c r="J274" s="8" t="s">
        <v>1480</v>
      </c>
      <c r="K274" s="8">
        <v>-1.0</v>
      </c>
      <c r="L274" s="8" t="s">
        <v>93</v>
      </c>
      <c r="M274" s="8" t="s">
        <v>22</v>
      </c>
      <c r="N274" s="8" t="s">
        <v>892</v>
      </c>
      <c r="O274" s="8"/>
      <c r="P274" s="9">
        <v>0.0</v>
      </c>
      <c r="Q274" s="9">
        <v>0.3</v>
      </c>
      <c r="R274" s="9">
        <v>0.3</v>
      </c>
      <c r="S274" s="10">
        <v>45592.0</v>
      </c>
      <c r="T274" s="11">
        <v>2.0</v>
      </c>
      <c r="U274" s="8" t="s">
        <v>70</v>
      </c>
      <c r="V274" s="12">
        <f t="shared" si="1"/>
        <v>0</v>
      </c>
      <c r="W274" s="12">
        <f t="shared" si="5"/>
        <v>1.168993373</v>
      </c>
    </row>
    <row r="275">
      <c r="A275" s="15">
        <f t="shared" si="3"/>
        <v>274</v>
      </c>
      <c r="B275" s="15" t="s">
        <v>129</v>
      </c>
      <c r="C275" s="15" t="s">
        <v>19</v>
      </c>
      <c r="D275" s="15"/>
      <c r="E275" s="15" t="s">
        <v>1756</v>
      </c>
      <c r="F275" s="15"/>
      <c r="G275" s="15"/>
      <c r="H275" s="15"/>
      <c r="I275" s="15" t="s">
        <v>1479</v>
      </c>
      <c r="J275" s="15" t="s">
        <v>1480</v>
      </c>
      <c r="K275" s="15">
        <v>0.0</v>
      </c>
      <c r="L275" s="15" t="s">
        <v>1003</v>
      </c>
      <c r="M275" s="15" t="s">
        <v>22</v>
      </c>
      <c r="N275" s="15" t="s">
        <v>892</v>
      </c>
      <c r="O275" s="15"/>
      <c r="P275" s="16">
        <v>0.0</v>
      </c>
      <c r="Q275" s="16">
        <v>0.3</v>
      </c>
      <c r="R275" s="16">
        <v>0.3</v>
      </c>
      <c r="S275" s="17">
        <v>45592.0</v>
      </c>
      <c r="T275" s="18">
        <v>1.7</v>
      </c>
      <c r="U275" s="15" t="s">
        <v>70</v>
      </c>
      <c r="V275" s="19">
        <f t="shared" si="1"/>
        <v>0</v>
      </c>
      <c r="W275" s="19">
        <f t="shared" si="5"/>
        <v>1.168993373</v>
      </c>
    </row>
    <row r="276">
      <c r="A276" s="8">
        <f t="shared" si="3"/>
        <v>275</v>
      </c>
      <c r="B276" s="8" t="s">
        <v>26</v>
      </c>
      <c r="C276" s="8" t="s">
        <v>19</v>
      </c>
      <c r="D276" s="8">
        <v>65.0</v>
      </c>
      <c r="E276" s="8" t="s">
        <v>1757</v>
      </c>
      <c r="F276" s="8"/>
      <c r="G276" s="8"/>
      <c r="H276" s="109"/>
      <c r="I276" s="8"/>
      <c r="J276" s="8"/>
      <c r="K276" s="8"/>
      <c r="L276" s="8" t="s">
        <v>101</v>
      </c>
      <c r="M276" s="8" t="s">
        <v>22</v>
      </c>
      <c r="N276" s="8" t="s">
        <v>892</v>
      </c>
      <c r="O276" s="8" t="s">
        <v>24</v>
      </c>
      <c r="P276" s="9">
        <v>0.0</v>
      </c>
      <c r="Q276" s="9">
        <v>0.3</v>
      </c>
      <c r="R276" s="9">
        <v>0.08</v>
      </c>
      <c r="S276" s="10">
        <v>45593.0</v>
      </c>
      <c r="T276" s="11">
        <v>1.825</v>
      </c>
      <c r="U276" s="8" t="s">
        <v>25</v>
      </c>
      <c r="V276" s="12">
        <f t="shared" si="1"/>
        <v>-0.08</v>
      </c>
      <c r="W276" s="12">
        <f t="shared" si="5"/>
        <v>1.088993373</v>
      </c>
    </row>
    <row r="277">
      <c r="A277" s="15">
        <f t="shared" si="3"/>
        <v>276</v>
      </c>
      <c r="B277" s="15" t="s">
        <v>26</v>
      </c>
      <c r="C277" s="15" t="s">
        <v>19</v>
      </c>
      <c r="D277" s="15">
        <v>0.0</v>
      </c>
      <c r="E277" s="15" t="s">
        <v>1758</v>
      </c>
      <c r="F277" s="15">
        <v>10.0</v>
      </c>
      <c r="G277" s="15">
        <v>11.0</v>
      </c>
      <c r="H277" s="112">
        <f>4/(15*2)</f>
        <v>0.1333333333</v>
      </c>
      <c r="I277" s="15"/>
      <c r="J277" s="15"/>
      <c r="K277" s="15"/>
      <c r="L277" s="15" t="s">
        <v>616</v>
      </c>
      <c r="M277" s="15" t="s">
        <v>598</v>
      </c>
      <c r="N277" s="15" t="s">
        <v>1471</v>
      </c>
      <c r="O277" s="15" t="s">
        <v>24</v>
      </c>
      <c r="P277" s="16">
        <v>-2.0</v>
      </c>
      <c r="Q277" s="16">
        <v>0.3</v>
      </c>
      <c r="R277" s="16">
        <v>0.3</v>
      </c>
      <c r="S277" s="17">
        <v>45593.0</v>
      </c>
      <c r="T277" s="18">
        <v>1.925</v>
      </c>
      <c r="U277" s="15" t="s">
        <v>33</v>
      </c>
      <c r="V277" s="19">
        <f t="shared" si="1"/>
        <v>0.2775</v>
      </c>
      <c r="W277" s="19">
        <f t="shared" si="5"/>
        <v>1.366493373</v>
      </c>
    </row>
    <row r="278">
      <c r="A278" s="8">
        <f t="shared" si="3"/>
        <v>277</v>
      </c>
      <c r="B278" s="8" t="s">
        <v>26</v>
      </c>
      <c r="C278" s="8" t="s">
        <v>19</v>
      </c>
      <c r="D278" s="8">
        <v>0.0</v>
      </c>
      <c r="E278" s="8" t="s">
        <v>1759</v>
      </c>
      <c r="F278" s="8">
        <v>4.0</v>
      </c>
      <c r="G278" s="8">
        <v>3.0</v>
      </c>
      <c r="H278" s="109">
        <f>6/(15*2)</f>
        <v>0.2</v>
      </c>
      <c r="I278" s="8"/>
      <c r="J278" s="8"/>
      <c r="K278" s="8"/>
      <c r="L278" s="8" t="s">
        <v>1031</v>
      </c>
      <c r="M278" s="8" t="s">
        <v>598</v>
      </c>
      <c r="N278" s="8" t="s">
        <v>1471</v>
      </c>
      <c r="O278" s="8"/>
      <c r="P278" s="9">
        <v>-1.75</v>
      </c>
      <c r="Q278" s="9">
        <v>0.3</v>
      </c>
      <c r="R278" s="9">
        <v>0.1453</v>
      </c>
      <c r="S278" s="10">
        <v>45594.0</v>
      </c>
      <c r="T278" s="11">
        <v>1.9</v>
      </c>
      <c r="U278" s="8" t="s">
        <v>25</v>
      </c>
      <c r="V278" s="12">
        <f t="shared" si="1"/>
        <v>-0.1453</v>
      </c>
      <c r="W278" s="12">
        <f t="shared" si="5"/>
        <v>1.221193373</v>
      </c>
    </row>
    <row r="279">
      <c r="A279" s="15">
        <f t="shared" si="3"/>
        <v>278</v>
      </c>
      <c r="B279" s="15"/>
      <c r="C279" s="15" t="s">
        <v>19</v>
      </c>
      <c r="D279" s="15"/>
      <c r="E279" s="15" t="s">
        <v>1760</v>
      </c>
      <c r="F279" s="15"/>
      <c r="G279" s="15"/>
      <c r="H279" s="112"/>
      <c r="I279" s="15" t="s">
        <v>1473</v>
      </c>
      <c r="J279" s="15" t="s">
        <v>1480</v>
      </c>
      <c r="K279" s="15">
        <v>-1.0</v>
      </c>
      <c r="L279" s="15" t="s">
        <v>231</v>
      </c>
      <c r="M279" s="15" t="s">
        <v>22</v>
      </c>
      <c r="N279" s="15" t="s">
        <v>892</v>
      </c>
      <c r="O279" s="15"/>
      <c r="P279" s="16">
        <v>0.0</v>
      </c>
      <c r="Q279" s="16">
        <v>0.5</v>
      </c>
      <c r="R279" s="16">
        <v>0.4453</v>
      </c>
      <c r="S279" s="55">
        <v>45594.0</v>
      </c>
      <c r="T279" s="18">
        <v>2.0</v>
      </c>
      <c r="U279" s="15" t="s">
        <v>70</v>
      </c>
      <c r="V279" s="19">
        <f t="shared" si="1"/>
        <v>0</v>
      </c>
      <c r="W279" s="19">
        <f t="shared" si="5"/>
        <v>1.221193373</v>
      </c>
    </row>
    <row r="280">
      <c r="A280" s="8">
        <f t="shared" si="3"/>
        <v>279</v>
      </c>
      <c r="B280" s="8" t="s">
        <v>137</v>
      </c>
      <c r="C280" s="8" t="s">
        <v>19</v>
      </c>
      <c r="D280" s="8"/>
      <c r="E280" s="8" t="s">
        <v>1761</v>
      </c>
      <c r="F280" s="114">
        <v>4.0</v>
      </c>
      <c r="G280" s="8">
        <v>7.0</v>
      </c>
      <c r="H280" s="115">
        <f>8/(17*2)</f>
        <v>0.2352941176</v>
      </c>
      <c r="I280" s="8" t="s">
        <v>1479</v>
      </c>
      <c r="J280" s="8" t="s">
        <v>1480</v>
      </c>
      <c r="K280" s="8">
        <v>0.0</v>
      </c>
      <c r="L280" s="8" t="s">
        <v>231</v>
      </c>
      <c r="M280" s="8" t="s">
        <v>22</v>
      </c>
      <c r="N280" s="8" t="s">
        <v>892</v>
      </c>
      <c r="O280" s="8"/>
      <c r="P280" s="9">
        <v>0.0</v>
      </c>
      <c r="Q280" s="9">
        <v>0.3</v>
      </c>
      <c r="R280" s="9">
        <v>0.3</v>
      </c>
      <c r="S280" s="10">
        <v>45594.0</v>
      </c>
      <c r="T280" s="11">
        <v>1.725</v>
      </c>
      <c r="U280" s="8" t="s">
        <v>70</v>
      </c>
      <c r="V280" s="12">
        <f t="shared" si="1"/>
        <v>0</v>
      </c>
      <c r="W280" s="12">
        <f t="shared" si="5"/>
        <v>1.221193373</v>
      </c>
    </row>
    <row r="281">
      <c r="A281" s="15">
        <f t="shared" si="3"/>
        <v>280</v>
      </c>
      <c r="B281" s="15" t="s">
        <v>18</v>
      </c>
      <c r="C281" s="15" t="s">
        <v>19</v>
      </c>
      <c r="D281" s="15"/>
      <c r="E281" s="15" t="s">
        <v>1762</v>
      </c>
      <c r="F281" s="15"/>
      <c r="G281" s="15"/>
      <c r="H281" s="112"/>
      <c r="I281" s="15"/>
      <c r="J281" s="15"/>
      <c r="K281" s="15"/>
      <c r="L281" s="15" t="s">
        <v>48</v>
      </c>
      <c r="M281" s="15" t="s">
        <v>22</v>
      </c>
      <c r="N281" s="15" t="s">
        <v>440</v>
      </c>
      <c r="O281" s="15"/>
      <c r="P281" s="16">
        <v>0.5</v>
      </c>
      <c r="Q281" s="16">
        <v>0.15</v>
      </c>
      <c r="R281" s="16">
        <v>0.15</v>
      </c>
      <c r="S281" s="17">
        <v>45594.0</v>
      </c>
      <c r="T281" s="18">
        <v>1.825</v>
      </c>
      <c r="U281" s="15" t="s">
        <v>33</v>
      </c>
      <c r="V281" s="19">
        <f t="shared" si="1"/>
        <v>0.12375</v>
      </c>
      <c r="W281" s="19">
        <f t="shared" si="5"/>
        <v>1.344943373</v>
      </c>
    </row>
    <row r="282">
      <c r="A282" s="8">
        <f t="shared" si="3"/>
        <v>281</v>
      </c>
      <c r="B282" s="8" t="s">
        <v>18</v>
      </c>
      <c r="C282" s="8" t="s">
        <v>19</v>
      </c>
      <c r="D282" s="8"/>
      <c r="E282" s="8" t="s">
        <v>1763</v>
      </c>
      <c r="F282" s="8"/>
      <c r="G282" s="8"/>
      <c r="H282" s="8"/>
      <c r="I282" s="8" t="s">
        <v>1479</v>
      </c>
      <c r="J282" s="8" t="s">
        <v>1477</v>
      </c>
      <c r="K282" s="8">
        <v>0.0</v>
      </c>
      <c r="L282" s="8" t="s">
        <v>48</v>
      </c>
      <c r="M282" s="8" t="s">
        <v>22</v>
      </c>
      <c r="N282" s="8" t="s">
        <v>894</v>
      </c>
      <c r="O282" s="8"/>
      <c r="P282" s="9">
        <v>-0.25</v>
      </c>
      <c r="Q282" s="9">
        <v>0.15</v>
      </c>
      <c r="R282" s="9">
        <v>0.15</v>
      </c>
      <c r="S282" s="10">
        <v>45594.0</v>
      </c>
      <c r="T282" s="11">
        <v>2.05</v>
      </c>
      <c r="U282" s="8" t="s">
        <v>33</v>
      </c>
      <c r="V282" s="12">
        <f t="shared" si="1"/>
        <v>0.1575</v>
      </c>
      <c r="W282" s="12">
        <f t="shared" si="5"/>
        <v>1.502443373</v>
      </c>
    </row>
    <row r="283">
      <c r="A283" s="15">
        <f t="shared" si="3"/>
        <v>282</v>
      </c>
      <c r="B283" s="15" t="s">
        <v>26</v>
      </c>
      <c r="C283" s="15" t="s">
        <v>19</v>
      </c>
      <c r="D283" s="15"/>
      <c r="E283" s="15" t="s">
        <v>1764</v>
      </c>
      <c r="F283" s="15">
        <v>8.0</v>
      </c>
      <c r="G283" s="15">
        <v>16.0</v>
      </c>
      <c r="H283" s="112">
        <f>12/(19*2)</f>
        <v>0.3157894737</v>
      </c>
      <c r="I283" s="15" t="s">
        <v>1473</v>
      </c>
      <c r="J283" s="15" t="s">
        <v>1474</v>
      </c>
      <c r="K283" s="15">
        <v>0.0</v>
      </c>
      <c r="L283" s="15" t="s">
        <v>121</v>
      </c>
      <c r="M283" s="15" t="s">
        <v>22</v>
      </c>
      <c r="N283" s="15" t="s">
        <v>225</v>
      </c>
      <c r="O283" s="15"/>
      <c r="P283" s="16">
        <v>0.75</v>
      </c>
      <c r="Q283" s="16">
        <v>0.1</v>
      </c>
      <c r="R283" s="16">
        <v>0.1</v>
      </c>
      <c r="S283" s="17">
        <v>45594.0</v>
      </c>
      <c r="T283" s="18">
        <v>1.95</v>
      </c>
      <c r="U283" s="15" t="s">
        <v>25</v>
      </c>
      <c r="V283" s="19">
        <f t="shared" si="1"/>
        <v>-0.1</v>
      </c>
      <c r="W283" s="19">
        <f t="shared" si="5"/>
        <v>1.402443373</v>
      </c>
    </row>
    <row r="284">
      <c r="A284" s="8">
        <f t="shared" si="3"/>
        <v>283</v>
      </c>
      <c r="B284" s="8" t="s">
        <v>26</v>
      </c>
      <c r="C284" s="8" t="s">
        <v>19</v>
      </c>
      <c r="D284" s="8">
        <v>0.0</v>
      </c>
      <c r="E284" s="8" t="s">
        <v>1765</v>
      </c>
      <c r="F284" s="8"/>
      <c r="G284" s="8"/>
      <c r="H284" s="109"/>
      <c r="I284" s="8"/>
      <c r="J284" s="8"/>
      <c r="K284" s="8"/>
      <c r="L284" s="8" t="s">
        <v>78</v>
      </c>
      <c r="M284" s="8" t="s">
        <v>598</v>
      </c>
      <c r="N284" s="8" t="s">
        <v>1471</v>
      </c>
      <c r="O284" s="8"/>
      <c r="P284" s="9">
        <v>-3.0</v>
      </c>
      <c r="Q284" s="9">
        <v>0.1</v>
      </c>
      <c r="R284" s="9">
        <v>0.0677</v>
      </c>
      <c r="S284" s="10">
        <v>45594.0</v>
      </c>
      <c r="T284" s="11">
        <v>1.85</v>
      </c>
      <c r="U284" s="8" t="s">
        <v>25</v>
      </c>
      <c r="V284" s="12">
        <f t="shared" si="1"/>
        <v>-0.0677</v>
      </c>
      <c r="W284" s="12">
        <f t="shared" si="5"/>
        <v>1.334743373</v>
      </c>
    </row>
    <row r="285">
      <c r="A285" s="15">
        <f t="shared" si="3"/>
        <v>284</v>
      </c>
      <c r="B285" s="15" t="s">
        <v>26</v>
      </c>
      <c r="C285" s="15" t="s">
        <v>19</v>
      </c>
      <c r="D285" s="15">
        <v>0.0</v>
      </c>
      <c r="E285" s="15" t="s">
        <v>1766</v>
      </c>
      <c r="F285" s="15">
        <v>10.0</v>
      </c>
      <c r="G285" s="15">
        <v>2.0</v>
      </c>
      <c r="H285" s="112">
        <f>11/(19*2)</f>
        <v>0.2894736842</v>
      </c>
      <c r="I285" s="15"/>
      <c r="J285" s="15"/>
      <c r="K285" s="15"/>
      <c r="L285" s="15" t="s">
        <v>121</v>
      </c>
      <c r="M285" s="15" t="s">
        <v>598</v>
      </c>
      <c r="N285" s="15" t="s">
        <v>440</v>
      </c>
      <c r="O285" s="15"/>
      <c r="P285" s="16">
        <v>2.0</v>
      </c>
      <c r="Q285" s="16">
        <v>0.1</v>
      </c>
      <c r="R285" s="16">
        <v>0.1</v>
      </c>
      <c r="S285" s="17">
        <v>45594.0</v>
      </c>
      <c r="T285" s="18">
        <v>1.95</v>
      </c>
      <c r="U285" s="15" t="s">
        <v>25</v>
      </c>
      <c r="V285" s="19">
        <f t="shared" si="1"/>
        <v>-0.1</v>
      </c>
      <c r="W285" s="19">
        <f t="shared" si="5"/>
        <v>1.234743373</v>
      </c>
    </row>
    <row r="286">
      <c r="A286" s="8">
        <f t="shared" si="3"/>
        <v>285</v>
      </c>
      <c r="B286" s="8" t="s">
        <v>129</v>
      </c>
      <c r="C286" s="8" t="s">
        <v>19</v>
      </c>
      <c r="D286" s="8"/>
      <c r="E286" s="8" t="s">
        <v>1767</v>
      </c>
      <c r="F286" s="8"/>
      <c r="G286" s="8"/>
      <c r="H286" s="109"/>
      <c r="I286" s="8" t="s">
        <v>1479</v>
      </c>
      <c r="J286" s="8" t="s">
        <v>1474</v>
      </c>
      <c r="K286" s="8">
        <v>0.0</v>
      </c>
      <c r="L286" s="8" t="s">
        <v>229</v>
      </c>
      <c r="M286" s="8" t="s">
        <v>22</v>
      </c>
      <c r="N286" s="8" t="s">
        <v>225</v>
      </c>
      <c r="O286" s="8"/>
      <c r="P286" s="9">
        <v>0.5</v>
      </c>
      <c r="Q286" s="9">
        <v>0.25</v>
      </c>
      <c r="R286" s="9">
        <v>0.25</v>
      </c>
      <c r="S286" s="54">
        <v>45595.0</v>
      </c>
      <c r="T286" s="11">
        <v>1.7</v>
      </c>
      <c r="U286" s="8" t="s">
        <v>25</v>
      </c>
      <c r="V286" s="12">
        <f t="shared" si="1"/>
        <v>-0.25</v>
      </c>
      <c r="W286" s="12">
        <f t="shared" si="5"/>
        <v>0.9847433733</v>
      </c>
    </row>
    <row r="287">
      <c r="A287" s="15">
        <f t="shared" si="3"/>
        <v>286</v>
      </c>
      <c r="B287" s="15" t="s">
        <v>26</v>
      </c>
      <c r="C287" s="15" t="s">
        <v>19</v>
      </c>
      <c r="D287" s="15">
        <v>0.0</v>
      </c>
      <c r="E287" s="15" t="s">
        <v>1768</v>
      </c>
      <c r="F287" s="116">
        <v>4.0</v>
      </c>
      <c r="G287" s="116">
        <v>1.0</v>
      </c>
      <c r="H287" s="117">
        <f>24/(15*2)</f>
        <v>0.8</v>
      </c>
      <c r="I287" s="37"/>
      <c r="J287" s="37"/>
      <c r="K287" s="37"/>
      <c r="L287" s="37" t="s">
        <v>1470</v>
      </c>
      <c r="M287" s="37" t="s">
        <v>598</v>
      </c>
      <c r="N287" s="37" t="s">
        <v>1471</v>
      </c>
      <c r="O287" s="15"/>
      <c r="P287" s="24">
        <v>-2.0</v>
      </c>
      <c r="Q287" s="16">
        <v>0.3</v>
      </c>
      <c r="R287" s="16">
        <v>0.3</v>
      </c>
      <c r="S287" s="17">
        <v>45595.0</v>
      </c>
      <c r="T287" s="18">
        <v>1.9</v>
      </c>
      <c r="U287" s="15" t="s">
        <v>70</v>
      </c>
      <c r="V287" s="19">
        <f t="shared" si="1"/>
        <v>0</v>
      </c>
      <c r="W287" s="19">
        <f t="shared" si="5"/>
        <v>0.9847433733</v>
      </c>
    </row>
    <row r="288">
      <c r="A288" s="8">
        <f t="shared" si="3"/>
        <v>287</v>
      </c>
      <c r="B288" s="8" t="s">
        <v>18</v>
      </c>
      <c r="C288" s="8" t="s">
        <v>19</v>
      </c>
      <c r="D288" s="8"/>
      <c r="E288" s="8" t="s">
        <v>1769</v>
      </c>
      <c r="F288" s="118"/>
      <c r="G288" s="118"/>
      <c r="H288" s="119"/>
      <c r="I288" s="32" t="s">
        <v>1473</v>
      </c>
      <c r="J288" s="32" t="s">
        <v>1477</v>
      </c>
      <c r="K288" s="32">
        <v>0.0</v>
      </c>
      <c r="L288" s="32" t="s">
        <v>99</v>
      </c>
      <c r="M288" s="32" t="s">
        <v>22</v>
      </c>
      <c r="N288" s="32" t="s">
        <v>894</v>
      </c>
      <c r="O288" s="8"/>
      <c r="P288" s="33">
        <v>-0.25</v>
      </c>
      <c r="Q288" s="9">
        <v>0.3</v>
      </c>
      <c r="R288" s="9">
        <v>0.3</v>
      </c>
      <c r="S288" s="10">
        <v>45595.0</v>
      </c>
      <c r="T288" s="11">
        <v>1.85</v>
      </c>
      <c r="U288" s="8" t="s">
        <v>33</v>
      </c>
      <c r="V288" s="12">
        <f t="shared" si="1"/>
        <v>0.255</v>
      </c>
      <c r="W288" s="12">
        <f t="shared" si="5"/>
        <v>1.239743373</v>
      </c>
    </row>
    <row r="289">
      <c r="A289" s="15">
        <f t="shared" si="3"/>
        <v>288</v>
      </c>
      <c r="B289" s="15" t="s">
        <v>137</v>
      </c>
      <c r="C289" s="15" t="s">
        <v>19</v>
      </c>
      <c r="D289" s="120">
        <v>43.0</v>
      </c>
      <c r="E289" s="15" t="s">
        <v>1770</v>
      </c>
      <c r="F289" s="121">
        <v>8.0</v>
      </c>
      <c r="G289" s="121">
        <v>3.0</v>
      </c>
      <c r="H289" s="122">
        <f>8/(7*2)</f>
        <v>0.5714285714</v>
      </c>
      <c r="I289" s="42" t="s">
        <v>1473</v>
      </c>
      <c r="J289" s="42" t="s">
        <v>1480</v>
      </c>
      <c r="K289" s="42">
        <v>-1.0</v>
      </c>
      <c r="L289" s="42" t="s">
        <v>66</v>
      </c>
      <c r="M289" s="42" t="s">
        <v>22</v>
      </c>
      <c r="N289" s="42" t="s">
        <v>892</v>
      </c>
      <c r="O289" s="15"/>
      <c r="P289" s="16">
        <v>0.0</v>
      </c>
      <c r="Q289" s="16">
        <v>0.3</v>
      </c>
      <c r="R289" s="16">
        <v>0.3</v>
      </c>
      <c r="S289" s="17">
        <v>45595.0</v>
      </c>
      <c r="T289" s="18">
        <v>1.975</v>
      </c>
      <c r="U289" s="15" t="s">
        <v>33</v>
      </c>
      <c r="V289" s="19">
        <f t="shared" si="1"/>
        <v>0.2925</v>
      </c>
      <c r="W289" s="19">
        <f t="shared" si="5"/>
        <v>1.532243373</v>
      </c>
    </row>
    <row r="290">
      <c r="A290" s="8">
        <f t="shared" si="3"/>
        <v>289</v>
      </c>
      <c r="B290" s="8" t="s">
        <v>26</v>
      </c>
      <c r="C290" s="8" t="s">
        <v>19</v>
      </c>
      <c r="D290" s="8">
        <v>0.0</v>
      </c>
      <c r="E290" s="8" t="s">
        <v>1771</v>
      </c>
      <c r="F290" s="8">
        <v>15.0</v>
      </c>
      <c r="G290" s="8">
        <v>2.0</v>
      </c>
      <c r="H290" s="109">
        <f>23/(15*2)</f>
        <v>0.7666666667</v>
      </c>
      <c r="I290" s="8"/>
      <c r="J290" s="8"/>
      <c r="K290" s="8"/>
      <c r="L290" s="8" t="s">
        <v>1470</v>
      </c>
      <c r="M290" s="8" t="s">
        <v>598</v>
      </c>
      <c r="N290" s="8" t="s">
        <v>1471</v>
      </c>
      <c r="O290" s="8"/>
      <c r="P290" s="9">
        <v>-2.0</v>
      </c>
      <c r="Q290" s="9">
        <v>0.3</v>
      </c>
      <c r="R290" s="9">
        <v>0.3</v>
      </c>
      <c r="S290" s="10">
        <v>45595.0</v>
      </c>
      <c r="T290" s="11">
        <v>1.8</v>
      </c>
      <c r="U290" s="8" t="s">
        <v>25</v>
      </c>
      <c r="V290" s="12">
        <f t="shared" si="1"/>
        <v>-0.3</v>
      </c>
      <c r="W290" s="12">
        <f t="shared" si="5"/>
        <v>1.232243373</v>
      </c>
    </row>
    <row r="291">
      <c r="A291" s="15">
        <f t="shared" si="3"/>
        <v>290</v>
      </c>
      <c r="B291" s="15" t="s">
        <v>26</v>
      </c>
      <c r="C291" s="15" t="s">
        <v>19</v>
      </c>
      <c r="D291" s="15">
        <v>0.0</v>
      </c>
      <c r="E291" s="15" t="s">
        <v>1772</v>
      </c>
      <c r="F291" s="15">
        <v>6.0</v>
      </c>
      <c r="G291" s="15">
        <v>5.0</v>
      </c>
      <c r="H291" s="112">
        <f>8/(17*2)</f>
        <v>0.2352941176</v>
      </c>
      <c r="I291" s="15"/>
      <c r="J291" s="15"/>
      <c r="K291" s="15"/>
      <c r="L291" s="15" t="s">
        <v>806</v>
      </c>
      <c r="M291" s="15" t="s">
        <v>598</v>
      </c>
      <c r="N291" s="15" t="s">
        <v>1471</v>
      </c>
      <c r="O291" s="15"/>
      <c r="P291" s="16">
        <v>-1.75</v>
      </c>
      <c r="Q291" s="16">
        <v>0.3</v>
      </c>
      <c r="R291" s="16">
        <v>0.3</v>
      </c>
      <c r="S291" s="17">
        <v>45595.0</v>
      </c>
      <c r="T291" s="18">
        <f>458.91/300</f>
        <v>1.5297</v>
      </c>
      <c r="U291" s="15" t="s">
        <v>33</v>
      </c>
      <c r="V291" s="19">
        <f t="shared" si="1"/>
        <v>0.15891</v>
      </c>
      <c r="W291" s="19">
        <f t="shared" si="5"/>
        <v>1.391153373</v>
      </c>
    </row>
    <row r="292">
      <c r="A292" s="8">
        <f t="shared" si="3"/>
        <v>291</v>
      </c>
      <c r="B292" s="8" t="s">
        <v>26</v>
      </c>
      <c r="C292" s="8" t="s">
        <v>19</v>
      </c>
      <c r="D292" s="8">
        <v>0.0</v>
      </c>
      <c r="E292" s="8" t="s">
        <v>1773</v>
      </c>
      <c r="F292" s="8">
        <v>3.0</v>
      </c>
      <c r="G292" s="8">
        <v>11.0</v>
      </c>
      <c r="H292" s="109">
        <f>12/(19*2)</f>
        <v>0.3157894737</v>
      </c>
      <c r="I292" s="8"/>
      <c r="J292" s="8"/>
      <c r="K292" s="8"/>
      <c r="L292" s="8" t="s">
        <v>121</v>
      </c>
      <c r="M292" s="8" t="s">
        <v>598</v>
      </c>
      <c r="N292" s="8" t="s">
        <v>1471</v>
      </c>
      <c r="O292" s="8"/>
      <c r="P292" s="9">
        <v>-2.25</v>
      </c>
      <c r="Q292" s="9">
        <v>0.1</v>
      </c>
      <c r="R292" s="9">
        <v>0.1</v>
      </c>
      <c r="S292" s="10">
        <v>45595.0</v>
      </c>
      <c r="T292" s="11">
        <v>1.8</v>
      </c>
      <c r="U292" s="8" t="s">
        <v>25</v>
      </c>
      <c r="V292" s="12">
        <f t="shared" si="1"/>
        <v>-0.1</v>
      </c>
      <c r="W292" s="12">
        <f t="shared" si="5"/>
        <v>1.291153373</v>
      </c>
    </row>
    <row r="293">
      <c r="A293" s="15">
        <f t="shared" si="3"/>
        <v>292</v>
      </c>
      <c r="B293" s="15" t="s">
        <v>26</v>
      </c>
      <c r="C293" s="15" t="s">
        <v>19</v>
      </c>
      <c r="D293" s="15">
        <v>0.0</v>
      </c>
      <c r="E293" s="15" t="s">
        <v>1774</v>
      </c>
      <c r="F293" s="15"/>
      <c r="G293" s="15"/>
      <c r="H293" s="112"/>
      <c r="I293" s="15"/>
      <c r="J293" s="15"/>
      <c r="K293" s="15"/>
      <c r="L293" s="15" t="s">
        <v>683</v>
      </c>
      <c r="M293" s="15" t="s">
        <v>598</v>
      </c>
      <c r="N293" s="15" t="s">
        <v>1471</v>
      </c>
      <c r="O293" s="15"/>
      <c r="P293" s="16">
        <v>-2.0</v>
      </c>
      <c r="Q293" s="16">
        <v>0.15</v>
      </c>
      <c r="R293" s="16">
        <v>0.15</v>
      </c>
      <c r="S293" s="17">
        <v>45595.0</v>
      </c>
      <c r="T293" s="18">
        <v>1.7</v>
      </c>
      <c r="U293" s="15" t="s">
        <v>33</v>
      </c>
      <c r="V293" s="19">
        <f t="shared" si="1"/>
        <v>0.105</v>
      </c>
      <c r="W293" s="19">
        <f t="shared" si="5"/>
        <v>1.396153373</v>
      </c>
    </row>
    <row r="294">
      <c r="A294" s="8">
        <f t="shared" si="3"/>
        <v>293</v>
      </c>
      <c r="B294" s="8" t="s">
        <v>26</v>
      </c>
      <c r="C294" s="8" t="s">
        <v>19</v>
      </c>
      <c r="D294" s="8">
        <v>0.0</v>
      </c>
      <c r="E294" s="8" t="s">
        <v>1775</v>
      </c>
      <c r="F294" s="8"/>
      <c r="G294" s="8"/>
      <c r="H294" s="8"/>
      <c r="I294" s="8"/>
      <c r="J294" s="8"/>
      <c r="K294" s="8"/>
      <c r="L294" s="8" t="s">
        <v>82</v>
      </c>
      <c r="M294" s="8" t="s">
        <v>598</v>
      </c>
      <c r="N294" s="8" t="s">
        <v>440</v>
      </c>
      <c r="O294" s="8"/>
      <c r="P294" s="9">
        <v>2.25</v>
      </c>
      <c r="Q294" s="9">
        <v>0.1</v>
      </c>
      <c r="R294" s="9">
        <v>0.1</v>
      </c>
      <c r="S294" s="10">
        <v>45595.0</v>
      </c>
      <c r="T294" s="11">
        <v>1.925</v>
      </c>
      <c r="U294" s="8" t="s">
        <v>70</v>
      </c>
      <c r="V294" s="12">
        <f t="shared" si="1"/>
        <v>0</v>
      </c>
      <c r="W294" s="12">
        <f t="shared" si="5"/>
        <v>1.396153373</v>
      </c>
    </row>
    <row r="295">
      <c r="A295" s="15">
        <f t="shared" si="3"/>
        <v>294</v>
      </c>
      <c r="B295" s="15" t="s">
        <v>26</v>
      </c>
      <c r="C295" s="15" t="s">
        <v>19</v>
      </c>
      <c r="D295" s="15">
        <v>0.0</v>
      </c>
      <c r="E295" s="15" t="s">
        <v>1776</v>
      </c>
      <c r="F295" s="15">
        <v>18.0</v>
      </c>
      <c r="G295" s="15">
        <v>2.0</v>
      </c>
      <c r="H295" s="112">
        <f>7/(17*2)</f>
        <v>0.2058823529</v>
      </c>
      <c r="I295" s="15"/>
      <c r="J295" s="15"/>
      <c r="K295" s="15"/>
      <c r="L295" s="15" t="s">
        <v>124</v>
      </c>
      <c r="M295" s="15" t="s">
        <v>598</v>
      </c>
      <c r="N295" s="15" t="s">
        <v>1471</v>
      </c>
      <c r="O295" s="15"/>
      <c r="P295" s="16">
        <v>-2.0</v>
      </c>
      <c r="Q295" s="16">
        <v>0.2</v>
      </c>
      <c r="R295" s="16">
        <v>0.1</v>
      </c>
      <c r="S295" s="17">
        <v>45595.0</v>
      </c>
      <c r="T295" s="18">
        <v>1.725</v>
      </c>
      <c r="U295" s="15" t="s">
        <v>25</v>
      </c>
      <c r="V295" s="19">
        <f t="shared" si="1"/>
        <v>-0.1</v>
      </c>
      <c r="W295" s="19">
        <f t="shared" si="5"/>
        <v>1.296153373</v>
      </c>
    </row>
    <row r="296">
      <c r="A296" s="8">
        <f t="shared" si="3"/>
        <v>295</v>
      </c>
      <c r="B296" s="8" t="s">
        <v>18</v>
      </c>
      <c r="C296" s="8" t="s">
        <v>19</v>
      </c>
      <c r="D296" s="8">
        <v>74.0</v>
      </c>
      <c r="E296" s="8" t="s">
        <v>1777</v>
      </c>
      <c r="F296" s="8"/>
      <c r="G296" s="8"/>
      <c r="H296" s="109"/>
      <c r="I296" s="8" t="s">
        <v>1479</v>
      </c>
      <c r="J296" s="8" t="s">
        <v>1474</v>
      </c>
      <c r="K296" s="8">
        <v>-1.0</v>
      </c>
      <c r="L296" s="8" t="s">
        <v>82</v>
      </c>
      <c r="M296" s="8" t="s">
        <v>22</v>
      </c>
      <c r="N296" s="8" t="s">
        <v>225</v>
      </c>
      <c r="O296" s="8"/>
      <c r="P296" s="9">
        <v>0.5</v>
      </c>
      <c r="Q296" s="9">
        <v>0.3</v>
      </c>
      <c r="R296" s="9">
        <v>0.3</v>
      </c>
      <c r="S296" s="10">
        <v>45595.0</v>
      </c>
      <c r="T296" s="11">
        <f>459.38/300</f>
        <v>1.531266667</v>
      </c>
      <c r="U296" s="8" t="s">
        <v>33</v>
      </c>
      <c r="V296" s="12">
        <f t="shared" si="1"/>
        <v>0.15938</v>
      </c>
      <c r="W296" s="12">
        <f t="shared" si="5"/>
        <v>1.455533373</v>
      </c>
    </row>
    <row r="297">
      <c r="A297" s="15">
        <f t="shared" si="3"/>
        <v>296</v>
      </c>
      <c r="B297" s="15" t="s">
        <v>26</v>
      </c>
      <c r="C297" s="15" t="s">
        <v>19</v>
      </c>
      <c r="D297" s="15">
        <v>45.0</v>
      </c>
      <c r="E297" s="15" t="s">
        <v>1778</v>
      </c>
      <c r="F297" s="15"/>
      <c r="G297" s="15"/>
      <c r="H297" s="112"/>
      <c r="I297" s="15" t="s">
        <v>1473</v>
      </c>
      <c r="J297" s="15" t="s">
        <v>1477</v>
      </c>
      <c r="K297" s="15">
        <v>0.0</v>
      </c>
      <c r="L297" s="15" t="s">
        <v>60</v>
      </c>
      <c r="M297" s="15" t="s">
        <v>22</v>
      </c>
      <c r="N297" s="15" t="s">
        <v>894</v>
      </c>
      <c r="O297" s="37"/>
      <c r="P297" s="16">
        <v>-0.5</v>
      </c>
      <c r="Q297" s="16">
        <v>0.3</v>
      </c>
      <c r="R297" s="16">
        <v>0.3</v>
      </c>
      <c r="S297" s="17">
        <v>45595.0</v>
      </c>
      <c r="T297" s="18">
        <f>429.68/300</f>
        <v>1.432266667</v>
      </c>
      <c r="U297" s="15" t="s">
        <v>33</v>
      </c>
      <c r="V297" s="19">
        <f t="shared" si="1"/>
        <v>0.12968</v>
      </c>
      <c r="W297" s="19">
        <f t="shared" si="5"/>
        <v>1.585213373</v>
      </c>
    </row>
    <row r="298">
      <c r="A298" s="8">
        <f t="shared" si="3"/>
        <v>297</v>
      </c>
      <c r="B298" s="8" t="s">
        <v>26</v>
      </c>
      <c r="C298" s="8" t="s">
        <v>19</v>
      </c>
      <c r="D298" s="8">
        <v>0.0</v>
      </c>
      <c r="E298" s="8" t="s">
        <v>1779</v>
      </c>
      <c r="F298" s="8">
        <v>5.0</v>
      </c>
      <c r="G298" s="8">
        <v>4.0</v>
      </c>
      <c r="H298" s="109">
        <f>8/(9*2)</f>
        <v>0.4444444444</v>
      </c>
      <c r="I298" s="8"/>
      <c r="J298" s="8"/>
      <c r="K298" s="8"/>
      <c r="L298" s="8" t="s">
        <v>675</v>
      </c>
      <c r="M298" s="8" t="s">
        <v>598</v>
      </c>
      <c r="N298" s="8" t="s">
        <v>1471</v>
      </c>
      <c r="O298" s="32"/>
      <c r="P298" s="9">
        <v>-2.25</v>
      </c>
      <c r="Q298" s="9">
        <v>0.3</v>
      </c>
      <c r="R298" s="9">
        <v>0.2908</v>
      </c>
      <c r="S298" s="10">
        <v>45596.0</v>
      </c>
      <c r="T298" s="11">
        <v>1.9</v>
      </c>
      <c r="U298" s="8" t="s">
        <v>25</v>
      </c>
      <c r="V298" s="12">
        <f t="shared" si="1"/>
        <v>-0.2908</v>
      </c>
      <c r="W298" s="12">
        <f t="shared" si="5"/>
        <v>1.294413373</v>
      </c>
    </row>
    <row r="299">
      <c r="A299" s="15">
        <f t="shared" si="3"/>
        <v>298</v>
      </c>
      <c r="B299" s="15" t="s">
        <v>26</v>
      </c>
      <c r="C299" s="15" t="s">
        <v>19</v>
      </c>
      <c r="D299" s="15"/>
      <c r="E299" s="15" t="s">
        <v>1780</v>
      </c>
      <c r="F299" s="15">
        <v>9.0</v>
      </c>
      <c r="G299" s="15">
        <v>16.0</v>
      </c>
      <c r="H299" s="112">
        <f>6/(15*2)</f>
        <v>0.2</v>
      </c>
      <c r="I299" s="15"/>
      <c r="J299" s="15"/>
      <c r="K299" s="15"/>
      <c r="L299" s="15" t="s">
        <v>1031</v>
      </c>
      <c r="M299" s="15" t="s">
        <v>22</v>
      </c>
      <c r="N299" s="15" t="s">
        <v>225</v>
      </c>
      <c r="O299" s="37"/>
      <c r="P299" s="16">
        <v>1.0</v>
      </c>
      <c r="Q299" s="16">
        <v>0.25</v>
      </c>
      <c r="R299" s="16">
        <v>0.25</v>
      </c>
      <c r="S299" s="17">
        <v>45596.0</v>
      </c>
      <c r="T299" s="18">
        <v>2.0</v>
      </c>
      <c r="U299" s="15" t="s">
        <v>70</v>
      </c>
      <c r="V299" s="19">
        <f t="shared" si="1"/>
        <v>0</v>
      </c>
      <c r="W299" s="19">
        <f t="shared" si="5"/>
        <v>1.294413373</v>
      </c>
    </row>
    <row r="300">
      <c r="A300" s="8">
        <f t="shared" si="3"/>
        <v>299</v>
      </c>
      <c r="B300" s="8" t="s">
        <v>26</v>
      </c>
      <c r="C300" s="8" t="s">
        <v>19</v>
      </c>
      <c r="D300" s="8">
        <v>0.0</v>
      </c>
      <c r="E300" s="8" t="s">
        <v>1781</v>
      </c>
      <c r="F300" s="8">
        <v>7.0</v>
      </c>
      <c r="G300" s="8">
        <v>5.0</v>
      </c>
      <c r="H300" s="109">
        <f>10/(15*2)</f>
        <v>0.3333333333</v>
      </c>
      <c r="I300" s="8"/>
      <c r="J300" s="8"/>
      <c r="K300" s="8"/>
      <c r="L300" s="8" t="s">
        <v>245</v>
      </c>
      <c r="M300" s="8" t="s">
        <v>598</v>
      </c>
      <c r="N300" s="8" t="s">
        <v>1471</v>
      </c>
      <c r="O300" s="32"/>
      <c r="P300" s="9">
        <v>-2.5</v>
      </c>
      <c r="Q300" s="9">
        <v>0.1</v>
      </c>
      <c r="R300" s="9">
        <v>0.1</v>
      </c>
      <c r="S300" s="10">
        <v>45596.0</v>
      </c>
      <c r="T300" s="11">
        <v>1.825</v>
      </c>
      <c r="U300" s="8" t="s">
        <v>25</v>
      </c>
      <c r="V300" s="12">
        <f t="shared" si="1"/>
        <v>-0.1</v>
      </c>
      <c r="W300" s="12">
        <f t="shared" si="5"/>
        <v>1.194413373</v>
      </c>
    </row>
    <row r="301">
      <c r="A301" s="15">
        <f t="shared" si="3"/>
        <v>300</v>
      </c>
      <c r="B301" s="15" t="s">
        <v>26</v>
      </c>
      <c r="C301" s="15" t="s">
        <v>19</v>
      </c>
      <c r="D301" s="15">
        <v>0.0</v>
      </c>
      <c r="E301" s="15" t="s">
        <v>1782</v>
      </c>
      <c r="F301" s="15">
        <v>5.0</v>
      </c>
      <c r="G301" s="15">
        <v>15.0</v>
      </c>
      <c r="H301" s="112">
        <f>3/(18*2)</f>
        <v>0.08333333333</v>
      </c>
      <c r="I301" s="15" t="s">
        <v>1473</v>
      </c>
      <c r="J301" s="15" t="s">
        <v>1480</v>
      </c>
      <c r="K301" s="15">
        <v>0.0</v>
      </c>
      <c r="L301" s="15" t="s">
        <v>193</v>
      </c>
      <c r="M301" s="15" t="s">
        <v>598</v>
      </c>
      <c r="N301" s="15" t="s">
        <v>892</v>
      </c>
      <c r="O301" s="37"/>
      <c r="P301" s="16">
        <v>0.0</v>
      </c>
      <c r="Q301" s="16">
        <v>0.1</v>
      </c>
      <c r="R301" s="16">
        <v>0.1</v>
      </c>
      <c r="S301" s="17">
        <v>45596.0</v>
      </c>
      <c r="T301" s="18">
        <v>1.9</v>
      </c>
      <c r="U301" s="15" t="s">
        <v>25</v>
      </c>
      <c r="V301" s="19">
        <f t="shared" si="1"/>
        <v>-0.1</v>
      </c>
      <c r="W301" s="19">
        <f t="shared" si="5"/>
        <v>1.094413373</v>
      </c>
    </row>
    <row r="302">
      <c r="A302" s="8">
        <f t="shared" si="3"/>
        <v>301</v>
      </c>
      <c r="B302" s="8" t="s">
        <v>26</v>
      </c>
      <c r="C302" s="8" t="s">
        <v>19</v>
      </c>
      <c r="D302" s="8">
        <v>0.0</v>
      </c>
      <c r="E302" s="8" t="s">
        <v>1783</v>
      </c>
      <c r="F302" s="8"/>
      <c r="G302" s="8"/>
      <c r="H302" s="109"/>
      <c r="I302" s="8"/>
      <c r="J302" s="8"/>
      <c r="K302" s="8"/>
      <c r="L302" s="8" t="s">
        <v>78</v>
      </c>
      <c r="M302" s="8" t="s">
        <v>598</v>
      </c>
      <c r="N302" s="8" t="s">
        <v>1471</v>
      </c>
      <c r="O302" s="32"/>
      <c r="P302" s="9">
        <v>-3.0</v>
      </c>
      <c r="Q302" s="9">
        <v>0.1</v>
      </c>
      <c r="R302" s="9">
        <v>0.1</v>
      </c>
      <c r="S302" s="10">
        <v>45596.0</v>
      </c>
      <c r="T302" s="11">
        <v>1.7</v>
      </c>
      <c r="U302" s="8" t="s">
        <v>33</v>
      </c>
      <c r="V302" s="12">
        <f t="shared" si="1"/>
        <v>0.07</v>
      </c>
      <c r="W302" s="12">
        <f t="shared" si="5"/>
        <v>1.164413373</v>
      </c>
    </row>
    <row r="303">
      <c r="A303" s="15">
        <f t="shared" si="3"/>
        <v>302</v>
      </c>
      <c r="B303" s="15" t="s">
        <v>26</v>
      </c>
      <c r="C303" s="15" t="s">
        <v>19</v>
      </c>
      <c r="D303" s="15"/>
      <c r="E303" s="15" t="s">
        <v>1784</v>
      </c>
      <c r="F303" s="15"/>
      <c r="G303" s="15"/>
      <c r="H303" s="15"/>
      <c r="I303" s="15" t="s">
        <v>1473</v>
      </c>
      <c r="J303" s="15" t="s">
        <v>1480</v>
      </c>
      <c r="K303" s="15">
        <v>0.0</v>
      </c>
      <c r="L303" s="15" t="s">
        <v>659</v>
      </c>
      <c r="M303" s="15" t="s">
        <v>22</v>
      </c>
      <c r="N303" s="15" t="s">
        <v>892</v>
      </c>
      <c r="O303" s="37"/>
      <c r="P303" s="16">
        <v>0.0</v>
      </c>
      <c r="Q303" s="16">
        <v>0.1</v>
      </c>
      <c r="R303" s="16">
        <v>0.1</v>
      </c>
      <c r="S303" s="17">
        <v>45596.0</v>
      </c>
      <c r="T303" s="18">
        <v>1.925</v>
      </c>
      <c r="U303" s="15" t="s">
        <v>70</v>
      </c>
      <c r="V303" s="19">
        <f t="shared" si="1"/>
        <v>0</v>
      </c>
      <c r="W303" s="19">
        <f t="shared" si="5"/>
        <v>1.164413373</v>
      </c>
    </row>
    <row r="304">
      <c r="A304" s="8">
        <f t="shared" si="3"/>
        <v>303</v>
      </c>
      <c r="B304" s="8" t="s">
        <v>26</v>
      </c>
      <c r="C304" s="8" t="s">
        <v>19</v>
      </c>
      <c r="D304" s="8">
        <v>0.0</v>
      </c>
      <c r="E304" s="8" t="s">
        <v>1785</v>
      </c>
      <c r="F304" s="8"/>
      <c r="G304" s="8"/>
      <c r="H304" s="109"/>
      <c r="I304" s="8"/>
      <c r="J304" s="8"/>
      <c r="K304" s="8"/>
      <c r="L304" s="8" t="s">
        <v>78</v>
      </c>
      <c r="M304" s="8" t="s">
        <v>598</v>
      </c>
      <c r="N304" s="8" t="s">
        <v>1471</v>
      </c>
      <c r="O304" s="32"/>
      <c r="P304" s="9">
        <v>-3.5</v>
      </c>
      <c r="Q304" s="9">
        <v>0.1</v>
      </c>
      <c r="R304" s="9">
        <v>0.1</v>
      </c>
      <c r="S304" s="10">
        <v>45596.0</v>
      </c>
      <c r="T304" s="11">
        <v>1.925</v>
      </c>
      <c r="U304" s="8" t="s">
        <v>25</v>
      </c>
      <c r="V304" s="12">
        <f t="shared" si="1"/>
        <v>-0.1</v>
      </c>
      <c r="W304" s="12">
        <f t="shared" si="5"/>
        <v>1.064413373</v>
      </c>
    </row>
    <row r="305">
      <c r="A305" s="15">
        <f t="shared" si="3"/>
        <v>304</v>
      </c>
      <c r="B305" s="15" t="s">
        <v>26</v>
      </c>
      <c r="C305" s="15" t="s">
        <v>19</v>
      </c>
      <c r="D305" s="15">
        <v>0.0</v>
      </c>
      <c r="E305" s="15" t="s">
        <v>1786</v>
      </c>
      <c r="F305" s="15">
        <v>12.0</v>
      </c>
      <c r="G305" s="15">
        <v>1.0</v>
      </c>
      <c r="H305" s="112">
        <f>9/(15*2)</f>
        <v>0.3</v>
      </c>
      <c r="I305" s="15"/>
      <c r="J305" s="15"/>
      <c r="K305" s="15"/>
      <c r="L305" s="15" t="s">
        <v>231</v>
      </c>
      <c r="M305" s="15" t="s">
        <v>598</v>
      </c>
      <c r="N305" s="15" t="s">
        <v>1471</v>
      </c>
      <c r="O305" s="37"/>
      <c r="P305" s="16">
        <v>-2.0</v>
      </c>
      <c r="Q305" s="16">
        <v>0.1</v>
      </c>
      <c r="R305" s="16">
        <v>0.1</v>
      </c>
      <c r="S305" s="17">
        <v>45596.0</v>
      </c>
      <c r="T305" s="18">
        <v>1.85</v>
      </c>
      <c r="U305" s="15" t="s">
        <v>70</v>
      </c>
      <c r="V305" s="19">
        <f t="shared" si="1"/>
        <v>0</v>
      </c>
      <c r="W305" s="19">
        <f t="shared" si="5"/>
        <v>1.064413373</v>
      </c>
    </row>
    <row r="306">
      <c r="A306" s="8">
        <f t="shared" si="3"/>
        <v>305</v>
      </c>
      <c r="B306" s="8" t="s">
        <v>18</v>
      </c>
      <c r="C306" s="8" t="s">
        <v>19</v>
      </c>
      <c r="D306" s="8"/>
      <c r="E306" s="8" t="s">
        <v>1787</v>
      </c>
      <c r="F306" s="8"/>
      <c r="G306" s="8"/>
      <c r="H306" s="109"/>
      <c r="I306" s="8" t="s">
        <v>1473</v>
      </c>
      <c r="J306" s="8" t="s">
        <v>1480</v>
      </c>
      <c r="K306" s="8">
        <v>0.0</v>
      </c>
      <c r="L306" s="8" t="s">
        <v>644</v>
      </c>
      <c r="M306" s="8" t="s">
        <v>22</v>
      </c>
      <c r="N306" s="8" t="s">
        <v>892</v>
      </c>
      <c r="O306" s="32"/>
      <c r="P306" s="9">
        <v>0.0</v>
      </c>
      <c r="Q306" s="9">
        <v>0.6</v>
      </c>
      <c r="R306" s="9">
        <v>0.6</v>
      </c>
      <c r="S306" s="10">
        <v>45596.0</v>
      </c>
      <c r="T306" s="11">
        <v>1.975</v>
      </c>
      <c r="U306" s="8" t="s">
        <v>25</v>
      </c>
      <c r="V306" s="12">
        <f t="shared" si="1"/>
        <v>-0.6</v>
      </c>
      <c r="W306" s="12">
        <f t="shared" si="5"/>
        <v>0.4644133733</v>
      </c>
    </row>
    <row r="307">
      <c r="A307" s="15">
        <f t="shared" si="3"/>
        <v>306</v>
      </c>
      <c r="B307" s="15" t="s">
        <v>18</v>
      </c>
      <c r="C307" s="15" t="s">
        <v>19</v>
      </c>
      <c r="D307" s="15"/>
      <c r="E307" s="15" t="s">
        <v>1788</v>
      </c>
      <c r="F307" s="15"/>
      <c r="G307" s="15"/>
      <c r="H307" s="112"/>
      <c r="I307" s="15" t="s">
        <v>1473</v>
      </c>
      <c r="J307" s="15" t="s">
        <v>1474</v>
      </c>
      <c r="K307" s="15">
        <v>0.0</v>
      </c>
      <c r="L307" s="15" t="s">
        <v>229</v>
      </c>
      <c r="M307" s="15" t="s">
        <v>22</v>
      </c>
      <c r="N307" s="15" t="s">
        <v>225</v>
      </c>
      <c r="O307" s="37"/>
      <c r="P307" s="16">
        <v>3.25</v>
      </c>
      <c r="Q307" s="16">
        <v>0.1</v>
      </c>
      <c r="R307" s="16">
        <v>0.0908</v>
      </c>
      <c r="S307" s="17">
        <v>45596.0</v>
      </c>
      <c r="T307" s="18">
        <v>1.825</v>
      </c>
      <c r="U307" s="15" t="s">
        <v>33</v>
      </c>
      <c r="V307" s="19">
        <f t="shared" si="1"/>
        <v>0.07491</v>
      </c>
      <c r="W307" s="19">
        <f t="shared" si="5"/>
        <v>0.5393233733</v>
      </c>
    </row>
    <row r="308">
      <c r="A308" s="8">
        <f t="shared" si="3"/>
        <v>307</v>
      </c>
      <c r="B308" s="8" t="s">
        <v>26</v>
      </c>
      <c r="C308" s="8" t="s">
        <v>19</v>
      </c>
      <c r="D308" s="8">
        <v>0.0</v>
      </c>
      <c r="E308" s="8" t="s">
        <v>1789</v>
      </c>
      <c r="F308" s="8"/>
      <c r="G308" s="8"/>
      <c r="H308" s="8"/>
      <c r="I308" s="8"/>
      <c r="J308" s="8"/>
      <c r="K308" s="8"/>
      <c r="L308" s="8" t="s">
        <v>121</v>
      </c>
      <c r="M308" s="8" t="s">
        <v>598</v>
      </c>
      <c r="N308" s="8" t="s">
        <v>440</v>
      </c>
      <c r="O308" s="32"/>
      <c r="P308" s="9">
        <v>2.0</v>
      </c>
      <c r="Q308" s="9">
        <v>0.1</v>
      </c>
      <c r="R308" s="9">
        <v>0.1</v>
      </c>
      <c r="S308" s="10">
        <v>45596.0</v>
      </c>
      <c r="T308" s="11">
        <v>1.75</v>
      </c>
      <c r="U308" s="8" t="s">
        <v>70</v>
      </c>
      <c r="V308" s="12">
        <f t="shared" si="1"/>
        <v>0</v>
      </c>
      <c r="W308" s="12">
        <f t="shared" si="5"/>
        <v>0.5393233733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37"/>
      <c r="P309" s="16"/>
      <c r="Q309" s="16"/>
      <c r="R309" s="16"/>
      <c r="S309" s="17"/>
      <c r="T309" s="18"/>
      <c r="U309" s="15"/>
      <c r="V309" s="19" t="str">
        <f t="shared" si="1"/>
        <v/>
      </c>
      <c r="W309" s="19">
        <f t="shared" si="5"/>
        <v>0.5393233733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32"/>
      <c r="P310" s="9"/>
      <c r="Q310" s="9"/>
      <c r="R310" s="9"/>
      <c r="S310" s="10"/>
      <c r="T310" s="11"/>
      <c r="U310" s="8"/>
      <c r="V310" s="12" t="str">
        <f t="shared" si="1"/>
        <v/>
      </c>
      <c r="W310" s="12">
        <f t="shared" si="5"/>
        <v>0.5393233733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12"/>
      <c r="I311" s="15"/>
      <c r="J311" s="15"/>
      <c r="K311" s="15"/>
      <c r="L311" s="15"/>
      <c r="M311" s="15"/>
      <c r="N311" s="15"/>
      <c r="O311" s="37"/>
      <c r="P311" s="16"/>
      <c r="Q311" s="16"/>
      <c r="R311" s="16"/>
      <c r="S311" s="17"/>
      <c r="T311" s="18"/>
      <c r="U311" s="15"/>
      <c r="V311" s="19" t="str">
        <f t="shared" si="1"/>
        <v/>
      </c>
      <c r="W311" s="19">
        <f t="shared" si="5"/>
        <v>0.5393233733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9"/>
      <c r="Q312" s="9"/>
      <c r="R312" s="9"/>
      <c r="S312" s="10"/>
      <c r="T312" s="11"/>
      <c r="U312" s="8"/>
      <c r="V312" s="12" t="str">
        <f t="shared" si="1"/>
        <v/>
      </c>
      <c r="W312" s="12">
        <f t="shared" si="5"/>
        <v>0.5393233733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37"/>
      <c r="P313" s="16"/>
      <c r="Q313" s="16"/>
      <c r="R313" s="16"/>
      <c r="S313" s="17"/>
      <c r="T313" s="18"/>
      <c r="U313" s="15"/>
      <c r="V313" s="19" t="str">
        <f t="shared" si="1"/>
        <v/>
      </c>
      <c r="W313" s="19">
        <f t="shared" si="5"/>
        <v>0.5393233733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32"/>
      <c r="P314" s="9"/>
      <c r="Q314" s="9"/>
      <c r="R314" s="9"/>
      <c r="S314" s="54"/>
      <c r="T314" s="11"/>
      <c r="U314" s="8"/>
      <c r="V314" s="12" t="str">
        <f t="shared" si="1"/>
        <v/>
      </c>
      <c r="W314" s="12">
        <f t="shared" si="5"/>
        <v>0.5393233733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12"/>
      <c r="I315" s="15"/>
      <c r="J315" s="15"/>
      <c r="K315" s="15"/>
      <c r="L315" s="15"/>
      <c r="M315" s="15"/>
      <c r="N315" s="15"/>
      <c r="O315" s="15"/>
      <c r="P315" s="16"/>
      <c r="Q315" s="16"/>
      <c r="R315" s="16"/>
      <c r="S315" s="55"/>
      <c r="T315" s="18"/>
      <c r="U315" s="15"/>
      <c r="V315" s="19" t="str">
        <f t="shared" si="1"/>
        <v/>
      </c>
      <c r="W315" s="19">
        <f t="shared" si="5"/>
        <v>0.5393233733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109"/>
      <c r="I316" s="8"/>
      <c r="J316" s="8"/>
      <c r="K316" s="8"/>
      <c r="L316" s="8"/>
      <c r="M316" s="8"/>
      <c r="N316" s="8"/>
      <c r="O316" s="8"/>
      <c r="P316" s="9"/>
      <c r="Q316" s="9"/>
      <c r="R316" s="9"/>
      <c r="S316" s="54"/>
      <c r="T316" s="11"/>
      <c r="U316" s="8"/>
      <c r="V316" s="12" t="str">
        <f t="shared" si="1"/>
        <v/>
      </c>
      <c r="W316" s="12">
        <f t="shared" si="5"/>
        <v>0.5393233733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12"/>
      <c r="I317" s="15"/>
      <c r="J317" s="15"/>
      <c r="K317" s="15"/>
      <c r="L317" s="15"/>
      <c r="M317" s="15"/>
      <c r="N317" s="15"/>
      <c r="O317" s="15"/>
      <c r="P317" s="16"/>
      <c r="Q317" s="16"/>
      <c r="R317" s="16"/>
      <c r="S317" s="55"/>
      <c r="T317" s="18"/>
      <c r="U317" s="15"/>
      <c r="V317" s="19" t="str">
        <f t="shared" si="1"/>
        <v/>
      </c>
      <c r="W317" s="19">
        <f t="shared" si="5"/>
        <v>0.5393233733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9"/>
      <c r="Q318" s="9"/>
      <c r="R318" s="9"/>
      <c r="S318" s="10"/>
      <c r="T318" s="11"/>
      <c r="U318" s="8"/>
      <c r="V318" s="12" t="str">
        <f t="shared" si="1"/>
        <v/>
      </c>
      <c r="W318" s="12">
        <f t="shared" si="5"/>
        <v>0.5393233733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6"/>
      <c r="Q319" s="16"/>
      <c r="R319" s="16"/>
      <c r="S319" s="17"/>
      <c r="T319" s="18"/>
      <c r="U319" s="15"/>
      <c r="V319" s="19" t="str">
        <f t="shared" si="1"/>
        <v/>
      </c>
      <c r="W319" s="19">
        <f t="shared" si="5"/>
        <v>0.5393233733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9"/>
      <c r="Q320" s="9"/>
      <c r="R320" s="9"/>
      <c r="S320" s="10"/>
      <c r="T320" s="11"/>
      <c r="U320" s="8"/>
      <c r="V320" s="12" t="str">
        <f t="shared" si="1"/>
        <v/>
      </c>
      <c r="W320" s="12">
        <f t="shared" si="5"/>
        <v>0.5393233733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12"/>
      <c r="I321" s="15"/>
      <c r="J321" s="15"/>
      <c r="K321" s="15"/>
      <c r="L321" s="15"/>
      <c r="M321" s="15"/>
      <c r="N321" s="15"/>
      <c r="O321" s="15"/>
      <c r="P321" s="16"/>
      <c r="Q321" s="16"/>
      <c r="R321" s="16"/>
      <c r="S321" s="17"/>
      <c r="T321" s="18"/>
      <c r="U321" s="15"/>
      <c r="V321" s="19" t="str">
        <f t="shared" si="1"/>
        <v/>
      </c>
      <c r="W321" s="19">
        <f t="shared" si="5"/>
        <v>0.5393233733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109"/>
      <c r="I322" s="8"/>
      <c r="J322" s="8"/>
      <c r="K322" s="8"/>
      <c r="L322" s="8"/>
      <c r="M322" s="8"/>
      <c r="N322" s="8"/>
      <c r="O322" s="8"/>
      <c r="P322" s="9"/>
      <c r="Q322" s="9"/>
      <c r="R322" s="9"/>
      <c r="S322" s="10"/>
      <c r="T322" s="11"/>
      <c r="U322" s="8"/>
      <c r="V322" s="12" t="str">
        <f t="shared" si="1"/>
        <v/>
      </c>
      <c r="W322" s="12">
        <f t="shared" si="5"/>
        <v>0.5393233733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12"/>
      <c r="I323" s="15"/>
      <c r="J323" s="15"/>
      <c r="K323" s="15"/>
      <c r="L323" s="15"/>
      <c r="M323" s="15"/>
      <c r="N323" s="15"/>
      <c r="O323" s="15"/>
      <c r="P323" s="16"/>
      <c r="Q323" s="16"/>
      <c r="R323" s="16"/>
      <c r="S323" s="17"/>
      <c r="T323" s="18"/>
      <c r="U323" s="15"/>
      <c r="V323" s="19" t="str">
        <f t="shared" si="1"/>
        <v/>
      </c>
      <c r="W323" s="19">
        <f t="shared" si="5"/>
        <v>0.5393233733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109"/>
      <c r="I324" s="8"/>
      <c r="J324" s="8"/>
      <c r="K324" s="8"/>
      <c r="L324" s="8"/>
      <c r="M324" s="8"/>
      <c r="N324" s="8"/>
      <c r="O324" s="8"/>
      <c r="P324" s="9"/>
      <c r="Q324" s="9"/>
      <c r="R324" s="9"/>
      <c r="S324" s="10"/>
      <c r="T324" s="11"/>
      <c r="U324" s="8"/>
      <c r="V324" s="12" t="str">
        <f t="shared" si="1"/>
        <v/>
      </c>
      <c r="W324" s="12">
        <f t="shared" si="5"/>
        <v>0.5393233733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12"/>
      <c r="I325" s="15"/>
      <c r="J325" s="15"/>
      <c r="K325" s="15"/>
      <c r="L325" s="15"/>
      <c r="M325" s="15"/>
      <c r="N325" s="15"/>
      <c r="O325" s="15"/>
      <c r="P325" s="15"/>
      <c r="Q325" s="16"/>
      <c r="R325" s="16"/>
      <c r="S325" s="17"/>
      <c r="T325" s="18"/>
      <c r="U325" s="15"/>
      <c r="V325" s="19" t="str">
        <f t="shared" si="1"/>
        <v/>
      </c>
      <c r="W325" s="19">
        <f t="shared" si="5"/>
        <v>0.5393233733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9"/>
      <c r="R326" s="9"/>
      <c r="S326" s="10"/>
      <c r="T326" s="11"/>
      <c r="U326" s="8"/>
      <c r="V326" s="12" t="str">
        <f t="shared" si="1"/>
        <v/>
      </c>
      <c r="W326" s="12">
        <f t="shared" si="5"/>
        <v>0.5393233733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12"/>
      <c r="I327" s="15"/>
      <c r="J327" s="15"/>
      <c r="K327" s="15"/>
      <c r="L327" s="15"/>
      <c r="M327" s="15"/>
      <c r="N327" s="15"/>
      <c r="O327" s="15"/>
      <c r="P327" s="16"/>
      <c r="Q327" s="16"/>
      <c r="R327" s="16"/>
      <c r="S327" s="17"/>
      <c r="T327" s="18"/>
      <c r="U327" s="15"/>
      <c r="V327" s="19" t="str">
        <f t="shared" si="1"/>
        <v/>
      </c>
      <c r="W327" s="19">
        <f t="shared" si="5"/>
        <v>0.5393233733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109"/>
      <c r="I328" s="8"/>
      <c r="J328" s="8"/>
      <c r="K328" s="8"/>
      <c r="L328" s="8"/>
      <c r="M328" s="8"/>
      <c r="N328" s="8"/>
      <c r="O328" s="8"/>
      <c r="P328" s="9"/>
      <c r="Q328" s="9"/>
      <c r="R328" s="9"/>
      <c r="S328" s="10"/>
      <c r="T328" s="11"/>
      <c r="U328" s="8"/>
      <c r="V328" s="12" t="str">
        <f t="shared" si="1"/>
        <v/>
      </c>
      <c r="W328" s="12">
        <f t="shared" si="5"/>
        <v>0.5393233733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12"/>
      <c r="I329" s="15"/>
      <c r="J329" s="15"/>
      <c r="K329" s="15"/>
      <c r="L329" s="15"/>
      <c r="M329" s="15"/>
      <c r="N329" s="15"/>
      <c r="O329" s="15"/>
      <c r="P329" s="16"/>
      <c r="Q329" s="16"/>
      <c r="R329" s="16"/>
      <c r="S329" s="17"/>
      <c r="T329" s="18"/>
      <c r="U329" s="15"/>
      <c r="V329" s="19" t="str">
        <f t="shared" si="1"/>
        <v/>
      </c>
      <c r="W329" s="19">
        <f t="shared" si="5"/>
        <v>0.5393233733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109"/>
      <c r="I330" s="8"/>
      <c r="J330" s="8"/>
      <c r="K330" s="8"/>
      <c r="L330" s="8"/>
      <c r="M330" s="8"/>
      <c r="N330" s="8"/>
      <c r="O330" s="8"/>
      <c r="P330" s="9"/>
      <c r="Q330" s="9"/>
      <c r="R330" s="9"/>
      <c r="S330" s="10"/>
      <c r="T330" s="8"/>
      <c r="U330" s="8"/>
      <c r="V330" s="12" t="str">
        <f t="shared" si="1"/>
        <v/>
      </c>
      <c r="W330" s="12">
        <f t="shared" si="5"/>
        <v>0.5393233733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6"/>
      <c r="Q331" s="16"/>
      <c r="R331" s="16"/>
      <c r="S331" s="17"/>
      <c r="T331" s="18"/>
      <c r="U331" s="15"/>
      <c r="V331" s="19" t="str">
        <f t="shared" si="1"/>
        <v/>
      </c>
      <c r="W331" s="19">
        <f t="shared" si="5"/>
        <v>0.5393233733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9"/>
      <c r="Q332" s="9"/>
      <c r="R332" s="9"/>
      <c r="S332" s="10"/>
      <c r="T332" s="11"/>
      <c r="U332" s="8"/>
      <c r="V332" s="12" t="str">
        <f t="shared" si="1"/>
        <v/>
      </c>
      <c r="W332" s="12">
        <f t="shared" si="5"/>
        <v>0.5393233733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12"/>
      <c r="I333" s="15"/>
      <c r="J333" s="15"/>
      <c r="K333" s="15"/>
      <c r="L333" s="15"/>
      <c r="M333" s="15"/>
      <c r="N333" s="15"/>
      <c r="O333" s="15"/>
      <c r="P333" s="16"/>
      <c r="Q333" s="16"/>
      <c r="R333" s="16"/>
      <c r="S333" s="17"/>
      <c r="T333" s="18"/>
      <c r="U333" s="15"/>
      <c r="V333" s="19" t="str">
        <f t="shared" si="1"/>
        <v/>
      </c>
      <c r="W333" s="19">
        <f t="shared" si="5"/>
        <v>0.5393233733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109"/>
      <c r="I334" s="8"/>
      <c r="J334" s="8"/>
      <c r="K334" s="8"/>
      <c r="L334" s="8"/>
      <c r="M334" s="8"/>
      <c r="N334" s="8"/>
      <c r="O334" s="8"/>
      <c r="P334" s="9"/>
      <c r="Q334" s="9"/>
      <c r="R334" s="9"/>
      <c r="S334" s="10"/>
      <c r="T334" s="11"/>
      <c r="U334" s="8"/>
      <c r="V334" s="12" t="str">
        <f t="shared" si="1"/>
        <v/>
      </c>
      <c r="W334" s="12">
        <f t="shared" si="5"/>
        <v>0.5393233733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6"/>
      <c r="Q335" s="16"/>
      <c r="R335" s="16"/>
      <c r="S335" s="17"/>
      <c r="T335" s="18"/>
      <c r="U335" s="15"/>
      <c r="V335" s="19" t="str">
        <f t="shared" si="1"/>
        <v/>
      </c>
      <c r="W335" s="19">
        <f t="shared" si="5"/>
        <v>0.5393233733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109"/>
      <c r="I336" s="8"/>
      <c r="J336" s="8"/>
      <c r="K336" s="8"/>
      <c r="L336" s="8"/>
      <c r="M336" s="8"/>
      <c r="N336" s="8"/>
      <c r="O336" s="8"/>
      <c r="P336" s="8"/>
      <c r="Q336" s="9"/>
      <c r="R336" s="9"/>
      <c r="S336" s="10"/>
      <c r="T336" s="11"/>
      <c r="U336" s="8"/>
      <c r="V336" s="12" t="str">
        <f t="shared" si="1"/>
        <v/>
      </c>
      <c r="W336" s="12">
        <f t="shared" si="5"/>
        <v>0.5393233733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6"/>
      <c r="Q337" s="16"/>
      <c r="R337" s="16"/>
      <c r="S337" s="17"/>
      <c r="T337" s="18"/>
      <c r="U337" s="15"/>
      <c r="V337" s="19" t="str">
        <f t="shared" si="1"/>
        <v/>
      </c>
      <c r="W337" s="19">
        <f t="shared" si="5"/>
        <v>0.5393233733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109"/>
      <c r="I338" s="8"/>
      <c r="J338" s="8"/>
      <c r="K338" s="8"/>
      <c r="L338" s="8"/>
      <c r="M338" s="8"/>
      <c r="N338" s="8"/>
      <c r="O338" s="8"/>
      <c r="P338" s="9"/>
      <c r="Q338" s="9"/>
      <c r="R338" s="9"/>
      <c r="S338" s="10"/>
      <c r="T338" s="11"/>
      <c r="U338" s="8"/>
      <c r="V338" s="12" t="str">
        <f t="shared" si="1"/>
        <v/>
      </c>
      <c r="W338" s="12">
        <f t="shared" si="5"/>
        <v>0.5393233733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6"/>
      <c r="Q339" s="16"/>
      <c r="R339" s="16"/>
      <c r="S339" s="17"/>
      <c r="T339" s="18"/>
      <c r="U339" s="15"/>
      <c r="V339" s="19" t="str">
        <f t="shared" si="1"/>
        <v/>
      </c>
      <c r="W339" s="19">
        <f t="shared" si="5"/>
        <v>0.5393233733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9"/>
      <c r="Q340" s="9"/>
      <c r="R340" s="9"/>
      <c r="S340" s="10"/>
      <c r="T340" s="11"/>
      <c r="U340" s="8"/>
      <c r="V340" s="12" t="str">
        <f t="shared" si="1"/>
        <v/>
      </c>
      <c r="W340" s="12">
        <f t="shared" si="5"/>
        <v>0.5393233733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12"/>
      <c r="I341" s="15"/>
      <c r="J341" s="15"/>
      <c r="K341" s="15"/>
      <c r="L341" s="15"/>
      <c r="M341" s="15"/>
      <c r="N341" s="15"/>
      <c r="O341" s="15"/>
      <c r="P341" s="16"/>
      <c r="Q341" s="16"/>
      <c r="R341" s="16"/>
      <c r="S341" s="17"/>
      <c r="T341" s="18"/>
      <c r="U341" s="15"/>
      <c r="V341" s="19" t="str">
        <f t="shared" si="1"/>
        <v/>
      </c>
      <c r="W341" s="19">
        <f t="shared" si="5"/>
        <v>0.5393233733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109"/>
      <c r="I342" s="8"/>
      <c r="J342" s="8"/>
      <c r="K342" s="8"/>
      <c r="L342" s="8"/>
      <c r="M342" s="8"/>
      <c r="N342" s="8"/>
      <c r="O342" s="8"/>
      <c r="P342" s="9"/>
      <c r="Q342" s="9"/>
      <c r="R342" s="9"/>
      <c r="S342" s="10"/>
      <c r="T342" s="11"/>
      <c r="U342" s="8"/>
      <c r="V342" s="12" t="str">
        <f t="shared" si="1"/>
        <v/>
      </c>
      <c r="W342" s="12">
        <f t="shared" si="5"/>
        <v>0.5393233733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12"/>
      <c r="I343" s="15"/>
      <c r="J343" s="15"/>
      <c r="K343" s="15"/>
      <c r="L343" s="15"/>
      <c r="M343" s="15"/>
      <c r="N343" s="15"/>
      <c r="O343" s="15"/>
      <c r="P343" s="16"/>
      <c r="Q343" s="16"/>
      <c r="R343" s="16"/>
      <c r="S343" s="17"/>
      <c r="T343" s="18"/>
      <c r="U343" s="15"/>
      <c r="V343" s="19" t="str">
        <f t="shared" si="1"/>
        <v/>
      </c>
      <c r="W343" s="19">
        <f t="shared" si="5"/>
        <v>0.5393233733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9"/>
      <c r="Q344" s="9"/>
      <c r="R344" s="9"/>
      <c r="S344" s="10"/>
      <c r="T344" s="11"/>
      <c r="U344" s="8"/>
      <c r="V344" s="12" t="str">
        <f t="shared" si="1"/>
        <v/>
      </c>
      <c r="W344" s="12">
        <f t="shared" si="5"/>
        <v>0.5393233733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6"/>
      <c r="Q345" s="16"/>
      <c r="R345" s="16"/>
      <c r="S345" s="17"/>
      <c r="T345" s="18"/>
      <c r="U345" s="15"/>
      <c r="V345" s="19" t="str">
        <f t="shared" si="1"/>
        <v/>
      </c>
      <c r="W345" s="19">
        <f t="shared" si="5"/>
        <v>0.5393233733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109"/>
      <c r="I346" s="8"/>
      <c r="J346" s="8"/>
      <c r="K346" s="8"/>
      <c r="L346" s="8"/>
      <c r="M346" s="8"/>
      <c r="N346" s="8"/>
      <c r="O346" s="8"/>
      <c r="P346" s="9"/>
      <c r="Q346" s="9"/>
      <c r="R346" s="9"/>
      <c r="S346" s="10"/>
      <c r="T346" s="11"/>
      <c r="U346" s="8"/>
      <c r="V346" s="12" t="str">
        <f t="shared" si="1"/>
        <v/>
      </c>
      <c r="W346" s="12">
        <f t="shared" si="5"/>
        <v>0.5393233733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12"/>
      <c r="I347" s="15"/>
      <c r="J347" s="15"/>
      <c r="K347" s="15"/>
      <c r="L347" s="15"/>
      <c r="M347" s="15"/>
      <c r="N347" s="15"/>
      <c r="O347" s="15"/>
      <c r="P347" s="16"/>
      <c r="Q347" s="16"/>
      <c r="R347" s="16"/>
      <c r="S347" s="17"/>
      <c r="T347" s="18"/>
      <c r="U347" s="15"/>
      <c r="V347" s="19" t="str">
        <f t="shared" si="1"/>
        <v/>
      </c>
      <c r="W347" s="19">
        <f t="shared" si="5"/>
        <v>0.5393233733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9"/>
      <c r="Q348" s="9"/>
      <c r="R348" s="9"/>
      <c r="S348" s="10"/>
      <c r="T348" s="11"/>
      <c r="U348" s="8"/>
      <c r="V348" s="12" t="str">
        <f t="shared" si="1"/>
        <v/>
      </c>
      <c r="W348" s="12">
        <f t="shared" si="5"/>
        <v>0.5393233733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12"/>
      <c r="I349" s="15"/>
      <c r="J349" s="15"/>
      <c r="K349" s="15"/>
      <c r="L349" s="15"/>
      <c r="M349" s="15"/>
      <c r="N349" s="15"/>
      <c r="O349" s="15"/>
      <c r="P349" s="16"/>
      <c r="Q349" s="16"/>
      <c r="R349" s="16"/>
      <c r="S349" s="17"/>
      <c r="T349" s="18"/>
      <c r="U349" s="15"/>
      <c r="V349" s="19" t="str">
        <f t="shared" si="1"/>
        <v/>
      </c>
      <c r="W349" s="19">
        <f t="shared" si="5"/>
        <v>0.5393233733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109"/>
      <c r="I350" s="8"/>
      <c r="J350" s="8"/>
      <c r="K350" s="8"/>
      <c r="L350" s="8"/>
      <c r="M350" s="8"/>
      <c r="N350" s="8"/>
      <c r="O350" s="8"/>
      <c r="P350" s="9"/>
      <c r="Q350" s="9"/>
      <c r="R350" s="9"/>
      <c r="S350" s="10"/>
      <c r="T350" s="11"/>
      <c r="U350" s="8"/>
      <c r="V350" s="12" t="str">
        <f t="shared" si="1"/>
        <v/>
      </c>
      <c r="W350" s="12">
        <f t="shared" si="5"/>
        <v>0.5393233733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12"/>
      <c r="I351" s="15"/>
      <c r="J351" s="15"/>
      <c r="K351" s="15"/>
      <c r="L351" s="15"/>
      <c r="M351" s="15"/>
      <c r="N351" s="15"/>
      <c r="O351" s="15"/>
      <c r="P351" s="16"/>
      <c r="Q351" s="16"/>
      <c r="R351" s="16"/>
      <c r="S351" s="17"/>
      <c r="T351" s="18"/>
      <c r="U351" s="15"/>
      <c r="V351" s="19" t="str">
        <f t="shared" si="1"/>
        <v/>
      </c>
      <c r="W351" s="19">
        <f t="shared" si="5"/>
        <v>0.5393233733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109"/>
      <c r="I352" s="8"/>
      <c r="J352" s="8"/>
      <c r="K352" s="8"/>
      <c r="L352" s="8"/>
      <c r="M352" s="8"/>
      <c r="N352" s="8"/>
      <c r="O352" s="8"/>
      <c r="P352" s="9"/>
      <c r="Q352" s="9"/>
      <c r="R352" s="9"/>
      <c r="S352" s="10"/>
      <c r="T352" s="11"/>
      <c r="U352" s="8"/>
      <c r="V352" s="12" t="str">
        <f t="shared" si="1"/>
        <v/>
      </c>
      <c r="W352" s="12">
        <f t="shared" si="5"/>
        <v>0.5393233733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12"/>
      <c r="I353" s="15"/>
      <c r="J353" s="15"/>
      <c r="K353" s="15"/>
      <c r="L353" s="15"/>
      <c r="M353" s="15"/>
      <c r="N353" s="15"/>
      <c r="O353" s="15"/>
      <c r="P353" s="16"/>
      <c r="Q353" s="16"/>
      <c r="R353" s="16"/>
      <c r="S353" s="17"/>
      <c r="T353" s="18"/>
      <c r="U353" s="15"/>
      <c r="V353" s="19" t="str">
        <f t="shared" si="1"/>
        <v/>
      </c>
      <c r="W353" s="19">
        <f t="shared" si="5"/>
        <v>0.5393233733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109"/>
      <c r="I354" s="8"/>
      <c r="J354" s="8"/>
      <c r="K354" s="8"/>
      <c r="L354" s="8"/>
      <c r="M354" s="8"/>
      <c r="N354" s="8"/>
      <c r="O354" s="8"/>
      <c r="P354" s="9"/>
      <c r="Q354" s="9"/>
      <c r="R354" s="9"/>
      <c r="S354" s="10"/>
      <c r="T354" s="11"/>
      <c r="U354" s="8"/>
      <c r="V354" s="12" t="str">
        <f t="shared" si="1"/>
        <v/>
      </c>
      <c r="W354" s="12">
        <f t="shared" si="5"/>
        <v>0.5393233733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6"/>
      <c r="R355" s="16"/>
      <c r="S355" s="17"/>
      <c r="T355" s="18"/>
      <c r="U355" s="15"/>
      <c r="V355" s="19" t="str">
        <f t="shared" si="1"/>
        <v/>
      </c>
      <c r="W355" s="19">
        <f t="shared" si="5"/>
        <v>0.5393233733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109"/>
      <c r="I356" s="8"/>
      <c r="J356" s="8"/>
      <c r="K356" s="8"/>
      <c r="L356" s="8"/>
      <c r="M356" s="8"/>
      <c r="N356" s="8"/>
      <c r="O356" s="8"/>
      <c r="P356" s="8"/>
      <c r="Q356" s="9"/>
      <c r="R356" s="9"/>
      <c r="S356" s="10"/>
      <c r="T356" s="11"/>
      <c r="U356" s="8"/>
      <c r="V356" s="12" t="str">
        <f t="shared" si="1"/>
        <v/>
      </c>
      <c r="W356" s="12">
        <f t="shared" si="5"/>
        <v>0.5393233733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12"/>
      <c r="I357" s="15"/>
      <c r="J357" s="15"/>
      <c r="K357" s="15"/>
      <c r="L357" s="15"/>
      <c r="M357" s="15"/>
      <c r="N357" s="15"/>
      <c r="O357" s="15"/>
      <c r="P357" s="16"/>
      <c r="Q357" s="16"/>
      <c r="R357" s="16"/>
      <c r="S357" s="17"/>
      <c r="T357" s="18"/>
      <c r="U357" s="15"/>
      <c r="V357" s="19" t="str">
        <f t="shared" si="1"/>
        <v/>
      </c>
      <c r="W357" s="19">
        <f t="shared" si="5"/>
        <v>0.5393233733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109"/>
      <c r="I358" s="8"/>
      <c r="J358" s="8"/>
      <c r="K358" s="8"/>
      <c r="L358" s="8"/>
      <c r="M358" s="8"/>
      <c r="N358" s="8"/>
      <c r="O358" s="8"/>
      <c r="P358" s="9"/>
      <c r="Q358" s="9"/>
      <c r="R358" s="9"/>
      <c r="S358" s="10"/>
      <c r="T358" s="11"/>
      <c r="U358" s="8"/>
      <c r="V358" s="12" t="str">
        <f t="shared" si="1"/>
        <v/>
      </c>
      <c r="W358" s="12">
        <f t="shared" si="5"/>
        <v>0.5393233733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12"/>
      <c r="I359" s="15"/>
      <c r="J359" s="15"/>
      <c r="K359" s="15"/>
      <c r="L359" s="15"/>
      <c r="M359" s="15"/>
      <c r="N359" s="15"/>
      <c r="O359" s="15"/>
      <c r="P359" s="16"/>
      <c r="Q359" s="16"/>
      <c r="R359" s="16"/>
      <c r="S359" s="17"/>
      <c r="T359" s="18"/>
      <c r="U359" s="15"/>
      <c r="V359" s="19" t="str">
        <f t="shared" si="1"/>
        <v/>
      </c>
      <c r="W359" s="19">
        <f t="shared" si="5"/>
        <v>0.5393233733</v>
      </c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9"/>
      <c r="R360" s="9"/>
      <c r="S360" s="10"/>
      <c r="T360" s="11"/>
      <c r="U360" s="8"/>
      <c r="V360" s="12" t="str">
        <f t="shared" si="1"/>
        <v/>
      </c>
      <c r="W360" s="12">
        <f t="shared" si="5"/>
        <v>0.5393233733</v>
      </c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12"/>
      <c r="I361" s="15"/>
      <c r="J361" s="15"/>
      <c r="K361" s="15"/>
      <c r="L361" s="15"/>
      <c r="M361" s="15"/>
      <c r="N361" s="15"/>
      <c r="O361" s="15"/>
      <c r="P361" s="15"/>
      <c r="Q361" s="16"/>
      <c r="R361" s="16"/>
      <c r="S361" s="17"/>
      <c r="T361" s="18"/>
      <c r="U361" s="15"/>
      <c r="V361" s="19" t="str">
        <f t="shared" si="1"/>
        <v/>
      </c>
      <c r="W361" s="19">
        <f t="shared" si="5"/>
        <v>0.5393233733</v>
      </c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109"/>
      <c r="I362" s="8"/>
      <c r="J362" s="8"/>
      <c r="K362" s="8"/>
      <c r="L362" s="8"/>
      <c r="M362" s="8"/>
      <c r="N362" s="8"/>
      <c r="O362" s="8"/>
      <c r="P362" s="8"/>
      <c r="Q362" s="9"/>
      <c r="R362" s="9"/>
      <c r="S362" s="10"/>
      <c r="T362" s="11"/>
      <c r="U362" s="8"/>
      <c r="V362" s="12" t="str">
        <f t="shared" si="1"/>
        <v/>
      </c>
      <c r="W362" s="12">
        <f t="shared" si="5"/>
        <v>0.5393233733</v>
      </c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12"/>
      <c r="I363" s="15"/>
      <c r="J363" s="15"/>
      <c r="K363" s="15"/>
      <c r="L363" s="15"/>
      <c r="M363" s="15"/>
      <c r="N363" s="15"/>
      <c r="O363" s="15"/>
      <c r="P363" s="16"/>
      <c r="Q363" s="16"/>
      <c r="R363" s="16"/>
      <c r="S363" s="17"/>
      <c r="T363" s="18"/>
      <c r="U363" s="15"/>
      <c r="V363" s="19" t="str">
        <f t="shared" si="1"/>
        <v/>
      </c>
      <c r="W363" s="19">
        <f t="shared" si="5"/>
        <v>0.5393233733</v>
      </c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109"/>
      <c r="I364" s="8"/>
      <c r="J364" s="8"/>
      <c r="K364" s="8"/>
      <c r="L364" s="8"/>
      <c r="M364" s="8"/>
      <c r="N364" s="8"/>
      <c r="O364" s="8"/>
      <c r="P364" s="8"/>
      <c r="Q364" s="9"/>
      <c r="R364" s="9"/>
      <c r="S364" s="10"/>
      <c r="T364" s="11"/>
      <c r="U364" s="8"/>
      <c r="V364" s="12" t="str">
        <f t="shared" si="1"/>
        <v/>
      </c>
      <c r="W364" s="12">
        <f t="shared" si="5"/>
        <v>0.5393233733</v>
      </c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12"/>
      <c r="I365" s="15"/>
      <c r="J365" s="15"/>
      <c r="K365" s="15"/>
      <c r="L365" s="15"/>
      <c r="M365" s="15"/>
      <c r="N365" s="15"/>
      <c r="O365" s="15"/>
      <c r="P365" s="16"/>
      <c r="Q365" s="16"/>
      <c r="R365" s="16"/>
      <c r="S365" s="17"/>
      <c r="T365" s="18"/>
      <c r="U365" s="15"/>
      <c r="V365" s="19" t="str">
        <f t="shared" si="1"/>
        <v/>
      </c>
      <c r="W365" s="19">
        <f t="shared" si="5"/>
        <v>0.5393233733</v>
      </c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109"/>
      <c r="I366" s="8"/>
      <c r="J366" s="8"/>
      <c r="K366" s="8"/>
      <c r="L366" s="8"/>
      <c r="M366" s="8"/>
      <c r="N366" s="8"/>
      <c r="O366" s="8"/>
      <c r="P366" s="9"/>
      <c r="Q366" s="9"/>
      <c r="R366" s="9"/>
      <c r="S366" s="10"/>
      <c r="T366" s="11"/>
      <c r="U366" s="8"/>
      <c r="V366" s="12" t="str">
        <f t="shared" si="1"/>
        <v/>
      </c>
      <c r="W366" s="12">
        <f t="shared" si="5"/>
        <v>0.5393233733</v>
      </c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12"/>
      <c r="I367" s="15"/>
      <c r="J367" s="15"/>
      <c r="K367" s="15"/>
      <c r="L367" s="15"/>
      <c r="M367" s="15"/>
      <c r="N367" s="15"/>
      <c r="O367" s="15"/>
      <c r="P367" s="16"/>
      <c r="Q367" s="16"/>
      <c r="R367" s="16"/>
      <c r="S367" s="17"/>
      <c r="T367" s="18"/>
      <c r="U367" s="15"/>
      <c r="V367" s="19" t="str">
        <f t="shared" si="1"/>
        <v/>
      </c>
      <c r="W367" s="19">
        <f t="shared" si="5"/>
        <v>0.5393233733</v>
      </c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109"/>
      <c r="I368" s="8"/>
      <c r="J368" s="8"/>
      <c r="K368" s="8"/>
      <c r="L368" s="8"/>
      <c r="M368" s="8"/>
      <c r="N368" s="8"/>
      <c r="O368" s="8"/>
      <c r="P368" s="8"/>
      <c r="Q368" s="9"/>
      <c r="R368" s="9"/>
      <c r="S368" s="10"/>
      <c r="T368" s="11"/>
      <c r="U368" s="8"/>
      <c r="V368" s="12" t="str">
        <f t="shared" si="1"/>
        <v/>
      </c>
      <c r="W368" s="12">
        <f t="shared" si="5"/>
        <v>0.5393233733</v>
      </c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12"/>
      <c r="I369" s="15"/>
      <c r="J369" s="15"/>
      <c r="K369" s="15"/>
      <c r="L369" s="15"/>
      <c r="M369" s="15"/>
      <c r="N369" s="15"/>
      <c r="O369" s="15"/>
      <c r="P369" s="15"/>
      <c r="Q369" s="16"/>
      <c r="R369" s="16"/>
      <c r="S369" s="17"/>
      <c r="T369" s="18"/>
      <c r="U369" s="15"/>
      <c r="V369" s="19" t="str">
        <f t="shared" si="1"/>
        <v/>
      </c>
      <c r="W369" s="19">
        <f t="shared" si="5"/>
        <v>0.5393233733</v>
      </c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109"/>
      <c r="I370" s="8"/>
      <c r="J370" s="8"/>
      <c r="K370" s="8"/>
      <c r="L370" s="8"/>
      <c r="M370" s="8"/>
      <c r="N370" s="8"/>
      <c r="O370" s="8"/>
      <c r="P370" s="9"/>
      <c r="Q370" s="9"/>
      <c r="R370" s="9"/>
      <c r="S370" s="10"/>
      <c r="T370" s="11"/>
      <c r="U370" s="8"/>
      <c r="V370" s="12" t="str">
        <f t="shared" si="1"/>
        <v/>
      </c>
      <c r="W370" s="12">
        <f t="shared" si="5"/>
        <v>0.5393233733</v>
      </c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12"/>
      <c r="I371" s="15"/>
      <c r="J371" s="15"/>
      <c r="K371" s="15"/>
      <c r="L371" s="15"/>
      <c r="M371" s="15"/>
      <c r="N371" s="15"/>
      <c r="O371" s="15"/>
      <c r="P371" s="16"/>
      <c r="Q371" s="16"/>
      <c r="R371" s="16"/>
      <c r="S371" s="17"/>
      <c r="T371" s="18"/>
      <c r="U371" s="15"/>
      <c r="V371" s="19" t="str">
        <f t="shared" si="1"/>
        <v/>
      </c>
      <c r="W371" s="19">
        <f t="shared" si="5"/>
        <v>0.5393233733</v>
      </c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109"/>
      <c r="I372" s="8"/>
      <c r="J372" s="8"/>
      <c r="K372" s="8"/>
      <c r="L372" s="8"/>
      <c r="M372" s="8"/>
      <c r="N372" s="8"/>
      <c r="O372" s="8"/>
      <c r="P372" s="9"/>
      <c r="Q372" s="9"/>
      <c r="R372" s="9"/>
      <c r="S372" s="10"/>
      <c r="T372" s="11"/>
      <c r="U372" s="8"/>
      <c r="V372" s="12" t="str">
        <f t="shared" si="1"/>
        <v/>
      </c>
      <c r="W372" s="12">
        <f t="shared" si="5"/>
        <v>0.5393233733</v>
      </c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12"/>
      <c r="I373" s="15"/>
      <c r="J373" s="15"/>
      <c r="K373" s="15"/>
      <c r="L373" s="15"/>
      <c r="M373" s="15"/>
      <c r="N373" s="15"/>
      <c r="O373" s="15"/>
      <c r="P373" s="16"/>
      <c r="Q373" s="16"/>
      <c r="R373" s="16"/>
      <c r="S373" s="17"/>
      <c r="T373" s="15"/>
      <c r="U373" s="15"/>
      <c r="V373" s="19" t="str">
        <f t="shared" si="1"/>
        <v/>
      </c>
      <c r="W373" s="19">
        <f t="shared" si="5"/>
        <v>0.5393233733</v>
      </c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123"/>
      <c r="Q374" s="9"/>
      <c r="R374" s="9"/>
      <c r="S374" s="10"/>
      <c r="T374" s="8"/>
      <c r="U374" s="8"/>
      <c r="V374" s="12" t="str">
        <f t="shared" si="1"/>
        <v/>
      </c>
      <c r="W374" s="12">
        <f t="shared" si="5"/>
        <v>0.5393233733</v>
      </c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24"/>
      <c r="Q375" s="16"/>
      <c r="R375" s="16"/>
      <c r="S375" s="17"/>
      <c r="T375" s="15"/>
      <c r="U375" s="15"/>
      <c r="V375" s="19" t="str">
        <f t="shared" si="1"/>
        <v/>
      </c>
      <c r="W375" s="19">
        <f t="shared" si="5"/>
        <v>0.5393233733</v>
      </c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123"/>
      <c r="Q376" s="9"/>
      <c r="R376" s="9"/>
      <c r="S376" s="10"/>
      <c r="T376" s="8"/>
      <c r="U376" s="8"/>
      <c r="V376" s="12" t="str">
        <f t="shared" si="1"/>
        <v/>
      </c>
      <c r="W376" s="12">
        <f t="shared" si="5"/>
        <v>0.5393233733</v>
      </c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24"/>
      <c r="Q377" s="16"/>
      <c r="R377" s="16"/>
      <c r="S377" s="17"/>
      <c r="T377" s="15"/>
      <c r="U377" s="15"/>
      <c r="V377" s="19" t="str">
        <f t="shared" si="1"/>
        <v/>
      </c>
      <c r="W377" s="19">
        <f t="shared" si="5"/>
        <v>0.5393233733</v>
      </c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123"/>
      <c r="Q378" s="9"/>
      <c r="R378" s="9"/>
      <c r="S378" s="10"/>
      <c r="T378" s="8"/>
      <c r="U378" s="8"/>
      <c r="V378" s="12" t="str">
        <f t="shared" si="1"/>
        <v/>
      </c>
      <c r="W378" s="12">
        <f t="shared" si="5"/>
        <v>0.5393233733</v>
      </c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24"/>
      <c r="Q379" s="16"/>
      <c r="R379" s="16"/>
      <c r="S379" s="17"/>
      <c r="T379" s="15"/>
      <c r="U379" s="15"/>
      <c r="V379" s="19" t="str">
        <f t="shared" si="1"/>
        <v/>
      </c>
      <c r="W379" s="19">
        <f t="shared" si="5"/>
        <v>0.5393233733</v>
      </c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123"/>
      <c r="Q380" s="9"/>
      <c r="R380" s="9"/>
      <c r="S380" s="10"/>
      <c r="T380" s="8"/>
      <c r="U380" s="8"/>
      <c r="V380" s="12" t="str">
        <f t="shared" si="1"/>
        <v/>
      </c>
      <c r="W380" s="12">
        <f t="shared" si="5"/>
        <v>0.5393233733</v>
      </c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24"/>
      <c r="Q381" s="16"/>
      <c r="R381" s="16"/>
      <c r="S381" s="17"/>
      <c r="T381" s="15"/>
      <c r="U381" s="15"/>
      <c r="V381" s="19" t="str">
        <f t="shared" si="1"/>
        <v/>
      </c>
      <c r="W381" s="19">
        <f t="shared" si="5"/>
        <v>0.5393233733</v>
      </c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123"/>
      <c r="Q382" s="9"/>
      <c r="R382" s="9"/>
      <c r="S382" s="10"/>
      <c r="T382" s="8"/>
      <c r="U382" s="8"/>
      <c r="V382" s="12" t="str">
        <f t="shared" si="1"/>
        <v/>
      </c>
      <c r="W382" s="12">
        <f t="shared" si="5"/>
        <v>0.5393233733</v>
      </c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24"/>
      <c r="Q383" s="16"/>
      <c r="R383" s="16"/>
      <c r="S383" s="17"/>
      <c r="T383" s="15"/>
      <c r="U383" s="15"/>
      <c r="V383" s="19" t="str">
        <f t="shared" si="1"/>
        <v/>
      </c>
      <c r="W383" s="19">
        <f t="shared" si="5"/>
        <v>0.5393233733</v>
      </c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123"/>
      <c r="Q384" s="9"/>
      <c r="R384" s="9"/>
      <c r="S384" s="10"/>
      <c r="T384" s="8"/>
      <c r="U384" s="8"/>
      <c r="V384" s="12" t="str">
        <f t="shared" si="1"/>
        <v/>
      </c>
      <c r="W384" s="12">
        <f t="shared" si="5"/>
        <v>0.5393233733</v>
      </c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24"/>
      <c r="Q385" s="16"/>
      <c r="R385" s="16"/>
      <c r="S385" s="17"/>
      <c r="T385" s="15"/>
      <c r="U385" s="15"/>
      <c r="V385" s="19" t="str">
        <f t="shared" si="1"/>
        <v/>
      </c>
      <c r="W385" s="19">
        <f t="shared" si="5"/>
        <v>0.5393233733</v>
      </c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123"/>
      <c r="Q386" s="9"/>
      <c r="R386" s="9"/>
      <c r="S386" s="10"/>
      <c r="T386" s="8"/>
      <c r="U386" s="8"/>
      <c r="V386" s="12" t="str">
        <f t="shared" si="1"/>
        <v/>
      </c>
      <c r="W386" s="12">
        <f t="shared" si="5"/>
        <v>0.5393233733</v>
      </c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24"/>
      <c r="Q387" s="16"/>
      <c r="R387" s="16"/>
      <c r="S387" s="17"/>
      <c r="T387" s="15"/>
      <c r="U387" s="15"/>
      <c r="V387" s="19" t="str">
        <f t="shared" si="1"/>
        <v/>
      </c>
      <c r="W387" s="19">
        <f t="shared" si="5"/>
        <v>0.5393233733</v>
      </c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123"/>
      <c r="Q388" s="9"/>
      <c r="R388" s="9"/>
      <c r="S388" s="10"/>
      <c r="T388" s="8"/>
      <c r="U388" s="8"/>
      <c r="V388" s="12" t="str">
        <f t="shared" si="1"/>
        <v/>
      </c>
      <c r="W388" s="12">
        <f t="shared" si="5"/>
        <v>0.5393233733</v>
      </c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24"/>
      <c r="Q389" s="16"/>
      <c r="R389" s="16"/>
      <c r="S389" s="17"/>
      <c r="T389" s="15"/>
      <c r="U389" s="15"/>
      <c r="V389" s="19" t="str">
        <f t="shared" si="1"/>
        <v/>
      </c>
      <c r="W389" s="19">
        <f t="shared" si="5"/>
        <v>0.5393233733</v>
      </c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123"/>
      <c r="Q390" s="9"/>
      <c r="R390" s="9"/>
      <c r="S390" s="10"/>
      <c r="T390" s="8"/>
      <c r="U390" s="8"/>
      <c r="V390" s="12" t="str">
        <f t="shared" si="1"/>
        <v/>
      </c>
      <c r="W390" s="12">
        <f t="shared" si="5"/>
        <v>0.5393233733</v>
      </c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24"/>
      <c r="Q391" s="16"/>
      <c r="R391" s="16"/>
      <c r="S391" s="17"/>
      <c r="T391" s="15"/>
      <c r="U391" s="15"/>
      <c r="V391" s="19" t="str">
        <f t="shared" si="1"/>
        <v/>
      </c>
      <c r="W391" s="19">
        <f t="shared" si="5"/>
        <v>0.5393233733</v>
      </c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123"/>
      <c r="Q392" s="9"/>
      <c r="R392" s="9"/>
      <c r="S392" s="10"/>
      <c r="T392" s="8"/>
      <c r="U392" s="8"/>
      <c r="V392" s="12" t="str">
        <f t="shared" si="1"/>
        <v/>
      </c>
      <c r="W392" s="12">
        <f t="shared" si="5"/>
        <v>0.5393233733</v>
      </c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24"/>
      <c r="Q393" s="16"/>
      <c r="R393" s="16"/>
      <c r="S393" s="17"/>
      <c r="T393" s="15"/>
      <c r="U393" s="15"/>
      <c r="V393" s="19" t="str">
        <f t="shared" si="1"/>
        <v/>
      </c>
      <c r="W393" s="19">
        <f t="shared" si="5"/>
        <v>0.5393233733</v>
      </c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123"/>
      <c r="Q394" s="9"/>
      <c r="R394" s="9"/>
      <c r="S394" s="10"/>
      <c r="T394" s="8"/>
      <c r="U394" s="8"/>
      <c r="V394" s="12" t="str">
        <f t="shared" ref="V394:V396" si="22">IF(U395="ganha",(R394*(T394-1)),IF(U395="perdida",-R394,IF(U395="devolvida",0,IF(U395="ganha/devolvida",((R394*(T394-1)))/2,IF(U395="perdida/devolvida",-R394/2,IF(U395="Aguardando",0,""))))))</f>
        <v/>
      </c>
      <c r="W394" s="12">
        <f t="shared" si="5"/>
        <v>0.5393233733</v>
      </c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24"/>
      <c r="Q395" s="16"/>
      <c r="R395" s="16"/>
      <c r="S395" s="17"/>
      <c r="T395" s="15"/>
      <c r="U395" s="15"/>
      <c r="V395" s="19" t="str">
        <f t="shared" si="22"/>
        <v/>
      </c>
      <c r="W395" s="19">
        <f t="shared" si="5"/>
        <v>0.5393233733</v>
      </c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123"/>
      <c r="Q396" s="9"/>
      <c r="R396" s="9"/>
      <c r="S396" s="10"/>
      <c r="T396" s="8"/>
      <c r="U396" s="8"/>
      <c r="V396" s="12" t="str">
        <f t="shared" si="22"/>
        <v/>
      </c>
      <c r="W396" s="12">
        <f t="shared" si="5"/>
        <v>0.5393233733</v>
      </c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24"/>
      <c r="Q397" s="16"/>
      <c r="R397" s="16"/>
      <c r="S397" s="17"/>
      <c r="T397" s="15"/>
      <c r="U397" s="15"/>
      <c r="V397" s="124"/>
      <c r="W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123"/>
      <c r="Q398" s="9"/>
      <c r="R398" s="9"/>
      <c r="S398" s="10"/>
      <c r="T398" s="8"/>
      <c r="U398" s="8"/>
      <c r="V398" s="123"/>
      <c r="W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24"/>
      <c r="Q399" s="16"/>
      <c r="R399" s="16"/>
      <c r="S399" s="17"/>
      <c r="T399" s="15"/>
      <c r="U399" s="15"/>
      <c r="V399" s="124"/>
      <c r="W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123"/>
      <c r="Q400" s="9"/>
      <c r="R400" s="9"/>
      <c r="S400" s="10"/>
      <c r="T400" s="8"/>
      <c r="U400" s="8"/>
      <c r="V400" s="123"/>
      <c r="W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24"/>
      <c r="Q401" s="16"/>
      <c r="R401" s="16"/>
      <c r="S401" s="17"/>
      <c r="T401" s="15"/>
      <c r="U401" s="15"/>
      <c r="V401" s="124"/>
      <c r="W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123"/>
      <c r="Q402" s="9"/>
      <c r="R402" s="9"/>
      <c r="S402" s="10"/>
      <c r="T402" s="8"/>
      <c r="U402" s="8"/>
      <c r="V402" s="123"/>
      <c r="W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24"/>
      <c r="Q403" s="16"/>
      <c r="R403" s="16"/>
      <c r="S403" s="17"/>
      <c r="T403" s="15"/>
      <c r="U403" s="15"/>
      <c r="V403" s="124"/>
      <c r="W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123"/>
      <c r="Q404" s="9"/>
      <c r="R404" s="9"/>
      <c r="S404" s="10"/>
      <c r="T404" s="8"/>
      <c r="U404" s="8"/>
      <c r="V404" s="123"/>
      <c r="W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24"/>
      <c r="Q405" s="16"/>
      <c r="R405" s="16"/>
      <c r="S405" s="17"/>
      <c r="T405" s="15"/>
      <c r="U405" s="15"/>
      <c r="V405" s="124"/>
      <c r="W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123"/>
      <c r="Q406" s="9"/>
      <c r="R406" s="9"/>
      <c r="S406" s="10"/>
      <c r="T406" s="8"/>
      <c r="U406" s="8"/>
      <c r="V406" s="123"/>
      <c r="W406" s="123"/>
    </row>
    <row r="407">
      <c r="A407" s="15">
        <f t="shared" si="3"/>
        <v>406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24"/>
      <c r="Q407" s="16"/>
      <c r="R407" s="16"/>
      <c r="S407" s="17"/>
      <c r="T407" s="15"/>
      <c r="U407" s="15"/>
      <c r="V407" s="124"/>
      <c r="W407" s="124"/>
    </row>
    <row r="408">
      <c r="A408" s="8">
        <f t="shared" si="3"/>
        <v>407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123"/>
      <c r="Q408" s="9"/>
      <c r="R408" s="9"/>
      <c r="S408" s="10"/>
      <c r="T408" s="8"/>
      <c r="U408" s="8"/>
      <c r="V408" s="123"/>
      <c r="W408" s="123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6"/>
      <c r="Q409" s="127"/>
      <c r="R409" s="127"/>
      <c r="S409" s="128"/>
      <c r="T409" s="125"/>
      <c r="U409" s="15"/>
      <c r="V409" s="126"/>
      <c r="W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30"/>
      <c r="Q410" s="131"/>
      <c r="R410" s="131"/>
      <c r="S410" s="132"/>
      <c r="T410" s="129"/>
      <c r="U410" s="129"/>
      <c r="V410" s="130"/>
      <c r="W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6"/>
      <c r="Q411" s="127"/>
      <c r="R411" s="127"/>
      <c r="S411" s="128"/>
      <c r="T411" s="125"/>
      <c r="U411" s="125"/>
      <c r="V411" s="126"/>
      <c r="W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30"/>
      <c r="Q412" s="131"/>
      <c r="R412" s="131"/>
      <c r="S412" s="132"/>
      <c r="T412" s="129"/>
      <c r="U412" s="129"/>
      <c r="V412" s="130"/>
      <c r="W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6"/>
      <c r="Q413" s="127"/>
      <c r="R413" s="127"/>
      <c r="S413" s="128"/>
      <c r="T413" s="125"/>
      <c r="U413" s="125"/>
      <c r="V413" s="126"/>
      <c r="W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30"/>
      <c r="Q414" s="131"/>
      <c r="R414" s="131"/>
      <c r="S414" s="132"/>
      <c r="T414" s="129"/>
      <c r="U414" s="129"/>
      <c r="V414" s="130"/>
      <c r="W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6"/>
      <c r="Q415" s="127"/>
      <c r="R415" s="127"/>
      <c r="S415" s="128"/>
      <c r="T415" s="125"/>
      <c r="U415" s="125"/>
      <c r="V415" s="126"/>
      <c r="W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30"/>
      <c r="Q416" s="131"/>
      <c r="R416" s="131"/>
      <c r="S416" s="132"/>
      <c r="T416" s="129"/>
      <c r="U416" s="129"/>
      <c r="V416" s="130"/>
      <c r="W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6"/>
      <c r="Q417" s="127"/>
      <c r="R417" s="127"/>
      <c r="S417" s="128"/>
      <c r="T417" s="125"/>
      <c r="U417" s="125"/>
      <c r="V417" s="126"/>
      <c r="W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30"/>
      <c r="Q418" s="131"/>
      <c r="R418" s="131"/>
      <c r="S418" s="132"/>
      <c r="T418" s="129"/>
      <c r="U418" s="129"/>
      <c r="V418" s="130"/>
      <c r="W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6"/>
      <c r="Q419" s="127"/>
      <c r="R419" s="127"/>
      <c r="S419" s="128"/>
      <c r="T419" s="125"/>
      <c r="U419" s="125"/>
      <c r="V419" s="126"/>
      <c r="W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30"/>
      <c r="Q420" s="131"/>
      <c r="R420" s="131"/>
      <c r="S420" s="132"/>
      <c r="T420" s="129"/>
      <c r="U420" s="129"/>
      <c r="V420" s="130"/>
      <c r="W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6"/>
      <c r="Q421" s="127"/>
      <c r="R421" s="127"/>
      <c r="S421" s="128"/>
      <c r="T421" s="125"/>
      <c r="U421" s="125"/>
      <c r="V421" s="126"/>
      <c r="W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30"/>
      <c r="Q422" s="131"/>
      <c r="R422" s="131"/>
      <c r="S422" s="132"/>
      <c r="T422" s="129"/>
      <c r="U422" s="129"/>
      <c r="V422" s="130"/>
      <c r="W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6"/>
      <c r="Q423" s="127"/>
      <c r="R423" s="127"/>
      <c r="S423" s="128"/>
      <c r="T423" s="125"/>
      <c r="U423" s="125"/>
      <c r="V423" s="126"/>
      <c r="W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30"/>
      <c r="Q424" s="131"/>
      <c r="R424" s="131"/>
      <c r="S424" s="132"/>
      <c r="T424" s="129"/>
      <c r="U424" s="129"/>
      <c r="V424" s="130"/>
      <c r="W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6"/>
      <c r="Q425" s="127"/>
      <c r="R425" s="127"/>
      <c r="S425" s="128"/>
      <c r="T425" s="125"/>
      <c r="U425" s="125"/>
      <c r="V425" s="126"/>
      <c r="W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30"/>
      <c r="Q426" s="131"/>
      <c r="R426" s="131"/>
      <c r="S426" s="132"/>
      <c r="T426" s="129"/>
      <c r="U426" s="129"/>
      <c r="V426" s="130"/>
      <c r="W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6"/>
      <c r="Q427" s="127"/>
      <c r="R427" s="127"/>
      <c r="S427" s="128"/>
      <c r="T427" s="125"/>
      <c r="U427" s="125"/>
      <c r="V427" s="126"/>
      <c r="W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30"/>
      <c r="Q428" s="131"/>
      <c r="R428" s="131"/>
      <c r="S428" s="132"/>
      <c r="T428" s="129"/>
      <c r="U428" s="129"/>
      <c r="V428" s="130"/>
      <c r="W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6"/>
      <c r="Q429" s="127"/>
      <c r="R429" s="127"/>
      <c r="S429" s="128"/>
      <c r="T429" s="125"/>
      <c r="U429" s="125"/>
      <c r="V429" s="126"/>
      <c r="W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30"/>
      <c r="Q430" s="131"/>
      <c r="R430" s="131"/>
      <c r="S430" s="132"/>
      <c r="T430" s="129"/>
      <c r="U430" s="129"/>
      <c r="V430" s="130"/>
      <c r="W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6"/>
      <c r="Q431" s="127"/>
      <c r="R431" s="127"/>
      <c r="S431" s="128"/>
      <c r="T431" s="125"/>
      <c r="U431" s="125"/>
      <c r="V431" s="126"/>
      <c r="W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30"/>
      <c r="Q432" s="131"/>
      <c r="R432" s="131"/>
      <c r="S432" s="132"/>
      <c r="T432" s="129"/>
      <c r="U432" s="129"/>
      <c r="V432" s="130"/>
      <c r="W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6"/>
      <c r="Q433" s="127"/>
      <c r="R433" s="127"/>
      <c r="S433" s="128"/>
      <c r="T433" s="125"/>
      <c r="U433" s="125"/>
      <c r="V433" s="126"/>
      <c r="W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30"/>
      <c r="Q434" s="131"/>
      <c r="R434" s="131"/>
      <c r="S434" s="132"/>
      <c r="T434" s="129"/>
      <c r="U434" s="129"/>
      <c r="V434" s="130"/>
      <c r="W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6"/>
      <c r="Q435" s="127"/>
      <c r="R435" s="127"/>
      <c r="S435" s="128"/>
      <c r="T435" s="125"/>
      <c r="U435" s="125"/>
      <c r="V435" s="126"/>
      <c r="W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30"/>
      <c r="Q436" s="131"/>
      <c r="R436" s="131"/>
      <c r="S436" s="132"/>
      <c r="T436" s="129"/>
      <c r="U436" s="129"/>
      <c r="V436" s="130"/>
      <c r="W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6"/>
      <c r="Q437" s="127"/>
      <c r="R437" s="127"/>
      <c r="S437" s="128"/>
      <c r="T437" s="125"/>
      <c r="U437" s="125"/>
      <c r="V437" s="126"/>
      <c r="W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30"/>
      <c r="Q438" s="131"/>
      <c r="R438" s="131"/>
      <c r="S438" s="132"/>
      <c r="T438" s="129"/>
      <c r="U438" s="129"/>
      <c r="V438" s="130"/>
      <c r="W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6"/>
      <c r="Q439" s="127"/>
      <c r="R439" s="127"/>
      <c r="S439" s="128"/>
      <c r="T439" s="125"/>
      <c r="U439" s="125"/>
      <c r="V439" s="126"/>
      <c r="W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30"/>
      <c r="Q440" s="131"/>
      <c r="R440" s="131"/>
      <c r="S440" s="132"/>
      <c r="T440" s="129"/>
      <c r="U440" s="129"/>
      <c r="V440" s="130"/>
      <c r="W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6"/>
      <c r="Q441" s="127"/>
      <c r="R441" s="127"/>
      <c r="S441" s="128"/>
      <c r="T441" s="125"/>
      <c r="U441" s="125"/>
      <c r="V441" s="126"/>
      <c r="W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30"/>
      <c r="Q442" s="131"/>
      <c r="R442" s="131"/>
      <c r="S442" s="132"/>
      <c r="T442" s="129"/>
      <c r="U442" s="129"/>
      <c r="V442" s="130"/>
      <c r="W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6"/>
      <c r="Q443" s="127"/>
      <c r="R443" s="127"/>
      <c r="S443" s="128"/>
      <c r="T443" s="125"/>
      <c r="U443" s="125"/>
      <c r="V443" s="126"/>
      <c r="W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30"/>
      <c r="Q444" s="131"/>
      <c r="R444" s="131"/>
      <c r="S444" s="132"/>
      <c r="T444" s="129"/>
      <c r="U444" s="129"/>
      <c r="V444" s="130"/>
      <c r="W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6"/>
      <c r="Q445" s="127"/>
      <c r="R445" s="127"/>
      <c r="S445" s="128"/>
      <c r="T445" s="125"/>
      <c r="U445" s="125"/>
      <c r="V445" s="126"/>
      <c r="W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30"/>
      <c r="Q446" s="131"/>
      <c r="R446" s="131"/>
      <c r="S446" s="132"/>
      <c r="T446" s="129"/>
      <c r="U446" s="129"/>
      <c r="V446" s="130"/>
      <c r="W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6"/>
      <c r="Q447" s="127"/>
      <c r="R447" s="127"/>
      <c r="S447" s="128"/>
      <c r="T447" s="125"/>
      <c r="U447" s="125"/>
      <c r="V447" s="126"/>
      <c r="W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30"/>
      <c r="Q448" s="131"/>
      <c r="R448" s="131"/>
      <c r="S448" s="132"/>
      <c r="T448" s="129"/>
      <c r="U448" s="129"/>
      <c r="V448" s="130"/>
      <c r="W448" s="130"/>
    </row>
    <row r="4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6"/>
      <c r="Q449" s="127"/>
      <c r="R449" s="127"/>
      <c r="S449" s="128"/>
      <c r="T449" s="125"/>
      <c r="U449" s="125"/>
      <c r="V449" s="126"/>
      <c r="W449" s="126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30"/>
      <c r="Q450" s="131"/>
      <c r="R450" s="131"/>
      <c r="S450" s="132"/>
      <c r="T450" s="129"/>
      <c r="U450" s="129"/>
      <c r="V450" s="130"/>
      <c r="W450" s="130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125"/>
      <c r="V451" s="126"/>
      <c r="W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130"/>
      <c r="W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126"/>
      <c r="W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130"/>
      <c r="W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126"/>
      <c r="W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130"/>
      <c r="W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126"/>
      <c r="W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130"/>
      <c r="W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126"/>
      <c r="W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58"/>
      <c r="V1001" s="29"/>
      <c r="W1001" s="29"/>
    </row>
  </sheetData>
  <autoFilter ref="$A$1:$V$409"/>
  <customSheetViews>
    <customSheetView guid="{8BE028A4-B37D-4082-AE82-07BBC89EBB11}" filter="1" showAutoFilter="1">
      <autoFilter ref="$A$1:$W$409"/>
    </customSheetView>
    <customSheetView guid="{B1E9CC24-145D-4007-8A11-90FD9E435072}" filter="1" showAutoFilter="1">
      <autoFilter ref="$A$1:$AA$409">
        <filterColumn colId="11">
          <filters>
            <filter val="Polônia"/>
            <filter val="Hungria"/>
            <filter val="Zâmbia"/>
            <filter val="Angola"/>
            <filter val="Nigéria"/>
            <filter val="Tunísia"/>
            <filter val="África Sul"/>
            <filter val="País de Gales"/>
            <filter val="Oman"/>
            <filter val="Equador"/>
            <filter val="Bulgária"/>
            <filter val="Malaui"/>
            <filter val="Noruega"/>
            <filter val="Siria"/>
            <filter val="Romênia"/>
            <filter val="Guatemala"/>
            <filter val="Etiópia"/>
            <filter val="Kenia"/>
            <filter val="Argentina"/>
            <filter val="Argélia"/>
            <filter val="Costa Marfim"/>
            <filter val="Algéria"/>
            <filter val="Colômbia"/>
            <filter val="Eslovênia"/>
            <filter val="Gama"/>
            <filter val="Bélgica"/>
            <filter val="Botsuana"/>
            <filter val="Quênia"/>
            <filter val="Croácia"/>
            <filter val="Rep. Tcheca"/>
            <filter val="Paraguai"/>
            <filter val="Hong Kong"/>
            <filter val="Suécia"/>
            <filter val="Malta"/>
            <filter val="Lituânia"/>
            <filter val="Kosovo"/>
            <filter val="Marrocos"/>
            <filter val="Irlanda"/>
            <filter val="USA"/>
            <filter val="Estônia"/>
            <filter val="Áustria"/>
            <filter val="Burkina Faso"/>
            <filter val="Bosnia e Herz."/>
            <filter val="Ucrânia"/>
            <filter val="San Marino"/>
            <filter val="Montenegro"/>
          </filters>
        </filterColumn>
      </autoFilter>
    </customSheetView>
    <customSheetView guid="{C0AB1544-F4B4-45C0-8975-97F745A006DC}" filter="1" showAutoFilter="1">
      <autoFilter ref="$A$1:$AA$409"/>
    </customSheetView>
    <customSheetView guid="{BA551338-6311-4C02-9137-137E692B7D93}" filter="1" showAutoFilter="1">
      <autoFilter ref="$A$1:$W$409">
        <filterColumn colId="15">
          <filters>
            <filter val="0.00"/>
            <filter val="2.25"/>
            <filter val="3.25"/>
            <filter val="0.75"/>
            <filter val="2.00"/>
            <filter val="1.00"/>
            <filter val="-13.50"/>
            <filter val="1.50"/>
            <filter val="0.50"/>
            <filter val="-3.50"/>
            <filter val="-2.50"/>
            <filter val="-0.50"/>
            <filter val="-2.75"/>
            <filter val="0.25"/>
            <filter val="-2.00"/>
            <filter val="-1.75"/>
            <filter val="-3.25"/>
            <filter val="-3.00"/>
            <filter val="-1.00"/>
            <filter val="-2.25"/>
            <filter val="-0.25"/>
          </filters>
        </filterColumn>
      </autoFilter>
    </customSheetView>
    <customSheetView guid="{F477B962-7F95-4B58-B796-7F91B20D0221}" filter="1" showAutoFilter="1">
      <autoFilter ref="$A$1:$AA$409">
        <filterColumn colId="13">
          <filters>
            <filter val="AH-"/>
            <filter val="Under"/>
            <filter val="DC"/>
          </filters>
        </filterColumn>
      </autoFilter>
    </customSheetView>
    <customSheetView guid="{D9D1A42E-DDFC-4032-8664-60A2E47E0D40}" filter="1" showAutoFilter="1">
      <autoFilter ref="$A$1:$V$286"/>
    </customSheetView>
    <customSheetView guid="{9B5C888F-E11A-4842-8D0B-62F1614802A4}" filter="1" showAutoFilter="1">
      <autoFilter ref="$A$1:$V$286">
        <filterColumn colId="13">
          <filters>
            <filter val="AH+"/>
            <filter val="AH-"/>
            <filter val="DC"/>
          </filters>
        </filterColumn>
      </autoFilter>
    </customSheetView>
    <customSheetView guid="{978C25F2-69C0-4E3B-8EFC-6A6EC3E48DD3}" filter="1" showAutoFilter="1">
      <autoFilter ref="$A$1:$AA$409"/>
    </customSheetView>
    <customSheetView guid="{3D13BECD-F97B-4CC8-B9FC-728C2CBFEBF1}" filter="1" showAutoFilter="1">
      <autoFilter ref="$A$1:$W$409">
        <filterColumn colId="11">
          <filters>
            <filter val="Nigéria"/>
            <filter val="Tunísia"/>
            <filter val="País de Gales"/>
            <filter val="Oman"/>
            <filter val="Tanzânia"/>
            <filter val="Equador"/>
            <filter val="Bulgária"/>
            <filter val="Siria"/>
            <filter val="Kenia"/>
            <filter val="Argentina"/>
            <filter val="Seychelles"/>
            <filter val="México"/>
            <filter val="Algéria"/>
            <filter val="Colômbia"/>
            <filter val="Gama"/>
            <filter val="Botsuana"/>
            <filter val="Paraguai"/>
            <filter val="Hong Kong"/>
            <filter val="Ruanda"/>
            <filter val="Suécia"/>
            <filter val="Mauritânia"/>
            <filter val="USA"/>
            <filter val="Grécia"/>
            <filter val="Índia"/>
            <filter val="Burkina Faso"/>
            <filter val="Bosnia e Herz."/>
            <filter val="San Marino"/>
          </filters>
        </filterColumn>
      </autoFilter>
    </customSheetView>
    <customSheetView guid="{9BA04A38-02DA-4F02-BBBB-302FC15326E0}" filter="1" showAutoFilter="1">
      <autoFilter ref="$A$1:$W$409">
        <filterColumn colId="13">
          <filters>
            <filter val="AH-"/>
            <filter val="DC"/>
          </filters>
        </filterColumn>
      </autoFilter>
    </customSheetView>
  </customSheetViews>
  <mergeCells count="14">
    <mergeCell ref="Y67:AA67"/>
    <mergeCell ref="Y68:AA68"/>
    <mergeCell ref="Y69:AA69"/>
    <mergeCell ref="Y70:AA70"/>
    <mergeCell ref="Y71:AA71"/>
    <mergeCell ref="Y72:AA72"/>
    <mergeCell ref="Y73:AA73"/>
    <mergeCell ref="Y60:AA60"/>
    <mergeCell ref="Y61:AA61"/>
    <mergeCell ref="Y62:AA62"/>
    <mergeCell ref="Y63:AA63"/>
    <mergeCell ref="Y64:AA64"/>
    <mergeCell ref="Y65:AA65"/>
    <mergeCell ref="Y66:AA66"/>
  </mergeCells>
  <conditionalFormatting sqref="U2:U502">
    <cfRule type="cellIs" dxfId="0" priority="1" operator="equal">
      <formula>"Ganha"</formula>
    </cfRule>
  </conditionalFormatting>
  <conditionalFormatting sqref="U2:U502">
    <cfRule type="cellIs" dxfId="1" priority="2" operator="equal">
      <formula>"Ganha/devolvida"</formula>
    </cfRule>
  </conditionalFormatting>
  <conditionalFormatting sqref="U2:U502">
    <cfRule type="cellIs" dxfId="2" priority="3" operator="equal">
      <formula>"Devolvida"</formula>
    </cfRule>
  </conditionalFormatting>
  <conditionalFormatting sqref="U2:U502">
    <cfRule type="cellIs" dxfId="3" priority="4" operator="equal">
      <formula>"Perdida/devolvida"</formula>
    </cfRule>
  </conditionalFormatting>
  <conditionalFormatting sqref="U2:U502">
    <cfRule type="cellIs" dxfId="4" priority="5" operator="equal">
      <formula>"Perdida"</formula>
    </cfRule>
  </conditionalFormatting>
  <conditionalFormatting sqref="V2:V459 W2:W1001 Z2:Z35">
    <cfRule type="cellIs" dxfId="0" priority="6" operator="greaterThan">
      <formula>0</formula>
    </cfRule>
  </conditionalFormatting>
  <conditionalFormatting sqref="V2:V459 W2:W1001 Z2:Z35">
    <cfRule type="cellIs" dxfId="4" priority="7" operator="lessThan">
      <formula>0</formula>
    </cfRule>
  </conditionalFormatting>
  <conditionalFormatting sqref="V2:V1001 W2:W13 Z2:Z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60.88"/>
    <col customWidth="1" min="6" max="9" width="6.38"/>
    <col customWidth="1" min="10" max="10" width="5.5"/>
    <col customWidth="1" min="11" max="11" width="8.0"/>
    <col customWidth="1" min="12" max="12" width="11.25"/>
    <col customWidth="1" min="13" max="13" width="4.5"/>
    <col customWidth="1" min="14" max="14" width="8.13"/>
    <col customWidth="1" min="15" max="15" width="9.5"/>
    <col customWidth="1" min="16" max="19" width="5.88"/>
    <col customWidth="1" min="20" max="20" width="6.5"/>
    <col customWidth="1" min="21" max="21" width="14.75"/>
    <col customWidth="1" min="22" max="22" width="7.38"/>
    <col customWidth="1" min="23" max="23" width="7.25"/>
    <col customWidth="1" min="24" max="24" width="4.13"/>
    <col customWidth="1" min="25" max="25" width="6.25"/>
    <col customWidth="1" min="26" max="26" width="6.5"/>
    <col customWidth="1" min="27" max="27" width="11.63"/>
  </cols>
  <sheetData>
    <row r="1">
      <c r="A1" s="1">
        <v>4.0</v>
      </c>
      <c r="B1" s="2" t="s">
        <v>1</v>
      </c>
      <c r="C1" s="2" t="s">
        <v>2</v>
      </c>
      <c r="D1" s="2" t="s">
        <v>1462</v>
      </c>
      <c r="E1" s="3" t="s">
        <v>3</v>
      </c>
      <c r="F1" s="2" t="s">
        <v>1463</v>
      </c>
      <c r="G1" s="2" t="s">
        <v>1464</v>
      </c>
      <c r="H1" s="108" t="s">
        <v>1465</v>
      </c>
      <c r="I1" s="2" t="s">
        <v>1466</v>
      </c>
      <c r="J1" s="2" t="s">
        <v>1467</v>
      </c>
      <c r="K1" s="2" t="s">
        <v>1468</v>
      </c>
      <c r="L1" s="3" t="s">
        <v>4</v>
      </c>
      <c r="M1" s="3" t="s">
        <v>5</v>
      </c>
      <c r="N1" s="3" t="s">
        <v>6</v>
      </c>
      <c r="O1" s="2" t="s">
        <v>7</v>
      </c>
      <c r="P1" s="4" t="s">
        <v>8</v>
      </c>
      <c r="Q1" s="5" t="s">
        <v>9</v>
      </c>
      <c r="R1" s="4" t="s">
        <v>10</v>
      </c>
      <c r="S1" s="6" t="s">
        <v>11</v>
      </c>
      <c r="T1" s="97" t="s">
        <v>12</v>
      </c>
      <c r="U1" s="3" t="s">
        <v>13</v>
      </c>
      <c r="V1" s="5" t="s">
        <v>14</v>
      </c>
      <c r="W1" s="4" t="s">
        <v>15</v>
      </c>
      <c r="Y1" s="3" t="s">
        <v>16</v>
      </c>
      <c r="Z1" s="3" t="s">
        <v>15</v>
      </c>
      <c r="AA1" s="3" t="s">
        <v>17</v>
      </c>
    </row>
    <row r="2">
      <c r="A2" s="8">
        <f>1</f>
        <v>1</v>
      </c>
      <c r="B2" s="8" t="s">
        <v>129</v>
      </c>
      <c r="C2" s="8" t="s">
        <v>19</v>
      </c>
      <c r="D2" s="8">
        <v>65.0</v>
      </c>
      <c r="E2" s="8" t="s">
        <v>1790</v>
      </c>
      <c r="F2" s="8">
        <v>2.0</v>
      </c>
      <c r="G2" s="8">
        <v>16.0</v>
      </c>
      <c r="H2" s="109">
        <f>1/(15*2)</f>
        <v>0.03333333333</v>
      </c>
      <c r="I2" s="8" t="s">
        <v>1473</v>
      </c>
      <c r="J2" s="8" t="s">
        <v>1480</v>
      </c>
      <c r="K2" s="8">
        <v>-1.0</v>
      </c>
      <c r="L2" s="8" t="s">
        <v>93</v>
      </c>
      <c r="M2" s="8" t="s">
        <v>22</v>
      </c>
      <c r="N2" s="8" t="s">
        <v>892</v>
      </c>
      <c r="O2" s="8" t="s">
        <v>24</v>
      </c>
      <c r="P2" s="9">
        <v>0.0</v>
      </c>
      <c r="Q2" s="9">
        <v>0.5</v>
      </c>
      <c r="R2" s="9">
        <f>0.25+0.25*4/47</f>
        <v>0.2712765957</v>
      </c>
      <c r="S2" s="10">
        <v>45536.0</v>
      </c>
      <c r="T2" s="11">
        <v>2.15</v>
      </c>
      <c r="U2" s="8" t="s">
        <v>25</v>
      </c>
      <c r="V2" s="12">
        <f t="shared" ref="V2:V393" si="1">IF(U2="ganha",(R2*(T2-1)),IF(U2="perdida",-R2,IF(U2="devolvida",0,IF(U2="ganha/devolvida",((R2*(T2-1)))/2,IF(U2="perdida/devolvida",-R2/2,IF(U2="Aguardando",0,""))))))</f>
        <v>-0.2712765957</v>
      </c>
      <c r="W2" s="12">
        <f>V2</f>
        <v>-0.2712765957</v>
      </c>
      <c r="Y2" s="66">
        <v>45536.0</v>
      </c>
      <c r="Z2" s="13">
        <f t="shared" ref="Z2:Z32" si="2">SUMIF($S$2:$S$2984,Y2,$V$2:$V$2984)</f>
        <v>-1.210712766</v>
      </c>
      <c r="AA2" s="14">
        <f>SUMIF($U$2:$U$2984,"Aguardando",$R$2:$R$2984)</f>
        <v>0</v>
      </c>
    </row>
    <row r="3" ht="16.5" customHeight="1">
      <c r="A3" s="15">
        <f t="shared" ref="A3:A408" si="3">A2+1</f>
        <v>2</v>
      </c>
      <c r="B3" s="15" t="s">
        <v>137</v>
      </c>
      <c r="C3" s="15" t="s">
        <v>19</v>
      </c>
      <c r="D3" s="15">
        <v>35.0</v>
      </c>
      <c r="E3" s="15" t="s">
        <v>1791</v>
      </c>
      <c r="F3" s="15"/>
      <c r="G3" s="15"/>
      <c r="H3" s="110"/>
      <c r="I3" s="15" t="s">
        <v>1479</v>
      </c>
      <c r="J3" s="15" t="s">
        <v>1480</v>
      </c>
      <c r="K3" s="15">
        <v>-1.0</v>
      </c>
      <c r="L3" s="15" t="s">
        <v>84</v>
      </c>
      <c r="M3" s="15" t="s">
        <v>22</v>
      </c>
      <c r="N3" s="15" t="s">
        <v>892</v>
      </c>
      <c r="O3" s="15" t="s">
        <v>24</v>
      </c>
      <c r="P3" s="16">
        <v>0.0</v>
      </c>
      <c r="Q3" s="16">
        <v>0.75</v>
      </c>
      <c r="R3" s="16">
        <v>0.75</v>
      </c>
      <c r="S3" s="17">
        <v>45536.0</v>
      </c>
      <c r="T3" s="18">
        <v>1.047</v>
      </c>
      <c r="U3" s="15" t="s">
        <v>33</v>
      </c>
      <c r="V3" s="19">
        <f t="shared" si="1"/>
        <v>0.03525</v>
      </c>
      <c r="W3" s="19">
        <f t="shared" ref="W3:W396" si="4">W2+V3</f>
        <v>-0.2360265957</v>
      </c>
      <c r="Y3" s="66">
        <v>45537.0</v>
      </c>
      <c r="Z3" s="13">
        <f t="shared" si="2"/>
        <v>0</v>
      </c>
    </row>
    <row r="4">
      <c r="A4" s="8">
        <f t="shared" si="3"/>
        <v>3</v>
      </c>
      <c r="B4" s="8" t="s">
        <v>18</v>
      </c>
      <c r="C4" s="8" t="s">
        <v>19</v>
      </c>
      <c r="D4" s="8">
        <v>80.0</v>
      </c>
      <c r="E4" s="8" t="s">
        <v>1792</v>
      </c>
      <c r="F4" s="8">
        <v>8.0</v>
      </c>
      <c r="G4" s="8">
        <v>9.0</v>
      </c>
      <c r="H4" s="111">
        <f>5/(11*2)</f>
        <v>0.2272727273</v>
      </c>
      <c r="I4" s="8" t="s">
        <v>1479</v>
      </c>
      <c r="J4" s="8" t="s">
        <v>1480</v>
      </c>
      <c r="K4" s="8">
        <v>-1.0</v>
      </c>
      <c r="L4" s="8" t="s">
        <v>908</v>
      </c>
      <c r="M4" s="8" t="s">
        <v>22</v>
      </c>
      <c r="N4" s="8" t="s">
        <v>892</v>
      </c>
      <c r="O4" s="8" t="s">
        <v>24</v>
      </c>
      <c r="P4" s="9">
        <v>0.0</v>
      </c>
      <c r="Q4" s="9">
        <v>0.25</v>
      </c>
      <c r="R4" s="9">
        <v>0.25</v>
      </c>
      <c r="S4" s="10">
        <v>45536.0</v>
      </c>
      <c r="T4" s="11">
        <v>1.975</v>
      </c>
      <c r="U4" s="8" t="s">
        <v>70</v>
      </c>
      <c r="V4" s="12">
        <f t="shared" si="1"/>
        <v>0</v>
      </c>
      <c r="W4" s="12">
        <f t="shared" si="4"/>
        <v>-0.2360265957</v>
      </c>
      <c r="Y4" s="66">
        <v>45538.0</v>
      </c>
      <c r="Z4" s="13">
        <f t="shared" si="2"/>
        <v>0.20538</v>
      </c>
      <c r="AA4" s="3" t="s">
        <v>34</v>
      </c>
    </row>
    <row r="5">
      <c r="A5" s="15">
        <f t="shared" si="3"/>
        <v>4</v>
      </c>
      <c r="B5" s="15" t="s">
        <v>129</v>
      </c>
      <c r="C5" s="15" t="s">
        <v>19</v>
      </c>
      <c r="D5" s="15">
        <v>40.0</v>
      </c>
      <c r="E5" s="15" t="s">
        <v>1793</v>
      </c>
      <c r="F5" s="15">
        <v>9.0</v>
      </c>
      <c r="G5" s="15">
        <v>4.0</v>
      </c>
      <c r="H5" s="15"/>
      <c r="I5" s="15" t="s">
        <v>1479</v>
      </c>
      <c r="J5" s="15" t="s">
        <v>1480</v>
      </c>
      <c r="K5" s="15">
        <v>0.0</v>
      </c>
      <c r="L5" s="15" t="s">
        <v>513</v>
      </c>
      <c r="M5" s="15" t="s">
        <v>22</v>
      </c>
      <c r="N5" s="15" t="s">
        <v>892</v>
      </c>
      <c r="O5" s="15" t="s">
        <v>24</v>
      </c>
      <c r="P5" s="16">
        <v>0.0</v>
      </c>
      <c r="Q5" s="16">
        <v>0.5</v>
      </c>
      <c r="R5" s="16">
        <v>0.5</v>
      </c>
      <c r="S5" s="17">
        <v>45536.0</v>
      </c>
      <c r="T5" s="18">
        <v>1.8</v>
      </c>
      <c r="U5" s="15" t="s">
        <v>25</v>
      </c>
      <c r="V5" s="19">
        <f t="shared" si="1"/>
        <v>-0.5</v>
      </c>
      <c r="W5" s="19">
        <f t="shared" si="4"/>
        <v>-0.7360265957</v>
      </c>
      <c r="Y5" s="66">
        <v>45539.0</v>
      </c>
      <c r="Z5" s="13">
        <f t="shared" si="2"/>
        <v>-0.5152996</v>
      </c>
      <c r="AA5" s="20">
        <f>sum(R2:R1017)</f>
        <v>116.3889749</v>
      </c>
    </row>
    <row r="6">
      <c r="A6" s="8">
        <f t="shared" si="3"/>
        <v>5</v>
      </c>
      <c r="B6" s="8" t="s">
        <v>26</v>
      </c>
      <c r="C6" s="8" t="s">
        <v>19</v>
      </c>
      <c r="D6" s="8">
        <v>55.0</v>
      </c>
      <c r="E6" s="8" t="s">
        <v>1794</v>
      </c>
      <c r="F6" s="8">
        <v>12.0</v>
      </c>
      <c r="G6" s="8">
        <v>8.0</v>
      </c>
      <c r="H6" s="111">
        <f>5/(17*2)</f>
        <v>0.1470588235</v>
      </c>
      <c r="I6" s="8" t="s">
        <v>1473</v>
      </c>
      <c r="J6" s="8" t="s">
        <v>1474</v>
      </c>
      <c r="K6" s="8">
        <v>-2.0</v>
      </c>
      <c r="L6" s="8" t="s">
        <v>101</v>
      </c>
      <c r="M6" s="8" t="s">
        <v>22</v>
      </c>
      <c r="N6" s="8" t="s">
        <v>225</v>
      </c>
      <c r="O6" s="8" t="s">
        <v>24</v>
      </c>
      <c r="P6" s="9">
        <v>0.25</v>
      </c>
      <c r="Q6" s="9">
        <v>0.25</v>
      </c>
      <c r="R6" s="9">
        <f>0.25*35/47</f>
        <v>0.1861702128</v>
      </c>
      <c r="S6" s="10">
        <v>45536.0</v>
      </c>
      <c r="T6" s="11">
        <v>1.75</v>
      </c>
      <c r="U6" s="8" t="s">
        <v>30</v>
      </c>
      <c r="V6" s="12">
        <f t="shared" si="1"/>
        <v>0.06981382979</v>
      </c>
      <c r="W6" s="12">
        <f t="shared" si="4"/>
        <v>-0.666212766</v>
      </c>
      <c r="Y6" s="66">
        <v>45540.0</v>
      </c>
      <c r="Z6" s="13">
        <f t="shared" si="2"/>
        <v>0.616875</v>
      </c>
    </row>
    <row r="7">
      <c r="A7" s="15">
        <f t="shared" si="3"/>
        <v>6</v>
      </c>
      <c r="B7" s="15" t="s">
        <v>129</v>
      </c>
      <c r="C7" s="15" t="s">
        <v>19</v>
      </c>
      <c r="D7" s="15">
        <v>55.0</v>
      </c>
      <c r="E7" s="15" t="s">
        <v>1795</v>
      </c>
      <c r="F7" s="15"/>
      <c r="G7" s="15"/>
      <c r="H7" s="110"/>
      <c r="I7" s="15" t="s">
        <v>1479</v>
      </c>
      <c r="J7" s="15" t="s">
        <v>1480</v>
      </c>
      <c r="K7" s="15">
        <v>-1.0</v>
      </c>
      <c r="L7" s="15" t="s">
        <v>101</v>
      </c>
      <c r="M7" s="15" t="s">
        <v>22</v>
      </c>
      <c r="N7" s="15" t="s">
        <v>892</v>
      </c>
      <c r="O7" s="15" t="s">
        <v>24</v>
      </c>
      <c r="P7" s="16">
        <v>0.0</v>
      </c>
      <c r="Q7" s="16">
        <v>1.0</v>
      </c>
      <c r="R7" s="16">
        <v>1.0</v>
      </c>
      <c r="S7" s="17">
        <v>45536.0</v>
      </c>
      <c r="T7" s="18">
        <v>1.9</v>
      </c>
      <c r="U7" s="15" t="s">
        <v>70</v>
      </c>
      <c r="V7" s="19">
        <f t="shared" si="1"/>
        <v>0</v>
      </c>
      <c r="W7" s="19">
        <f t="shared" si="4"/>
        <v>-0.666212766</v>
      </c>
      <c r="Y7" s="66">
        <v>45541.0</v>
      </c>
      <c r="Z7" s="13">
        <f t="shared" si="2"/>
        <v>-0.39</v>
      </c>
      <c r="AA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>
        <v>50.0</v>
      </c>
      <c r="E8" s="8" t="s">
        <v>1796</v>
      </c>
      <c r="F8" s="8">
        <v>3.0</v>
      </c>
      <c r="G8" s="8">
        <v>9.0</v>
      </c>
      <c r="H8" s="109">
        <f>5/(15*2)</f>
        <v>0.1666666667</v>
      </c>
      <c r="I8" s="8" t="s">
        <v>1473</v>
      </c>
      <c r="J8" s="8" t="s">
        <v>1474</v>
      </c>
      <c r="K8" s="8">
        <v>0.0</v>
      </c>
      <c r="L8" s="8" t="s">
        <v>703</v>
      </c>
      <c r="M8" s="8" t="s">
        <v>22</v>
      </c>
      <c r="N8" s="8" t="s">
        <v>941</v>
      </c>
      <c r="O8" s="8" t="s">
        <v>24</v>
      </c>
      <c r="P8" s="9">
        <v>0.0</v>
      </c>
      <c r="Q8" s="9">
        <v>0.4</v>
      </c>
      <c r="R8" s="9">
        <v>0.4</v>
      </c>
      <c r="S8" s="10">
        <v>45536.0</v>
      </c>
      <c r="T8" s="11">
        <f>(2*0.25+2.37*0.15)/0.4</f>
        <v>2.13875</v>
      </c>
      <c r="U8" s="8" t="s">
        <v>33</v>
      </c>
      <c r="V8" s="12">
        <f t="shared" si="1"/>
        <v>0.4555</v>
      </c>
      <c r="W8" s="12">
        <f t="shared" si="4"/>
        <v>-0.210712766</v>
      </c>
      <c r="Y8" s="66">
        <v>45542.0</v>
      </c>
      <c r="Z8" s="13">
        <f t="shared" si="2"/>
        <v>0.833</v>
      </c>
      <c r="AA8" s="21">
        <f>Z33/(SUM(R2:R4937)-AA2)</f>
        <v>-0.01177079479</v>
      </c>
    </row>
    <row r="9">
      <c r="A9" s="15">
        <f t="shared" si="3"/>
        <v>8</v>
      </c>
      <c r="B9" s="15" t="s">
        <v>26</v>
      </c>
      <c r="C9" s="15" t="s">
        <v>19</v>
      </c>
      <c r="D9" s="15">
        <v>75.0</v>
      </c>
      <c r="E9" s="15" t="s">
        <v>1797</v>
      </c>
      <c r="F9" s="15"/>
      <c r="G9" s="15"/>
      <c r="H9" s="110"/>
      <c r="I9" s="15" t="s">
        <v>1473</v>
      </c>
      <c r="J9" s="15" t="s">
        <v>1480</v>
      </c>
      <c r="K9" s="15">
        <v>-1.0</v>
      </c>
      <c r="L9" s="15" t="s">
        <v>101</v>
      </c>
      <c r="M9" s="15" t="s">
        <v>22</v>
      </c>
      <c r="N9" s="15" t="s">
        <v>892</v>
      </c>
      <c r="O9" s="15" t="s">
        <v>24</v>
      </c>
      <c r="P9" s="16">
        <v>0.0</v>
      </c>
      <c r="Q9" s="16">
        <v>0.25</v>
      </c>
      <c r="R9" s="16">
        <v>0.25</v>
      </c>
      <c r="S9" s="17">
        <v>45536.0</v>
      </c>
      <c r="T9" s="18">
        <v>2.1</v>
      </c>
      <c r="U9" s="15" t="s">
        <v>70</v>
      </c>
      <c r="V9" s="19">
        <f t="shared" si="1"/>
        <v>0</v>
      </c>
      <c r="W9" s="19">
        <f t="shared" si="4"/>
        <v>-0.210712766</v>
      </c>
      <c r="Y9" s="66">
        <v>45543.0</v>
      </c>
      <c r="Z9" s="13">
        <f t="shared" si="2"/>
        <v>-0.1921</v>
      </c>
    </row>
    <row r="10">
      <c r="A10" s="8">
        <f t="shared" si="3"/>
        <v>9</v>
      </c>
      <c r="B10" s="8" t="s">
        <v>137</v>
      </c>
      <c r="C10" s="8" t="s">
        <v>40</v>
      </c>
      <c r="D10" s="8">
        <v>70.0</v>
      </c>
      <c r="E10" s="8" t="s">
        <v>1798</v>
      </c>
      <c r="F10" s="8"/>
      <c r="G10" s="8"/>
      <c r="H10" s="8"/>
      <c r="I10" s="8" t="s">
        <v>1473</v>
      </c>
      <c r="J10" s="8" t="s">
        <v>1480</v>
      </c>
      <c r="K10" s="8">
        <v>-1.0</v>
      </c>
      <c r="L10" s="8" t="s">
        <v>172</v>
      </c>
      <c r="M10" s="8" t="s">
        <v>22</v>
      </c>
      <c r="N10" s="8" t="s">
        <v>892</v>
      </c>
      <c r="O10" s="8" t="s">
        <v>24</v>
      </c>
      <c r="P10" s="9">
        <v>0.0</v>
      </c>
      <c r="Q10" s="9">
        <v>1.0</v>
      </c>
      <c r="R10" s="9">
        <v>1.0</v>
      </c>
      <c r="S10" s="10">
        <v>45536.0</v>
      </c>
      <c r="T10" s="11">
        <v>2.0</v>
      </c>
      <c r="U10" s="8" t="s">
        <v>25</v>
      </c>
      <c r="V10" s="12">
        <f t="shared" si="1"/>
        <v>-1</v>
      </c>
      <c r="W10" s="12">
        <f t="shared" si="4"/>
        <v>-1.210712766</v>
      </c>
      <c r="Y10" s="66">
        <v>45544.0</v>
      </c>
      <c r="Z10" s="13">
        <f t="shared" si="2"/>
        <v>0</v>
      </c>
      <c r="AA10" s="2" t="s">
        <v>51</v>
      </c>
    </row>
    <row r="11">
      <c r="A11" s="15">
        <f t="shared" si="3"/>
        <v>10</v>
      </c>
      <c r="B11" s="15" t="s">
        <v>26</v>
      </c>
      <c r="C11" s="15" t="s">
        <v>19</v>
      </c>
      <c r="D11" s="15">
        <v>59.0</v>
      </c>
      <c r="E11" s="15" t="s">
        <v>1799</v>
      </c>
      <c r="F11" s="15"/>
      <c r="G11" s="15"/>
      <c r="H11" s="110"/>
      <c r="I11" s="15" t="s">
        <v>1479</v>
      </c>
      <c r="J11" s="15" t="s">
        <v>1480</v>
      </c>
      <c r="K11" s="15">
        <v>-1.0</v>
      </c>
      <c r="L11" s="15" t="s">
        <v>84</v>
      </c>
      <c r="M11" s="15" t="s">
        <v>22</v>
      </c>
      <c r="N11" s="15" t="s">
        <v>892</v>
      </c>
      <c r="O11" s="15" t="s">
        <v>24</v>
      </c>
      <c r="P11" s="16">
        <v>0.0</v>
      </c>
      <c r="Q11" s="16">
        <v>0.5</v>
      </c>
      <c r="R11" s="16">
        <v>0.5</v>
      </c>
      <c r="S11" s="17">
        <v>45536.0</v>
      </c>
      <c r="T11" s="18">
        <v>2.02</v>
      </c>
      <c r="U11" s="15" t="s">
        <v>70</v>
      </c>
      <c r="V11" s="19">
        <f t="shared" si="1"/>
        <v>0</v>
      </c>
      <c r="W11" s="19">
        <f t="shared" si="4"/>
        <v>-1.210712766</v>
      </c>
      <c r="Y11" s="66">
        <v>45545.0</v>
      </c>
      <c r="Z11" s="13">
        <f t="shared" si="2"/>
        <v>-0.0725</v>
      </c>
      <c r="AA11" s="14">
        <f>average(R2:R1003)</f>
        <v>0.3120347854</v>
      </c>
    </row>
    <row r="12">
      <c r="A12" s="8">
        <f t="shared" si="3"/>
        <v>11</v>
      </c>
      <c r="B12" s="8" t="s">
        <v>26</v>
      </c>
      <c r="C12" s="8" t="s">
        <v>19</v>
      </c>
      <c r="D12" s="8">
        <v>0.0</v>
      </c>
      <c r="E12" s="8" t="s">
        <v>1800</v>
      </c>
      <c r="F12" s="8">
        <v>3.0</v>
      </c>
      <c r="G12" s="8">
        <v>8.0</v>
      </c>
      <c r="H12" s="8"/>
      <c r="I12" s="8"/>
      <c r="J12" s="8"/>
      <c r="K12" s="8"/>
      <c r="L12" s="8" t="s">
        <v>82</v>
      </c>
      <c r="M12" s="8" t="s">
        <v>598</v>
      </c>
      <c r="N12" s="8" t="s">
        <v>29</v>
      </c>
      <c r="O12" s="8" t="s">
        <v>39</v>
      </c>
      <c r="P12" s="9">
        <v>-2.25</v>
      </c>
      <c r="Q12" s="9">
        <v>0.25</v>
      </c>
      <c r="R12" s="9">
        <v>0.25</v>
      </c>
      <c r="S12" s="10">
        <v>45538.0</v>
      </c>
      <c r="T12" s="11">
        <f>269.13/250</f>
        <v>1.07652</v>
      </c>
      <c r="U12" s="8" t="s">
        <v>33</v>
      </c>
      <c r="V12" s="12">
        <f t="shared" si="1"/>
        <v>0.01913</v>
      </c>
      <c r="W12" s="12">
        <f t="shared" si="4"/>
        <v>-1.191582766</v>
      </c>
      <c r="Y12" s="66">
        <v>45546.0</v>
      </c>
      <c r="Z12" s="13">
        <f t="shared" si="2"/>
        <v>-0.0725</v>
      </c>
    </row>
    <row r="13">
      <c r="A13" s="15">
        <f t="shared" si="3"/>
        <v>12</v>
      </c>
      <c r="B13" s="15" t="s">
        <v>26</v>
      </c>
      <c r="C13" s="15" t="s">
        <v>19</v>
      </c>
      <c r="D13" s="15">
        <v>75.0</v>
      </c>
      <c r="E13" s="15" t="s">
        <v>1801</v>
      </c>
      <c r="F13" s="15"/>
      <c r="G13" s="15"/>
      <c r="H13" s="110"/>
      <c r="I13" s="15" t="s">
        <v>1479</v>
      </c>
      <c r="J13" s="15" t="s">
        <v>1480</v>
      </c>
      <c r="K13" s="15">
        <v>-1.0</v>
      </c>
      <c r="L13" s="15" t="s">
        <v>38</v>
      </c>
      <c r="M13" s="15" t="s">
        <v>22</v>
      </c>
      <c r="N13" s="15" t="s">
        <v>892</v>
      </c>
      <c r="O13" s="15" t="s">
        <v>39</v>
      </c>
      <c r="P13" s="16">
        <v>0.0</v>
      </c>
      <c r="Q13" s="16">
        <v>0.25</v>
      </c>
      <c r="R13" s="16">
        <v>0.25</v>
      </c>
      <c r="S13" s="17">
        <v>45538.0</v>
      </c>
      <c r="T13" s="18">
        <v>2.025</v>
      </c>
      <c r="U13" s="15" t="s">
        <v>33</v>
      </c>
      <c r="V13" s="19">
        <f t="shared" si="1"/>
        <v>0.25625</v>
      </c>
      <c r="W13" s="19">
        <f t="shared" si="4"/>
        <v>-0.935332766</v>
      </c>
      <c r="Y13" s="66">
        <v>45547.0</v>
      </c>
      <c r="Z13" s="13">
        <f t="shared" si="2"/>
        <v>0.84476</v>
      </c>
      <c r="AA13" s="2" t="s">
        <v>55</v>
      </c>
    </row>
    <row r="14">
      <c r="A14" s="8">
        <f t="shared" si="3"/>
        <v>13</v>
      </c>
      <c r="B14" s="8" t="s">
        <v>18</v>
      </c>
      <c r="C14" s="8" t="s">
        <v>19</v>
      </c>
      <c r="D14" s="8">
        <v>56.0</v>
      </c>
      <c r="E14" s="8" t="s">
        <v>1802</v>
      </c>
      <c r="F14" s="8"/>
      <c r="G14" s="8"/>
      <c r="H14" s="8"/>
      <c r="I14" s="8" t="s">
        <v>1473</v>
      </c>
      <c r="J14" s="8" t="s">
        <v>1477</v>
      </c>
      <c r="K14" s="8">
        <v>0.0</v>
      </c>
      <c r="L14" s="8" t="s">
        <v>908</v>
      </c>
      <c r="M14" s="8" t="s">
        <v>22</v>
      </c>
      <c r="N14" s="8" t="s">
        <v>894</v>
      </c>
      <c r="O14" s="8" t="s">
        <v>1803</v>
      </c>
      <c r="P14" s="9">
        <v>-0.5</v>
      </c>
      <c r="Q14" s="9">
        <v>0.5</v>
      </c>
      <c r="R14" s="9">
        <v>0.07</v>
      </c>
      <c r="S14" s="10">
        <v>45538.0</v>
      </c>
      <c r="T14" s="11">
        <v>1.825</v>
      </c>
      <c r="U14" s="8" t="s">
        <v>25</v>
      </c>
      <c r="V14" s="12">
        <f t="shared" si="1"/>
        <v>-0.07</v>
      </c>
      <c r="W14" s="12">
        <f t="shared" si="4"/>
        <v>-1.005332766</v>
      </c>
      <c r="Y14" s="66">
        <v>45548.0</v>
      </c>
      <c r="Z14" s="13">
        <f t="shared" si="2"/>
        <v>-0.01768</v>
      </c>
      <c r="AA14" s="21">
        <f>(SUMPRODUCT(--(Q2:Q1003 = R2:R1003))-countif(Q2:Q1003,""))/countif(Q2:Q1003,"&gt;0")</f>
        <v>0.7204301075</v>
      </c>
    </row>
    <row r="15">
      <c r="A15" s="15">
        <f t="shared" si="3"/>
        <v>14</v>
      </c>
      <c r="B15" s="15" t="s">
        <v>26</v>
      </c>
      <c r="C15" s="15" t="s">
        <v>19</v>
      </c>
      <c r="D15" s="15">
        <v>0.0</v>
      </c>
      <c r="E15" s="15" t="s">
        <v>1804</v>
      </c>
      <c r="F15" s="15">
        <v>4.0</v>
      </c>
      <c r="G15" s="15">
        <v>16.0</v>
      </c>
      <c r="H15" s="15"/>
      <c r="I15" s="15"/>
      <c r="J15" s="15"/>
      <c r="K15" s="15"/>
      <c r="L15" s="15" t="s">
        <v>82</v>
      </c>
      <c r="M15" s="15" t="s">
        <v>598</v>
      </c>
      <c r="N15" s="15" t="s">
        <v>440</v>
      </c>
      <c r="O15" s="15" t="s">
        <v>39</v>
      </c>
      <c r="P15" s="16">
        <v>2.0</v>
      </c>
      <c r="Q15" s="16">
        <v>0.1</v>
      </c>
      <c r="R15" s="16">
        <v>0.1</v>
      </c>
      <c r="S15" s="17">
        <v>45539.0</v>
      </c>
      <c r="T15" s="18">
        <v>1.975</v>
      </c>
      <c r="U15" s="15" t="s">
        <v>25</v>
      </c>
      <c r="V15" s="19">
        <f t="shared" si="1"/>
        <v>-0.1</v>
      </c>
      <c r="W15" s="19">
        <f t="shared" si="4"/>
        <v>-1.105332766</v>
      </c>
      <c r="Y15" s="66">
        <v>45549.0</v>
      </c>
      <c r="Z15" s="13">
        <f t="shared" si="2"/>
        <v>-0.20625</v>
      </c>
    </row>
    <row r="16">
      <c r="A16" s="8">
        <f t="shared" si="3"/>
        <v>15</v>
      </c>
      <c r="B16" s="8" t="s">
        <v>26</v>
      </c>
      <c r="C16" s="8" t="s">
        <v>19</v>
      </c>
      <c r="D16" s="8">
        <v>15.0</v>
      </c>
      <c r="E16" s="8" t="s">
        <v>1805</v>
      </c>
      <c r="F16" s="8">
        <v>9.0</v>
      </c>
      <c r="G16" s="8">
        <v>3.0</v>
      </c>
      <c r="H16" s="111">
        <f>4/(9*2)</f>
        <v>0.2222222222</v>
      </c>
      <c r="I16" s="8" t="s">
        <v>1479</v>
      </c>
      <c r="J16" s="8" t="s">
        <v>1480</v>
      </c>
      <c r="K16" s="8">
        <v>0.0</v>
      </c>
      <c r="L16" s="8" t="s">
        <v>319</v>
      </c>
      <c r="M16" s="8" t="s">
        <v>22</v>
      </c>
      <c r="N16" s="8" t="s">
        <v>1150</v>
      </c>
      <c r="O16" s="8" t="s">
        <v>24</v>
      </c>
      <c r="P16" s="9">
        <v>0.0</v>
      </c>
      <c r="Q16" s="9">
        <v>0.25</v>
      </c>
      <c r="R16" s="9">
        <v>0.2218</v>
      </c>
      <c r="S16" s="10">
        <v>45539.0</v>
      </c>
      <c r="T16" s="11">
        <v>1.578</v>
      </c>
      <c r="U16" s="8" t="s">
        <v>33</v>
      </c>
      <c r="V16" s="12">
        <f t="shared" si="1"/>
        <v>0.1282004</v>
      </c>
      <c r="W16" s="12">
        <f t="shared" si="4"/>
        <v>-0.977132366</v>
      </c>
      <c r="Y16" s="66">
        <v>45550.0</v>
      </c>
      <c r="Z16" s="13">
        <f t="shared" si="2"/>
        <v>0.5341421277</v>
      </c>
      <c r="AA16" s="2" t="s">
        <v>61</v>
      </c>
    </row>
    <row r="17">
      <c r="A17" s="15">
        <f t="shared" si="3"/>
        <v>16</v>
      </c>
      <c r="B17" s="15" t="s">
        <v>18</v>
      </c>
      <c r="C17" s="15" t="s">
        <v>19</v>
      </c>
      <c r="D17" s="15">
        <v>83.0</v>
      </c>
      <c r="E17" s="15" t="s">
        <v>1806</v>
      </c>
      <c r="F17" s="15"/>
      <c r="G17" s="15"/>
      <c r="H17" s="110"/>
      <c r="I17" s="15" t="s">
        <v>1473</v>
      </c>
      <c r="J17" s="15" t="s">
        <v>1474</v>
      </c>
      <c r="K17" s="15">
        <v>-3.0</v>
      </c>
      <c r="L17" s="15" t="s">
        <v>463</v>
      </c>
      <c r="M17" s="15" t="s">
        <v>22</v>
      </c>
      <c r="N17" s="15" t="s">
        <v>225</v>
      </c>
      <c r="O17" s="15" t="s">
        <v>24</v>
      </c>
      <c r="P17" s="16">
        <v>0.5</v>
      </c>
      <c r="Q17" s="16">
        <v>0.3</v>
      </c>
      <c r="R17" s="16">
        <v>0.0435</v>
      </c>
      <c r="S17" s="17">
        <v>45539.0</v>
      </c>
      <c r="T17" s="18">
        <v>1.725</v>
      </c>
      <c r="U17" s="15" t="s">
        <v>25</v>
      </c>
      <c r="V17" s="19">
        <f t="shared" si="1"/>
        <v>-0.0435</v>
      </c>
      <c r="W17" s="19">
        <f t="shared" si="4"/>
        <v>-1.020632366</v>
      </c>
      <c r="Y17" s="66">
        <v>45551.0</v>
      </c>
      <c r="Z17" s="13">
        <f t="shared" si="2"/>
        <v>0</v>
      </c>
      <c r="AA17" s="22">
        <f>average(T2:T202)</f>
        <v>2.038387811</v>
      </c>
    </row>
    <row r="18">
      <c r="A18" s="8">
        <f t="shared" si="3"/>
        <v>17</v>
      </c>
      <c r="B18" s="8" t="s">
        <v>18</v>
      </c>
      <c r="C18" s="8" t="s">
        <v>19</v>
      </c>
      <c r="D18" s="8">
        <v>43.0</v>
      </c>
      <c r="E18" s="133" t="s">
        <v>1807</v>
      </c>
      <c r="F18" s="8"/>
      <c r="G18" s="8"/>
      <c r="H18" s="111"/>
      <c r="I18" s="8" t="s">
        <v>1473</v>
      </c>
      <c r="J18" s="8" t="s">
        <v>1480</v>
      </c>
      <c r="K18" s="8">
        <v>-1.0</v>
      </c>
      <c r="L18" s="8" t="s">
        <v>84</v>
      </c>
      <c r="M18" s="8" t="s">
        <v>22</v>
      </c>
      <c r="N18" s="8" t="s">
        <v>892</v>
      </c>
      <c r="O18" s="8" t="s">
        <v>24</v>
      </c>
      <c r="P18" s="9">
        <v>0.0</v>
      </c>
      <c r="Q18" s="9">
        <v>0.5</v>
      </c>
      <c r="R18" s="9">
        <v>0.5</v>
      </c>
      <c r="S18" s="10">
        <v>45539.0</v>
      </c>
      <c r="T18" s="11">
        <v>2.025</v>
      </c>
      <c r="U18" s="8" t="s">
        <v>25</v>
      </c>
      <c r="V18" s="12">
        <f t="shared" si="1"/>
        <v>-0.5</v>
      </c>
      <c r="W18" s="12">
        <f t="shared" si="4"/>
        <v>-1.520632366</v>
      </c>
      <c r="Y18" s="66">
        <v>45552.0</v>
      </c>
      <c r="Z18" s="13">
        <f t="shared" si="2"/>
        <v>0.5598686</v>
      </c>
    </row>
    <row r="19">
      <c r="A19" s="15">
        <f t="shared" si="3"/>
        <v>18</v>
      </c>
      <c r="B19" s="15" t="s">
        <v>26</v>
      </c>
      <c r="C19" s="15" t="s">
        <v>19</v>
      </c>
      <c r="D19" s="15">
        <v>73.0</v>
      </c>
      <c r="E19" s="15" t="s">
        <v>1808</v>
      </c>
      <c r="F19" s="15"/>
      <c r="G19" s="15"/>
      <c r="H19" s="110"/>
      <c r="I19" s="15" t="s">
        <v>1479</v>
      </c>
      <c r="J19" s="15" t="s">
        <v>1480</v>
      </c>
      <c r="K19" s="15">
        <v>-1.0</v>
      </c>
      <c r="L19" s="15" t="s">
        <v>78</v>
      </c>
      <c r="M19" s="15" t="s">
        <v>22</v>
      </c>
      <c r="N19" s="15" t="s">
        <v>892</v>
      </c>
      <c r="O19" s="15" t="s">
        <v>24</v>
      </c>
      <c r="P19" s="16">
        <v>0.0</v>
      </c>
      <c r="Q19" s="16">
        <v>0.7</v>
      </c>
      <c r="R19" s="16">
        <v>0.7</v>
      </c>
      <c r="S19" s="17">
        <v>45540.0</v>
      </c>
      <c r="T19" s="18">
        <v>1.8</v>
      </c>
      <c r="U19" s="15" t="s">
        <v>33</v>
      </c>
      <c r="V19" s="19">
        <f t="shared" si="1"/>
        <v>0.56</v>
      </c>
      <c r="W19" s="19">
        <f t="shared" si="4"/>
        <v>-0.960632366</v>
      </c>
      <c r="Y19" s="66">
        <v>45553.0</v>
      </c>
      <c r="Z19" s="13">
        <f t="shared" si="2"/>
        <v>0.1282764412</v>
      </c>
    </row>
    <row r="20">
      <c r="A20" s="8">
        <f t="shared" si="3"/>
        <v>19</v>
      </c>
      <c r="B20" s="8" t="s">
        <v>26</v>
      </c>
      <c r="C20" s="8" t="s">
        <v>19</v>
      </c>
      <c r="D20" s="8">
        <v>67.0</v>
      </c>
      <c r="E20" s="8" t="s">
        <v>1809</v>
      </c>
      <c r="F20" s="8"/>
      <c r="G20" s="8"/>
      <c r="H20" s="111"/>
      <c r="I20" s="8" t="s">
        <v>1473</v>
      </c>
      <c r="J20" s="8" t="s">
        <v>1474</v>
      </c>
      <c r="K20" s="8">
        <v>-1.0</v>
      </c>
      <c r="L20" s="8" t="s">
        <v>683</v>
      </c>
      <c r="M20" s="8" t="s">
        <v>22</v>
      </c>
      <c r="N20" s="8" t="s">
        <v>225</v>
      </c>
      <c r="O20" s="8" t="s">
        <v>24</v>
      </c>
      <c r="P20" s="9">
        <v>0.25</v>
      </c>
      <c r="Q20" s="9">
        <v>0.25</v>
      </c>
      <c r="R20" s="9">
        <v>0.25</v>
      </c>
      <c r="S20" s="54">
        <v>45540.0</v>
      </c>
      <c r="T20" s="11">
        <v>1.775</v>
      </c>
      <c r="U20" s="8" t="s">
        <v>30</v>
      </c>
      <c r="V20" s="12">
        <f t="shared" si="1"/>
        <v>0.096875</v>
      </c>
      <c r="W20" s="12">
        <f t="shared" si="4"/>
        <v>-0.863757366</v>
      </c>
      <c r="Y20" s="66">
        <v>45554.0</v>
      </c>
      <c r="Z20" s="13">
        <f t="shared" si="2"/>
        <v>-0.10588225</v>
      </c>
    </row>
    <row r="21">
      <c r="A21" s="15">
        <f t="shared" si="3"/>
        <v>20</v>
      </c>
      <c r="B21" s="15" t="s">
        <v>26</v>
      </c>
      <c r="C21" s="15" t="s">
        <v>19</v>
      </c>
      <c r="D21" s="15">
        <v>68.0</v>
      </c>
      <c r="E21" s="15" t="s">
        <v>1810</v>
      </c>
      <c r="F21" s="15"/>
      <c r="G21" s="15"/>
      <c r="H21" s="110"/>
      <c r="I21" s="15" t="s">
        <v>1473</v>
      </c>
      <c r="J21" s="15" t="s">
        <v>1480</v>
      </c>
      <c r="K21" s="15">
        <v>-1.0</v>
      </c>
      <c r="L21" s="15" t="s">
        <v>683</v>
      </c>
      <c r="M21" s="15" t="s">
        <v>22</v>
      </c>
      <c r="N21" s="15" t="s">
        <v>892</v>
      </c>
      <c r="O21" s="15" t="s">
        <v>24</v>
      </c>
      <c r="P21" s="16">
        <v>0.0</v>
      </c>
      <c r="Q21" s="16">
        <v>0.2</v>
      </c>
      <c r="R21" s="16">
        <v>0.2</v>
      </c>
      <c r="S21" s="17">
        <v>45540.0</v>
      </c>
      <c r="T21" s="18">
        <v>2.55</v>
      </c>
      <c r="U21" s="15" t="s">
        <v>70</v>
      </c>
      <c r="V21" s="19">
        <f t="shared" si="1"/>
        <v>0</v>
      </c>
      <c r="W21" s="19">
        <f t="shared" si="4"/>
        <v>-0.863757366</v>
      </c>
      <c r="Y21" s="66">
        <v>45555.0</v>
      </c>
      <c r="Z21" s="13">
        <f t="shared" si="2"/>
        <v>0.7639332407</v>
      </c>
    </row>
    <row r="22">
      <c r="A22" s="8">
        <f t="shared" si="3"/>
        <v>21</v>
      </c>
      <c r="B22" s="8" t="s">
        <v>26</v>
      </c>
      <c r="C22" s="8" t="s">
        <v>19</v>
      </c>
      <c r="D22" s="8">
        <v>93.0</v>
      </c>
      <c r="E22" s="8" t="s">
        <v>1811</v>
      </c>
      <c r="F22" s="8"/>
      <c r="G22" s="8"/>
      <c r="H22" s="8"/>
      <c r="I22" s="8"/>
      <c r="J22" s="8"/>
      <c r="K22" s="8"/>
      <c r="L22" s="8" t="s">
        <v>683</v>
      </c>
      <c r="M22" s="8" t="s">
        <v>22</v>
      </c>
      <c r="N22" s="8" t="s">
        <v>440</v>
      </c>
      <c r="O22" s="8" t="s">
        <v>24</v>
      </c>
      <c r="P22" s="9">
        <v>1.5</v>
      </c>
      <c r="Q22" s="9">
        <v>0.05</v>
      </c>
      <c r="R22" s="9">
        <v>0.04</v>
      </c>
      <c r="S22" s="10">
        <v>45540.0</v>
      </c>
      <c r="T22" s="11">
        <v>6.6</v>
      </c>
      <c r="U22" s="8" t="s">
        <v>25</v>
      </c>
      <c r="V22" s="12">
        <f t="shared" si="1"/>
        <v>-0.04</v>
      </c>
      <c r="W22" s="12">
        <f t="shared" si="4"/>
        <v>-0.903757366</v>
      </c>
      <c r="Y22" s="66">
        <v>45556.0</v>
      </c>
      <c r="Z22" s="13">
        <f t="shared" si="2"/>
        <v>-1.267963333</v>
      </c>
    </row>
    <row r="23">
      <c r="A23" s="15">
        <f t="shared" si="3"/>
        <v>22</v>
      </c>
      <c r="B23" s="15" t="s">
        <v>137</v>
      </c>
      <c r="C23" s="15" t="s">
        <v>19</v>
      </c>
      <c r="D23" s="15">
        <v>63.0</v>
      </c>
      <c r="E23" s="15" t="s">
        <v>1812</v>
      </c>
      <c r="F23" s="15"/>
      <c r="G23" s="15"/>
      <c r="H23" s="110"/>
      <c r="I23" s="15" t="s">
        <v>1479</v>
      </c>
      <c r="J23" s="15" t="s">
        <v>1477</v>
      </c>
      <c r="K23" s="15">
        <v>1.0</v>
      </c>
      <c r="L23" s="15" t="s">
        <v>167</v>
      </c>
      <c r="M23" s="15" t="s">
        <v>22</v>
      </c>
      <c r="N23" s="15" t="s">
        <v>894</v>
      </c>
      <c r="O23" s="15" t="s">
        <v>24</v>
      </c>
      <c r="P23" s="16">
        <v>-0.5</v>
      </c>
      <c r="Q23" s="16">
        <v>0.25</v>
      </c>
      <c r="R23" s="16">
        <v>0.25</v>
      </c>
      <c r="S23" s="17">
        <v>45541.0</v>
      </c>
      <c r="T23" s="18">
        <v>1.95</v>
      </c>
      <c r="U23" s="15" t="s">
        <v>25</v>
      </c>
      <c r="V23" s="19">
        <f t="shared" si="1"/>
        <v>-0.25</v>
      </c>
      <c r="W23" s="19">
        <f t="shared" si="4"/>
        <v>-1.153757366</v>
      </c>
      <c r="Y23" s="66">
        <v>45557.0</v>
      </c>
      <c r="Z23" s="13">
        <f t="shared" si="2"/>
        <v>1.2589293</v>
      </c>
    </row>
    <row r="24">
      <c r="A24" s="8">
        <f t="shared" si="3"/>
        <v>23</v>
      </c>
      <c r="B24" s="8" t="s">
        <v>26</v>
      </c>
      <c r="C24" s="8" t="s">
        <v>19</v>
      </c>
      <c r="D24" s="8">
        <v>9.0</v>
      </c>
      <c r="E24" s="8" t="s">
        <v>1813</v>
      </c>
      <c r="F24" s="8"/>
      <c r="G24" s="8"/>
      <c r="H24" s="111"/>
      <c r="I24" s="8" t="s">
        <v>1473</v>
      </c>
      <c r="J24" s="8" t="s">
        <v>1480</v>
      </c>
      <c r="K24" s="8">
        <v>0.0</v>
      </c>
      <c r="L24" s="8" t="s">
        <v>794</v>
      </c>
      <c r="M24" s="8" t="s">
        <v>22</v>
      </c>
      <c r="N24" s="8" t="s">
        <v>892</v>
      </c>
      <c r="O24" s="8" t="s">
        <v>24</v>
      </c>
      <c r="P24" s="9">
        <v>0.0</v>
      </c>
      <c r="Q24" s="98">
        <v>0.1</v>
      </c>
      <c r="R24" s="33">
        <v>0.1</v>
      </c>
      <c r="S24" s="10">
        <v>45541.0</v>
      </c>
      <c r="T24" s="11">
        <v>2.025</v>
      </c>
      <c r="U24" s="8" t="s">
        <v>70</v>
      </c>
      <c r="V24" s="12">
        <f t="shared" si="1"/>
        <v>0</v>
      </c>
      <c r="W24" s="12">
        <f t="shared" si="4"/>
        <v>-1.153757366</v>
      </c>
      <c r="Y24" s="66">
        <v>45558.0</v>
      </c>
      <c r="Z24" s="13">
        <f t="shared" si="2"/>
        <v>-0.4031875</v>
      </c>
    </row>
    <row r="25">
      <c r="A25" s="15">
        <f t="shared" si="3"/>
        <v>24</v>
      </c>
      <c r="B25" s="15" t="s">
        <v>35</v>
      </c>
      <c r="C25" s="15" t="s">
        <v>19</v>
      </c>
      <c r="D25" s="15"/>
      <c r="E25" s="15" t="s">
        <v>1814</v>
      </c>
      <c r="F25" s="15"/>
      <c r="G25" s="15"/>
      <c r="H25" s="110"/>
      <c r="I25" s="15" t="s">
        <v>1473</v>
      </c>
      <c r="J25" s="15" t="s">
        <v>1480</v>
      </c>
      <c r="K25" s="15">
        <v>0.0</v>
      </c>
      <c r="L25" s="15" t="s">
        <v>174</v>
      </c>
      <c r="M25" s="15" t="s">
        <v>22</v>
      </c>
      <c r="N25" s="15" t="s">
        <v>892</v>
      </c>
      <c r="O25" s="15" t="s">
        <v>24</v>
      </c>
      <c r="P25" s="16">
        <v>0.0</v>
      </c>
      <c r="Q25" s="99">
        <v>0.1</v>
      </c>
      <c r="R25" s="43">
        <v>0.1</v>
      </c>
      <c r="S25" s="17">
        <v>45541.0</v>
      </c>
      <c r="T25" s="18">
        <v>1.75</v>
      </c>
      <c r="U25" s="15" t="s">
        <v>70</v>
      </c>
      <c r="V25" s="19">
        <f t="shared" si="1"/>
        <v>0</v>
      </c>
      <c r="W25" s="19">
        <f t="shared" si="4"/>
        <v>-1.153757366</v>
      </c>
      <c r="Y25" s="66">
        <v>45559.0</v>
      </c>
      <c r="Z25" s="13">
        <f t="shared" si="2"/>
        <v>-1.08146</v>
      </c>
    </row>
    <row r="26">
      <c r="A26" s="8">
        <f t="shared" si="3"/>
        <v>25</v>
      </c>
      <c r="B26" s="8" t="s">
        <v>26</v>
      </c>
      <c r="C26" s="8" t="s">
        <v>19</v>
      </c>
      <c r="D26" s="8"/>
      <c r="E26" s="8" t="s">
        <v>1815</v>
      </c>
      <c r="F26" s="8"/>
      <c r="G26" s="8"/>
      <c r="H26" s="111"/>
      <c r="I26" s="8" t="s">
        <v>1479</v>
      </c>
      <c r="J26" s="8" t="s">
        <v>1474</v>
      </c>
      <c r="K26" s="8"/>
      <c r="L26" s="8" t="s">
        <v>794</v>
      </c>
      <c r="M26" s="8" t="s">
        <v>22</v>
      </c>
      <c r="N26" s="8" t="s">
        <v>941</v>
      </c>
      <c r="O26" s="8" t="s">
        <v>24</v>
      </c>
      <c r="P26" s="9">
        <v>0.0</v>
      </c>
      <c r="Q26" s="9">
        <v>0.03</v>
      </c>
      <c r="R26" s="9">
        <v>0.03</v>
      </c>
      <c r="S26" s="10">
        <v>45541.0</v>
      </c>
      <c r="T26" s="11">
        <v>5.5</v>
      </c>
      <c r="U26" s="8" t="s">
        <v>70</v>
      </c>
      <c r="V26" s="12">
        <f t="shared" si="1"/>
        <v>0</v>
      </c>
      <c r="W26" s="12">
        <f t="shared" si="4"/>
        <v>-1.153757366</v>
      </c>
      <c r="Y26" s="66">
        <v>45560.0</v>
      </c>
      <c r="Z26" s="13">
        <f t="shared" si="2"/>
        <v>0.4841</v>
      </c>
    </row>
    <row r="27">
      <c r="A27" s="15">
        <f t="shared" si="3"/>
        <v>26</v>
      </c>
      <c r="B27" s="15" t="s">
        <v>26</v>
      </c>
      <c r="C27" s="15" t="s">
        <v>19</v>
      </c>
      <c r="D27" s="15">
        <v>8.0</v>
      </c>
      <c r="E27" s="15" t="s">
        <v>1816</v>
      </c>
      <c r="F27" s="15"/>
      <c r="G27" s="15"/>
      <c r="H27" s="110"/>
      <c r="I27" s="15" t="s">
        <v>1479</v>
      </c>
      <c r="J27" s="15" t="s">
        <v>1474</v>
      </c>
      <c r="K27" s="15">
        <v>0.0</v>
      </c>
      <c r="L27" s="15" t="s">
        <v>794</v>
      </c>
      <c r="M27" s="15" t="s">
        <v>22</v>
      </c>
      <c r="N27" s="15" t="s">
        <v>225</v>
      </c>
      <c r="O27" s="15" t="s">
        <v>24</v>
      </c>
      <c r="P27" s="16">
        <v>0.25</v>
      </c>
      <c r="Q27" s="16">
        <v>0.1</v>
      </c>
      <c r="R27" s="16">
        <v>0.1</v>
      </c>
      <c r="S27" s="17">
        <v>45541.0</v>
      </c>
      <c r="T27" s="18">
        <v>1.95</v>
      </c>
      <c r="U27" s="15" t="s">
        <v>30</v>
      </c>
      <c r="V27" s="19">
        <f t="shared" si="1"/>
        <v>0.0475</v>
      </c>
      <c r="W27" s="19">
        <f t="shared" si="4"/>
        <v>-1.106257366</v>
      </c>
      <c r="Y27" s="66">
        <v>45561.0</v>
      </c>
      <c r="Z27" s="13">
        <f t="shared" si="2"/>
        <v>0.540855</v>
      </c>
    </row>
    <row r="28">
      <c r="A28" s="8">
        <f t="shared" si="3"/>
        <v>27</v>
      </c>
      <c r="B28" s="8" t="s">
        <v>18</v>
      </c>
      <c r="C28" s="8" t="s">
        <v>19</v>
      </c>
      <c r="D28" s="8">
        <v>68.0</v>
      </c>
      <c r="E28" s="8" t="s">
        <v>1817</v>
      </c>
      <c r="F28" s="8"/>
      <c r="G28" s="8"/>
      <c r="H28" s="111"/>
      <c r="I28" s="8" t="s">
        <v>1473</v>
      </c>
      <c r="J28" s="8" t="s">
        <v>1474</v>
      </c>
      <c r="K28" s="8">
        <v>1.0</v>
      </c>
      <c r="L28" s="8" t="s">
        <v>101</v>
      </c>
      <c r="M28" s="8" t="s">
        <v>22</v>
      </c>
      <c r="N28" s="8" t="s">
        <v>225</v>
      </c>
      <c r="O28" s="8" t="s">
        <v>24</v>
      </c>
      <c r="P28" s="9">
        <v>0.25</v>
      </c>
      <c r="Q28" s="9">
        <v>0.5</v>
      </c>
      <c r="R28" s="9">
        <v>0.5</v>
      </c>
      <c r="S28" s="10">
        <v>45541.0</v>
      </c>
      <c r="T28" s="11">
        <v>1.7</v>
      </c>
      <c r="U28" s="8" t="s">
        <v>30</v>
      </c>
      <c r="V28" s="12">
        <f t="shared" si="1"/>
        <v>0.175</v>
      </c>
      <c r="W28" s="12">
        <f t="shared" si="4"/>
        <v>-0.931257366</v>
      </c>
      <c r="Y28" s="66">
        <v>45562.0</v>
      </c>
      <c r="Z28" s="13">
        <f t="shared" si="2"/>
        <v>-0.0895</v>
      </c>
    </row>
    <row r="29">
      <c r="A29" s="15">
        <f t="shared" si="3"/>
        <v>28</v>
      </c>
      <c r="B29" s="15" t="s">
        <v>26</v>
      </c>
      <c r="C29" s="15" t="s">
        <v>19</v>
      </c>
      <c r="D29" s="15">
        <v>18.0</v>
      </c>
      <c r="E29" s="15" t="s">
        <v>1818</v>
      </c>
      <c r="F29" s="15">
        <v>4.0</v>
      </c>
      <c r="G29" s="15">
        <v>3.0</v>
      </c>
      <c r="H29" s="110">
        <f>7/(5*2)</f>
        <v>0.7</v>
      </c>
      <c r="I29" s="15" t="s">
        <v>1479</v>
      </c>
      <c r="J29" s="15" t="s">
        <v>1477</v>
      </c>
      <c r="K29" s="15">
        <v>0.0</v>
      </c>
      <c r="L29" s="15" t="s">
        <v>182</v>
      </c>
      <c r="M29" s="15" t="s">
        <v>22</v>
      </c>
      <c r="N29" s="15" t="s">
        <v>894</v>
      </c>
      <c r="O29" s="15" t="s">
        <v>24</v>
      </c>
      <c r="P29" s="16">
        <v>-0.25</v>
      </c>
      <c r="Q29" s="16">
        <v>0.1</v>
      </c>
      <c r="R29" s="16">
        <v>0.1</v>
      </c>
      <c r="S29" s="55">
        <v>45541.0</v>
      </c>
      <c r="T29" s="18">
        <v>1.825</v>
      </c>
      <c r="U29" s="15" t="s">
        <v>25</v>
      </c>
      <c r="V29" s="19">
        <f t="shared" si="1"/>
        <v>-0.1</v>
      </c>
      <c r="W29" s="19">
        <f t="shared" si="4"/>
        <v>-1.031257366</v>
      </c>
      <c r="Y29" s="66">
        <v>45563.0</v>
      </c>
      <c r="Z29" s="13">
        <f t="shared" si="2"/>
        <v>-2.275175</v>
      </c>
    </row>
    <row r="30">
      <c r="A30" s="8">
        <f t="shared" si="3"/>
        <v>29</v>
      </c>
      <c r="B30" s="8" t="s">
        <v>18</v>
      </c>
      <c r="C30" s="8" t="s">
        <v>19</v>
      </c>
      <c r="D30" s="8">
        <v>77.0</v>
      </c>
      <c r="E30" s="8" t="s">
        <v>1819</v>
      </c>
      <c r="F30" s="8"/>
      <c r="G30" s="8"/>
      <c r="H30" s="111"/>
      <c r="I30" s="8" t="s">
        <v>1473</v>
      </c>
      <c r="J30" s="8" t="s">
        <v>1480</v>
      </c>
      <c r="K30" s="8">
        <v>1.0</v>
      </c>
      <c r="L30" s="8" t="s">
        <v>101</v>
      </c>
      <c r="M30" s="8" t="s">
        <v>22</v>
      </c>
      <c r="N30" s="8" t="s">
        <v>892</v>
      </c>
      <c r="O30" s="8" t="s">
        <v>24</v>
      </c>
      <c r="P30" s="9">
        <v>0.0</v>
      </c>
      <c r="Q30" s="9">
        <v>0.2</v>
      </c>
      <c r="R30" s="9">
        <v>0.2</v>
      </c>
      <c r="S30" s="10">
        <v>45541.0</v>
      </c>
      <c r="T30" s="11">
        <v>2.35</v>
      </c>
      <c r="U30" s="8" t="s">
        <v>70</v>
      </c>
      <c r="V30" s="12">
        <f t="shared" si="1"/>
        <v>0</v>
      </c>
      <c r="W30" s="12">
        <f t="shared" si="4"/>
        <v>-1.031257366</v>
      </c>
      <c r="Y30" s="66">
        <v>45564.0</v>
      </c>
      <c r="Z30" s="13">
        <f t="shared" si="2"/>
        <v>0.0101</v>
      </c>
    </row>
    <row r="31">
      <c r="A31" s="15">
        <f t="shared" si="3"/>
        <v>30</v>
      </c>
      <c r="B31" s="15" t="s">
        <v>26</v>
      </c>
      <c r="C31" s="15" t="s">
        <v>19</v>
      </c>
      <c r="D31" s="15">
        <v>42.0</v>
      </c>
      <c r="E31" s="15" t="s">
        <v>1820</v>
      </c>
      <c r="F31" s="15"/>
      <c r="G31" s="15"/>
      <c r="H31" s="110"/>
      <c r="I31" s="15" t="s">
        <v>1473</v>
      </c>
      <c r="J31" s="15" t="s">
        <v>1474</v>
      </c>
      <c r="K31" s="15">
        <v>0.0</v>
      </c>
      <c r="L31" s="15" t="s">
        <v>316</v>
      </c>
      <c r="M31" s="15" t="s">
        <v>22</v>
      </c>
      <c r="N31" s="15" t="s">
        <v>225</v>
      </c>
      <c r="O31" s="15" t="s">
        <v>24</v>
      </c>
      <c r="P31" s="16">
        <v>0.25</v>
      </c>
      <c r="Q31" s="16">
        <v>0.25</v>
      </c>
      <c r="R31" s="16">
        <v>0.25</v>
      </c>
      <c r="S31" s="17">
        <v>45541.0</v>
      </c>
      <c r="T31" s="18">
        <v>1.75</v>
      </c>
      <c r="U31" s="15" t="s">
        <v>30</v>
      </c>
      <c r="V31" s="19">
        <f t="shared" si="1"/>
        <v>0.09375</v>
      </c>
      <c r="W31" s="19">
        <f t="shared" si="4"/>
        <v>-0.937507366</v>
      </c>
      <c r="Y31" s="66">
        <v>45565.0</v>
      </c>
      <c r="Z31" s="13">
        <f t="shared" si="2"/>
        <v>-0.25</v>
      </c>
    </row>
    <row r="32">
      <c r="A32" s="8">
        <f t="shared" si="3"/>
        <v>31</v>
      </c>
      <c r="B32" s="8" t="s">
        <v>35</v>
      </c>
      <c r="C32" s="8" t="s">
        <v>19</v>
      </c>
      <c r="D32" s="8">
        <v>62.0</v>
      </c>
      <c r="E32" s="8" t="s">
        <v>1821</v>
      </c>
      <c r="F32" s="8">
        <v>12.0</v>
      </c>
      <c r="G32" s="8">
        <v>8.0</v>
      </c>
      <c r="H32" s="111">
        <f>4/(16*2)</f>
        <v>0.125</v>
      </c>
      <c r="I32" s="8" t="s">
        <v>1479</v>
      </c>
      <c r="J32" s="8" t="s">
        <v>1480</v>
      </c>
      <c r="K32" s="8">
        <v>0.0</v>
      </c>
      <c r="L32" s="8" t="s">
        <v>50</v>
      </c>
      <c r="M32" s="8" t="s">
        <v>22</v>
      </c>
      <c r="N32" s="8" t="s">
        <v>892</v>
      </c>
      <c r="O32" s="8" t="s">
        <v>24</v>
      </c>
      <c r="P32" s="9">
        <v>0.0</v>
      </c>
      <c r="Q32" s="9">
        <v>0.1</v>
      </c>
      <c r="R32" s="9">
        <v>0.1</v>
      </c>
      <c r="S32" s="10">
        <v>45541.0</v>
      </c>
      <c r="T32" s="11">
        <v>1.75</v>
      </c>
      <c r="U32" s="8" t="s">
        <v>70</v>
      </c>
      <c r="V32" s="12">
        <f t="shared" si="1"/>
        <v>0</v>
      </c>
      <c r="W32" s="12">
        <f t="shared" si="4"/>
        <v>-0.937507366</v>
      </c>
      <c r="Y32" s="66"/>
      <c r="Z32" s="13">
        <f t="shared" si="2"/>
        <v>0</v>
      </c>
    </row>
    <row r="33">
      <c r="A33" s="15">
        <f t="shared" si="3"/>
        <v>32</v>
      </c>
      <c r="B33" s="15" t="s">
        <v>26</v>
      </c>
      <c r="C33" s="15" t="s">
        <v>19</v>
      </c>
      <c r="D33" s="15">
        <v>22.0</v>
      </c>
      <c r="E33" s="15" t="s">
        <v>1822</v>
      </c>
      <c r="F33" s="15">
        <v>14.0</v>
      </c>
      <c r="G33" s="15">
        <v>3.0</v>
      </c>
      <c r="H33" s="110">
        <f>2/(13*2)</f>
        <v>0.07692307692</v>
      </c>
      <c r="I33" s="15" t="s">
        <v>1479</v>
      </c>
      <c r="J33" s="15" t="s">
        <v>1480</v>
      </c>
      <c r="K33" s="15">
        <v>1.0</v>
      </c>
      <c r="L33" s="15" t="s">
        <v>50</v>
      </c>
      <c r="M33" s="15" t="s">
        <v>22</v>
      </c>
      <c r="N33" s="15" t="s">
        <v>892</v>
      </c>
      <c r="O33" s="15" t="s">
        <v>24</v>
      </c>
      <c r="P33" s="16">
        <v>0.0</v>
      </c>
      <c r="Q33" s="16">
        <v>0.1</v>
      </c>
      <c r="R33" s="16">
        <v>0.1</v>
      </c>
      <c r="S33" s="17">
        <v>45541.0</v>
      </c>
      <c r="T33" s="18">
        <v>1.9</v>
      </c>
      <c r="U33" s="15" t="s">
        <v>33</v>
      </c>
      <c r="V33" s="19">
        <f t="shared" si="1"/>
        <v>0.09</v>
      </c>
      <c r="W33" s="19">
        <f t="shared" si="4"/>
        <v>-0.847507366</v>
      </c>
      <c r="Y33" s="94" t="s">
        <v>89</v>
      </c>
      <c r="Z33" s="28">
        <f>SUM(Z2:Z32)</f>
        <v>-1.36999074</v>
      </c>
    </row>
    <row r="34">
      <c r="A34" s="8">
        <f t="shared" si="3"/>
        <v>33</v>
      </c>
      <c r="B34" s="8" t="s">
        <v>26</v>
      </c>
      <c r="C34" s="8" t="s">
        <v>19</v>
      </c>
      <c r="D34" s="8">
        <v>69.0</v>
      </c>
      <c r="E34" s="8" t="s">
        <v>1823</v>
      </c>
      <c r="F34" s="8"/>
      <c r="G34" s="8"/>
      <c r="H34" s="111"/>
      <c r="I34" s="8" t="s">
        <v>1479</v>
      </c>
      <c r="J34" s="8" t="s">
        <v>1477</v>
      </c>
      <c r="K34" s="8">
        <v>0.0</v>
      </c>
      <c r="L34" s="8" t="s">
        <v>316</v>
      </c>
      <c r="M34" s="8" t="s">
        <v>22</v>
      </c>
      <c r="N34" s="8" t="s">
        <v>894</v>
      </c>
      <c r="O34" s="8" t="s">
        <v>24</v>
      </c>
      <c r="P34" s="9">
        <v>-0.25</v>
      </c>
      <c r="Q34" s="9">
        <v>0.18</v>
      </c>
      <c r="R34" s="9">
        <v>0.18</v>
      </c>
      <c r="S34" s="54">
        <v>45541.0</v>
      </c>
      <c r="T34" s="11">
        <v>2.3</v>
      </c>
      <c r="U34" s="8" t="s">
        <v>79</v>
      </c>
      <c r="V34" s="12">
        <f t="shared" si="1"/>
        <v>-0.09</v>
      </c>
      <c r="W34" s="12">
        <f t="shared" si="4"/>
        <v>-0.937507366</v>
      </c>
    </row>
    <row r="35">
      <c r="A35" s="15">
        <f t="shared" si="3"/>
        <v>34</v>
      </c>
      <c r="B35" s="15" t="s">
        <v>26</v>
      </c>
      <c r="C35" s="15" t="s">
        <v>19</v>
      </c>
      <c r="D35" s="15">
        <v>60.0</v>
      </c>
      <c r="E35" s="15" t="s">
        <v>1824</v>
      </c>
      <c r="F35" s="15">
        <v>11.0</v>
      </c>
      <c r="G35" s="15">
        <v>5.0</v>
      </c>
      <c r="H35" s="110">
        <f>19/(13*2)</f>
        <v>0.7307692308</v>
      </c>
      <c r="I35" s="15" t="s">
        <v>1473</v>
      </c>
      <c r="J35" s="15" t="s">
        <v>1480</v>
      </c>
      <c r="K35" s="15">
        <v>0.0</v>
      </c>
      <c r="L35" s="15" t="s">
        <v>940</v>
      </c>
      <c r="M35" s="15" t="s">
        <v>22</v>
      </c>
      <c r="N35" s="15" t="s">
        <v>892</v>
      </c>
      <c r="O35" s="15" t="s">
        <v>24</v>
      </c>
      <c r="P35" s="16">
        <v>0.0</v>
      </c>
      <c r="Q35" s="16">
        <v>0.1</v>
      </c>
      <c r="R35" s="16">
        <v>0.1</v>
      </c>
      <c r="S35" s="17">
        <v>45541.0</v>
      </c>
      <c r="T35" s="18">
        <v>1.7</v>
      </c>
      <c r="U35" s="15" t="s">
        <v>25</v>
      </c>
      <c r="V35" s="19">
        <f t="shared" si="1"/>
        <v>-0.1</v>
      </c>
      <c r="W35" s="19">
        <f t="shared" si="4"/>
        <v>-1.037507366</v>
      </c>
      <c r="Y35" s="29"/>
    </row>
    <row r="36">
      <c r="A36" s="8">
        <f t="shared" si="3"/>
        <v>35</v>
      </c>
      <c r="B36" s="8" t="s">
        <v>26</v>
      </c>
      <c r="C36" s="8" t="s">
        <v>19</v>
      </c>
      <c r="D36" s="8">
        <v>63.0</v>
      </c>
      <c r="E36" s="8" t="s">
        <v>1825</v>
      </c>
      <c r="F36" s="8">
        <v>15.0</v>
      </c>
      <c r="G36" s="8">
        <v>12.0</v>
      </c>
      <c r="H36" s="111">
        <f>3/(15*2)</f>
        <v>0.1</v>
      </c>
      <c r="I36" s="8" t="s">
        <v>1479</v>
      </c>
      <c r="J36" s="8" t="s">
        <v>1480</v>
      </c>
      <c r="K36" s="8">
        <v>0.0</v>
      </c>
      <c r="L36" s="8" t="s">
        <v>50</v>
      </c>
      <c r="M36" s="8" t="s">
        <v>22</v>
      </c>
      <c r="N36" s="8" t="s">
        <v>892</v>
      </c>
      <c r="O36" s="8" t="s">
        <v>24</v>
      </c>
      <c r="P36" s="9">
        <v>0.0</v>
      </c>
      <c r="Q36" s="9">
        <v>0.5</v>
      </c>
      <c r="R36" s="9">
        <v>0.5</v>
      </c>
      <c r="S36" s="10">
        <v>45541.0</v>
      </c>
      <c r="T36" s="11">
        <v>1.725</v>
      </c>
      <c r="U36" s="8" t="s">
        <v>25</v>
      </c>
      <c r="V36" s="12">
        <f t="shared" si="1"/>
        <v>-0.5</v>
      </c>
      <c r="W36" s="12">
        <f t="shared" si="4"/>
        <v>-1.537507366</v>
      </c>
      <c r="Y36" s="30"/>
    </row>
    <row r="37">
      <c r="A37" s="15">
        <f t="shared" si="3"/>
        <v>36</v>
      </c>
      <c r="B37" s="15" t="s">
        <v>26</v>
      </c>
      <c r="C37" s="15" t="s">
        <v>19</v>
      </c>
      <c r="D37" s="15">
        <v>78.0</v>
      </c>
      <c r="E37" s="15" t="s">
        <v>1826</v>
      </c>
      <c r="F37" s="15">
        <v>7.0</v>
      </c>
      <c r="G37" s="15">
        <v>4.0</v>
      </c>
      <c r="H37" s="110">
        <f>5/(15*2)</f>
        <v>0.1666666667</v>
      </c>
      <c r="I37" s="15" t="s">
        <v>1473</v>
      </c>
      <c r="J37" s="15" t="s">
        <v>1480</v>
      </c>
      <c r="K37" s="15">
        <v>-1.0</v>
      </c>
      <c r="L37" s="15" t="s">
        <v>316</v>
      </c>
      <c r="M37" s="15" t="s">
        <v>22</v>
      </c>
      <c r="N37" s="15" t="s">
        <v>892</v>
      </c>
      <c r="O37" s="15" t="s">
        <v>24</v>
      </c>
      <c r="P37" s="16">
        <v>0.0</v>
      </c>
      <c r="Q37" s="16">
        <v>0.5</v>
      </c>
      <c r="R37" s="16">
        <v>0.5</v>
      </c>
      <c r="S37" s="17">
        <v>45541.0</v>
      </c>
      <c r="T37" s="18">
        <v>1.6</v>
      </c>
      <c r="U37" s="15" t="s">
        <v>70</v>
      </c>
      <c r="V37" s="19">
        <f t="shared" si="1"/>
        <v>0</v>
      </c>
      <c r="W37" s="19">
        <f t="shared" si="4"/>
        <v>-1.537507366</v>
      </c>
      <c r="Y37" s="30"/>
    </row>
    <row r="38">
      <c r="A38" s="8">
        <f t="shared" si="3"/>
        <v>37</v>
      </c>
      <c r="B38" s="8" t="s">
        <v>26</v>
      </c>
      <c r="C38" s="8" t="s">
        <v>19</v>
      </c>
      <c r="D38" s="8">
        <v>69.0</v>
      </c>
      <c r="E38" s="8" t="s">
        <v>1827</v>
      </c>
      <c r="F38" s="8">
        <v>9.0</v>
      </c>
      <c r="G38" s="8">
        <v>8.0</v>
      </c>
      <c r="H38" s="111">
        <f>4/(15*2)</f>
        <v>0.1333333333</v>
      </c>
      <c r="I38" s="8" t="s">
        <v>1479</v>
      </c>
      <c r="J38" s="8" t="s">
        <v>1480</v>
      </c>
      <c r="K38" s="8">
        <v>-2.0</v>
      </c>
      <c r="L38" s="8" t="s">
        <v>432</v>
      </c>
      <c r="M38" s="8" t="s">
        <v>22</v>
      </c>
      <c r="N38" s="8" t="s">
        <v>892</v>
      </c>
      <c r="O38" s="8" t="s">
        <v>24</v>
      </c>
      <c r="P38" s="9">
        <v>0.0</v>
      </c>
      <c r="Q38" s="9">
        <v>0.1</v>
      </c>
      <c r="R38" s="9">
        <v>0.1</v>
      </c>
      <c r="S38" s="54">
        <v>45541.0</v>
      </c>
      <c r="T38" s="8">
        <v>1.775</v>
      </c>
      <c r="U38" s="8" t="s">
        <v>25</v>
      </c>
      <c r="V38" s="12">
        <f t="shared" si="1"/>
        <v>-0.1</v>
      </c>
      <c r="W38" s="12">
        <f t="shared" si="4"/>
        <v>-1.637507366</v>
      </c>
      <c r="Y38" s="30"/>
    </row>
    <row r="39">
      <c r="A39" s="15">
        <f t="shared" si="3"/>
        <v>38</v>
      </c>
      <c r="B39" s="15" t="s">
        <v>26</v>
      </c>
      <c r="C39" s="15" t="s">
        <v>40</v>
      </c>
      <c r="D39" s="15">
        <v>78.0</v>
      </c>
      <c r="E39" s="15" t="s">
        <v>1828</v>
      </c>
      <c r="F39" s="15"/>
      <c r="G39" s="15"/>
      <c r="H39" s="110"/>
      <c r="I39" s="15" t="s">
        <v>1473</v>
      </c>
      <c r="J39" s="15" t="s">
        <v>1480</v>
      </c>
      <c r="K39" s="15">
        <v>0.0</v>
      </c>
      <c r="L39" s="15" t="s">
        <v>93</v>
      </c>
      <c r="M39" s="15" t="s">
        <v>22</v>
      </c>
      <c r="N39" s="15" t="s">
        <v>892</v>
      </c>
      <c r="O39" s="15" t="s">
        <v>24</v>
      </c>
      <c r="P39" s="16">
        <v>0.0</v>
      </c>
      <c r="Q39" s="16">
        <v>0.5</v>
      </c>
      <c r="R39" s="16">
        <v>0.5</v>
      </c>
      <c r="S39" s="17">
        <v>45541.0</v>
      </c>
      <c r="T39" s="18">
        <v>2.25</v>
      </c>
      <c r="U39" s="15" t="s">
        <v>70</v>
      </c>
      <c r="V39" s="19">
        <f t="shared" si="1"/>
        <v>0</v>
      </c>
      <c r="W39" s="19">
        <f t="shared" si="4"/>
        <v>-1.637507366</v>
      </c>
      <c r="Y39" s="30"/>
    </row>
    <row r="40">
      <c r="A40" s="8">
        <f t="shared" si="3"/>
        <v>39</v>
      </c>
      <c r="B40" s="8" t="s">
        <v>26</v>
      </c>
      <c r="C40" s="8" t="s">
        <v>40</v>
      </c>
      <c r="D40" s="8">
        <v>60.0</v>
      </c>
      <c r="E40" s="8" t="s">
        <v>1829</v>
      </c>
      <c r="F40" s="8"/>
      <c r="G40" s="8"/>
      <c r="H40" s="111"/>
      <c r="I40" s="8" t="s">
        <v>1479</v>
      </c>
      <c r="J40" s="8" t="s">
        <v>1480</v>
      </c>
      <c r="K40" s="8">
        <v>0.0</v>
      </c>
      <c r="L40" s="8" t="s">
        <v>60</v>
      </c>
      <c r="M40" s="8" t="s">
        <v>22</v>
      </c>
      <c r="N40" s="8" t="s">
        <v>892</v>
      </c>
      <c r="O40" s="8" t="s">
        <v>24</v>
      </c>
      <c r="P40" s="9">
        <v>0.0</v>
      </c>
      <c r="Q40" s="9">
        <v>0.25</v>
      </c>
      <c r="R40" s="9">
        <v>0.25</v>
      </c>
      <c r="S40" s="10">
        <v>45541.0</v>
      </c>
      <c r="T40" s="11">
        <v>1.75</v>
      </c>
      <c r="U40" s="8" t="s">
        <v>33</v>
      </c>
      <c r="V40" s="12">
        <f t="shared" si="1"/>
        <v>0.1875</v>
      </c>
      <c r="W40" s="12">
        <f t="shared" si="4"/>
        <v>-1.450007366</v>
      </c>
      <c r="Y40" s="30"/>
    </row>
    <row r="41">
      <c r="A41" s="15">
        <f t="shared" si="3"/>
        <v>40</v>
      </c>
      <c r="B41" s="15" t="s">
        <v>26</v>
      </c>
      <c r="C41" s="15" t="s">
        <v>40</v>
      </c>
      <c r="D41" s="15">
        <v>75.0</v>
      </c>
      <c r="E41" s="15" t="s">
        <v>1829</v>
      </c>
      <c r="F41" s="15"/>
      <c r="G41" s="15"/>
      <c r="H41" s="110"/>
      <c r="I41" s="15" t="s">
        <v>1479</v>
      </c>
      <c r="J41" s="15" t="s">
        <v>1480</v>
      </c>
      <c r="K41" s="15">
        <v>0.0</v>
      </c>
      <c r="L41" s="15" t="s">
        <v>60</v>
      </c>
      <c r="M41" s="15" t="s">
        <v>22</v>
      </c>
      <c r="N41" s="15" t="s">
        <v>892</v>
      </c>
      <c r="O41" s="15" t="s">
        <v>24</v>
      </c>
      <c r="P41" s="16">
        <v>0.0</v>
      </c>
      <c r="Q41" s="16">
        <v>0.25</v>
      </c>
      <c r="R41" s="16">
        <v>0.25</v>
      </c>
      <c r="S41" s="17">
        <v>45541.0</v>
      </c>
      <c r="T41" s="18">
        <v>1.625</v>
      </c>
      <c r="U41" s="15" t="s">
        <v>33</v>
      </c>
      <c r="V41" s="19">
        <f t="shared" si="1"/>
        <v>0.15625</v>
      </c>
      <c r="W41" s="19">
        <f t="shared" si="4"/>
        <v>-1.293757366</v>
      </c>
      <c r="Y41" s="30"/>
    </row>
    <row r="42">
      <c r="A42" s="8">
        <f t="shared" si="3"/>
        <v>41</v>
      </c>
      <c r="B42" s="31" t="s">
        <v>18</v>
      </c>
      <c r="C42" s="32" t="s">
        <v>19</v>
      </c>
      <c r="D42" s="32">
        <v>64.0</v>
      </c>
      <c r="E42" s="32" t="s">
        <v>1830</v>
      </c>
      <c r="F42" s="8">
        <v>1.0</v>
      </c>
      <c r="G42" s="8">
        <v>5.0</v>
      </c>
      <c r="H42" s="111">
        <f>4/(9*2)</f>
        <v>0.2222222222</v>
      </c>
      <c r="I42" s="32" t="s">
        <v>1479</v>
      </c>
      <c r="J42" s="32" t="s">
        <v>1480</v>
      </c>
      <c r="K42" s="32">
        <v>0.0</v>
      </c>
      <c r="L42" s="32" t="s">
        <v>908</v>
      </c>
      <c r="M42" s="32" t="s">
        <v>22</v>
      </c>
      <c r="N42" s="32" t="s">
        <v>892</v>
      </c>
      <c r="O42" s="8" t="s">
        <v>24</v>
      </c>
      <c r="P42" s="33">
        <v>0.0</v>
      </c>
      <c r="Q42" s="33">
        <v>0.25</v>
      </c>
      <c r="R42" s="33">
        <v>0.25</v>
      </c>
      <c r="S42" s="34">
        <v>45542.0</v>
      </c>
      <c r="T42" s="35">
        <v>1.675</v>
      </c>
      <c r="U42" s="8" t="s">
        <v>70</v>
      </c>
      <c r="V42" s="12">
        <f t="shared" si="1"/>
        <v>0</v>
      </c>
      <c r="W42" s="12">
        <f t="shared" si="4"/>
        <v>-1.293757366</v>
      </c>
      <c r="Y42" s="30"/>
    </row>
    <row r="43">
      <c r="A43" s="15">
        <f t="shared" si="3"/>
        <v>42</v>
      </c>
      <c r="B43" s="15" t="s">
        <v>18</v>
      </c>
      <c r="C43" s="15" t="s">
        <v>19</v>
      </c>
      <c r="D43" s="15">
        <v>27.0</v>
      </c>
      <c r="E43" s="15" t="s">
        <v>1831</v>
      </c>
      <c r="F43" s="15">
        <v>1.0</v>
      </c>
      <c r="G43" s="15">
        <v>16.0</v>
      </c>
      <c r="H43" s="110">
        <f>1/(15*2)</f>
        <v>0.03333333333</v>
      </c>
      <c r="I43" s="15" t="s">
        <v>1473</v>
      </c>
      <c r="J43" s="15" t="s">
        <v>1474</v>
      </c>
      <c r="K43" s="15">
        <v>0.0</v>
      </c>
      <c r="L43" s="15" t="s">
        <v>229</v>
      </c>
      <c r="M43" s="15" t="s">
        <v>22</v>
      </c>
      <c r="N43" s="15" t="s">
        <v>225</v>
      </c>
      <c r="O43" s="15" t="s">
        <v>24</v>
      </c>
      <c r="P43" s="16">
        <v>0.25</v>
      </c>
      <c r="Q43" s="16">
        <v>0.25</v>
      </c>
      <c r="R43" s="16">
        <v>0.06</v>
      </c>
      <c r="S43" s="17">
        <v>45542.0</v>
      </c>
      <c r="T43" s="18">
        <v>1.75</v>
      </c>
      <c r="U43" s="15" t="s">
        <v>25</v>
      </c>
      <c r="V43" s="19">
        <f t="shared" si="1"/>
        <v>-0.06</v>
      </c>
      <c r="W43" s="19">
        <f t="shared" si="4"/>
        <v>-1.353757366</v>
      </c>
      <c r="Y43" s="30"/>
    </row>
    <row r="44">
      <c r="A44" s="8">
        <f t="shared" si="3"/>
        <v>43</v>
      </c>
      <c r="B44" s="8" t="s">
        <v>18</v>
      </c>
      <c r="C44" s="8" t="s">
        <v>19</v>
      </c>
      <c r="D44" s="8">
        <v>79.0</v>
      </c>
      <c r="E44" s="8" t="s">
        <v>1832</v>
      </c>
      <c r="F44" s="8">
        <v>13.0</v>
      </c>
      <c r="G44" s="8">
        <v>18.0</v>
      </c>
      <c r="H44" s="111">
        <f>5/(17*2)</f>
        <v>0.1470588235</v>
      </c>
      <c r="I44" s="8" t="s">
        <v>1479</v>
      </c>
      <c r="J44" s="8" t="s">
        <v>1480</v>
      </c>
      <c r="K44" s="8">
        <v>-1.0</v>
      </c>
      <c r="L44" s="8" t="s">
        <v>44</v>
      </c>
      <c r="M44" s="8" t="s">
        <v>22</v>
      </c>
      <c r="N44" s="8" t="s">
        <v>892</v>
      </c>
      <c r="O44" s="8" t="s">
        <v>24</v>
      </c>
      <c r="P44" s="9">
        <v>0.0</v>
      </c>
      <c r="Q44" s="9">
        <v>0.75</v>
      </c>
      <c r="R44" s="9">
        <v>0.75</v>
      </c>
      <c r="S44" s="10">
        <v>45542.0</v>
      </c>
      <c r="T44" s="11">
        <v>1.8</v>
      </c>
      <c r="U44" s="8" t="s">
        <v>70</v>
      </c>
      <c r="V44" s="12">
        <f t="shared" si="1"/>
        <v>0</v>
      </c>
      <c r="W44" s="12">
        <f t="shared" si="4"/>
        <v>-1.353757366</v>
      </c>
      <c r="Y44" s="30"/>
    </row>
    <row r="45">
      <c r="A45" s="15">
        <f t="shared" si="3"/>
        <v>44</v>
      </c>
      <c r="B45" s="15" t="s">
        <v>18</v>
      </c>
      <c r="C45" s="15" t="s">
        <v>19</v>
      </c>
      <c r="D45" s="15">
        <v>84.0</v>
      </c>
      <c r="E45" s="15" t="s">
        <v>1833</v>
      </c>
      <c r="F45" s="15">
        <v>8.0</v>
      </c>
      <c r="G45" s="15">
        <v>12.0</v>
      </c>
      <c r="H45" s="110">
        <f>5/(11*2)</f>
        <v>0.2272727273</v>
      </c>
      <c r="I45" s="15" t="s">
        <v>1479</v>
      </c>
      <c r="J45" s="15" t="s">
        <v>1480</v>
      </c>
      <c r="K45" s="15">
        <v>0.0</v>
      </c>
      <c r="L45" s="15" t="s">
        <v>908</v>
      </c>
      <c r="M45" s="15" t="s">
        <v>22</v>
      </c>
      <c r="N45" s="15" t="s">
        <v>892</v>
      </c>
      <c r="O45" s="15" t="s">
        <v>24</v>
      </c>
      <c r="P45" s="16">
        <v>0.0</v>
      </c>
      <c r="Q45" s="16">
        <v>0.5</v>
      </c>
      <c r="R45" s="16">
        <v>0.5</v>
      </c>
      <c r="S45" s="17">
        <v>45542.0</v>
      </c>
      <c r="T45" s="18">
        <v>1.6</v>
      </c>
      <c r="U45" s="15" t="s">
        <v>70</v>
      </c>
      <c r="V45" s="19">
        <f t="shared" si="1"/>
        <v>0</v>
      </c>
      <c r="W45" s="19">
        <f t="shared" si="4"/>
        <v>-1.353757366</v>
      </c>
    </row>
    <row r="46">
      <c r="A46" s="8">
        <f t="shared" si="3"/>
        <v>45</v>
      </c>
      <c r="B46" s="8" t="s">
        <v>26</v>
      </c>
      <c r="C46" s="8" t="s">
        <v>19</v>
      </c>
      <c r="D46" s="8">
        <v>60.0</v>
      </c>
      <c r="E46" s="8" t="s">
        <v>1834</v>
      </c>
      <c r="F46" s="8">
        <v>1.0</v>
      </c>
      <c r="G46" s="8">
        <v>16.0</v>
      </c>
      <c r="H46" s="111">
        <f>1/(15*2)</f>
        <v>0.03333333333</v>
      </c>
      <c r="I46" s="8" t="s">
        <v>1473</v>
      </c>
      <c r="J46" s="8" t="s">
        <v>1480</v>
      </c>
      <c r="K46" s="8">
        <v>-1.0</v>
      </c>
      <c r="L46" s="8" t="s">
        <v>229</v>
      </c>
      <c r="M46" s="8" t="s">
        <v>22</v>
      </c>
      <c r="N46" s="8" t="s">
        <v>892</v>
      </c>
      <c r="O46" s="8" t="s">
        <v>24</v>
      </c>
      <c r="P46" s="9">
        <v>0.0</v>
      </c>
      <c r="Q46" s="9">
        <v>0.5</v>
      </c>
      <c r="R46" s="9">
        <v>0.5</v>
      </c>
      <c r="S46" s="10">
        <v>45542.0</v>
      </c>
      <c r="T46" s="11">
        <v>2.15</v>
      </c>
      <c r="U46" s="8" t="s">
        <v>25</v>
      </c>
      <c r="V46" s="12">
        <f t="shared" si="1"/>
        <v>-0.5</v>
      </c>
      <c r="W46" s="12">
        <f t="shared" si="4"/>
        <v>-1.853757366</v>
      </c>
    </row>
    <row r="47">
      <c r="A47" s="15">
        <f t="shared" si="3"/>
        <v>46</v>
      </c>
      <c r="B47" s="15" t="s">
        <v>18</v>
      </c>
      <c r="C47" s="15" t="s">
        <v>19</v>
      </c>
      <c r="D47" s="15">
        <v>27.0</v>
      </c>
      <c r="E47" s="15" t="s">
        <v>1835</v>
      </c>
      <c r="F47" s="15"/>
      <c r="G47" s="15"/>
      <c r="H47" s="110"/>
      <c r="I47" s="15" t="s">
        <v>1479</v>
      </c>
      <c r="J47" s="15" t="s">
        <v>1474</v>
      </c>
      <c r="K47" s="15">
        <v>0.0</v>
      </c>
      <c r="L47" s="15" t="s">
        <v>101</v>
      </c>
      <c r="M47" s="15" t="s">
        <v>22</v>
      </c>
      <c r="N47" s="15" t="s">
        <v>225</v>
      </c>
      <c r="O47" s="15" t="s">
        <v>24</v>
      </c>
      <c r="P47" s="16">
        <v>0.5</v>
      </c>
      <c r="Q47" s="16">
        <v>0.25</v>
      </c>
      <c r="R47" s="16">
        <v>0.11</v>
      </c>
      <c r="S47" s="17">
        <v>45542.0</v>
      </c>
      <c r="T47" s="18">
        <v>1.9</v>
      </c>
      <c r="U47" s="15" t="s">
        <v>33</v>
      </c>
      <c r="V47" s="19">
        <f t="shared" si="1"/>
        <v>0.099</v>
      </c>
      <c r="W47" s="19">
        <f t="shared" si="4"/>
        <v>-1.754757366</v>
      </c>
    </row>
    <row r="48">
      <c r="A48" s="8">
        <f t="shared" si="3"/>
        <v>47</v>
      </c>
      <c r="B48" s="8" t="s">
        <v>26</v>
      </c>
      <c r="C48" s="8" t="s">
        <v>19</v>
      </c>
      <c r="D48" s="8">
        <v>35.0</v>
      </c>
      <c r="E48" s="8" t="s">
        <v>1836</v>
      </c>
      <c r="F48" s="8">
        <v>9.0</v>
      </c>
      <c r="G48" s="8">
        <v>3.0</v>
      </c>
      <c r="H48" s="111">
        <f>1/(9*2)</f>
        <v>0.05555555556</v>
      </c>
      <c r="I48" s="8" t="s">
        <v>1479</v>
      </c>
      <c r="J48" s="8" t="s">
        <v>1474</v>
      </c>
      <c r="K48" s="8">
        <v>2.0</v>
      </c>
      <c r="L48" s="8" t="s">
        <v>583</v>
      </c>
      <c r="M48" s="8" t="s">
        <v>22</v>
      </c>
      <c r="N48" s="8" t="s">
        <v>225</v>
      </c>
      <c r="O48" s="8" t="s">
        <v>24</v>
      </c>
      <c r="P48" s="9">
        <v>0.5</v>
      </c>
      <c r="Q48" s="9">
        <v>0.25</v>
      </c>
      <c r="R48" s="9">
        <v>0.25</v>
      </c>
      <c r="S48" s="10">
        <v>45542.0</v>
      </c>
      <c r="T48" s="11">
        <v>1.95</v>
      </c>
      <c r="U48" s="8" t="s">
        <v>33</v>
      </c>
      <c r="V48" s="12">
        <f t="shared" si="1"/>
        <v>0.2375</v>
      </c>
      <c r="W48" s="12">
        <f t="shared" si="4"/>
        <v>-1.517257366</v>
      </c>
    </row>
    <row r="49">
      <c r="A49" s="15">
        <f t="shared" si="3"/>
        <v>48</v>
      </c>
      <c r="B49" s="15" t="s">
        <v>26</v>
      </c>
      <c r="C49" s="15" t="s">
        <v>19</v>
      </c>
      <c r="D49" s="15">
        <v>83.0</v>
      </c>
      <c r="E49" s="95" t="s">
        <v>1837</v>
      </c>
      <c r="F49" s="15">
        <v>6.0</v>
      </c>
      <c r="G49" s="15">
        <v>5.0</v>
      </c>
      <c r="H49" s="110">
        <f>19/(13*2)</f>
        <v>0.7307692308</v>
      </c>
      <c r="I49" s="15" t="s">
        <v>1479</v>
      </c>
      <c r="J49" s="15" t="s">
        <v>1480</v>
      </c>
      <c r="K49" s="15">
        <v>0.0</v>
      </c>
      <c r="L49" s="15" t="s">
        <v>463</v>
      </c>
      <c r="M49" s="15" t="s">
        <v>22</v>
      </c>
      <c r="N49" s="15" t="s">
        <v>892</v>
      </c>
      <c r="O49" s="15" t="s">
        <v>24</v>
      </c>
      <c r="P49" s="16">
        <v>0.0</v>
      </c>
      <c r="Q49" s="16">
        <v>0.5</v>
      </c>
      <c r="R49" s="16">
        <v>0.5</v>
      </c>
      <c r="S49" s="17">
        <v>45542.0</v>
      </c>
      <c r="T49" s="18">
        <v>1.7</v>
      </c>
      <c r="U49" s="15" t="s">
        <v>33</v>
      </c>
      <c r="V49" s="19">
        <f t="shared" si="1"/>
        <v>0.35</v>
      </c>
      <c r="W49" s="19">
        <f t="shared" si="4"/>
        <v>-1.167257366</v>
      </c>
    </row>
    <row r="50">
      <c r="A50" s="8">
        <f t="shared" si="3"/>
        <v>49</v>
      </c>
      <c r="B50" s="8" t="s">
        <v>26</v>
      </c>
      <c r="C50" s="8" t="s">
        <v>19</v>
      </c>
      <c r="D50" s="8">
        <v>50.0</v>
      </c>
      <c r="E50" s="8" t="s">
        <v>1838</v>
      </c>
      <c r="F50" s="8">
        <v>9.0</v>
      </c>
      <c r="G50" s="8">
        <v>3.0</v>
      </c>
      <c r="H50" s="111">
        <f>1/(9*2)</f>
        <v>0.05555555556</v>
      </c>
      <c r="I50" s="8" t="s">
        <v>1473</v>
      </c>
      <c r="J50" s="8" t="s">
        <v>1474</v>
      </c>
      <c r="K50" s="8"/>
      <c r="L50" s="8" t="s">
        <v>583</v>
      </c>
      <c r="M50" s="8" t="s">
        <v>22</v>
      </c>
      <c r="N50" s="8" t="s">
        <v>225</v>
      </c>
      <c r="O50" s="8" t="s">
        <v>24</v>
      </c>
      <c r="P50" s="9">
        <v>2.0</v>
      </c>
      <c r="Q50" s="9">
        <v>0.25</v>
      </c>
      <c r="R50" s="9">
        <v>0.25</v>
      </c>
      <c r="S50" s="10">
        <v>45542.0</v>
      </c>
      <c r="T50" s="11">
        <v>2.0</v>
      </c>
      <c r="U50" s="8" t="s">
        <v>25</v>
      </c>
      <c r="V50" s="12">
        <f t="shared" si="1"/>
        <v>-0.25</v>
      </c>
      <c r="W50" s="12">
        <f t="shared" si="4"/>
        <v>-1.417257366</v>
      </c>
    </row>
    <row r="51">
      <c r="A51" s="15">
        <f t="shared" si="3"/>
        <v>50</v>
      </c>
      <c r="B51" s="15" t="s">
        <v>26</v>
      </c>
      <c r="C51" s="15" t="s">
        <v>19</v>
      </c>
      <c r="D51" s="15">
        <v>65.0</v>
      </c>
      <c r="E51" s="15" t="s">
        <v>1839</v>
      </c>
      <c r="F51" s="15">
        <v>2.0</v>
      </c>
      <c r="G51" s="15">
        <v>1.0</v>
      </c>
      <c r="H51" s="110">
        <f t="shared" ref="H51:H52" si="5">6/(17*2)</f>
        <v>0.1764705882</v>
      </c>
      <c r="I51" s="15" t="s">
        <v>1473</v>
      </c>
      <c r="J51" s="15" t="s">
        <v>1480</v>
      </c>
      <c r="K51" s="15">
        <v>-1.0</v>
      </c>
      <c r="L51" s="15" t="s">
        <v>432</v>
      </c>
      <c r="M51" s="15" t="s">
        <v>22</v>
      </c>
      <c r="N51" s="15" t="s">
        <v>892</v>
      </c>
      <c r="O51" s="15" t="s">
        <v>24</v>
      </c>
      <c r="P51" s="16">
        <v>0.0</v>
      </c>
      <c r="Q51" s="16">
        <v>0.75</v>
      </c>
      <c r="R51" s="16">
        <v>0.75</v>
      </c>
      <c r="S51" s="17">
        <v>45542.0</v>
      </c>
      <c r="T51" s="18">
        <v>2.0</v>
      </c>
      <c r="U51" s="15" t="s">
        <v>33</v>
      </c>
      <c r="V51" s="19">
        <f t="shared" si="1"/>
        <v>0.75</v>
      </c>
      <c r="W51" s="19">
        <f t="shared" si="4"/>
        <v>-0.667257366</v>
      </c>
      <c r="X51" s="40"/>
      <c r="Y51" s="41" t="s">
        <v>125</v>
      </c>
      <c r="Z51" s="41" t="s">
        <v>126</v>
      </c>
      <c r="AA51" s="41" t="s">
        <v>45</v>
      </c>
    </row>
    <row r="52">
      <c r="A52" s="8">
        <f t="shared" si="3"/>
        <v>51</v>
      </c>
      <c r="B52" s="8" t="s">
        <v>26</v>
      </c>
      <c r="C52" s="8" t="s">
        <v>19</v>
      </c>
      <c r="D52" s="8">
        <v>82.0</v>
      </c>
      <c r="E52" s="8" t="s">
        <v>1840</v>
      </c>
      <c r="F52" s="8">
        <v>2.0</v>
      </c>
      <c r="G52" s="8">
        <v>1.0</v>
      </c>
      <c r="H52" s="111">
        <f t="shared" si="5"/>
        <v>0.1764705882</v>
      </c>
      <c r="I52" s="8" t="s">
        <v>1479</v>
      </c>
      <c r="J52" s="8" t="s">
        <v>1477</v>
      </c>
      <c r="K52" s="8">
        <v>0.0</v>
      </c>
      <c r="L52" s="8" t="s">
        <v>432</v>
      </c>
      <c r="M52" s="8" t="s">
        <v>22</v>
      </c>
      <c r="N52" s="8" t="s">
        <v>894</v>
      </c>
      <c r="O52" s="8" t="s">
        <v>24</v>
      </c>
      <c r="P52" s="9">
        <v>-0.75</v>
      </c>
      <c r="Q52" s="9">
        <v>0.15</v>
      </c>
      <c r="R52" s="9">
        <v>0.15</v>
      </c>
      <c r="S52" s="10">
        <v>45542.0</v>
      </c>
      <c r="T52" s="11">
        <v>5.2</v>
      </c>
      <c r="U52" s="8" t="s">
        <v>25</v>
      </c>
      <c r="V52" s="12">
        <f t="shared" si="1"/>
        <v>-0.15</v>
      </c>
      <c r="W52" s="12">
        <f t="shared" si="4"/>
        <v>-0.817257366</v>
      </c>
      <c r="X52" s="41" t="s">
        <v>18</v>
      </c>
      <c r="Y52" s="45">
        <f t="shared" ref="Y52:Y58" si="6">SUMIF($B$2:$B$2984,X52,$V$2:$V$2984)</f>
        <v>-0.981265</v>
      </c>
      <c r="Z52" s="45">
        <f t="shared" ref="Z52:Z58" si="7">SUMIF($B$2:$B$2984,X52,$R$2:$R$2984)</f>
        <v>16.9688</v>
      </c>
      <c r="AA52" s="46">
        <f t="shared" ref="AA52:AA58" si="8">Y52/Z52</f>
        <v>-0.05782760124</v>
      </c>
    </row>
    <row r="53">
      <c r="A53" s="15">
        <f t="shared" si="3"/>
        <v>52</v>
      </c>
      <c r="B53" s="15" t="s">
        <v>18</v>
      </c>
      <c r="C53" s="42" t="s">
        <v>19</v>
      </c>
      <c r="D53" s="42">
        <v>39.0</v>
      </c>
      <c r="E53" s="42" t="s">
        <v>1841</v>
      </c>
      <c r="F53" s="15">
        <v>9.0</v>
      </c>
      <c r="G53" s="15">
        <v>5.0</v>
      </c>
      <c r="H53" s="110">
        <f>2/(13*2)</f>
        <v>0.07692307692</v>
      </c>
      <c r="I53" s="42" t="s">
        <v>1479</v>
      </c>
      <c r="J53" s="42" t="s">
        <v>1477</v>
      </c>
      <c r="K53" s="42">
        <v>-1.0</v>
      </c>
      <c r="L53" s="15" t="s">
        <v>50</v>
      </c>
      <c r="M53" s="15" t="s">
        <v>22</v>
      </c>
      <c r="N53" s="15" t="s">
        <v>894</v>
      </c>
      <c r="O53" s="15" t="s">
        <v>24</v>
      </c>
      <c r="P53" s="43">
        <v>-0.25</v>
      </c>
      <c r="Q53" s="43">
        <v>0.5</v>
      </c>
      <c r="R53" s="43">
        <v>0.5</v>
      </c>
      <c r="S53" s="17">
        <v>45542.0</v>
      </c>
      <c r="T53" s="44">
        <v>1.9</v>
      </c>
      <c r="U53" s="15" t="s">
        <v>25</v>
      </c>
      <c r="V53" s="19">
        <f t="shared" si="1"/>
        <v>-0.5</v>
      </c>
      <c r="W53" s="19">
        <f t="shared" si="4"/>
        <v>-1.317257366</v>
      </c>
      <c r="X53" s="41" t="s">
        <v>129</v>
      </c>
      <c r="Y53" s="45">
        <f t="shared" si="6"/>
        <v>-2.206679787</v>
      </c>
      <c r="Z53" s="45">
        <f t="shared" si="7"/>
        <v>9.775485106</v>
      </c>
      <c r="AA53" s="46">
        <f t="shared" si="8"/>
        <v>-0.2257360901</v>
      </c>
    </row>
    <row r="54">
      <c r="A54" s="8">
        <f t="shared" si="3"/>
        <v>53</v>
      </c>
      <c r="B54" s="8" t="s">
        <v>129</v>
      </c>
      <c r="C54" s="8" t="s">
        <v>19</v>
      </c>
      <c r="D54" s="8">
        <v>24.0</v>
      </c>
      <c r="E54" s="47" t="s">
        <v>1842</v>
      </c>
      <c r="F54" s="8">
        <v>14.0</v>
      </c>
      <c r="G54" s="8">
        <v>10.0</v>
      </c>
      <c r="H54" s="111">
        <f>3/(13*2)</f>
        <v>0.1153846154</v>
      </c>
      <c r="I54" s="8" t="s">
        <v>1473</v>
      </c>
      <c r="J54" s="8" t="s">
        <v>1480</v>
      </c>
      <c r="K54" s="8">
        <v>-1.0</v>
      </c>
      <c r="L54" s="8" t="s">
        <v>703</v>
      </c>
      <c r="M54" s="8" t="s">
        <v>22</v>
      </c>
      <c r="N54" s="8" t="s">
        <v>892</v>
      </c>
      <c r="O54" s="8" t="s">
        <v>24</v>
      </c>
      <c r="P54" s="26">
        <v>0.0</v>
      </c>
      <c r="Q54" s="26">
        <v>0.25</v>
      </c>
      <c r="R54" s="26">
        <v>0.22</v>
      </c>
      <c r="S54" s="10">
        <v>45542.0</v>
      </c>
      <c r="T54" s="11">
        <v>1.825</v>
      </c>
      <c r="U54" s="8" t="s">
        <v>33</v>
      </c>
      <c r="V54" s="12">
        <f t="shared" si="1"/>
        <v>0.1815</v>
      </c>
      <c r="W54" s="12">
        <f t="shared" si="4"/>
        <v>-1.135757366</v>
      </c>
      <c r="X54" s="41" t="s">
        <v>131</v>
      </c>
      <c r="Y54" s="45">
        <f t="shared" si="6"/>
        <v>0.163075</v>
      </c>
      <c r="Z54" s="45">
        <f t="shared" si="7"/>
        <v>3.0839</v>
      </c>
      <c r="AA54" s="46">
        <f t="shared" si="8"/>
        <v>0.0528794708</v>
      </c>
    </row>
    <row r="55">
      <c r="A55" s="15">
        <f t="shared" si="3"/>
        <v>54</v>
      </c>
      <c r="B55" s="15" t="s">
        <v>26</v>
      </c>
      <c r="C55" s="15" t="s">
        <v>19</v>
      </c>
      <c r="D55" s="15">
        <v>85.0</v>
      </c>
      <c r="E55" s="42" t="s">
        <v>1843</v>
      </c>
      <c r="F55" s="15">
        <v>15.0</v>
      </c>
      <c r="G55" s="15">
        <v>9.0</v>
      </c>
      <c r="H55" s="110">
        <f>3/(15*2)</f>
        <v>0.1</v>
      </c>
      <c r="I55" s="15" t="s">
        <v>1479</v>
      </c>
      <c r="J55" s="15" t="s">
        <v>1480</v>
      </c>
      <c r="K55" s="15">
        <v>-1.0</v>
      </c>
      <c r="L55" s="15" t="s">
        <v>50</v>
      </c>
      <c r="M55" s="15" t="s">
        <v>22</v>
      </c>
      <c r="N55" s="15" t="s">
        <v>892</v>
      </c>
      <c r="O55" s="15" t="s">
        <v>24</v>
      </c>
      <c r="P55" s="16">
        <v>0.0</v>
      </c>
      <c r="Q55" s="16">
        <v>0.25</v>
      </c>
      <c r="R55" s="16">
        <v>0.25</v>
      </c>
      <c r="S55" s="55">
        <v>45542.0</v>
      </c>
      <c r="T55" s="18">
        <v>1.8</v>
      </c>
      <c r="U55" s="15" t="s">
        <v>70</v>
      </c>
      <c r="V55" s="19">
        <f t="shared" si="1"/>
        <v>0</v>
      </c>
      <c r="W55" s="19">
        <f t="shared" si="4"/>
        <v>-1.135757366</v>
      </c>
      <c r="X55" s="41" t="s">
        <v>26</v>
      </c>
      <c r="Y55" s="45">
        <f t="shared" si="6"/>
        <v>1.287526616</v>
      </c>
      <c r="Z55" s="45">
        <f t="shared" si="7"/>
        <v>46.91274823</v>
      </c>
      <c r="AA55" s="46">
        <f t="shared" si="8"/>
        <v>0.02744513302</v>
      </c>
    </row>
    <row r="56">
      <c r="A56" s="8">
        <f t="shared" si="3"/>
        <v>55</v>
      </c>
      <c r="B56" s="8" t="s">
        <v>18</v>
      </c>
      <c r="C56" s="8" t="s">
        <v>19</v>
      </c>
      <c r="D56" s="8"/>
      <c r="E56" s="8" t="s">
        <v>1844</v>
      </c>
      <c r="F56" s="8">
        <v>11.0</v>
      </c>
      <c r="G56" s="8">
        <v>10.0</v>
      </c>
      <c r="H56" s="111"/>
      <c r="I56" s="8" t="s">
        <v>1473</v>
      </c>
      <c r="J56" s="8" t="s">
        <v>1480</v>
      </c>
      <c r="K56" s="8">
        <v>-1.0</v>
      </c>
      <c r="L56" s="8" t="s">
        <v>93</v>
      </c>
      <c r="M56" s="8" t="s">
        <v>22</v>
      </c>
      <c r="N56" s="8" t="s">
        <v>892</v>
      </c>
      <c r="O56" s="8" t="s">
        <v>24</v>
      </c>
      <c r="P56" s="9">
        <v>0.0</v>
      </c>
      <c r="Q56" s="9">
        <v>0.5</v>
      </c>
      <c r="R56" s="9">
        <v>0.5</v>
      </c>
      <c r="S56" s="54">
        <v>45542.0</v>
      </c>
      <c r="T56" s="11">
        <v>1.7</v>
      </c>
      <c r="U56" s="8" t="s">
        <v>70</v>
      </c>
      <c r="V56" s="12">
        <f t="shared" si="1"/>
        <v>0</v>
      </c>
      <c r="W56" s="12">
        <f t="shared" si="4"/>
        <v>-1.135757366</v>
      </c>
      <c r="X56" s="41" t="s">
        <v>35</v>
      </c>
      <c r="Y56" s="45">
        <f t="shared" si="6"/>
        <v>-1.360796068</v>
      </c>
      <c r="Z56" s="45">
        <f t="shared" si="7"/>
        <v>18.43594161</v>
      </c>
      <c r="AA56" s="46">
        <f t="shared" si="8"/>
        <v>-0.07381212724</v>
      </c>
    </row>
    <row r="57">
      <c r="A57" s="15">
        <f t="shared" si="3"/>
        <v>56</v>
      </c>
      <c r="B57" s="15" t="s">
        <v>137</v>
      </c>
      <c r="C57" s="15" t="s">
        <v>19</v>
      </c>
      <c r="D57" s="15">
        <v>30.0</v>
      </c>
      <c r="E57" s="15" t="s">
        <v>1845</v>
      </c>
      <c r="F57" s="15">
        <v>2.0</v>
      </c>
      <c r="G57" s="15">
        <v>1.0</v>
      </c>
      <c r="H57" s="110">
        <f t="shared" ref="H57:H58" si="9">2/(11*2)</f>
        <v>0.09090909091</v>
      </c>
      <c r="I57" s="15" t="s">
        <v>1473</v>
      </c>
      <c r="J57" s="15" t="s">
        <v>1480</v>
      </c>
      <c r="K57" s="15">
        <v>-1.0</v>
      </c>
      <c r="L57" s="15" t="s">
        <v>60</v>
      </c>
      <c r="M57" s="15" t="s">
        <v>22</v>
      </c>
      <c r="N57" s="15" t="s">
        <v>892</v>
      </c>
      <c r="O57" s="15" t="s">
        <v>24</v>
      </c>
      <c r="P57" s="16">
        <v>0.0</v>
      </c>
      <c r="Q57" s="16">
        <v>1.0</v>
      </c>
      <c r="R57" s="16">
        <v>1.0</v>
      </c>
      <c r="S57" s="55">
        <v>45542.0</v>
      </c>
      <c r="T57" s="18">
        <v>1.775</v>
      </c>
      <c r="U57" s="15" t="s">
        <v>33</v>
      </c>
      <c r="V57" s="19">
        <f t="shared" si="1"/>
        <v>0.775</v>
      </c>
      <c r="W57" s="19">
        <f t="shared" si="4"/>
        <v>-0.360757366</v>
      </c>
      <c r="X57" s="41" t="s">
        <v>135</v>
      </c>
      <c r="Y57" s="45">
        <f t="shared" si="6"/>
        <v>0.771595</v>
      </c>
      <c r="Z57" s="45">
        <f t="shared" si="7"/>
        <v>10.3244</v>
      </c>
      <c r="AA57" s="46">
        <f t="shared" si="8"/>
        <v>0.07473509356</v>
      </c>
    </row>
    <row r="58">
      <c r="A58" s="8">
        <f t="shared" si="3"/>
        <v>57</v>
      </c>
      <c r="B58" s="8" t="s">
        <v>137</v>
      </c>
      <c r="C58" s="8" t="s">
        <v>19</v>
      </c>
      <c r="D58" s="8">
        <v>76.0</v>
      </c>
      <c r="E58" s="8" t="s">
        <v>1846</v>
      </c>
      <c r="F58" s="8">
        <v>2.0</v>
      </c>
      <c r="G58" s="8">
        <v>1.0</v>
      </c>
      <c r="H58" s="111">
        <f t="shared" si="9"/>
        <v>0.09090909091</v>
      </c>
      <c r="I58" s="8" t="s">
        <v>1479</v>
      </c>
      <c r="J58" s="8"/>
      <c r="K58" s="8">
        <v>0.0</v>
      </c>
      <c r="L58" s="8" t="s">
        <v>60</v>
      </c>
      <c r="M58" s="8" t="s">
        <v>22</v>
      </c>
      <c r="N58" s="8" t="s">
        <v>1847</v>
      </c>
      <c r="O58" s="8" t="s">
        <v>24</v>
      </c>
      <c r="P58" s="9">
        <v>-0.5</v>
      </c>
      <c r="Q58" s="9">
        <v>0.1</v>
      </c>
      <c r="R58" s="9">
        <v>0.1</v>
      </c>
      <c r="S58" s="54">
        <v>45542.0</v>
      </c>
      <c r="T58" s="11">
        <v>4.33</v>
      </c>
      <c r="U58" s="8" t="s">
        <v>25</v>
      </c>
      <c r="V58" s="12">
        <f t="shared" si="1"/>
        <v>-0.1</v>
      </c>
      <c r="W58" s="12">
        <f t="shared" si="4"/>
        <v>-0.460757366</v>
      </c>
      <c r="X58" s="41" t="s">
        <v>137</v>
      </c>
      <c r="Y58" s="45">
        <f t="shared" si="6"/>
        <v>1.2065535</v>
      </c>
      <c r="Z58" s="45">
        <f t="shared" si="7"/>
        <v>10.6377</v>
      </c>
      <c r="AA58" s="46">
        <f t="shared" si="8"/>
        <v>0.1134224033</v>
      </c>
    </row>
    <row r="59">
      <c r="A59" s="15">
        <f t="shared" si="3"/>
        <v>58</v>
      </c>
      <c r="B59" s="15" t="s">
        <v>26</v>
      </c>
      <c r="C59" s="15" t="s">
        <v>19</v>
      </c>
      <c r="D59" s="15"/>
      <c r="E59" s="42" t="s">
        <v>1848</v>
      </c>
      <c r="F59" s="15">
        <v>9.0</v>
      </c>
      <c r="G59" s="15">
        <v>10.0</v>
      </c>
      <c r="H59" s="110"/>
      <c r="I59" s="15" t="s">
        <v>1473</v>
      </c>
      <c r="J59" s="15" t="s">
        <v>1480</v>
      </c>
      <c r="K59" s="15">
        <v>0.0</v>
      </c>
      <c r="L59" s="15" t="s">
        <v>93</v>
      </c>
      <c r="M59" s="15" t="s">
        <v>22</v>
      </c>
      <c r="N59" s="15" t="s">
        <v>892</v>
      </c>
      <c r="O59" s="15" t="s">
        <v>24</v>
      </c>
      <c r="P59" s="16">
        <v>0.0</v>
      </c>
      <c r="Q59" s="16">
        <v>0.25</v>
      </c>
      <c r="R59" s="16">
        <v>0.22</v>
      </c>
      <c r="S59" s="17">
        <v>45543.0</v>
      </c>
      <c r="T59" s="18">
        <v>1.725</v>
      </c>
      <c r="U59" s="15" t="s">
        <v>70</v>
      </c>
      <c r="V59" s="19">
        <f t="shared" si="1"/>
        <v>0</v>
      </c>
      <c r="W59" s="49">
        <f t="shared" si="4"/>
        <v>-0.460757366</v>
      </c>
    </row>
    <row r="60">
      <c r="A60" s="8">
        <f t="shared" si="3"/>
        <v>59</v>
      </c>
      <c r="B60" s="8" t="s">
        <v>129</v>
      </c>
      <c r="C60" s="8" t="s">
        <v>19</v>
      </c>
      <c r="D60" s="8"/>
      <c r="E60" s="47" t="s">
        <v>1849</v>
      </c>
      <c r="F60" s="8">
        <v>14.0</v>
      </c>
      <c r="G60" s="8">
        <v>5.0</v>
      </c>
      <c r="H60" s="111">
        <f>2/(15*2)</f>
        <v>0.06666666667</v>
      </c>
      <c r="I60" s="8" t="s">
        <v>1479</v>
      </c>
      <c r="J60" s="8" t="s">
        <v>1480</v>
      </c>
      <c r="K60" s="8">
        <v>0.0</v>
      </c>
      <c r="L60" s="8" t="s">
        <v>93</v>
      </c>
      <c r="M60" s="8" t="s">
        <v>22</v>
      </c>
      <c r="N60" s="8" t="s">
        <v>892</v>
      </c>
      <c r="O60" s="8" t="s">
        <v>24</v>
      </c>
      <c r="P60" s="9">
        <v>0.0</v>
      </c>
      <c r="Q60" s="9">
        <v>0.75</v>
      </c>
      <c r="R60" s="9">
        <v>0.6441</v>
      </c>
      <c r="S60" s="10">
        <v>45543.0</v>
      </c>
      <c r="T60" s="11">
        <v>1.75</v>
      </c>
      <c r="U60" s="8" t="s">
        <v>70</v>
      </c>
      <c r="V60" s="12">
        <f t="shared" si="1"/>
        <v>0</v>
      </c>
      <c r="W60" s="48">
        <f t="shared" si="4"/>
        <v>-0.460757366</v>
      </c>
      <c r="X60" s="100" t="s">
        <v>0</v>
      </c>
      <c r="Y60" s="101" t="s">
        <v>960</v>
      </c>
      <c r="Z60" s="102"/>
      <c r="AA60" s="103"/>
    </row>
    <row r="61">
      <c r="A61" s="15">
        <f t="shared" si="3"/>
        <v>60</v>
      </c>
      <c r="B61" s="15" t="s">
        <v>18</v>
      </c>
      <c r="C61" s="15" t="s">
        <v>40</v>
      </c>
      <c r="D61" s="15">
        <v>54.0</v>
      </c>
      <c r="E61" s="42" t="s">
        <v>1850</v>
      </c>
      <c r="F61" s="15"/>
      <c r="G61" s="15"/>
      <c r="H61" s="110"/>
      <c r="I61" s="15" t="s">
        <v>1479</v>
      </c>
      <c r="J61" s="15" t="s">
        <v>1480</v>
      </c>
      <c r="K61" s="15">
        <v>-1.0</v>
      </c>
      <c r="L61" s="15" t="s">
        <v>93</v>
      </c>
      <c r="M61" s="15" t="s">
        <v>22</v>
      </c>
      <c r="N61" s="15" t="s">
        <v>892</v>
      </c>
      <c r="O61" s="15" t="s">
        <v>1851</v>
      </c>
      <c r="P61" s="16">
        <v>0.0</v>
      </c>
      <c r="Q61" s="16">
        <v>0.25</v>
      </c>
      <c r="R61" s="16">
        <v>0.2119</v>
      </c>
      <c r="S61" s="17">
        <v>45543.0</v>
      </c>
      <c r="T61" s="18">
        <v>1.85</v>
      </c>
      <c r="U61" s="15" t="s">
        <v>70</v>
      </c>
      <c r="V61" s="19">
        <f t="shared" si="1"/>
        <v>0</v>
      </c>
      <c r="W61" s="49">
        <f t="shared" si="4"/>
        <v>-0.460757366</v>
      </c>
      <c r="X61" s="41">
        <v>1.0</v>
      </c>
      <c r="Y61" s="104" t="s">
        <v>962</v>
      </c>
      <c r="Z61" s="102"/>
      <c r="AA61" s="103"/>
    </row>
    <row r="62">
      <c r="A62" s="8">
        <f t="shared" si="3"/>
        <v>61</v>
      </c>
      <c r="B62" s="8" t="s">
        <v>129</v>
      </c>
      <c r="C62" s="8" t="s">
        <v>19</v>
      </c>
      <c r="D62" s="8"/>
      <c r="E62" s="47" t="s">
        <v>1852</v>
      </c>
      <c r="F62" s="8">
        <v>12.0</v>
      </c>
      <c r="G62" s="8">
        <v>5.0</v>
      </c>
      <c r="H62" s="111">
        <f>2/(15*2)</f>
        <v>0.06666666667</v>
      </c>
      <c r="I62" s="8" t="s">
        <v>1473</v>
      </c>
      <c r="J62" s="8" t="s">
        <v>1480</v>
      </c>
      <c r="K62" s="8">
        <v>0.0</v>
      </c>
      <c r="L62" s="8" t="s">
        <v>93</v>
      </c>
      <c r="M62" s="8" t="s">
        <v>22</v>
      </c>
      <c r="N62" s="8" t="s">
        <v>892</v>
      </c>
      <c r="O62" s="8" t="s">
        <v>24</v>
      </c>
      <c r="P62" s="26">
        <v>0.0</v>
      </c>
      <c r="Q62" s="9">
        <v>0.35</v>
      </c>
      <c r="R62" s="9">
        <v>0.3017</v>
      </c>
      <c r="S62" s="10">
        <v>45543.0</v>
      </c>
      <c r="T62" s="11">
        <v>2.325</v>
      </c>
      <c r="U62" s="8" t="s">
        <v>70</v>
      </c>
      <c r="V62" s="12">
        <f t="shared" si="1"/>
        <v>0</v>
      </c>
      <c r="W62" s="48">
        <f t="shared" si="4"/>
        <v>-0.460757366</v>
      </c>
      <c r="X62" s="41">
        <v>2.0</v>
      </c>
      <c r="Y62" s="104" t="s">
        <v>965</v>
      </c>
      <c r="Z62" s="102"/>
      <c r="AA62" s="103"/>
    </row>
    <row r="63">
      <c r="A63" s="15">
        <f t="shared" si="3"/>
        <v>62</v>
      </c>
      <c r="B63" s="15" t="s">
        <v>26</v>
      </c>
      <c r="C63" s="15" t="s">
        <v>19</v>
      </c>
      <c r="D63" s="15"/>
      <c r="E63" s="42" t="s">
        <v>1853</v>
      </c>
      <c r="F63" s="15">
        <v>2.0</v>
      </c>
      <c r="G63" s="15">
        <v>16.0</v>
      </c>
      <c r="H63" s="110">
        <f>1/(15*2)</f>
        <v>0.03333333333</v>
      </c>
      <c r="I63" s="15" t="s">
        <v>1473</v>
      </c>
      <c r="J63" s="15" t="s">
        <v>1474</v>
      </c>
      <c r="K63" s="15">
        <v>-1.0</v>
      </c>
      <c r="L63" s="15" t="s">
        <v>229</v>
      </c>
      <c r="M63" s="15" t="s">
        <v>22</v>
      </c>
      <c r="N63" s="15" t="s">
        <v>225</v>
      </c>
      <c r="O63" s="15" t="s">
        <v>24</v>
      </c>
      <c r="P63" s="43">
        <v>0.5</v>
      </c>
      <c r="Q63" s="16">
        <v>0.5</v>
      </c>
      <c r="R63" s="16">
        <v>0.4681</v>
      </c>
      <c r="S63" s="17">
        <v>45543.0</v>
      </c>
      <c r="T63" s="18">
        <v>1.825</v>
      </c>
      <c r="U63" s="15" t="s">
        <v>25</v>
      </c>
      <c r="V63" s="19">
        <f t="shared" si="1"/>
        <v>-0.4681</v>
      </c>
      <c r="W63" s="49">
        <f t="shared" si="4"/>
        <v>-0.928857366</v>
      </c>
      <c r="X63" s="41">
        <v>3.0</v>
      </c>
      <c r="Y63" s="104" t="s">
        <v>967</v>
      </c>
      <c r="Z63" s="102"/>
      <c r="AA63" s="103"/>
    </row>
    <row r="64">
      <c r="A64" s="8">
        <f t="shared" si="3"/>
        <v>63</v>
      </c>
      <c r="B64" s="8" t="s">
        <v>26</v>
      </c>
      <c r="C64" s="8" t="s">
        <v>19</v>
      </c>
      <c r="D64" s="8"/>
      <c r="E64" s="47" t="s">
        <v>1854</v>
      </c>
      <c r="F64" s="8">
        <v>2.0</v>
      </c>
      <c r="G64" s="8">
        <v>10.0</v>
      </c>
      <c r="H64" s="111">
        <f>2/(13*2)</f>
        <v>0.07692307692</v>
      </c>
      <c r="I64" s="8" t="s">
        <v>1473</v>
      </c>
      <c r="J64" s="8" t="s">
        <v>1474</v>
      </c>
      <c r="K64" s="8">
        <v>0.0</v>
      </c>
      <c r="L64" s="8" t="s">
        <v>50</v>
      </c>
      <c r="M64" s="8" t="s">
        <v>22</v>
      </c>
      <c r="N64" s="8" t="s">
        <v>225</v>
      </c>
      <c r="O64" s="8" t="s">
        <v>24</v>
      </c>
      <c r="P64" s="26">
        <v>0.75</v>
      </c>
      <c r="Q64" s="9">
        <v>0.25</v>
      </c>
      <c r="R64" s="9">
        <v>0.11</v>
      </c>
      <c r="S64" s="10">
        <v>45543.0</v>
      </c>
      <c r="T64" s="11">
        <v>1.825</v>
      </c>
      <c r="U64" s="8" t="s">
        <v>33</v>
      </c>
      <c r="V64" s="12">
        <f t="shared" si="1"/>
        <v>0.09075</v>
      </c>
      <c r="W64" s="48">
        <f t="shared" si="4"/>
        <v>-0.838107366</v>
      </c>
      <c r="X64" s="41">
        <v>4.0</v>
      </c>
      <c r="Y64" s="104" t="s">
        <v>969</v>
      </c>
      <c r="Z64" s="102"/>
      <c r="AA64" s="103"/>
    </row>
    <row r="65">
      <c r="A65" s="15">
        <f t="shared" si="3"/>
        <v>64</v>
      </c>
      <c r="B65" s="15" t="s">
        <v>35</v>
      </c>
      <c r="C65" s="15" t="s">
        <v>19</v>
      </c>
      <c r="D65" s="15"/>
      <c r="E65" s="42" t="s">
        <v>1855</v>
      </c>
      <c r="F65" s="15"/>
      <c r="G65" s="15"/>
      <c r="H65" s="110"/>
      <c r="I65" s="15" t="s">
        <v>1479</v>
      </c>
      <c r="J65" s="15" t="s">
        <v>1480</v>
      </c>
      <c r="K65" s="15">
        <v>0.0</v>
      </c>
      <c r="L65" s="15" t="s">
        <v>121</v>
      </c>
      <c r="M65" s="15" t="s">
        <v>22</v>
      </c>
      <c r="N65" s="15" t="s">
        <v>892</v>
      </c>
      <c r="O65" s="15" t="s">
        <v>24</v>
      </c>
      <c r="P65" s="43">
        <v>0.0</v>
      </c>
      <c r="Q65" s="16">
        <v>0.5</v>
      </c>
      <c r="R65" s="16">
        <v>0.46</v>
      </c>
      <c r="S65" s="17">
        <v>45543.0</v>
      </c>
      <c r="T65" s="18">
        <v>1.7</v>
      </c>
      <c r="U65" s="15" t="s">
        <v>70</v>
      </c>
      <c r="V65" s="19">
        <f t="shared" si="1"/>
        <v>0</v>
      </c>
      <c r="W65" s="49">
        <f t="shared" si="4"/>
        <v>-0.838107366</v>
      </c>
      <c r="X65" s="41">
        <v>5.0</v>
      </c>
      <c r="Y65" s="104" t="s">
        <v>971</v>
      </c>
      <c r="Z65" s="102"/>
      <c r="AA65" s="103"/>
    </row>
    <row r="66">
      <c r="A66" s="8">
        <f t="shared" si="3"/>
        <v>65</v>
      </c>
      <c r="B66" s="8" t="s">
        <v>35</v>
      </c>
      <c r="C66" s="8" t="s">
        <v>19</v>
      </c>
      <c r="D66" s="8"/>
      <c r="E66" s="47" t="s">
        <v>1856</v>
      </c>
      <c r="F66" s="8"/>
      <c r="G66" s="8"/>
      <c r="H66" s="111"/>
      <c r="I66" s="8" t="s">
        <v>1473</v>
      </c>
      <c r="J66" s="8" t="s">
        <v>1480</v>
      </c>
      <c r="K66" s="8">
        <v>0.0</v>
      </c>
      <c r="L66" s="8" t="s">
        <v>121</v>
      </c>
      <c r="M66" s="8" t="s">
        <v>22</v>
      </c>
      <c r="N66" s="8" t="s">
        <v>892</v>
      </c>
      <c r="O66" s="8" t="s">
        <v>24</v>
      </c>
      <c r="P66" s="9">
        <v>0.0</v>
      </c>
      <c r="Q66" s="9">
        <v>0.41</v>
      </c>
      <c r="R66" s="9">
        <v>0.41</v>
      </c>
      <c r="S66" s="10">
        <v>45543.0</v>
      </c>
      <c r="T66" s="11">
        <v>2.1</v>
      </c>
      <c r="U66" s="8" t="s">
        <v>70</v>
      </c>
      <c r="V66" s="12">
        <f t="shared" si="1"/>
        <v>0</v>
      </c>
      <c r="W66" s="48">
        <f t="shared" si="4"/>
        <v>-0.838107366</v>
      </c>
      <c r="X66" s="41">
        <v>6.0</v>
      </c>
      <c r="Y66" s="104" t="s">
        <v>973</v>
      </c>
      <c r="Z66" s="102"/>
      <c r="AA66" s="103"/>
    </row>
    <row r="67">
      <c r="A67" s="15">
        <f t="shared" si="3"/>
        <v>66</v>
      </c>
      <c r="B67" s="15" t="s">
        <v>18</v>
      </c>
      <c r="C67" s="15" t="s">
        <v>19</v>
      </c>
      <c r="D67" s="15"/>
      <c r="E67" s="42" t="s">
        <v>1857</v>
      </c>
      <c r="F67" s="15"/>
      <c r="G67" s="15"/>
      <c r="H67" s="110"/>
      <c r="I67" s="15" t="s">
        <v>1479</v>
      </c>
      <c r="J67" s="15" t="s">
        <v>1480</v>
      </c>
      <c r="K67" s="15">
        <v>0.0</v>
      </c>
      <c r="L67" s="15" t="s">
        <v>513</v>
      </c>
      <c r="M67" s="15" t="s">
        <v>22</v>
      </c>
      <c r="N67" s="15" t="s">
        <v>892</v>
      </c>
      <c r="O67" s="15" t="s">
        <v>24</v>
      </c>
      <c r="P67" s="16">
        <v>0.0</v>
      </c>
      <c r="Q67" s="16">
        <v>0.5</v>
      </c>
      <c r="R67" s="16">
        <v>0.49</v>
      </c>
      <c r="S67" s="17">
        <v>45543.0</v>
      </c>
      <c r="T67" s="18">
        <v>2.0</v>
      </c>
      <c r="U67" s="15" t="s">
        <v>25</v>
      </c>
      <c r="V67" s="19">
        <f t="shared" si="1"/>
        <v>-0.49</v>
      </c>
      <c r="W67" s="49">
        <f t="shared" si="4"/>
        <v>-1.328107366</v>
      </c>
      <c r="X67" s="41">
        <v>7.0</v>
      </c>
      <c r="Y67" s="104" t="s">
        <v>975</v>
      </c>
      <c r="Z67" s="102"/>
      <c r="AA67" s="103"/>
    </row>
    <row r="68">
      <c r="A68" s="8">
        <f t="shared" si="3"/>
        <v>67</v>
      </c>
      <c r="B68" s="8" t="s">
        <v>129</v>
      </c>
      <c r="C68" s="8" t="s">
        <v>19</v>
      </c>
      <c r="D68" s="8"/>
      <c r="E68" s="47" t="s">
        <v>1858</v>
      </c>
      <c r="F68" s="8">
        <v>4.0</v>
      </c>
      <c r="G68" s="8">
        <v>6.0</v>
      </c>
      <c r="H68" s="111">
        <f>4/(16*2)</f>
        <v>0.125</v>
      </c>
      <c r="I68" s="8" t="s">
        <v>1479</v>
      </c>
      <c r="J68" s="8" t="s">
        <v>1480</v>
      </c>
      <c r="K68" s="8">
        <v>0.0</v>
      </c>
      <c r="L68" s="8" t="s">
        <v>101</v>
      </c>
      <c r="M68" s="8" t="s">
        <v>22</v>
      </c>
      <c r="N68" s="8" t="s">
        <v>892</v>
      </c>
      <c r="O68" s="8" t="s">
        <v>24</v>
      </c>
      <c r="P68" s="9">
        <v>0.0</v>
      </c>
      <c r="Q68" s="9">
        <v>0.75</v>
      </c>
      <c r="R68" s="9">
        <v>0.7</v>
      </c>
      <c r="S68" s="10">
        <v>45543.0</v>
      </c>
      <c r="T68" s="11">
        <v>1.8</v>
      </c>
      <c r="U68" s="8" t="s">
        <v>33</v>
      </c>
      <c r="V68" s="12">
        <f t="shared" si="1"/>
        <v>0.56</v>
      </c>
      <c r="W68" s="48">
        <f t="shared" si="4"/>
        <v>-0.768107366</v>
      </c>
      <c r="X68" s="41">
        <v>8.0</v>
      </c>
      <c r="Y68" s="104" t="s">
        <v>977</v>
      </c>
      <c r="Z68" s="102"/>
      <c r="AA68" s="103"/>
    </row>
    <row r="69">
      <c r="A69" s="15">
        <f t="shared" si="3"/>
        <v>68</v>
      </c>
      <c r="B69" s="15" t="s">
        <v>26</v>
      </c>
      <c r="C69" s="15" t="s">
        <v>19</v>
      </c>
      <c r="D69" s="15"/>
      <c r="E69" s="42" t="s">
        <v>1859</v>
      </c>
      <c r="F69" s="15"/>
      <c r="G69" s="15"/>
      <c r="H69" s="110"/>
      <c r="I69" s="15" t="s">
        <v>1473</v>
      </c>
      <c r="J69" s="15" t="s">
        <v>1480</v>
      </c>
      <c r="K69" s="15">
        <v>-1.0</v>
      </c>
      <c r="L69" s="15" t="s">
        <v>121</v>
      </c>
      <c r="M69" s="15" t="s">
        <v>22</v>
      </c>
      <c r="N69" s="15" t="s">
        <v>892</v>
      </c>
      <c r="O69" s="15" t="s">
        <v>24</v>
      </c>
      <c r="P69" s="24">
        <v>0.0</v>
      </c>
      <c r="Q69" s="16">
        <v>0.25</v>
      </c>
      <c r="R69" s="16">
        <v>0.24</v>
      </c>
      <c r="S69" s="17">
        <v>45543.0</v>
      </c>
      <c r="T69" s="18">
        <v>1.85</v>
      </c>
      <c r="U69" s="15" t="s">
        <v>25</v>
      </c>
      <c r="V69" s="19">
        <f t="shared" si="1"/>
        <v>-0.24</v>
      </c>
      <c r="W69" s="49">
        <f t="shared" si="4"/>
        <v>-1.008107366</v>
      </c>
      <c r="X69" s="41">
        <v>9.0</v>
      </c>
      <c r="Y69" s="104" t="s">
        <v>979</v>
      </c>
      <c r="Z69" s="102"/>
      <c r="AA69" s="103"/>
    </row>
    <row r="70">
      <c r="A70" s="8">
        <f t="shared" si="3"/>
        <v>69</v>
      </c>
      <c r="B70" s="8" t="s">
        <v>129</v>
      </c>
      <c r="C70" s="8" t="s">
        <v>19</v>
      </c>
      <c r="D70" s="8"/>
      <c r="E70" s="47" t="s">
        <v>1860</v>
      </c>
      <c r="F70" s="8">
        <v>8.0</v>
      </c>
      <c r="G70" s="8">
        <v>10.0</v>
      </c>
      <c r="H70" s="111">
        <f>6/(15*2)</f>
        <v>0.2</v>
      </c>
      <c r="I70" s="8" t="s">
        <v>1473</v>
      </c>
      <c r="J70" s="8" t="s">
        <v>1480</v>
      </c>
      <c r="K70" s="8">
        <v>0.0</v>
      </c>
      <c r="L70" s="32" t="s">
        <v>99</v>
      </c>
      <c r="M70" s="8" t="s">
        <v>22</v>
      </c>
      <c r="N70" s="8" t="s">
        <v>892</v>
      </c>
      <c r="O70" s="8" t="s">
        <v>24</v>
      </c>
      <c r="P70" s="33">
        <v>0.0</v>
      </c>
      <c r="Q70" s="9">
        <v>0.5</v>
      </c>
      <c r="R70" s="9">
        <v>0.46</v>
      </c>
      <c r="S70" s="10">
        <v>45543.0</v>
      </c>
      <c r="T70" s="11">
        <v>2.1</v>
      </c>
      <c r="U70" s="8" t="s">
        <v>70</v>
      </c>
      <c r="V70" s="12">
        <f t="shared" si="1"/>
        <v>0</v>
      </c>
      <c r="W70" s="48">
        <f t="shared" si="4"/>
        <v>-1.008107366</v>
      </c>
      <c r="X70" s="41">
        <v>10.0</v>
      </c>
      <c r="Y70" s="104" t="s">
        <v>981</v>
      </c>
      <c r="Z70" s="102"/>
      <c r="AA70" s="103"/>
    </row>
    <row r="71">
      <c r="A71" s="15">
        <f t="shared" si="3"/>
        <v>70</v>
      </c>
      <c r="B71" s="36" t="s">
        <v>26</v>
      </c>
      <c r="C71" s="37" t="s">
        <v>19</v>
      </c>
      <c r="D71" s="37"/>
      <c r="E71" s="42" t="s">
        <v>1861</v>
      </c>
      <c r="F71" s="37"/>
      <c r="G71" s="37"/>
      <c r="H71" s="110"/>
      <c r="I71" s="15" t="s">
        <v>1479</v>
      </c>
      <c r="J71" s="15" t="s">
        <v>1480</v>
      </c>
      <c r="K71" s="15">
        <v>0.0</v>
      </c>
      <c r="L71" s="37" t="s">
        <v>101</v>
      </c>
      <c r="M71" s="37" t="s">
        <v>22</v>
      </c>
      <c r="N71" s="37" t="s">
        <v>892</v>
      </c>
      <c r="O71" s="15" t="s">
        <v>24</v>
      </c>
      <c r="P71" s="24">
        <v>0.0</v>
      </c>
      <c r="Q71" s="24">
        <v>0.5</v>
      </c>
      <c r="R71" s="24">
        <v>0.49</v>
      </c>
      <c r="S71" s="105">
        <v>45543.0</v>
      </c>
      <c r="T71" s="39">
        <v>1.725</v>
      </c>
      <c r="U71" s="15" t="s">
        <v>33</v>
      </c>
      <c r="V71" s="19">
        <f t="shared" si="1"/>
        <v>0.35525</v>
      </c>
      <c r="W71" s="49">
        <f t="shared" si="4"/>
        <v>-0.652857366</v>
      </c>
      <c r="X71" s="41">
        <v>11.0</v>
      </c>
      <c r="Y71" s="104" t="s">
        <v>983</v>
      </c>
      <c r="Z71" s="102"/>
      <c r="AA71" s="103"/>
    </row>
    <row r="72">
      <c r="A72" s="8">
        <f t="shared" si="3"/>
        <v>71</v>
      </c>
      <c r="B72" s="31" t="s">
        <v>129</v>
      </c>
      <c r="C72" s="32" t="s">
        <v>19</v>
      </c>
      <c r="D72" s="32"/>
      <c r="E72" s="47" t="s">
        <v>1862</v>
      </c>
      <c r="F72" s="32">
        <v>8.0</v>
      </c>
      <c r="G72" s="32">
        <v>10.0</v>
      </c>
      <c r="H72" s="111">
        <f>6/(15*2)</f>
        <v>0.2</v>
      </c>
      <c r="I72" s="8" t="s">
        <v>1479</v>
      </c>
      <c r="J72" s="8" t="s">
        <v>1480</v>
      </c>
      <c r="K72" s="8">
        <v>0.0</v>
      </c>
      <c r="L72" s="32" t="s">
        <v>99</v>
      </c>
      <c r="M72" s="32" t="s">
        <v>22</v>
      </c>
      <c r="N72" s="32" t="s">
        <v>892</v>
      </c>
      <c r="O72" s="8" t="s">
        <v>24</v>
      </c>
      <c r="P72" s="33">
        <v>0.0</v>
      </c>
      <c r="Q72" s="33">
        <v>0.25</v>
      </c>
      <c r="R72" s="33">
        <v>0.24</v>
      </c>
      <c r="S72" s="106">
        <v>45543.0</v>
      </c>
      <c r="T72" s="35">
        <v>1.7</v>
      </c>
      <c r="U72" s="8" t="s">
        <v>70</v>
      </c>
      <c r="V72" s="12">
        <f t="shared" si="1"/>
        <v>0</v>
      </c>
      <c r="W72" s="48">
        <f t="shared" si="4"/>
        <v>-0.652857366</v>
      </c>
      <c r="X72" s="41">
        <v>12.0</v>
      </c>
      <c r="Y72" s="104" t="s">
        <v>985</v>
      </c>
      <c r="Z72" s="102"/>
      <c r="AA72" s="103"/>
    </row>
    <row r="73">
      <c r="A73" s="15">
        <f t="shared" si="3"/>
        <v>72</v>
      </c>
      <c r="B73" s="15" t="s">
        <v>26</v>
      </c>
      <c r="C73" s="15" t="s">
        <v>19</v>
      </c>
      <c r="D73" s="15">
        <v>74.0</v>
      </c>
      <c r="E73" s="42" t="s">
        <v>1863</v>
      </c>
      <c r="F73" s="15">
        <v>12.0</v>
      </c>
      <c r="G73" s="15">
        <v>9.0</v>
      </c>
      <c r="H73" s="110"/>
      <c r="I73" s="15" t="s">
        <v>1479</v>
      </c>
      <c r="J73" s="15" t="s">
        <v>1480</v>
      </c>
      <c r="K73" s="15">
        <v>0.0</v>
      </c>
      <c r="L73" s="37" t="s">
        <v>93</v>
      </c>
      <c r="M73" s="37" t="s">
        <v>22</v>
      </c>
      <c r="N73" s="15" t="s">
        <v>892</v>
      </c>
      <c r="O73" s="15" t="s">
        <v>24</v>
      </c>
      <c r="P73" s="16">
        <v>0.0</v>
      </c>
      <c r="Q73" s="16">
        <v>0.5</v>
      </c>
      <c r="R73" s="16">
        <v>0.48</v>
      </c>
      <c r="S73" s="105">
        <v>45543.0</v>
      </c>
      <c r="T73" s="18">
        <v>1.725</v>
      </c>
      <c r="U73" s="15" t="s">
        <v>70</v>
      </c>
      <c r="V73" s="19">
        <f t="shared" si="1"/>
        <v>0</v>
      </c>
      <c r="W73" s="49">
        <f t="shared" si="4"/>
        <v>-0.652857366</v>
      </c>
      <c r="X73" s="41">
        <v>13.0</v>
      </c>
      <c r="Y73" s="104" t="s">
        <v>987</v>
      </c>
      <c r="Z73" s="102"/>
      <c r="AA73" s="103"/>
    </row>
    <row r="74">
      <c r="A74" s="8">
        <f t="shared" si="3"/>
        <v>73</v>
      </c>
      <c r="B74" s="8" t="s">
        <v>18</v>
      </c>
      <c r="C74" s="8" t="s">
        <v>19</v>
      </c>
      <c r="D74" s="8">
        <v>70.0</v>
      </c>
      <c r="E74" s="47" t="s">
        <v>1864</v>
      </c>
      <c r="F74" s="8"/>
      <c r="G74" s="8"/>
      <c r="H74" s="111"/>
      <c r="I74" s="8" t="s">
        <v>1479</v>
      </c>
      <c r="J74" s="8" t="s">
        <v>1480</v>
      </c>
      <c r="K74" s="8">
        <v>0.0</v>
      </c>
      <c r="L74" s="8" t="s">
        <v>93</v>
      </c>
      <c r="M74" s="8" t="s">
        <v>22</v>
      </c>
      <c r="N74" s="8" t="s">
        <v>892</v>
      </c>
      <c r="O74" s="8" t="s">
        <v>24</v>
      </c>
      <c r="P74" s="9">
        <v>0.0</v>
      </c>
      <c r="Q74" s="9">
        <v>0.5</v>
      </c>
      <c r="R74" s="9">
        <v>0.49</v>
      </c>
      <c r="S74" s="10">
        <v>45543.0</v>
      </c>
      <c r="T74" s="11">
        <v>1.85</v>
      </c>
      <c r="U74" s="8" t="s">
        <v>70</v>
      </c>
      <c r="V74" s="12">
        <f t="shared" si="1"/>
        <v>0</v>
      </c>
      <c r="W74" s="48">
        <f t="shared" si="4"/>
        <v>-0.652857366</v>
      </c>
    </row>
    <row r="75">
      <c r="A75" s="15">
        <f t="shared" si="3"/>
        <v>74</v>
      </c>
      <c r="B75" s="15" t="s">
        <v>26</v>
      </c>
      <c r="C75" s="15" t="s">
        <v>19</v>
      </c>
      <c r="D75" s="15">
        <v>60.0</v>
      </c>
      <c r="E75" s="15" t="s">
        <v>1865</v>
      </c>
      <c r="F75" s="15"/>
      <c r="G75" s="15"/>
      <c r="H75" s="110"/>
      <c r="I75" s="15" t="s">
        <v>1473</v>
      </c>
      <c r="J75" s="15" t="s">
        <v>1480</v>
      </c>
      <c r="K75" s="15">
        <v>-1.0</v>
      </c>
      <c r="L75" s="15" t="s">
        <v>78</v>
      </c>
      <c r="M75" s="15" t="s">
        <v>22</v>
      </c>
      <c r="N75" s="15" t="s">
        <v>892</v>
      </c>
      <c r="O75" s="15" t="s">
        <v>24</v>
      </c>
      <c r="P75" s="16">
        <v>0.0</v>
      </c>
      <c r="Q75" s="16">
        <v>0.6</v>
      </c>
      <c r="R75" s="16">
        <v>0.53</v>
      </c>
      <c r="S75" s="17">
        <v>45545.0</v>
      </c>
      <c r="T75" s="18">
        <v>1.75</v>
      </c>
      <c r="U75" s="15" t="s">
        <v>25</v>
      </c>
      <c r="V75" s="19">
        <f t="shared" si="1"/>
        <v>-0.53</v>
      </c>
      <c r="W75" s="49">
        <f t="shared" si="4"/>
        <v>-1.182857366</v>
      </c>
    </row>
    <row r="76">
      <c r="A76" s="8">
        <f t="shared" si="3"/>
        <v>75</v>
      </c>
      <c r="B76" s="8" t="s">
        <v>26</v>
      </c>
      <c r="C76" s="8" t="s">
        <v>19</v>
      </c>
      <c r="D76" s="8">
        <v>68.0</v>
      </c>
      <c r="E76" s="8" t="s">
        <v>1866</v>
      </c>
      <c r="F76" s="8"/>
      <c r="G76" s="8"/>
      <c r="H76" s="111"/>
      <c r="I76" s="8" t="s">
        <v>1479</v>
      </c>
      <c r="J76" s="8" t="s">
        <v>1480</v>
      </c>
      <c r="K76" s="8">
        <v>-1.0</v>
      </c>
      <c r="L76" s="8" t="s">
        <v>908</v>
      </c>
      <c r="M76" s="8" t="s">
        <v>22</v>
      </c>
      <c r="N76" s="8" t="s">
        <v>892</v>
      </c>
      <c r="O76" s="8" t="s">
        <v>24</v>
      </c>
      <c r="P76" s="9">
        <v>0.0</v>
      </c>
      <c r="Q76" s="9">
        <v>0.4</v>
      </c>
      <c r="R76" s="9">
        <v>0.3</v>
      </c>
      <c r="S76" s="10">
        <v>45545.0</v>
      </c>
      <c r="T76" s="11">
        <f>(2.6+2.45)/2</f>
        <v>2.525</v>
      </c>
      <c r="U76" s="8" t="s">
        <v>33</v>
      </c>
      <c r="V76" s="12">
        <f t="shared" si="1"/>
        <v>0.4575</v>
      </c>
      <c r="W76" s="48">
        <f t="shared" si="4"/>
        <v>-0.725357366</v>
      </c>
    </row>
    <row r="77">
      <c r="A77" s="15">
        <f t="shared" si="3"/>
        <v>76</v>
      </c>
      <c r="B77" s="15" t="s">
        <v>26</v>
      </c>
      <c r="C77" s="15" t="s">
        <v>19</v>
      </c>
      <c r="D77" s="15">
        <v>30.0</v>
      </c>
      <c r="E77" s="15" t="s">
        <v>1867</v>
      </c>
      <c r="F77" s="15">
        <v>5.0</v>
      </c>
      <c r="G77" s="15">
        <v>7.0</v>
      </c>
      <c r="H77" s="110">
        <f>3/(13*2)</f>
        <v>0.1153846154</v>
      </c>
      <c r="I77" s="15" t="s">
        <v>1473</v>
      </c>
      <c r="J77" s="15" t="s">
        <v>1474</v>
      </c>
      <c r="K77" s="15">
        <v>0.0</v>
      </c>
      <c r="L77" s="15" t="s">
        <v>448</v>
      </c>
      <c r="M77" s="15" t="s">
        <v>22</v>
      </c>
      <c r="N77" s="15" t="s">
        <v>225</v>
      </c>
      <c r="O77" s="15" t="s">
        <v>24</v>
      </c>
      <c r="P77" s="16">
        <v>0.25</v>
      </c>
      <c r="Q77" s="16">
        <v>0.5</v>
      </c>
      <c r="R77" s="16">
        <v>0.5</v>
      </c>
      <c r="S77" s="17">
        <v>45546.0</v>
      </c>
      <c r="T77" s="18">
        <v>1.8</v>
      </c>
      <c r="U77" s="15" t="s">
        <v>33</v>
      </c>
      <c r="V77" s="19">
        <f t="shared" si="1"/>
        <v>0.4</v>
      </c>
      <c r="W77" s="19">
        <f t="shared" si="4"/>
        <v>-0.325357366</v>
      </c>
    </row>
    <row r="78">
      <c r="A78" s="8">
        <f t="shared" si="3"/>
        <v>77</v>
      </c>
      <c r="B78" s="8" t="s">
        <v>26</v>
      </c>
      <c r="C78" s="8" t="s">
        <v>19</v>
      </c>
      <c r="D78" s="8">
        <v>0.0</v>
      </c>
      <c r="E78" s="8" t="s">
        <v>1868</v>
      </c>
      <c r="F78" s="8"/>
      <c r="G78" s="8"/>
      <c r="H78" s="111"/>
      <c r="I78" s="8" t="s">
        <v>1473</v>
      </c>
      <c r="J78" s="8" t="s">
        <v>1474</v>
      </c>
      <c r="K78" s="8">
        <v>0.0</v>
      </c>
      <c r="L78" s="8" t="s">
        <v>82</v>
      </c>
      <c r="M78" s="8" t="s">
        <v>598</v>
      </c>
      <c r="N78" s="8" t="s">
        <v>225</v>
      </c>
      <c r="O78" s="8" t="s">
        <v>39</v>
      </c>
      <c r="P78" s="9">
        <v>0.5</v>
      </c>
      <c r="Q78" s="9">
        <v>0.1</v>
      </c>
      <c r="R78" s="9">
        <v>0.1</v>
      </c>
      <c r="S78" s="10">
        <v>45546.0</v>
      </c>
      <c r="T78" s="11">
        <v>1.87</v>
      </c>
      <c r="U78" s="8" t="s">
        <v>25</v>
      </c>
      <c r="V78" s="12">
        <f t="shared" si="1"/>
        <v>-0.1</v>
      </c>
      <c r="W78" s="12">
        <f t="shared" si="4"/>
        <v>-0.425357366</v>
      </c>
    </row>
    <row r="79">
      <c r="A79" s="15">
        <f t="shared" si="3"/>
        <v>78</v>
      </c>
      <c r="B79" s="15" t="s">
        <v>26</v>
      </c>
      <c r="C79" s="15" t="s">
        <v>19</v>
      </c>
      <c r="D79" s="15">
        <v>85.0</v>
      </c>
      <c r="E79" s="15" t="s">
        <v>1869</v>
      </c>
      <c r="F79" s="15">
        <v>5.0</v>
      </c>
      <c r="G79" s="15">
        <v>7.0</v>
      </c>
      <c r="H79" s="110">
        <f>3/(13*2)</f>
        <v>0.1153846154</v>
      </c>
      <c r="I79" s="15" t="s">
        <v>1479</v>
      </c>
      <c r="J79" s="15" t="s">
        <v>1474</v>
      </c>
      <c r="K79" s="15">
        <v>-1.0</v>
      </c>
      <c r="L79" s="15" t="s">
        <v>448</v>
      </c>
      <c r="M79" s="15" t="s">
        <v>22</v>
      </c>
      <c r="N79" s="15" t="s">
        <v>941</v>
      </c>
      <c r="O79" s="15" t="s">
        <v>24</v>
      </c>
      <c r="P79" s="16">
        <v>0.0</v>
      </c>
      <c r="Q79" s="16">
        <v>0.02</v>
      </c>
      <c r="R79" s="16">
        <v>0.02</v>
      </c>
      <c r="S79" s="17">
        <v>45546.0</v>
      </c>
      <c r="T79" s="18">
        <v>21.0</v>
      </c>
      <c r="U79" s="15" t="s">
        <v>25</v>
      </c>
      <c r="V79" s="19">
        <f t="shared" si="1"/>
        <v>-0.02</v>
      </c>
      <c r="W79" s="19">
        <f t="shared" si="4"/>
        <v>-0.445357366</v>
      </c>
    </row>
    <row r="80">
      <c r="A80" s="8">
        <f t="shared" si="3"/>
        <v>79</v>
      </c>
      <c r="B80" s="8" t="s">
        <v>35</v>
      </c>
      <c r="C80" s="8" t="s">
        <v>19</v>
      </c>
      <c r="D80" s="8">
        <v>67.0</v>
      </c>
      <c r="E80" s="8" t="s">
        <v>1870</v>
      </c>
      <c r="F80" s="8">
        <v>7.0</v>
      </c>
      <c r="G80" s="8">
        <v>2.0</v>
      </c>
      <c r="H80" s="111">
        <f>6/(17*2)</f>
        <v>0.1764705882</v>
      </c>
      <c r="I80" s="8" t="s">
        <v>1473</v>
      </c>
      <c r="J80" s="8" t="s">
        <v>1480</v>
      </c>
      <c r="K80" s="8">
        <v>0.0</v>
      </c>
      <c r="L80" s="8" t="s">
        <v>101</v>
      </c>
      <c r="M80" s="8" t="s">
        <v>22</v>
      </c>
      <c r="N80" s="8" t="s">
        <v>892</v>
      </c>
      <c r="O80" s="8" t="s">
        <v>24</v>
      </c>
      <c r="P80" s="9">
        <v>0.0</v>
      </c>
      <c r="Q80" s="9">
        <v>0.1</v>
      </c>
      <c r="R80" s="9">
        <v>0.1</v>
      </c>
      <c r="S80" s="10">
        <v>45546.0</v>
      </c>
      <c r="T80" s="11">
        <v>1.725</v>
      </c>
      <c r="U80" s="8" t="s">
        <v>33</v>
      </c>
      <c r="V80" s="12">
        <f t="shared" si="1"/>
        <v>0.0725</v>
      </c>
      <c r="W80" s="12">
        <f t="shared" si="4"/>
        <v>-0.372857366</v>
      </c>
    </row>
    <row r="81">
      <c r="A81" s="15">
        <f t="shared" si="3"/>
        <v>80</v>
      </c>
      <c r="B81" s="15" t="s">
        <v>26</v>
      </c>
      <c r="C81" s="15" t="s">
        <v>19</v>
      </c>
      <c r="D81" s="15">
        <v>24.0</v>
      </c>
      <c r="E81" s="15" t="s">
        <v>1871</v>
      </c>
      <c r="F81" s="15"/>
      <c r="G81" s="15"/>
      <c r="H81" s="110"/>
      <c r="I81" s="15" t="s">
        <v>1479</v>
      </c>
      <c r="J81" s="15" t="s">
        <v>1474</v>
      </c>
      <c r="K81" s="15">
        <v>0.0</v>
      </c>
      <c r="L81" s="15" t="s">
        <v>82</v>
      </c>
      <c r="M81" s="15" t="s">
        <v>22</v>
      </c>
      <c r="N81" s="15" t="s">
        <v>941</v>
      </c>
      <c r="O81" s="15" t="s">
        <v>1522</v>
      </c>
      <c r="P81" s="16">
        <v>0.0</v>
      </c>
      <c r="Q81" s="16">
        <v>0.5</v>
      </c>
      <c r="R81" s="16">
        <v>0.5</v>
      </c>
      <c r="S81" s="17">
        <v>45546.0</v>
      </c>
      <c r="T81" s="18">
        <v>1.725</v>
      </c>
      <c r="U81" s="15" t="s">
        <v>25</v>
      </c>
      <c r="V81" s="19">
        <f t="shared" si="1"/>
        <v>-0.5</v>
      </c>
      <c r="W81" s="19">
        <f t="shared" si="4"/>
        <v>-0.872857366</v>
      </c>
    </row>
    <row r="82">
      <c r="A82" s="8">
        <f t="shared" si="3"/>
        <v>81</v>
      </c>
      <c r="B82" s="8" t="s">
        <v>35</v>
      </c>
      <c r="C82" s="8" t="s">
        <v>40</v>
      </c>
      <c r="D82" s="8"/>
      <c r="E82" s="8" t="s">
        <v>1872</v>
      </c>
      <c r="F82" s="8"/>
      <c r="G82" s="8"/>
      <c r="H82" s="111"/>
      <c r="I82" s="8" t="s">
        <v>1473</v>
      </c>
      <c r="J82" s="8" t="s">
        <v>1480</v>
      </c>
      <c r="K82" s="8">
        <v>0.0</v>
      </c>
      <c r="L82" s="8" t="s">
        <v>93</v>
      </c>
      <c r="M82" s="8" t="s">
        <v>22</v>
      </c>
      <c r="N82" s="8" t="s">
        <v>892</v>
      </c>
      <c r="O82" s="8" t="s">
        <v>24</v>
      </c>
      <c r="P82" s="9">
        <v>0.0</v>
      </c>
      <c r="Q82" s="9">
        <v>0.1</v>
      </c>
      <c r="R82" s="9">
        <v>0.1</v>
      </c>
      <c r="S82" s="10">
        <v>45546.0</v>
      </c>
      <c r="T82" s="11">
        <v>1.875</v>
      </c>
      <c r="U82" s="8" t="s">
        <v>70</v>
      </c>
      <c r="V82" s="12">
        <f t="shared" si="1"/>
        <v>0</v>
      </c>
      <c r="W82" s="12">
        <f t="shared" si="4"/>
        <v>-0.872857366</v>
      </c>
    </row>
    <row r="83">
      <c r="A83" s="15">
        <f t="shared" si="3"/>
        <v>82</v>
      </c>
      <c r="B83" s="15" t="s">
        <v>18</v>
      </c>
      <c r="C83" s="15" t="s">
        <v>40</v>
      </c>
      <c r="D83" s="15"/>
      <c r="E83" s="15" t="s">
        <v>1873</v>
      </c>
      <c r="F83" s="15"/>
      <c r="G83" s="15"/>
      <c r="H83" s="110"/>
      <c r="I83" s="15" t="s">
        <v>1479</v>
      </c>
      <c r="J83" s="15" t="s">
        <v>1480</v>
      </c>
      <c r="K83" s="15">
        <v>0.0</v>
      </c>
      <c r="L83" s="15" t="s">
        <v>93</v>
      </c>
      <c r="M83" s="15" t="s">
        <v>22</v>
      </c>
      <c r="N83" s="15" t="s">
        <v>892</v>
      </c>
      <c r="O83" s="15" t="s">
        <v>24</v>
      </c>
      <c r="P83" s="16">
        <v>0.0</v>
      </c>
      <c r="Q83" s="16">
        <v>0.35</v>
      </c>
      <c r="R83" s="16">
        <v>0.35</v>
      </c>
      <c r="S83" s="55">
        <v>45546.0</v>
      </c>
      <c r="T83" s="18">
        <v>1.925</v>
      </c>
      <c r="U83" s="15" t="s">
        <v>70</v>
      </c>
      <c r="V83" s="19">
        <f t="shared" si="1"/>
        <v>0</v>
      </c>
      <c r="W83" s="19">
        <f t="shared" si="4"/>
        <v>-0.872857366</v>
      </c>
    </row>
    <row r="84">
      <c r="A84" s="8">
        <f t="shared" si="3"/>
        <v>83</v>
      </c>
      <c r="B84" s="8" t="s">
        <v>26</v>
      </c>
      <c r="C84" s="8" t="s">
        <v>19</v>
      </c>
      <c r="D84" s="8"/>
      <c r="E84" s="8" t="s">
        <v>1874</v>
      </c>
      <c r="F84" s="8"/>
      <c r="G84" s="8"/>
      <c r="H84" s="111"/>
      <c r="I84" s="8" t="s">
        <v>1479</v>
      </c>
      <c r="J84" s="8" t="s">
        <v>1480</v>
      </c>
      <c r="K84" s="8">
        <v>0.0</v>
      </c>
      <c r="L84" s="8" t="s">
        <v>82</v>
      </c>
      <c r="M84" s="8" t="s">
        <v>22</v>
      </c>
      <c r="N84" s="8" t="s">
        <v>892</v>
      </c>
      <c r="O84" s="8" t="s">
        <v>1522</v>
      </c>
      <c r="P84" s="9">
        <v>0.0</v>
      </c>
      <c r="Q84" s="9">
        <v>0.25</v>
      </c>
      <c r="R84" s="9">
        <v>0.25</v>
      </c>
      <c r="S84" s="54">
        <v>45546.0</v>
      </c>
      <c r="T84" s="11">
        <v>2.025</v>
      </c>
      <c r="U84" s="8" t="s">
        <v>70</v>
      </c>
      <c r="V84" s="12">
        <f t="shared" si="1"/>
        <v>0</v>
      </c>
      <c r="W84" s="12">
        <f t="shared" si="4"/>
        <v>-0.872857366</v>
      </c>
    </row>
    <row r="85">
      <c r="A85" s="15">
        <f t="shared" si="3"/>
        <v>84</v>
      </c>
      <c r="B85" s="15" t="s">
        <v>35</v>
      </c>
      <c r="C85" s="15" t="s">
        <v>19</v>
      </c>
      <c r="D85" s="15">
        <v>63.0</v>
      </c>
      <c r="E85" s="15" t="s">
        <v>1875</v>
      </c>
      <c r="F85" s="15">
        <v>11.0</v>
      </c>
      <c r="G85" s="15">
        <v>25.0</v>
      </c>
      <c r="H85" s="110">
        <f t="shared" ref="H85:H86" si="10">10/(24*2)</f>
        <v>0.2083333333</v>
      </c>
      <c r="I85" s="15" t="s">
        <v>1479</v>
      </c>
      <c r="J85" s="15" t="s">
        <v>1480</v>
      </c>
      <c r="K85" s="15">
        <v>0.0</v>
      </c>
      <c r="L85" s="15" t="s">
        <v>78</v>
      </c>
      <c r="M85" s="15" t="s">
        <v>22</v>
      </c>
      <c r="N85" s="15" t="s">
        <v>892</v>
      </c>
      <c r="O85" s="15" t="s">
        <v>24</v>
      </c>
      <c r="P85" s="16">
        <v>0.0</v>
      </c>
      <c r="Q85" s="16">
        <v>0.75</v>
      </c>
      <c r="R85" s="16">
        <v>0.75</v>
      </c>
      <c r="S85" s="55">
        <v>45546.0</v>
      </c>
      <c r="T85" s="18">
        <v>1.85</v>
      </c>
      <c r="U85" s="15" t="s">
        <v>70</v>
      </c>
      <c r="V85" s="19">
        <f t="shared" si="1"/>
        <v>0</v>
      </c>
      <c r="W85" s="19">
        <f t="shared" si="4"/>
        <v>-0.872857366</v>
      </c>
    </row>
    <row r="86">
      <c r="A86" s="8">
        <f t="shared" si="3"/>
        <v>85</v>
      </c>
      <c r="B86" s="8" t="s">
        <v>35</v>
      </c>
      <c r="C86" s="8" t="s">
        <v>19</v>
      </c>
      <c r="D86" s="8">
        <v>64.0</v>
      </c>
      <c r="E86" s="8" t="s">
        <v>1876</v>
      </c>
      <c r="F86" s="8">
        <v>5.0</v>
      </c>
      <c r="G86" s="8">
        <v>13.0</v>
      </c>
      <c r="H86" s="111">
        <f t="shared" si="10"/>
        <v>0.2083333333</v>
      </c>
      <c r="I86" s="8" t="s">
        <v>1479</v>
      </c>
      <c r="J86" s="8" t="s">
        <v>1480</v>
      </c>
      <c r="K86" s="8">
        <v>0.0</v>
      </c>
      <c r="L86" s="8" t="s">
        <v>78</v>
      </c>
      <c r="M86" s="8" t="s">
        <v>22</v>
      </c>
      <c r="N86" s="8" t="s">
        <v>892</v>
      </c>
      <c r="O86" s="8" t="s">
        <v>39</v>
      </c>
      <c r="P86" s="9">
        <v>0.0</v>
      </c>
      <c r="Q86" s="9">
        <v>0.1</v>
      </c>
      <c r="R86" s="9">
        <v>0.1</v>
      </c>
      <c r="S86" s="54">
        <v>45546.0</v>
      </c>
      <c r="T86" s="11">
        <v>1.7</v>
      </c>
      <c r="U86" s="8" t="s">
        <v>70</v>
      </c>
      <c r="V86" s="12">
        <f t="shared" si="1"/>
        <v>0</v>
      </c>
      <c r="W86" s="12">
        <f t="shared" si="4"/>
        <v>-0.872857366</v>
      </c>
    </row>
    <row r="87">
      <c r="A87" s="15">
        <f t="shared" si="3"/>
        <v>86</v>
      </c>
      <c r="B87" s="15" t="s">
        <v>26</v>
      </c>
      <c r="C87" s="15" t="s">
        <v>19</v>
      </c>
      <c r="D87" s="15"/>
      <c r="E87" s="15" t="s">
        <v>1877</v>
      </c>
      <c r="F87" s="15"/>
      <c r="G87" s="15"/>
      <c r="H87" s="110"/>
      <c r="I87" s="15" t="s">
        <v>1473</v>
      </c>
      <c r="J87" s="15" t="s">
        <v>1480</v>
      </c>
      <c r="K87" s="15">
        <v>0.0</v>
      </c>
      <c r="L87" s="15" t="s">
        <v>82</v>
      </c>
      <c r="M87" s="15" t="s">
        <v>22</v>
      </c>
      <c r="N87" s="15" t="s">
        <v>892</v>
      </c>
      <c r="O87" s="15" t="s">
        <v>24</v>
      </c>
      <c r="P87" s="16">
        <v>0.0</v>
      </c>
      <c r="Q87" s="16">
        <v>0.25</v>
      </c>
      <c r="R87" s="16">
        <v>0.25</v>
      </c>
      <c r="S87" s="55">
        <v>45546.0</v>
      </c>
      <c r="T87" s="18">
        <v>1.82</v>
      </c>
      <c r="U87" s="15" t="s">
        <v>70</v>
      </c>
      <c r="V87" s="19">
        <f t="shared" si="1"/>
        <v>0</v>
      </c>
      <c r="W87" s="19">
        <f t="shared" si="4"/>
        <v>-0.872857366</v>
      </c>
    </row>
    <row r="88">
      <c r="A88" s="8">
        <f t="shared" si="3"/>
        <v>87</v>
      </c>
      <c r="B88" s="8" t="s">
        <v>35</v>
      </c>
      <c r="C88" s="8" t="s">
        <v>19</v>
      </c>
      <c r="D88" s="8">
        <v>65.0</v>
      </c>
      <c r="E88" s="8" t="s">
        <v>1878</v>
      </c>
      <c r="F88" s="8">
        <v>9.0</v>
      </c>
      <c r="G88" s="8">
        <v>10.0</v>
      </c>
      <c r="H88" s="111">
        <f>8/(11*2)</f>
        <v>0.3636363636</v>
      </c>
      <c r="I88" s="8" t="s">
        <v>1479</v>
      </c>
      <c r="J88" s="8" t="s">
        <v>1480</v>
      </c>
      <c r="K88" s="8">
        <v>0.0</v>
      </c>
      <c r="L88" s="8" t="s">
        <v>374</v>
      </c>
      <c r="M88" s="8" t="s">
        <v>22</v>
      </c>
      <c r="N88" s="8" t="s">
        <v>892</v>
      </c>
      <c r="O88" s="8" t="s">
        <v>39</v>
      </c>
      <c r="P88" s="9">
        <v>0.0</v>
      </c>
      <c r="Q88" s="9">
        <v>0.1</v>
      </c>
      <c r="R88" s="9">
        <v>0.1</v>
      </c>
      <c r="S88" s="10">
        <v>45546.0</v>
      </c>
      <c r="T88" s="11">
        <v>1.75</v>
      </c>
      <c r="U88" s="8" t="s">
        <v>33</v>
      </c>
      <c r="V88" s="12">
        <f t="shared" si="1"/>
        <v>0.075</v>
      </c>
      <c r="W88" s="12">
        <f t="shared" si="4"/>
        <v>-0.797857366</v>
      </c>
    </row>
    <row r="89">
      <c r="A89" s="15">
        <f t="shared" si="3"/>
        <v>88</v>
      </c>
      <c r="B89" s="15" t="s">
        <v>35</v>
      </c>
      <c r="C89" s="15" t="s">
        <v>19</v>
      </c>
      <c r="D89" s="15">
        <v>62.0</v>
      </c>
      <c r="E89" s="15" t="s">
        <v>1879</v>
      </c>
      <c r="F89" s="15"/>
      <c r="G89" s="15"/>
      <c r="H89" s="110"/>
      <c r="I89" s="15" t="s">
        <v>1479</v>
      </c>
      <c r="J89" s="15" t="s">
        <v>1480</v>
      </c>
      <c r="K89" s="15">
        <v>0.0</v>
      </c>
      <c r="L89" s="15" t="s">
        <v>84</v>
      </c>
      <c r="M89" s="15" t="s">
        <v>22</v>
      </c>
      <c r="N89" s="15" t="s">
        <v>892</v>
      </c>
      <c r="O89" s="15" t="s">
        <v>24</v>
      </c>
      <c r="P89" s="16">
        <v>0.0</v>
      </c>
      <c r="Q89" s="16">
        <v>0.2</v>
      </c>
      <c r="R89" s="16">
        <v>0.2</v>
      </c>
      <c r="S89" s="55">
        <v>45547.0</v>
      </c>
      <c r="T89" s="18">
        <v>1.5179</v>
      </c>
      <c r="U89" s="15" t="s">
        <v>33</v>
      </c>
      <c r="V89" s="19">
        <f t="shared" si="1"/>
        <v>0.10358</v>
      </c>
      <c r="W89" s="19">
        <f t="shared" si="4"/>
        <v>-0.694277366</v>
      </c>
    </row>
    <row r="90">
      <c r="A90" s="8">
        <f t="shared" si="3"/>
        <v>89</v>
      </c>
      <c r="B90" s="8" t="s">
        <v>26</v>
      </c>
      <c r="C90" s="8" t="s">
        <v>40</v>
      </c>
      <c r="D90" s="8">
        <v>53.0</v>
      </c>
      <c r="E90" s="8" t="s">
        <v>1880</v>
      </c>
      <c r="F90" s="8"/>
      <c r="G90" s="8"/>
      <c r="H90" s="111"/>
      <c r="I90" s="8" t="s">
        <v>1479</v>
      </c>
      <c r="J90" s="8" t="s">
        <v>1480</v>
      </c>
      <c r="K90" s="8">
        <v>0.0</v>
      </c>
      <c r="L90" s="8" t="s">
        <v>877</v>
      </c>
      <c r="M90" s="8" t="s">
        <v>22</v>
      </c>
      <c r="N90" s="8" t="s">
        <v>892</v>
      </c>
      <c r="O90" s="8" t="s">
        <v>1851</v>
      </c>
      <c r="P90" s="9">
        <v>0.0</v>
      </c>
      <c r="Q90" s="9">
        <v>0.25</v>
      </c>
      <c r="R90" s="9">
        <v>0.24</v>
      </c>
      <c r="S90" s="10">
        <v>45547.0</v>
      </c>
      <c r="T90" s="11">
        <v>1.95</v>
      </c>
      <c r="U90" s="8" t="s">
        <v>70</v>
      </c>
      <c r="V90" s="12">
        <f t="shared" si="1"/>
        <v>0</v>
      </c>
      <c r="W90" s="12">
        <f t="shared" si="4"/>
        <v>-0.694277366</v>
      </c>
    </row>
    <row r="91">
      <c r="A91" s="15">
        <f t="shared" si="3"/>
        <v>90</v>
      </c>
      <c r="B91" s="15" t="s">
        <v>26</v>
      </c>
      <c r="C91" s="15" t="s">
        <v>40</v>
      </c>
      <c r="D91" s="15">
        <v>62.0</v>
      </c>
      <c r="E91" s="15" t="s">
        <v>1881</v>
      </c>
      <c r="F91" s="15"/>
      <c r="G91" s="15"/>
      <c r="H91" s="110"/>
      <c r="I91" s="15" t="s">
        <v>1473</v>
      </c>
      <c r="J91" s="15" t="s">
        <v>1474</v>
      </c>
      <c r="K91" s="15">
        <v>0.0</v>
      </c>
      <c r="L91" s="15" t="s">
        <v>877</v>
      </c>
      <c r="M91" s="15" t="s">
        <v>22</v>
      </c>
      <c r="N91" s="15" t="s">
        <v>941</v>
      </c>
      <c r="O91" s="15" t="s">
        <v>1851</v>
      </c>
      <c r="P91" s="16">
        <v>0.0</v>
      </c>
      <c r="Q91" s="16">
        <v>0.3</v>
      </c>
      <c r="R91" s="16">
        <v>0.1</v>
      </c>
      <c r="S91" s="17">
        <v>45547.0</v>
      </c>
      <c r="T91" s="18">
        <v>1.625</v>
      </c>
      <c r="U91" s="15" t="s">
        <v>70</v>
      </c>
      <c r="V91" s="19">
        <f t="shared" si="1"/>
        <v>0</v>
      </c>
      <c r="W91" s="19">
        <f t="shared" si="4"/>
        <v>-0.694277366</v>
      </c>
    </row>
    <row r="92">
      <c r="A92" s="8">
        <f t="shared" si="3"/>
        <v>91</v>
      </c>
      <c r="B92" s="8" t="s">
        <v>26</v>
      </c>
      <c r="C92" s="8" t="s">
        <v>19</v>
      </c>
      <c r="D92" s="8">
        <v>40.0</v>
      </c>
      <c r="E92" s="8" t="s">
        <v>1882</v>
      </c>
      <c r="F92" s="8">
        <v>14.0</v>
      </c>
      <c r="G92" s="8">
        <v>6.0</v>
      </c>
      <c r="H92" s="111">
        <f>4/(15*2)</f>
        <v>0.1333333333</v>
      </c>
      <c r="I92" s="8" t="s">
        <v>1473</v>
      </c>
      <c r="J92" s="8" t="s">
        <v>1480</v>
      </c>
      <c r="K92" s="8">
        <v>0.0</v>
      </c>
      <c r="L92" s="8" t="s">
        <v>178</v>
      </c>
      <c r="M92" s="8" t="s">
        <v>22</v>
      </c>
      <c r="N92" s="8" t="s">
        <v>892</v>
      </c>
      <c r="O92" s="8" t="s">
        <v>24</v>
      </c>
      <c r="P92" s="9">
        <v>0.0</v>
      </c>
      <c r="Q92" s="9">
        <v>1.0</v>
      </c>
      <c r="R92" s="9">
        <v>1.0</v>
      </c>
      <c r="S92" s="10">
        <v>45547.0</v>
      </c>
      <c r="T92" s="11">
        <v>1.75618</v>
      </c>
      <c r="U92" s="8" t="s">
        <v>33</v>
      </c>
      <c r="V92" s="12">
        <f t="shared" si="1"/>
        <v>0.75618</v>
      </c>
      <c r="W92" s="12">
        <f t="shared" si="4"/>
        <v>0.06190263404</v>
      </c>
    </row>
    <row r="93">
      <c r="A93" s="15">
        <f t="shared" si="3"/>
        <v>92</v>
      </c>
      <c r="B93" s="15" t="s">
        <v>26</v>
      </c>
      <c r="C93" s="15" t="s">
        <v>19</v>
      </c>
      <c r="D93" s="15">
        <v>2.0</v>
      </c>
      <c r="E93" s="15" t="s">
        <v>1883</v>
      </c>
      <c r="F93" s="15">
        <v>4.0</v>
      </c>
      <c r="G93" s="15">
        <v>14.0</v>
      </c>
      <c r="H93" s="110">
        <f>3/(13*2)</f>
        <v>0.1153846154</v>
      </c>
      <c r="I93" s="15" t="s">
        <v>1473</v>
      </c>
      <c r="J93" s="15" t="s">
        <v>1480</v>
      </c>
      <c r="K93" s="15">
        <v>0.0</v>
      </c>
      <c r="L93" s="15" t="s">
        <v>341</v>
      </c>
      <c r="M93" s="15" t="s">
        <v>22</v>
      </c>
      <c r="N93" s="15" t="s">
        <v>892</v>
      </c>
      <c r="O93" s="15" t="s">
        <v>1851</v>
      </c>
      <c r="P93" s="16">
        <v>0.0</v>
      </c>
      <c r="Q93" s="16">
        <v>0.1</v>
      </c>
      <c r="R93" s="16">
        <v>0.1</v>
      </c>
      <c r="S93" s="17">
        <v>45547.0</v>
      </c>
      <c r="T93" s="18">
        <v>1.85</v>
      </c>
      <c r="U93" s="15" t="s">
        <v>33</v>
      </c>
      <c r="V93" s="19">
        <f t="shared" si="1"/>
        <v>0.085</v>
      </c>
      <c r="W93" s="19">
        <f t="shared" si="4"/>
        <v>0.146902634</v>
      </c>
    </row>
    <row r="94">
      <c r="A94" s="8">
        <f t="shared" si="3"/>
        <v>93</v>
      </c>
      <c r="B94" s="8" t="s">
        <v>35</v>
      </c>
      <c r="C94" s="8" t="s">
        <v>19</v>
      </c>
      <c r="D94" s="8">
        <v>62.0</v>
      </c>
      <c r="E94" s="8" t="s">
        <v>1884</v>
      </c>
      <c r="F94" s="8"/>
      <c r="G94" s="8"/>
      <c r="H94" s="111"/>
      <c r="I94" s="8" t="s">
        <v>1473</v>
      </c>
      <c r="J94" s="8" t="s">
        <v>1480</v>
      </c>
      <c r="K94" s="8">
        <v>0.0</v>
      </c>
      <c r="L94" s="8" t="s">
        <v>78</v>
      </c>
      <c r="M94" s="8" t="s">
        <v>22</v>
      </c>
      <c r="N94" s="8" t="s">
        <v>892</v>
      </c>
      <c r="O94" s="8" t="s">
        <v>39</v>
      </c>
      <c r="P94" s="9">
        <v>0.0</v>
      </c>
      <c r="Q94" s="9">
        <v>0.1</v>
      </c>
      <c r="R94" s="9">
        <v>0.1</v>
      </c>
      <c r="S94" s="10">
        <v>45547.0</v>
      </c>
      <c r="T94" s="11">
        <v>1.85</v>
      </c>
      <c r="U94" s="8" t="s">
        <v>70</v>
      </c>
      <c r="V94" s="12">
        <f t="shared" si="1"/>
        <v>0</v>
      </c>
      <c r="W94" s="12">
        <f t="shared" si="4"/>
        <v>0.146902634</v>
      </c>
    </row>
    <row r="95">
      <c r="A95" s="15">
        <f t="shared" si="3"/>
        <v>94</v>
      </c>
      <c r="B95" s="15" t="s">
        <v>35</v>
      </c>
      <c r="C95" s="15" t="s">
        <v>19</v>
      </c>
      <c r="D95" s="15">
        <v>61.0</v>
      </c>
      <c r="E95" s="15" t="s">
        <v>1885</v>
      </c>
      <c r="F95" s="15"/>
      <c r="G95" s="15"/>
      <c r="H95" s="110"/>
      <c r="I95" s="15" t="s">
        <v>1479</v>
      </c>
      <c r="J95" s="15" t="s">
        <v>1480</v>
      </c>
      <c r="K95" s="15">
        <v>1.0</v>
      </c>
      <c r="L95" s="15" t="s">
        <v>463</v>
      </c>
      <c r="M95" s="15" t="s">
        <v>22</v>
      </c>
      <c r="N95" s="15" t="s">
        <v>892</v>
      </c>
      <c r="O95" s="15" t="s">
        <v>39</v>
      </c>
      <c r="P95" s="16">
        <v>0.0</v>
      </c>
      <c r="Q95" s="16">
        <v>0.1</v>
      </c>
      <c r="R95" s="16">
        <v>0.1</v>
      </c>
      <c r="S95" s="17">
        <v>45547.0</v>
      </c>
      <c r="T95" s="18">
        <v>1.75</v>
      </c>
      <c r="U95" s="15" t="s">
        <v>25</v>
      </c>
      <c r="V95" s="19">
        <f t="shared" si="1"/>
        <v>-0.1</v>
      </c>
      <c r="W95" s="19">
        <f t="shared" si="4"/>
        <v>0.04690263404</v>
      </c>
    </row>
    <row r="96">
      <c r="A96" s="8">
        <f t="shared" si="3"/>
        <v>95</v>
      </c>
      <c r="B96" s="8" t="s">
        <v>35</v>
      </c>
      <c r="C96" s="8" t="s">
        <v>19</v>
      </c>
      <c r="D96" s="8">
        <v>62.0</v>
      </c>
      <c r="E96" s="8" t="s">
        <v>1886</v>
      </c>
      <c r="F96" s="8">
        <v>14.0</v>
      </c>
      <c r="G96" s="8">
        <v>11.0</v>
      </c>
      <c r="H96" s="111">
        <f>1/(15*2)</f>
        <v>0.03333333333</v>
      </c>
      <c r="I96" s="8" t="s">
        <v>1473</v>
      </c>
      <c r="J96" s="8" t="s">
        <v>1480</v>
      </c>
      <c r="K96" s="8">
        <v>1.0</v>
      </c>
      <c r="L96" s="8" t="s">
        <v>167</v>
      </c>
      <c r="M96" s="8" t="s">
        <v>22</v>
      </c>
      <c r="N96" s="8" t="s">
        <v>892</v>
      </c>
      <c r="O96" s="8" t="s">
        <v>24</v>
      </c>
      <c r="P96" s="9">
        <v>0.0</v>
      </c>
      <c r="Q96" s="9">
        <v>0.1</v>
      </c>
      <c r="R96" s="9">
        <v>0.1</v>
      </c>
      <c r="S96" s="54">
        <v>45548.0</v>
      </c>
      <c r="T96" s="11">
        <v>1.775</v>
      </c>
      <c r="U96" s="8" t="s">
        <v>70</v>
      </c>
      <c r="V96" s="12">
        <f t="shared" si="1"/>
        <v>0</v>
      </c>
      <c r="W96" s="12">
        <f t="shared" si="4"/>
        <v>0.04690263404</v>
      </c>
    </row>
    <row r="97">
      <c r="A97" s="15">
        <f t="shared" si="3"/>
        <v>96</v>
      </c>
      <c r="B97" s="15" t="s">
        <v>26</v>
      </c>
      <c r="C97" s="15" t="s">
        <v>19</v>
      </c>
      <c r="D97" s="15">
        <v>33.0</v>
      </c>
      <c r="E97" s="15" t="s">
        <v>1887</v>
      </c>
      <c r="F97" s="15">
        <v>8.0</v>
      </c>
      <c r="G97" s="15">
        <v>14.0</v>
      </c>
      <c r="H97" s="15"/>
      <c r="I97" s="15" t="s">
        <v>1473</v>
      </c>
      <c r="J97" s="15" t="s">
        <v>1477</v>
      </c>
      <c r="K97" s="15">
        <v>3.0</v>
      </c>
      <c r="L97" s="15" t="s">
        <v>162</v>
      </c>
      <c r="M97" s="15" t="s">
        <v>22</v>
      </c>
      <c r="N97" s="15" t="s">
        <v>894</v>
      </c>
      <c r="O97" s="15" t="s">
        <v>1851</v>
      </c>
      <c r="P97" s="16">
        <v>-0.25</v>
      </c>
      <c r="Q97" s="16">
        <v>0.1</v>
      </c>
      <c r="R97" s="16">
        <v>0.05</v>
      </c>
      <c r="S97" s="17">
        <v>45548.0</v>
      </c>
      <c r="T97" s="18">
        <v>1.625</v>
      </c>
      <c r="U97" s="15" t="s">
        <v>33</v>
      </c>
      <c r="V97" s="19">
        <f t="shared" si="1"/>
        <v>0.03125</v>
      </c>
      <c r="W97" s="19">
        <f t="shared" si="4"/>
        <v>0.07815263404</v>
      </c>
    </row>
    <row r="98">
      <c r="A98" s="8">
        <f t="shared" si="3"/>
        <v>97</v>
      </c>
      <c r="B98" s="8" t="s">
        <v>18</v>
      </c>
      <c r="C98" s="8" t="s">
        <v>19</v>
      </c>
      <c r="D98" s="8"/>
      <c r="E98" s="8" t="s">
        <v>1888</v>
      </c>
      <c r="F98" s="8">
        <v>10.0</v>
      </c>
      <c r="G98" s="8">
        <v>7.0</v>
      </c>
      <c r="H98" s="111">
        <f t="shared" ref="H98:H99" si="11">2/(9*2)</f>
        <v>0.1111111111</v>
      </c>
      <c r="I98" s="8" t="s">
        <v>1473</v>
      </c>
      <c r="J98" s="8" t="s">
        <v>1480</v>
      </c>
      <c r="K98" s="8">
        <v>-1.0</v>
      </c>
      <c r="L98" s="8" t="s">
        <v>583</v>
      </c>
      <c r="M98" s="8" t="s">
        <v>22</v>
      </c>
      <c r="N98" s="8" t="s">
        <v>892</v>
      </c>
      <c r="O98" s="8" t="s">
        <v>24</v>
      </c>
      <c r="P98" s="9">
        <v>0.0</v>
      </c>
      <c r="Q98" s="9">
        <v>1.0</v>
      </c>
      <c r="R98" s="9">
        <v>0.75</v>
      </c>
      <c r="S98" s="10">
        <v>45548.0</v>
      </c>
      <c r="T98" s="11">
        <v>1.625</v>
      </c>
      <c r="U98" s="8" t="s">
        <v>70</v>
      </c>
      <c r="V98" s="12">
        <f t="shared" si="1"/>
        <v>0</v>
      </c>
      <c r="W98" s="12">
        <f t="shared" si="4"/>
        <v>0.07815263404</v>
      </c>
    </row>
    <row r="99">
      <c r="A99" s="15">
        <f t="shared" si="3"/>
        <v>98</v>
      </c>
      <c r="B99" s="15" t="s">
        <v>35</v>
      </c>
      <c r="C99" s="15" t="s">
        <v>19</v>
      </c>
      <c r="D99" s="15"/>
      <c r="E99" s="15" t="s">
        <v>1889</v>
      </c>
      <c r="F99" s="15">
        <v>9.0</v>
      </c>
      <c r="G99" s="15">
        <v>10.0</v>
      </c>
      <c r="H99" s="110">
        <f t="shared" si="11"/>
        <v>0.1111111111</v>
      </c>
      <c r="I99" s="15" t="s">
        <v>1479</v>
      </c>
      <c r="J99" s="15" t="s">
        <v>1480</v>
      </c>
      <c r="K99" s="15">
        <v>0.0</v>
      </c>
      <c r="L99" s="15" t="s">
        <v>583</v>
      </c>
      <c r="M99" s="15" t="s">
        <v>22</v>
      </c>
      <c r="N99" s="15" t="s">
        <v>892</v>
      </c>
      <c r="O99" s="15" t="s">
        <v>24</v>
      </c>
      <c r="P99" s="16">
        <v>0.0</v>
      </c>
      <c r="Q99" s="16">
        <v>0.5</v>
      </c>
      <c r="R99" s="16">
        <v>0.48</v>
      </c>
      <c r="S99" s="17">
        <v>45548.0</v>
      </c>
      <c r="T99" s="18">
        <v>2.075</v>
      </c>
      <c r="U99" s="15" t="s">
        <v>25</v>
      </c>
      <c r="V99" s="19">
        <f t="shared" si="1"/>
        <v>-0.48</v>
      </c>
      <c r="W99" s="19">
        <f t="shared" si="4"/>
        <v>-0.401847366</v>
      </c>
    </row>
    <row r="100">
      <c r="A100" s="8">
        <f t="shared" si="3"/>
        <v>99</v>
      </c>
      <c r="B100" s="8" t="s">
        <v>18</v>
      </c>
      <c r="C100" s="8" t="s">
        <v>19</v>
      </c>
      <c r="D100" s="8"/>
      <c r="E100" s="8" t="s">
        <v>1890</v>
      </c>
      <c r="F100" s="8"/>
      <c r="G100" s="8"/>
      <c r="H100" s="111"/>
      <c r="I100" s="8" t="s">
        <v>1479</v>
      </c>
      <c r="J100" s="8" t="s">
        <v>1480</v>
      </c>
      <c r="K100" s="8">
        <v>1.0</v>
      </c>
      <c r="L100" s="8" t="s">
        <v>635</v>
      </c>
      <c r="M100" s="8" t="s">
        <v>22</v>
      </c>
      <c r="N100" s="8" t="s">
        <v>892</v>
      </c>
      <c r="O100" s="8" t="s">
        <v>24</v>
      </c>
      <c r="P100" s="9">
        <v>0.0</v>
      </c>
      <c r="Q100" s="9">
        <v>0.25</v>
      </c>
      <c r="R100" s="9">
        <v>0.21</v>
      </c>
      <c r="S100" s="54">
        <v>45548.0</v>
      </c>
      <c r="T100" s="11">
        <v>1.85</v>
      </c>
      <c r="U100" s="8" t="s">
        <v>33</v>
      </c>
      <c r="V100" s="12">
        <f t="shared" si="1"/>
        <v>0.1785</v>
      </c>
      <c r="W100" s="12">
        <f t="shared" si="4"/>
        <v>-0.223347366</v>
      </c>
    </row>
    <row r="101">
      <c r="A101" s="15">
        <f t="shared" si="3"/>
        <v>100</v>
      </c>
      <c r="B101" s="15" t="s">
        <v>26</v>
      </c>
      <c r="C101" s="15" t="s">
        <v>19</v>
      </c>
      <c r="D101" s="15"/>
      <c r="E101" s="15" t="s">
        <v>1891</v>
      </c>
      <c r="F101" s="15">
        <v>14.0</v>
      </c>
      <c r="G101" s="15">
        <v>8.0</v>
      </c>
      <c r="H101" s="110"/>
      <c r="I101" s="15" t="s">
        <v>1473</v>
      </c>
      <c r="J101" s="15" t="s">
        <v>1477</v>
      </c>
      <c r="K101" s="15">
        <v>6.0</v>
      </c>
      <c r="L101" s="15" t="s">
        <v>162</v>
      </c>
      <c r="M101" s="15" t="s">
        <v>22</v>
      </c>
      <c r="N101" s="15" t="s">
        <v>894</v>
      </c>
      <c r="O101" s="15" t="s">
        <v>24</v>
      </c>
      <c r="P101" s="16">
        <v>-0.5</v>
      </c>
      <c r="Q101" s="16">
        <v>0.1</v>
      </c>
      <c r="R101" s="16">
        <v>0.05</v>
      </c>
      <c r="S101" s="17">
        <v>45548.0</v>
      </c>
      <c r="T101" s="18">
        <v>1.7</v>
      </c>
      <c r="U101" s="15" t="s">
        <v>33</v>
      </c>
      <c r="V101" s="19">
        <f t="shared" si="1"/>
        <v>0.035</v>
      </c>
      <c r="W101" s="19">
        <f t="shared" si="4"/>
        <v>-0.188347366</v>
      </c>
    </row>
    <row r="102">
      <c r="A102" s="8">
        <f t="shared" si="3"/>
        <v>101</v>
      </c>
      <c r="B102" s="8" t="s">
        <v>18</v>
      </c>
      <c r="C102" s="8" t="s">
        <v>40</v>
      </c>
      <c r="D102" s="8"/>
      <c r="E102" s="8" t="s">
        <v>1892</v>
      </c>
      <c r="F102" s="8"/>
      <c r="G102" s="8"/>
      <c r="H102" s="111"/>
      <c r="I102" s="8" t="s">
        <v>1479</v>
      </c>
      <c r="J102" s="8" t="s">
        <v>1480</v>
      </c>
      <c r="K102" s="8">
        <v>0.0</v>
      </c>
      <c r="L102" s="8" t="s">
        <v>117</v>
      </c>
      <c r="M102" s="8" t="s">
        <v>22</v>
      </c>
      <c r="N102" s="8" t="s">
        <v>892</v>
      </c>
      <c r="O102" s="8" t="s">
        <v>24</v>
      </c>
      <c r="P102" s="9">
        <v>0.0</v>
      </c>
      <c r="Q102" s="9">
        <v>0.25</v>
      </c>
      <c r="R102" s="9">
        <v>0.25</v>
      </c>
      <c r="S102" s="54">
        <v>45548.0</v>
      </c>
      <c r="T102" s="11">
        <v>1.9</v>
      </c>
      <c r="U102" s="8" t="s">
        <v>70</v>
      </c>
      <c r="V102" s="12">
        <f t="shared" si="1"/>
        <v>0</v>
      </c>
      <c r="W102" s="12">
        <f t="shared" si="4"/>
        <v>-0.188347366</v>
      </c>
    </row>
    <row r="103">
      <c r="A103" s="15">
        <f t="shared" si="3"/>
        <v>102</v>
      </c>
      <c r="B103" s="15" t="s">
        <v>131</v>
      </c>
      <c r="C103" s="15" t="s">
        <v>19</v>
      </c>
      <c r="D103" s="15"/>
      <c r="E103" s="15" t="s">
        <v>1893</v>
      </c>
      <c r="F103" s="15"/>
      <c r="G103" s="15"/>
      <c r="H103" s="110"/>
      <c r="I103" s="15" t="s">
        <v>1479</v>
      </c>
      <c r="J103" s="15" t="s">
        <v>1480</v>
      </c>
      <c r="K103" s="15">
        <v>0.0</v>
      </c>
      <c r="L103" s="15" t="s">
        <v>231</v>
      </c>
      <c r="M103" s="15" t="s">
        <v>22</v>
      </c>
      <c r="N103" s="15" t="s">
        <v>892</v>
      </c>
      <c r="O103" s="15" t="s">
        <v>24</v>
      </c>
      <c r="P103" s="16">
        <v>0.0</v>
      </c>
      <c r="Q103" s="16">
        <v>1.0</v>
      </c>
      <c r="R103" s="16">
        <v>1.0</v>
      </c>
      <c r="S103" s="17">
        <v>45548.0</v>
      </c>
      <c r="T103" s="18">
        <v>1.16577</v>
      </c>
      <c r="U103" s="15" t="s">
        <v>33</v>
      </c>
      <c r="V103" s="19">
        <f t="shared" si="1"/>
        <v>0.16577</v>
      </c>
      <c r="W103" s="19">
        <f t="shared" si="4"/>
        <v>-0.02257736596</v>
      </c>
    </row>
    <row r="104">
      <c r="A104" s="8">
        <f t="shared" si="3"/>
        <v>103</v>
      </c>
      <c r="B104" s="8" t="s">
        <v>26</v>
      </c>
      <c r="C104" s="8" t="s">
        <v>19</v>
      </c>
      <c r="D104" s="8"/>
      <c r="E104" s="8" t="s">
        <v>1894</v>
      </c>
      <c r="F104" s="8"/>
      <c r="G104" s="8"/>
      <c r="H104" s="109"/>
      <c r="I104" s="8" t="s">
        <v>1473</v>
      </c>
      <c r="J104" s="8" t="s">
        <v>1480</v>
      </c>
      <c r="K104" s="8">
        <v>0.0</v>
      </c>
      <c r="L104" s="8" t="s">
        <v>172</v>
      </c>
      <c r="M104" s="8" t="s">
        <v>22</v>
      </c>
      <c r="N104" s="8" t="s">
        <v>892</v>
      </c>
      <c r="O104" s="8" t="s">
        <v>24</v>
      </c>
      <c r="P104" s="9">
        <v>0.0</v>
      </c>
      <c r="Q104" s="9">
        <v>0.25</v>
      </c>
      <c r="R104" s="9">
        <v>0.03</v>
      </c>
      <c r="S104" s="10">
        <v>45548.0</v>
      </c>
      <c r="T104" s="11">
        <v>1.9</v>
      </c>
      <c r="U104" s="8" t="s">
        <v>33</v>
      </c>
      <c r="V104" s="12">
        <f t="shared" si="1"/>
        <v>0.027</v>
      </c>
      <c r="W104" s="12">
        <f t="shared" si="4"/>
        <v>0.004422634043</v>
      </c>
    </row>
    <row r="105">
      <c r="A105" s="15">
        <f t="shared" si="3"/>
        <v>104</v>
      </c>
      <c r="B105" s="15" t="s">
        <v>26</v>
      </c>
      <c r="C105" s="15" t="s">
        <v>19</v>
      </c>
      <c r="D105" s="15"/>
      <c r="E105" s="15" t="s">
        <v>1895</v>
      </c>
      <c r="F105" s="15"/>
      <c r="G105" s="15"/>
      <c r="H105" s="112"/>
      <c r="I105" s="15" t="s">
        <v>1479</v>
      </c>
      <c r="J105" s="15" t="s">
        <v>1480</v>
      </c>
      <c r="K105" s="15">
        <v>0.0</v>
      </c>
      <c r="L105" s="15" t="s">
        <v>635</v>
      </c>
      <c r="M105" s="15" t="s">
        <v>22</v>
      </c>
      <c r="N105" s="15" t="s">
        <v>892</v>
      </c>
      <c r="O105" s="15" t="s">
        <v>1851</v>
      </c>
      <c r="P105" s="16">
        <v>0.0</v>
      </c>
      <c r="Q105" s="16">
        <v>0.1</v>
      </c>
      <c r="R105" s="16">
        <v>0.04</v>
      </c>
      <c r="S105" s="17">
        <v>45548.0</v>
      </c>
      <c r="T105" s="18">
        <v>1.5</v>
      </c>
      <c r="U105" s="15" t="s">
        <v>33</v>
      </c>
      <c r="V105" s="19">
        <f t="shared" si="1"/>
        <v>0.02</v>
      </c>
      <c r="W105" s="19">
        <f t="shared" si="4"/>
        <v>0.02442263404</v>
      </c>
    </row>
    <row r="106">
      <c r="A106" s="8">
        <f t="shared" si="3"/>
        <v>105</v>
      </c>
      <c r="B106" s="8" t="s">
        <v>18</v>
      </c>
      <c r="C106" s="8" t="s">
        <v>19</v>
      </c>
      <c r="D106" s="8"/>
      <c r="E106" s="8" t="s">
        <v>1896</v>
      </c>
      <c r="F106" s="8"/>
      <c r="G106" s="8"/>
      <c r="H106" s="109"/>
      <c r="I106" s="8" t="s">
        <v>1479</v>
      </c>
      <c r="J106" s="8" t="s">
        <v>1474</v>
      </c>
      <c r="K106" s="8">
        <v>-1.0</v>
      </c>
      <c r="L106" s="8" t="s">
        <v>319</v>
      </c>
      <c r="M106" s="8" t="s">
        <v>22</v>
      </c>
      <c r="N106" s="8" t="s">
        <v>225</v>
      </c>
      <c r="O106" s="8" t="s">
        <v>24</v>
      </c>
      <c r="P106" s="9">
        <v>0.5</v>
      </c>
      <c r="Q106" s="9">
        <v>0.5</v>
      </c>
      <c r="R106" s="9">
        <v>0.48</v>
      </c>
      <c r="S106" s="10">
        <v>45548.0</v>
      </c>
      <c r="T106" s="11">
        <v>1.01</v>
      </c>
      <c r="U106" s="8" t="s">
        <v>33</v>
      </c>
      <c r="V106" s="12">
        <f t="shared" si="1"/>
        <v>0.0048</v>
      </c>
      <c r="W106" s="12">
        <f t="shared" si="4"/>
        <v>0.02922263404</v>
      </c>
    </row>
    <row r="107">
      <c r="A107" s="15">
        <f t="shared" si="3"/>
        <v>106</v>
      </c>
      <c r="B107" s="15" t="s">
        <v>35</v>
      </c>
      <c r="C107" s="15" t="s">
        <v>19</v>
      </c>
      <c r="D107" s="15"/>
      <c r="E107" s="15" t="s">
        <v>1897</v>
      </c>
      <c r="F107" s="15">
        <v>12.0</v>
      </c>
      <c r="G107" s="15">
        <v>11.0</v>
      </c>
      <c r="H107" s="112">
        <f>6/(17*2)</f>
        <v>0.1764705882</v>
      </c>
      <c r="I107" s="15" t="s">
        <v>1479</v>
      </c>
      <c r="J107" s="15" t="s">
        <v>1480</v>
      </c>
      <c r="K107" s="15">
        <v>0.0</v>
      </c>
      <c r="L107" s="15" t="s">
        <v>44</v>
      </c>
      <c r="M107" s="15" t="s">
        <v>22</v>
      </c>
      <c r="N107" s="15" t="s">
        <v>892</v>
      </c>
      <c r="O107" s="15" t="s">
        <v>24</v>
      </c>
      <c r="P107" s="16">
        <v>0.0</v>
      </c>
      <c r="Q107" s="16">
        <v>0.5</v>
      </c>
      <c r="R107" s="16">
        <v>0.5</v>
      </c>
      <c r="S107" s="17">
        <v>45548.0</v>
      </c>
      <c r="T107" s="18">
        <v>1.9</v>
      </c>
      <c r="U107" s="15" t="s">
        <v>70</v>
      </c>
      <c r="V107" s="19">
        <f t="shared" si="1"/>
        <v>0</v>
      </c>
      <c r="W107" s="19">
        <f t="shared" si="4"/>
        <v>0.02922263404</v>
      </c>
    </row>
    <row r="108">
      <c r="A108" s="8">
        <f t="shared" si="3"/>
        <v>107</v>
      </c>
      <c r="B108" s="8" t="s">
        <v>26</v>
      </c>
      <c r="C108" s="8" t="s">
        <v>19</v>
      </c>
      <c r="D108" s="8"/>
      <c r="E108" s="8" t="s">
        <v>1898</v>
      </c>
      <c r="F108" s="8"/>
      <c r="G108" s="8"/>
      <c r="H108" s="109"/>
      <c r="I108" s="8" t="s">
        <v>1479</v>
      </c>
      <c r="J108" s="8" t="s">
        <v>1480</v>
      </c>
      <c r="K108" s="8">
        <v>-1.0</v>
      </c>
      <c r="L108" s="8" t="s">
        <v>229</v>
      </c>
      <c r="M108" s="8" t="s">
        <v>22</v>
      </c>
      <c r="N108" s="8" t="s">
        <v>892</v>
      </c>
      <c r="O108" s="8" t="s">
        <v>24</v>
      </c>
      <c r="P108" s="9">
        <v>0.0</v>
      </c>
      <c r="Q108" s="9">
        <v>0.5</v>
      </c>
      <c r="R108" s="9">
        <v>0.49</v>
      </c>
      <c r="S108" s="10">
        <v>45549.0</v>
      </c>
      <c r="T108" s="11">
        <v>1.825</v>
      </c>
      <c r="U108" s="8" t="s">
        <v>33</v>
      </c>
      <c r="V108" s="12">
        <f t="shared" si="1"/>
        <v>0.40425</v>
      </c>
      <c r="W108" s="12">
        <f t="shared" si="4"/>
        <v>0.433472634</v>
      </c>
    </row>
    <row r="109">
      <c r="A109" s="15">
        <f t="shared" si="3"/>
        <v>108</v>
      </c>
      <c r="B109" s="15" t="s">
        <v>26</v>
      </c>
      <c r="C109" s="15" t="s">
        <v>19</v>
      </c>
      <c r="D109" s="15"/>
      <c r="E109" s="15" t="s">
        <v>1899</v>
      </c>
      <c r="F109" s="15">
        <v>8.0</v>
      </c>
      <c r="G109" s="15">
        <v>7.0</v>
      </c>
      <c r="H109" s="112">
        <f>21/(13*2)</f>
        <v>0.8076923077</v>
      </c>
      <c r="I109" s="15" t="s">
        <v>1473</v>
      </c>
      <c r="J109" s="15" t="s">
        <v>1480</v>
      </c>
      <c r="K109" s="15">
        <v>1.0</v>
      </c>
      <c r="L109" s="15" t="s">
        <v>940</v>
      </c>
      <c r="M109" s="15" t="s">
        <v>22</v>
      </c>
      <c r="N109" s="15" t="s">
        <v>892</v>
      </c>
      <c r="O109" s="15" t="s">
        <v>24</v>
      </c>
      <c r="P109" s="16">
        <v>0.0</v>
      </c>
      <c r="Q109" s="16">
        <v>0.1</v>
      </c>
      <c r="R109" s="16">
        <v>0.1</v>
      </c>
      <c r="S109" s="17">
        <v>45549.0</v>
      </c>
      <c r="T109" s="18">
        <v>1.725</v>
      </c>
      <c r="U109" s="15" t="s">
        <v>33</v>
      </c>
      <c r="V109" s="19">
        <f t="shared" si="1"/>
        <v>0.0725</v>
      </c>
      <c r="W109" s="19">
        <f t="shared" si="4"/>
        <v>0.505972634</v>
      </c>
    </row>
    <row r="110">
      <c r="A110" s="8">
        <f t="shared" si="3"/>
        <v>109</v>
      </c>
      <c r="B110" s="8" t="s">
        <v>26</v>
      </c>
      <c r="C110" s="8" t="s">
        <v>19</v>
      </c>
      <c r="D110" s="8"/>
      <c r="E110" s="8" t="s">
        <v>1900</v>
      </c>
      <c r="F110" s="8">
        <v>2.0</v>
      </c>
      <c r="G110" s="8">
        <v>3.0</v>
      </c>
      <c r="H110" s="109">
        <f>2/(3*2)</f>
        <v>0.3333333333</v>
      </c>
      <c r="I110" s="8" t="s">
        <v>1479</v>
      </c>
      <c r="J110" s="8" t="s">
        <v>1480</v>
      </c>
      <c r="K110" s="8">
        <v>0.0</v>
      </c>
      <c r="L110" s="8" t="s">
        <v>82</v>
      </c>
      <c r="M110" s="8" t="s">
        <v>22</v>
      </c>
      <c r="N110" s="8" t="s">
        <v>892</v>
      </c>
      <c r="O110" s="8" t="s">
        <v>24</v>
      </c>
      <c r="P110" s="9">
        <v>0.0</v>
      </c>
      <c r="Q110" s="9">
        <v>0.1</v>
      </c>
      <c r="R110" s="9">
        <v>0.1</v>
      </c>
      <c r="S110" s="10">
        <v>45549.0</v>
      </c>
      <c r="T110" s="11">
        <f>1.27</f>
        <v>1.27</v>
      </c>
      <c r="U110" s="8" t="s">
        <v>33</v>
      </c>
      <c r="V110" s="12">
        <f t="shared" si="1"/>
        <v>0.027</v>
      </c>
      <c r="W110" s="12">
        <f t="shared" si="4"/>
        <v>0.532972634</v>
      </c>
    </row>
    <row r="111">
      <c r="A111" s="15">
        <f t="shared" si="3"/>
        <v>110</v>
      </c>
      <c r="B111" s="15" t="s">
        <v>26</v>
      </c>
      <c r="C111" s="15" t="s">
        <v>19</v>
      </c>
      <c r="D111" s="15"/>
      <c r="E111" s="15" t="s">
        <v>1901</v>
      </c>
      <c r="F111" s="113">
        <v>11.0</v>
      </c>
      <c r="G111" s="113">
        <v>14.0</v>
      </c>
      <c r="H111" s="112">
        <f>8/(17*2)</f>
        <v>0.2352941176</v>
      </c>
      <c r="I111" s="15" t="s">
        <v>1479</v>
      </c>
      <c r="J111" s="15" t="s">
        <v>1480</v>
      </c>
      <c r="K111" s="15">
        <v>0.0</v>
      </c>
      <c r="L111" s="15" t="s">
        <v>44</v>
      </c>
      <c r="M111" s="15" t="s">
        <v>22</v>
      </c>
      <c r="N111" s="15" t="s">
        <v>892</v>
      </c>
      <c r="O111" s="15" t="s">
        <v>24</v>
      </c>
      <c r="P111" s="16">
        <v>0.0</v>
      </c>
      <c r="Q111" s="16">
        <v>0.4</v>
      </c>
      <c r="R111" s="16">
        <v>0.4</v>
      </c>
      <c r="S111" s="17">
        <v>45549.0</v>
      </c>
      <c r="T111" s="18">
        <v>1.725</v>
      </c>
      <c r="U111" s="15" t="s">
        <v>70</v>
      </c>
      <c r="V111" s="19">
        <f t="shared" si="1"/>
        <v>0</v>
      </c>
      <c r="W111" s="19">
        <f t="shared" si="4"/>
        <v>0.532972634</v>
      </c>
    </row>
    <row r="112">
      <c r="A112" s="8">
        <f t="shared" si="3"/>
        <v>111</v>
      </c>
      <c r="B112" s="8" t="s">
        <v>129</v>
      </c>
      <c r="C112" s="8" t="s">
        <v>19</v>
      </c>
      <c r="D112" s="8"/>
      <c r="E112" s="8" t="s">
        <v>1902</v>
      </c>
      <c r="F112" s="8"/>
      <c r="G112" s="8"/>
      <c r="H112" s="109"/>
      <c r="I112" s="8" t="s">
        <v>1479</v>
      </c>
      <c r="J112" s="8" t="s">
        <v>1480</v>
      </c>
      <c r="K112" s="8">
        <v>0.0</v>
      </c>
      <c r="L112" s="8" t="s">
        <v>316</v>
      </c>
      <c r="M112" s="8" t="s">
        <v>22</v>
      </c>
      <c r="N112" s="8" t="s">
        <v>892</v>
      </c>
      <c r="O112" s="8" t="s">
        <v>24</v>
      </c>
      <c r="P112" s="9">
        <v>0.0</v>
      </c>
      <c r="Q112" s="9">
        <v>0.25</v>
      </c>
      <c r="R112" s="9">
        <v>0.24</v>
      </c>
      <c r="S112" s="10">
        <v>45549.0</v>
      </c>
      <c r="T112" s="11">
        <v>1.65</v>
      </c>
      <c r="U112" s="8" t="s">
        <v>25</v>
      </c>
      <c r="V112" s="12">
        <f t="shared" si="1"/>
        <v>-0.24</v>
      </c>
      <c r="W112" s="12">
        <f t="shared" si="4"/>
        <v>0.292972634</v>
      </c>
    </row>
    <row r="113">
      <c r="A113" s="15">
        <f t="shared" si="3"/>
        <v>112</v>
      </c>
      <c r="B113" s="15" t="s">
        <v>26</v>
      </c>
      <c r="C113" s="15" t="s">
        <v>19</v>
      </c>
      <c r="D113" s="15"/>
      <c r="E113" s="15" t="s">
        <v>1903</v>
      </c>
      <c r="F113" s="15"/>
      <c r="G113" s="15"/>
      <c r="H113" s="112"/>
      <c r="I113" s="15" t="s">
        <v>1479</v>
      </c>
      <c r="J113" s="15" t="s">
        <v>1480</v>
      </c>
      <c r="K113" s="15">
        <v>-1.0</v>
      </c>
      <c r="L113" s="15" t="s">
        <v>245</v>
      </c>
      <c r="M113" s="15" t="s">
        <v>22</v>
      </c>
      <c r="N113" s="15" t="s">
        <v>892</v>
      </c>
      <c r="O113" s="15" t="s">
        <v>24</v>
      </c>
      <c r="P113" s="16">
        <v>0.0</v>
      </c>
      <c r="Q113" s="16">
        <v>0.25</v>
      </c>
      <c r="R113" s="16">
        <v>0.25</v>
      </c>
      <c r="S113" s="17">
        <v>45549.0</v>
      </c>
      <c r="T113" s="18">
        <v>1.85</v>
      </c>
      <c r="U113" s="15" t="s">
        <v>70</v>
      </c>
      <c r="V113" s="19">
        <f t="shared" si="1"/>
        <v>0</v>
      </c>
      <c r="W113" s="19">
        <f t="shared" si="4"/>
        <v>0.292972634</v>
      </c>
    </row>
    <row r="114">
      <c r="A114" s="8">
        <f t="shared" si="3"/>
        <v>113</v>
      </c>
      <c r="B114" s="8" t="s">
        <v>26</v>
      </c>
      <c r="C114" s="8" t="s">
        <v>19</v>
      </c>
      <c r="D114" s="8"/>
      <c r="E114" s="8" t="s">
        <v>1904</v>
      </c>
      <c r="F114" s="8">
        <v>15.0</v>
      </c>
      <c r="G114" s="8">
        <v>1.0</v>
      </c>
      <c r="H114" s="109">
        <f>2/(17*2)</f>
        <v>0.05882352941</v>
      </c>
      <c r="I114" s="8" t="s">
        <v>1479</v>
      </c>
      <c r="J114" s="8" t="s">
        <v>1480</v>
      </c>
      <c r="K114" s="8">
        <v>-1.0</v>
      </c>
      <c r="L114" s="8" t="s">
        <v>124</v>
      </c>
      <c r="M114" s="8" t="s">
        <v>22</v>
      </c>
      <c r="N114" s="8" t="s">
        <v>892</v>
      </c>
      <c r="O114" s="8" t="s">
        <v>24</v>
      </c>
      <c r="P114" s="9">
        <v>0.0</v>
      </c>
      <c r="Q114" s="9">
        <v>0.25</v>
      </c>
      <c r="R114" s="9">
        <v>0.25</v>
      </c>
      <c r="S114" s="10">
        <v>45549.0</v>
      </c>
      <c r="T114" s="11">
        <v>1.725</v>
      </c>
      <c r="U114" s="8" t="s">
        <v>70</v>
      </c>
      <c r="V114" s="12">
        <f t="shared" si="1"/>
        <v>0</v>
      </c>
      <c r="W114" s="12">
        <f t="shared" si="4"/>
        <v>0.292972634</v>
      </c>
    </row>
    <row r="115">
      <c r="A115" s="15">
        <f t="shared" si="3"/>
        <v>114</v>
      </c>
      <c r="B115" s="15" t="s">
        <v>26</v>
      </c>
      <c r="C115" s="15" t="s">
        <v>19</v>
      </c>
      <c r="D115" s="15"/>
      <c r="E115" s="15" t="s">
        <v>1905</v>
      </c>
      <c r="F115" s="15">
        <v>8.0</v>
      </c>
      <c r="G115" s="15">
        <v>13.0</v>
      </c>
      <c r="H115" s="112">
        <f>5/(15*2)</f>
        <v>0.1666666667</v>
      </c>
      <c r="I115" s="15" t="s">
        <v>1479</v>
      </c>
      <c r="J115" s="15" t="s">
        <v>1480</v>
      </c>
      <c r="K115" s="15">
        <v>-1.0</v>
      </c>
      <c r="L115" s="15" t="s">
        <v>50</v>
      </c>
      <c r="M115" s="15" t="s">
        <v>22</v>
      </c>
      <c r="N115" s="15" t="s">
        <v>892</v>
      </c>
      <c r="O115" s="15" t="s">
        <v>24</v>
      </c>
      <c r="P115" s="16">
        <v>0.0</v>
      </c>
      <c r="Q115" s="16">
        <v>0.5</v>
      </c>
      <c r="R115" s="16">
        <v>0.5</v>
      </c>
      <c r="S115" s="17">
        <v>45549.0</v>
      </c>
      <c r="T115" s="18">
        <v>1.725</v>
      </c>
      <c r="U115" s="15" t="s">
        <v>70</v>
      </c>
      <c r="V115" s="19">
        <f t="shared" si="1"/>
        <v>0</v>
      </c>
      <c r="W115" s="19">
        <f t="shared" si="4"/>
        <v>0.292972634</v>
      </c>
    </row>
    <row r="116">
      <c r="A116" s="8">
        <f t="shared" si="3"/>
        <v>115</v>
      </c>
      <c r="B116" s="8" t="s">
        <v>26</v>
      </c>
      <c r="C116" s="8" t="s">
        <v>40</v>
      </c>
      <c r="D116" s="8"/>
      <c r="E116" s="8" t="s">
        <v>1906</v>
      </c>
      <c r="F116" s="8"/>
      <c r="G116" s="8"/>
      <c r="H116" s="109"/>
      <c r="I116" s="8" t="s">
        <v>1473</v>
      </c>
      <c r="J116" s="8" t="s">
        <v>1480</v>
      </c>
      <c r="K116" s="8">
        <v>0.0</v>
      </c>
      <c r="L116" s="8" t="s">
        <v>50</v>
      </c>
      <c r="M116" s="8" t="s">
        <v>22</v>
      </c>
      <c r="N116" s="8" t="s">
        <v>892</v>
      </c>
      <c r="O116" s="8" t="s">
        <v>24</v>
      </c>
      <c r="P116" s="9">
        <v>0.0</v>
      </c>
      <c r="Q116" s="9">
        <v>0.5</v>
      </c>
      <c r="R116" s="9">
        <v>0.47</v>
      </c>
      <c r="S116" s="10">
        <v>45549.0</v>
      </c>
      <c r="T116" s="11">
        <v>1.8</v>
      </c>
      <c r="U116" s="8" t="s">
        <v>25</v>
      </c>
      <c r="V116" s="12">
        <f t="shared" si="1"/>
        <v>-0.47</v>
      </c>
      <c r="W116" s="12">
        <f t="shared" si="4"/>
        <v>-0.177027366</v>
      </c>
    </row>
    <row r="117">
      <c r="A117" s="15">
        <f t="shared" si="3"/>
        <v>116</v>
      </c>
      <c r="B117" s="15" t="s">
        <v>26</v>
      </c>
      <c r="C117" s="15" t="s">
        <v>40</v>
      </c>
      <c r="D117" s="15"/>
      <c r="E117" s="15" t="s">
        <v>1907</v>
      </c>
      <c r="F117" s="15"/>
      <c r="G117" s="15"/>
      <c r="H117" s="112"/>
      <c r="I117" s="15" t="s">
        <v>1473</v>
      </c>
      <c r="J117" s="15" t="s">
        <v>1480</v>
      </c>
      <c r="K117" s="15">
        <v>0.0</v>
      </c>
      <c r="L117" s="15" t="s">
        <v>93</v>
      </c>
      <c r="M117" s="15" t="s">
        <v>22</v>
      </c>
      <c r="N117" s="15" t="s">
        <v>892</v>
      </c>
      <c r="O117" s="15" t="s">
        <v>24</v>
      </c>
      <c r="P117" s="16">
        <v>0.0</v>
      </c>
      <c r="Q117" s="16">
        <v>0.5</v>
      </c>
      <c r="R117" s="16">
        <v>0.5</v>
      </c>
      <c r="S117" s="17">
        <v>45549.0</v>
      </c>
      <c r="T117" s="18">
        <v>1.925</v>
      </c>
      <c r="U117" s="15" t="s">
        <v>70</v>
      </c>
      <c r="V117" s="19">
        <f t="shared" si="1"/>
        <v>0</v>
      </c>
      <c r="W117" s="19">
        <f t="shared" si="4"/>
        <v>-0.177027366</v>
      </c>
    </row>
    <row r="118" ht="15.0" customHeight="1">
      <c r="A118" s="8">
        <f t="shared" si="3"/>
        <v>117</v>
      </c>
      <c r="B118" s="8" t="s">
        <v>26</v>
      </c>
      <c r="C118" s="8" t="s">
        <v>19</v>
      </c>
      <c r="D118" s="8"/>
      <c r="E118" s="8" t="s">
        <v>1908</v>
      </c>
      <c r="F118" s="8">
        <v>13.0</v>
      </c>
      <c r="G118" s="8">
        <v>6.0</v>
      </c>
      <c r="H118" s="109">
        <f>2/(15*2)</f>
        <v>0.06666666667</v>
      </c>
      <c r="I118" s="8" t="s">
        <v>1479</v>
      </c>
      <c r="J118" s="8" t="s">
        <v>1480</v>
      </c>
      <c r="K118" s="8">
        <v>-1.0</v>
      </c>
      <c r="L118" s="8" t="s">
        <v>229</v>
      </c>
      <c r="M118" s="8" t="s">
        <v>22</v>
      </c>
      <c r="N118" s="8" t="s">
        <v>892</v>
      </c>
      <c r="O118" s="8" t="s">
        <v>24</v>
      </c>
      <c r="P118" s="9">
        <v>0.0</v>
      </c>
      <c r="Q118" s="9">
        <v>1.0</v>
      </c>
      <c r="R118" s="9">
        <v>1.0</v>
      </c>
      <c r="S118" s="10">
        <v>45549.0</v>
      </c>
      <c r="T118" s="11">
        <v>1.9</v>
      </c>
      <c r="U118" s="8" t="s">
        <v>70</v>
      </c>
      <c r="V118" s="12">
        <f t="shared" si="1"/>
        <v>0</v>
      </c>
      <c r="W118" s="12">
        <f t="shared" si="4"/>
        <v>-0.177027366</v>
      </c>
    </row>
    <row r="119">
      <c r="A119" s="15">
        <f t="shared" si="3"/>
        <v>118</v>
      </c>
      <c r="B119" s="15" t="s">
        <v>129</v>
      </c>
      <c r="C119" s="15" t="s">
        <v>19</v>
      </c>
      <c r="D119" s="15"/>
      <c r="E119" s="15" t="s">
        <v>1909</v>
      </c>
      <c r="F119" s="15"/>
      <c r="G119" s="15"/>
      <c r="H119" s="112"/>
      <c r="I119" s="15" t="s">
        <v>1479</v>
      </c>
      <c r="J119" s="15" t="s">
        <v>1480</v>
      </c>
      <c r="K119" s="15">
        <v>0.0</v>
      </c>
      <c r="L119" s="15" t="s">
        <v>172</v>
      </c>
      <c r="M119" s="15" t="s">
        <v>22</v>
      </c>
      <c r="N119" s="15" t="s">
        <v>892</v>
      </c>
      <c r="O119" s="15" t="s">
        <v>24</v>
      </c>
      <c r="P119" s="16">
        <v>0.0</v>
      </c>
      <c r="Q119" s="16">
        <v>0.5</v>
      </c>
      <c r="R119" s="16">
        <v>0.38</v>
      </c>
      <c r="S119" s="17">
        <v>45549.0</v>
      </c>
      <c r="T119" s="18">
        <v>1.925</v>
      </c>
      <c r="U119" s="15" t="s">
        <v>70</v>
      </c>
      <c r="V119" s="19">
        <f t="shared" si="1"/>
        <v>0</v>
      </c>
      <c r="W119" s="19">
        <f t="shared" si="4"/>
        <v>-0.177027366</v>
      </c>
    </row>
    <row r="120">
      <c r="A120" s="8">
        <f t="shared" si="3"/>
        <v>119</v>
      </c>
      <c r="B120" s="8" t="s">
        <v>129</v>
      </c>
      <c r="C120" s="8" t="s">
        <v>19</v>
      </c>
      <c r="D120" s="8"/>
      <c r="E120" s="8" t="s">
        <v>1910</v>
      </c>
      <c r="F120" s="8">
        <v>11.0</v>
      </c>
      <c r="G120" s="8">
        <v>9.0</v>
      </c>
      <c r="H120" s="109"/>
      <c r="I120" s="8" t="s">
        <v>1473</v>
      </c>
      <c r="J120" s="8" t="s">
        <v>1480</v>
      </c>
      <c r="K120" s="8">
        <v>0.0</v>
      </c>
      <c r="L120" s="8" t="s">
        <v>923</v>
      </c>
      <c r="M120" s="8" t="s">
        <v>22</v>
      </c>
      <c r="N120" s="8" t="s">
        <v>892</v>
      </c>
      <c r="O120" s="8" t="s">
        <v>24</v>
      </c>
      <c r="P120" s="9">
        <v>0.0</v>
      </c>
      <c r="Q120" s="9">
        <v>0.5</v>
      </c>
      <c r="R120" s="9">
        <v>0.43</v>
      </c>
      <c r="S120" s="10">
        <v>45549.0</v>
      </c>
      <c r="T120" s="11">
        <v>2.05</v>
      </c>
      <c r="U120" s="8" t="s">
        <v>70</v>
      </c>
      <c r="V120" s="12">
        <f t="shared" si="1"/>
        <v>0</v>
      </c>
      <c r="W120" s="12">
        <f t="shared" si="4"/>
        <v>-0.177027366</v>
      </c>
    </row>
    <row r="121">
      <c r="A121" s="15">
        <f t="shared" si="3"/>
        <v>120</v>
      </c>
      <c r="B121" s="15" t="s">
        <v>129</v>
      </c>
      <c r="C121" s="15" t="s">
        <v>19</v>
      </c>
      <c r="D121" s="15">
        <v>46.0</v>
      </c>
      <c r="E121" s="15" t="s">
        <v>1911</v>
      </c>
      <c r="F121" s="15"/>
      <c r="G121" s="15"/>
      <c r="H121" s="15"/>
      <c r="I121" s="15" t="s">
        <v>1479</v>
      </c>
      <c r="J121" s="15" t="s">
        <v>1480</v>
      </c>
      <c r="K121" s="15">
        <v>0.0</v>
      </c>
      <c r="L121" s="15" t="s">
        <v>768</v>
      </c>
      <c r="M121" s="15" t="s">
        <v>22</v>
      </c>
      <c r="N121" s="15" t="s">
        <v>892</v>
      </c>
      <c r="O121" s="15" t="s">
        <v>24</v>
      </c>
      <c r="P121" s="16">
        <v>0.0</v>
      </c>
      <c r="Q121" s="16">
        <v>0.25</v>
      </c>
      <c r="R121" s="16">
        <f>0.25*37/47</f>
        <v>0.1968085106</v>
      </c>
      <c r="S121" s="17">
        <v>45550.0</v>
      </c>
      <c r="T121" s="18">
        <v>1.8</v>
      </c>
      <c r="U121" s="15" t="s">
        <v>33</v>
      </c>
      <c r="V121" s="19">
        <f t="shared" si="1"/>
        <v>0.1574468085</v>
      </c>
      <c r="W121" s="19">
        <f t="shared" si="4"/>
        <v>-0.01958055745</v>
      </c>
    </row>
    <row r="122">
      <c r="A122" s="8">
        <f t="shared" si="3"/>
        <v>121</v>
      </c>
      <c r="B122" s="8" t="s">
        <v>26</v>
      </c>
      <c r="C122" s="8" t="s">
        <v>19</v>
      </c>
      <c r="D122" s="8">
        <v>30.0</v>
      </c>
      <c r="E122" s="8" t="s">
        <v>1912</v>
      </c>
      <c r="F122" s="8">
        <v>6.0</v>
      </c>
      <c r="G122" s="8">
        <v>7.0</v>
      </c>
      <c r="H122" s="8">
        <f>1/(10*2)</f>
        <v>0.05</v>
      </c>
      <c r="I122" s="8" t="s">
        <v>1479</v>
      </c>
      <c r="J122" s="8" t="s">
        <v>1480</v>
      </c>
      <c r="K122" s="8">
        <v>0.0</v>
      </c>
      <c r="L122" s="8" t="s">
        <v>1913</v>
      </c>
      <c r="M122" s="8" t="s">
        <v>22</v>
      </c>
      <c r="N122" s="8" t="s">
        <v>225</v>
      </c>
      <c r="O122" s="8" t="s">
        <v>39</v>
      </c>
      <c r="P122" s="9">
        <v>0.25</v>
      </c>
      <c r="Q122" s="9">
        <v>0.25</v>
      </c>
      <c r="R122" s="9">
        <f>0.25*39/47*0.1</f>
        <v>0.02074468085</v>
      </c>
      <c r="S122" s="10">
        <v>45550.0</v>
      </c>
      <c r="T122" s="11">
        <v>1.825</v>
      </c>
      <c r="U122" s="8" t="s">
        <v>25</v>
      </c>
      <c r="V122" s="12">
        <f t="shared" si="1"/>
        <v>-0.02074468085</v>
      </c>
      <c r="W122" s="12">
        <f t="shared" si="4"/>
        <v>-0.0403252383</v>
      </c>
    </row>
    <row r="123">
      <c r="A123" s="15">
        <f t="shared" si="3"/>
        <v>122</v>
      </c>
      <c r="B123" s="15" t="s">
        <v>26</v>
      </c>
      <c r="C123" s="15" t="s">
        <v>19</v>
      </c>
      <c r="D123" s="15">
        <v>60.0</v>
      </c>
      <c r="E123" s="15" t="s">
        <v>1914</v>
      </c>
      <c r="F123" s="15">
        <v>13.0</v>
      </c>
      <c r="G123" s="15">
        <v>15.0</v>
      </c>
      <c r="H123" s="15"/>
      <c r="I123" s="15" t="s">
        <v>1473</v>
      </c>
      <c r="J123" s="15" t="s">
        <v>1915</v>
      </c>
      <c r="K123" s="15">
        <v>-1.0</v>
      </c>
      <c r="L123" s="15" t="s">
        <v>44</v>
      </c>
      <c r="M123" s="15" t="s">
        <v>22</v>
      </c>
      <c r="N123" s="15" t="s">
        <v>892</v>
      </c>
      <c r="O123" s="15" t="s">
        <v>24</v>
      </c>
      <c r="P123" s="16">
        <v>0.0</v>
      </c>
      <c r="Q123" s="16">
        <v>0.5</v>
      </c>
      <c r="R123" s="16">
        <v>0.5</v>
      </c>
      <c r="S123" s="17">
        <v>45550.0</v>
      </c>
      <c r="T123" s="18">
        <v>2.1</v>
      </c>
      <c r="U123" s="15" t="s">
        <v>70</v>
      </c>
      <c r="V123" s="19">
        <f t="shared" si="1"/>
        <v>0</v>
      </c>
      <c r="W123" s="19">
        <f t="shared" si="4"/>
        <v>-0.0403252383</v>
      </c>
    </row>
    <row r="124">
      <c r="A124" s="8">
        <f t="shared" si="3"/>
        <v>123</v>
      </c>
      <c r="B124" s="8" t="s">
        <v>26</v>
      </c>
      <c r="C124" s="8" t="s">
        <v>19</v>
      </c>
      <c r="D124" s="8">
        <v>20.0</v>
      </c>
      <c r="E124" s="8" t="s">
        <v>1916</v>
      </c>
      <c r="F124" s="8"/>
      <c r="G124" s="8"/>
      <c r="H124" s="8"/>
      <c r="I124" s="8" t="s">
        <v>1479</v>
      </c>
      <c r="J124" s="8" t="s">
        <v>1480</v>
      </c>
      <c r="K124" s="8">
        <v>0.0</v>
      </c>
      <c r="L124" s="8" t="s">
        <v>1031</v>
      </c>
      <c r="M124" s="8" t="s">
        <v>22</v>
      </c>
      <c r="N124" s="8" t="s">
        <v>892</v>
      </c>
      <c r="O124" s="8" t="s">
        <v>24</v>
      </c>
      <c r="P124" s="9">
        <v>0.0</v>
      </c>
      <c r="Q124" s="9">
        <v>0.5</v>
      </c>
      <c r="R124" s="9">
        <v>0.5</v>
      </c>
      <c r="S124" s="10">
        <v>45550.0</v>
      </c>
      <c r="T124" s="11">
        <f>368/250</f>
        <v>1.472</v>
      </c>
      <c r="U124" s="8" t="s">
        <v>33</v>
      </c>
      <c r="V124" s="12">
        <f t="shared" si="1"/>
        <v>0.236</v>
      </c>
      <c r="W124" s="12">
        <f t="shared" si="4"/>
        <v>0.1956747617</v>
      </c>
    </row>
    <row r="125">
      <c r="A125" s="15">
        <f t="shared" si="3"/>
        <v>124</v>
      </c>
      <c r="B125" s="15" t="s">
        <v>26</v>
      </c>
      <c r="C125" s="15" t="s">
        <v>19</v>
      </c>
      <c r="D125" s="15">
        <v>25.0</v>
      </c>
      <c r="E125" s="15" t="s">
        <v>1917</v>
      </c>
      <c r="F125" s="15"/>
      <c r="G125" s="15"/>
      <c r="H125" s="15"/>
      <c r="I125" s="15" t="s">
        <v>1479</v>
      </c>
      <c r="J125" s="15" t="s">
        <v>1474</v>
      </c>
      <c r="K125" s="15">
        <v>1.0</v>
      </c>
      <c r="L125" s="15" t="s">
        <v>93</v>
      </c>
      <c r="M125" s="15" t="s">
        <v>22</v>
      </c>
      <c r="N125" s="15" t="s">
        <v>225</v>
      </c>
      <c r="O125" s="15" t="s">
        <v>24</v>
      </c>
      <c r="P125" s="16">
        <v>0.5</v>
      </c>
      <c r="Q125" s="16">
        <v>0.5</v>
      </c>
      <c r="R125" s="16">
        <v>0.5</v>
      </c>
      <c r="S125" s="17">
        <v>45550.0</v>
      </c>
      <c r="T125" s="18">
        <f>298/250</f>
        <v>1.192</v>
      </c>
      <c r="U125" s="15" t="s">
        <v>33</v>
      </c>
      <c r="V125" s="19">
        <f t="shared" si="1"/>
        <v>0.096</v>
      </c>
      <c r="W125" s="19">
        <f t="shared" si="4"/>
        <v>0.2916747617</v>
      </c>
    </row>
    <row r="126">
      <c r="A126" s="8">
        <f t="shared" si="3"/>
        <v>125</v>
      </c>
      <c r="B126" s="8" t="s">
        <v>26</v>
      </c>
      <c r="C126" s="8" t="s">
        <v>19</v>
      </c>
      <c r="D126" s="8">
        <v>20.0</v>
      </c>
      <c r="E126" s="8" t="s">
        <v>1918</v>
      </c>
      <c r="F126" s="8"/>
      <c r="G126" s="8"/>
      <c r="H126" s="109"/>
      <c r="I126" s="8" t="s">
        <v>1479</v>
      </c>
      <c r="J126" s="8" t="s">
        <v>1474</v>
      </c>
      <c r="K126" s="8">
        <v>1.0</v>
      </c>
      <c r="L126" s="8" t="s">
        <v>50</v>
      </c>
      <c r="M126" s="8" t="s">
        <v>22</v>
      </c>
      <c r="N126" s="8" t="s">
        <v>225</v>
      </c>
      <c r="O126" s="8" t="s">
        <v>24</v>
      </c>
      <c r="P126" s="9">
        <v>0.5</v>
      </c>
      <c r="Q126" s="9">
        <v>0.25</v>
      </c>
      <c r="R126" s="9">
        <f>69/250*0.25</f>
        <v>0.069</v>
      </c>
      <c r="S126" s="10">
        <v>45550.0</v>
      </c>
      <c r="T126" s="11">
        <v>2.0</v>
      </c>
      <c r="U126" s="8" t="s">
        <v>25</v>
      </c>
      <c r="V126" s="12">
        <f t="shared" si="1"/>
        <v>-0.069</v>
      </c>
      <c r="W126" s="12">
        <f t="shared" si="4"/>
        <v>0.2226747617</v>
      </c>
    </row>
    <row r="127">
      <c r="A127" s="15">
        <f t="shared" si="3"/>
        <v>126</v>
      </c>
      <c r="B127" s="15" t="s">
        <v>26</v>
      </c>
      <c r="C127" s="15" t="s">
        <v>19</v>
      </c>
      <c r="D127" s="15">
        <v>40.0</v>
      </c>
      <c r="E127" s="15" t="s">
        <v>1919</v>
      </c>
      <c r="F127" s="15"/>
      <c r="G127" s="15"/>
      <c r="H127" s="112"/>
      <c r="I127" s="15" t="s">
        <v>1479</v>
      </c>
      <c r="J127" s="15" t="s">
        <v>1474</v>
      </c>
      <c r="K127" s="15">
        <v>0.0</v>
      </c>
      <c r="L127" s="15" t="s">
        <v>109</v>
      </c>
      <c r="M127" s="15" t="s">
        <v>22</v>
      </c>
      <c r="N127" s="15" t="s">
        <v>225</v>
      </c>
      <c r="O127" s="15" t="s">
        <v>24</v>
      </c>
      <c r="P127" s="16">
        <v>0.5</v>
      </c>
      <c r="Q127" s="16">
        <v>0.5</v>
      </c>
      <c r="R127" s="16">
        <v>0.5</v>
      </c>
      <c r="S127" s="17">
        <v>45550.0</v>
      </c>
      <c r="T127" s="18">
        <f>292/250</f>
        <v>1.168</v>
      </c>
      <c r="U127" s="15" t="s">
        <v>33</v>
      </c>
      <c r="V127" s="19">
        <f t="shared" si="1"/>
        <v>0.084</v>
      </c>
      <c r="W127" s="19">
        <f t="shared" si="4"/>
        <v>0.3066747617</v>
      </c>
    </row>
    <row r="128">
      <c r="A128" s="8">
        <f t="shared" si="3"/>
        <v>127</v>
      </c>
      <c r="B128" s="8" t="s">
        <v>26</v>
      </c>
      <c r="C128" s="8" t="s">
        <v>19</v>
      </c>
      <c r="D128" s="8">
        <v>60.0</v>
      </c>
      <c r="E128" s="8" t="s">
        <v>1920</v>
      </c>
      <c r="F128" s="8"/>
      <c r="G128" s="8"/>
      <c r="H128" s="109"/>
      <c r="I128" s="8" t="s">
        <v>1473</v>
      </c>
      <c r="J128" s="8" t="s">
        <v>1480</v>
      </c>
      <c r="K128" s="8">
        <v>0.0</v>
      </c>
      <c r="L128" s="8" t="s">
        <v>109</v>
      </c>
      <c r="M128" s="8" t="s">
        <v>22</v>
      </c>
      <c r="N128" s="8" t="s">
        <v>892</v>
      </c>
      <c r="O128" s="8" t="s">
        <v>24</v>
      </c>
      <c r="P128" s="9">
        <v>0.0</v>
      </c>
      <c r="Q128" s="9">
        <v>0.25</v>
      </c>
      <c r="R128" s="9">
        <v>0.25</v>
      </c>
      <c r="S128" s="10">
        <v>45550.0</v>
      </c>
      <c r="T128" s="11">
        <v>1.85</v>
      </c>
      <c r="U128" s="8" t="s">
        <v>70</v>
      </c>
      <c r="V128" s="12">
        <f t="shared" si="1"/>
        <v>0</v>
      </c>
      <c r="W128" s="12">
        <f t="shared" si="4"/>
        <v>0.3066747617</v>
      </c>
    </row>
    <row r="129">
      <c r="A129" s="15">
        <f t="shared" si="3"/>
        <v>128</v>
      </c>
      <c r="B129" s="15" t="s">
        <v>131</v>
      </c>
      <c r="C129" s="15" t="s">
        <v>19</v>
      </c>
      <c r="D129" s="15">
        <v>25.0</v>
      </c>
      <c r="E129" s="15" t="s">
        <v>1921</v>
      </c>
      <c r="F129" s="15"/>
      <c r="G129" s="15"/>
      <c r="H129" s="112"/>
      <c r="I129" s="15" t="s">
        <v>1473</v>
      </c>
      <c r="J129" s="15" t="s">
        <v>1474</v>
      </c>
      <c r="K129" s="15">
        <v>0.0</v>
      </c>
      <c r="L129" s="15" t="s">
        <v>84</v>
      </c>
      <c r="M129" s="15" t="s">
        <v>22</v>
      </c>
      <c r="N129" s="15" t="s">
        <v>225</v>
      </c>
      <c r="O129" s="15" t="s">
        <v>24</v>
      </c>
      <c r="P129" s="16">
        <v>0.25</v>
      </c>
      <c r="Q129" s="16">
        <v>0.5</v>
      </c>
      <c r="R129" s="16">
        <v>0.5</v>
      </c>
      <c r="S129" s="55">
        <v>45550.0</v>
      </c>
      <c r="T129" s="18">
        <f>327/250</f>
        <v>1.308</v>
      </c>
      <c r="U129" s="15" t="s">
        <v>33</v>
      </c>
      <c r="V129" s="19">
        <f t="shared" si="1"/>
        <v>0.154</v>
      </c>
      <c r="W129" s="19">
        <f t="shared" si="4"/>
        <v>0.4606747617</v>
      </c>
    </row>
    <row r="130">
      <c r="A130" s="8">
        <f t="shared" si="3"/>
        <v>129</v>
      </c>
      <c r="B130" s="8" t="s">
        <v>26</v>
      </c>
      <c r="C130" s="8" t="s">
        <v>19</v>
      </c>
      <c r="D130" s="8">
        <v>30.0</v>
      </c>
      <c r="E130" s="8" t="s">
        <v>1922</v>
      </c>
      <c r="F130" s="8">
        <v>7.0</v>
      </c>
      <c r="G130" s="8">
        <v>11.0</v>
      </c>
      <c r="H130" s="8"/>
      <c r="I130" s="8" t="s">
        <v>1473</v>
      </c>
      <c r="J130" s="8" t="s">
        <v>1474</v>
      </c>
      <c r="K130" s="8">
        <v>0.0</v>
      </c>
      <c r="L130" s="8" t="s">
        <v>93</v>
      </c>
      <c r="M130" s="8" t="s">
        <v>22</v>
      </c>
      <c r="N130" s="8" t="s">
        <v>225</v>
      </c>
      <c r="O130" s="8" t="s">
        <v>24</v>
      </c>
      <c r="P130" s="9">
        <v>0.5</v>
      </c>
      <c r="Q130" s="9">
        <v>0.5</v>
      </c>
      <c r="R130" s="9">
        <v>0.5</v>
      </c>
      <c r="S130" s="54">
        <v>45550.0</v>
      </c>
      <c r="T130" s="11">
        <v>1.8</v>
      </c>
      <c r="U130" s="8" t="s">
        <v>70</v>
      </c>
      <c r="V130" s="12">
        <f t="shared" si="1"/>
        <v>0</v>
      </c>
      <c r="W130" s="12">
        <f t="shared" si="4"/>
        <v>0.4606747617</v>
      </c>
    </row>
    <row r="131">
      <c r="A131" s="15">
        <f t="shared" si="3"/>
        <v>130</v>
      </c>
      <c r="B131" s="15" t="s">
        <v>26</v>
      </c>
      <c r="C131" s="15" t="s">
        <v>19</v>
      </c>
      <c r="D131" s="15">
        <v>82.0</v>
      </c>
      <c r="E131" s="15" t="s">
        <v>1923</v>
      </c>
      <c r="F131" s="15"/>
      <c r="G131" s="15"/>
      <c r="H131" s="112"/>
      <c r="I131" s="15" t="s">
        <v>1479</v>
      </c>
      <c r="J131" s="15" t="s">
        <v>1480</v>
      </c>
      <c r="K131" s="15">
        <v>0.0</v>
      </c>
      <c r="L131" s="15" t="s">
        <v>84</v>
      </c>
      <c r="M131" s="15" t="s">
        <v>22</v>
      </c>
      <c r="N131" s="15" t="s">
        <v>892</v>
      </c>
      <c r="O131" s="15" t="s">
        <v>24</v>
      </c>
      <c r="P131" s="16">
        <v>0.0</v>
      </c>
      <c r="Q131" s="16">
        <v>0.5</v>
      </c>
      <c r="R131" s="16">
        <v>0.5</v>
      </c>
      <c r="S131" s="17">
        <v>45550.0</v>
      </c>
      <c r="T131" s="18">
        <v>1.825</v>
      </c>
      <c r="U131" s="15" t="s">
        <v>70</v>
      </c>
      <c r="V131" s="19">
        <f t="shared" si="1"/>
        <v>0</v>
      </c>
      <c r="W131" s="19">
        <f t="shared" si="4"/>
        <v>0.4606747617</v>
      </c>
    </row>
    <row r="132">
      <c r="A132" s="8">
        <f t="shared" si="3"/>
        <v>131</v>
      </c>
      <c r="B132" s="8" t="s">
        <v>18</v>
      </c>
      <c r="C132" s="8" t="s">
        <v>19</v>
      </c>
      <c r="D132" s="8">
        <v>22.0</v>
      </c>
      <c r="E132" s="8" t="s">
        <v>1924</v>
      </c>
      <c r="F132" s="8"/>
      <c r="G132" s="8"/>
      <c r="H132" s="109"/>
      <c r="I132" s="8" t="s">
        <v>1479</v>
      </c>
      <c r="J132" s="8" t="s">
        <v>1480</v>
      </c>
      <c r="K132" s="8">
        <v>1.0</v>
      </c>
      <c r="L132" s="8" t="s">
        <v>1925</v>
      </c>
      <c r="M132" s="8" t="s">
        <v>22</v>
      </c>
      <c r="N132" s="8" t="s">
        <v>892</v>
      </c>
      <c r="O132" s="8" t="s">
        <v>24</v>
      </c>
      <c r="P132" s="9">
        <v>0.0</v>
      </c>
      <c r="Q132" s="9">
        <v>0.25</v>
      </c>
      <c r="R132" s="9">
        <v>0.25</v>
      </c>
      <c r="S132" s="10">
        <v>45550.0</v>
      </c>
      <c r="T132" s="11">
        <v>1.925</v>
      </c>
      <c r="U132" s="8" t="s">
        <v>25</v>
      </c>
      <c r="V132" s="12">
        <f t="shared" si="1"/>
        <v>-0.25</v>
      </c>
      <c r="W132" s="12">
        <f t="shared" si="4"/>
        <v>0.2106747617</v>
      </c>
    </row>
    <row r="133">
      <c r="A133" s="15">
        <f t="shared" si="3"/>
        <v>132</v>
      </c>
      <c r="B133" s="15" t="s">
        <v>18</v>
      </c>
      <c r="C133" s="15" t="s">
        <v>19</v>
      </c>
      <c r="D133" s="15">
        <v>70.0</v>
      </c>
      <c r="E133" s="15" t="s">
        <v>1926</v>
      </c>
      <c r="F133" s="15">
        <v>4.0</v>
      </c>
      <c r="G133" s="15">
        <v>11.0</v>
      </c>
      <c r="H133" s="112">
        <f>2/(19*2)</f>
        <v>0.05263157895</v>
      </c>
      <c r="I133" s="15"/>
      <c r="J133" s="15"/>
      <c r="K133" s="15"/>
      <c r="L133" s="15" t="s">
        <v>191</v>
      </c>
      <c r="M133" s="15" t="s">
        <v>22</v>
      </c>
      <c r="N133" s="15" t="s">
        <v>440</v>
      </c>
      <c r="O133" s="15" t="s">
        <v>24</v>
      </c>
      <c r="P133" s="16">
        <v>0.5</v>
      </c>
      <c r="Q133" s="16">
        <v>0.1</v>
      </c>
      <c r="R133" s="16">
        <v>0.1</v>
      </c>
      <c r="S133" s="17">
        <v>45550.0</v>
      </c>
      <c r="T133" s="18">
        <v>1.9</v>
      </c>
      <c r="U133" s="15" t="s">
        <v>25</v>
      </c>
      <c r="V133" s="19">
        <f t="shared" si="1"/>
        <v>-0.1</v>
      </c>
      <c r="W133" s="19">
        <f t="shared" si="4"/>
        <v>0.1106747617</v>
      </c>
    </row>
    <row r="134">
      <c r="A134" s="8">
        <f t="shared" si="3"/>
        <v>133</v>
      </c>
      <c r="B134" s="8" t="s">
        <v>26</v>
      </c>
      <c r="C134" s="8" t="s">
        <v>19</v>
      </c>
      <c r="D134" s="8">
        <v>45.0</v>
      </c>
      <c r="E134" s="8" t="s">
        <v>1927</v>
      </c>
      <c r="F134" s="8">
        <v>20.0</v>
      </c>
      <c r="G134" s="8">
        <v>1.0</v>
      </c>
      <c r="H134" s="109">
        <f>4/(19*2)</f>
        <v>0.1052631579</v>
      </c>
      <c r="I134" s="8" t="s">
        <v>1479</v>
      </c>
      <c r="J134" s="8" t="s">
        <v>1480</v>
      </c>
      <c r="K134" s="8">
        <v>0.0</v>
      </c>
      <c r="L134" s="8" t="s">
        <v>93</v>
      </c>
      <c r="M134" s="8" t="s">
        <v>22</v>
      </c>
      <c r="N134" s="8" t="s">
        <v>892</v>
      </c>
      <c r="O134" s="8" t="s">
        <v>1851</v>
      </c>
      <c r="P134" s="9">
        <v>0.0</v>
      </c>
      <c r="Q134" s="9">
        <v>0.1</v>
      </c>
      <c r="R134" s="9">
        <v>0.1</v>
      </c>
      <c r="S134" s="10">
        <v>45550.0</v>
      </c>
      <c r="T134" s="11">
        <v>1.975</v>
      </c>
      <c r="U134" s="8" t="s">
        <v>25</v>
      </c>
      <c r="V134" s="12">
        <f t="shared" si="1"/>
        <v>-0.1</v>
      </c>
      <c r="W134" s="12">
        <f t="shared" si="4"/>
        <v>0.0106747617</v>
      </c>
    </row>
    <row r="135">
      <c r="A135" s="15">
        <f t="shared" si="3"/>
        <v>134</v>
      </c>
      <c r="B135" s="15" t="s">
        <v>26</v>
      </c>
      <c r="C135" s="15" t="s">
        <v>19</v>
      </c>
      <c r="D135" s="15">
        <v>45.0</v>
      </c>
      <c r="E135" s="15" t="s">
        <v>1928</v>
      </c>
      <c r="F135" s="15"/>
      <c r="G135" s="15"/>
      <c r="H135" s="112"/>
      <c r="I135" s="15" t="s">
        <v>1479</v>
      </c>
      <c r="J135" s="15" t="s">
        <v>1480</v>
      </c>
      <c r="K135" s="15">
        <v>0.0</v>
      </c>
      <c r="L135" s="15" t="s">
        <v>93</v>
      </c>
      <c r="M135" s="15" t="s">
        <v>22</v>
      </c>
      <c r="N135" s="15" t="s">
        <v>892</v>
      </c>
      <c r="O135" s="15" t="s">
        <v>1851</v>
      </c>
      <c r="P135" s="16">
        <v>0.0</v>
      </c>
      <c r="Q135" s="16">
        <v>0.1</v>
      </c>
      <c r="R135" s="16">
        <v>0.1</v>
      </c>
      <c r="S135" s="17">
        <v>45550.0</v>
      </c>
      <c r="T135" s="18">
        <v>1.95</v>
      </c>
      <c r="U135" s="15" t="s">
        <v>70</v>
      </c>
      <c r="V135" s="19">
        <f t="shared" si="1"/>
        <v>0</v>
      </c>
      <c r="W135" s="19">
        <f t="shared" si="4"/>
        <v>0.0106747617</v>
      </c>
    </row>
    <row r="136">
      <c r="A136" s="8">
        <f t="shared" si="3"/>
        <v>135</v>
      </c>
      <c r="B136" s="8" t="s">
        <v>131</v>
      </c>
      <c r="C136" s="8" t="s">
        <v>19</v>
      </c>
      <c r="D136" s="8">
        <v>78.0</v>
      </c>
      <c r="E136" s="8" t="s">
        <v>1929</v>
      </c>
      <c r="F136" s="8"/>
      <c r="G136" s="8"/>
      <c r="H136" s="109"/>
      <c r="I136" s="8" t="s">
        <v>1473</v>
      </c>
      <c r="J136" s="8" t="s">
        <v>1474</v>
      </c>
      <c r="K136" s="8">
        <v>-1.0</v>
      </c>
      <c r="L136" s="8" t="s">
        <v>93</v>
      </c>
      <c r="M136" s="8" t="s">
        <v>22</v>
      </c>
      <c r="N136" s="8" t="s">
        <v>892</v>
      </c>
      <c r="O136" s="8" t="s">
        <v>24</v>
      </c>
      <c r="P136" s="9">
        <v>0.0</v>
      </c>
      <c r="Q136" s="9">
        <v>0.2</v>
      </c>
      <c r="R136" s="9">
        <v>0.2</v>
      </c>
      <c r="S136" s="10">
        <v>45550.0</v>
      </c>
      <c r="T136" s="11">
        <f>427.69/200</f>
        <v>2.13845</v>
      </c>
      <c r="U136" s="8" t="s">
        <v>33</v>
      </c>
      <c r="V136" s="12">
        <f t="shared" si="1"/>
        <v>0.22769</v>
      </c>
      <c r="W136" s="12">
        <f t="shared" si="4"/>
        <v>0.2383647617</v>
      </c>
    </row>
    <row r="137">
      <c r="A137" s="15">
        <f t="shared" si="3"/>
        <v>136</v>
      </c>
      <c r="B137" s="15" t="s">
        <v>26</v>
      </c>
      <c r="C137" s="15" t="s">
        <v>19</v>
      </c>
      <c r="D137" s="15">
        <v>20.0</v>
      </c>
      <c r="E137" s="15" t="s">
        <v>1930</v>
      </c>
      <c r="F137" s="15">
        <v>1.0</v>
      </c>
      <c r="G137" s="15">
        <v>4.0</v>
      </c>
      <c r="H137" s="112">
        <f>4/(4*2)</f>
        <v>0.5</v>
      </c>
      <c r="I137" s="15" t="s">
        <v>1473</v>
      </c>
      <c r="J137" s="15" t="s">
        <v>1474</v>
      </c>
      <c r="K137" s="15">
        <v>0.0</v>
      </c>
      <c r="L137" s="15" t="s">
        <v>82</v>
      </c>
      <c r="M137" s="15" t="s">
        <v>22</v>
      </c>
      <c r="N137" s="15" t="s">
        <v>1931</v>
      </c>
      <c r="O137" s="15" t="s">
        <v>24</v>
      </c>
      <c r="P137" s="16">
        <v>-0.5</v>
      </c>
      <c r="Q137" s="16">
        <v>0.05</v>
      </c>
      <c r="R137" s="16">
        <v>0.05</v>
      </c>
      <c r="S137" s="17">
        <v>45550.0</v>
      </c>
      <c r="T137" s="18">
        <v>5.5</v>
      </c>
      <c r="U137" s="15" t="s">
        <v>25</v>
      </c>
      <c r="V137" s="19">
        <f t="shared" si="1"/>
        <v>-0.05</v>
      </c>
      <c r="W137" s="19">
        <f t="shared" si="4"/>
        <v>0.1883647617</v>
      </c>
    </row>
    <row r="138">
      <c r="A138" s="8">
        <f t="shared" si="3"/>
        <v>137</v>
      </c>
      <c r="B138" s="8" t="s">
        <v>131</v>
      </c>
      <c r="C138" s="8" t="s">
        <v>19</v>
      </c>
      <c r="D138" s="8">
        <v>75.0</v>
      </c>
      <c r="E138" s="8" t="s">
        <v>1932</v>
      </c>
      <c r="F138" s="8">
        <v>9.0</v>
      </c>
      <c r="G138" s="8">
        <v>7.0</v>
      </c>
      <c r="H138" s="109">
        <f>2/(17*2)</f>
        <v>0.05882352941</v>
      </c>
      <c r="I138" s="8" t="s">
        <v>1473</v>
      </c>
      <c r="J138" s="8" t="s">
        <v>1480</v>
      </c>
      <c r="K138" s="8">
        <v>-1.0</v>
      </c>
      <c r="L138" s="8" t="s">
        <v>93</v>
      </c>
      <c r="M138" s="8" t="s">
        <v>22</v>
      </c>
      <c r="N138" s="8" t="s">
        <v>892</v>
      </c>
      <c r="O138" s="8" t="s">
        <v>24</v>
      </c>
      <c r="P138" s="9">
        <v>0.0</v>
      </c>
      <c r="Q138" s="9">
        <v>0.0</v>
      </c>
      <c r="R138" s="9">
        <v>0.25</v>
      </c>
      <c r="S138" s="10">
        <v>45550.0</v>
      </c>
      <c r="T138" s="11">
        <v>1.775</v>
      </c>
      <c r="U138" s="8" t="s">
        <v>70</v>
      </c>
      <c r="V138" s="12">
        <f t="shared" si="1"/>
        <v>0</v>
      </c>
      <c r="W138" s="12">
        <f t="shared" si="4"/>
        <v>0.1883647617</v>
      </c>
    </row>
    <row r="139">
      <c r="A139" s="15">
        <f t="shared" si="3"/>
        <v>138</v>
      </c>
      <c r="B139" s="15" t="s">
        <v>129</v>
      </c>
      <c r="C139" s="15" t="s">
        <v>19</v>
      </c>
      <c r="D139" s="15">
        <v>70.0</v>
      </c>
      <c r="E139" s="15" t="s">
        <v>1933</v>
      </c>
      <c r="F139" s="15"/>
      <c r="G139" s="15"/>
      <c r="H139" s="112"/>
      <c r="I139" s="15" t="s">
        <v>1473</v>
      </c>
      <c r="J139" s="15" t="s">
        <v>1480</v>
      </c>
      <c r="K139" s="15">
        <v>0.0</v>
      </c>
      <c r="L139" s="15" t="s">
        <v>84</v>
      </c>
      <c r="M139" s="15" t="s">
        <v>22</v>
      </c>
      <c r="N139" s="15" t="s">
        <v>892</v>
      </c>
      <c r="O139" s="15" t="s">
        <v>24</v>
      </c>
      <c r="P139" s="16">
        <v>0.0</v>
      </c>
      <c r="Q139" s="16">
        <v>0.25</v>
      </c>
      <c r="R139" s="16">
        <v>0.25</v>
      </c>
      <c r="S139" s="17">
        <v>45550.0</v>
      </c>
      <c r="T139" s="18">
        <v>1.675</v>
      </c>
      <c r="U139" s="15" t="s">
        <v>33</v>
      </c>
      <c r="V139" s="19">
        <f t="shared" si="1"/>
        <v>0.16875</v>
      </c>
      <c r="W139" s="19">
        <f t="shared" si="4"/>
        <v>0.3571147617</v>
      </c>
    </row>
    <row r="140">
      <c r="A140" s="8">
        <f t="shared" si="3"/>
        <v>139</v>
      </c>
      <c r="B140" s="8" t="s">
        <v>135</v>
      </c>
      <c r="C140" s="8" t="s">
        <v>19</v>
      </c>
      <c r="D140" s="8">
        <v>0.0</v>
      </c>
      <c r="E140" s="8" t="s">
        <v>1934</v>
      </c>
      <c r="F140" s="8">
        <v>4.0</v>
      </c>
      <c r="G140" s="8">
        <v>3.0</v>
      </c>
      <c r="H140" s="109">
        <f>1/(9*2)</f>
        <v>0.05555555556</v>
      </c>
      <c r="I140" s="8"/>
      <c r="J140" s="8"/>
      <c r="K140" s="8"/>
      <c r="L140" s="8" t="s">
        <v>38</v>
      </c>
      <c r="M140" s="8" t="s">
        <v>598</v>
      </c>
      <c r="N140" s="8" t="s">
        <v>29</v>
      </c>
      <c r="O140" s="8" t="s">
        <v>39</v>
      </c>
      <c r="P140" s="9">
        <v>-4.0</v>
      </c>
      <c r="Q140" s="9">
        <v>0.25</v>
      </c>
      <c r="R140" s="9">
        <v>0.25</v>
      </c>
      <c r="S140" s="10">
        <v>45552.0</v>
      </c>
      <c r="T140" s="11">
        <v>1.8</v>
      </c>
      <c r="U140" s="8" t="s">
        <v>25</v>
      </c>
      <c r="V140" s="12">
        <f t="shared" si="1"/>
        <v>-0.25</v>
      </c>
      <c r="W140" s="12">
        <f t="shared" si="4"/>
        <v>0.1071147617</v>
      </c>
    </row>
    <row r="141">
      <c r="A141" s="15">
        <f t="shared" si="3"/>
        <v>140</v>
      </c>
      <c r="B141" s="15" t="s">
        <v>26</v>
      </c>
      <c r="C141" s="15" t="s">
        <v>19</v>
      </c>
      <c r="D141" s="15">
        <v>38.0</v>
      </c>
      <c r="E141" s="15" t="s">
        <v>1935</v>
      </c>
      <c r="F141" s="15">
        <v>13.0</v>
      </c>
      <c r="G141" s="15">
        <v>16.0</v>
      </c>
      <c r="H141" s="112">
        <f>3/(15*2)</f>
        <v>0.1</v>
      </c>
      <c r="I141" s="15" t="s">
        <v>1473</v>
      </c>
      <c r="J141" s="15" t="s">
        <v>1480</v>
      </c>
      <c r="K141" s="15">
        <v>0.0</v>
      </c>
      <c r="L141" s="15" t="s">
        <v>853</v>
      </c>
      <c r="M141" s="15" t="s">
        <v>22</v>
      </c>
      <c r="N141" s="15" t="s">
        <v>892</v>
      </c>
      <c r="O141" s="15" t="s">
        <v>1851</v>
      </c>
      <c r="P141" s="16">
        <v>0.0</v>
      </c>
      <c r="Q141" s="16">
        <v>0.1</v>
      </c>
      <c r="R141" s="16">
        <v>0.1</v>
      </c>
      <c r="S141" s="17">
        <v>45552.0</v>
      </c>
      <c r="T141" s="18">
        <v>2.05</v>
      </c>
      <c r="U141" s="15" t="s">
        <v>33</v>
      </c>
      <c r="V141" s="19">
        <f t="shared" si="1"/>
        <v>0.105</v>
      </c>
      <c r="W141" s="19">
        <f t="shared" si="4"/>
        <v>0.2121147617</v>
      </c>
    </row>
    <row r="142">
      <c r="A142" s="8">
        <f t="shared" si="3"/>
        <v>141</v>
      </c>
      <c r="B142" s="8" t="s">
        <v>26</v>
      </c>
      <c r="C142" s="8" t="s">
        <v>19</v>
      </c>
      <c r="D142" s="8">
        <v>0.0</v>
      </c>
      <c r="E142" s="8" t="s">
        <v>1936</v>
      </c>
      <c r="F142" s="8"/>
      <c r="G142" s="8"/>
      <c r="H142" s="8"/>
      <c r="I142" s="8" t="s">
        <v>1479</v>
      </c>
      <c r="J142" s="8" t="s">
        <v>1477</v>
      </c>
      <c r="K142" s="8">
        <v>0.0</v>
      </c>
      <c r="L142" s="8" t="s">
        <v>463</v>
      </c>
      <c r="M142" s="8" t="s">
        <v>598</v>
      </c>
      <c r="N142" s="8" t="s">
        <v>894</v>
      </c>
      <c r="O142" s="8" t="s">
        <v>39</v>
      </c>
      <c r="P142" s="9">
        <v>-0.5</v>
      </c>
      <c r="Q142" s="9">
        <v>0.5</v>
      </c>
      <c r="R142" s="9">
        <v>0.49</v>
      </c>
      <c r="S142" s="54">
        <v>45552.0</v>
      </c>
      <c r="T142" s="11">
        <v>1.8</v>
      </c>
      <c r="U142" s="8" t="s">
        <v>33</v>
      </c>
      <c r="V142" s="12">
        <f t="shared" si="1"/>
        <v>0.392</v>
      </c>
      <c r="W142" s="12">
        <f t="shared" si="4"/>
        <v>0.6041147617</v>
      </c>
    </row>
    <row r="143">
      <c r="A143" s="15">
        <f t="shared" si="3"/>
        <v>142</v>
      </c>
      <c r="B143" s="15" t="s">
        <v>135</v>
      </c>
      <c r="C143" s="15" t="s">
        <v>19</v>
      </c>
      <c r="D143" s="15">
        <v>0.0</v>
      </c>
      <c r="E143" s="15" t="s">
        <v>1937</v>
      </c>
      <c r="F143" s="15">
        <v>17.0</v>
      </c>
      <c r="G143" s="15">
        <v>9.0</v>
      </c>
      <c r="H143" s="110">
        <f>2/(16*2)</f>
        <v>0.0625</v>
      </c>
      <c r="I143" s="15"/>
      <c r="J143" s="15"/>
      <c r="K143" s="15"/>
      <c r="L143" s="15" t="s">
        <v>167</v>
      </c>
      <c r="M143" s="15" t="s">
        <v>22</v>
      </c>
      <c r="N143" s="15" t="s">
        <v>29</v>
      </c>
      <c r="O143" s="15" t="s">
        <v>39</v>
      </c>
      <c r="P143" s="16">
        <v>-2.75</v>
      </c>
      <c r="Q143" s="16">
        <v>0.25</v>
      </c>
      <c r="R143" s="16">
        <v>0.25</v>
      </c>
      <c r="S143" s="17">
        <v>45552.0</v>
      </c>
      <c r="T143" s="18">
        <v>1.875</v>
      </c>
      <c r="U143" s="15" t="s">
        <v>33</v>
      </c>
      <c r="V143" s="19">
        <f t="shared" si="1"/>
        <v>0.21875</v>
      </c>
      <c r="W143" s="19">
        <f t="shared" si="4"/>
        <v>0.8228647617</v>
      </c>
    </row>
    <row r="144">
      <c r="A144" s="8">
        <f t="shared" si="3"/>
        <v>143</v>
      </c>
      <c r="B144" s="8" t="s">
        <v>26</v>
      </c>
      <c r="C144" s="8" t="s">
        <v>19</v>
      </c>
      <c r="D144" s="8">
        <v>32.0</v>
      </c>
      <c r="E144" s="8" t="s">
        <v>1938</v>
      </c>
      <c r="F144" s="8"/>
      <c r="G144" s="8"/>
      <c r="H144" s="111"/>
      <c r="I144" s="8" t="s">
        <v>1479</v>
      </c>
      <c r="J144" s="8" t="s">
        <v>1474</v>
      </c>
      <c r="K144" s="8">
        <v>0.0</v>
      </c>
      <c r="L144" s="8" t="s">
        <v>463</v>
      </c>
      <c r="M144" s="8" t="s">
        <v>22</v>
      </c>
      <c r="N144" s="8" t="s">
        <v>225</v>
      </c>
      <c r="O144" s="8" t="s">
        <v>1522</v>
      </c>
      <c r="P144" s="9">
        <v>0.25</v>
      </c>
      <c r="Q144" s="9">
        <v>0.5</v>
      </c>
      <c r="R144" s="9">
        <v>0.47</v>
      </c>
      <c r="S144" s="10">
        <v>45552.0</v>
      </c>
      <c r="T144" s="11">
        <v>1.72738</v>
      </c>
      <c r="U144" s="8" t="s">
        <v>33</v>
      </c>
      <c r="V144" s="12">
        <f t="shared" si="1"/>
        <v>0.3418686</v>
      </c>
      <c r="W144" s="12">
        <f t="shared" si="4"/>
        <v>1.164733362</v>
      </c>
    </row>
    <row r="145">
      <c r="A145" s="15">
        <f t="shared" si="3"/>
        <v>144</v>
      </c>
      <c r="B145" s="15" t="s">
        <v>35</v>
      </c>
      <c r="C145" s="15" t="s">
        <v>19</v>
      </c>
      <c r="D145" s="15">
        <v>59.0</v>
      </c>
      <c r="E145" s="15" t="s">
        <v>1939</v>
      </c>
      <c r="F145" s="15">
        <v>16.0</v>
      </c>
      <c r="G145" s="15">
        <v>6.0</v>
      </c>
      <c r="H145" s="110">
        <f t="shared" ref="H145:H146" si="12">1/(15*2)</f>
        <v>0.03333333333</v>
      </c>
      <c r="I145" s="15" t="s">
        <v>1479</v>
      </c>
      <c r="J145" s="15" t="s">
        <v>1480</v>
      </c>
      <c r="K145" s="15">
        <v>1.0</v>
      </c>
      <c r="L145" s="15" t="s">
        <v>167</v>
      </c>
      <c r="M145" s="15" t="s">
        <v>22</v>
      </c>
      <c r="N145" s="15" t="s">
        <v>892</v>
      </c>
      <c r="O145" s="15" t="s">
        <v>39</v>
      </c>
      <c r="P145" s="16">
        <v>0.0</v>
      </c>
      <c r="Q145" s="16">
        <v>0.25</v>
      </c>
      <c r="R145" s="16">
        <v>0.25</v>
      </c>
      <c r="S145" s="17">
        <v>45552.0</v>
      </c>
      <c r="T145" s="18">
        <v>1.85</v>
      </c>
      <c r="U145" s="15" t="s">
        <v>33</v>
      </c>
      <c r="V145" s="19">
        <f t="shared" si="1"/>
        <v>0.2125</v>
      </c>
      <c r="W145" s="19">
        <f t="shared" si="4"/>
        <v>1.377233362</v>
      </c>
    </row>
    <row r="146">
      <c r="A146" s="8">
        <f t="shared" si="3"/>
        <v>145</v>
      </c>
      <c r="B146" s="8" t="s">
        <v>35</v>
      </c>
      <c r="C146" s="8" t="s">
        <v>19</v>
      </c>
      <c r="D146" s="8">
        <v>68.0</v>
      </c>
      <c r="E146" s="8" t="s">
        <v>1940</v>
      </c>
      <c r="F146" s="8">
        <v>16.0</v>
      </c>
      <c r="G146" s="8">
        <v>6.0</v>
      </c>
      <c r="H146" s="111">
        <f t="shared" si="12"/>
        <v>0.03333333333</v>
      </c>
      <c r="I146" s="8" t="s">
        <v>1473</v>
      </c>
      <c r="J146" s="8" t="s">
        <v>1480</v>
      </c>
      <c r="K146" s="8">
        <v>-1.0</v>
      </c>
      <c r="L146" s="8" t="s">
        <v>167</v>
      </c>
      <c r="M146" s="8" t="s">
        <v>22</v>
      </c>
      <c r="N146" s="8" t="s">
        <v>892</v>
      </c>
      <c r="O146" s="8" t="s">
        <v>39</v>
      </c>
      <c r="P146" s="9">
        <v>0.0</v>
      </c>
      <c r="Q146" s="9">
        <v>0.23</v>
      </c>
      <c r="R146" s="9">
        <v>0.23</v>
      </c>
      <c r="S146" s="10">
        <v>45552.0</v>
      </c>
      <c r="T146" s="11">
        <v>2.0</v>
      </c>
      <c r="U146" s="8" t="s">
        <v>25</v>
      </c>
      <c r="V146" s="12">
        <f t="shared" si="1"/>
        <v>-0.23</v>
      </c>
      <c r="W146" s="12">
        <f t="shared" si="4"/>
        <v>1.147233362</v>
      </c>
    </row>
    <row r="147">
      <c r="A147" s="15">
        <f t="shared" si="3"/>
        <v>146</v>
      </c>
      <c r="B147" s="15" t="s">
        <v>26</v>
      </c>
      <c r="C147" s="15" t="s">
        <v>19</v>
      </c>
      <c r="D147" s="15">
        <v>26.0</v>
      </c>
      <c r="E147" s="15" t="s">
        <v>1941</v>
      </c>
      <c r="F147" s="15"/>
      <c r="G147" s="15"/>
      <c r="H147" s="110"/>
      <c r="I147" s="15" t="s">
        <v>1479</v>
      </c>
      <c r="J147" s="15" t="s">
        <v>1474</v>
      </c>
      <c r="K147" s="15">
        <v>0.0</v>
      </c>
      <c r="L147" s="15" t="s">
        <v>172</v>
      </c>
      <c r="M147" s="15" t="s">
        <v>22</v>
      </c>
      <c r="N147" s="15" t="s">
        <v>225</v>
      </c>
      <c r="O147" s="15" t="s">
        <v>24</v>
      </c>
      <c r="P147" s="16">
        <v>0.5</v>
      </c>
      <c r="Q147" s="16">
        <v>0.5</v>
      </c>
      <c r="R147" s="16">
        <v>0.49</v>
      </c>
      <c r="S147" s="17">
        <v>45552.0</v>
      </c>
      <c r="T147" s="18">
        <v>1.925</v>
      </c>
      <c r="U147" s="15" t="s">
        <v>25</v>
      </c>
      <c r="V147" s="19">
        <f t="shared" si="1"/>
        <v>-0.49</v>
      </c>
      <c r="W147" s="19">
        <f t="shared" si="4"/>
        <v>0.6572333617</v>
      </c>
    </row>
    <row r="148">
      <c r="A148" s="8">
        <f t="shared" si="3"/>
        <v>147</v>
      </c>
      <c r="B148" s="8" t="s">
        <v>18</v>
      </c>
      <c r="C148" s="8" t="s">
        <v>19</v>
      </c>
      <c r="D148" s="8">
        <v>35.0</v>
      </c>
      <c r="E148" s="8" t="s">
        <v>1942</v>
      </c>
      <c r="F148" s="8">
        <v>15.0</v>
      </c>
      <c r="G148" s="8">
        <v>10.0</v>
      </c>
      <c r="H148" s="111">
        <f>7/(17*2)</f>
        <v>0.2058823529</v>
      </c>
      <c r="I148" s="8" t="s">
        <v>1473</v>
      </c>
      <c r="J148" s="8" t="s">
        <v>1477</v>
      </c>
      <c r="K148" s="8">
        <v>-1.0</v>
      </c>
      <c r="L148" s="8" t="s">
        <v>44</v>
      </c>
      <c r="M148" s="8" t="s">
        <v>22</v>
      </c>
      <c r="N148" s="8" t="s">
        <v>894</v>
      </c>
      <c r="O148" s="8" t="s">
        <v>24</v>
      </c>
      <c r="P148" s="9">
        <v>-0.25</v>
      </c>
      <c r="Q148" s="9">
        <v>0.5</v>
      </c>
      <c r="R148" s="9">
        <v>0.49</v>
      </c>
      <c r="S148" s="10">
        <v>45552.0</v>
      </c>
      <c r="T148" s="11">
        <v>1.775</v>
      </c>
      <c r="U148" s="8" t="s">
        <v>33</v>
      </c>
      <c r="V148" s="12">
        <f t="shared" si="1"/>
        <v>0.37975</v>
      </c>
      <c r="W148" s="12">
        <f t="shared" si="4"/>
        <v>1.036983362</v>
      </c>
    </row>
    <row r="149">
      <c r="A149" s="15">
        <f t="shared" si="3"/>
        <v>148</v>
      </c>
      <c r="B149" s="15" t="s">
        <v>35</v>
      </c>
      <c r="C149" s="15" t="s">
        <v>19</v>
      </c>
      <c r="D149" s="15">
        <v>59.0</v>
      </c>
      <c r="E149" s="15" t="s">
        <v>1943</v>
      </c>
      <c r="F149" s="15">
        <v>7.0</v>
      </c>
      <c r="G149" s="15">
        <v>13.0</v>
      </c>
      <c r="H149" s="110">
        <f>1/(16*2)</f>
        <v>0.03125</v>
      </c>
      <c r="I149" s="15" t="s">
        <v>1473</v>
      </c>
      <c r="J149" s="15" t="s">
        <v>1480</v>
      </c>
      <c r="K149" s="15">
        <v>0.0</v>
      </c>
      <c r="L149" s="15" t="s">
        <v>167</v>
      </c>
      <c r="M149" s="15" t="s">
        <v>22</v>
      </c>
      <c r="N149" s="15" t="s">
        <v>892</v>
      </c>
      <c r="O149" s="15" t="s">
        <v>39</v>
      </c>
      <c r="P149" s="16">
        <v>0.0</v>
      </c>
      <c r="Q149" s="16">
        <v>0.25</v>
      </c>
      <c r="R149" s="16">
        <v>0.25</v>
      </c>
      <c r="S149" s="17">
        <v>45552.0</v>
      </c>
      <c r="T149" s="18">
        <v>1.95</v>
      </c>
      <c r="U149" s="15" t="s">
        <v>70</v>
      </c>
      <c r="V149" s="19">
        <f t="shared" si="1"/>
        <v>0</v>
      </c>
      <c r="W149" s="19">
        <f t="shared" si="4"/>
        <v>1.036983362</v>
      </c>
    </row>
    <row r="150">
      <c r="A150" s="8">
        <f t="shared" si="3"/>
        <v>149</v>
      </c>
      <c r="B150" s="8" t="s">
        <v>26</v>
      </c>
      <c r="C150" s="8" t="s">
        <v>19</v>
      </c>
      <c r="D150" s="8">
        <v>51.0</v>
      </c>
      <c r="E150" s="8" t="s">
        <v>1944</v>
      </c>
      <c r="F150" s="8"/>
      <c r="G150" s="8"/>
      <c r="H150" s="111"/>
      <c r="I150" s="8" t="s">
        <v>1479</v>
      </c>
      <c r="J150" s="8" t="s">
        <v>1480</v>
      </c>
      <c r="K150" s="8">
        <v>0.0</v>
      </c>
      <c r="L150" s="8" t="s">
        <v>82</v>
      </c>
      <c r="M150" s="8" t="s">
        <v>22</v>
      </c>
      <c r="N150" s="8" t="s">
        <v>892</v>
      </c>
      <c r="O150" s="8" t="s">
        <v>1851</v>
      </c>
      <c r="P150" s="9">
        <v>0.0</v>
      </c>
      <c r="Q150" s="9">
        <v>0.25</v>
      </c>
      <c r="R150" s="9">
        <v>0.12</v>
      </c>
      <c r="S150" s="10">
        <v>45552.0</v>
      </c>
      <c r="T150" s="11">
        <v>1.85</v>
      </c>
      <c r="U150" s="8" t="s">
        <v>25</v>
      </c>
      <c r="V150" s="12">
        <f t="shared" si="1"/>
        <v>-0.12</v>
      </c>
      <c r="W150" s="12">
        <f t="shared" si="4"/>
        <v>0.9169833617</v>
      </c>
    </row>
    <row r="151">
      <c r="A151" s="15">
        <f t="shared" si="3"/>
        <v>150</v>
      </c>
      <c r="B151" s="15" t="s">
        <v>26</v>
      </c>
      <c r="C151" s="15" t="s">
        <v>19</v>
      </c>
      <c r="D151" s="15">
        <v>0.0</v>
      </c>
      <c r="E151" s="15" t="s">
        <v>1945</v>
      </c>
      <c r="F151" s="15">
        <v>5.0</v>
      </c>
      <c r="G151" s="15">
        <v>17.0</v>
      </c>
      <c r="H151" s="15"/>
      <c r="I151" s="15"/>
      <c r="J151" s="15"/>
      <c r="K151" s="15"/>
      <c r="L151" s="15" t="s">
        <v>82</v>
      </c>
      <c r="M151" s="15" t="s">
        <v>598</v>
      </c>
      <c r="N151" s="15" t="s">
        <v>29</v>
      </c>
      <c r="O151" s="15" t="s">
        <v>39</v>
      </c>
      <c r="P151" s="16">
        <v>-2.25</v>
      </c>
      <c r="Q151" s="16">
        <v>0.1</v>
      </c>
      <c r="R151" s="16">
        <v>0.1</v>
      </c>
      <c r="S151" s="17">
        <v>45553.0</v>
      </c>
      <c r="T151" s="18">
        <v>1.875</v>
      </c>
      <c r="U151" s="15" t="s">
        <v>25</v>
      </c>
      <c r="V151" s="19">
        <f t="shared" si="1"/>
        <v>-0.1</v>
      </c>
      <c r="W151" s="19">
        <f t="shared" si="4"/>
        <v>0.8169833617</v>
      </c>
    </row>
    <row r="152">
      <c r="A152" s="8">
        <f t="shared" si="3"/>
        <v>151</v>
      </c>
      <c r="B152" s="8" t="s">
        <v>35</v>
      </c>
      <c r="C152" s="8" t="s">
        <v>19</v>
      </c>
      <c r="D152" s="8">
        <v>60.0</v>
      </c>
      <c r="E152" s="8" t="s">
        <v>1946</v>
      </c>
      <c r="F152" s="8"/>
      <c r="G152" s="8"/>
      <c r="H152" s="111"/>
      <c r="I152" s="8" t="s">
        <v>1473</v>
      </c>
      <c r="J152" s="8" t="s">
        <v>1480</v>
      </c>
      <c r="K152" s="8">
        <v>-3.0</v>
      </c>
      <c r="L152" s="8" t="s">
        <v>84</v>
      </c>
      <c r="M152" s="8" t="s">
        <v>22</v>
      </c>
      <c r="N152" s="8" t="s">
        <v>892</v>
      </c>
      <c r="O152" s="8" t="s">
        <v>24</v>
      </c>
      <c r="P152" s="9">
        <v>0.0</v>
      </c>
      <c r="Q152" s="9">
        <v>0.25</v>
      </c>
      <c r="R152" s="9">
        <v>0.25</v>
      </c>
      <c r="S152" s="10">
        <v>45553.0</v>
      </c>
      <c r="T152" s="11">
        <v>2.15</v>
      </c>
      <c r="U152" s="8" t="s">
        <v>70</v>
      </c>
      <c r="V152" s="12">
        <f t="shared" si="1"/>
        <v>0</v>
      </c>
      <c r="W152" s="12">
        <f t="shared" si="4"/>
        <v>0.8169833617</v>
      </c>
    </row>
    <row r="153">
      <c r="A153" s="15">
        <f t="shared" si="3"/>
        <v>152</v>
      </c>
      <c r="B153" s="15" t="s">
        <v>35</v>
      </c>
      <c r="C153" s="15" t="s">
        <v>19</v>
      </c>
      <c r="D153" s="15">
        <v>61.0</v>
      </c>
      <c r="E153" s="15" t="s">
        <v>1947</v>
      </c>
      <c r="F153" s="15">
        <v>2.0</v>
      </c>
      <c r="G153" s="15">
        <v>15.0</v>
      </c>
      <c r="H153" s="110">
        <f>5/(17*2)</f>
        <v>0.1470588235</v>
      </c>
      <c r="I153" s="15" t="s">
        <v>1479</v>
      </c>
      <c r="J153" s="15" t="s">
        <v>1480</v>
      </c>
      <c r="K153" s="15">
        <v>1.0</v>
      </c>
      <c r="L153" s="15" t="s">
        <v>863</v>
      </c>
      <c r="M153" s="15" t="s">
        <v>22</v>
      </c>
      <c r="N153" s="15" t="s">
        <v>892</v>
      </c>
      <c r="O153" s="15" t="s">
        <v>39</v>
      </c>
      <c r="P153" s="16">
        <v>0.0</v>
      </c>
      <c r="Q153" s="16">
        <v>0.25</v>
      </c>
      <c r="R153" s="16">
        <v>0.25</v>
      </c>
      <c r="S153" s="17">
        <v>45553.0</v>
      </c>
      <c r="T153" s="18">
        <v>1.825</v>
      </c>
      <c r="U153" s="15" t="s">
        <v>70</v>
      </c>
      <c r="V153" s="19">
        <f t="shared" si="1"/>
        <v>0</v>
      </c>
      <c r="W153" s="19">
        <f t="shared" si="4"/>
        <v>0.8169833617</v>
      </c>
    </row>
    <row r="154">
      <c r="A154" s="8">
        <f t="shared" si="3"/>
        <v>153</v>
      </c>
      <c r="B154" s="8" t="s">
        <v>135</v>
      </c>
      <c r="C154" s="8" t="s">
        <v>19</v>
      </c>
      <c r="D154" s="8">
        <v>0.0</v>
      </c>
      <c r="E154" s="8" t="s">
        <v>1948</v>
      </c>
      <c r="F154" s="8">
        <v>14.0</v>
      </c>
      <c r="G154" s="8">
        <v>8.0</v>
      </c>
      <c r="H154" s="111">
        <f>6/(17*2)</f>
        <v>0.1764705882</v>
      </c>
      <c r="I154" s="8"/>
      <c r="J154" s="8"/>
      <c r="K154" s="8"/>
      <c r="L154" s="8" t="s">
        <v>1201</v>
      </c>
      <c r="M154" s="8" t="s">
        <v>598</v>
      </c>
      <c r="N154" s="8" t="s">
        <v>29</v>
      </c>
      <c r="O154" s="8" t="s">
        <v>39</v>
      </c>
      <c r="P154" s="9">
        <v>-2.75</v>
      </c>
      <c r="Q154" s="9">
        <v>0.25</v>
      </c>
      <c r="R154" s="9">
        <v>0.25</v>
      </c>
      <c r="S154" s="10">
        <v>45553.0</v>
      </c>
      <c r="T154" s="11">
        <v>1.825</v>
      </c>
      <c r="U154" s="8" t="s">
        <v>79</v>
      </c>
      <c r="V154" s="12">
        <f t="shared" si="1"/>
        <v>-0.125</v>
      </c>
      <c r="W154" s="12">
        <f t="shared" si="4"/>
        <v>0.6919833617</v>
      </c>
    </row>
    <row r="155">
      <c r="A155" s="15">
        <f t="shared" si="3"/>
        <v>154</v>
      </c>
      <c r="B155" s="15" t="s">
        <v>35</v>
      </c>
      <c r="C155" s="15" t="s">
        <v>19</v>
      </c>
      <c r="D155" s="15">
        <v>60.0</v>
      </c>
      <c r="E155" s="15" t="s">
        <v>1949</v>
      </c>
      <c r="F155" s="15">
        <v>17.0</v>
      </c>
      <c r="G155" s="15">
        <v>8.0</v>
      </c>
      <c r="H155" s="110">
        <f>2/(19*2)</f>
        <v>0.05263157895</v>
      </c>
      <c r="I155" s="15" t="s">
        <v>1479</v>
      </c>
      <c r="J155" s="15" t="s">
        <v>1480</v>
      </c>
      <c r="K155" s="15">
        <v>1.0</v>
      </c>
      <c r="L155" s="15" t="s">
        <v>121</v>
      </c>
      <c r="M155" s="15" t="s">
        <v>22</v>
      </c>
      <c r="N155" s="15" t="s">
        <v>892</v>
      </c>
      <c r="O155" s="15" t="s">
        <v>39</v>
      </c>
      <c r="P155" s="16">
        <v>0.0</v>
      </c>
      <c r="Q155" s="16">
        <v>0.25</v>
      </c>
      <c r="R155" s="16">
        <v>0.1617</v>
      </c>
      <c r="S155" s="17">
        <v>45553.0</v>
      </c>
      <c r="T155" s="18">
        <v>1.7</v>
      </c>
      <c r="U155" s="15" t="s">
        <v>25</v>
      </c>
      <c r="V155" s="19">
        <f t="shared" si="1"/>
        <v>-0.1617</v>
      </c>
      <c r="W155" s="19">
        <f t="shared" si="4"/>
        <v>0.5302833617</v>
      </c>
    </row>
    <row r="156">
      <c r="A156" s="8">
        <f t="shared" si="3"/>
        <v>155</v>
      </c>
      <c r="B156" s="8" t="s">
        <v>35</v>
      </c>
      <c r="C156" s="8" t="s">
        <v>19</v>
      </c>
      <c r="D156" s="8">
        <v>60.0</v>
      </c>
      <c r="E156" s="8" t="s">
        <v>1950</v>
      </c>
      <c r="F156" s="8">
        <v>13.0</v>
      </c>
      <c r="G156" s="8">
        <v>4.0</v>
      </c>
      <c r="H156" s="8"/>
      <c r="I156" s="8" t="s">
        <v>1473</v>
      </c>
      <c r="J156" s="8" t="s">
        <v>1480</v>
      </c>
      <c r="K156" s="8">
        <v>1.0</v>
      </c>
      <c r="L156" s="8" t="s">
        <v>121</v>
      </c>
      <c r="M156" s="8" t="s">
        <v>22</v>
      </c>
      <c r="N156" s="8" t="s">
        <v>892</v>
      </c>
      <c r="O156" s="8" t="s">
        <v>39</v>
      </c>
      <c r="P156" s="9">
        <v>0.0</v>
      </c>
      <c r="Q156" s="9">
        <v>0.25</v>
      </c>
      <c r="R156" s="9">
        <v>0.2401</v>
      </c>
      <c r="S156" s="10">
        <v>45553.0</v>
      </c>
      <c r="T156" s="11">
        <v>1.95</v>
      </c>
      <c r="U156" s="8" t="s">
        <v>25</v>
      </c>
      <c r="V156" s="12">
        <f t="shared" si="1"/>
        <v>-0.2401</v>
      </c>
      <c r="W156" s="12">
        <f t="shared" si="4"/>
        <v>0.2901833617</v>
      </c>
    </row>
    <row r="157">
      <c r="A157" s="15">
        <f t="shared" si="3"/>
        <v>156</v>
      </c>
      <c r="B157" s="15" t="s">
        <v>35</v>
      </c>
      <c r="C157" s="15" t="s">
        <v>19</v>
      </c>
      <c r="D157" s="15">
        <v>60.0</v>
      </c>
      <c r="E157" s="15" t="s">
        <v>1951</v>
      </c>
      <c r="F157" s="15"/>
      <c r="G157" s="15"/>
      <c r="H157" s="110"/>
      <c r="I157" s="15" t="s">
        <v>1473</v>
      </c>
      <c r="J157" s="15" t="s">
        <v>1480</v>
      </c>
      <c r="K157" s="15">
        <v>-1.0</v>
      </c>
      <c r="L157" s="15" t="s">
        <v>78</v>
      </c>
      <c r="M157" s="15" t="s">
        <v>22</v>
      </c>
      <c r="N157" s="15" t="s">
        <v>892</v>
      </c>
      <c r="O157" s="15" t="s">
        <v>39</v>
      </c>
      <c r="P157" s="16">
        <v>0.0</v>
      </c>
      <c r="Q157" s="16">
        <v>0.25</v>
      </c>
      <c r="R157" s="16">
        <v>0.25</v>
      </c>
      <c r="S157" s="17">
        <v>45553.0</v>
      </c>
      <c r="T157" s="18">
        <v>1.65</v>
      </c>
      <c r="U157" s="15" t="s">
        <v>25</v>
      </c>
      <c r="V157" s="19">
        <f t="shared" si="1"/>
        <v>-0.25</v>
      </c>
      <c r="W157" s="19">
        <f t="shared" si="4"/>
        <v>0.0401833617</v>
      </c>
    </row>
    <row r="158">
      <c r="A158" s="8">
        <f t="shared" si="3"/>
        <v>157</v>
      </c>
      <c r="B158" s="8" t="s">
        <v>35</v>
      </c>
      <c r="C158" s="8" t="s">
        <v>19</v>
      </c>
      <c r="D158" s="8">
        <v>60.0</v>
      </c>
      <c r="E158" s="8" t="s">
        <v>1952</v>
      </c>
      <c r="F158" s="8">
        <v>10.0</v>
      </c>
      <c r="G158" s="8">
        <v>2.0</v>
      </c>
      <c r="H158" s="111">
        <f>8/(15*2)</f>
        <v>0.2666666667</v>
      </c>
      <c r="I158" s="8" t="s">
        <v>1473</v>
      </c>
      <c r="J158" s="8" t="s">
        <v>1480</v>
      </c>
      <c r="K158" s="8">
        <v>2.0</v>
      </c>
      <c r="L158" s="8" t="s">
        <v>101</v>
      </c>
      <c r="M158" s="8" t="s">
        <v>22</v>
      </c>
      <c r="N158" s="8" t="s">
        <v>892</v>
      </c>
      <c r="O158" s="8" t="s">
        <v>39</v>
      </c>
      <c r="P158" s="9">
        <v>0.0</v>
      </c>
      <c r="Q158" s="9">
        <v>0.25</v>
      </c>
      <c r="R158" s="9">
        <v>0.25</v>
      </c>
      <c r="S158" s="54">
        <v>45553.0</v>
      </c>
      <c r="T158" s="11">
        <v>2.05</v>
      </c>
      <c r="U158" s="8" t="s">
        <v>33</v>
      </c>
      <c r="V158" s="12">
        <f t="shared" si="1"/>
        <v>0.2625</v>
      </c>
      <c r="W158" s="12">
        <f t="shared" si="4"/>
        <v>0.3026833617</v>
      </c>
    </row>
    <row r="159">
      <c r="A159" s="15">
        <f t="shared" si="3"/>
        <v>158</v>
      </c>
      <c r="B159" s="15" t="s">
        <v>26</v>
      </c>
      <c r="C159" s="15" t="s">
        <v>19</v>
      </c>
      <c r="D159" s="15">
        <v>25.0</v>
      </c>
      <c r="E159" s="15" t="s">
        <v>1953</v>
      </c>
      <c r="F159" s="15">
        <v>5.0</v>
      </c>
      <c r="G159" s="15">
        <v>15.0</v>
      </c>
      <c r="H159" s="15"/>
      <c r="I159" s="15" t="s">
        <v>1479</v>
      </c>
      <c r="J159" s="15" t="s">
        <v>1477</v>
      </c>
      <c r="K159" s="15">
        <v>0.0</v>
      </c>
      <c r="L159" s="15" t="s">
        <v>44</v>
      </c>
      <c r="M159" s="15" t="s">
        <v>22</v>
      </c>
      <c r="N159" s="15" t="s">
        <v>894</v>
      </c>
      <c r="O159" s="15" t="s">
        <v>39</v>
      </c>
      <c r="P159" s="16">
        <v>-0.25</v>
      </c>
      <c r="Q159" s="16">
        <v>0.25</v>
      </c>
      <c r="R159" s="16">
        <v>0.25</v>
      </c>
      <c r="S159" s="17">
        <v>45553.0</v>
      </c>
      <c r="T159" s="18">
        <v>1.7</v>
      </c>
      <c r="U159" s="15" t="s">
        <v>33</v>
      </c>
      <c r="V159" s="19">
        <f t="shared" si="1"/>
        <v>0.175</v>
      </c>
      <c r="W159" s="19">
        <f t="shared" si="4"/>
        <v>0.4776833617</v>
      </c>
    </row>
    <row r="160">
      <c r="A160" s="8">
        <f t="shared" si="3"/>
        <v>159</v>
      </c>
      <c r="B160" s="8" t="s">
        <v>35</v>
      </c>
      <c r="C160" s="8" t="s">
        <v>19</v>
      </c>
      <c r="D160" s="8">
        <v>59.0</v>
      </c>
      <c r="E160" s="8" t="s">
        <v>1954</v>
      </c>
      <c r="F160" s="8">
        <v>8.0</v>
      </c>
      <c r="G160" s="8">
        <v>11.0</v>
      </c>
      <c r="H160" s="111"/>
      <c r="I160" s="8" t="s">
        <v>1473</v>
      </c>
      <c r="J160" s="8" t="s">
        <v>1480</v>
      </c>
      <c r="K160" s="8">
        <v>1.0</v>
      </c>
      <c r="L160" s="8" t="s">
        <v>877</v>
      </c>
      <c r="M160" s="8" t="s">
        <v>22</v>
      </c>
      <c r="N160" s="8" t="s">
        <v>892</v>
      </c>
      <c r="O160" s="8" t="s">
        <v>39</v>
      </c>
      <c r="P160" s="9">
        <v>0.0</v>
      </c>
      <c r="Q160" s="9">
        <v>0.25</v>
      </c>
      <c r="R160" s="9">
        <v>0.25</v>
      </c>
      <c r="S160" s="10">
        <v>45553.0</v>
      </c>
      <c r="T160" s="11">
        <v>1.95</v>
      </c>
      <c r="U160" s="8" t="s">
        <v>25</v>
      </c>
      <c r="V160" s="12">
        <f t="shared" si="1"/>
        <v>-0.25</v>
      </c>
      <c r="W160" s="12">
        <f t="shared" si="4"/>
        <v>0.2276833617</v>
      </c>
    </row>
    <row r="161">
      <c r="A161" s="15">
        <f t="shared" si="3"/>
        <v>160</v>
      </c>
      <c r="B161" s="15" t="s">
        <v>35</v>
      </c>
      <c r="C161" s="15" t="s">
        <v>19</v>
      </c>
      <c r="D161" s="15">
        <v>60.0</v>
      </c>
      <c r="E161" s="15" t="s">
        <v>1955</v>
      </c>
      <c r="F161" s="15">
        <v>11.0</v>
      </c>
      <c r="G161" s="15">
        <v>5.0</v>
      </c>
      <c r="H161" s="110">
        <f>3/(17*2)</f>
        <v>0.08823529412</v>
      </c>
      <c r="I161" s="15" t="s">
        <v>1473</v>
      </c>
      <c r="J161" s="15" t="s">
        <v>1480</v>
      </c>
      <c r="K161" s="15">
        <v>0.0</v>
      </c>
      <c r="L161" s="15" t="s">
        <v>162</v>
      </c>
      <c r="M161" s="15" t="s">
        <v>22</v>
      </c>
      <c r="N161" s="15" t="s">
        <v>892</v>
      </c>
      <c r="O161" s="15" t="s">
        <v>39</v>
      </c>
      <c r="P161" s="16">
        <v>0.0</v>
      </c>
      <c r="Q161" s="16">
        <v>0.25</v>
      </c>
      <c r="R161" s="16">
        <f>0.25*42/51</f>
        <v>0.2058823529</v>
      </c>
      <c r="S161" s="17">
        <v>45553.0</v>
      </c>
      <c r="T161" s="18">
        <v>2.25</v>
      </c>
      <c r="U161" s="15" t="s">
        <v>33</v>
      </c>
      <c r="V161" s="19">
        <f t="shared" si="1"/>
        <v>0.2573529412</v>
      </c>
      <c r="W161" s="19">
        <f t="shared" si="4"/>
        <v>0.4850363029</v>
      </c>
    </row>
    <row r="162">
      <c r="A162" s="8">
        <f t="shared" si="3"/>
        <v>161</v>
      </c>
      <c r="B162" s="8" t="s">
        <v>35</v>
      </c>
      <c r="C162" s="8" t="s">
        <v>19</v>
      </c>
      <c r="D162" s="8">
        <v>63.0</v>
      </c>
      <c r="E162" s="8" t="s">
        <v>1956</v>
      </c>
      <c r="F162" s="8"/>
      <c r="G162" s="8"/>
      <c r="H162" s="111"/>
      <c r="I162" s="8" t="s">
        <v>1473</v>
      </c>
      <c r="J162" s="8" t="s">
        <v>1480</v>
      </c>
      <c r="K162" s="8">
        <v>3.0</v>
      </c>
      <c r="L162" s="8" t="s">
        <v>1957</v>
      </c>
      <c r="M162" s="8" t="s">
        <v>22</v>
      </c>
      <c r="N162" s="8" t="s">
        <v>892</v>
      </c>
      <c r="O162" s="8" t="s">
        <v>39</v>
      </c>
      <c r="P162" s="9">
        <v>0.0</v>
      </c>
      <c r="Q162" s="9">
        <v>0.25</v>
      </c>
      <c r="R162" s="9">
        <v>0.25</v>
      </c>
      <c r="S162" s="10">
        <v>45553.0</v>
      </c>
      <c r="T162" s="11">
        <v>2.15</v>
      </c>
      <c r="U162" s="8" t="s">
        <v>70</v>
      </c>
      <c r="V162" s="12">
        <f t="shared" si="1"/>
        <v>0</v>
      </c>
      <c r="W162" s="12">
        <f t="shared" si="4"/>
        <v>0.4850363029</v>
      </c>
    </row>
    <row r="163">
      <c r="A163" s="15">
        <f t="shared" si="3"/>
        <v>162</v>
      </c>
      <c r="B163" s="15" t="s">
        <v>35</v>
      </c>
      <c r="C163" s="15" t="s">
        <v>19</v>
      </c>
      <c r="D163" s="15">
        <v>61.0</v>
      </c>
      <c r="E163" s="15" t="s">
        <v>1958</v>
      </c>
      <c r="F163" s="15"/>
      <c r="G163" s="15"/>
      <c r="H163" s="15"/>
      <c r="I163" s="15" t="s">
        <v>1473</v>
      </c>
      <c r="J163" s="15" t="s">
        <v>1480</v>
      </c>
      <c r="K163" s="15">
        <v>0.0</v>
      </c>
      <c r="L163" s="15" t="s">
        <v>1957</v>
      </c>
      <c r="M163" s="15" t="s">
        <v>22</v>
      </c>
      <c r="N163" s="15" t="s">
        <v>892</v>
      </c>
      <c r="O163" s="15" t="s">
        <v>39</v>
      </c>
      <c r="P163" s="16">
        <v>0.0</v>
      </c>
      <c r="Q163" s="16">
        <v>0.25</v>
      </c>
      <c r="R163" s="16">
        <v>0.166</v>
      </c>
      <c r="S163" s="17">
        <v>45553.0</v>
      </c>
      <c r="T163" s="18">
        <v>2.15</v>
      </c>
      <c r="U163" s="15" t="s">
        <v>70</v>
      </c>
      <c r="V163" s="19">
        <f t="shared" si="1"/>
        <v>0</v>
      </c>
      <c r="W163" s="19">
        <f t="shared" si="4"/>
        <v>0.4850363029</v>
      </c>
    </row>
    <row r="164">
      <c r="A164" s="8">
        <f t="shared" si="3"/>
        <v>163</v>
      </c>
      <c r="B164" s="8" t="s">
        <v>135</v>
      </c>
      <c r="C164" s="8" t="s">
        <v>19</v>
      </c>
      <c r="D164" s="8"/>
      <c r="E164" s="8" t="s">
        <v>1959</v>
      </c>
      <c r="F164" s="8">
        <v>7.0</v>
      </c>
      <c r="G164" s="8">
        <v>4.0</v>
      </c>
      <c r="H164" s="111">
        <f>6/(15*2)</f>
        <v>0.2</v>
      </c>
      <c r="I164" s="8"/>
      <c r="J164" s="8"/>
      <c r="K164" s="8"/>
      <c r="L164" s="8" t="s">
        <v>178</v>
      </c>
      <c r="M164" s="8" t="s">
        <v>598</v>
      </c>
      <c r="N164" s="8" t="s">
        <v>29</v>
      </c>
      <c r="O164" s="8" t="s">
        <v>39</v>
      </c>
      <c r="P164" s="9">
        <v>-3.0</v>
      </c>
      <c r="Q164" s="9">
        <v>0.25</v>
      </c>
      <c r="R164" s="9">
        <v>0.25</v>
      </c>
      <c r="S164" s="10">
        <v>45553.0</v>
      </c>
      <c r="T164" s="11">
        <v>1.85</v>
      </c>
      <c r="U164" s="8" t="s">
        <v>33</v>
      </c>
      <c r="V164" s="12">
        <f t="shared" si="1"/>
        <v>0.2125</v>
      </c>
      <c r="W164" s="12">
        <f t="shared" si="4"/>
        <v>0.6975363029</v>
      </c>
    </row>
    <row r="165">
      <c r="A165" s="15">
        <f t="shared" si="3"/>
        <v>164</v>
      </c>
      <c r="B165" s="15" t="s">
        <v>35</v>
      </c>
      <c r="C165" s="15" t="s">
        <v>40</v>
      </c>
      <c r="D165" s="15">
        <v>61.0</v>
      </c>
      <c r="E165" s="15" t="s">
        <v>1960</v>
      </c>
      <c r="F165" s="15"/>
      <c r="G165" s="15"/>
      <c r="H165" s="110"/>
      <c r="I165" s="15" t="s">
        <v>1473</v>
      </c>
      <c r="J165" s="15" t="s">
        <v>1480</v>
      </c>
      <c r="K165" s="15">
        <v>1.0</v>
      </c>
      <c r="L165" s="15" t="s">
        <v>1961</v>
      </c>
      <c r="M165" s="15" t="s">
        <v>22</v>
      </c>
      <c r="N165" s="15" t="s">
        <v>892</v>
      </c>
      <c r="O165" s="15" t="s">
        <v>39</v>
      </c>
      <c r="P165" s="16">
        <v>0.0</v>
      </c>
      <c r="Q165" s="16">
        <v>0.25</v>
      </c>
      <c r="R165" s="16">
        <v>0.25</v>
      </c>
      <c r="S165" s="17">
        <v>45553.0</v>
      </c>
      <c r="T165" s="18">
        <v>2.2</v>
      </c>
      <c r="U165" s="15" t="s">
        <v>70</v>
      </c>
      <c r="V165" s="19">
        <f t="shared" si="1"/>
        <v>0</v>
      </c>
      <c r="W165" s="19">
        <f t="shared" si="4"/>
        <v>0.6975363029</v>
      </c>
    </row>
    <row r="166">
      <c r="A166" s="8">
        <f t="shared" si="3"/>
        <v>165</v>
      </c>
      <c r="B166" s="8" t="s">
        <v>35</v>
      </c>
      <c r="C166" s="8" t="s">
        <v>19</v>
      </c>
      <c r="D166" s="8">
        <v>61.0</v>
      </c>
      <c r="E166" s="8" t="s">
        <v>1962</v>
      </c>
      <c r="F166" s="8">
        <v>3.0</v>
      </c>
      <c r="G166" s="8">
        <v>2.0</v>
      </c>
      <c r="H166" s="111">
        <f>23/(9*2)</f>
        <v>1.277777778</v>
      </c>
      <c r="I166" s="8" t="s">
        <v>1473</v>
      </c>
      <c r="J166" s="8" t="s">
        <v>1480</v>
      </c>
      <c r="K166" s="8">
        <v>1.0</v>
      </c>
      <c r="L166" s="8" t="s">
        <v>740</v>
      </c>
      <c r="M166" s="8" t="s">
        <v>22</v>
      </c>
      <c r="N166" s="8" t="s">
        <v>892</v>
      </c>
      <c r="O166" s="8" t="s">
        <v>39</v>
      </c>
      <c r="P166" s="9">
        <v>0.0</v>
      </c>
      <c r="Q166" s="9">
        <v>0.25</v>
      </c>
      <c r="R166" s="9">
        <v>0.25</v>
      </c>
      <c r="S166" s="10">
        <v>45553.0</v>
      </c>
      <c r="T166" s="11">
        <v>1.925</v>
      </c>
      <c r="U166" s="8" t="s">
        <v>25</v>
      </c>
      <c r="V166" s="12">
        <f t="shared" si="1"/>
        <v>-0.25</v>
      </c>
      <c r="W166" s="12">
        <f t="shared" si="4"/>
        <v>0.4475363029</v>
      </c>
    </row>
    <row r="167">
      <c r="A167" s="15">
        <f t="shared" si="3"/>
        <v>166</v>
      </c>
      <c r="B167" s="15" t="s">
        <v>35</v>
      </c>
      <c r="C167" s="15" t="s">
        <v>19</v>
      </c>
      <c r="D167" s="15">
        <v>66.0</v>
      </c>
      <c r="E167" s="15" t="s">
        <v>1963</v>
      </c>
      <c r="F167" s="15">
        <v>12.0</v>
      </c>
      <c r="G167" s="15">
        <v>4.0</v>
      </c>
      <c r="H167" s="110">
        <f>23/(15*2)</f>
        <v>0.7666666667</v>
      </c>
      <c r="I167" s="15" t="s">
        <v>1473</v>
      </c>
      <c r="J167" s="15" t="s">
        <v>1480</v>
      </c>
      <c r="K167" s="15">
        <v>0.0</v>
      </c>
      <c r="L167" s="15" t="s">
        <v>940</v>
      </c>
      <c r="M167" s="15" t="s">
        <v>22</v>
      </c>
      <c r="N167" s="15" t="s">
        <v>892</v>
      </c>
      <c r="O167" s="15" t="s">
        <v>39</v>
      </c>
      <c r="P167" s="16">
        <v>0.0</v>
      </c>
      <c r="Q167" s="16">
        <v>0.25</v>
      </c>
      <c r="R167" s="16">
        <v>0.25</v>
      </c>
      <c r="S167" s="17">
        <v>45553.0</v>
      </c>
      <c r="T167" s="18">
        <v>1.7</v>
      </c>
      <c r="U167" s="15" t="s">
        <v>25</v>
      </c>
      <c r="V167" s="19">
        <f t="shared" si="1"/>
        <v>-0.25</v>
      </c>
      <c r="W167" s="19">
        <f t="shared" si="4"/>
        <v>0.1975363029</v>
      </c>
    </row>
    <row r="168">
      <c r="A168" s="8">
        <f t="shared" si="3"/>
        <v>167</v>
      </c>
      <c r="B168" s="8" t="s">
        <v>137</v>
      </c>
      <c r="C168" s="8" t="s">
        <v>40</v>
      </c>
      <c r="D168" s="8">
        <v>59.0</v>
      </c>
      <c r="E168" s="8" t="s">
        <v>1964</v>
      </c>
      <c r="F168" s="8"/>
      <c r="G168" s="8"/>
      <c r="H168" s="111"/>
      <c r="I168" s="8" t="s">
        <v>1479</v>
      </c>
      <c r="J168" s="8" t="s">
        <v>1480</v>
      </c>
      <c r="K168" s="8">
        <v>-1.0</v>
      </c>
      <c r="L168" s="8" t="s">
        <v>93</v>
      </c>
      <c r="M168" s="8" t="s">
        <v>22</v>
      </c>
      <c r="N168" s="8" t="s">
        <v>892</v>
      </c>
      <c r="O168" s="8" t="s">
        <v>24</v>
      </c>
      <c r="P168" s="9">
        <v>0.0</v>
      </c>
      <c r="Q168" s="9">
        <v>1.0</v>
      </c>
      <c r="R168" s="9">
        <v>0.9901</v>
      </c>
      <c r="S168" s="10">
        <v>45553.0</v>
      </c>
      <c r="T168" s="11">
        <v>1.735</v>
      </c>
      <c r="U168" s="8" t="s">
        <v>33</v>
      </c>
      <c r="V168" s="12">
        <f t="shared" si="1"/>
        <v>0.7277235</v>
      </c>
      <c r="W168" s="12">
        <f t="shared" si="4"/>
        <v>0.9252598029</v>
      </c>
    </row>
    <row r="169">
      <c r="A169" s="15">
        <f t="shared" si="3"/>
        <v>168</v>
      </c>
      <c r="B169" s="15" t="s">
        <v>26</v>
      </c>
      <c r="C169" s="15" t="s">
        <v>19</v>
      </c>
      <c r="D169" s="15">
        <v>75.0</v>
      </c>
      <c r="E169" s="15" t="s">
        <v>1965</v>
      </c>
      <c r="F169" s="15">
        <v>5.0</v>
      </c>
      <c r="G169" s="15">
        <v>6.0</v>
      </c>
      <c r="H169" s="110">
        <f>3/(5*2)</f>
        <v>0.3</v>
      </c>
      <c r="I169" s="15" t="s">
        <v>1479</v>
      </c>
      <c r="J169" s="15" t="s">
        <v>1477</v>
      </c>
      <c r="K169" s="15">
        <v>7.0</v>
      </c>
      <c r="L169" s="15" t="s">
        <v>82</v>
      </c>
      <c r="M169" s="15" t="s">
        <v>22</v>
      </c>
      <c r="N169" s="15" t="s">
        <v>894</v>
      </c>
      <c r="O169" s="15" t="s">
        <v>24</v>
      </c>
      <c r="P169" s="16">
        <v>-0.5</v>
      </c>
      <c r="Q169" s="16">
        <v>0.15</v>
      </c>
      <c r="R169" s="16">
        <v>0.15</v>
      </c>
      <c r="S169" s="17">
        <v>45553.0</v>
      </c>
      <c r="T169" s="18">
        <v>1.8</v>
      </c>
      <c r="U169" s="15" t="s">
        <v>33</v>
      </c>
      <c r="V169" s="19">
        <f t="shared" si="1"/>
        <v>0.12</v>
      </c>
      <c r="W169" s="19">
        <f t="shared" si="4"/>
        <v>1.045259803</v>
      </c>
    </row>
    <row r="170">
      <c r="A170" s="8">
        <f t="shared" si="3"/>
        <v>169</v>
      </c>
      <c r="B170" s="8" t="s">
        <v>35</v>
      </c>
      <c r="C170" s="8" t="s">
        <v>19</v>
      </c>
      <c r="D170" s="8"/>
      <c r="E170" s="8" t="s">
        <v>1966</v>
      </c>
      <c r="F170" s="8"/>
      <c r="G170" s="8"/>
      <c r="H170" s="111"/>
      <c r="I170" s="8" t="s">
        <v>1479</v>
      </c>
      <c r="J170" s="8" t="s">
        <v>1480</v>
      </c>
      <c r="K170" s="8">
        <v>0.0</v>
      </c>
      <c r="L170" s="8" t="s">
        <v>172</v>
      </c>
      <c r="M170" s="8" t="s">
        <v>22</v>
      </c>
      <c r="N170" s="8" t="s">
        <v>892</v>
      </c>
      <c r="O170" s="8" t="s">
        <v>24</v>
      </c>
      <c r="P170" s="9">
        <v>0.0</v>
      </c>
      <c r="Q170" s="9">
        <v>0.25</v>
      </c>
      <c r="R170" s="9">
        <v>0.25</v>
      </c>
      <c r="S170" s="10">
        <v>45553.0</v>
      </c>
      <c r="T170" s="11">
        <v>2.08</v>
      </c>
      <c r="U170" s="8" t="s">
        <v>70</v>
      </c>
      <c r="V170" s="12">
        <f t="shared" si="1"/>
        <v>0</v>
      </c>
      <c r="W170" s="12">
        <f t="shared" si="4"/>
        <v>1.045259803</v>
      </c>
    </row>
    <row r="171">
      <c r="A171" s="15">
        <f t="shared" si="3"/>
        <v>170</v>
      </c>
      <c r="B171" s="15" t="s">
        <v>35</v>
      </c>
      <c r="C171" s="15" t="s">
        <v>19</v>
      </c>
      <c r="D171" s="15"/>
      <c r="E171" s="15" t="s">
        <v>1967</v>
      </c>
      <c r="F171" s="15"/>
      <c r="G171" s="15"/>
      <c r="H171" s="110"/>
      <c r="I171" s="15" t="s">
        <v>1473</v>
      </c>
      <c r="J171" s="15" t="s">
        <v>1480</v>
      </c>
      <c r="K171" s="15">
        <v>0.0</v>
      </c>
      <c r="L171" s="15" t="s">
        <v>675</v>
      </c>
      <c r="M171" s="15" t="s">
        <v>22</v>
      </c>
      <c r="N171" s="15" t="s">
        <v>892</v>
      </c>
      <c r="O171" s="15" t="s">
        <v>24</v>
      </c>
      <c r="P171" s="16">
        <v>0.0</v>
      </c>
      <c r="Q171" s="16">
        <v>0.2</v>
      </c>
      <c r="R171" s="16">
        <v>0.2</v>
      </c>
      <c r="S171" s="17">
        <v>45554.0</v>
      </c>
      <c r="T171" s="18">
        <v>2.05</v>
      </c>
      <c r="U171" s="15" t="s">
        <v>33</v>
      </c>
      <c r="V171" s="19">
        <f t="shared" si="1"/>
        <v>0.21</v>
      </c>
      <c r="W171" s="19">
        <f t="shared" si="4"/>
        <v>1.255259803</v>
      </c>
    </row>
    <row r="172">
      <c r="A172" s="8">
        <f t="shared" si="3"/>
        <v>171</v>
      </c>
      <c r="B172" s="8" t="s">
        <v>35</v>
      </c>
      <c r="C172" s="8" t="s">
        <v>19</v>
      </c>
      <c r="D172" s="8">
        <v>60.0</v>
      </c>
      <c r="E172" s="8" t="s">
        <v>1968</v>
      </c>
      <c r="F172" s="8"/>
      <c r="G172" s="8"/>
      <c r="H172" s="111"/>
      <c r="I172" s="8" t="s">
        <v>1473</v>
      </c>
      <c r="J172" s="8" t="s">
        <v>1480</v>
      </c>
      <c r="K172" s="8">
        <v>-1.0</v>
      </c>
      <c r="L172" s="8" t="s">
        <v>1957</v>
      </c>
      <c r="M172" s="8" t="s">
        <v>22</v>
      </c>
      <c r="N172" s="8" t="s">
        <v>892</v>
      </c>
      <c r="O172" s="8" t="s">
        <v>39</v>
      </c>
      <c r="P172" s="9">
        <v>0.0</v>
      </c>
      <c r="Q172" s="9">
        <v>0.2</v>
      </c>
      <c r="R172" s="9">
        <v>0.2</v>
      </c>
      <c r="S172" s="10">
        <v>45554.0</v>
      </c>
      <c r="T172" s="11">
        <v>1.775</v>
      </c>
      <c r="U172" s="8" t="s">
        <v>25</v>
      </c>
      <c r="V172" s="12">
        <f t="shared" si="1"/>
        <v>-0.2</v>
      </c>
      <c r="W172" s="12">
        <f t="shared" si="4"/>
        <v>1.055259803</v>
      </c>
    </row>
    <row r="173">
      <c r="A173" s="15">
        <f t="shared" si="3"/>
        <v>172</v>
      </c>
      <c r="B173" s="15" t="s">
        <v>35</v>
      </c>
      <c r="C173" s="15" t="s">
        <v>19</v>
      </c>
      <c r="D173" s="15">
        <v>60.0</v>
      </c>
      <c r="E173" s="15" t="s">
        <v>1969</v>
      </c>
      <c r="F173" s="15"/>
      <c r="G173" s="15"/>
      <c r="H173" s="110"/>
      <c r="I173" s="15" t="s">
        <v>1479</v>
      </c>
      <c r="J173" s="15" t="s">
        <v>1480</v>
      </c>
      <c r="K173" s="15">
        <v>2.0</v>
      </c>
      <c r="L173" s="15" t="s">
        <v>1961</v>
      </c>
      <c r="M173" s="15" t="s">
        <v>22</v>
      </c>
      <c r="N173" s="15" t="s">
        <v>892</v>
      </c>
      <c r="O173" s="15" t="s">
        <v>39</v>
      </c>
      <c r="P173" s="16">
        <v>0.0</v>
      </c>
      <c r="Q173" s="16">
        <v>0.2</v>
      </c>
      <c r="R173" s="16">
        <v>0.1962</v>
      </c>
      <c r="S173" s="17">
        <v>45554.0</v>
      </c>
      <c r="T173" s="18">
        <v>2.02</v>
      </c>
      <c r="U173" s="15" t="s">
        <v>33</v>
      </c>
      <c r="V173" s="19">
        <f t="shared" si="1"/>
        <v>0.200124</v>
      </c>
      <c r="W173" s="19">
        <f t="shared" si="4"/>
        <v>1.255383803</v>
      </c>
    </row>
    <row r="174">
      <c r="A174" s="8">
        <f t="shared" si="3"/>
        <v>173</v>
      </c>
      <c r="B174" s="8" t="s">
        <v>35</v>
      </c>
      <c r="C174" s="8" t="s">
        <v>19</v>
      </c>
      <c r="D174" s="8">
        <v>60.0</v>
      </c>
      <c r="E174" s="8" t="s">
        <v>1970</v>
      </c>
      <c r="F174" s="8"/>
      <c r="G174" s="8"/>
      <c r="H174" s="111"/>
      <c r="I174" s="8" t="s">
        <v>1473</v>
      </c>
      <c r="J174" s="8" t="s">
        <v>1480</v>
      </c>
      <c r="K174" s="8">
        <v>0.0</v>
      </c>
      <c r="L174" s="8" t="s">
        <v>78</v>
      </c>
      <c r="M174" s="8" t="s">
        <v>22</v>
      </c>
      <c r="N174" s="8" t="s">
        <v>892</v>
      </c>
      <c r="O174" s="8" t="s">
        <v>39</v>
      </c>
      <c r="P174" s="9">
        <v>0.0</v>
      </c>
      <c r="Q174" s="9">
        <v>0.2</v>
      </c>
      <c r="R174" s="9">
        <v>0.2</v>
      </c>
      <c r="S174" s="10">
        <v>45554.0</v>
      </c>
      <c r="T174" s="11">
        <v>1.825</v>
      </c>
      <c r="U174" s="8" t="s">
        <v>70</v>
      </c>
      <c r="V174" s="12">
        <f t="shared" si="1"/>
        <v>0</v>
      </c>
      <c r="W174" s="12">
        <f t="shared" si="4"/>
        <v>1.255383803</v>
      </c>
    </row>
    <row r="175">
      <c r="A175" s="15">
        <f t="shared" si="3"/>
        <v>174</v>
      </c>
      <c r="B175" s="15" t="s">
        <v>35</v>
      </c>
      <c r="C175" s="15" t="s">
        <v>19</v>
      </c>
      <c r="D175" s="15">
        <v>59.0</v>
      </c>
      <c r="E175" s="15" t="s">
        <v>1971</v>
      </c>
      <c r="F175" s="15"/>
      <c r="G175" s="15"/>
      <c r="H175" s="110"/>
      <c r="I175" s="15" t="s">
        <v>1479</v>
      </c>
      <c r="J175" s="15" t="s">
        <v>1480</v>
      </c>
      <c r="K175" s="15">
        <v>0.0</v>
      </c>
      <c r="L175" s="15" t="s">
        <v>78</v>
      </c>
      <c r="M175" s="15" t="s">
        <v>22</v>
      </c>
      <c r="N175" s="15" t="s">
        <v>892</v>
      </c>
      <c r="O175" s="15" t="s">
        <v>39</v>
      </c>
      <c r="P175" s="16">
        <v>0.0</v>
      </c>
      <c r="Q175" s="16">
        <v>0.2</v>
      </c>
      <c r="R175" s="16">
        <v>0.2</v>
      </c>
      <c r="S175" s="17">
        <v>45554.0</v>
      </c>
      <c r="T175" s="18">
        <v>2.2</v>
      </c>
      <c r="U175" s="15" t="s">
        <v>70</v>
      </c>
      <c r="V175" s="19">
        <f t="shared" si="1"/>
        <v>0</v>
      </c>
      <c r="W175" s="19">
        <f t="shared" si="4"/>
        <v>1.255383803</v>
      </c>
    </row>
    <row r="176">
      <c r="A176" s="8">
        <f t="shared" si="3"/>
        <v>175</v>
      </c>
      <c r="B176" s="8" t="s">
        <v>35</v>
      </c>
      <c r="C176" s="8" t="s">
        <v>40</v>
      </c>
      <c r="D176" s="8">
        <v>60.0</v>
      </c>
      <c r="E176" s="8" t="s">
        <v>1972</v>
      </c>
      <c r="F176" s="8"/>
      <c r="G176" s="8"/>
      <c r="H176" s="111"/>
      <c r="I176" s="8" t="s">
        <v>1479</v>
      </c>
      <c r="J176" s="8" t="s">
        <v>1480</v>
      </c>
      <c r="K176" s="8">
        <v>1.0</v>
      </c>
      <c r="L176" s="8" t="s">
        <v>877</v>
      </c>
      <c r="M176" s="8" t="s">
        <v>22</v>
      </c>
      <c r="N176" s="8" t="s">
        <v>892</v>
      </c>
      <c r="O176" s="8" t="s">
        <v>39</v>
      </c>
      <c r="P176" s="9">
        <v>0.0</v>
      </c>
      <c r="Q176" s="9">
        <v>0.2</v>
      </c>
      <c r="R176" s="9">
        <v>0.1509</v>
      </c>
      <c r="S176" s="10">
        <v>45554.0</v>
      </c>
      <c r="T176" s="11">
        <v>1.9</v>
      </c>
      <c r="U176" s="8" t="s">
        <v>70</v>
      </c>
      <c r="V176" s="12">
        <f t="shared" si="1"/>
        <v>0</v>
      </c>
      <c r="W176" s="12">
        <f t="shared" si="4"/>
        <v>1.255383803</v>
      </c>
    </row>
    <row r="177">
      <c r="A177" s="15">
        <f t="shared" si="3"/>
        <v>176</v>
      </c>
      <c r="B177" s="15" t="s">
        <v>35</v>
      </c>
      <c r="C177" s="15" t="s">
        <v>19</v>
      </c>
      <c r="D177" s="15">
        <v>60.0</v>
      </c>
      <c r="E177" s="15" t="s">
        <v>1973</v>
      </c>
      <c r="F177" s="15"/>
      <c r="G177" s="15"/>
      <c r="H177" s="15"/>
      <c r="I177" s="15" t="s">
        <v>1479</v>
      </c>
      <c r="J177" s="15" t="s">
        <v>1480</v>
      </c>
      <c r="K177" s="15">
        <v>2.0</v>
      </c>
      <c r="L177" s="15" t="s">
        <v>513</v>
      </c>
      <c r="M177" s="15" t="s">
        <v>22</v>
      </c>
      <c r="N177" s="15" t="s">
        <v>892</v>
      </c>
      <c r="O177" s="15" t="s">
        <v>39</v>
      </c>
      <c r="P177" s="16">
        <v>0.0</v>
      </c>
      <c r="Q177" s="16">
        <v>0.2</v>
      </c>
      <c r="R177" s="16">
        <v>0.2</v>
      </c>
      <c r="S177" s="17">
        <v>45554.0</v>
      </c>
      <c r="T177" s="18">
        <v>2.1</v>
      </c>
      <c r="U177" s="15" t="s">
        <v>25</v>
      </c>
      <c r="V177" s="19">
        <f t="shared" si="1"/>
        <v>-0.2</v>
      </c>
      <c r="W177" s="19">
        <f t="shared" si="4"/>
        <v>1.055383803</v>
      </c>
    </row>
    <row r="178">
      <c r="A178" s="8">
        <f t="shared" si="3"/>
        <v>177</v>
      </c>
      <c r="B178" s="8" t="s">
        <v>135</v>
      </c>
      <c r="C178" s="8" t="s">
        <v>19</v>
      </c>
      <c r="D178" s="8">
        <v>0.0</v>
      </c>
      <c r="E178" s="8" t="s">
        <v>1974</v>
      </c>
      <c r="F178" s="8">
        <v>2.0</v>
      </c>
      <c r="G178" s="8">
        <v>3.0</v>
      </c>
      <c r="H178" s="111">
        <f>5/(7*2)</f>
        <v>0.3571428571</v>
      </c>
      <c r="I178" s="8"/>
      <c r="J178" s="8"/>
      <c r="K178" s="8"/>
      <c r="L178" s="8" t="s">
        <v>44</v>
      </c>
      <c r="M178" s="8" t="s">
        <v>598</v>
      </c>
      <c r="N178" s="8" t="s">
        <v>29</v>
      </c>
      <c r="O178" s="8" t="s">
        <v>39</v>
      </c>
      <c r="P178" s="9">
        <v>-3.75</v>
      </c>
      <c r="Q178" s="9">
        <v>0.2</v>
      </c>
      <c r="R178" s="9">
        <v>0.2</v>
      </c>
      <c r="S178" s="54">
        <v>45554.0</v>
      </c>
      <c r="T178" s="11">
        <v>1.9</v>
      </c>
      <c r="U178" s="8" t="s">
        <v>33</v>
      </c>
      <c r="V178" s="12">
        <f t="shared" si="1"/>
        <v>0.18</v>
      </c>
      <c r="W178" s="12">
        <f t="shared" si="4"/>
        <v>1.235383803</v>
      </c>
    </row>
    <row r="179">
      <c r="A179" s="15">
        <f t="shared" si="3"/>
        <v>178</v>
      </c>
      <c r="B179" s="15" t="s">
        <v>26</v>
      </c>
      <c r="C179" s="15" t="s">
        <v>19</v>
      </c>
      <c r="D179" s="15">
        <v>8.0</v>
      </c>
      <c r="E179" s="15" t="s">
        <v>1975</v>
      </c>
      <c r="F179" s="15"/>
      <c r="G179" s="15"/>
      <c r="H179" s="15"/>
      <c r="I179" s="15" t="s">
        <v>1479</v>
      </c>
      <c r="J179" s="15" t="s">
        <v>1480</v>
      </c>
      <c r="K179" s="15">
        <v>0.0</v>
      </c>
      <c r="L179" s="15" t="s">
        <v>463</v>
      </c>
      <c r="M179" s="15" t="s">
        <v>22</v>
      </c>
      <c r="N179" s="15" t="s">
        <v>892</v>
      </c>
      <c r="O179" s="15" t="s">
        <v>1851</v>
      </c>
      <c r="P179" s="16">
        <v>0.0</v>
      </c>
      <c r="Q179" s="16">
        <v>0.1</v>
      </c>
      <c r="R179" s="16">
        <v>0.1</v>
      </c>
      <c r="S179" s="17">
        <v>45554.0</v>
      </c>
      <c r="T179" s="18">
        <v>1.95</v>
      </c>
      <c r="U179" s="15" t="s">
        <v>70</v>
      </c>
      <c r="V179" s="19">
        <f t="shared" si="1"/>
        <v>0</v>
      </c>
      <c r="W179" s="19">
        <f t="shared" si="4"/>
        <v>1.235383803</v>
      </c>
    </row>
    <row r="180">
      <c r="A180" s="8">
        <f t="shared" si="3"/>
        <v>179</v>
      </c>
      <c r="B180" s="8" t="s">
        <v>35</v>
      </c>
      <c r="C180" s="8" t="s">
        <v>19</v>
      </c>
      <c r="D180" s="8">
        <v>57.0</v>
      </c>
      <c r="E180" s="8" t="s">
        <v>1976</v>
      </c>
      <c r="F180" s="8">
        <v>9.0</v>
      </c>
      <c r="G180" s="8">
        <v>7.0</v>
      </c>
      <c r="H180" s="111">
        <f>3/(15*2)</f>
        <v>0.1</v>
      </c>
      <c r="I180" s="8" t="s">
        <v>1479</v>
      </c>
      <c r="J180" s="8" t="s">
        <v>1480</v>
      </c>
      <c r="K180" s="8">
        <v>-2.0</v>
      </c>
      <c r="L180" s="8" t="s">
        <v>167</v>
      </c>
      <c r="M180" s="8" t="s">
        <v>22</v>
      </c>
      <c r="N180" s="8" t="s">
        <v>892</v>
      </c>
      <c r="O180" s="8" t="s">
        <v>39</v>
      </c>
      <c r="P180" s="9">
        <v>0.0</v>
      </c>
      <c r="Q180" s="9">
        <v>0.2</v>
      </c>
      <c r="R180" s="9">
        <v>0.037</v>
      </c>
      <c r="S180" s="10">
        <v>45554.0</v>
      </c>
      <c r="T180" s="11">
        <v>1.8</v>
      </c>
      <c r="U180" s="8" t="s">
        <v>33</v>
      </c>
      <c r="V180" s="12">
        <f t="shared" si="1"/>
        <v>0.0296</v>
      </c>
      <c r="W180" s="12">
        <f t="shared" si="4"/>
        <v>1.264983803</v>
      </c>
    </row>
    <row r="181">
      <c r="A181" s="15">
        <f t="shared" si="3"/>
        <v>180</v>
      </c>
      <c r="B181" s="15" t="s">
        <v>35</v>
      </c>
      <c r="C181" s="15" t="s">
        <v>19</v>
      </c>
      <c r="D181" s="15">
        <v>59.0</v>
      </c>
      <c r="E181" s="15" t="s">
        <v>1977</v>
      </c>
      <c r="F181" s="15">
        <v>3.0</v>
      </c>
      <c r="G181" s="15">
        <v>10.0</v>
      </c>
      <c r="H181" s="110">
        <f>4/(11*2)</f>
        <v>0.1818181818</v>
      </c>
      <c r="I181" s="15" t="s">
        <v>1479</v>
      </c>
      <c r="J181" s="15" t="s">
        <v>1480</v>
      </c>
      <c r="K181" s="15">
        <v>1.0</v>
      </c>
      <c r="L181" s="15" t="s">
        <v>397</v>
      </c>
      <c r="M181" s="15" t="s">
        <v>22</v>
      </c>
      <c r="N181" s="15" t="s">
        <v>892</v>
      </c>
      <c r="O181" s="15" t="s">
        <v>39</v>
      </c>
      <c r="P181" s="16">
        <v>0.0</v>
      </c>
      <c r="Q181" s="16">
        <v>0.2</v>
      </c>
      <c r="R181" s="16">
        <v>0.2</v>
      </c>
      <c r="S181" s="17">
        <v>45554.0</v>
      </c>
      <c r="T181" s="18">
        <v>1.875</v>
      </c>
      <c r="U181" s="15" t="s">
        <v>70</v>
      </c>
      <c r="V181" s="19">
        <f t="shared" si="1"/>
        <v>0</v>
      </c>
      <c r="W181" s="19">
        <f t="shared" si="4"/>
        <v>1.264983803</v>
      </c>
    </row>
    <row r="182">
      <c r="A182" s="8">
        <f t="shared" si="3"/>
        <v>181</v>
      </c>
      <c r="B182" s="8" t="s">
        <v>35</v>
      </c>
      <c r="C182" s="8" t="s">
        <v>19</v>
      </c>
      <c r="D182" s="8">
        <v>59.0</v>
      </c>
      <c r="E182" s="8" t="s">
        <v>1978</v>
      </c>
      <c r="F182" s="8"/>
      <c r="G182" s="8"/>
      <c r="H182" s="111"/>
      <c r="I182" s="8" t="s">
        <v>1479</v>
      </c>
      <c r="J182" s="8" t="s">
        <v>1480</v>
      </c>
      <c r="K182" s="8">
        <v>0.0</v>
      </c>
      <c r="L182" s="8" t="s">
        <v>164</v>
      </c>
      <c r="M182" s="8" t="s">
        <v>22</v>
      </c>
      <c r="N182" s="8" t="s">
        <v>892</v>
      </c>
      <c r="O182" s="8" t="s">
        <v>39</v>
      </c>
      <c r="P182" s="9">
        <v>0.0</v>
      </c>
      <c r="Q182" s="9">
        <v>0.2</v>
      </c>
      <c r="R182" s="9">
        <v>0.2</v>
      </c>
      <c r="S182" s="10">
        <v>45554.0</v>
      </c>
      <c r="T182" s="11">
        <v>1.925</v>
      </c>
      <c r="U182" s="8" t="s">
        <v>25</v>
      </c>
      <c r="V182" s="12">
        <f t="shared" si="1"/>
        <v>-0.2</v>
      </c>
      <c r="W182" s="12">
        <f t="shared" si="4"/>
        <v>1.064983803</v>
      </c>
    </row>
    <row r="183">
      <c r="A183" s="15">
        <f t="shared" si="3"/>
        <v>182</v>
      </c>
      <c r="B183" s="15" t="s">
        <v>35</v>
      </c>
      <c r="C183" s="15" t="s">
        <v>19</v>
      </c>
      <c r="D183" s="15">
        <v>60.0</v>
      </c>
      <c r="E183" s="15" t="s">
        <v>1979</v>
      </c>
      <c r="F183" s="15"/>
      <c r="G183" s="15"/>
      <c r="H183" s="110"/>
      <c r="I183" s="15" t="s">
        <v>1473</v>
      </c>
      <c r="J183" s="15" t="s">
        <v>1480</v>
      </c>
      <c r="K183" s="15">
        <v>0.0</v>
      </c>
      <c r="L183" s="15" t="s">
        <v>164</v>
      </c>
      <c r="M183" s="15" t="s">
        <v>22</v>
      </c>
      <c r="N183" s="15" t="s">
        <v>892</v>
      </c>
      <c r="O183" s="15" t="s">
        <v>39</v>
      </c>
      <c r="P183" s="16">
        <v>0.0</v>
      </c>
      <c r="Q183" s="16">
        <v>0.4</v>
      </c>
      <c r="R183" s="16">
        <v>0.4</v>
      </c>
      <c r="S183" s="17">
        <v>45554.0</v>
      </c>
      <c r="T183" s="18">
        <v>1.875</v>
      </c>
      <c r="U183" s="15" t="s">
        <v>33</v>
      </c>
      <c r="V183" s="19">
        <f t="shared" si="1"/>
        <v>0.35</v>
      </c>
      <c r="W183" s="19">
        <f t="shared" si="4"/>
        <v>1.414983803</v>
      </c>
    </row>
    <row r="184">
      <c r="A184" s="8">
        <f t="shared" si="3"/>
        <v>183</v>
      </c>
      <c r="B184" s="8" t="s">
        <v>35</v>
      </c>
      <c r="C184" s="8" t="s">
        <v>19</v>
      </c>
      <c r="D184" s="8">
        <v>61.0</v>
      </c>
      <c r="E184" s="8" t="s">
        <v>1980</v>
      </c>
      <c r="F184" s="8"/>
      <c r="G184" s="8"/>
      <c r="H184" s="8"/>
      <c r="I184" s="8" t="s">
        <v>1479</v>
      </c>
      <c r="J184" s="8" t="s">
        <v>1480</v>
      </c>
      <c r="K184" s="8">
        <v>-1.0</v>
      </c>
      <c r="L184" s="8" t="s">
        <v>78</v>
      </c>
      <c r="M184" s="8" t="s">
        <v>22</v>
      </c>
      <c r="N184" s="8" t="s">
        <v>892</v>
      </c>
      <c r="O184" s="8" t="s">
        <v>39</v>
      </c>
      <c r="P184" s="9">
        <v>0.0</v>
      </c>
      <c r="Q184" s="9">
        <v>0.2</v>
      </c>
      <c r="R184" s="9">
        <v>0.2</v>
      </c>
      <c r="S184" s="10">
        <v>45554.0</v>
      </c>
      <c r="T184" s="11">
        <v>1.775</v>
      </c>
      <c r="U184" s="8" t="s">
        <v>70</v>
      </c>
      <c r="V184" s="12">
        <f t="shared" si="1"/>
        <v>0</v>
      </c>
      <c r="W184" s="12">
        <f t="shared" si="4"/>
        <v>1.414983803</v>
      </c>
    </row>
    <row r="185">
      <c r="A185" s="15">
        <f t="shared" si="3"/>
        <v>184</v>
      </c>
      <c r="B185" s="15" t="s">
        <v>35</v>
      </c>
      <c r="C185" s="15" t="s">
        <v>19</v>
      </c>
      <c r="D185" s="15">
        <v>60.0</v>
      </c>
      <c r="E185" s="15" t="s">
        <v>1981</v>
      </c>
      <c r="F185" s="15">
        <v>12.0</v>
      </c>
      <c r="G185" s="15">
        <v>5.0</v>
      </c>
      <c r="H185" s="110">
        <f>3/(15*2)</f>
        <v>0.1</v>
      </c>
      <c r="I185" s="15" t="s">
        <v>1479</v>
      </c>
      <c r="J185" s="15" t="s">
        <v>1480</v>
      </c>
      <c r="K185" s="15">
        <v>-1.0</v>
      </c>
      <c r="L185" s="15" t="s">
        <v>167</v>
      </c>
      <c r="M185" s="15" t="s">
        <v>22</v>
      </c>
      <c r="N185" s="15" t="s">
        <v>892</v>
      </c>
      <c r="O185" s="15" t="s">
        <v>39</v>
      </c>
      <c r="P185" s="16">
        <v>0.0</v>
      </c>
      <c r="Q185" s="16">
        <v>0.2</v>
      </c>
      <c r="R185" s="16">
        <v>0.2</v>
      </c>
      <c r="S185" s="17">
        <v>45554.0</v>
      </c>
      <c r="T185" s="18">
        <v>1.8</v>
      </c>
      <c r="U185" s="15" t="s">
        <v>25</v>
      </c>
      <c r="V185" s="19">
        <f t="shared" si="1"/>
        <v>-0.2</v>
      </c>
      <c r="W185" s="19">
        <f t="shared" si="4"/>
        <v>1.214983803</v>
      </c>
    </row>
    <row r="186">
      <c r="A186" s="8">
        <f t="shared" si="3"/>
        <v>185</v>
      </c>
      <c r="B186" s="8" t="s">
        <v>26</v>
      </c>
      <c r="C186" s="8" t="s">
        <v>19</v>
      </c>
      <c r="D186" s="8">
        <v>32.0</v>
      </c>
      <c r="E186" s="8" t="s">
        <v>1982</v>
      </c>
      <c r="F186" s="8">
        <v>16.0</v>
      </c>
      <c r="G186" s="8">
        <v>6.0</v>
      </c>
      <c r="H186" s="111">
        <f>1/(15*2)</f>
        <v>0.03333333333</v>
      </c>
      <c r="I186" s="8" t="s">
        <v>1473</v>
      </c>
      <c r="J186" s="8" t="s">
        <v>1477</v>
      </c>
      <c r="K186" s="8">
        <v>-1.0</v>
      </c>
      <c r="L186" s="8" t="s">
        <v>616</v>
      </c>
      <c r="M186" s="8" t="s">
        <v>22</v>
      </c>
      <c r="N186" s="8" t="s">
        <v>894</v>
      </c>
      <c r="O186" s="8" t="s">
        <v>24</v>
      </c>
      <c r="P186" s="9">
        <v>-0.25</v>
      </c>
      <c r="Q186" s="9">
        <v>0.5</v>
      </c>
      <c r="R186" s="9">
        <v>0.4952</v>
      </c>
      <c r="S186" s="10">
        <v>45554.0</v>
      </c>
      <c r="T186" s="11">
        <v>2.0</v>
      </c>
      <c r="U186" s="8" t="s">
        <v>25</v>
      </c>
      <c r="V186" s="12">
        <f t="shared" si="1"/>
        <v>-0.4952</v>
      </c>
      <c r="W186" s="12">
        <f t="shared" si="4"/>
        <v>0.7197838029</v>
      </c>
    </row>
    <row r="187">
      <c r="A187" s="15">
        <f t="shared" si="3"/>
        <v>186</v>
      </c>
      <c r="B187" s="15" t="s">
        <v>35</v>
      </c>
      <c r="C187" s="15" t="s">
        <v>19</v>
      </c>
      <c r="D187" s="15">
        <v>68.0</v>
      </c>
      <c r="E187" s="15" t="s">
        <v>1983</v>
      </c>
      <c r="F187" s="15">
        <v>3.0</v>
      </c>
      <c r="G187" s="15">
        <v>7.0</v>
      </c>
      <c r="H187" s="110"/>
      <c r="I187" s="15" t="s">
        <v>1473</v>
      </c>
      <c r="J187" s="15" t="s">
        <v>1480</v>
      </c>
      <c r="K187" s="15">
        <v>0.0</v>
      </c>
      <c r="L187" s="15" t="s">
        <v>423</v>
      </c>
      <c r="M187" s="15" t="s">
        <v>22</v>
      </c>
      <c r="N187" s="15" t="s">
        <v>892</v>
      </c>
      <c r="O187" s="15" t="s">
        <v>24</v>
      </c>
      <c r="P187" s="16">
        <v>0.0</v>
      </c>
      <c r="Q187" s="16">
        <v>0.4</v>
      </c>
      <c r="R187" s="16">
        <v>0.1962</v>
      </c>
      <c r="S187" s="17">
        <v>45554.0</v>
      </c>
      <c r="T187" s="18">
        <v>2.15</v>
      </c>
      <c r="U187" s="15" t="s">
        <v>70</v>
      </c>
      <c r="V187" s="19">
        <f t="shared" si="1"/>
        <v>0</v>
      </c>
      <c r="W187" s="19">
        <f t="shared" si="4"/>
        <v>0.7197838029</v>
      </c>
    </row>
    <row r="188">
      <c r="A188" s="8">
        <f t="shared" si="3"/>
        <v>187</v>
      </c>
      <c r="B188" s="8" t="s">
        <v>35</v>
      </c>
      <c r="C188" s="8" t="s">
        <v>19</v>
      </c>
      <c r="D188" s="8">
        <v>78.0</v>
      </c>
      <c r="E188" s="8" t="s">
        <v>1984</v>
      </c>
      <c r="F188" s="8">
        <v>2.0</v>
      </c>
      <c r="G188" s="8">
        <v>5.0</v>
      </c>
      <c r="H188" s="111"/>
      <c r="I188" s="8" t="s">
        <v>1473</v>
      </c>
      <c r="J188" s="8" t="s">
        <v>1480</v>
      </c>
      <c r="K188" s="8">
        <v>-2.0</v>
      </c>
      <c r="L188" s="8" t="s">
        <v>423</v>
      </c>
      <c r="M188" s="8" t="s">
        <v>22</v>
      </c>
      <c r="N188" s="8" t="s">
        <v>892</v>
      </c>
      <c r="O188" s="8" t="s">
        <v>39</v>
      </c>
      <c r="P188" s="9">
        <v>0.0</v>
      </c>
      <c r="Q188" s="9">
        <v>0.2</v>
      </c>
      <c r="R188" s="9">
        <v>0.2</v>
      </c>
      <c r="S188" s="10">
        <v>45554.0</v>
      </c>
      <c r="T188" s="11">
        <v>2.025</v>
      </c>
      <c r="U188" s="8" t="s">
        <v>33</v>
      </c>
      <c r="V188" s="12">
        <f t="shared" si="1"/>
        <v>0.205</v>
      </c>
      <c r="W188" s="12">
        <f t="shared" si="4"/>
        <v>0.9247838029</v>
      </c>
    </row>
    <row r="189">
      <c r="A189" s="15">
        <f t="shared" si="3"/>
        <v>188</v>
      </c>
      <c r="B189" s="15" t="s">
        <v>35</v>
      </c>
      <c r="C189" s="15" t="s">
        <v>19</v>
      </c>
      <c r="D189" s="15">
        <v>60.0</v>
      </c>
      <c r="E189" s="15" t="s">
        <v>1985</v>
      </c>
      <c r="F189" s="15"/>
      <c r="G189" s="15"/>
      <c r="H189" s="110"/>
      <c r="I189" s="15" t="s">
        <v>1473</v>
      </c>
      <c r="J189" s="15" t="s">
        <v>1480</v>
      </c>
      <c r="K189" s="15">
        <v>2.0</v>
      </c>
      <c r="L189" s="15" t="s">
        <v>1961</v>
      </c>
      <c r="M189" s="15" t="s">
        <v>22</v>
      </c>
      <c r="N189" s="15" t="s">
        <v>892</v>
      </c>
      <c r="O189" s="15" t="s">
        <v>39</v>
      </c>
      <c r="P189" s="16">
        <v>0.0</v>
      </c>
      <c r="Q189" s="16">
        <v>0.2</v>
      </c>
      <c r="R189" s="16">
        <v>0.2</v>
      </c>
      <c r="S189" s="17">
        <v>45554.0</v>
      </c>
      <c r="T189" s="18">
        <v>1.875</v>
      </c>
      <c r="U189" s="15" t="s">
        <v>25</v>
      </c>
      <c r="V189" s="19">
        <f t="shared" si="1"/>
        <v>-0.2</v>
      </c>
      <c r="W189" s="19">
        <f t="shared" si="4"/>
        <v>0.7247838029</v>
      </c>
    </row>
    <row r="190">
      <c r="A190" s="8">
        <f t="shared" si="3"/>
        <v>189</v>
      </c>
      <c r="B190" s="8" t="s">
        <v>35</v>
      </c>
      <c r="C190" s="8" t="s">
        <v>19</v>
      </c>
      <c r="D190" s="8">
        <v>60.0</v>
      </c>
      <c r="E190" s="8" t="s">
        <v>1986</v>
      </c>
      <c r="F190" s="8">
        <v>7.0</v>
      </c>
      <c r="G190" s="8">
        <v>2.0</v>
      </c>
      <c r="H190" s="111">
        <f>23/(15*2)</f>
        <v>0.7666666667</v>
      </c>
      <c r="I190" s="8" t="s">
        <v>1479</v>
      </c>
      <c r="J190" s="8" t="s">
        <v>1480</v>
      </c>
      <c r="K190" s="8">
        <v>1.0</v>
      </c>
      <c r="L190" s="8" t="s">
        <v>940</v>
      </c>
      <c r="M190" s="8" t="s">
        <v>22</v>
      </c>
      <c r="N190" s="8" t="s">
        <v>892</v>
      </c>
      <c r="O190" s="8" t="s">
        <v>39</v>
      </c>
      <c r="P190" s="9">
        <v>0.25</v>
      </c>
      <c r="Q190" s="9">
        <v>0.2</v>
      </c>
      <c r="R190" s="9">
        <v>0.1925</v>
      </c>
      <c r="S190" s="10">
        <v>45554.0</v>
      </c>
      <c r="T190" s="11">
        <v>1.775</v>
      </c>
      <c r="U190" s="8" t="s">
        <v>30</v>
      </c>
      <c r="V190" s="12">
        <f t="shared" si="1"/>
        <v>0.07459375</v>
      </c>
      <c r="W190" s="12">
        <f t="shared" si="4"/>
        <v>0.7993775529</v>
      </c>
    </row>
    <row r="191">
      <c r="A191" s="15">
        <f t="shared" si="3"/>
        <v>190</v>
      </c>
      <c r="B191" s="15" t="s">
        <v>35</v>
      </c>
      <c r="C191" s="15" t="s">
        <v>19</v>
      </c>
      <c r="D191" s="15">
        <v>60.0</v>
      </c>
      <c r="E191" s="15" t="s">
        <v>1987</v>
      </c>
      <c r="F191" s="15"/>
      <c r="G191" s="15"/>
      <c r="H191" s="110"/>
      <c r="I191" s="15" t="s">
        <v>1479</v>
      </c>
      <c r="J191" s="15" t="s">
        <v>1480</v>
      </c>
      <c r="K191" s="15">
        <v>0.0</v>
      </c>
      <c r="L191" s="15" t="s">
        <v>940</v>
      </c>
      <c r="M191" s="15" t="s">
        <v>22</v>
      </c>
      <c r="N191" s="15" t="s">
        <v>892</v>
      </c>
      <c r="O191" s="15" t="s">
        <v>39</v>
      </c>
      <c r="P191" s="16">
        <v>0.0</v>
      </c>
      <c r="Q191" s="16">
        <v>0.2</v>
      </c>
      <c r="R191" s="16">
        <v>0.193</v>
      </c>
      <c r="S191" s="17">
        <v>45554.0</v>
      </c>
      <c r="T191" s="18">
        <v>1.975</v>
      </c>
      <c r="U191" s="15" t="s">
        <v>70</v>
      </c>
      <c r="V191" s="19">
        <f t="shared" si="1"/>
        <v>0</v>
      </c>
      <c r="W191" s="19">
        <f t="shared" si="4"/>
        <v>0.7993775529</v>
      </c>
    </row>
    <row r="192">
      <c r="A192" s="8">
        <f t="shared" si="3"/>
        <v>191</v>
      </c>
      <c r="B192" s="8" t="s">
        <v>35</v>
      </c>
      <c r="C192" s="8" t="s">
        <v>19</v>
      </c>
      <c r="D192" s="8">
        <v>60.0</v>
      </c>
      <c r="E192" s="8" t="s">
        <v>1988</v>
      </c>
      <c r="F192" s="8"/>
      <c r="G192" s="8"/>
      <c r="H192" s="111"/>
      <c r="I192" s="8" t="s">
        <v>1479</v>
      </c>
      <c r="J192" s="8" t="s">
        <v>1480</v>
      </c>
      <c r="K192" s="8">
        <v>0.0</v>
      </c>
      <c r="L192" s="8" t="s">
        <v>78</v>
      </c>
      <c r="M192" s="8" t="s">
        <v>22</v>
      </c>
      <c r="N192" s="8" t="s">
        <v>892</v>
      </c>
      <c r="O192" s="8" t="s">
        <v>39</v>
      </c>
      <c r="P192" s="9">
        <v>0.0</v>
      </c>
      <c r="Q192" s="9">
        <v>0.2</v>
      </c>
      <c r="R192" s="9">
        <v>0.2</v>
      </c>
      <c r="S192" s="10">
        <v>45554.0</v>
      </c>
      <c r="T192" s="11">
        <v>1.7</v>
      </c>
      <c r="U192" s="8" t="s">
        <v>33</v>
      </c>
      <c r="V192" s="12">
        <f t="shared" si="1"/>
        <v>0.14</v>
      </c>
      <c r="W192" s="12">
        <f t="shared" si="4"/>
        <v>0.9393775529</v>
      </c>
    </row>
    <row r="193">
      <c r="A193" s="15">
        <f t="shared" si="3"/>
        <v>192</v>
      </c>
      <c r="B193" s="15" t="s">
        <v>135</v>
      </c>
      <c r="C193" s="15" t="s">
        <v>19</v>
      </c>
      <c r="D193" s="15">
        <v>0.0</v>
      </c>
      <c r="E193" s="15" t="s">
        <v>1989</v>
      </c>
      <c r="F193" s="15">
        <v>10.0</v>
      </c>
      <c r="G193" s="15">
        <v>6.0</v>
      </c>
      <c r="H193" s="110">
        <f>1/(15*2)</f>
        <v>0.03333333333</v>
      </c>
      <c r="I193" s="15"/>
      <c r="J193" s="15"/>
      <c r="K193" s="15"/>
      <c r="L193" s="15" t="s">
        <v>1031</v>
      </c>
      <c r="M193" s="15" t="s">
        <v>22</v>
      </c>
      <c r="N193" s="15" t="s">
        <v>29</v>
      </c>
      <c r="O193" s="15" t="s">
        <v>24</v>
      </c>
      <c r="P193" s="16">
        <v>-2.25</v>
      </c>
      <c r="Q193" s="16">
        <v>0.25</v>
      </c>
      <c r="R193" s="16">
        <v>0.245</v>
      </c>
      <c r="S193" s="55">
        <v>45555.0</v>
      </c>
      <c r="T193" s="18">
        <v>1.9</v>
      </c>
      <c r="U193" s="15" t="s">
        <v>30</v>
      </c>
      <c r="V193" s="19">
        <f t="shared" si="1"/>
        <v>0.11025</v>
      </c>
      <c r="W193" s="19">
        <f t="shared" si="4"/>
        <v>1.049627553</v>
      </c>
    </row>
    <row r="194">
      <c r="A194" s="8">
        <f t="shared" si="3"/>
        <v>193</v>
      </c>
      <c r="B194" s="8" t="s">
        <v>35</v>
      </c>
      <c r="C194" s="8" t="s">
        <v>19</v>
      </c>
      <c r="D194" s="8">
        <v>60.0</v>
      </c>
      <c r="E194" s="8" t="s">
        <v>1990</v>
      </c>
      <c r="F194" s="8">
        <v>5.0</v>
      </c>
      <c r="G194" s="8">
        <v>1.0</v>
      </c>
      <c r="H194" s="111">
        <f>6/(10*2)</f>
        <v>0.3</v>
      </c>
      <c r="I194" s="8" t="s">
        <v>1473</v>
      </c>
      <c r="J194" s="8" t="s">
        <v>1480</v>
      </c>
      <c r="K194" s="8">
        <v>2.0</v>
      </c>
      <c r="L194" s="8" t="s">
        <v>38</v>
      </c>
      <c r="M194" s="8" t="s">
        <v>22</v>
      </c>
      <c r="N194" s="8" t="s">
        <v>892</v>
      </c>
      <c r="O194" s="8" t="s">
        <v>39</v>
      </c>
      <c r="P194" s="9">
        <v>0.0</v>
      </c>
      <c r="Q194" s="9">
        <v>0.2</v>
      </c>
      <c r="R194" s="9">
        <v>0.2</v>
      </c>
      <c r="S194" s="10">
        <v>45555.0</v>
      </c>
      <c r="T194" s="11">
        <v>1.9</v>
      </c>
      <c r="U194" s="8" t="s">
        <v>25</v>
      </c>
      <c r="V194" s="12">
        <f t="shared" si="1"/>
        <v>-0.2</v>
      </c>
      <c r="W194" s="12">
        <f t="shared" si="4"/>
        <v>0.8496275529</v>
      </c>
    </row>
    <row r="195">
      <c r="A195" s="15">
        <f t="shared" si="3"/>
        <v>194</v>
      </c>
      <c r="B195" s="15" t="s">
        <v>35</v>
      </c>
      <c r="C195" s="15" t="s">
        <v>19</v>
      </c>
      <c r="D195" s="15">
        <v>60.0</v>
      </c>
      <c r="E195" s="15" t="s">
        <v>1991</v>
      </c>
      <c r="F195" s="15">
        <v>11.0</v>
      </c>
      <c r="G195" s="15">
        <v>16.0</v>
      </c>
      <c r="H195" s="110">
        <f t="shared" ref="H195:H196" si="13">2/(16*2)</f>
        <v>0.0625</v>
      </c>
      <c r="I195" s="15" t="s">
        <v>1473</v>
      </c>
      <c r="J195" s="15" t="s">
        <v>1480</v>
      </c>
      <c r="K195" s="15">
        <v>1.0</v>
      </c>
      <c r="L195" s="15" t="s">
        <v>167</v>
      </c>
      <c r="M195" s="15" t="s">
        <v>22</v>
      </c>
      <c r="N195" s="15" t="s">
        <v>892</v>
      </c>
      <c r="O195" s="15" t="s">
        <v>39</v>
      </c>
      <c r="P195" s="16">
        <v>0.0</v>
      </c>
      <c r="Q195" s="16">
        <v>0.1</v>
      </c>
      <c r="R195" s="16">
        <v>0.1</v>
      </c>
      <c r="S195" s="17">
        <v>45555.0</v>
      </c>
      <c r="T195" s="18">
        <v>3.2</v>
      </c>
      <c r="U195" s="15" t="s">
        <v>25</v>
      </c>
      <c r="V195" s="19">
        <f t="shared" si="1"/>
        <v>-0.1</v>
      </c>
      <c r="W195" s="19">
        <f t="shared" si="4"/>
        <v>0.7496275529</v>
      </c>
    </row>
    <row r="196">
      <c r="A196" s="8">
        <f t="shared" si="3"/>
        <v>195</v>
      </c>
      <c r="B196" s="8" t="s">
        <v>35</v>
      </c>
      <c r="C196" s="8" t="s">
        <v>19</v>
      </c>
      <c r="D196" s="8">
        <v>61.0</v>
      </c>
      <c r="E196" s="8" t="s">
        <v>1992</v>
      </c>
      <c r="F196" s="8">
        <v>1.0</v>
      </c>
      <c r="G196" s="8">
        <v>15.0</v>
      </c>
      <c r="H196" s="111">
        <f t="shared" si="13"/>
        <v>0.0625</v>
      </c>
      <c r="I196" s="8" t="s">
        <v>1473</v>
      </c>
      <c r="J196" s="8" t="s">
        <v>1474</v>
      </c>
      <c r="K196" s="8">
        <v>-1.0</v>
      </c>
      <c r="L196" s="8" t="s">
        <v>167</v>
      </c>
      <c r="M196" s="8" t="s">
        <v>22</v>
      </c>
      <c r="N196" s="8" t="s">
        <v>225</v>
      </c>
      <c r="O196" s="8" t="s">
        <v>39</v>
      </c>
      <c r="P196" s="9">
        <v>0.5</v>
      </c>
      <c r="Q196" s="9">
        <v>0.2</v>
      </c>
      <c r="R196" s="9">
        <v>0.2</v>
      </c>
      <c r="S196" s="10">
        <v>45555.0</v>
      </c>
      <c r="T196" s="11">
        <v>1.825</v>
      </c>
      <c r="U196" s="8" t="s">
        <v>33</v>
      </c>
      <c r="V196" s="12">
        <f t="shared" si="1"/>
        <v>0.165</v>
      </c>
      <c r="W196" s="12">
        <f t="shared" si="4"/>
        <v>0.9146275529</v>
      </c>
    </row>
    <row r="197">
      <c r="A197" s="15">
        <f t="shared" si="3"/>
        <v>196</v>
      </c>
      <c r="B197" s="15" t="s">
        <v>35</v>
      </c>
      <c r="C197" s="15" t="s">
        <v>19</v>
      </c>
      <c r="D197" s="15">
        <v>62.0</v>
      </c>
      <c r="E197" s="15" t="s">
        <v>1993</v>
      </c>
      <c r="F197" s="15">
        <v>15.0</v>
      </c>
      <c r="G197" s="15">
        <v>12.0</v>
      </c>
      <c r="H197" s="110">
        <f>3/(16*2)</f>
        <v>0.09375</v>
      </c>
      <c r="I197" s="15" t="s">
        <v>1473</v>
      </c>
      <c r="J197" s="15" t="s">
        <v>1480</v>
      </c>
      <c r="K197" s="15">
        <v>1.0</v>
      </c>
      <c r="L197" s="15" t="s">
        <v>167</v>
      </c>
      <c r="M197" s="15" t="s">
        <v>22</v>
      </c>
      <c r="N197" s="15" t="s">
        <v>892</v>
      </c>
      <c r="O197" s="15" t="s">
        <v>39</v>
      </c>
      <c r="P197" s="16">
        <v>0.0</v>
      </c>
      <c r="Q197" s="16">
        <v>0.2</v>
      </c>
      <c r="R197" s="16">
        <v>0.196</v>
      </c>
      <c r="S197" s="17">
        <v>45555.0</v>
      </c>
      <c r="T197" s="18">
        <v>2.25</v>
      </c>
      <c r="U197" s="15" t="s">
        <v>70</v>
      </c>
      <c r="V197" s="19">
        <f t="shared" si="1"/>
        <v>0</v>
      </c>
      <c r="W197" s="19">
        <f t="shared" si="4"/>
        <v>0.9146275529</v>
      </c>
    </row>
    <row r="198">
      <c r="A198" s="8">
        <f t="shared" si="3"/>
        <v>197</v>
      </c>
      <c r="B198" s="8" t="s">
        <v>35</v>
      </c>
      <c r="C198" s="8" t="s">
        <v>19</v>
      </c>
      <c r="D198" s="8">
        <v>60.0</v>
      </c>
      <c r="E198" s="8" t="s">
        <v>1994</v>
      </c>
      <c r="F198" s="8">
        <v>12.0</v>
      </c>
      <c r="G198" s="8">
        <v>15.0</v>
      </c>
      <c r="H198" s="111">
        <f>1/(15*2)</f>
        <v>0.03333333333</v>
      </c>
      <c r="I198" s="8" t="s">
        <v>1473</v>
      </c>
      <c r="J198" s="8" t="s">
        <v>1474</v>
      </c>
      <c r="K198" s="8">
        <v>-1.0</v>
      </c>
      <c r="L198" s="8" t="s">
        <v>162</v>
      </c>
      <c r="M198" s="8" t="s">
        <v>22</v>
      </c>
      <c r="N198" s="8" t="s">
        <v>225</v>
      </c>
      <c r="O198" s="8" t="s">
        <v>39</v>
      </c>
      <c r="P198" s="9">
        <v>0.5</v>
      </c>
      <c r="Q198" s="9">
        <v>0.2</v>
      </c>
      <c r="R198" s="9">
        <v>0.122</v>
      </c>
      <c r="S198" s="10">
        <v>45555.0</v>
      </c>
      <c r="T198" s="11">
        <v>1.9</v>
      </c>
      <c r="U198" s="8" t="s">
        <v>25</v>
      </c>
      <c r="V198" s="12">
        <f t="shared" si="1"/>
        <v>-0.122</v>
      </c>
      <c r="W198" s="12">
        <f t="shared" si="4"/>
        <v>0.7926275529</v>
      </c>
    </row>
    <row r="199">
      <c r="A199" s="15">
        <f t="shared" si="3"/>
        <v>198</v>
      </c>
      <c r="B199" s="15" t="s">
        <v>135</v>
      </c>
      <c r="C199" s="15" t="s">
        <v>19</v>
      </c>
      <c r="D199" s="15">
        <v>0.0</v>
      </c>
      <c r="E199" s="15" t="s">
        <v>1995</v>
      </c>
      <c r="F199" s="15">
        <v>10.0</v>
      </c>
      <c r="G199" s="15">
        <v>3.0</v>
      </c>
      <c r="H199" s="110">
        <f t="shared" ref="H199:H200" si="14">3/(9*2)</f>
        <v>0.1666666667</v>
      </c>
      <c r="I199" s="15"/>
      <c r="J199" s="15"/>
      <c r="K199" s="15"/>
      <c r="L199" s="15" t="s">
        <v>583</v>
      </c>
      <c r="M199" s="15" t="s">
        <v>22</v>
      </c>
      <c r="N199" s="15" t="s">
        <v>29</v>
      </c>
      <c r="O199" s="15" t="s">
        <v>24</v>
      </c>
      <c r="P199" s="16">
        <v>-3.25</v>
      </c>
      <c r="Q199" s="16">
        <v>0.25</v>
      </c>
      <c r="R199" s="16">
        <v>0.241</v>
      </c>
      <c r="S199" s="17">
        <v>45555.0</v>
      </c>
      <c r="T199" s="18">
        <v>1.9</v>
      </c>
      <c r="U199" s="15" t="s">
        <v>33</v>
      </c>
      <c r="V199" s="19">
        <f t="shared" si="1"/>
        <v>0.2169</v>
      </c>
      <c r="W199" s="19">
        <f t="shared" si="4"/>
        <v>1.009527553</v>
      </c>
    </row>
    <row r="200">
      <c r="A200" s="8">
        <f t="shared" si="3"/>
        <v>199</v>
      </c>
      <c r="B200" s="8" t="s">
        <v>135</v>
      </c>
      <c r="C200" s="8" t="s">
        <v>19</v>
      </c>
      <c r="D200" s="8">
        <v>0.0</v>
      </c>
      <c r="E200" s="8" t="s">
        <v>1996</v>
      </c>
      <c r="F200" s="8">
        <v>5.0</v>
      </c>
      <c r="G200" s="8">
        <v>1.0</v>
      </c>
      <c r="H200" s="111">
        <f t="shared" si="14"/>
        <v>0.1666666667</v>
      </c>
      <c r="I200" s="8"/>
      <c r="J200" s="8"/>
      <c r="K200" s="8"/>
      <c r="L200" s="8" t="s">
        <v>583</v>
      </c>
      <c r="M200" s="8" t="s">
        <v>22</v>
      </c>
      <c r="N200" s="8" t="s">
        <v>29</v>
      </c>
      <c r="O200" s="8" t="s">
        <v>24</v>
      </c>
      <c r="P200" s="9">
        <v>-3.75</v>
      </c>
      <c r="Q200" s="9">
        <v>0.25</v>
      </c>
      <c r="R200" s="9">
        <v>0.25</v>
      </c>
      <c r="S200" s="10">
        <v>45555.0</v>
      </c>
      <c r="T200" s="11">
        <v>1.825</v>
      </c>
      <c r="U200" s="8" t="s">
        <v>33</v>
      </c>
      <c r="V200" s="12">
        <f t="shared" si="1"/>
        <v>0.20625</v>
      </c>
      <c r="W200" s="12">
        <f t="shared" si="4"/>
        <v>1.215777553</v>
      </c>
    </row>
    <row r="201">
      <c r="A201" s="15">
        <f t="shared" si="3"/>
        <v>200</v>
      </c>
      <c r="B201" s="15" t="s">
        <v>135</v>
      </c>
      <c r="C201" s="15" t="s">
        <v>19</v>
      </c>
      <c r="D201" s="15">
        <v>0.0</v>
      </c>
      <c r="E201" s="15" t="s">
        <v>1997</v>
      </c>
      <c r="F201" s="15"/>
      <c r="G201" s="15"/>
      <c r="H201" s="110"/>
      <c r="I201" s="15"/>
      <c r="J201" s="15"/>
      <c r="K201" s="15"/>
      <c r="L201" s="15" t="s">
        <v>583</v>
      </c>
      <c r="M201" s="15" t="s">
        <v>22</v>
      </c>
      <c r="N201" s="15" t="s">
        <v>29</v>
      </c>
      <c r="O201" s="15" t="s">
        <v>24</v>
      </c>
      <c r="P201" s="16">
        <v>-3.25</v>
      </c>
      <c r="Q201" s="16">
        <v>0.25</v>
      </c>
      <c r="R201" s="16">
        <v>0.25</v>
      </c>
      <c r="S201" s="17">
        <v>45555.0</v>
      </c>
      <c r="T201" s="18">
        <v>1.95</v>
      </c>
      <c r="U201" s="15" t="s">
        <v>30</v>
      </c>
      <c r="V201" s="19">
        <f t="shared" si="1"/>
        <v>0.11875</v>
      </c>
      <c r="W201" s="19">
        <f t="shared" si="4"/>
        <v>1.334527553</v>
      </c>
    </row>
    <row r="202">
      <c r="A202" s="8">
        <f t="shared" si="3"/>
        <v>201</v>
      </c>
      <c r="B202" s="8" t="s">
        <v>135</v>
      </c>
      <c r="C202" s="8" t="s">
        <v>19</v>
      </c>
      <c r="D202" s="8">
        <v>0.0</v>
      </c>
      <c r="E202" s="8" t="s">
        <v>1998</v>
      </c>
      <c r="F202" s="8">
        <v>6.0</v>
      </c>
      <c r="G202" s="8">
        <v>4.0</v>
      </c>
      <c r="H202" s="111">
        <f>3/(9*2)</f>
        <v>0.1666666667</v>
      </c>
      <c r="I202" s="8"/>
      <c r="J202" s="8"/>
      <c r="K202" s="8"/>
      <c r="L202" s="8" t="s">
        <v>583</v>
      </c>
      <c r="M202" s="8" t="s">
        <v>22</v>
      </c>
      <c r="N202" s="8" t="s">
        <v>29</v>
      </c>
      <c r="O202" s="8" t="s">
        <v>24</v>
      </c>
      <c r="P202" s="9">
        <v>-3.5</v>
      </c>
      <c r="Q202" s="9">
        <v>0.25</v>
      </c>
      <c r="R202" s="9">
        <v>0.208</v>
      </c>
      <c r="S202" s="10">
        <v>45555.0</v>
      </c>
      <c r="T202" s="11">
        <v>1.825</v>
      </c>
      <c r="U202" s="8" t="s">
        <v>33</v>
      </c>
      <c r="V202" s="12">
        <f t="shared" si="1"/>
        <v>0.1716</v>
      </c>
      <c r="W202" s="12">
        <f t="shared" si="4"/>
        <v>1.506127553</v>
      </c>
    </row>
    <row r="203">
      <c r="A203" s="15">
        <f t="shared" si="3"/>
        <v>202</v>
      </c>
      <c r="B203" s="15" t="s">
        <v>35</v>
      </c>
      <c r="C203" s="15" t="s">
        <v>19</v>
      </c>
      <c r="D203" s="15">
        <v>60.0</v>
      </c>
      <c r="E203" s="15" t="s">
        <v>1999</v>
      </c>
      <c r="F203" s="15">
        <v>13.0</v>
      </c>
      <c r="G203" s="15">
        <v>8.0</v>
      </c>
      <c r="H203" s="110">
        <f>2/(15*2)</f>
        <v>0.06666666667</v>
      </c>
      <c r="I203" s="15" t="s">
        <v>1473</v>
      </c>
      <c r="J203" s="15" t="s">
        <v>1480</v>
      </c>
      <c r="K203" s="15">
        <v>1.0</v>
      </c>
      <c r="L203" s="15" t="s">
        <v>1031</v>
      </c>
      <c r="M203" s="15" t="s">
        <v>22</v>
      </c>
      <c r="N203" s="15" t="s">
        <v>892</v>
      </c>
      <c r="O203" s="15" t="s">
        <v>24</v>
      </c>
      <c r="P203" s="16">
        <v>0.0</v>
      </c>
      <c r="Q203" s="16">
        <v>0.15</v>
      </c>
      <c r="R203" s="16">
        <v>0.144</v>
      </c>
      <c r="S203" s="17">
        <v>45555.0</v>
      </c>
      <c r="T203" s="18">
        <v>2.48</v>
      </c>
      <c r="U203" s="15" t="s">
        <v>70</v>
      </c>
      <c r="V203" s="19">
        <f t="shared" si="1"/>
        <v>0</v>
      </c>
      <c r="W203" s="19">
        <f t="shared" si="4"/>
        <v>1.506127553</v>
      </c>
    </row>
    <row r="204">
      <c r="A204" s="8">
        <f t="shared" si="3"/>
        <v>203</v>
      </c>
      <c r="B204" s="8" t="s">
        <v>35</v>
      </c>
      <c r="C204" s="8" t="s">
        <v>19</v>
      </c>
      <c r="D204" s="8">
        <v>60.0</v>
      </c>
      <c r="E204" s="8" t="s">
        <v>2000</v>
      </c>
      <c r="F204" s="8">
        <v>9.0</v>
      </c>
      <c r="G204" s="8">
        <v>12.0</v>
      </c>
      <c r="H204" s="111">
        <f>2/(16*2)</f>
        <v>0.0625</v>
      </c>
      <c r="I204" s="8" t="s">
        <v>1473</v>
      </c>
      <c r="J204" s="8" t="s">
        <v>1480</v>
      </c>
      <c r="K204" s="8">
        <v>0.0</v>
      </c>
      <c r="L204" s="8" t="s">
        <v>167</v>
      </c>
      <c r="M204" s="8" t="s">
        <v>22</v>
      </c>
      <c r="N204" s="8" t="s">
        <v>892</v>
      </c>
      <c r="O204" s="8" t="s">
        <v>39</v>
      </c>
      <c r="P204" s="9">
        <v>0.0</v>
      </c>
      <c r="Q204" s="9">
        <v>0.2</v>
      </c>
      <c r="R204" s="9">
        <v>0.2</v>
      </c>
      <c r="S204" s="10">
        <v>45555.0</v>
      </c>
      <c r="T204" s="11">
        <v>1.975</v>
      </c>
      <c r="U204" s="8" t="s">
        <v>33</v>
      </c>
      <c r="V204" s="12">
        <f t="shared" si="1"/>
        <v>0.195</v>
      </c>
      <c r="W204" s="12">
        <f t="shared" si="4"/>
        <v>1.701127553</v>
      </c>
    </row>
    <row r="205">
      <c r="A205" s="15">
        <f t="shared" si="3"/>
        <v>204</v>
      </c>
      <c r="B205" s="15" t="s">
        <v>137</v>
      </c>
      <c r="C205" s="15" t="s">
        <v>19</v>
      </c>
      <c r="D205" s="15">
        <v>20.0</v>
      </c>
      <c r="E205" s="15" t="s">
        <v>2001</v>
      </c>
      <c r="F205" s="15"/>
      <c r="G205" s="15"/>
      <c r="H205" s="110"/>
      <c r="I205" s="15" t="s">
        <v>1473</v>
      </c>
      <c r="J205" s="15" t="s">
        <v>1474</v>
      </c>
      <c r="K205" s="15">
        <v>0.0</v>
      </c>
      <c r="L205" s="15" t="s">
        <v>583</v>
      </c>
      <c r="M205" s="15" t="s">
        <v>22</v>
      </c>
      <c r="N205" s="15" t="s">
        <v>225</v>
      </c>
      <c r="O205" s="15" t="s">
        <v>24</v>
      </c>
      <c r="P205" s="16">
        <v>0.25</v>
      </c>
      <c r="Q205" s="16">
        <v>0.25</v>
      </c>
      <c r="R205" s="16">
        <v>0.093</v>
      </c>
      <c r="S205" s="17">
        <v>45555.0</v>
      </c>
      <c r="T205" s="18">
        <v>1.9</v>
      </c>
      <c r="U205" s="15" t="s">
        <v>33</v>
      </c>
      <c r="V205" s="19">
        <f t="shared" si="1"/>
        <v>0.0837</v>
      </c>
      <c r="W205" s="19">
        <f t="shared" si="4"/>
        <v>1.784827553</v>
      </c>
    </row>
    <row r="206">
      <c r="A206" s="8">
        <f t="shared" si="3"/>
        <v>205</v>
      </c>
      <c r="B206" s="8" t="s">
        <v>35</v>
      </c>
      <c r="C206" s="8" t="s">
        <v>19</v>
      </c>
      <c r="D206" s="8">
        <v>60.0</v>
      </c>
      <c r="E206" s="8" t="s">
        <v>2002</v>
      </c>
      <c r="F206" s="8">
        <v>14.0</v>
      </c>
      <c r="G206" s="8">
        <v>12.0</v>
      </c>
      <c r="H206" s="111">
        <f>1/(15*2)</f>
        <v>0.03333333333</v>
      </c>
      <c r="I206" s="8" t="s">
        <v>1473</v>
      </c>
      <c r="J206" s="8" t="s">
        <v>1474</v>
      </c>
      <c r="K206" s="8">
        <v>-1.0</v>
      </c>
      <c r="L206" s="8" t="s">
        <v>162</v>
      </c>
      <c r="M206" s="8" t="s">
        <v>22</v>
      </c>
      <c r="N206" s="8" t="s">
        <v>225</v>
      </c>
      <c r="O206" s="8" t="s">
        <v>39</v>
      </c>
      <c r="P206" s="9">
        <v>0.25</v>
      </c>
      <c r="Q206" s="9">
        <v>0.2</v>
      </c>
      <c r="R206" s="9">
        <v>0.2</v>
      </c>
      <c r="S206" s="10">
        <v>45555.0</v>
      </c>
      <c r="T206" s="11">
        <v>1.7</v>
      </c>
      <c r="U206" s="8" t="s">
        <v>30</v>
      </c>
      <c r="V206" s="12">
        <f t="shared" si="1"/>
        <v>0.07</v>
      </c>
      <c r="W206" s="12">
        <f t="shared" si="4"/>
        <v>1.854827553</v>
      </c>
    </row>
    <row r="207">
      <c r="A207" s="15">
        <f t="shared" si="3"/>
        <v>206</v>
      </c>
      <c r="B207" s="15" t="s">
        <v>35</v>
      </c>
      <c r="C207" s="15" t="s">
        <v>19</v>
      </c>
      <c r="D207" s="15">
        <v>60.0</v>
      </c>
      <c r="E207" s="15" t="s">
        <v>2003</v>
      </c>
      <c r="F207" s="15"/>
      <c r="G207" s="15"/>
      <c r="H207" s="110"/>
      <c r="I207" s="15" t="s">
        <v>1479</v>
      </c>
      <c r="J207" s="15" t="s">
        <v>1480</v>
      </c>
      <c r="K207" s="15">
        <v>2.0</v>
      </c>
      <c r="L207" s="15" t="s">
        <v>2004</v>
      </c>
      <c r="M207" s="15" t="s">
        <v>22</v>
      </c>
      <c r="N207" s="15" t="s">
        <v>892</v>
      </c>
      <c r="O207" s="15" t="s">
        <v>39</v>
      </c>
      <c r="P207" s="16">
        <v>0.0</v>
      </c>
      <c r="Q207" s="16">
        <v>0.2</v>
      </c>
      <c r="R207" s="16">
        <v>0.2</v>
      </c>
      <c r="S207" s="17">
        <v>45555.0</v>
      </c>
      <c r="T207" s="18">
        <v>2.05</v>
      </c>
      <c r="U207" s="15" t="s">
        <v>70</v>
      </c>
      <c r="V207" s="19">
        <f t="shared" si="1"/>
        <v>0</v>
      </c>
      <c r="W207" s="19">
        <f t="shared" si="4"/>
        <v>1.854827553</v>
      </c>
    </row>
    <row r="208">
      <c r="A208" s="8">
        <f t="shared" si="3"/>
        <v>207</v>
      </c>
      <c r="B208" s="8" t="s">
        <v>35</v>
      </c>
      <c r="C208" s="8" t="s">
        <v>19</v>
      </c>
      <c r="D208" s="8">
        <v>55.0</v>
      </c>
      <c r="E208" s="8" t="s">
        <v>2005</v>
      </c>
      <c r="F208" s="8">
        <v>8.0</v>
      </c>
      <c r="G208" s="8">
        <v>6.0</v>
      </c>
      <c r="H208" s="111">
        <f>7/(17*2)</f>
        <v>0.2058823529</v>
      </c>
      <c r="I208" s="8" t="s">
        <v>1473</v>
      </c>
      <c r="J208" s="8" t="s">
        <v>1474</v>
      </c>
      <c r="K208" s="8">
        <v>0.0</v>
      </c>
      <c r="L208" s="8" t="s">
        <v>101</v>
      </c>
      <c r="M208" s="8" t="s">
        <v>22</v>
      </c>
      <c r="N208" s="8" t="s">
        <v>225</v>
      </c>
      <c r="O208" s="8" t="s">
        <v>39</v>
      </c>
      <c r="P208" s="9">
        <v>0.25</v>
      </c>
      <c r="Q208" s="9">
        <v>0.15</v>
      </c>
      <c r="R208" s="9">
        <v>0.15</v>
      </c>
      <c r="S208" s="10">
        <v>45555.0</v>
      </c>
      <c r="T208" s="11">
        <v>1.875</v>
      </c>
      <c r="U208" s="8" t="s">
        <v>25</v>
      </c>
      <c r="V208" s="12">
        <f t="shared" si="1"/>
        <v>-0.15</v>
      </c>
      <c r="W208" s="12">
        <f t="shared" si="4"/>
        <v>1.704827553</v>
      </c>
    </row>
    <row r="209">
      <c r="A209" s="15">
        <f t="shared" si="3"/>
        <v>208</v>
      </c>
      <c r="B209" s="15" t="s">
        <v>35</v>
      </c>
      <c r="C209" s="15" t="s">
        <v>19</v>
      </c>
      <c r="D209" s="15">
        <v>60.0</v>
      </c>
      <c r="E209" s="15" t="s">
        <v>2006</v>
      </c>
      <c r="F209" s="15">
        <v>16.0</v>
      </c>
      <c r="G209" s="15">
        <v>12.0</v>
      </c>
      <c r="H209" s="110">
        <f t="shared" ref="H209:H210" si="15">6/(15*2)</f>
        <v>0.2</v>
      </c>
      <c r="I209" s="15" t="s">
        <v>1479</v>
      </c>
      <c r="J209" s="15" t="s">
        <v>1474</v>
      </c>
      <c r="K209" s="15">
        <v>0.0</v>
      </c>
      <c r="L209" s="15" t="s">
        <v>316</v>
      </c>
      <c r="M209" s="15" t="s">
        <v>22</v>
      </c>
      <c r="N209" s="15" t="s">
        <v>225</v>
      </c>
      <c r="O209" s="15" t="s">
        <v>39</v>
      </c>
      <c r="P209" s="16">
        <v>0.25</v>
      </c>
      <c r="Q209" s="16">
        <v>0.15</v>
      </c>
      <c r="R209" s="16">
        <v>0.144</v>
      </c>
      <c r="S209" s="17">
        <v>45555.0</v>
      </c>
      <c r="T209" s="18">
        <v>1.9</v>
      </c>
      <c r="U209" s="15" t="s">
        <v>25</v>
      </c>
      <c r="V209" s="19">
        <f t="shared" si="1"/>
        <v>-0.144</v>
      </c>
      <c r="W209" s="19">
        <f t="shared" si="4"/>
        <v>1.560827553</v>
      </c>
    </row>
    <row r="210">
      <c r="A210" s="8">
        <f t="shared" si="3"/>
        <v>209</v>
      </c>
      <c r="B210" s="8" t="s">
        <v>35</v>
      </c>
      <c r="C210" s="8" t="s">
        <v>19</v>
      </c>
      <c r="D210" s="8">
        <v>55.0</v>
      </c>
      <c r="E210" s="8" t="s">
        <v>2007</v>
      </c>
      <c r="F210" s="8">
        <v>10.0</v>
      </c>
      <c r="G210" s="8">
        <v>3.0</v>
      </c>
      <c r="H210" s="111">
        <f t="shared" si="15"/>
        <v>0.2</v>
      </c>
      <c r="I210" s="8" t="s">
        <v>1479</v>
      </c>
      <c r="J210" s="8" t="s">
        <v>1480</v>
      </c>
      <c r="K210" s="8">
        <v>0.0</v>
      </c>
      <c r="L210" s="8" t="s">
        <v>316</v>
      </c>
      <c r="M210" s="8" t="s">
        <v>22</v>
      </c>
      <c r="N210" s="8" t="s">
        <v>892</v>
      </c>
      <c r="O210" s="8" t="s">
        <v>39</v>
      </c>
      <c r="P210" s="9">
        <v>0.0</v>
      </c>
      <c r="Q210" s="9">
        <v>0.15</v>
      </c>
      <c r="R210" s="9">
        <v>0.14</v>
      </c>
      <c r="S210" s="10">
        <v>45555.0</v>
      </c>
      <c r="T210" s="11">
        <v>2.025</v>
      </c>
      <c r="U210" s="8" t="s">
        <v>25</v>
      </c>
      <c r="V210" s="12">
        <f t="shared" si="1"/>
        <v>-0.14</v>
      </c>
      <c r="W210" s="12">
        <f t="shared" si="4"/>
        <v>1.420827553</v>
      </c>
    </row>
    <row r="211">
      <c r="A211" s="15">
        <f t="shared" si="3"/>
        <v>210</v>
      </c>
      <c r="B211" s="15" t="s">
        <v>35</v>
      </c>
      <c r="C211" s="15" t="s">
        <v>19</v>
      </c>
      <c r="D211" s="15">
        <v>60.0</v>
      </c>
      <c r="E211" s="15" t="s">
        <v>2008</v>
      </c>
      <c r="F211" s="15">
        <v>15.0</v>
      </c>
      <c r="G211" s="15">
        <v>1.0</v>
      </c>
      <c r="H211" s="110">
        <f>7/(15*2)</f>
        <v>0.2333333333</v>
      </c>
      <c r="I211" s="15" t="s">
        <v>1479</v>
      </c>
      <c r="J211" s="15" t="s">
        <v>1474</v>
      </c>
      <c r="K211" s="15">
        <v>-1.0</v>
      </c>
      <c r="L211" s="15" t="s">
        <v>316</v>
      </c>
      <c r="M211" s="15" t="s">
        <v>22</v>
      </c>
      <c r="N211" s="15" t="s">
        <v>892</v>
      </c>
      <c r="O211" s="15" t="s">
        <v>39</v>
      </c>
      <c r="P211" s="16">
        <v>0.0</v>
      </c>
      <c r="Q211" s="16">
        <v>0.15</v>
      </c>
      <c r="R211" s="16">
        <f>2/54*0.25</f>
        <v>0.009259259259</v>
      </c>
      <c r="S211" s="17">
        <v>45555.0</v>
      </c>
      <c r="T211" s="18">
        <v>1.7</v>
      </c>
      <c r="U211" s="15" t="s">
        <v>30</v>
      </c>
      <c r="V211" s="19">
        <f t="shared" si="1"/>
        <v>0.003240740741</v>
      </c>
      <c r="W211" s="19">
        <f t="shared" si="4"/>
        <v>1.424068294</v>
      </c>
    </row>
    <row r="212">
      <c r="A212" s="8">
        <f t="shared" si="3"/>
        <v>211</v>
      </c>
      <c r="B212" s="8" t="s">
        <v>35</v>
      </c>
      <c r="C212" s="8" t="s">
        <v>19</v>
      </c>
      <c r="D212" s="8">
        <v>61.0</v>
      </c>
      <c r="E212" s="8" t="s">
        <v>2009</v>
      </c>
      <c r="F212" s="8"/>
      <c r="G212" s="8"/>
      <c r="H212" s="111"/>
      <c r="I212" s="8" t="s">
        <v>1473</v>
      </c>
      <c r="J212" s="8" t="s">
        <v>1480</v>
      </c>
      <c r="K212" s="8">
        <v>2.0</v>
      </c>
      <c r="L212" s="8" t="s">
        <v>513</v>
      </c>
      <c r="M212" s="8" t="s">
        <v>22</v>
      </c>
      <c r="N212" s="8" t="s">
        <v>892</v>
      </c>
      <c r="O212" s="8" t="s">
        <v>39</v>
      </c>
      <c r="P212" s="9">
        <v>0.0</v>
      </c>
      <c r="Q212" s="9">
        <v>0.15</v>
      </c>
      <c r="R212" s="9">
        <v>0.097</v>
      </c>
      <c r="S212" s="54">
        <v>45555.0</v>
      </c>
      <c r="T212" s="11">
        <v>2.25</v>
      </c>
      <c r="U212" s="8" t="s">
        <v>33</v>
      </c>
      <c r="V212" s="12">
        <f t="shared" si="1"/>
        <v>0.12125</v>
      </c>
      <c r="W212" s="12">
        <f t="shared" si="4"/>
        <v>1.545318294</v>
      </c>
    </row>
    <row r="213">
      <c r="A213" s="15">
        <f t="shared" si="3"/>
        <v>212</v>
      </c>
      <c r="B213" s="15" t="s">
        <v>35</v>
      </c>
      <c r="C213" s="15" t="s">
        <v>19</v>
      </c>
      <c r="D213" s="15">
        <v>64.0</v>
      </c>
      <c r="E213" s="15" t="s">
        <v>2010</v>
      </c>
      <c r="F213" s="15">
        <v>8.0</v>
      </c>
      <c r="G213" s="15">
        <v>9.0</v>
      </c>
      <c r="H213" s="110">
        <f t="shared" ref="H213:H214" si="16">5/(11*2)</f>
        <v>0.2272727273</v>
      </c>
      <c r="I213" s="15" t="s">
        <v>1473</v>
      </c>
      <c r="J213" s="15" t="s">
        <v>1474</v>
      </c>
      <c r="K213" s="15">
        <v>0.0</v>
      </c>
      <c r="L213" s="15" t="s">
        <v>1201</v>
      </c>
      <c r="M213" s="15" t="s">
        <v>22</v>
      </c>
      <c r="N213" s="15" t="s">
        <v>225</v>
      </c>
      <c r="O213" s="15" t="s">
        <v>39</v>
      </c>
      <c r="P213" s="16">
        <v>0.5</v>
      </c>
      <c r="Q213" s="16">
        <v>0.15</v>
      </c>
      <c r="R213" s="16">
        <v>0.147</v>
      </c>
      <c r="S213" s="17">
        <v>45555.0</v>
      </c>
      <c r="T213" s="18">
        <v>1.8</v>
      </c>
      <c r="U213" s="15" t="s">
        <v>33</v>
      </c>
      <c r="V213" s="19">
        <f t="shared" si="1"/>
        <v>0.1176</v>
      </c>
      <c r="W213" s="19">
        <f t="shared" si="4"/>
        <v>1.662918294</v>
      </c>
    </row>
    <row r="214">
      <c r="A214" s="8">
        <f t="shared" si="3"/>
        <v>213</v>
      </c>
      <c r="B214" s="8" t="s">
        <v>35</v>
      </c>
      <c r="C214" s="8" t="s">
        <v>19</v>
      </c>
      <c r="D214" s="8">
        <v>59.0</v>
      </c>
      <c r="E214" s="8" t="s">
        <v>2011</v>
      </c>
      <c r="F214" s="8">
        <v>8.0</v>
      </c>
      <c r="G214" s="8">
        <v>9.0</v>
      </c>
      <c r="H214" s="111">
        <f t="shared" si="16"/>
        <v>0.2272727273</v>
      </c>
      <c r="I214" s="8" t="s">
        <v>1479</v>
      </c>
      <c r="J214" s="8" t="s">
        <v>1480</v>
      </c>
      <c r="K214" s="8">
        <v>0.0</v>
      </c>
      <c r="L214" s="8" t="s">
        <v>2004</v>
      </c>
      <c r="M214" s="8" t="s">
        <v>22</v>
      </c>
      <c r="N214" s="8" t="s">
        <v>892</v>
      </c>
      <c r="O214" s="8" t="s">
        <v>39</v>
      </c>
      <c r="P214" s="9">
        <v>0.0</v>
      </c>
      <c r="Q214" s="9">
        <v>0.15</v>
      </c>
      <c r="R214" s="9">
        <v>0.15</v>
      </c>
      <c r="S214" s="10">
        <v>45555.0</v>
      </c>
      <c r="T214" s="11">
        <v>1.975</v>
      </c>
      <c r="U214" s="8" t="s">
        <v>25</v>
      </c>
      <c r="V214" s="12">
        <f t="shared" si="1"/>
        <v>-0.15</v>
      </c>
      <c r="W214" s="12">
        <f t="shared" si="4"/>
        <v>1.512918294</v>
      </c>
    </row>
    <row r="215">
      <c r="A215" s="15">
        <f t="shared" si="3"/>
        <v>214</v>
      </c>
      <c r="B215" s="15" t="s">
        <v>35</v>
      </c>
      <c r="C215" s="15" t="s">
        <v>19</v>
      </c>
      <c r="D215" s="15">
        <v>61.0</v>
      </c>
      <c r="E215" s="37" t="s">
        <v>2012</v>
      </c>
      <c r="F215" s="37"/>
      <c r="G215" s="37"/>
      <c r="H215" s="110"/>
      <c r="I215" s="15" t="s">
        <v>1473</v>
      </c>
      <c r="J215" s="15" t="s">
        <v>1474</v>
      </c>
      <c r="K215" s="15">
        <v>0.0</v>
      </c>
      <c r="L215" s="15" t="s">
        <v>245</v>
      </c>
      <c r="M215" s="15" t="s">
        <v>22</v>
      </c>
      <c r="N215" s="15" t="s">
        <v>225</v>
      </c>
      <c r="O215" s="15" t="s">
        <v>39</v>
      </c>
      <c r="P215" s="16">
        <v>0.25</v>
      </c>
      <c r="Q215" s="16">
        <v>0.15</v>
      </c>
      <c r="R215" s="16">
        <v>0.15</v>
      </c>
      <c r="S215" s="17">
        <v>45555.0</v>
      </c>
      <c r="T215" s="18">
        <v>1.775</v>
      </c>
      <c r="U215" s="15" t="s">
        <v>25</v>
      </c>
      <c r="V215" s="19">
        <f t="shared" si="1"/>
        <v>-0.15</v>
      </c>
      <c r="W215" s="19">
        <f t="shared" si="4"/>
        <v>1.362918294</v>
      </c>
    </row>
    <row r="216">
      <c r="A216" s="8">
        <f t="shared" si="3"/>
        <v>215</v>
      </c>
      <c r="B216" s="8" t="s">
        <v>35</v>
      </c>
      <c r="C216" s="8" t="s">
        <v>19</v>
      </c>
      <c r="D216" s="8">
        <v>59.0</v>
      </c>
      <c r="E216" s="47" t="s">
        <v>2013</v>
      </c>
      <c r="F216" s="47"/>
      <c r="G216" s="47"/>
      <c r="H216" s="111"/>
      <c r="I216" s="8" t="s">
        <v>1473</v>
      </c>
      <c r="J216" s="8" t="s">
        <v>1474</v>
      </c>
      <c r="K216" s="8">
        <v>-1.0</v>
      </c>
      <c r="L216" s="8" t="s">
        <v>162</v>
      </c>
      <c r="M216" s="8" t="s">
        <v>22</v>
      </c>
      <c r="N216" s="8" t="s">
        <v>225</v>
      </c>
      <c r="O216" s="8" t="s">
        <v>39</v>
      </c>
      <c r="P216" s="9">
        <v>0.25</v>
      </c>
      <c r="Q216" s="9">
        <v>0.15</v>
      </c>
      <c r="R216" s="9">
        <v>0.15</v>
      </c>
      <c r="S216" s="10">
        <v>45555.0</v>
      </c>
      <c r="T216" s="11">
        <v>1.825</v>
      </c>
      <c r="U216" s="8" t="s">
        <v>25</v>
      </c>
      <c r="V216" s="12">
        <f t="shared" si="1"/>
        <v>-0.15</v>
      </c>
      <c r="W216" s="12">
        <f t="shared" si="4"/>
        <v>1.212918294</v>
      </c>
    </row>
    <row r="217">
      <c r="A217" s="15">
        <f t="shared" si="3"/>
        <v>216</v>
      </c>
      <c r="B217" s="15" t="s">
        <v>35</v>
      </c>
      <c r="C217" s="15" t="s">
        <v>19</v>
      </c>
      <c r="D217" s="15">
        <v>59.0</v>
      </c>
      <c r="E217" s="42" t="s">
        <v>2014</v>
      </c>
      <c r="F217" s="42"/>
      <c r="G217" s="42"/>
      <c r="H217" s="110"/>
      <c r="I217" s="15" t="s">
        <v>1479</v>
      </c>
      <c r="J217" s="15" t="s">
        <v>1474</v>
      </c>
      <c r="K217" s="15">
        <v>1.0</v>
      </c>
      <c r="L217" s="15" t="s">
        <v>78</v>
      </c>
      <c r="M217" s="15" t="s">
        <v>22</v>
      </c>
      <c r="N217" s="15" t="s">
        <v>225</v>
      </c>
      <c r="O217" s="15" t="s">
        <v>39</v>
      </c>
      <c r="P217" s="16">
        <v>0.25</v>
      </c>
      <c r="Q217" s="16">
        <v>0.15</v>
      </c>
      <c r="R217" s="16">
        <v>0.15</v>
      </c>
      <c r="S217" s="17">
        <v>45555.0</v>
      </c>
      <c r="T217" s="18">
        <v>1.675</v>
      </c>
      <c r="U217" s="15" t="s">
        <v>33</v>
      </c>
      <c r="V217" s="19">
        <f t="shared" si="1"/>
        <v>0.10125</v>
      </c>
      <c r="W217" s="19">
        <f t="shared" si="4"/>
        <v>1.314168294</v>
      </c>
    </row>
    <row r="218">
      <c r="A218" s="8">
        <f t="shared" si="3"/>
        <v>217</v>
      </c>
      <c r="B218" s="8" t="s">
        <v>26</v>
      </c>
      <c r="C218" s="8" t="s">
        <v>19</v>
      </c>
      <c r="D218" s="8">
        <v>81.0</v>
      </c>
      <c r="E218" s="8" t="s">
        <v>2015</v>
      </c>
      <c r="F218" s="8">
        <v>14.0</v>
      </c>
      <c r="G218" s="8">
        <v>7.0</v>
      </c>
      <c r="H218" s="111">
        <f>5/(15*2)</f>
        <v>0.1666666667</v>
      </c>
      <c r="I218" s="8" t="s">
        <v>1479</v>
      </c>
      <c r="J218" s="8" t="s">
        <v>1480</v>
      </c>
      <c r="K218" s="8">
        <v>-1.0</v>
      </c>
      <c r="L218" s="8" t="s">
        <v>101</v>
      </c>
      <c r="M218" s="8" t="s">
        <v>22</v>
      </c>
      <c r="N218" s="8" t="s">
        <v>892</v>
      </c>
      <c r="O218" s="8" t="s">
        <v>24</v>
      </c>
      <c r="P218" s="9">
        <v>0.0</v>
      </c>
      <c r="Q218" s="9">
        <v>0.5</v>
      </c>
      <c r="R218" s="9">
        <v>0.491</v>
      </c>
      <c r="S218" s="10">
        <v>45555.0</v>
      </c>
      <c r="T218" s="11">
        <v>1.7</v>
      </c>
      <c r="U218" s="8" t="s">
        <v>70</v>
      </c>
      <c r="V218" s="12">
        <f t="shared" si="1"/>
        <v>0</v>
      </c>
      <c r="W218" s="12">
        <f t="shared" si="4"/>
        <v>1.314168294</v>
      </c>
    </row>
    <row r="219">
      <c r="A219" s="15">
        <f t="shared" si="3"/>
        <v>218</v>
      </c>
      <c r="B219" s="15" t="s">
        <v>35</v>
      </c>
      <c r="C219" s="15" t="s">
        <v>19</v>
      </c>
      <c r="D219" s="15">
        <v>58.0</v>
      </c>
      <c r="E219" s="15" t="s">
        <v>2016</v>
      </c>
      <c r="F219" s="15"/>
      <c r="G219" s="15"/>
      <c r="H219" s="110"/>
      <c r="I219" s="15" t="s">
        <v>1479</v>
      </c>
      <c r="J219" s="15" t="s">
        <v>1480</v>
      </c>
      <c r="K219" s="15">
        <v>1.0</v>
      </c>
      <c r="L219" s="15" t="s">
        <v>908</v>
      </c>
      <c r="M219" s="15" t="s">
        <v>22</v>
      </c>
      <c r="N219" s="15" t="s">
        <v>892</v>
      </c>
      <c r="O219" s="15" t="s">
        <v>39</v>
      </c>
      <c r="P219" s="16">
        <v>0.0</v>
      </c>
      <c r="Q219" s="16">
        <v>0.3</v>
      </c>
      <c r="R219" s="16">
        <v>0.1472</v>
      </c>
      <c r="S219" s="17">
        <v>45555.0</v>
      </c>
      <c r="T219" s="18">
        <v>2.25</v>
      </c>
      <c r="U219" s="15" t="s">
        <v>70</v>
      </c>
      <c r="V219" s="19">
        <f t="shared" si="1"/>
        <v>0</v>
      </c>
      <c r="W219" s="19">
        <f t="shared" si="4"/>
        <v>1.314168294</v>
      </c>
    </row>
    <row r="220">
      <c r="A220" s="8">
        <f t="shared" si="3"/>
        <v>219</v>
      </c>
      <c r="B220" s="8" t="s">
        <v>35</v>
      </c>
      <c r="C220" s="8" t="s">
        <v>19</v>
      </c>
      <c r="D220" s="8">
        <v>60.0</v>
      </c>
      <c r="E220" s="8" t="s">
        <v>2017</v>
      </c>
      <c r="F220" s="8"/>
      <c r="G220" s="8"/>
      <c r="H220" s="111"/>
      <c r="I220" s="8" t="s">
        <v>1473</v>
      </c>
      <c r="J220" s="8" t="s">
        <v>1474</v>
      </c>
      <c r="K220" s="8">
        <v>2.0</v>
      </c>
      <c r="L220" s="8" t="s">
        <v>121</v>
      </c>
      <c r="M220" s="8" t="s">
        <v>22</v>
      </c>
      <c r="N220" s="8" t="s">
        <v>225</v>
      </c>
      <c r="O220" s="8" t="s">
        <v>39</v>
      </c>
      <c r="P220" s="9">
        <v>0.25</v>
      </c>
      <c r="Q220" s="9">
        <v>0.15</v>
      </c>
      <c r="R220" s="9">
        <v>0.15</v>
      </c>
      <c r="S220" s="10">
        <v>45555.0</v>
      </c>
      <c r="T220" s="11">
        <v>1.86</v>
      </c>
      <c r="U220" s="8" t="s">
        <v>30</v>
      </c>
      <c r="V220" s="12">
        <f t="shared" si="1"/>
        <v>0.0645</v>
      </c>
      <c r="W220" s="12">
        <f t="shared" si="4"/>
        <v>1.378668294</v>
      </c>
    </row>
    <row r="221">
      <c r="A221" s="15">
        <f t="shared" si="3"/>
        <v>220</v>
      </c>
      <c r="B221" s="15" t="s">
        <v>35</v>
      </c>
      <c r="C221" s="15" t="s">
        <v>19</v>
      </c>
      <c r="D221" s="15">
        <v>60.0</v>
      </c>
      <c r="E221" s="15" t="s">
        <v>2018</v>
      </c>
      <c r="F221" s="15">
        <v>3.0</v>
      </c>
      <c r="G221" s="15">
        <v>13.0</v>
      </c>
      <c r="H221" s="110">
        <f>4/(15*2)</f>
        <v>0.1333333333</v>
      </c>
      <c r="I221" s="15" t="s">
        <v>1473</v>
      </c>
      <c r="J221" s="15" t="s">
        <v>1474</v>
      </c>
      <c r="K221" s="15">
        <v>-1.0</v>
      </c>
      <c r="L221" s="15" t="s">
        <v>231</v>
      </c>
      <c r="M221" s="15" t="s">
        <v>22</v>
      </c>
      <c r="N221" s="15" t="s">
        <v>225</v>
      </c>
      <c r="O221" s="15" t="s">
        <v>39</v>
      </c>
      <c r="P221" s="16">
        <v>0.25</v>
      </c>
      <c r="Q221" s="16">
        <v>0.15</v>
      </c>
      <c r="R221" s="16">
        <v>0.15</v>
      </c>
      <c r="S221" s="17">
        <v>45555.0</v>
      </c>
      <c r="T221" s="18">
        <v>2.08</v>
      </c>
      <c r="U221" s="15" t="s">
        <v>25</v>
      </c>
      <c r="V221" s="19">
        <f t="shared" si="1"/>
        <v>-0.15</v>
      </c>
      <c r="W221" s="19">
        <f t="shared" si="4"/>
        <v>1.228668294</v>
      </c>
    </row>
    <row r="222">
      <c r="A222" s="8">
        <f t="shared" si="3"/>
        <v>221</v>
      </c>
      <c r="B222" s="8" t="s">
        <v>35</v>
      </c>
      <c r="C222" s="8" t="s">
        <v>19</v>
      </c>
      <c r="D222" s="8">
        <v>60.0</v>
      </c>
      <c r="E222" s="8" t="s">
        <v>2019</v>
      </c>
      <c r="F222" s="8">
        <v>5.0</v>
      </c>
      <c r="G222" s="8">
        <v>9.0</v>
      </c>
      <c r="H222" s="111">
        <f>4/(9*2)</f>
        <v>0.2222222222</v>
      </c>
      <c r="I222" s="8" t="s">
        <v>1473</v>
      </c>
      <c r="J222" s="8" t="s">
        <v>1480</v>
      </c>
      <c r="K222" s="8">
        <v>-1.0</v>
      </c>
      <c r="L222" s="8" t="s">
        <v>581</v>
      </c>
      <c r="M222" s="8" t="s">
        <v>22</v>
      </c>
      <c r="N222" s="8" t="s">
        <v>892</v>
      </c>
      <c r="O222" s="8" t="s">
        <v>39</v>
      </c>
      <c r="P222" s="9">
        <v>0.0</v>
      </c>
      <c r="Q222" s="9">
        <v>0.15</v>
      </c>
      <c r="R222" s="9">
        <v>0.15</v>
      </c>
      <c r="S222" s="10">
        <v>45555.0</v>
      </c>
      <c r="T222" s="11">
        <v>2.15</v>
      </c>
      <c r="U222" s="8" t="s">
        <v>70</v>
      </c>
      <c r="V222" s="12">
        <f t="shared" si="1"/>
        <v>0</v>
      </c>
      <c r="W222" s="12">
        <f t="shared" si="4"/>
        <v>1.228668294</v>
      </c>
    </row>
    <row r="223">
      <c r="A223" s="15">
        <f t="shared" si="3"/>
        <v>222</v>
      </c>
      <c r="B223" s="15" t="s">
        <v>35</v>
      </c>
      <c r="C223" s="15" t="s">
        <v>19</v>
      </c>
      <c r="D223" s="15">
        <v>59.0</v>
      </c>
      <c r="E223" s="15" t="s">
        <v>2020</v>
      </c>
      <c r="F223" s="15">
        <v>8.0</v>
      </c>
      <c r="G223" s="15">
        <v>7.0</v>
      </c>
      <c r="H223" s="110">
        <f>7/(11*2)</f>
        <v>0.3181818182</v>
      </c>
      <c r="I223" s="15" t="s">
        <v>1473</v>
      </c>
      <c r="J223" s="15" t="s">
        <v>1474</v>
      </c>
      <c r="K223" s="15">
        <v>0.0</v>
      </c>
      <c r="L223" s="15" t="s">
        <v>908</v>
      </c>
      <c r="M223" s="15" t="s">
        <v>22</v>
      </c>
      <c r="N223" s="15" t="s">
        <v>225</v>
      </c>
      <c r="O223" s="15" t="s">
        <v>39</v>
      </c>
      <c r="P223" s="16">
        <v>0.5</v>
      </c>
      <c r="Q223" s="16">
        <v>0.15</v>
      </c>
      <c r="R223" s="16">
        <v>0.15</v>
      </c>
      <c r="S223" s="17">
        <v>45555.0</v>
      </c>
      <c r="T223" s="18">
        <v>1.775</v>
      </c>
      <c r="U223" s="15" t="s">
        <v>33</v>
      </c>
      <c r="V223" s="19">
        <f t="shared" si="1"/>
        <v>0.11625</v>
      </c>
      <c r="W223" s="19">
        <f t="shared" si="4"/>
        <v>1.344918294</v>
      </c>
    </row>
    <row r="224">
      <c r="A224" s="8">
        <f t="shared" si="3"/>
        <v>223</v>
      </c>
      <c r="B224" s="8" t="s">
        <v>26</v>
      </c>
      <c r="C224" s="8" t="s">
        <v>19</v>
      </c>
      <c r="D224" s="8">
        <v>62.0</v>
      </c>
      <c r="E224" s="8" t="s">
        <v>2021</v>
      </c>
      <c r="F224" s="8"/>
      <c r="G224" s="8"/>
      <c r="H224" s="111"/>
      <c r="I224" s="8" t="s">
        <v>1479</v>
      </c>
      <c r="J224" s="8" t="s">
        <v>1480</v>
      </c>
      <c r="K224" s="8">
        <v>0.0</v>
      </c>
      <c r="L224" s="8" t="s">
        <v>316</v>
      </c>
      <c r="M224" s="8" t="s">
        <v>22</v>
      </c>
      <c r="N224" s="8" t="s">
        <v>892</v>
      </c>
      <c r="O224" s="8" t="s">
        <v>24</v>
      </c>
      <c r="P224" s="9">
        <v>0.0</v>
      </c>
      <c r="Q224" s="9">
        <v>0.5</v>
      </c>
      <c r="R224" s="9">
        <v>0.5</v>
      </c>
      <c r="S224" s="10">
        <v>45555.0</v>
      </c>
      <c r="T224" s="11">
        <v>1.94</v>
      </c>
      <c r="U224" s="8" t="s">
        <v>33</v>
      </c>
      <c r="V224" s="12">
        <f t="shared" si="1"/>
        <v>0.47</v>
      </c>
      <c r="W224" s="12">
        <f t="shared" si="4"/>
        <v>1.814918294</v>
      </c>
    </row>
    <row r="225">
      <c r="A225" s="15">
        <f t="shared" si="3"/>
        <v>224</v>
      </c>
      <c r="B225" s="15" t="s">
        <v>35</v>
      </c>
      <c r="C225" s="15" t="s">
        <v>19</v>
      </c>
      <c r="D225" s="15">
        <v>60.0</v>
      </c>
      <c r="E225" s="15" t="s">
        <v>2022</v>
      </c>
      <c r="F225" s="15"/>
      <c r="G225" s="15"/>
      <c r="H225" s="15"/>
      <c r="I225" s="15" t="s">
        <v>1479</v>
      </c>
      <c r="J225" s="15" t="s">
        <v>1474</v>
      </c>
      <c r="K225" s="15">
        <v>0.0</v>
      </c>
      <c r="L225" s="15" t="s">
        <v>316</v>
      </c>
      <c r="M225" s="15" t="s">
        <v>22</v>
      </c>
      <c r="N225" s="15" t="s">
        <v>225</v>
      </c>
      <c r="O225" s="15" t="s">
        <v>39</v>
      </c>
      <c r="P225" s="16">
        <v>0.25</v>
      </c>
      <c r="Q225" s="16">
        <v>0.15</v>
      </c>
      <c r="R225" s="16">
        <v>0.15</v>
      </c>
      <c r="S225" s="17">
        <v>45555.0</v>
      </c>
      <c r="T225" s="18">
        <v>1.825</v>
      </c>
      <c r="U225" s="15" t="s">
        <v>30</v>
      </c>
      <c r="V225" s="19">
        <f t="shared" si="1"/>
        <v>0.061875</v>
      </c>
      <c r="W225" s="19">
        <f t="shared" si="4"/>
        <v>1.876793294</v>
      </c>
    </row>
    <row r="226">
      <c r="A226" s="8">
        <f t="shared" si="3"/>
        <v>225</v>
      </c>
      <c r="B226" s="8" t="s">
        <v>35</v>
      </c>
      <c r="C226" s="8" t="s">
        <v>19</v>
      </c>
      <c r="D226" s="8">
        <v>61.0</v>
      </c>
      <c r="E226" s="8" t="s">
        <v>2023</v>
      </c>
      <c r="F226" s="8"/>
      <c r="G226" s="8"/>
      <c r="H226" s="8"/>
      <c r="I226" s="8" t="s">
        <v>1473</v>
      </c>
      <c r="J226" s="8" t="s">
        <v>1474</v>
      </c>
      <c r="K226" s="8">
        <v>1.0</v>
      </c>
      <c r="L226" s="8" t="s">
        <v>229</v>
      </c>
      <c r="M226" s="8" t="s">
        <v>22</v>
      </c>
      <c r="N226" s="8" t="s">
        <v>225</v>
      </c>
      <c r="O226" s="8" t="s">
        <v>39</v>
      </c>
      <c r="P226" s="9">
        <v>0.25</v>
      </c>
      <c r="Q226" s="9">
        <v>0.15</v>
      </c>
      <c r="R226" s="9">
        <v>0.15</v>
      </c>
      <c r="S226" s="10">
        <v>45555.0</v>
      </c>
      <c r="T226" s="11">
        <v>1.875</v>
      </c>
      <c r="U226" s="8" t="s">
        <v>30</v>
      </c>
      <c r="V226" s="12">
        <f t="shared" si="1"/>
        <v>0.065625</v>
      </c>
      <c r="W226" s="12">
        <f t="shared" si="4"/>
        <v>1.942418294</v>
      </c>
    </row>
    <row r="227">
      <c r="A227" s="15">
        <f t="shared" si="3"/>
        <v>226</v>
      </c>
      <c r="B227" s="15" t="s">
        <v>35</v>
      </c>
      <c r="C227" s="15" t="s">
        <v>19</v>
      </c>
      <c r="D227" s="15">
        <v>62.0</v>
      </c>
      <c r="E227" s="15" t="s">
        <v>2024</v>
      </c>
      <c r="F227" s="15"/>
      <c r="G227" s="15"/>
      <c r="H227" s="15"/>
      <c r="I227" s="15" t="s">
        <v>1479</v>
      </c>
      <c r="J227" s="15" t="s">
        <v>1474</v>
      </c>
      <c r="K227" s="15">
        <v>2.0</v>
      </c>
      <c r="L227" s="15" t="s">
        <v>908</v>
      </c>
      <c r="M227" s="15" t="s">
        <v>22</v>
      </c>
      <c r="N227" s="15" t="s">
        <v>225</v>
      </c>
      <c r="O227" s="15" t="s">
        <v>39</v>
      </c>
      <c r="P227" s="16">
        <v>0.25</v>
      </c>
      <c r="Q227" s="16">
        <v>0.15</v>
      </c>
      <c r="R227" s="16">
        <v>0.15</v>
      </c>
      <c r="S227" s="17">
        <v>45555.0</v>
      </c>
      <c r="T227" s="18">
        <v>1.725</v>
      </c>
      <c r="U227" s="15" t="s">
        <v>25</v>
      </c>
      <c r="V227" s="19">
        <f t="shared" si="1"/>
        <v>-0.15</v>
      </c>
      <c r="W227" s="19">
        <f t="shared" si="4"/>
        <v>1.792418294</v>
      </c>
    </row>
    <row r="228">
      <c r="A228" s="8">
        <f t="shared" si="3"/>
        <v>227</v>
      </c>
      <c r="B228" s="8" t="s">
        <v>35</v>
      </c>
      <c r="C228" s="8" t="s">
        <v>19</v>
      </c>
      <c r="D228" s="8">
        <v>64.0</v>
      </c>
      <c r="E228" s="8" t="s">
        <v>2025</v>
      </c>
      <c r="F228" s="8">
        <v>7.0</v>
      </c>
      <c r="G228" s="8">
        <v>3.0</v>
      </c>
      <c r="H228" s="8"/>
      <c r="I228" s="8" t="s">
        <v>1473</v>
      </c>
      <c r="J228" s="8" t="s">
        <v>1474</v>
      </c>
      <c r="K228" s="8">
        <v>1.0</v>
      </c>
      <c r="L228" s="8" t="s">
        <v>940</v>
      </c>
      <c r="M228" s="8" t="s">
        <v>22</v>
      </c>
      <c r="N228" s="8" t="s">
        <v>225</v>
      </c>
      <c r="O228" s="8" t="s">
        <v>39</v>
      </c>
      <c r="P228" s="9">
        <v>0.5</v>
      </c>
      <c r="Q228" s="9">
        <v>0.15</v>
      </c>
      <c r="R228" s="9">
        <v>0.15</v>
      </c>
      <c r="S228" s="10">
        <v>45555.0</v>
      </c>
      <c r="T228" s="11">
        <v>1.775</v>
      </c>
      <c r="U228" s="8" t="s">
        <v>33</v>
      </c>
      <c r="V228" s="12">
        <f t="shared" si="1"/>
        <v>0.11625</v>
      </c>
      <c r="W228" s="12">
        <f t="shared" si="4"/>
        <v>1.908668294</v>
      </c>
    </row>
    <row r="229">
      <c r="A229" s="15">
        <f t="shared" si="3"/>
        <v>228</v>
      </c>
      <c r="B229" s="15" t="s">
        <v>35</v>
      </c>
      <c r="C229" s="15" t="s">
        <v>19</v>
      </c>
      <c r="D229" s="15">
        <v>58.0</v>
      </c>
      <c r="E229" s="15" t="s">
        <v>2026</v>
      </c>
      <c r="F229" s="15"/>
      <c r="G229" s="15"/>
      <c r="H229" s="15"/>
      <c r="I229" s="15" t="s">
        <v>1473</v>
      </c>
      <c r="J229" s="15" t="s">
        <v>1474</v>
      </c>
      <c r="K229" s="15">
        <v>-2.0</v>
      </c>
      <c r="L229" s="15" t="s">
        <v>38</v>
      </c>
      <c r="M229" s="15" t="s">
        <v>22</v>
      </c>
      <c r="N229" s="15" t="s">
        <v>225</v>
      </c>
      <c r="O229" s="15" t="s">
        <v>39</v>
      </c>
      <c r="P229" s="16">
        <v>0.5</v>
      </c>
      <c r="Q229" s="16">
        <v>0.1</v>
      </c>
      <c r="R229" s="16">
        <v>0.0259</v>
      </c>
      <c r="S229" s="17">
        <v>45555.0</v>
      </c>
      <c r="T229" s="18">
        <v>1.875</v>
      </c>
      <c r="U229" s="15" t="s">
        <v>33</v>
      </c>
      <c r="V229" s="19">
        <f t="shared" si="1"/>
        <v>0.0226625</v>
      </c>
      <c r="W229" s="19">
        <f t="shared" si="4"/>
        <v>1.931330794</v>
      </c>
    </row>
    <row r="230">
      <c r="A230" s="8">
        <f t="shared" si="3"/>
        <v>229</v>
      </c>
      <c r="B230" s="8" t="s">
        <v>35</v>
      </c>
      <c r="C230" s="8" t="s">
        <v>19</v>
      </c>
      <c r="D230" s="8">
        <v>59.0</v>
      </c>
      <c r="E230" s="8" t="s">
        <v>2027</v>
      </c>
      <c r="F230" s="8">
        <v>18.0</v>
      </c>
      <c r="G230" s="8">
        <v>11.0</v>
      </c>
      <c r="H230" s="8"/>
      <c r="I230" s="8" t="s">
        <v>1473</v>
      </c>
      <c r="J230" s="8" t="s">
        <v>1474</v>
      </c>
      <c r="K230" s="8">
        <v>0.0</v>
      </c>
      <c r="L230" s="8" t="s">
        <v>93</v>
      </c>
      <c r="M230" s="8" t="s">
        <v>22</v>
      </c>
      <c r="N230" s="8" t="s">
        <v>225</v>
      </c>
      <c r="O230" s="8" t="s">
        <v>39</v>
      </c>
      <c r="P230" s="9">
        <v>0.25</v>
      </c>
      <c r="Q230" s="9">
        <v>0.1</v>
      </c>
      <c r="R230" s="9">
        <v>0.1</v>
      </c>
      <c r="S230" s="10">
        <v>45555.0</v>
      </c>
      <c r="T230" s="11">
        <v>1.9</v>
      </c>
      <c r="U230" s="8" t="s">
        <v>25</v>
      </c>
      <c r="V230" s="12">
        <f t="shared" si="1"/>
        <v>-0.1</v>
      </c>
      <c r="W230" s="12">
        <f t="shared" si="4"/>
        <v>1.831330794</v>
      </c>
    </row>
    <row r="231">
      <c r="A231" s="15">
        <f t="shared" si="3"/>
        <v>230</v>
      </c>
      <c r="B231" s="15" t="s">
        <v>35</v>
      </c>
      <c r="C231" s="15" t="s">
        <v>19</v>
      </c>
      <c r="D231" s="15">
        <v>59.0</v>
      </c>
      <c r="E231" s="15" t="s">
        <v>2028</v>
      </c>
      <c r="F231" s="15"/>
      <c r="G231" s="15"/>
      <c r="H231" s="15"/>
      <c r="I231" s="15" t="s">
        <v>1473</v>
      </c>
      <c r="J231" s="15" t="s">
        <v>1480</v>
      </c>
      <c r="K231" s="15">
        <v>1.0</v>
      </c>
      <c r="L231" s="15" t="s">
        <v>50</v>
      </c>
      <c r="M231" s="15" t="s">
        <v>22</v>
      </c>
      <c r="N231" s="15" t="s">
        <v>892</v>
      </c>
      <c r="O231" s="15" t="s">
        <v>39</v>
      </c>
      <c r="P231" s="16">
        <v>0.0</v>
      </c>
      <c r="Q231" s="16">
        <v>0.1</v>
      </c>
      <c r="R231" s="16">
        <v>0.1</v>
      </c>
      <c r="S231" s="17">
        <v>45555.0</v>
      </c>
      <c r="T231" s="18">
        <v>2.25</v>
      </c>
      <c r="U231" s="15" t="s">
        <v>33</v>
      </c>
      <c r="V231" s="19">
        <f t="shared" si="1"/>
        <v>0.125</v>
      </c>
      <c r="W231" s="19">
        <f t="shared" si="4"/>
        <v>1.956330794</v>
      </c>
    </row>
    <row r="232">
      <c r="A232" s="8">
        <f t="shared" si="3"/>
        <v>231</v>
      </c>
      <c r="B232" s="8" t="s">
        <v>35</v>
      </c>
      <c r="C232" s="8" t="s">
        <v>19</v>
      </c>
      <c r="D232" s="8">
        <v>59.0</v>
      </c>
      <c r="E232" s="8" t="s">
        <v>2029</v>
      </c>
      <c r="F232" s="8"/>
      <c r="G232" s="8"/>
      <c r="H232" s="8"/>
      <c r="I232" s="8" t="s">
        <v>1479</v>
      </c>
      <c r="J232" s="8" t="s">
        <v>1480</v>
      </c>
      <c r="K232" s="8">
        <v>1.0</v>
      </c>
      <c r="L232" s="8" t="s">
        <v>50</v>
      </c>
      <c r="M232" s="8" t="s">
        <v>22</v>
      </c>
      <c r="N232" s="8" t="s">
        <v>892</v>
      </c>
      <c r="O232" s="8" t="s">
        <v>39</v>
      </c>
      <c r="P232" s="9">
        <v>0.0</v>
      </c>
      <c r="Q232" s="9">
        <v>0.1</v>
      </c>
      <c r="R232" s="9">
        <v>0.0741</v>
      </c>
      <c r="S232" s="10">
        <v>45555.0</v>
      </c>
      <c r="T232" s="11">
        <v>2.35</v>
      </c>
      <c r="U232" s="8" t="s">
        <v>70</v>
      </c>
      <c r="V232" s="12">
        <f t="shared" si="1"/>
        <v>0</v>
      </c>
      <c r="W232" s="12">
        <f t="shared" si="4"/>
        <v>1.956330794</v>
      </c>
    </row>
    <row r="233">
      <c r="A233" s="15">
        <f t="shared" si="3"/>
        <v>232</v>
      </c>
      <c r="B233" s="15" t="s">
        <v>35</v>
      </c>
      <c r="C233" s="15" t="s">
        <v>19</v>
      </c>
      <c r="D233" s="15">
        <v>59.0</v>
      </c>
      <c r="E233" s="15" t="s">
        <v>2030</v>
      </c>
      <c r="F233" s="15"/>
      <c r="G233" s="15"/>
      <c r="H233" s="15"/>
      <c r="I233" s="15" t="s">
        <v>1473</v>
      </c>
      <c r="J233" s="15" t="s">
        <v>1474</v>
      </c>
      <c r="K233" s="15">
        <v>0.0</v>
      </c>
      <c r="L233" s="15" t="s">
        <v>50</v>
      </c>
      <c r="M233" s="15" t="s">
        <v>22</v>
      </c>
      <c r="N233" s="15" t="s">
        <v>225</v>
      </c>
      <c r="O233" s="15" t="s">
        <v>39</v>
      </c>
      <c r="P233" s="16">
        <v>0.25</v>
      </c>
      <c r="Q233" s="16">
        <v>0.1</v>
      </c>
      <c r="R233" s="16">
        <v>0.1</v>
      </c>
      <c r="S233" s="17">
        <v>45555.0</v>
      </c>
      <c r="T233" s="18">
        <v>1.75</v>
      </c>
      <c r="U233" s="15" t="s">
        <v>25</v>
      </c>
      <c r="V233" s="19">
        <f t="shared" si="1"/>
        <v>-0.1</v>
      </c>
      <c r="W233" s="19">
        <f t="shared" si="4"/>
        <v>1.856330794</v>
      </c>
    </row>
    <row r="234">
      <c r="A234" s="8">
        <f t="shared" si="3"/>
        <v>233</v>
      </c>
      <c r="B234" s="8" t="s">
        <v>35</v>
      </c>
      <c r="C234" s="8" t="s">
        <v>19</v>
      </c>
      <c r="D234" s="8">
        <v>59.0</v>
      </c>
      <c r="E234" s="8" t="s">
        <v>2031</v>
      </c>
      <c r="F234" s="8"/>
      <c r="G234" s="8"/>
      <c r="H234" s="8"/>
      <c r="I234" s="8" t="s">
        <v>1479</v>
      </c>
      <c r="J234" s="8" t="s">
        <v>1474</v>
      </c>
      <c r="K234" s="8">
        <v>-1.0</v>
      </c>
      <c r="L234" s="8" t="s">
        <v>99</v>
      </c>
      <c r="M234" s="8" t="s">
        <v>22</v>
      </c>
      <c r="N234" s="8" t="s">
        <v>225</v>
      </c>
      <c r="O234" s="8" t="s">
        <v>39</v>
      </c>
      <c r="P234" s="9">
        <v>0.5</v>
      </c>
      <c r="Q234" s="9">
        <v>0.1</v>
      </c>
      <c r="R234" s="9">
        <v>0.1</v>
      </c>
      <c r="S234" s="10">
        <v>45555.0</v>
      </c>
      <c r="T234" s="11">
        <v>1.875</v>
      </c>
      <c r="U234" s="8" t="s">
        <v>25</v>
      </c>
      <c r="V234" s="12">
        <f t="shared" si="1"/>
        <v>-0.1</v>
      </c>
      <c r="W234" s="12">
        <f t="shared" si="4"/>
        <v>1.756330794</v>
      </c>
    </row>
    <row r="235">
      <c r="A235" s="15">
        <f t="shared" si="3"/>
        <v>234</v>
      </c>
      <c r="B235" s="15" t="s">
        <v>35</v>
      </c>
      <c r="C235" s="15" t="s">
        <v>19</v>
      </c>
      <c r="D235" s="15">
        <v>60.0</v>
      </c>
      <c r="E235" s="15" t="s">
        <v>2032</v>
      </c>
      <c r="F235" s="15"/>
      <c r="G235" s="15"/>
      <c r="H235" s="15"/>
      <c r="I235" s="15" t="s">
        <v>1473</v>
      </c>
      <c r="J235" s="15" t="s">
        <v>1474</v>
      </c>
      <c r="K235" s="15">
        <v>0.0</v>
      </c>
      <c r="L235" s="15" t="s">
        <v>60</v>
      </c>
      <c r="M235" s="15" t="s">
        <v>22</v>
      </c>
      <c r="N235" s="15" t="s">
        <v>225</v>
      </c>
      <c r="O235" s="15" t="s">
        <v>39</v>
      </c>
      <c r="P235" s="16">
        <v>0.25</v>
      </c>
      <c r="Q235" s="16">
        <v>0.1</v>
      </c>
      <c r="R235" s="16">
        <v>0.1</v>
      </c>
      <c r="S235" s="17">
        <v>45555.0</v>
      </c>
      <c r="T235" s="18">
        <v>1.8</v>
      </c>
      <c r="U235" s="15" t="s">
        <v>25</v>
      </c>
      <c r="V235" s="19">
        <f t="shared" si="1"/>
        <v>-0.1</v>
      </c>
      <c r="W235" s="19">
        <f t="shared" si="4"/>
        <v>1.656330794</v>
      </c>
    </row>
    <row r="236">
      <c r="A236" s="8">
        <f t="shared" si="3"/>
        <v>235</v>
      </c>
      <c r="B236" s="8" t="s">
        <v>35</v>
      </c>
      <c r="C236" s="8" t="s">
        <v>19</v>
      </c>
      <c r="D236" s="8">
        <v>59.0</v>
      </c>
      <c r="E236" s="8" t="s">
        <v>2033</v>
      </c>
      <c r="F236" s="8"/>
      <c r="G236" s="8"/>
      <c r="H236" s="8"/>
      <c r="I236" s="8" t="s">
        <v>1479</v>
      </c>
      <c r="J236" s="8" t="s">
        <v>1480</v>
      </c>
      <c r="K236" s="8">
        <v>0.0</v>
      </c>
      <c r="L236" s="8" t="s">
        <v>78</v>
      </c>
      <c r="M236" s="8" t="s">
        <v>22</v>
      </c>
      <c r="N236" s="8" t="s">
        <v>892</v>
      </c>
      <c r="O236" s="8" t="s">
        <v>39</v>
      </c>
      <c r="P236" s="9">
        <v>0.0</v>
      </c>
      <c r="Q236" s="9">
        <v>0.1</v>
      </c>
      <c r="R236" s="9">
        <v>0.1</v>
      </c>
      <c r="S236" s="10">
        <v>45555.0</v>
      </c>
      <c r="T236" s="11">
        <v>1.975</v>
      </c>
      <c r="U236" s="8" t="s">
        <v>70</v>
      </c>
      <c r="V236" s="12">
        <f t="shared" si="1"/>
        <v>0</v>
      </c>
      <c r="W236" s="12">
        <f t="shared" si="4"/>
        <v>1.656330794</v>
      </c>
    </row>
    <row r="237">
      <c r="A237" s="15">
        <f t="shared" si="3"/>
        <v>236</v>
      </c>
      <c r="B237" s="15" t="s">
        <v>18</v>
      </c>
      <c r="C237" s="15" t="s">
        <v>19</v>
      </c>
      <c r="D237" s="15">
        <v>76.0</v>
      </c>
      <c r="E237" s="15" t="s">
        <v>2034</v>
      </c>
      <c r="F237" s="15">
        <v>4.0</v>
      </c>
      <c r="G237" s="15">
        <v>1.0</v>
      </c>
      <c r="H237" s="15">
        <f>4/(4*2)</f>
        <v>0.5</v>
      </c>
      <c r="I237" s="15"/>
      <c r="J237" s="15"/>
      <c r="K237" s="15"/>
      <c r="L237" s="15" t="s">
        <v>82</v>
      </c>
      <c r="M237" s="15" t="s">
        <v>22</v>
      </c>
      <c r="N237" s="15" t="s">
        <v>29</v>
      </c>
      <c r="O237" s="15" t="s">
        <v>24</v>
      </c>
      <c r="P237" s="16">
        <v>-3.0</v>
      </c>
      <c r="Q237" s="16">
        <v>0.25</v>
      </c>
      <c r="R237" s="16">
        <v>0.0648</v>
      </c>
      <c r="S237" s="17">
        <v>45555.0</v>
      </c>
      <c r="T237" s="18">
        <v>1.725</v>
      </c>
      <c r="U237" s="15" t="s">
        <v>33</v>
      </c>
      <c r="V237" s="19">
        <f t="shared" si="1"/>
        <v>0.04698</v>
      </c>
      <c r="W237" s="19">
        <f t="shared" si="4"/>
        <v>1.703310794</v>
      </c>
    </row>
    <row r="238">
      <c r="A238" s="8">
        <f t="shared" si="3"/>
        <v>237</v>
      </c>
      <c r="B238" s="8" t="s">
        <v>137</v>
      </c>
      <c r="C238" s="8" t="s">
        <v>19</v>
      </c>
      <c r="D238" s="8">
        <v>57.0</v>
      </c>
      <c r="E238" s="8" t="s">
        <v>2035</v>
      </c>
      <c r="F238" s="8"/>
      <c r="G238" s="8"/>
      <c r="H238" s="8"/>
      <c r="I238" s="8" t="s">
        <v>1479</v>
      </c>
      <c r="J238" s="8" t="s">
        <v>1480</v>
      </c>
      <c r="K238" s="8">
        <v>0.0</v>
      </c>
      <c r="L238" s="8" t="s">
        <v>157</v>
      </c>
      <c r="M238" s="8" t="s">
        <v>22</v>
      </c>
      <c r="N238" s="8" t="s">
        <v>892</v>
      </c>
      <c r="O238" s="8" t="s">
        <v>24</v>
      </c>
      <c r="P238" s="9">
        <v>0.0</v>
      </c>
      <c r="Q238" s="9">
        <v>1.0</v>
      </c>
      <c r="R238" s="9">
        <v>1.0</v>
      </c>
      <c r="S238" s="10">
        <v>45556.0</v>
      </c>
      <c r="T238" s="11">
        <v>1.825</v>
      </c>
      <c r="U238" s="8" t="s">
        <v>70</v>
      </c>
      <c r="V238" s="12">
        <f t="shared" si="1"/>
        <v>0</v>
      </c>
      <c r="W238" s="12">
        <f t="shared" si="4"/>
        <v>1.703310794</v>
      </c>
    </row>
    <row r="239">
      <c r="A239" s="15">
        <f t="shared" si="3"/>
        <v>238</v>
      </c>
      <c r="B239" s="15" t="s">
        <v>18</v>
      </c>
      <c r="C239" s="15" t="s">
        <v>19</v>
      </c>
      <c r="D239" s="15">
        <v>72.0</v>
      </c>
      <c r="E239" s="15" t="s">
        <v>2036</v>
      </c>
      <c r="F239" s="15"/>
      <c r="G239" s="15"/>
      <c r="H239" s="15"/>
      <c r="I239" s="15" t="s">
        <v>1479</v>
      </c>
      <c r="J239" s="15" t="s">
        <v>1474</v>
      </c>
      <c r="K239" s="15">
        <v>0.0</v>
      </c>
      <c r="L239" s="15" t="s">
        <v>341</v>
      </c>
      <c r="M239" s="15" t="s">
        <v>22</v>
      </c>
      <c r="N239" s="15" t="s">
        <v>941</v>
      </c>
      <c r="O239" s="15" t="s">
        <v>24</v>
      </c>
      <c r="P239" s="16">
        <v>0.0</v>
      </c>
      <c r="Q239" s="16">
        <v>0.5</v>
      </c>
      <c r="R239" s="16">
        <v>0.5</v>
      </c>
      <c r="S239" s="17">
        <v>45556.0</v>
      </c>
      <c r="T239" s="18">
        <v>1.725</v>
      </c>
      <c r="U239" s="15" t="s">
        <v>70</v>
      </c>
      <c r="V239" s="19">
        <f t="shared" si="1"/>
        <v>0</v>
      </c>
      <c r="W239" s="19">
        <f t="shared" si="4"/>
        <v>1.703310794</v>
      </c>
    </row>
    <row r="240">
      <c r="A240" s="8">
        <f t="shared" si="3"/>
        <v>239</v>
      </c>
      <c r="B240" s="8" t="s">
        <v>135</v>
      </c>
      <c r="C240" s="8" t="s">
        <v>19</v>
      </c>
      <c r="D240" s="8">
        <v>0.0</v>
      </c>
      <c r="E240" s="8" t="s">
        <v>2037</v>
      </c>
      <c r="F240" s="8">
        <v>11.0</v>
      </c>
      <c r="G240" s="8">
        <v>5.0</v>
      </c>
      <c r="H240" s="8"/>
      <c r="I240" s="8"/>
      <c r="J240" s="8"/>
      <c r="K240" s="8"/>
      <c r="L240" s="8" t="s">
        <v>121</v>
      </c>
      <c r="M240" s="8" t="s">
        <v>598</v>
      </c>
      <c r="N240" s="8" t="s">
        <v>29</v>
      </c>
      <c r="O240" s="8" t="s">
        <v>24</v>
      </c>
      <c r="P240" s="9">
        <v>-3.0</v>
      </c>
      <c r="Q240" s="9">
        <v>0.25</v>
      </c>
      <c r="R240" s="9">
        <v>0.25</v>
      </c>
      <c r="S240" s="10">
        <v>45556.0</v>
      </c>
      <c r="T240" s="11">
        <v>1.9</v>
      </c>
      <c r="U240" s="8" t="s">
        <v>33</v>
      </c>
      <c r="V240" s="12">
        <f t="shared" si="1"/>
        <v>0.225</v>
      </c>
      <c r="W240" s="12">
        <f t="shared" si="4"/>
        <v>1.928310794</v>
      </c>
    </row>
    <row r="241">
      <c r="A241" s="15">
        <f t="shared" si="3"/>
        <v>240</v>
      </c>
      <c r="B241" s="15" t="s">
        <v>26</v>
      </c>
      <c r="C241" s="15" t="s">
        <v>19</v>
      </c>
      <c r="D241" s="15">
        <v>15.0</v>
      </c>
      <c r="E241" s="15" t="s">
        <v>2038</v>
      </c>
      <c r="F241" s="15">
        <v>3.0</v>
      </c>
      <c r="G241" s="15">
        <v>2.0</v>
      </c>
      <c r="H241" s="112">
        <f>8/(15*2)</f>
        <v>0.2666666667</v>
      </c>
      <c r="I241" s="15" t="s">
        <v>1473</v>
      </c>
      <c r="J241" s="15" t="s">
        <v>1474</v>
      </c>
      <c r="K241" s="15">
        <v>0.0</v>
      </c>
      <c r="L241" s="15" t="s">
        <v>44</v>
      </c>
      <c r="M241" s="15" t="s">
        <v>22</v>
      </c>
      <c r="N241" s="15" t="s">
        <v>225</v>
      </c>
      <c r="O241" s="15" t="s">
        <v>24</v>
      </c>
      <c r="P241" s="16">
        <v>0.25</v>
      </c>
      <c r="Q241" s="16">
        <v>0.75</v>
      </c>
      <c r="R241" s="16">
        <f>(250-169.1)/250*0.75</f>
        <v>0.2427</v>
      </c>
      <c r="S241" s="17">
        <v>45556.0</v>
      </c>
      <c r="T241" s="18">
        <v>1.85</v>
      </c>
      <c r="U241" s="15" t="s">
        <v>25</v>
      </c>
      <c r="V241" s="19">
        <f t="shared" si="1"/>
        <v>-0.2427</v>
      </c>
      <c r="W241" s="19">
        <f t="shared" si="4"/>
        <v>1.685610794</v>
      </c>
    </row>
    <row r="242">
      <c r="A242" s="8">
        <f t="shared" si="3"/>
        <v>241</v>
      </c>
      <c r="B242" s="8" t="s">
        <v>135</v>
      </c>
      <c r="C242" s="8" t="s">
        <v>19</v>
      </c>
      <c r="D242" s="8">
        <v>0.0</v>
      </c>
      <c r="E242" s="8" t="s">
        <v>2039</v>
      </c>
      <c r="F242" s="8">
        <v>7.0</v>
      </c>
      <c r="G242" s="8">
        <v>5.0</v>
      </c>
      <c r="H242" s="109">
        <f>19/(15*2)</f>
        <v>0.6333333333</v>
      </c>
      <c r="I242" s="8"/>
      <c r="J242" s="8"/>
      <c r="K242" s="8"/>
      <c r="L242" s="8" t="s">
        <v>1470</v>
      </c>
      <c r="M242" s="8" t="s">
        <v>598</v>
      </c>
      <c r="N242" s="8" t="s">
        <v>29</v>
      </c>
      <c r="O242" s="8" t="s">
        <v>24</v>
      </c>
      <c r="P242" s="9">
        <v>2.25</v>
      </c>
      <c r="Q242" s="9">
        <v>0.25</v>
      </c>
      <c r="R242" s="9">
        <v>0.25</v>
      </c>
      <c r="S242" s="10">
        <v>45556.0</v>
      </c>
      <c r="T242" s="11">
        <v>1.85</v>
      </c>
      <c r="U242" s="8" t="s">
        <v>33</v>
      </c>
      <c r="V242" s="12">
        <f t="shared" si="1"/>
        <v>0.2125</v>
      </c>
      <c r="W242" s="12">
        <f t="shared" si="4"/>
        <v>1.898110794</v>
      </c>
    </row>
    <row r="243">
      <c r="A243" s="15">
        <f t="shared" si="3"/>
        <v>242</v>
      </c>
      <c r="B243" s="15" t="s">
        <v>26</v>
      </c>
      <c r="C243" s="15" t="s">
        <v>19</v>
      </c>
      <c r="D243" s="15">
        <v>0.0</v>
      </c>
      <c r="E243" s="15" t="s">
        <v>2040</v>
      </c>
      <c r="F243" s="15"/>
      <c r="G243" s="15"/>
      <c r="H243" s="15"/>
      <c r="I243" s="15" t="s">
        <v>1479</v>
      </c>
      <c r="J243" s="15" t="s">
        <v>1480</v>
      </c>
      <c r="K243" s="15">
        <v>0.0</v>
      </c>
      <c r="L243" s="15" t="s">
        <v>82</v>
      </c>
      <c r="M243" s="15" t="s">
        <v>598</v>
      </c>
      <c r="N243" s="15" t="s">
        <v>892</v>
      </c>
      <c r="O243" s="15" t="s">
        <v>24</v>
      </c>
      <c r="P243" s="16">
        <v>0.0</v>
      </c>
      <c r="Q243" s="16">
        <v>0.1</v>
      </c>
      <c r="R243" s="16">
        <v>0.1</v>
      </c>
      <c r="S243" s="17">
        <v>45556.0</v>
      </c>
      <c r="T243" s="18">
        <v>1.75</v>
      </c>
      <c r="U243" s="15" t="s">
        <v>33</v>
      </c>
      <c r="V243" s="19">
        <f t="shared" si="1"/>
        <v>0.075</v>
      </c>
      <c r="W243" s="19">
        <f t="shared" si="4"/>
        <v>1.973110794</v>
      </c>
    </row>
    <row r="244">
      <c r="A244" s="8">
        <f t="shared" si="3"/>
        <v>243</v>
      </c>
      <c r="B244" s="8" t="s">
        <v>135</v>
      </c>
      <c r="C244" s="8" t="s">
        <v>19</v>
      </c>
      <c r="D244" s="8">
        <v>0.0</v>
      </c>
      <c r="E244" s="8" t="s">
        <v>2041</v>
      </c>
      <c r="F244" s="8">
        <v>8.0</v>
      </c>
      <c r="G244" s="8">
        <v>3.0</v>
      </c>
      <c r="H244" s="8"/>
      <c r="I244" s="8"/>
      <c r="J244" s="8"/>
      <c r="K244" s="8"/>
      <c r="L244" s="8" t="s">
        <v>121</v>
      </c>
      <c r="M244" s="8" t="s">
        <v>598</v>
      </c>
      <c r="N244" s="8" t="s">
        <v>29</v>
      </c>
      <c r="O244" s="8" t="s">
        <v>24</v>
      </c>
      <c r="P244" s="9">
        <v>-3.0</v>
      </c>
      <c r="Q244" s="9">
        <v>0.25</v>
      </c>
      <c r="R244" s="9">
        <v>0.25</v>
      </c>
      <c r="S244" s="10">
        <v>45556.0</v>
      </c>
      <c r="T244" s="11">
        <v>1.9</v>
      </c>
      <c r="U244" s="8" t="s">
        <v>33</v>
      </c>
      <c r="V244" s="12">
        <f t="shared" si="1"/>
        <v>0.225</v>
      </c>
      <c r="W244" s="12">
        <f t="shared" si="4"/>
        <v>2.198110794</v>
      </c>
    </row>
    <row r="245">
      <c r="A245" s="15">
        <f t="shared" si="3"/>
        <v>244</v>
      </c>
      <c r="B245" s="15" t="s">
        <v>135</v>
      </c>
      <c r="C245" s="15" t="s">
        <v>19</v>
      </c>
      <c r="D245" s="15">
        <v>0.0</v>
      </c>
      <c r="E245" s="15" t="s">
        <v>2042</v>
      </c>
      <c r="F245" s="15"/>
      <c r="G245" s="15"/>
      <c r="H245" s="15"/>
      <c r="I245" s="15"/>
      <c r="J245" s="15"/>
      <c r="K245" s="15"/>
      <c r="L245" s="15" t="s">
        <v>121</v>
      </c>
      <c r="M245" s="15" t="s">
        <v>598</v>
      </c>
      <c r="N245" s="15" t="s">
        <v>29</v>
      </c>
      <c r="O245" s="15" t="s">
        <v>24</v>
      </c>
      <c r="P245" s="16">
        <v>-3.0</v>
      </c>
      <c r="Q245" s="16">
        <v>0.25</v>
      </c>
      <c r="R245" s="16">
        <v>0.25</v>
      </c>
      <c r="S245" s="55">
        <v>45556.0</v>
      </c>
      <c r="T245" s="18">
        <v>1.8</v>
      </c>
      <c r="U245" s="15" t="s">
        <v>30</v>
      </c>
      <c r="V245" s="19">
        <f t="shared" si="1"/>
        <v>0.1</v>
      </c>
      <c r="W245" s="19">
        <f t="shared" si="4"/>
        <v>2.298110794</v>
      </c>
    </row>
    <row r="246">
      <c r="A246" s="8">
        <f t="shared" si="3"/>
        <v>245</v>
      </c>
      <c r="B246" s="8" t="s">
        <v>135</v>
      </c>
      <c r="C246" s="8" t="s">
        <v>40</v>
      </c>
      <c r="D246" s="8">
        <v>0.0</v>
      </c>
      <c r="E246" s="8" t="s">
        <v>2043</v>
      </c>
      <c r="F246" s="8"/>
      <c r="G246" s="8"/>
      <c r="H246" s="109"/>
      <c r="I246" s="8"/>
      <c r="J246" s="8"/>
      <c r="K246" s="8"/>
      <c r="L246" s="8" t="s">
        <v>99</v>
      </c>
      <c r="M246" s="8" t="s">
        <v>598</v>
      </c>
      <c r="N246" s="8" t="s">
        <v>29</v>
      </c>
      <c r="O246" s="8" t="s">
        <v>24</v>
      </c>
      <c r="P246" s="9">
        <v>-3.75</v>
      </c>
      <c r="Q246" s="9">
        <v>0.25</v>
      </c>
      <c r="R246" s="9">
        <v>0.25</v>
      </c>
      <c r="S246" s="10">
        <v>45556.0</v>
      </c>
      <c r="T246" s="11">
        <v>1.975</v>
      </c>
      <c r="U246" s="8" t="s">
        <v>33</v>
      </c>
      <c r="V246" s="12">
        <f t="shared" si="1"/>
        <v>0.24375</v>
      </c>
      <c r="W246" s="12">
        <f t="shared" si="4"/>
        <v>2.541860794</v>
      </c>
    </row>
    <row r="247">
      <c r="A247" s="15">
        <f t="shared" si="3"/>
        <v>246</v>
      </c>
      <c r="B247" s="15" t="s">
        <v>35</v>
      </c>
      <c r="C247" s="15" t="s">
        <v>19</v>
      </c>
      <c r="D247" s="15">
        <v>65.0</v>
      </c>
      <c r="E247" s="15" t="s">
        <v>2044</v>
      </c>
      <c r="F247" s="15">
        <v>17.0</v>
      </c>
      <c r="G247" s="15">
        <v>11.0</v>
      </c>
      <c r="H247" s="112">
        <f>8/(17*2)</f>
        <v>0.2352941176</v>
      </c>
      <c r="I247" s="15" t="s">
        <v>1473</v>
      </c>
      <c r="J247" s="15" t="s">
        <v>1480</v>
      </c>
      <c r="K247" s="15">
        <v>0.0</v>
      </c>
      <c r="L247" s="15" t="s">
        <v>44</v>
      </c>
      <c r="M247" s="15" t="s">
        <v>22</v>
      </c>
      <c r="N247" s="15" t="s">
        <v>892</v>
      </c>
      <c r="O247" s="15" t="s">
        <v>24</v>
      </c>
      <c r="P247" s="16">
        <v>0.0</v>
      </c>
      <c r="Q247" s="16">
        <v>0.75</v>
      </c>
      <c r="R247" s="16">
        <v>0.75</v>
      </c>
      <c r="S247" s="17">
        <v>45556.0</v>
      </c>
      <c r="T247" s="18">
        <v>2.025</v>
      </c>
      <c r="U247" s="15" t="s">
        <v>70</v>
      </c>
      <c r="V247" s="19">
        <f t="shared" si="1"/>
        <v>0</v>
      </c>
      <c r="W247" s="19">
        <f t="shared" si="4"/>
        <v>2.541860794</v>
      </c>
    </row>
    <row r="248">
      <c r="A248" s="8">
        <f t="shared" si="3"/>
        <v>247</v>
      </c>
      <c r="B248" s="8" t="s">
        <v>18</v>
      </c>
      <c r="C248" s="8" t="s">
        <v>19</v>
      </c>
      <c r="D248" s="8">
        <v>40.0</v>
      </c>
      <c r="E248" s="8" t="s">
        <v>2045</v>
      </c>
      <c r="F248" s="8">
        <v>3.0</v>
      </c>
      <c r="G248" s="8">
        <v>10.0</v>
      </c>
      <c r="H248" s="109">
        <f>4/(9*2)</f>
        <v>0.2222222222</v>
      </c>
      <c r="I248" s="8" t="s">
        <v>1479</v>
      </c>
      <c r="J248" s="8" t="s">
        <v>1477</v>
      </c>
      <c r="K248" s="8">
        <v>0.0</v>
      </c>
      <c r="L248" s="8" t="s">
        <v>675</v>
      </c>
      <c r="M248" s="8" t="s">
        <v>22</v>
      </c>
      <c r="N248" s="8" t="s">
        <v>894</v>
      </c>
      <c r="O248" s="8" t="s">
        <v>24</v>
      </c>
      <c r="P248" s="9">
        <v>-0.5</v>
      </c>
      <c r="Q248" s="9">
        <v>0.5</v>
      </c>
      <c r="R248" s="9">
        <v>0.5</v>
      </c>
      <c r="S248" s="10">
        <v>45556.0</v>
      </c>
      <c r="T248" s="11">
        <v>1.8</v>
      </c>
      <c r="U248" s="8" t="s">
        <v>33</v>
      </c>
      <c r="V248" s="12">
        <f t="shared" si="1"/>
        <v>0.4</v>
      </c>
      <c r="W248" s="12">
        <f t="shared" si="4"/>
        <v>2.941860794</v>
      </c>
    </row>
    <row r="249">
      <c r="A249" s="15">
        <f t="shared" si="3"/>
        <v>248</v>
      </c>
      <c r="B249" s="15" t="s">
        <v>129</v>
      </c>
      <c r="C249" s="15" t="s">
        <v>19</v>
      </c>
      <c r="D249" s="15">
        <v>15.0</v>
      </c>
      <c r="E249" s="15" t="s">
        <v>2046</v>
      </c>
      <c r="F249" s="15"/>
      <c r="G249" s="15"/>
      <c r="H249" s="15"/>
      <c r="I249" s="15" t="s">
        <v>1473</v>
      </c>
      <c r="J249" s="15" t="s">
        <v>1480</v>
      </c>
      <c r="K249" s="15">
        <v>0.0</v>
      </c>
      <c r="L249" s="15" t="s">
        <v>463</v>
      </c>
      <c r="M249" s="15" t="s">
        <v>22</v>
      </c>
      <c r="N249" s="15" t="s">
        <v>892</v>
      </c>
      <c r="O249" s="15" t="s">
        <v>24</v>
      </c>
      <c r="P249" s="16">
        <v>0.0</v>
      </c>
      <c r="Q249" s="16">
        <v>0.5</v>
      </c>
      <c r="R249" s="16">
        <v>0.5</v>
      </c>
      <c r="S249" s="17">
        <v>45556.0</v>
      </c>
      <c r="T249" s="18">
        <v>1.9</v>
      </c>
      <c r="U249" s="15" t="s">
        <v>25</v>
      </c>
      <c r="V249" s="19">
        <f t="shared" si="1"/>
        <v>-0.5</v>
      </c>
      <c r="W249" s="19">
        <f t="shared" si="4"/>
        <v>2.441860794</v>
      </c>
    </row>
    <row r="250">
      <c r="A250" s="8">
        <f t="shared" si="3"/>
        <v>249</v>
      </c>
      <c r="B250" s="8" t="s">
        <v>131</v>
      </c>
      <c r="C250" s="8" t="s">
        <v>40</v>
      </c>
      <c r="D250" s="8">
        <v>64.0</v>
      </c>
      <c r="E250" s="8" t="s">
        <v>2047</v>
      </c>
      <c r="F250" s="8"/>
      <c r="G250" s="8"/>
      <c r="H250" s="8"/>
      <c r="I250" s="8" t="s">
        <v>1479</v>
      </c>
      <c r="J250" s="8" t="s">
        <v>1477</v>
      </c>
      <c r="K250" s="8">
        <v>1.0</v>
      </c>
      <c r="L250" s="8" t="s">
        <v>109</v>
      </c>
      <c r="M250" s="8" t="s">
        <v>22</v>
      </c>
      <c r="N250" s="8" t="s">
        <v>894</v>
      </c>
      <c r="O250" s="8" t="s">
        <v>24</v>
      </c>
      <c r="P250" s="9">
        <v>-0.25</v>
      </c>
      <c r="Q250" s="9">
        <v>0.25</v>
      </c>
      <c r="R250" s="9">
        <v>0.25</v>
      </c>
      <c r="S250" s="10">
        <v>45556.0</v>
      </c>
      <c r="T250" s="11">
        <v>2.05</v>
      </c>
      <c r="U250" s="8" t="s">
        <v>79</v>
      </c>
      <c r="V250" s="12">
        <f t="shared" si="1"/>
        <v>-0.125</v>
      </c>
      <c r="W250" s="12">
        <f t="shared" si="4"/>
        <v>2.316860794</v>
      </c>
    </row>
    <row r="251">
      <c r="A251" s="15">
        <f t="shared" si="3"/>
        <v>250</v>
      </c>
      <c r="B251" s="15" t="s">
        <v>18</v>
      </c>
      <c r="C251" s="15" t="s">
        <v>19</v>
      </c>
      <c r="D251" s="15">
        <v>67.0</v>
      </c>
      <c r="E251" s="15" t="s">
        <v>2048</v>
      </c>
      <c r="F251" s="15">
        <v>2.0</v>
      </c>
      <c r="G251" s="15">
        <v>1.0</v>
      </c>
      <c r="H251" s="112">
        <f>4/(13*2)</f>
        <v>0.1538461538</v>
      </c>
      <c r="I251" s="15" t="s">
        <v>1473</v>
      </c>
      <c r="J251" s="15" t="s">
        <v>1480</v>
      </c>
      <c r="K251" s="15">
        <v>0.0</v>
      </c>
      <c r="L251" s="15" t="s">
        <v>50</v>
      </c>
      <c r="M251" s="15" t="s">
        <v>22</v>
      </c>
      <c r="N251" s="15" t="s">
        <v>892</v>
      </c>
      <c r="O251" s="15" t="s">
        <v>24</v>
      </c>
      <c r="P251" s="16">
        <v>0.0</v>
      </c>
      <c r="Q251" s="16">
        <v>0.25</v>
      </c>
      <c r="R251" s="16">
        <v>0.25</v>
      </c>
      <c r="S251" s="17">
        <v>45556.0</v>
      </c>
      <c r="T251" s="18">
        <v>1.925</v>
      </c>
      <c r="U251" s="15" t="s">
        <v>25</v>
      </c>
      <c r="V251" s="19">
        <f t="shared" si="1"/>
        <v>-0.25</v>
      </c>
      <c r="W251" s="19">
        <f t="shared" si="4"/>
        <v>2.066860794</v>
      </c>
    </row>
    <row r="252">
      <c r="A252" s="8">
        <f t="shared" si="3"/>
        <v>251</v>
      </c>
      <c r="B252" s="8" t="s">
        <v>26</v>
      </c>
      <c r="C252" s="8" t="s">
        <v>19</v>
      </c>
      <c r="D252" s="8">
        <v>29.0</v>
      </c>
      <c r="E252" s="8" t="s">
        <v>2049</v>
      </c>
      <c r="F252" s="8">
        <v>10.0</v>
      </c>
      <c r="G252" s="8">
        <v>8.0</v>
      </c>
      <c r="H252" s="109">
        <f>8/(17*2)</f>
        <v>0.2352941176</v>
      </c>
      <c r="I252" s="8" t="s">
        <v>1479</v>
      </c>
      <c r="J252" s="8" t="s">
        <v>1480</v>
      </c>
      <c r="K252" s="8">
        <v>0.0</v>
      </c>
      <c r="L252" s="8" t="s">
        <v>432</v>
      </c>
      <c r="M252" s="8" t="s">
        <v>22</v>
      </c>
      <c r="N252" s="8" t="s">
        <v>892</v>
      </c>
      <c r="O252" s="8" t="s">
        <v>24</v>
      </c>
      <c r="P252" s="9">
        <v>0.0</v>
      </c>
      <c r="Q252" s="9">
        <v>1.0</v>
      </c>
      <c r="R252" s="9">
        <f>0.75+0.25*(45/54)</f>
        <v>0.9583333333</v>
      </c>
      <c r="S252" s="10">
        <v>45556.0</v>
      </c>
      <c r="T252" s="11">
        <v>1.85</v>
      </c>
      <c r="U252" s="8" t="s">
        <v>25</v>
      </c>
      <c r="V252" s="12">
        <f t="shared" si="1"/>
        <v>-0.9583333333</v>
      </c>
      <c r="W252" s="12">
        <f t="shared" si="4"/>
        <v>1.10852746</v>
      </c>
    </row>
    <row r="253">
      <c r="A253" s="15">
        <f t="shared" si="3"/>
        <v>252</v>
      </c>
      <c r="B253" s="15" t="s">
        <v>18</v>
      </c>
      <c r="C253" s="15" t="s">
        <v>19</v>
      </c>
      <c r="D253" s="15">
        <v>40.0</v>
      </c>
      <c r="E253" s="15" t="s">
        <v>2050</v>
      </c>
      <c r="F253" s="15"/>
      <c r="G253" s="15"/>
      <c r="H253" s="15"/>
      <c r="I253" s="15" t="s">
        <v>1473</v>
      </c>
      <c r="J253" s="15" t="s">
        <v>1474</v>
      </c>
      <c r="K253" s="15">
        <v>0.0</v>
      </c>
      <c r="L253" s="15" t="s">
        <v>38</v>
      </c>
      <c r="M253" s="15" t="s">
        <v>22</v>
      </c>
      <c r="N253" s="15" t="s">
        <v>225</v>
      </c>
      <c r="O253" s="15" t="s">
        <v>24</v>
      </c>
      <c r="P253" s="16">
        <v>0.25</v>
      </c>
      <c r="Q253" s="16">
        <v>0.75</v>
      </c>
      <c r="R253" s="16">
        <v>0.75</v>
      </c>
      <c r="S253" s="17">
        <v>45556.0</v>
      </c>
      <c r="T253" s="18">
        <v>1.75</v>
      </c>
      <c r="U253" s="15" t="s">
        <v>30</v>
      </c>
      <c r="V253" s="19">
        <f t="shared" si="1"/>
        <v>0.28125</v>
      </c>
      <c r="W253" s="19">
        <f t="shared" si="4"/>
        <v>1.38977746</v>
      </c>
    </row>
    <row r="254">
      <c r="A254" s="8">
        <f t="shared" si="3"/>
        <v>253</v>
      </c>
      <c r="B254" s="8" t="s">
        <v>26</v>
      </c>
      <c r="C254" s="8" t="s">
        <v>19</v>
      </c>
      <c r="D254" s="8">
        <v>44.0</v>
      </c>
      <c r="E254" s="8" t="s">
        <v>2051</v>
      </c>
      <c r="F254" s="8"/>
      <c r="G254" s="8"/>
      <c r="H254" s="8"/>
      <c r="I254" s="8" t="s">
        <v>1479</v>
      </c>
      <c r="J254" s="8" t="s">
        <v>1480</v>
      </c>
      <c r="K254" s="8">
        <v>-1.0</v>
      </c>
      <c r="L254" s="8" t="s">
        <v>66</v>
      </c>
      <c r="M254" s="8" t="s">
        <v>22</v>
      </c>
      <c r="N254" s="8" t="s">
        <v>892</v>
      </c>
      <c r="O254" s="8" t="s">
        <v>24</v>
      </c>
      <c r="P254" s="9">
        <v>0.0</v>
      </c>
      <c r="Q254" s="9">
        <v>0.25</v>
      </c>
      <c r="R254" s="9">
        <v>0.25</v>
      </c>
      <c r="S254" s="10">
        <v>45556.0</v>
      </c>
      <c r="T254" s="11">
        <v>1.975</v>
      </c>
      <c r="U254" s="8" t="s">
        <v>33</v>
      </c>
      <c r="V254" s="12">
        <f t="shared" si="1"/>
        <v>0.24375</v>
      </c>
      <c r="W254" s="12">
        <f t="shared" si="4"/>
        <v>1.63352746</v>
      </c>
    </row>
    <row r="255">
      <c r="A255" s="15">
        <f t="shared" si="3"/>
        <v>254</v>
      </c>
      <c r="B255" s="15" t="s">
        <v>137</v>
      </c>
      <c r="C255" s="15" t="s">
        <v>40</v>
      </c>
      <c r="D255" s="15"/>
      <c r="E255" s="15" t="s">
        <v>2052</v>
      </c>
      <c r="F255" s="15"/>
      <c r="G255" s="15"/>
      <c r="H255" s="15"/>
      <c r="I255" s="15" t="s">
        <v>1473</v>
      </c>
      <c r="J255" s="15" t="s">
        <v>1480</v>
      </c>
      <c r="K255" s="15">
        <v>-1.0</v>
      </c>
      <c r="L255" s="15" t="s">
        <v>93</v>
      </c>
      <c r="M255" s="15" t="s">
        <v>22</v>
      </c>
      <c r="N255" s="15" t="s">
        <v>892</v>
      </c>
      <c r="O255" s="15" t="s">
        <v>24</v>
      </c>
      <c r="P255" s="16">
        <v>0.0</v>
      </c>
      <c r="Q255" s="16">
        <v>0.5</v>
      </c>
      <c r="R255" s="16">
        <v>0.5</v>
      </c>
      <c r="S255" s="17">
        <v>45556.0</v>
      </c>
      <c r="T255" s="18">
        <v>2.35</v>
      </c>
      <c r="U255" s="15" t="s">
        <v>25</v>
      </c>
      <c r="V255" s="19">
        <f t="shared" si="1"/>
        <v>-0.5</v>
      </c>
      <c r="W255" s="19">
        <f t="shared" si="4"/>
        <v>1.13352746</v>
      </c>
    </row>
    <row r="256">
      <c r="A256" s="8">
        <f t="shared" si="3"/>
        <v>255</v>
      </c>
      <c r="B256" s="8" t="s">
        <v>26</v>
      </c>
      <c r="C256" s="8" t="s">
        <v>19</v>
      </c>
      <c r="D256" s="8"/>
      <c r="E256" s="8" t="s">
        <v>2053</v>
      </c>
      <c r="F256" s="8">
        <v>7.0</v>
      </c>
      <c r="G256" s="8">
        <v>6.0</v>
      </c>
      <c r="H256" s="8"/>
      <c r="I256" s="8" t="s">
        <v>1473</v>
      </c>
      <c r="J256" s="8" t="s">
        <v>1480</v>
      </c>
      <c r="K256" s="8">
        <v>2.0</v>
      </c>
      <c r="L256" s="8" t="s">
        <v>121</v>
      </c>
      <c r="M256" s="8" t="s">
        <v>22</v>
      </c>
      <c r="N256" s="8" t="s">
        <v>892</v>
      </c>
      <c r="O256" s="8" t="s">
        <v>24</v>
      </c>
      <c r="P256" s="9">
        <v>0.0</v>
      </c>
      <c r="Q256" s="9">
        <v>0.5</v>
      </c>
      <c r="R256" s="9">
        <v>0.5</v>
      </c>
      <c r="S256" s="10">
        <v>45556.0</v>
      </c>
      <c r="T256" s="11">
        <v>1.75</v>
      </c>
      <c r="U256" s="8" t="s">
        <v>25</v>
      </c>
      <c r="V256" s="12">
        <f t="shared" si="1"/>
        <v>-0.5</v>
      </c>
      <c r="W256" s="12">
        <f t="shared" si="4"/>
        <v>0.6335274603</v>
      </c>
    </row>
    <row r="257">
      <c r="A257" s="15">
        <f t="shared" si="3"/>
        <v>256</v>
      </c>
      <c r="B257" s="15" t="s">
        <v>18</v>
      </c>
      <c r="C257" s="15" t="s">
        <v>19</v>
      </c>
      <c r="D257" s="15"/>
      <c r="E257" s="15" t="s">
        <v>2054</v>
      </c>
      <c r="F257" s="15">
        <v>12.0</v>
      </c>
      <c r="G257" s="15">
        <v>10.0</v>
      </c>
      <c r="H257" s="112">
        <f>4/(15*2)</f>
        <v>0.1333333333</v>
      </c>
      <c r="I257" s="15" t="s">
        <v>1473</v>
      </c>
      <c r="J257" s="15" t="s">
        <v>1480</v>
      </c>
      <c r="K257" s="15">
        <v>-1.0</v>
      </c>
      <c r="L257" s="15" t="s">
        <v>245</v>
      </c>
      <c r="M257" s="15" t="s">
        <v>22</v>
      </c>
      <c r="N257" s="15" t="s">
        <v>892</v>
      </c>
      <c r="O257" s="15" t="s">
        <v>24</v>
      </c>
      <c r="P257" s="16">
        <v>0.0</v>
      </c>
      <c r="Q257" s="16">
        <v>0.25</v>
      </c>
      <c r="R257" s="16">
        <v>0.25</v>
      </c>
      <c r="S257" s="17">
        <v>45556.0</v>
      </c>
      <c r="T257" s="18">
        <v>1.85</v>
      </c>
      <c r="U257" s="15" t="s">
        <v>70</v>
      </c>
      <c r="V257" s="19">
        <f t="shared" si="1"/>
        <v>0</v>
      </c>
      <c r="W257" s="19">
        <f t="shared" si="4"/>
        <v>0.6335274603</v>
      </c>
    </row>
    <row r="258">
      <c r="A258" s="8">
        <f t="shared" si="3"/>
        <v>257</v>
      </c>
      <c r="B258" s="8" t="s">
        <v>131</v>
      </c>
      <c r="C258" s="8" t="s">
        <v>19</v>
      </c>
      <c r="D258" s="8"/>
      <c r="E258" s="8" t="s">
        <v>2055</v>
      </c>
      <c r="F258" s="8">
        <v>10.0</v>
      </c>
      <c r="G258" s="8">
        <v>20.0</v>
      </c>
      <c r="H258" s="109">
        <f>1/(15*2)</f>
        <v>0.03333333333</v>
      </c>
      <c r="I258" s="8" t="s">
        <v>1479</v>
      </c>
      <c r="J258" s="8" t="s">
        <v>1480</v>
      </c>
      <c r="K258" s="8">
        <v>-1.0</v>
      </c>
      <c r="L258" s="8" t="s">
        <v>1194</v>
      </c>
      <c r="M258" s="8" t="s">
        <v>22</v>
      </c>
      <c r="N258" s="8" t="s">
        <v>892</v>
      </c>
      <c r="O258" s="8" t="s">
        <v>24</v>
      </c>
      <c r="P258" s="9">
        <v>0.0</v>
      </c>
      <c r="Q258" s="9">
        <v>0.5</v>
      </c>
      <c r="R258" s="9">
        <v>0.5</v>
      </c>
      <c r="S258" s="10">
        <v>45556.0</v>
      </c>
      <c r="T258" s="11">
        <v>2.0</v>
      </c>
      <c r="U258" s="8" t="s">
        <v>25</v>
      </c>
      <c r="V258" s="12">
        <f t="shared" si="1"/>
        <v>-0.5</v>
      </c>
      <c r="W258" s="12">
        <f t="shared" si="4"/>
        <v>0.1335274603</v>
      </c>
    </row>
    <row r="259">
      <c r="A259" s="15">
        <f t="shared" si="3"/>
        <v>258</v>
      </c>
      <c r="B259" s="15" t="s">
        <v>26</v>
      </c>
      <c r="C259" s="15" t="s">
        <v>40</v>
      </c>
      <c r="D259" s="15">
        <v>30.0</v>
      </c>
      <c r="E259" s="15" t="s">
        <v>2056</v>
      </c>
      <c r="F259" s="15"/>
      <c r="G259" s="15"/>
      <c r="H259" s="15"/>
      <c r="I259" s="15" t="s">
        <v>1473</v>
      </c>
      <c r="J259" s="15"/>
      <c r="K259" s="15"/>
      <c r="L259" s="15" t="s">
        <v>93</v>
      </c>
      <c r="M259" s="15" t="s">
        <v>22</v>
      </c>
      <c r="N259" s="15" t="s">
        <v>2057</v>
      </c>
      <c r="O259" s="15" t="s">
        <v>24</v>
      </c>
      <c r="P259" s="16">
        <v>0.0</v>
      </c>
      <c r="Q259" s="16">
        <v>0.5</v>
      </c>
      <c r="R259" s="16">
        <v>0.5</v>
      </c>
      <c r="S259" s="17">
        <v>45556.0</v>
      </c>
      <c r="T259" s="18">
        <v>1.72</v>
      </c>
      <c r="U259" s="15" t="s">
        <v>70</v>
      </c>
      <c r="V259" s="19">
        <f t="shared" si="1"/>
        <v>0</v>
      </c>
      <c r="W259" s="19">
        <f t="shared" si="4"/>
        <v>0.1335274603</v>
      </c>
    </row>
    <row r="260">
      <c r="A260" s="8">
        <f t="shared" si="3"/>
        <v>259</v>
      </c>
      <c r="B260" s="8" t="s">
        <v>26</v>
      </c>
      <c r="C260" s="8" t="s">
        <v>19</v>
      </c>
      <c r="D260" s="8">
        <v>84.0</v>
      </c>
      <c r="E260" s="8" t="s">
        <v>2058</v>
      </c>
      <c r="F260" s="8"/>
      <c r="G260" s="8"/>
      <c r="H260" s="8"/>
      <c r="I260" s="8" t="s">
        <v>1473</v>
      </c>
      <c r="J260" s="8"/>
      <c r="K260" s="8"/>
      <c r="L260" s="8" t="s">
        <v>231</v>
      </c>
      <c r="M260" s="8" t="s">
        <v>22</v>
      </c>
      <c r="N260" s="8" t="s">
        <v>892</v>
      </c>
      <c r="O260" s="8" t="s">
        <v>24</v>
      </c>
      <c r="P260" s="9">
        <v>0.0</v>
      </c>
      <c r="Q260" s="9">
        <v>0.5</v>
      </c>
      <c r="R260" s="9">
        <v>0.5</v>
      </c>
      <c r="S260" s="10">
        <v>45556.0</v>
      </c>
      <c r="T260" s="11">
        <v>2.35</v>
      </c>
      <c r="U260" s="8" t="s">
        <v>70</v>
      </c>
      <c r="V260" s="12">
        <f t="shared" si="1"/>
        <v>0</v>
      </c>
      <c r="W260" s="12">
        <f t="shared" si="4"/>
        <v>0.1335274603</v>
      </c>
    </row>
    <row r="261">
      <c r="A261" s="15">
        <f t="shared" si="3"/>
        <v>260</v>
      </c>
      <c r="B261" s="15" t="s">
        <v>137</v>
      </c>
      <c r="C261" s="15" t="s">
        <v>19</v>
      </c>
      <c r="D261" s="15"/>
      <c r="E261" s="15" t="s">
        <v>2059</v>
      </c>
      <c r="F261" s="15">
        <v>15.0</v>
      </c>
      <c r="G261" s="15">
        <v>7.0</v>
      </c>
      <c r="H261" s="112">
        <f>9/(17*2)</f>
        <v>0.2647058824</v>
      </c>
      <c r="I261" s="15" t="s">
        <v>1473</v>
      </c>
      <c r="J261" s="15" t="s">
        <v>1480</v>
      </c>
      <c r="K261" s="15">
        <v>-2.0</v>
      </c>
      <c r="L261" s="15" t="s">
        <v>432</v>
      </c>
      <c r="M261" s="15" t="s">
        <v>22</v>
      </c>
      <c r="N261" s="15" t="s">
        <v>892</v>
      </c>
      <c r="O261" s="15" t="s">
        <v>24</v>
      </c>
      <c r="P261" s="16">
        <v>0.0</v>
      </c>
      <c r="Q261" s="16">
        <v>0.5</v>
      </c>
      <c r="R261" s="16">
        <v>0.5</v>
      </c>
      <c r="S261" s="17">
        <v>45556.0</v>
      </c>
      <c r="T261" s="18">
        <v>1.85</v>
      </c>
      <c r="U261" s="15" t="s">
        <v>70</v>
      </c>
      <c r="V261" s="19">
        <f t="shared" si="1"/>
        <v>0</v>
      </c>
      <c r="W261" s="19">
        <f t="shared" si="4"/>
        <v>0.1335274603</v>
      </c>
    </row>
    <row r="262">
      <c r="A262" s="8">
        <f t="shared" si="3"/>
        <v>261</v>
      </c>
      <c r="B262" s="8" t="s">
        <v>18</v>
      </c>
      <c r="C262" s="8" t="s">
        <v>19</v>
      </c>
      <c r="D262" s="8"/>
      <c r="E262" s="8" t="s">
        <v>2060</v>
      </c>
      <c r="F262" s="8">
        <v>5.0</v>
      </c>
      <c r="G262" s="8">
        <v>3.0</v>
      </c>
      <c r="H262" s="109">
        <f>7/(13*2)</f>
        <v>0.2692307692</v>
      </c>
      <c r="I262" s="8" t="s">
        <v>1479</v>
      </c>
      <c r="J262" s="8" t="s">
        <v>1480</v>
      </c>
      <c r="K262" s="8">
        <v>-1.0</v>
      </c>
      <c r="L262" s="8" t="s">
        <v>448</v>
      </c>
      <c r="M262" s="8" t="s">
        <v>22</v>
      </c>
      <c r="N262" s="8" t="s">
        <v>892</v>
      </c>
      <c r="O262" s="8" t="s">
        <v>24</v>
      </c>
      <c r="P262" s="9">
        <v>0.0</v>
      </c>
      <c r="Q262" s="9">
        <v>0.5</v>
      </c>
      <c r="R262" s="9">
        <v>0.5</v>
      </c>
      <c r="S262" s="10">
        <v>45556.0</v>
      </c>
      <c r="T262" s="11">
        <v>1.95</v>
      </c>
      <c r="U262" s="8" t="s">
        <v>70</v>
      </c>
      <c r="V262" s="12">
        <f t="shared" si="1"/>
        <v>0</v>
      </c>
      <c r="W262" s="12">
        <f t="shared" si="4"/>
        <v>0.1335274603</v>
      </c>
    </row>
    <row r="263">
      <c r="A263" s="15">
        <f t="shared" si="3"/>
        <v>262</v>
      </c>
      <c r="B263" s="15" t="s">
        <v>26</v>
      </c>
      <c r="C263" s="15" t="s">
        <v>40</v>
      </c>
      <c r="D263" s="15"/>
      <c r="E263" s="15" t="s">
        <v>2061</v>
      </c>
      <c r="F263" s="15"/>
      <c r="G263" s="15"/>
      <c r="H263" s="15"/>
      <c r="I263" s="15" t="s">
        <v>1479</v>
      </c>
      <c r="J263" s="15" t="s">
        <v>1480</v>
      </c>
      <c r="K263" s="15">
        <v>0.0</v>
      </c>
      <c r="L263" s="15" t="s">
        <v>124</v>
      </c>
      <c r="M263" s="15" t="s">
        <v>22</v>
      </c>
      <c r="N263" s="15" t="s">
        <v>892</v>
      </c>
      <c r="O263" s="15" t="s">
        <v>24</v>
      </c>
      <c r="P263" s="16">
        <v>0.0</v>
      </c>
      <c r="Q263" s="16">
        <v>0.25</v>
      </c>
      <c r="R263" s="16">
        <v>0.25</v>
      </c>
      <c r="S263" s="17">
        <v>45556.0</v>
      </c>
      <c r="T263" s="18">
        <v>1.65</v>
      </c>
      <c r="U263" s="15" t="s">
        <v>33</v>
      </c>
      <c r="V263" s="19">
        <f t="shared" si="1"/>
        <v>0.1625</v>
      </c>
      <c r="W263" s="19">
        <f t="shared" si="4"/>
        <v>0.2960274603</v>
      </c>
    </row>
    <row r="264">
      <c r="A264" s="8">
        <f t="shared" si="3"/>
        <v>263</v>
      </c>
      <c r="B264" s="8" t="s">
        <v>26</v>
      </c>
      <c r="C264" s="8" t="s">
        <v>19</v>
      </c>
      <c r="D264" s="8"/>
      <c r="E264" s="8" t="s">
        <v>2062</v>
      </c>
      <c r="F264" s="8">
        <v>4.0</v>
      </c>
      <c r="G264" s="8">
        <v>5.0</v>
      </c>
      <c r="H264" s="109">
        <f>4/(13*2)</f>
        <v>0.1538461538</v>
      </c>
      <c r="I264" s="8" t="s">
        <v>1473</v>
      </c>
      <c r="J264" s="8" t="s">
        <v>1480</v>
      </c>
      <c r="K264" s="8">
        <v>-1.0</v>
      </c>
      <c r="L264" s="8" t="s">
        <v>50</v>
      </c>
      <c r="M264" s="8" t="s">
        <v>22</v>
      </c>
      <c r="N264" s="8" t="s">
        <v>892</v>
      </c>
      <c r="O264" s="8" t="s">
        <v>24</v>
      </c>
      <c r="P264" s="9">
        <v>0.0</v>
      </c>
      <c r="Q264" s="9">
        <v>0.25</v>
      </c>
      <c r="R264" s="9">
        <v>0.1296</v>
      </c>
      <c r="S264" s="10">
        <v>45556.0</v>
      </c>
      <c r="T264" s="11">
        <v>2.075</v>
      </c>
      <c r="U264" s="8" t="s">
        <v>33</v>
      </c>
      <c r="V264" s="12">
        <f t="shared" si="1"/>
        <v>0.13932</v>
      </c>
      <c r="W264" s="12">
        <f t="shared" si="4"/>
        <v>0.4353474603</v>
      </c>
    </row>
    <row r="265">
      <c r="A265" s="15">
        <f t="shared" si="3"/>
        <v>264</v>
      </c>
      <c r="B265" s="15" t="s">
        <v>18</v>
      </c>
      <c r="C265" s="15" t="s">
        <v>19</v>
      </c>
      <c r="D265" s="15"/>
      <c r="E265" s="15" t="s">
        <v>2063</v>
      </c>
      <c r="F265" s="15">
        <v>5.0</v>
      </c>
      <c r="G265" s="15">
        <v>1.0</v>
      </c>
      <c r="H265" s="112">
        <f>3/(17*2)</f>
        <v>0.08823529412</v>
      </c>
      <c r="I265" s="15" t="s">
        <v>1473</v>
      </c>
      <c r="J265" s="15"/>
      <c r="K265" s="15"/>
      <c r="L265" s="15" t="s">
        <v>93</v>
      </c>
      <c r="M265" s="15" t="s">
        <v>22</v>
      </c>
      <c r="N265" s="15" t="s">
        <v>941</v>
      </c>
      <c r="O265" s="15" t="s">
        <v>24</v>
      </c>
      <c r="P265" s="16">
        <v>0.0</v>
      </c>
      <c r="Q265" s="16">
        <v>0.25</v>
      </c>
      <c r="R265" s="16">
        <v>0.25</v>
      </c>
      <c r="S265" s="17">
        <v>45556.0</v>
      </c>
      <c r="T265" s="18">
        <v>2.38</v>
      </c>
      <c r="U265" s="15" t="s">
        <v>70</v>
      </c>
      <c r="V265" s="19">
        <f t="shared" si="1"/>
        <v>0</v>
      </c>
      <c r="W265" s="19">
        <f t="shared" si="4"/>
        <v>0.4353474603</v>
      </c>
    </row>
    <row r="266">
      <c r="A266" s="8">
        <f t="shared" si="3"/>
        <v>265</v>
      </c>
      <c r="B266" s="8" t="s">
        <v>129</v>
      </c>
      <c r="C266" s="8" t="s">
        <v>19</v>
      </c>
      <c r="D266" s="8"/>
      <c r="E266" s="8" t="s">
        <v>2064</v>
      </c>
      <c r="F266" s="8"/>
      <c r="G266" s="8"/>
      <c r="H266" s="8"/>
      <c r="I266" s="8" t="s">
        <v>1473</v>
      </c>
      <c r="J266" s="8" t="s">
        <v>1480</v>
      </c>
      <c r="K266" s="8">
        <v>0.0</v>
      </c>
      <c r="L266" s="8" t="s">
        <v>768</v>
      </c>
      <c r="M266" s="8" t="s">
        <v>22</v>
      </c>
      <c r="N266" s="8" t="s">
        <v>892</v>
      </c>
      <c r="O266" s="8" t="s">
        <v>24</v>
      </c>
      <c r="P266" s="9">
        <v>0.0</v>
      </c>
      <c r="Q266" s="9">
        <v>0.5</v>
      </c>
      <c r="R266" s="9">
        <v>0.5</v>
      </c>
      <c r="S266" s="10">
        <v>45556.0</v>
      </c>
      <c r="T266" s="11">
        <v>1.775</v>
      </c>
      <c r="U266" s="8" t="s">
        <v>70</v>
      </c>
      <c r="V266" s="12">
        <f t="shared" si="1"/>
        <v>0</v>
      </c>
      <c r="W266" s="12">
        <f t="shared" si="4"/>
        <v>0.4353474603</v>
      </c>
    </row>
    <row r="267">
      <c r="A267" s="15">
        <f t="shared" si="3"/>
        <v>266</v>
      </c>
      <c r="B267" s="15" t="s">
        <v>26</v>
      </c>
      <c r="C267" s="15" t="s">
        <v>19</v>
      </c>
      <c r="D267" s="15"/>
      <c r="E267" s="15" t="s">
        <v>2065</v>
      </c>
      <c r="F267" s="15"/>
      <c r="G267" s="15"/>
      <c r="H267" s="15"/>
      <c r="I267" s="15" t="s">
        <v>1473</v>
      </c>
      <c r="J267" s="15" t="s">
        <v>1480</v>
      </c>
      <c r="K267" s="15">
        <v>2.0</v>
      </c>
      <c r="L267" s="15" t="s">
        <v>99</v>
      </c>
      <c r="M267" s="15" t="s">
        <v>22</v>
      </c>
      <c r="N267" s="15" t="s">
        <v>892</v>
      </c>
      <c r="O267" s="15" t="s">
        <v>24</v>
      </c>
      <c r="P267" s="16">
        <v>0.0</v>
      </c>
      <c r="Q267" s="16">
        <v>0.25</v>
      </c>
      <c r="R267" s="16">
        <v>0.25</v>
      </c>
      <c r="S267" s="17">
        <v>45557.0</v>
      </c>
      <c r="T267" s="18">
        <v>1.825</v>
      </c>
      <c r="U267" s="15" t="s">
        <v>70</v>
      </c>
      <c r="V267" s="19">
        <f t="shared" si="1"/>
        <v>0</v>
      </c>
      <c r="W267" s="19">
        <f t="shared" si="4"/>
        <v>0.4353474603</v>
      </c>
    </row>
    <row r="268">
      <c r="A268" s="8">
        <f t="shared" si="3"/>
        <v>267</v>
      </c>
      <c r="B268" s="8" t="s">
        <v>137</v>
      </c>
      <c r="C268" s="8" t="s">
        <v>19</v>
      </c>
      <c r="D268" s="8"/>
      <c r="E268" s="8" t="s">
        <v>2066</v>
      </c>
      <c r="F268" s="8">
        <v>13.0</v>
      </c>
      <c r="G268" s="8">
        <v>17.0</v>
      </c>
      <c r="H268" s="109">
        <f>3/(18*2)</f>
        <v>0.08333333333</v>
      </c>
      <c r="I268" s="8" t="s">
        <v>1473</v>
      </c>
      <c r="J268" s="8" t="s">
        <v>1474</v>
      </c>
      <c r="K268" s="8">
        <v>0.0</v>
      </c>
      <c r="L268" s="8" t="s">
        <v>93</v>
      </c>
      <c r="M268" s="8" t="s">
        <v>22</v>
      </c>
      <c r="N268" s="8" t="s">
        <v>225</v>
      </c>
      <c r="O268" s="8" t="s">
        <v>24</v>
      </c>
      <c r="P268" s="9">
        <v>0.25</v>
      </c>
      <c r="Q268" s="9">
        <v>0.25</v>
      </c>
      <c r="R268" s="9">
        <v>0.2364</v>
      </c>
      <c r="S268" s="10">
        <v>45557.0</v>
      </c>
      <c r="T268" s="11">
        <v>1.9</v>
      </c>
      <c r="U268" s="8" t="s">
        <v>30</v>
      </c>
      <c r="V268" s="12">
        <f t="shared" si="1"/>
        <v>0.10638</v>
      </c>
      <c r="W268" s="12">
        <f t="shared" si="4"/>
        <v>0.5417274603</v>
      </c>
    </row>
    <row r="269">
      <c r="A269" s="15">
        <f t="shared" si="3"/>
        <v>268</v>
      </c>
      <c r="B269" s="15" t="s">
        <v>26</v>
      </c>
      <c r="C269" s="15" t="s">
        <v>19</v>
      </c>
      <c r="D269" s="15"/>
      <c r="E269" s="15" t="s">
        <v>2067</v>
      </c>
      <c r="F269" s="15"/>
      <c r="G269" s="15"/>
      <c r="H269" s="15"/>
      <c r="I269" s="15" t="s">
        <v>1473</v>
      </c>
      <c r="J269" s="15" t="s">
        <v>1474</v>
      </c>
      <c r="K269" s="15">
        <v>-1.0</v>
      </c>
      <c r="L269" s="15" t="s">
        <v>48</v>
      </c>
      <c r="M269" s="15" t="s">
        <v>22</v>
      </c>
      <c r="N269" s="15" t="s">
        <v>225</v>
      </c>
      <c r="O269" s="15" t="s">
        <v>24</v>
      </c>
      <c r="P269" s="16">
        <v>0.75</v>
      </c>
      <c r="Q269" s="16">
        <v>0.25</v>
      </c>
      <c r="R269" s="16">
        <v>0.2</v>
      </c>
      <c r="S269" s="17">
        <v>45557.0</v>
      </c>
      <c r="T269" s="18">
        <v>1.75</v>
      </c>
      <c r="U269" s="15" t="s">
        <v>79</v>
      </c>
      <c r="V269" s="19">
        <f t="shared" si="1"/>
        <v>-0.1</v>
      </c>
      <c r="W269" s="19">
        <f t="shared" si="4"/>
        <v>0.4417274603</v>
      </c>
    </row>
    <row r="270">
      <c r="A270" s="8">
        <f t="shared" si="3"/>
        <v>269</v>
      </c>
      <c r="B270" s="8" t="s">
        <v>26</v>
      </c>
      <c r="C270" s="8" t="s">
        <v>19</v>
      </c>
      <c r="D270" s="8"/>
      <c r="E270" s="8" t="s">
        <v>2068</v>
      </c>
      <c r="F270" s="8"/>
      <c r="G270" s="8"/>
      <c r="H270" s="8"/>
      <c r="I270" s="8" t="s">
        <v>1473</v>
      </c>
      <c r="J270" s="8" t="s">
        <v>1474</v>
      </c>
      <c r="K270" s="8">
        <v>-1.0</v>
      </c>
      <c r="L270" s="8" t="s">
        <v>48</v>
      </c>
      <c r="M270" s="8" t="s">
        <v>22</v>
      </c>
      <c r="N270" s="8" t="s">
        <v>225</v>
      </c>
      <c r="O270" s="8" t="s">
        <v>24</v>
      </c>
      <c r="P270" s="9">
        <v>0.5</v>
      </c>
      <c r="Q270" s="9">
        <v>0.5</v>
      </c>
      <c r="R270" s="9">
        <v>0.5</v>
      </c>
      <c r="S270" s="10">
        <v>45557.0</v>
      </c>
      <c r="T270" s="11">
        <v>2.025</v>
      </c>
      <c r="U270" s="8" t="s">
        <v>25</v>
      </c>
      <c r="V270" s="12">
        <f t="shared" si="1"/>
        <v>-0.5</v>
      </c>
      <c r="W270" s="12">
        <f t="shared" si="4"/>
        <v>-0.05827253971</v>
      </c>
    </row>
    <row r="271">
      <c r="A271" s="15">
        <f t="shared" si="3"/>
        <v>270</v>
      </c>
      <c r="B271" s="15" t="s">
        <v>26</v>
      </c>
      <c r="C271" s="15" t="s">
        <v>19</v>
      </c>
      <c r="D271" s="15"/>
      <c r="E271" s="15" t="s">
        <v>2069</v>
      </c>
      <c r="F271" s="15"/>
      <c r="G271" s="15"/>
      <c r="H271" s="15"/>
      <c r="I271" s="15" t="s">
        <v>1473</v>
      </c>
      <c r="J271" s="15"/>
      <c r="K271" s="15">
        <v>-1.0</v>
      </c>
      <c r="L271" s="15" t="s">
        <v>48</v>
      </c>
      <c r="M271" s="15" t="s">
        <v>22</v>
      </c>
      <c r="N271" s="15" t="s">
        <v>1165</v>
      </c>
      <c r="O271" s="15" t="s">
        <v>24</v>
      </c>
      <c r="P271" s="16"/>
      <c r="Q271" s="16">
        <v>0.1</v>
      </c>
      <c r="R271" s="16">
        <v>0.1</v>
      </c>
      <c r="S271" s="17">
        <v>45557.0</v>
      </c>
      <c r="T271" s="18">
        <v>4.0</v>
      </c>
      <c r="U271" s="15" t="s">
        <v>25</v>
      </c>
      <c r="V271" s="19">
        <f t="shared" si="1"/>
        <v>-0.1</v>
      </c>
      <c r="W271" s="19">
        <f t="shared" si="4"/>
        <v>-0.1582725397</v>
      </c>
    </row>
    <row r="272">
      <c r="A272" s="8">
        <f t="shared" si="3"/>
        <v>271</v>
      </c>
      <c r="B272" s="8" t="s">
        <v>26</v>
      </c>
      <c r="C272" s="8" t="s">
        <v>19</v>
      </c>
      <c r="D272" s="8"/>
      <c r="E272" s="8" t="s">
        <v>2070</v>
      </c>
      <c r="F272" s="8"/>
      <c r="G272" s="8"/>
      <c r="H272" s="8"/>
      <c r="I272" s="8" t="s">
        <v>1473</v>
      </c>
      <c r="J272" s="8" t="s">
        <v>1474</v>
      </c>
      <c r="K272" s="8">
        <v>-1.0</v>
      </c>
      <c r="L272" s="8" t="s">
        <v>48</v>
      </c>
      <c r="M272" s="8" t="s">
        <v>22</v>
      </c>
      <c r="N272" s="8" t="s">
        <v>225</v>
      </c>
      <c r="O272" s="8" t="s">
        <v>24</v>
      </c>
      <c r="P272" s="9">
        <v>0.25</v>
      </c>
      <c r="Q272" s="9">
        <v>0.15</v>
      </c>
      <c r="R272" s="9">
        <v>0.15</v>
      </c>
      <c r="S272" s="10">
        <v>45557.0</v>
      </c>
      <c r="T272" s="11">
        <v>2.025</v>
      </c>
      <c r="U272" s="8" t="s">
        <v>25</v>
      </c>
      <c r="V272" s="12">
        <f t="shared" si="1"/>
        <v>-0.15</v>
      </c>
      <c r="W272" s="12">
        <f t="shared" si="4"/>
        <v>-0.3082725397</v>
      </c>
    </row>
    <row r="273">
      <c r="A273" s="15">
        <f t="shared" si="3"/>
        <v>272</v>
      </c>
      <c r="B273" s="15" t="s">
        <v>26</v>
      </c>
      <c r="C273" s="15" t="s">
        <v>19</v>
      </c>
      <c r="D273" s="15"/>
      <c r="E273" s="15" t="s">
        <v>2071</v>
      </c>
      <c r="F273" s="15"/>
      <c r="G273" s="15"/>
      <c r="H273" s="15"/>
      <c r="I273" s="15" t="s">
        <v>1479</v>
      </c>
      <c r="J273" s="15" t="s">
        <v>1474</v>
      </c>
      <c r="K273" s="15">
        <v>0.0</v>
      </c>
      <c r="L273" s="15" t="s">
        <v>93</v>
      </c>
      <c r="M273" s="15" t="s">
        <v>22</v>
      </c>
      <c r="N273" s="15" t="s">
        <v>225</v>
      </c>
      <c r="O273" s="15" t="s">
        <v>24</v>
      </c>
      <c r="P273" s="16">
        <v>0.25</v>
      </c>
      <c r="Q273" s="16">
        <v>0.25</v>
      </c>
      <c r="R273" s="16">
        <v>0.1045</v>
      </c>
      <c r="S273" s="17">
        <v>45557.0</v>
      </c>
      <c r="T273" s="18">
        <v>1.775</v>
      </c>
      <c r="U273" s="15" t="s">
        <v>33</v>
      </c>
      <c r="V273" s="19">
        <f t="shared" si="1"/>
        <v>0.0809875</v>
      </c>
      <c r="W273" s="19">
        <f t="shared" si="4"/>
        <v>-0.2272850397</v>
      </c>
    </row>
    <row r="274">
      <c r="A274" s="8">
        <f t="shared" si="3"/>
        <v>273</v>
      </c>
      <c r="B274" s="8" t="s">
        <v>26</v>
      </c>
      <c r="C274" s="8" t="s">
        <v>19</v>
      </c>
      <c r="D274" s="8"/>
      <c r="E274" s="8" t="s">
        <v>2072</v>
      </c>
      <c r="F274" s="8">
        <v>4.0</v>
      </c>
      <c r="G274" s="8">
        <v>5.0</v>
      </c>
      <c r="H274" s="109">
        <f>6/(7*2)</f>
        <v>0.4285714286</v>
      </c>
      <c r="I274" s="8" t="s">
        <v>1479</v>
      </c>
      <c r="J274" s="8" t="s">
        <v>1480</v>
      </c>
      <c r="K274" s="8">
        <v>2.0</v>
      </c>
      <c r="L274" s="8" t="s">
        <v>44</v>
      </c>
      <c r="M274" s="8" t="s">
        <v>22</v>
      </c>
      <c r="N274" s="8" t="s">
        <v>892</v>
      </c>
      <c r="O274" s="8" t="s">
        <v>24</v>
      </c>
      <c r="P274" s="9">
        <v>0.0</v>
      </c>
      <c r="Q274" s="9">
        <v>0.5</v>
      </c>
      <c r="R274" s="9">
        <v>0.5</v>
      </c>
      <c r="S274" s="10">
        <v>45557.0</v>
      </c>
      <c r="T274" s="11">
        <v>1.675</v>
      </c>
      <c r="U274" s="8" t="s">
        <v>33</v>
      </c>
      <c r="V274" s="12">
        <f t="shared" si="1"/>
        <v>0.3375</v>
      </c>
      <c r="W274" s="12">
        <f t="shared" si="4"/>
        <v>0.1102149603</v>
      </c>
    </row>
    <row r="275">
      <c r="A275" s="15">
        <f t="shared" si="3"/>
        <v>274</v>
      </c>
      <c r="B275" s="15" t="s">
        <v>135</v>
      </c>
      <c r="C275" s="15" t="s">
        <v>19</v>
      </c>
      <c r="D275" s="15">
        <v>0.0</v>
      </c>
      <c r="E275" s="15" t="s">
        <v>2073</v>
      </c>
      <c r="F275" s="15"/>
      <c r="G275" s="15"/>
      <c r="H275" s="15"/>
      <c r="I275" s="15"/>
      <c r="J275" s="15"/>
      <c r="K275" s="15"/>
      <c r="L275" s="15" t="s">
        <v>162</v>
      </c>
      <c r="M275" s="15" t="s">
        <v>598</v>
      </c>
      <c r="N275" s="15" t="s">
        <v>29</v>
      </c>
      <c r="O275" s="15" t="s">
        <v>24</v>
      </c>
      <c r="P275" s="16">
        <v>-2.75</v>
      </c>
      <c r="Q275" s="16">
        <v>0.25</v>
      </c>
      <c r="R275" s="16">
        <v>0.25</v>
      </c>
      <c r="S275" s="17">
        <v>45557.0</v>
      </c>
      <c r="T275" s="18">
        <v>2.0</v>
      </c>
      <c r="U275" s="15" t="s">
        <v>25</v>
      </c>
      <c r="V275" s="19">
        <f t="shared" si="1"/>
        <v>-0.25</v>
      </c>
      <c r="W275" s="19">
        <f t="shared" si="4"/>
        <v>-0.1397850397</v>
      </c>
    </row>
    <row r="276">
      <c r="A276" s="8">
        <f t="shared" si="3"/>
        <v>275</v>
      </c>
      <c r="B276" s="8" t="s">
        <v>26</v>
      </c>
      <c r="C276" s="8" t="s">
        <v>19</v>
      </c>
      <c r="D276" s="8">
        <v>0.0</v>
      </c>
      <c r="E276" s="8" t="s">
        <v>2074</v>
      </c>
      <c r="F276" s="8">
        <v>4.0</v>
      </c>
      <c r="G276" s="8">
        <v>12.0</v>
      </c>
      <c r="H276" s="109">
        <f>20/(15*2)</f>
        <v>0.6666666667</v>
      </c>
      <c r="I276" s="8"/>
      <c r="J276" s="8"/>
      <c r="K276" s="8"/>
      <c r="L276" s="8" t="s">
        <v>1470</v>
      </c>
      <c r="M276" s="8" t="s">
        <v>598</v>
      </c>
      <c r="N276" s="8" t="s">
        <v>29</v>
      </c>
      <c r="O276" s="8" t="s">
        <v>24</v>
      </c>
      <c r="P276" s="9">
        <v>-2.25</v>
      </c>
      <c r="Q276" s="9">
        <v>0.5</v>
      </c>
      <c r="R276" s="9">
        <v>0.4455</v>
      </c>
      <c r="S276" s="10">
        <v>45557.0</v>
      </c>
      <c r="T276" s="11">
        <v>1.75</v>
      </c>
      <c r="U276" s="8" t="s">
        <v>33</v>
      </c>
      <c r="V276" s="12">
        <f t="shared" si="1"/>
        <v>0.334125</v>
      </c>
      <c r="W276" s="12">
        <f t="shared" si="4"/>
        <v>0.1943399603</v>
      </c>
    </row>
    <row r="277">
      <c r="A277" s="15">
        <f t="shared" si="3"/>
        <v>276</v>
      </c>
      <c r="B277" s="15" t="s">
        <v>26</v>
      </c>
      <c r="C277" s="15" t="s">
        <v>19</v>
      </c>
      <c r="D277" s="15">
        <v>6.0</v>
      </c>
      <c r="E277" s="15" t="s">
        <v>2075</v>
      </c>
      <c r="F277" s="15">
        <v>10.0</v>
      </c>
      <c r="G277" s="15">
        <v>14.0</v>
      </c>
      <c r="H277" s="112">
        <f>17/(15*2)</f>
        <v>0.5666666667</v>
      </c>
      <c r="I277" s="15"/>
      <c r="J277" s="15"/>
      <c r="K277" s="15"/>
      <c r="L277" s="15" t="s">
        <v>1470</v>
      </c>
      <c r="M277" s="15" t="s">
        <v>22</v>
      </c>
      <c r="N277" s="15" t="s">
        <v>29</v>
      </c>
      <c r="O277" s="15" t="s">
        <v>24</v>
      </c>
      <c r="P277" s="16">
        <v>-3.25</v>
      </c>
      <c r="Q277" s="16">
        <v>0.25</v>
      </c>
      <c r="R277" s="16">
        <v>0.25</v>
      </c>
      <c r="S277" s="17">
        <v>45557.0</v>
      </c>
      <c r="T277" s="18">
        <v>1.825</v>
      </c>
      <c r="U277" s="15" t="s">
        <v>25</v>
      </c>
      <c r="V277" s="19">
        <f t="shared" si="1"/>
        <v>-0.25</v>
      </c>
      <c r="W277" s="19">
        <f t="shared" si="4"/>
        <v>-0.05566003971</v>
      </c>
    </row>
    <row r="278">
      <c r="A278" s="8">
        <f t="shared" si="3"/>
        <v>277</v>
      </c>
      <c r="B278" s="8" t="s">
        <v>26</v>
      </c>
      <c r="C278" s="8" t="s">
        <v>40</v>
      </c>
      <c r="D278" s="8">
        <v>18.0</v>
      </c>
      <c r="E278" s="8" t="s">
        <v>2076</v>
      </c>
      <c r="F278" s="8"/>
      <c r="G278" s="8"/>
      <c r="H278" s="8"/>
      <c r="I278" s="8" t="s">
        <v>1473</v>
      </c>
      <c r="J278" s="8"/>
      <c r="K278" s="8">
        <v>0.0</v>
      </c>
      <c r="L278" s="8" t="s">
        <v>82</v>
      </c>
      <c r="M278" s="8" t="s">
        <v>22</v>
      </c>
      <c r="N278" s="8" t="s">
        <v>1847</v>
      </c>
      <c r="O278" s="8" t="s">
        <v>24</v>
      </c>
      <c r="P278" s="9">
        <v>-0.5</v>
      </c>
      <c r="Q278" s="9">
        <v>0.25</v>
      </c>
      <c r="R278" s="9">
        <v>0.1384</v>
      </c>
      <c r="S278" s="10">
        <v>45557.0</v>
      </c>
      <c r="T278" s="11">
        <v>1.727</v>
      </c>
      <c r="U278" s="8" t="s">
        <v>33</v>
      </c>
      <c r="V278" s="12">
        <f t="shared" si="1"/>
        <v>0.1006168</v>
      </c>
      <c r="W278" s="12">
        <f t="shared" si="4"/>
        <v>0.04495676029</v>
      </c>
    </row>
    <row r="279">
      <c r="A279" s="15">
        <f t="shared" si="3"/>
        <v>278</v>
      </c>
      <c r="B279" s="15" t="s">
        <v>129</v>
      </c>
      <c r="C279" s="15" t="s">
        <v>19</v>
      </c>
      <c r="D279" s="15">
        <v>21.0</v>
      </c>
      <c r="E279" s="15" t="s">
        <v>2077</v>
      </c>
      <c r="F279" s="15">
        <v>10.0</v>
      </c>
      <c r="G279" s="15">
        <v>4.0</v>
      </c>
      <c r="H279" s="112">
        <f>22/(13*2)</f>
        <v>0.8461538462</v>
      </c>
      <c r="I279" s="15" t="s">
        <v>1473</v>
      </c>
      <c r="J279" s="15" t="s">
        <v>1480</v>
      </c>
      <c r="K279" s="15">
        <v>0.0</v>
      </c>
      <c r="L279" s="15" t="s">
        <v>463</v>
      </c>
      <c r="M279" s="15" t="s">
        <v>22</v>
      </c>
      <c r="N279" s="15" t="s">
        <v>892</v>
      </c>
      <c r="O279" s="15" t="s">
        <v>24</v>
      </c>
      <c r="P279" s="16">
        <v>0.0</v>
      </c>
      <c r="Q279" s="16">
        <v>0.75</v>
      </c>
      <c r="R279" s="16">
        <v>0.75</v>
      </c>
      <c r="S279" s="55">
        <v>45557.0</v>
      </c>
      <c r="T279" s="18">
        <v>1.8</v>
      </c>
      <c r="U279" s="15" t="s">
        <v>25</v>
      </c>
      <c r="V279" s="19">
        <f t="shared" si="1"/>
        <v>-0.75</v>
      </c>
      <c r="W279" s="19">
        <f t="shared" si="4"/>
        <v>-0.7050432397</v>
      </c>
    </row>
    <row r="280">
      <c r="A280" s="8">
        <f t="shared" si="3"/>
        <v>279</v>
      </c>
      <c r="B280" s="8" t="s">
        <v>135</v>
      </c>
      <c r="C280" s="8" t="s">
        <v>19</v>
      </c>
      <c r="D280" s="8">
        <v>0.0</v>
      </c>
      <c r="E280" s="8" t="s">
        <v>2078</v>
      </c>
      <c r="F280" s="114">
        <v>19.0</v>
      </c>
      <c r="G280" s="114">
        <v>9.0</v>
      </c>
      <c r="H280" s="115">
        <f>4/(19*2)</f>
        <v>0.1052631579</v>
      </c>
      <c r="I280" s="114"/>
      <c r="J280" s="8"/>
      <c r="K280" s="8"/>
      <c r="L280" s="8" t="s">
        <v>121</v>
      </c>
      <c r="M280" s="8" t="s">
        <v>598</v>
      </c>
      <c r="N280" s="8" t="s">
        <v>29</v>
      </c>
      <c r="O280" s="8" t="s">
        <v>24</v>
      </c>
      <c r="P280" s="9">
        <v>-3.0</v>
      </c>
      <c r="Q280" s="9">
        <v>0.25</v>
      </c>
      <c r="R280" s="9">
        <v>0.25</v>
      </c>
      <c r="S280" s="10">
        <v>45557.0</v>
      </c>
      <c r="T280" s="11">
        <v>1.85</v>
      </c>
      <c r="U280" s="8" t="s">
        <v>33</v>
      </c>
      <c r="V280" s="12">
        <f t="shared" si="1"/>
        <v>0.2125</v>
      </c>
      <c r="W280" s="12">
        <f t="shared" si="4"/>
        <v>-0.4925432397</v>
      </c>
    </row>
    <row r="281">
      <c r="A281" s="15">
        <f t="shared" si="3"/>
        <v>280</v>
      </c>
      <c r="B281" s="15" t="s">
        <v>135</v>
      </c>
      <c r="C281" s="15" t="s">
        <v>19</v>
      </c>
      <c r="D281" s="15">
        <v>0.0</v>
      </c>
      <c r="E281" s="15" t="s">
        <v>2079</v>
      </c>
      <c r="F281" s="15">
        <v>9.0</v>
      </c>
      <c r="G281" s="15">
        <v>1.0</v>
      </c>
      <c r="H281" s="112">
        <f>3/(19*2)</f>
        <v>0.07894736842</v>
      </c>
      <c r="I281" s="15"/>
      <c r="J281" s="15"/>
      <c r="K281" s="15"/>
      <c r="L281" s="15" t="s">
        <v>121</v>
      </c>
      <c r="M281" s="15" t="s">
        <v>598</v>
      </c>
      <c r="N281" s="15" t="s">
        <v>29</v>
      </c>
      <c r="O281" s="15" t="s">
        <v>24</v>
      </c>
      <c r="P281" s="16">
        <v>-2.5</v>
      </c>
      <c r="Q281" s="16">
        <v>0.25</v>
      </c>
      <c r="R281" s="16">
        <v>0.25</v>
      </c>
      <c r="S281" s="17">
        <v>45557.0</v>
      </c>
      <c r="T281" s="18">
        <v>1.725</v>
      </c>
      <c r="U281" s="15" t="s">
        <v>25</v>
      </c>
      <c r="V281" s="19">
        <f t="shared" si="1"/>
        <v>-0.25</v>
      </c>
      <c r="W281" s="19">
        <f t="shared" si="4"/>
        <v>-0.7425432397</v>
      </c>
    </row>
    <row r="282">
      <c r="A282" s="8">
        <f t="shared" si="3"/>
        <v>281</v>
      </c>
      <c r="B282" s="8" t="s">
        <v>137</v>
      </c>
      <c r="C282" s="8" t="s">
        <v>19</v>
      </c>
      <c r="D282" s="8">
        <v>72.0</v>
      </c>
      <c r="E282" s="8" t="s">
        <v>2080</v>
      </c>
      <c r="F282" s="8"/>
      <c r="G282" s="8"/>
      <c r="H282" s="8"/>
      <c r="I282" s="8" t="s">
        <v>1473</v>
      </c>
      <c r="J282" s="8" t="s">
        <v>1480</v>
      </c>
      <c r="K282" s="8">
        <v>-1.0</v>
      </c>
      <c r="L282" s="8" t="s">
        <v>84</v>
      </c>
      <c r="M282" s="8" t="s">
        <v>22</v>
      </c>
      <c r="N282" s="8" t="s">
        <v>892</v>
      </c>
      <c r="O282" s="8" t="s">
        <v>24</v>
      </c>
      <c r="P282" s="9">
        <v>0.0</v>
      </c>
      <c r="Q282" s="9">
        <v>0.5</v>
      </c>
      <c r="R282" s="9">
        <v>0.5</v>
      </c>
      <c r="S282" s="10">
        <v>45557.0</v>
      </c>
      <c r="T282" s="11">
        <v>1.65</v>
      </c>
      <c r="U282" s="8" t="s">
        <v>70</v>
      </c>
      <c r="V282" s="12">
        <f t="shared" si="1"/>
        <v>0</v>
      </c>
      <c r="W282" s="12">
        <f t="shared" si="4"/>
        <v>-0.7425432397</v>
      </c>
    </row>
    <row r="283">
      <c r="A283" s="15">
        <f t="shared" si="3"/>
        <v>282</v>
      </c>
      <c r="B283" s="15" t="s">
        <v>26</v>
      </c>
      <c r="C283" s="15" t="s">
        <v>19</v>
      </c>
      <c r="D283" s="15">
        <v>29.0</v>
      </c>
      <c r="E283" s="15" t="s">
        <v>2081</v>
      </c>
      <c r="F283" s="15">
        <v>2.0</v>
      </c>
      <c r="G283" s="15">
        <v>15.0</v>
      </c>
      <c r="H283" s="112">
        <f t="shared" ref="H283:H284" si="17">2/(17*2)</f>
        <v>0.05882352941</v>
      </c>
      <c r="I283" s="15" t="s">
        <v>1473</v>
      </c>
      <c r="J283" s="15" t="s">
        <v>1474</v>
      </c>
      <c r="K283" s="15">
        <v>0.0</v>
      </c>
      <c r="L283" s="15" t="s">
        <v>121</v>
      </c>
      <c r="M283" s="15" t="s">
        <v>22</v>
      </c>
      <c r="N283" s="15" t="s">
        <v>225</v>
      </c>
      <c r="O283" s="15" t="s">
        <v>24</v>
      </c>
      <c r="P283" s="16">
        <v>0.25</v>
      </c>
      <c r="Q283" s="16">
        <v>0.5</v>
      </c>
      <c r="R283" s="16">
        <v>0.5</v>
      </c>
      <c r="S283" s="17">
        <v>45557.0</v>
      </c>
      <c r="T283" s="18">
        <v>1.75</v>
      </c>
      <c r="U283" s="15" t="s">
        <v>33</v>
      </c>
      <c r="V283" s="19">
        <f t="shared" si="1"/>
        <v>0.375</v>
      </c>
      <c r="W283" s="19">
        <f t="shared" si="4"/>
        <v>-0.3675432397</v>
      </c>
    </row>
    <row r="284">
      <c r="A284" s="8">
        <f t="shared" si="3"/>
        <v>283</v>
      </c>
      <c r="B284" s="8" t="s">
        <v>26</v>
      </c>
      <c r="C284" s="8" t="s">
        <v>19</v>
      </c>
      <c r="D284" s="8">
        <v>32.0</v>
      </c>
      <c r="E284" s="8" t="s">
        <v>2082</v>
      </c>
      <c r="F284" s="8">
        <v>2.0</v>
      </c>
      <c r="G284" s="8">
        <v>15.0</v>
      </c>
      <c r="H284" s="109">
        <f t="shared" si="17"/>
        <v>0.05882352941</v>
      </c>
      <c r="I284" s="8" t="s">
        <v>1473</v>
      </c>
      <c r="J284" s="8" t="s">
        <v>1474</v>
      </c>
      <c r="K284" s="8">
        <v>0.0</v>
      </c>
      <c r="L284" s="8" t="s">
        <v>121</v>
      </c>
      <c r="M284" s="8" t="s">
        <v>22</v>
      </c>
      <c r="N284" s="8" t="s">
        <v>941</v>
      </c>
      <c r="O284" s="8" t="s">
        <v>24</v>
      </c>
      <c r="P284" s="9">
        <v>0.0</v>
      </c>
      <c r="Q284" s="9">
        <v>0.5</v>
      </c>
      <c r="R284" s="9">
        <v>0.5</v>
      </c>
      <c r="S284" s="10">
        <v>45557.0</v>
      </c>
      <c r="T284" s="11">
        <v>2.1</v>
      </c>
      <c r="U284" s="8" t="s">
        <v>33</v>
      </c>
      <c r="V284" s="12">
        <f t="shared" si="1"/>
        <v>0.55</v>
      </c>
      <c r="W284" s="12">
        <f t="shared" si="4"/>
        <v>0.1824567603</v>
      </c>
    </row>
    <row r="285">
      <c r="A285" s="15">
        <f t="shared" si="3"/>
        <v>284</v>
      </c>
      <c r="B285" s="15" t="s">
        <v>129</v>
      </c>
      <c r="C285" s="15" t="s">
        <v>19</v>
      </c>
      <c r="D285" s="15">
        <v>36.0</v>
      </c>
      <c r="E285" s="15" t="s">
        <v>2083</v>
      </c>
      <c r="F285" s="15">
        <v>15.0</v>
      </c>
      <c r="G285" s="15">
        <v>3.0</v>
      </c>
      <c r="H285" s="15"/>
      <c r="I285" s="15" t="s">
        <v>1473</v>
      </c>
      <c r="J285" s="15" t="s">
        <v>1474</v>
      </c>
      <c r="K285" s="15">
        <v>0.0</v>
      </c>
      <c r="L285" s="15" t="s">
        <v>48</v>
      </c>
      <c r="M285" s="15" t="s">
        <v>22</v>
      </c>
      <c r="N285" s="15" t="s">
        <v>225</v>
      </c>
      <c r="O285" s="15" t="s">
        <v>24</v>
      </c>
      <c r="P285" s="16">
        <v>0.5</v>
      </c>
      <c r="Q285" s="16">
        <v>0.25</v>
      </c>
      <c r="R285" s="16">
        <v>0.25</v>
      </c>
      <c r="S285" s="17">
        <v>45557.0</v>
      </c>
      <c r="T285" s="18">
        <f>446.7/250</f>
        <v>1.7868</v>
      </c>
      <c r="U285" s="15" t="s">
        <v>33</v>
      </c>
      <c r="V285" s="19">
        <f t="shared" si="1"/>
        <v>0.1967</v>
      </c>
      <c r="W285" s="19">
        <f t="shared" si="4"/>
        <v>0.3791567603</v>
      </c>
    </row>
    <row r="286">
      <c r="A286" s="8">
        <f t="shared" si="3"/>
        <v>285</v>
      </c>
      <c r="B286" s="8" t="s">
        <v>135</v>
      </c>
      <c r="C286" s="8" t="s">
        <v>19</v>
      </c>
      <c r="D286" s="8"/>
      <c r="E286" s="8" t="s">
        <v>2084</v>
      </c>
      <c r="F286" s="8">
        <v>9.0</v>
      </c>
      <c r="G286" s="8">
        <v>1.0</v>
      </c>
      <c r="H286" s="109">
        <f>3/(19*2)</f>
        <v>0.07894736842</v>
      </c>
      <c r="I286" s="8"/>
      <c r="J286" s="8"/>
      <c r="K286" s="8"/>
      <c r="L286" s="8" t="s">
        <v>121</v>
      </c>
      <c r="M286" s="8" t="s">
        <v>22</v>
      </c>
      <c r="N286" s="8" t="s">
        <v>29</v>
      </c>
      <c r="O286" s="8" t="s">
        <v>24</v>
      </c>
      <c r="P286" s="9">
        <v>-2.25</v>
      </c>
      <c r="Q286" s="9">
        <v>0.25</v>
      </c>
      <c r="R286" s="9">
        <v>0.25</v>
      </c>
      <c r="S286" s="54">
        <v>45557.0</v>
      </c>
      <c r="T286" s="11">
        <v>1.925</v>
      </c>
      <c r="U286" s="8" t="s">
        <v>70</v>
      </c>
      <c r="V286" s="12">
        <f t="shared" si="1"/>
        <v>0</v>
      </c>
      <c r="W286" s="12">
        <f t="shared" si="4"/>
        <v>0.3791567603</v>
      </c>
    </row>
    <row r="287">
      <c r="A287" s="15">
        <f t="shared" si="3"/>
        <v>286</v>
      </c>
      <c r="B287" s="15" t="s">
        <v>135</v>
      </c>
      <c r="C287" s="15" t="s">
        <v>19</v>
      </c>
      <c r="D287" s="15">
        <v>0.0</v>
      </c>
      <c r="E287" s="15" t="s">
        <v>2085</v>
      </c>
      <c r="F287" s="116">
        <v>2.0</v>
      </c>
      <c r="G287" s="116">
        <v>7.0</v>
      </c>
      <c r="H287" s="117">
        <f t="shared" ref="H287:H288" si="18">7/(15*2)</f>
        <v>0.2333333333</v>
      </c>
      <c r="I287" s="37"/>
      <c r="J287" s="37"/>
      <c r="K287" s="37"/>
      <c r="L287" s="37" t="s">
        <v>99</v>
      </c>
      <c r="M287" s="37" t="s">
        <v>598</v>
      </c>
      <c r="N287" s="37" t="s">
        <v>29</v>
      </c>
      <c r="O287" s="15" t="s">
        <v>24</v>
      </c>
      <c r="P287" s="24">
        <v>-3.0</v>
      </c>
      <c r="Q287" s="16">
        <v>0.25</v>
      </c>
      <c r="R287" s="16">
        <v>0.25</v>
      </c>
      <c r="S287" s="17">
        <v>45557.0</v>
      </c>
      <c r="T287" s="18">
        <f>265.12/250</f>
        <v>1.06048</v>
      </c>
      <c r="U287" s="15" t="s">
        <v>33</v>
      </c>
      <c r="V287" s="19">
        <f t="shared" si="1"/>
        <v>0.01512</v>
      </c>
      <c r="W287" s="19">
        <f t="shared" si="4"/>
        <v>0.3942767603</v>
      </c>
    </row>
    <row r="288">
      <c r="A288" s="8">
        <f t="shared" si="3"/>
        <v>287</v>
      </c>
      <c r="B288" s="8" t="s">
        <v>135</v>
      </c>
      <c r="C288" s="8" t="s">
        <v>19</v>
      </c>
      <c r="D288" s="8">
        <v>0.0</v>
      </c>
      <c r="E288" s="8" t="s">
        <v>2086</v>
      </c>
      <c r="F288" s="118">
        <v>10.0</v>
      </c>
      <c r="G288" s="118">
        <v>13.0</v>
      </c>
      <c r="H288" s="119">
        <f t="shared" si="18"/>
        <v>0.2333333333</v>
      </c>
      <c r="I288" s="32"/>
      <c r="J288" s="32"/>
      <c r="K288" s="32"/>
      <c r="L288" s="32" t="s">
        <v>99</v>
      </c>
      <c r="M288" s="32" t="s">
        <v>598</v>
      </c>
      <c r="N288" s="32" t="s">
        <v>29</v>
      </c>
      <c r="O288" s="8" t="s">
        <v>24</v>
      </c>
      <c r="P288" s="33">
        <v>-3.25</v>
      </c>
      <c r="Q288" s="9">
        <v>0.25</v>
      </c>
      <c r="R288" s="9">
        <v>0.25</v>
      </c>
      <c r="S288" s="10">
        <v>45557.0</v>
      </c>
      <c r="T288" s="11">
        <v>1.8</v>
      </c>
      <c r="U288" s="8" t="s">
        <v>33</v>
      </c>
      <c r="V288" s="12">
        <f t="shared" si="1"/>
        <v>0.2</v>
      </c>
      <c r="W288" s="12">
        <f t="shared" si="4"/>
        <v>0.5942767603</v>
      </c>
    </row>
    <row r="289">
      <c r="A289" s="15">
        <f t="shared" si="3"/>
        <v>288</v>
      </c>
      <c r="B289" s="15" t="s">
        <v>135</v>
      </c>
      <c r="C289" s="15" t="s">
        <v>19</v>
      </c>
      <c r="D289" s="120">
        <v>0.0</v>
      </c>
      <c r="E289" s="15" t="s">
        <v>2087</v>
      </c>
      <c r="F289" s="121">
        <v>4.0</v>
      </c>
      <c r="G289" s="121">
        <v>11.0</v>
      </c>
      <c r="H289" s="122">
        <f>2/(17*2)</f>
        <v>0.05882352941</v>
      </c>
      <c r="I289" s="42"/>
      <c r="J289" s="42"/>
      <c r="K289" s="42"/>
      <c r="L289" s="42" t="s">
        <v>121</v>
      </c>
      <c r="M289" s="42" t="s">
        <v>598</v>
      </c>
      <c r="N289" s="42" t="s">
        <v>29</v>
      </c>
      <c r="O289" s="15" t="s">
        <v>24</v>
      </c>
      <c r="P289" s="16">
        <v>-2.5</v>
      </c>
      <c r="Q289" s="16">
        <v>0.25</v>
      </c>
      <c r="R289" s="16">
        <v>0.25</v>
      </c>
      <c r="S289" s="17">
        <v>45557.0</v>
      </c>
      <c r="T289" s="18">
        <v>1.75</v>
      </c>
      <c r="U289" s="15" t="s">
        <v>33</v>
      </c>
      <c r="V289" s="19">
        <f t="shared" si="1"/>
        <v>0.1875</v>
      </c>
      <c r="W289" s="19">
        <f t="shared" si="4"/>
        <v>0.7817767603</v>
      </c>
    </row>
    <row r="290">
      <c r="A290" s="8">
        <f t="shared" si="3"/>
        <v>289</v>
      </c>
      <c r="B290" s="8" t="s">
        <v>137</v>
      </c>
      <c r="C290" s="8" t="s">
        <v>19</v>
      </c>
      <c r="D290" s="8">
        <v>55.0</v>
      </c>
      <c r="E290" s="8" t="s">
        <v>2088</v>
      </c>
      <c r="F290" s="8">
        <v>12.0</v>
      </c>
      <c r="G290" s="8">
        <v>20.0</v>
      </c>
      <c r="H290" s="109">
        <f>3/(19*2)</f>
        <v>0.07894736842</v>
      </c>
      <c r="I290" s="8" t="s">
        <v>1473</v>
      </c>
      <c r="J290" s="8" t="s">
        <v>1480</v>
      </c>
      <c r="K290" s="8">
        <v>-1.0</v>
      </c>
      <c r="L290" s="8" t="s">
        <v>121</v>
      </c>
      <c r="M290" s="8" t="s">
        <v>22</v>
      </c>
      <c r="N290" s="8" t="s">
        <v>892</v>
      </c>
      <c r="O290" s="8" t="s">
        <v>24</v>
      </c>
      <c r="P290" s="9">
        <v>0.0</v>
      </c>
      <c r="Q290" s="9">
        <v>0.5</v>
      </c>
      <c r="R290" s="9">
        <v>0.5</v>
      </c>
      <c r="S290" s="10">
        <v>45557.0</v>
      </c>
      <c r="T290" s="11">
        <v>1.9</v>
      </c>
      <c r="U290" s="8" t="s">
        <v>33</v>
      </c>
      <c r="V290" s="12">
        <f t="shared" si="1"/>
        <v>0.45</v>
      </c>
      <c r="W290" s="12">
        <f t="shared" si="4"/>
        <v>1.23177676</v>
      </c>
    </row>
    <row r="291">
      <c r="A291" s="15">
        <f t="shared" si="3"/>
        <v>290</v>
      </c>
      <c r="B291" s="15" t="s">
        <v>137</v>
      </c>
      <c r="C291" s="15" t="s">
        <v>19</v>
      </c>
      <c r="D291" s="15">
        <v>53.0</v>
      </c>
      <c r="E291" s="15" t="s">
        <v>2089</v>
      </c>
      <c r="F291" s="15">
        <v>12.0</v>
      </c>
      <c r="G291" s="15">
        <v>9.0</v>
      </c>
      <c r="H291" s="112">
        <f>3/(15*2)</f>
        <v>0.1</v>
      </c>
      <c r="I291" s="15" t="s">
        <v>1479</v>
      </c>
      <c r="J291" s="15" t="s">
        <v>1480</v>
      </c>
      <c r="K291" s="15">
        <v>-1.0</v>
      </c>
      <c r="L291" s="15" t="s">
        <v>109</v>
      </c>
      <c r="M291" s="15" t="s">
        <v>22</v>
      </c>
      <c r="N291" s="15" t="s">
        <v>892</v>
      </c>
      <c r="O291" s="15" t="s">
        <v>24</v>
      </c>
      <c r="P291" s="16">
        <v>0.0</v>
      </c>
      <c r="Q291" s="16">
        <v>0.5</v>
      </c>
      <c r="R291" s="16">
        <v>0.4682</v>
      </c>
      <c r="S291" s="17">
        <v>45557.0</v>
      </c>
      <c r="T291" s="18">
        <v>1.725</v>
      </c>
      <c r="U291" s="15" t="s">
        <v>70</v>
      </c>
      <c r="V291" s="19">
        <f t="shared" si="1"/>
        <v>0</v>
      </c>
      <c r="W291" s="19">
        <f t="shared" si="4"/>
        <v>1.23177676</v>
      </c>
    </row>
    <row r="292">
      <c r="A292" s="8">
        <f t="shared" si="3"/>
        <v>291</v>
      </c>
      <c r="B292" s="8" t="s">
        <v>137</v>
      </c>
      <c r="C292" s="8" t="s">
        <v>19</v>
      </c>
      <c r="D292" s="8">
        <v>61.0</v>
      </c>
      <c r="E292" s="8" t="s">
        <v>2088</v>
      </c>
      <c r="F292" s="8">
        <v>12.0</v>
      </c>
      <c r="G292" s="8">
        <v>20.0</v>
      </c>
      <c r="H292" s="109">
        <f>3/(19*2)</f>
        <v>0.07894736842</v>
      </c>
      <c r="I292" s="8" t="s">
        <v>1473</v>
      </c>
      <c r="J292" s="8" t="s">
        <v>1480</v>
      </c>
      <c r="K292" s="8">
        <v>-1.0</v>
      </c>
      <c r="L292" s="8" t="s">
        <v>121</v>
      </c>
      <c r="M292" s="8" t="s">
        <v>22</v>
      </c>
      <c r="N292" s="8" t="s">
        <v>892</v>
      </c>
      <c r="O292" s="8" t="s">
        <v>24</v>
      </c>
      <c r="P292" s="9">
        <v>0.0</v>
      </c>
      <c r="Q292" s="9">
        <v>0.25</v>
      </c>
      <c r="R292" s="9">
        <v>0.25</v>
      </c>
      <c r="S292" s="10">
        <v>45557.0</v>
      </c>
      <c r="T292" s="11">
        <v>1.875</v>
      </c>
      <c r="U292" s="8" t="s">
        <v>33</v>
      </c>
      <c r="V292" s="12">
        <f t="shared" si="1"/>
        <v>0.21875</v>
      </c>
      <c r="W292" s="12">
        <f t="shared" si="4"/>
        <v>1.45052676</v>
      </c>
    </row>
    <row r="293">
      <c r="A293" s="15">
        <f t="shared" si="3"/>
        <v>292</v>
      </c>
      <c r="B293" s="15" t="s">
        <v>26</v>
      </c>
      <c r="C293" s="15" t="s">
        <v>19</v>
      </c>
      <c r="D293" s="15">
        <v>59.0</v>
      </c>
      <c r="E293" s="15" t="s">
        <v>2090</v>
      </c>
      <c r="F293" s="15">
        <v>1.0</v>
      </c>
      <c r="G293" s="15">
        <v>17.0</v>
      </c>
      <c r="H293" s="112">
        <f>2/(17*2)</f>
        <v>0.05882352941</v>
      </c>
      <c r="I293" s="15" t="s">
        <v>1473</v>
      </c>
      <c r="J293" s="15" t="s">
        <v>1474</v>
      </c>
      <c r="K293" s="15">
        <v>-1.0</v>
      </c>
      <c r="L293" s="15" t="s">
        <v>121</v>
      </c>
      <c r="M293" s="15" t="s">
        <v>22</v>
      </c>
      <c r="N293" s="15" t="s">
        <v>225</v>
      </c>
      <c r="O293" s="15" t="s">
        <v>24</v>
      </c>
      <c r="P293" s="16">
        <v>0.25</v>
      </c>
      <c r="Q293" s="16">
        <v>0.5</v>
      </c>
      <c r="R293" s="16">
        <v>0.5</v>
      </c>
      <c r="S293" s="17">
        <v>45557.0</v>
      </c>
      <c r="T293" s="18">
        <v>1.975</v>
      </c>
      <c r="U293" s="15" t="s">
        <v>30</v>
      </c>
      <c r="V293" s="19">
        <f t="shared" si="1"/>
        <v>0.24375</v>
      </c>
      <c r="W293" s="19">
        <f t="shared" si="4"/>
        <v>1.69427676</v>
      </c>
    </row>
    <row r="294">
      <c r="A294" s="8">
        <f t="shared" si="3"/>
        <v>293</v>
      </c>
      <c r="B294" s="8" t="s">
        <v>129</v>
      </c>
      <c r="C294" s="8" t="s">
        <v>19</v>
      </c>
      <c r="D294" s="8">
        <v>71.0</v>
      </c>
      <c r="E294" s="8" t="s">
        <v>2091</v>
      </c>
      <c r="F294" s="8">
        <v>6.0</v>
      </c>
      <c r="G294" s="8">
        <v>8.0</v>
      </c>
      <c r="H294" s="8"/>
      <c r="I294" s="8" t="s">
        <v>1479</v>
      </c>
      <c r="J294" s="8" t="s">
        <v>1480</v>
      </c>
      <c r="K294" s="8">
        <v>0.0</v>
      </c>
      <c r="L294" s="8" t="s">
        <v>48</v>
      </c>
      <c r="M294" s="8" t="s">
        <v>22</v>
      </c>
      <c r="N294" s="8" t="s">
        <v>892</v>
      </c>
      <c r="O294" s="8" t="s">
        <v>24</v>
      </c>
      <c r="P294" s="9">
        <v>0.0</v>
      </c>
      <c r="Q294" s="9">
        <v>0.75</v>
      </c>
      <c r="R294" s="9">
        <v>0.7318</v>
      </c>
      <c r="S294" s="10">
        <v>45557.0</v>
      </c>
      <c r="T294" s="11">
        <v>1.75</v>
      </c>
      <c r="U294" s="8" t="s">
        <v>70</v>
      </c>
      <c r="V294" s="12">
        <f t="shared" si="1"/>
        <v>0</v>
      </c>
      <c r="W294" s="12">
        <f t="shared" si="4"/>
        <v>1.69427676</v>
      </c>
    </row>
    <row r="295">
      <c r="A295" s="15">
        <f t="shared" si="3"/>
        <v>294</v>
      </c>
      <c r="B295" s="15" t="s">
        <v>135</v>
      </c>
      <c r="C295" s="15" t="s">
        <v>19</v>
      </c>
      <c r="D295" s="15">
        <v>0.0</v>
      </c>
      <c r="E295" s="15" t="s">
        <v>2092</v>
      </c>
      <c r="F295" s="15"/>
      <c r="G295" s="15"/>
      <c r="H295" s="15"/>
      <c r="I295" s="15"/>
      <c r="J295" s="15"/>
      <c r="K295" s="15"/>
      <c r="L295" s="15" t="s">
        <v>231</v>
      </c>
      <c r="M295" s="15" t="s">
        <v>22</v>
      </c>
      <c r="N295" s="15" t="s">
        <v>29</v>
      </c>
      <c r="O295" s="15" t="s">
        <v>24</v>
      </c>
      <c r="P295" s="16">
        <v>-2.25</v>
      </c>
      <c r="Q295" s="16">
        <v>0.3</v>
      </c>
      <c r="R295" s="16">
        <v>0.3</v>
      </c>
      <c r="S295" s="17">
        <v>45558.0</v>
      </c>
      <c r="T295" s="18">
        <v>1.725</v>
      </c>
      <c r="U295" s="15" t="s">
        <v>25</v>
      </c>
      <c r="V295" s="19">
        <f t="shared" si="1"/>
        <v>-0.3</v>
      </c>
      <c r="W295" s="19">
        <f t="shared" si="4"/>
        <v>1.39427676</v>
      </c>
    </row>
    <row r="296">
      <c r="A296" s="8">
        <f t="shared" si="3"/>
        <v>295</v>
      </c>
      <c r="B296" s="8" t="s">
        <v>26</v>
      </c>
      <c r="C296" s="8" t="s">
        <v>19</v>
      </c>
      <c r="D296" s="8">
        <v>40.0</v>
      </c>
      <c r="E296" s="8" t="s">
        <v>2093</v>
      </c>
      <c r="F296" s="8">
        <v>2.0</v>
      </c>
      <c r="G296" s="8">
        <v>16.0</v>
      </c>
      <c r="H296" s="109">
        <f>3/(17*2)</f>
        <v>0.08823529412</v>
      </c>
      <c r="I296" s="8" t="s">
        <v>1473</v>
      </c>
      <c r="J296" s="8" t="s">
        <v>1474</v>
      </c>
      <c r="K296" s="8">
        <v>-1.0</v>
      </c>
      <c r="L296" s="8" t="s">
        <v>231</v>
      </c>
      <c r="M296" s="8" t="s">
        <v>22</v>
      </c>
      <c r="N296" s="8" t="s">
        <v>225</v>
      </c>
      <c r="O296" s="8" t="s">
        <v>24</v>
      </c>
      <c r="P296" s="9">
        <v>0.25</v>
      </c>
      <c r="Q296" s="9">
        <v>0.5</v>
      </c>
      <c r="R296" s="9">
        <v>0.3915</v>
      </c>
      <c r="S296" s="10">
        <v>45558.0</v>
      </c>
      <c r="T296" s="11">
        <v>1.75</v>
      </c>
      <c r="U296" s="8" t="s">
        <v>30</v>
      </c>
      <c r="V296" s="12">
        <f t="shared" si="1"/>
        <v>0.1468125</v>
      </c>
      <c r="W296" s="12">
        <f t="shared" si="4"/>
        <v>1.54108926</v>
      </c>
    </row>
    <row r="297">
      <c r="A297" s="15">
        <f t="shared" si="3"/>
        <v>296</v>
      </c>
      <c r="B297" s="15" t="s">
        <v>135</v>
      </c>
      <c r="C297" s="15" t="s">
        <v>19</v>
      </c>
      <c r="D297" s="15">
        <v>0.0</v>
      </c>
      <c r="E297" s="15" t="s">
        <v>2094</v>
      </c>
      <c r="F297" s="15">
        <v>1.0</v>
      </c>
      <c r="G297" s="15">
        <v>8.0</v>
      </c>
      <c r="H297" s="112"/>
      <c r="I297" s="15"/>
      <c r="J297" s="15"/>
      <c r="K297" s="15"/>
      <c r="L297" s="15" t="s">
        <v>920</v>
      </c>
      <c r="M297" s="15" t="s">
        <v>22</v>
      </c>
      <c r="N297" s="15" t="s">
        <v>29</v>
      </c>
      <c r="O297" s="37" t="s">
        <v>39</v>
      </c>
      <c r="P297" s="16">
        <v>-4.25</v>
      </c>
      <c r="Q297" s="16">
        <v>0.25</v>
      </c>
      <c r="R297" s="16">
        <v>0.25</v>
      </c>
      <c r="S297" s="17">
        <v>45558.0</v>
      </c>
      <c r="T297" s="18">
        <v>1.8</v>
      </c>
      <c r="U297" s="15" t="s">
        <v>25</v>
      </c>
      <c r="V297" s="19">
        <f t="shared" si="1"/>
        <v>-0.25</v>
      </c>
      <c r="W297" s="19">
        <f t="shared" si="4"/>
        <v>1.29108926</v>
      </c>
    </row>
    <row r="298">
      <c r="A298" s="8">
        <f t="shared" si="3"/>
        <v>297</v>
      </c>
      <c r="B298" s="8" t="s">
        <v>135</v>
      </c>
      <c r="C298" s="8" t="s">
        <v>19</v>
      </c>
      <c r="D298" s="8">
        <v>0.0</v>
      </c>
      <c r="E298" s="8" t="s">
        <v>2095</v>
      </c>
      <c r="F298" s="8"/>
      <c r="G298" s="8"/>
      <c r="H298" s="8"/>
      <c r="I298" s="8"/>
      <c r="J298" s="8"/>
      <c r="K298" s="8"/>
      <c r="L298" s="8" t="s">
        <v>78</v>
      </c>
      <c r="M298" s="8" t="s">
        <v>22</v>
      </c>
      <c r="N298" s="8" t="s">
        <v>29</v>
      </c>
      <c r="O298" s="32" t="s">
        <v>39</v>
      </c>
      <c r="P298" s="9">
        <v>-2.0</v>
      </c>
      <c r="Q298" s="9">
        <v>0.3</v>
      </c>
      <c r="R298" s="9">
        <v>0.3</v>
      </c>
      <c r="S298" s="10">
        <v>45558.0</v>
      </c>
      <c r="T298" s="11">
        <v>1.85</v>
      </c>
      <c r="U298" s="8" t="s">
        <v>70</v>
      </c>
      <c r="V298" s="12">
        <f t="shared" si="1"/>
        <v>0</v>
      </c>
      <c r="W298" s="12">
        <f t="shared" si="4"/>
        <v>1.29108926</v>
      </c>
    </row>
    <row r="299">
      <c r="A299" s="15">
        <f t="shared" si="3"/>
        <v>298</v>
      </c>
      <c r="B299" s="15" t="s">
        <v>35</v>
      </c>
      <c r="C299" s="15" t="s">
        <v>19</v>
      </c>
      <c r="D299" s="15">
        <v>70.0</v>
      </c>
      <c r="E299" s="15" t="s">
        <v>2096</v>
      </c>
      <c r="F299" s="15"/>
      <c r="G299" s="15"/>
      <c r="H299" s="15"/>
      <c r="I299" s="15" t="s">
        <v>1479</v>
      </c>
      <c r="J299" s="15" t="s">
        <v>1480</v>
      </c>
      <c r="K299" s="15">
        <v>0.0</v>
      </c>
      <c r="L299" s="15" t="s">
        <v>82</v>
      </c>
      <c r="M299" s="15" t="s">
        <v>22</v>
      </c>
      <c r="N299" s="15" t="s">
        <v>892</v>
      </c>
      <c r="O299" s="37" t="s">
        <v>24</v>
      </c>
      <c r="P299" s="16">
        <v>0.0</v>
      </c>
      <c r="Q299" s="16">
        <v>0.3</v>
      </c>
      <c r="R299" s="16">
        <v>0.3</v>
      </c>
      <c r="S299" s="17">
        <v>45558.0</v>
      </c>
      <c r="T299" s="18">
        <v>1.975</v>
      </c>
      <c r="U299" s="15" t="s">
        <v>70</v>
      </c>
      <c r="V299" s="19">
        <f t="shared" si="1"/>
        <v>0</v>
      </c>
      <c r="W299" s="19">
        <f t="shared" si="4"/>
        <v>1.29108926</v>
      </c>
    </row>
    <row r="300">
      <c r="A300" s="8">
        <f t="shared" si="3"/>
        <v>299</v>
      </c>
      <c r="B300" s="8" t="s">
        <v>137</v>
      </c>
      <c r="C300" s="8" t="s">
        <v>19</v>
      </c>
      <c r="D300" s="8">
        <v>20.0</v>
      </c>
      <c r="E300" s="8" t="s">
        <v>2097</v>
      </c>
      <c r="F300" s="8">
        <v>12.0</v>
      </c>
      <c r="G300" s="8">
        <v>4.0</v>
      </c>
      <c r="H300" s="8"/>
      <c r="I300" s="8" t="s">
        <v>1479</v>
      </c>
      <c r="J300" s="8" t="s">
        <v>1480</v>
      </c>
      <c r="K300" s="8">
        <v>0.0</v>
      </c>
      <c r="L300" s="8" t="s">
        <v>923</v>
      </c>
      <c r="M300" s="8" t="s">
        <v>22</v>
      </c>
      <c r="N300" s="8" t="s">
        <v>892</v>
      </c>
      <c r="O300" s="32" t="s">
        <v>24</v>
      </c>
      <c r="P300" s="9">
        <v>0.0</v>
      </c>
      <c r="Q300" s="9">
        <v>0.25</v>
      </c>
      <c r="R300" s="9">
        <v>0.25</v>
      </c>
      <c r="S300" s="10">
        <v>45559.0</v>
      </c>
      <c r="T300" s="11">
        <v>2.025</v>
      </c>
      <c r="U300" s="8" t="s">
        <v>25</v>
      </c>
      <c r="V300" s="12">
        <f t="shared" si="1"/>
        <v>-0.25</v>
      </c>
      <c r="W300" s="12">
        <f t="shared" si="4"/>
        <v>1.04108926</v>
      </c>
    </row>
    <row r="301">
      <c r="A301" s="15">
        <f t="shared" si="3"/>
        <v>300</v>
      </c>
      <c r="B301" s="15" t="s">
        <v>135</v>
      </c>
      <c r="C301" s="15" t="s">
        <v>19</v>
      </c>
      <c r="D301" s="15">
        <v>0.0</v>
      </c>
      <c r="E301" s="15" t="s">
        <v>2098</v>
      </c>
      <c r="F301" s="15">
        <v>3.0</v>
      </c>
      <c r="G301" s="15">
        <v>5.0</v>
      </c>
      <c r="H301" s="112">
        <f>2/(7*2)</f>
        <v>0.1428571429</v>
      </c>
      <c r="I301" s="15"/>
      <c r="J301" s="15"/>
      <c r="K301" s="15"/>
      <c r="L301" s="15" t="s">
        <v>913</v>
      </c>
      <c r="M301" s="15" t="s">
        <v>598</v>
      </c>
      <c r="N301" s="15" t="s">
        <v>29</v>
      </c>
      <c r="O301" s="37" t="s">
        <v>24</v>
      </c>
      <c r="P301" s="16">
        <v>-3.5</v>
      </c>
      <c r="Q301" s="16">
        <v>0.3</v>
      </c>
      <c r="R301" s="16">
        <v>0.3</v>
      </c>
      <c r="S301" s="17">
        <v>45559.0</v>
      </c>
      <c r="T301" s="18">
        <v>1.8</v>
      </c>
      <c r="U301" s="15" t="s">
        <v>33</v>
      </c>
      <c r="V301" s="19">
        <f t="shared" si="1"/>
        <v>0.24</v>
      </c>
      <c r="W301" s="19">
        <f t="shared" si="4"/>
        <v>1.28108926</v>
      </c>
    </row>
    <row r="302">
      <c r="A302" s="8">
        <f t="shared" si="3"/>
        <v>301</v>
      </c>
      <c r="B302" s="8" t="s">
        <v>135</v>
      </c>
      <c r="C302" s="8" t="s">
        <v>19</v>
      </c>
      <c r="D302" s="8">
        <v>0.0</v>
      </c>
      <c r="E302" s="8" t="s">
        <v>2099</v>
      </c>
      <c r="F302" s="8">
        <v>12.0</v>
      </c>
      <c r="G302" s="8">
        <v>14.0</v>
      </c>
      <c r="H302" s="109">
        <f>2/(15*2)</f>
        <v>0.06666666667</v>
      </c>
      <c r="I302" s="8"/>
      <c r="J302" s="8"/>
      <c r="K302" s="8"/>
      <c r="L302" s="8" t="s">
        <v>1031</v>
      </c>
      <c r="M302" s="8" t="s">
        <v>598</v>
      </c>
      <c r="N302" s="8" t="s">
        <v>29</v>
      </c>
      <c r="O302" s="32" t="s">
        <v>24</v>
      </c>
      <c r="P302" s="9">
        <v>-2.25</v>
      </c>
      <c r="Q302" s="9">
        <v>0.25</v>
      </c>
      <c r="R302" s="9">
        <v>0.25</v>
      </c>
      <c r="S302" s="10">
        <v>45559.0</v>
      </c>
      <c r="T302" s="11">
        <v>1.975</v>
      </c>
      <c r="U302" s="8" t="s">
        <v>30</v>
      </c>
      <c r="V302" s="12">
        <f t="shared" si="1"/>
        <v>0.121875</v>
      </c>
      <c r="W302" s="12">
        <f t="shared" si="4"/>
        <v>1.40296426</v>
      </c>
    </row>
    <row r="303">
      <c r="A303" s="15">
        <f t="shared" si="3"/>
        <v>302</v>
      </c>
      <c r="B303" s="15" t="s">
        <v>18</v>
      </c>
      <c r="C303" s="15" t="s">
        <v>19</v>
      </c>
      <c r="D303" s="15">
        <v>75.0</v>
      </c>
      <c r="E303" s="15" t="s">
        <v>2100</v>
      </c>
      <c r="F303" s="15"/>
      <c r="G303" s="15"/>
      <c r="H303" s="15"/>
      <c r="I303" s="15" t="s">
        <v>1473</v>
      </c>
      <c r="J303" s="15" t="s">
        <v>1480</v>
      </c>
      <c r="K303" s="15">
        <v>0.0</v>
      </c>
      <c r="L303" s="15" t="s">
        <v>78</v>
      </c>
      <c r="M303" s="15" t="s">
        <v>22</v>
      </c>
      <c r="N303" s="15" t="s">
        <v>892</v>
      </c>
      <c r="O303" s="37" t="s">
        <v>24</v>
      </c>
      <c r="P303" s="16">
        <v>0.0</v>
      </c>
      <c r="Q303" s="16">
        <v>0.5</v>
      </c>
      <c r="R303" s="16">
        <v>0.5</v>
      </c>
      <c r="S303" s="17">
        <v>45559.0</v>
      </c>
      <c r="T303" s="18">
        <v>1.8</v>
      </c>
      <c r="U303" s="15" t="s">
        <v>70</v>
      </c>
      <c r="V303" s="19">
        <f t="shared" si="1"/>
        <v>0</v>
      </c>
      <c r="W303" s="19">
        <f t="shared" si="4"/>
        <v>1.40296426</v>
      </c>
    </row>
    <row r="304">
      <c r="A304" s="8">
        <f t="shared" si="3"/>
        <v>303</v>
      </c>
      <c r="B304" s="8" t="s">
        <v>135</v>
      </c>
      <c r="C304" s="8" t="s">
        <v>19</v>
      </c>
      <c r="D304" s="8">
        <v>0.0</v>
      </c>
      <c r="E304" s="8" t="s">
        <v>2101</v>
      </c>
      <c r="F304" s="8">
        <v>17.0</v>
      </c>
      <c r="G304" s="8">
        <v>2.0</v>
      </c>
      <c r="H304" s="109">
        <f>7/(21*2)</f>
        <v>0.1666666667</v>
      </c>
      <c r="I304" s="8"/>
      <c r="J304" s="8"/>
      <c r="K304" s="8"/>
      <c r="L304" s="8" t="s">
        <v>38</v>
      </c>
      <c r="M304" s="8" t="s">
        <v>598</v>
      </c>
      <c r="N304" s="8" t="s">
        <v>29</v>
      </c>
      <c r="O304" s="32" t="s">
        <v>24</v>
      </c>
      <c r="P304" s="9">
        <v>-3.0</v>
      </c>
      <c r="Q304" s="9">
        <v>0.3</v>
      </c>
      <c r="R304" s="9">
        <v>0.2304</v>
      </c>
      <c r="S304" s="10">
        <v>45559.0</v>
      </c>
      <c r="T304" s="11">
        <v>1.95</v>
      </c>
      <c r="U304" s="8" t="s">
        <v>25</v>
      </c>
      <c r="V304" s="12">
        <f t="shared" si="1"/>
        <v>-0.2304</v>
      </c>
      <c r="W304" s="12">
        <f t="shared" si="4"/>
        <v>1.17256426</v>
      </c>
    </row>
    <row r="305">
      <c r="A305" s="15">
        <f t="shared" si="3"/>
        <v>304</v>
      </c>
      <c r="B305" s="15" t="s">
        <v>131</v>
      </c>
      <c r="C305" s="15" t="s">
        <v>19</v>
      </c>
      <c r="D305" s="15">
        <v>45.0</v>
      </c>
      <c r="E305" s="15" t="s">
        <v>2102</v>
      </c>
      <c r="F305" s="15">
        <v>8.0</v>
      </c>
      <c r="G305" s="15">
        <v>11.0</v>
      </c>
      <c r="H305" s="112">
        <f>7/(11*2)</f>
        <v>0.3181818182</v>
      </c>
      <c r="I305" s="15" t="s">
        <v>1473</v>
      </c>
      <c r="J305" s="15" t="s">
        <v>1474</v>
      </c>
      <c r="K305" s="15">
        <v>-1.0</v>
      </c>
      <c r="L305" s="15" t="s">
        <v>169</v>
      </c>
      <c r="M305" s="15" t="s">
        <v>22</v>
      </c>
      <c r="N305" s="15" t="s">
        <v>225</v>
      </c>
      <c r="O305" s="37" t="s">
        <v>24</v>
      </c>
      <c r="P305" s="16">
        <v>1.25</v>
      </c>
      <c r="Q305" s="16">
        <v>0.25</v>
      </c>
      <c r="R305" s="16">
        <v>0.1339</v>
      </c>
      <c r="S305" s="17">
        <v>45559.0</v>
      </c>
      <c r="T305" s="18">
        <v>1.7</v>
      </c>
      <c r="U305" s="15" t="s">
        <v>30</v>
      </c>
      <c r="V305" s="19">
        <f t="shared" si="1"/>
        <v>0.046865</v>
      </c>
      <c r="W305" s="19">
        <f t="shared" si="4"/>
        <v>1.21942926</v>
      </c>
    </row>
    <row r="306">
      <c r="A306" s="8">
        <f t="shared" si="3"/>
        <v>305</v>
      </c>
      <c r="B306" s="8" t="s">
        <v>18</v>
      </c>
      <c r="C306" s="8" t="s">
        <v>19</v>
      </c>
      <c r="D306" s="8">
        <v>60.0</v>
      </c>
      <c r="E306" s="8" t="s">
        <v>2103</v>
      </c>
      <c r="F306" s="8">
        <v>13.0</v>
      </c>
      <c r="G306" s="8">
        <v>20.0</v>
      </c>
      <c r="H306" s="109">
        <f>8/(21*2)</f>
        <v>0.1904761905</v>
      </c>
      <c r="I306" s="8" t="s">
        <v>1479</v>
      </c>
      <c r="J306" s="8" t="s">
        <v>1477</v>
      </c>
      <c r="K306" s="8">
        <v>0.0</v>
      </c>
      <c r="L306" s="8" t="s">
        <v>38</v>
      </c>
      <c r="M306" s="8" t="s">
        <v>22</v>
      </c>
      <c r="N306" s="8" t="s">
        <v>894</v>
      </c>
      <c r="O306" s="32" t="s">
        <v>24</v>
      </c>
      <c r="P306" s="9">
        <v>-0.25</v>
      </c>
      <c r="Q306" s="9">
        <v>0.75</v>
      </c>
      <c r="R306" s="9">
        <v>0.5</v>
      </c>
      <c r="S306" s="10">
        <v>45559.0</v>
      </c>
      <c r="T306" s="11">
        <v>1.725</v>
      </c>
      <c r="U306" s="8" t="s">
        <v>79</v>
      </c>
      <c r="V306" s="12">
        <f t="shared" si="1"/>
        <v>-0.25</v>
      </c>
      <c r="W306" s="12">
        <f t="shared" si="4"/>
        <v>0.9694292603</v>
      </c>
    </row>
    <row r="307">
      <c r="A307" s="15">
        <f t="shared" si="3"/>
        <v>306</v>
      </c>
      <c r="B307" s="15" t="s">
        <v>129</v>
      </c>
      <c r="C307" s="15" t="s">
        <v>19</v>
      </c>
      <c r="D307" s="15">
        <v>84.0</v>
      </c>
      <c r="E307" s="15" t="s">
        <v>2104</v>
      </c>
      <c r="F307" s="15">
        <v>1.0</v>
      </c>
      <c r="G307" s="15">
        <v>2.0</v>
      </c>
      <c r="H307" s="112">
        <f>5/(4*2)</f>
        <v>0.625</v>
      </c>
      <c r="I307" s="15" t="s">
        <v>1479</v>
      </c>
      <c r="J307" s="15" t="s">
        <v>1480</v>
      </c>
      <c r="K307" s="15">
        <v>0.0</v>
      </c>
      <c r="L307" s="15" t="s">
        <v>82</v>
      </c>
      <c r="M307" s="15" t="s">
        <v>22</v>
      </c>
      <c r="N307" s="15" t="s">
        <v>892</v>
      </c>
      <c r="O307" s="37" t="s">
        <v>24</v>
      </c>
      <c r="P307" s="16">
        <v>0.0</v>
      </c>
      <c r="Q307" s="16">
        <v>0.5</v>
      </c>
      <c r="R307" s="16">
        <v>0.4598</v>
      </c>
      <c r="S307" s="17">
        <v>45559.0</v>
      </c>
      <c r="T307" s="18">
        <v>1.75</v>
      </c>
      <c r="U307" s="15" t="s">
        <v>25</v>
      </c>
      <c r="V307" s="19">
        <f t="shared" si="1"/>
        <v>-0.4598</v>
      </c>
      <c r="W307" s="19">
        <f t="shared" si="4"/>
        <v>0.5096292603</v>
      </c>
    </row>
    <row r="308">
      <c r="A308" s="8">
        <f t="shared" si="3"/>
        <v>307</v>
      </c>
      <c r="B308" s="8" t="s">
        <v>135</v>
      </c>
      <c r="C308" s="8" t="s">
        <v>19</v>
      </c>
      <c r="D308" s="8"/>
      <c r="E308" s="8" t="s">
        <v>2105</v>
      </c>
      <c r="F308" s="8"/>
      <c r="G308" s="8"/>
      <c r="H308" s="8"/>
      <c r="I308" s="8"/>
      <c r="J308" s="8"/>
      <c r="K308" s="8"/>
      <c r="L308" s="8" t="s">
        <v>826</v>
      </c>
      <c r="M308" s="8" t="s">
        <v>22</v>
      </c>
      <c r="N308" s="8" t="s">
        <v>29</v>
      </c>
      <c r="O308" s="32" t="s">
        <v>24</v>
      </c>
      <c r="P308" s="9">
        <v>-3.0</v>
      </c>
      <c r="Q308" s="9">
        <v>0.3</v>
      </c>
      <c r="R308" s="9">
        <v>0.3</v>
      </c>
      <c r="S308" s="10">
        <v>45559.0</v>
      </c>
      <c r="T308" s="11">
        <v>1.8</v>
      </c>
      <c r="U308" s="8" t="s">
        <v>25</v>
      </c>
      <c r="V308" s="12">
        <f t="shared" si="1"/>
        <v>-0.3</v>
      </c>
      <c r="W308" s="12">
        <f t="shared" si="4"/>
        <v>0.2096292603</v>
      </c>
    </row>
    <row r="309">
      <c r="A309" s="15">
        <f t="shared" si="3"/>
        <v>308</v>
      </c>
      <c r="B309" s="15" t="s">
        <v>26</v>
      </c>
      <c r="C309" s="15" t="s">
        <v>19</v>
      </c>
      <c r="D309" s="15">
        <v>60.0</v>
      </c>
      <c r="E309" s="15" t="s">
        <v>2106</v>
      </c>
      <c r="F309" s="15"/>
      <c r="G309" s="15"/>
      <c r="H309" s="15"/>
      <c r="I309" s="15" t="s">
        <v>1473</v>
      </c>
      <c r="J309" s="15" t="s">
        <v>1480</v>
      </c>
      <c r="K309" s="15">
        <v>0.0</v>
      </c>
      <c r="L309" s="15" t="s">
        <v>229</v>
      </c>
      <c r="M309" s="15" t="s">
        <v>22</v>
      </c>
      <c r="N309" s="15" t="s">
        <v>892</v>
      </c>
      <c r="O309" s="37" t="s">
        <v>24</v>
      </c>
      <c r="P309" s="16">
        <v>0.0</v>
      </c>
      <c r="Q309" s="16">
        <v>0.5</v>
      </c>
      <c r="R309" s="16">
        <v>0.5</v>
      </c>
      <c r="S309" s="17">
        <v>45560.0</v>
      </c>
      <c r="T309" s="18">
        <v>1.825</v>
      </c>
      <c r="U309" s="15" t="s">
        <v>70</v>
      </c>
      <c r="V309" s="19">
        <f t="shared" si="1"/>
        <v>0</v>
      </c>
      <c r="W309" s="19">
        <f t="shared" si="4"/>
        <v>0.2096292603</v>
      </c>
    </row>
    <row r="310">
      <c r="A310" s="8">
        <f t="shared" si="3"/>
        <v>309</v>
      </c>
      <c r="B310" s="8" t="s">
        <v>26</v>
      </c>
      <c r="C310" s="8" t="s">
        <v>19</v>
      </c>
      <c r="D310" s="8">
        <v>81.0</v>
      </c>
      <c r="E310" s="8" t="s">
        <v>2107</v>
      </c>
      <c r="F310" s="8"/>
      <c r="G310" s="8"/>
      <c r="H310" s="8"/>
      <c r="I310" s="8" t="s">
        <v>1479</v>
      </c>
      <c r="J310" s="8" t="s">
        <v>1480</v>
      </c>
      <c r="K310" s="8">
        <v>0.0</v>
      </c>
      <c r="L310" s="8" t="s">
        <v>2108</v>
      </c>
      <c r="M310" s="8" t="s">
        <v>22</v>
      </c>
      <c r="N310" s="8" t="s">
        <v>892</v>
      </c>
      <c r="O310" s="32" t="s">
        <v>24</v>
      </c>
      <c r="P310" s="9">
        <v>0.0</v>
      </c>
      <c r="Q310" s="9">
        <v>0.25</v>
      </c>
      <c r="R310" s="9">
        <v>0.25</v>
      </c>
      <c r="S310" s="10">
        <v>45560.0</v>
      </c>
      <c r="T310" s="11">
        <v>2.0</v>
      </c>
      <c r="U310" s="8" t="s">
        <v>70</v>
      </c>
      <c r="V310" s="12">
        <f t="shared" si="1"/>
        <v>0</v>
      </c>
      <c r="W310" s="12">
        <f t="shared" si="4"/>
        <v>0.2096292603</v>
      </c>
    </row>
    <row r="311">
      <c r="A311" s="15">
        <f t="shared" si="3"/>
        <v>310</v>
      </c>
      <c r="B311" s="15" t="s">
        <v>26</v>
      </c>
      <c r="C311" s="15" t="s">
        <v>19</v>
      </c>
      <c r="D311" s="15">
        <v>0.0</v>
      </c>
      <c r="E311" s="15" t="s">
        <v>2109</v>
      </c>
      <c r="F311" s="15">
        <v>9.0</v>
      </c>
      <c r="G311" s="15">
        <v>4.0</v>
      </c>
      <c r="H311" s="112">
        <f>18/(15*2)</f>
        <v>0.6</v>
      </c>
      <c r="I311" s="15"/>
      <c r="J311" s="15"/>
      <c r="K311" s="15"/>
      <c r="L311" s="15" t="s">
        <v>1470</v>
      </c>
      <c r="M311" s="15" t="s">
        <v>598</v>
      </c>
      <c r="N311" s="15" t="s">
        <v>29</v>
      </c>
      <c r="O311" s="37" t="s">
        <v>24</v>
      </c>
      <c r="P311" s="16">
        <v>-2.25</v>
      </c>
      <c r="Q311" s="16">
        <v>0.5</v>
      </c>
      <c r="R311" s="16">
        <v>0.5</v>
      </c>
      <c r="S311" s="17">
        <v>45560.0</v>
      </c>
      <c r="T311" s="18">
        <v>1.7</v>
      </c>
      <c r="U311" s="15" t="s">
        <v>25</v>
      </c>
      <c r="V311" s="19">
        <f t="shared" si="1"/>
        <v>-0.5</v>
      </c>
      <c r="W311" s="19">
        <f t="shared" si="4"/>
        <v>-0.2903707397</v>
      </c>
    </row>
    <row r="312">
      <c r="A312" s="8">
        <f t="shared" si="3"/>
        <v>311</v>
      </c>
      <c r="B312" s="8" t="s">
        <v>18</v>
      </c>
      <c r="C312" s="8" t="s">
        <v>19</v>
      </c>
      <c r="D312" s="8">
        <v>55.0</v>
      </c>
      <c r="E312" s="8" t="s">
        <v>2110</v>
      </c>
      <c r="F312" s="8"/>
      <c r="G312" s="8"/>
      <c r="H312" s="8"/>
      <c r="I312" s="8" t="s">
        <v>1473</v>
      </c>
      <c r="J312" s="8" t="s">
        <v>1474</v>
      </c>
      <c r="K312" s="8">
        <v>-1.0</v>
      </c>
      <c r="L312" s="8" t="s">
        <v>2111</v>
      </c>
      <c r="M312" s="8" t="s">
        <v>22</v>
      </c>
      <c r="N312" s="8" t="s">
        <v>225</v>
      </c>
      <c r="O312" s="8" t="s">
        <v>1803</v>
      </c>
      <c r="P312" s="9">
        <v>0.75</v>
      </c>
      <c r="Q312" s="9">
        <v>0.25</v>
      </c>
      <c r="R312" s="9">
        <v>0.25</v>
      </c>
      <c r="S312" s="10">
        <v>45560.0</v>
      </c>
      <c r="T312" s="11">
        <v>2.0</v>
      </c>
      <c r="U312" s="8" t="s">
        <v>33</v>
      </c>
      <c r="V312" s="12">
        <f t="shared" si="1"/>
        <v>0.25</v>
      </c>
      <c r="W312" s="12">
        <f t="shared" si="4"/>
        <v>-0.04037073971</v>
      </c>
    </row>
    <row r="313">
      <c r="A313" s="15">
        <f t="shared" si="3"/>
        <v>312</v>
      </c>
      <c r="B313" s="15" t="s">
        <v>26</v>
      </c>
      <c r="C313" s="15" t="s">
        <v>19</v>
      </c>
      <c r="D313" s="15">
        <v>10.0</v>
      </c>
      <c r="E313" s="15" t="s">
        <v>2112</v>
      </c>
      <c r="F313" s="15"/>
      <c r="G313" s="15"/>
      <c r="H313" s="15"/>
      <c r="I313" s="15" t="s">
        <v>1473</v>
      </c>
      <c r="J313" s="15" t="s">
        <v>1474</v>
      </c>
      <c r="K313" s="15">
        <v>-1.0</v>
      </c>
      <c r="L313" s="15" t="s">
        <v>675</v>
      </c>
      <c r="M313" s="15" t="s">
        <v>22</v>
      </c>
      <c r="N313" s="15" t="s">
        <v>225</v>
      </c>
      <c r="O313" s="37" t="s">
        <v>24</v>
      </c>
      <c r="P313" s="16">
        <v>0.75</v>
      </c>
      <c r="Q313" s="16">
        <v>0.25</v>
      </c>
      <c r="R313" s="16">
        <v>0.25</v>
      </c>
      <c r="S313" s="17">
        <v>45560.0</v>
      </c>
      <c r="T313" s="18">
        <v>1.8</v>
      </c>
      <c r="U313" s="15" t="s">
        <v>33</v>
      </c>
      <c r="V313" s="19">
        <f t="shared" si="1"/>
        <v>0.2</v>
      </c>
      <c r="W313" s="19">
        <f t="shared" si="4"/>
        <v>0.1596292603</v>
      </c>
    </row>
    <row r="314">
      <c r="A314" s="8">
        <f t="shared" si="3"/>
        <v>313</v>
      </c>
      <c r="B314" s="8" t="s">
        <v>137</v>
      </c>
      <c r="C314" s="8" t="s">
        <v>19</v>
      </c>
      <c r="D314" s="8">
        <v>30.0</v>
      </c>
      <c r="E314" s="8" t="s">
        <v>2113</v>
      </c>
      <c r="F314" s="8"/>
      <c r="G314" s="8"/>
      <c r="H314" s="8"/>
      <c r="I314" s="8" t="s">
        <v>1479</v>
      </c>
      <c r="J314" s="8" t="s">
        <v>1474</v>
      </c>
      <c r="K314" s="8">
        <v>0.0</v>
      </c>
      <c r="L314" s="8" t="s">
        <v>448</v>
      </c>
      <c r="M314" s="8" t="s">
        <v>22</v>
      </c>
      <c r="N314" s="8" t="s">
        <v>225</v>
      </c>
      <c r="O314" s="32" t="s">
        <v>24</v>
      </c>
      <c r="P314" s="9">
        <v>0.75</v>
      </c>
      <c r="Q314" s="9">
        <v>1.0</v>
      </c>
      <c r="R314" s="9">
        <v>1.0</v>
      </c>
      <c r="S314" s="54">
        <v>45560.0</v>
      </c>
      <c r="T314" s="11">
        <v>1.302</v>
      </c>
      <c r="U314" s="8" t="s">
        <v>33</v>
      </c>
      <c r="V314" s="12">
        <f t="shared" si="1"/>
        <v>0.302</v>
      </c>
      <c r="W314" s="12">
        <f t="shared" si="4"/>
        <v>0.4616292603</v>
      </c>
    </row>
    <row r="315">
      <c r="A315" s="15">
        <f t="shared" si="3"/>
        <v>314</v>
      </c>
      <c r="B315" s="15" t="s">
        <v>26</v>
      </c>
      <c r="C315" s="15" t="s">
        <v>19</v>
      </c>
      <c r="D315" s="15">
        <v>65.0</v>
      </c>
      <c r="E315" s="15" t="s">
        <v>2114</v>
      </c>
      <c r="F315" s="15">
        <v>16.0</v>
      </c>
      <c r="G315" s="15">
        <v>3.0</v>
      </c>
      <c r="H315" s="112">
        <f>5/(19*2)</f>
        <v>0.1315789474</v>
      </c>
      <c r="I315" s="15" t="s">
        <v>1479</v>
      </c>
      <c r="J315" s="15" t="s">
        <v>1480</v>
      </c>
      <c r="K315" s="15">
        <v>-1.0</v>
      </c>
      <c r="L315" s="15" t="s">
        <v>229</v>
      </c>
      <c r="M315" s="15" t="s">
        <v>22</v>
      </c>
      <c r="N315" s="15" t="s">
        <v>892</v>
      </c>
      <c r="O315" s="15" t="s">
        <v>1851</v>
      </c>
      <c r="P315" s="16">
        <v>0.0</v>
      </c>
      <c r="Q315" s="16">
        <v>0.25</v>
      </c>
      <c r="R315" s="16">
        <v>0.25</v>
      </c>
      <c r="S315" s="55">
        <v>45560.0</v>
      </c>
      <c r="T315" s="18">
        <v>1.9</v>
      </c>
      <c r="U315" s="15" t="s">
        <v>25</v>
      </c>
      <c r="V315" s="19">
        <f t="shared" si="1"/>
        <v>-0.25</v>
      </c>
      <c r="W315" s="19">
        <f t="shared" si="4"/>
        <v>0.2116292603</v>
      </c>
    </row>
    <row r="316">
      <c r="A316" s="8">
        <f t="shared" si="3"/>
        <v>315</v>
      </c>
      <c r="B316" s="8" t="s">
        <v>26</v>
      </c>
      <c r="C316" s="8" t="s">
        <v>19</v>
      </c>
      <c r="D316" s="8">
        <v>60.0</v>
      </c>
      <c r="E316" s="8" t="s">
        <v>2115</v>
      </c>
      <c r="F316" s="8">
        <v>11.0</v>
      </c>
      <c r="G316" s="8">
        <v>6.0</v>
      </c>
      <c r="H316" s="109">
        <f>27/(17*2)</f>
        <v>0.7941176471</v>
      </c>
      <c r="I316" s="8" t="s">
        <v>1473</v>
      </c>
      <c r="J316" s="8" t="s">
        <v>1480</v>
      </c>
      <c r="K316" s="8">
        <v>-1.0</v>
      </c>
      <c r="L316" s="8" t="s">
        <v>2116</v>
      </c>
      <c r="M316" s="8" t="s">
        <v>22</v>
      </c>
      <c r="N316" s="8" t="s">
        <v>892</v>
      </c>
      <c r="O316" s="8" t="s">
        <v>24</v>
      </c>
      <c r="P316" s="9">
        <v>0.0</v>
      </c>
      <c r="Q316" s="9">
        <v>0.5</v>
      </c>
      <c r="R316" s="9">
        <v>0.5</v>
      </c>
      <c r="S316" s="54">
        <v>45560.0</v>
      </c>
      <c r="T316" s="11">
        <v>2.0</v>
      </c>
      <c r="U316" s="8" t="s">
        <v>70</v>
      </c>
      <c r="V316" s="12">
        <f t="shared" si="1"/>
        <v>0</v>
      </c>
      <c r="W316" s="12">
        <f t="shared" si="4"/>
        <v>0.2116292603</v>
      </c>
    </row>
    <row r="317">
      <c r="A317" s="15">
        <f t="shared" si="3"/>
        <v>316</v>
      </c>
      <c r="B317" s="15" t="s">
        <v>26</v>
      </c>
      <c r="C317" s="15" t="s">
        <v>19</v>
      </c>
      <c r="D317" s="15">
        <v>87.0</v>
      </c>
      <c r="E317" s="15" t="s">
        <v>2117</v>
      </c>
      <c r="F317" s="15">
        <v>16.0</v>
      </c>
      <c r="G317" s="15">
        <v>3.0</v>
      </c>
      <c r="H317" s="112">
        <f>5/(19*2)</f>
        <v>0.1315789474</v>
      </c>
      <c r="I317" s="15" t="s">
        <v>1473</v>
      </c>
      <c r="J317" s="15" t="s">
        <v>1480</v>
      </c>
      <c r="K317" s="15">
        <v>1.0</v>
      </c>
      <c r="L317" s="15" t="s">
        <v>229</v>
      </c>
      <c r="M317" s="15" t="s">
        <v>22</v>
      </c>
      <c r="N317" s="15" t="s">
        <v>892</v>
      </c>
      <c r="O317" s="15" t="s">
        <v>39</v>
      </c>
      <c r="P317" s="16">
        <v>0.0</v>
      </c>
      <c r="Q317" s="16">
        <v>0.25</v>
      </c>
      <c r="R317" s="16">
        <v>0.25</v>
      </c>
      <c r="S317" s="55">
        <v>45560.0</v>
      </c>
      <c r="T317" s="18">
        <v>1.875</v>
      </c>
      <c r="U317" s="15" t="s">
        <v>33</v>
      </c>
      <c r="V317" s="19">
        <f t="shared" si="1"/>
        <v>0.21875</v>
      </c>
      <c r="W317" s="19">
        <f t="shared" si="4"/>
        <v>0.4303792603</v>
      </c>
    </row>
    <row r="318">
      <c r="A318" s="8">
        <f t="shared" si="3"/>
        <v>317</v>
      </c>
      <c r="B318" s="8" t="s">
        <v>26</v>
      </c>
      <c r="C318" s="8" t="s">
        <v>19</v>
      </c>
      <c r="D318" s="8">
        <v>24.0</v>
      </c>
      <c r="E318" s="8" t="s">
        <v>2118</v>
      </c>
      <c r="F318" s="8"/>
      <c r="G318" s="8"/>
      <c r="H318" s="8"/>
      <c r="I318" s="8" t="s">
        <v>1479</v>
      </c>
      <c r="J318" s="8" t="s">
        <v>1474</v>
      </c>
      <c r="K318" s="8">
        <v>1.0</v>
      </c>
      <c r="L318" s="8" t="s">
        <v>513</v>
      </c>
      <c r="M318" s="8" t="s">
        <v>22</v>
      </c>
      <c r="N318" s="8" t="s">
        <v>225</v>
      </c>
      <c r="O318" s="8" t="s">
        <v>1803</v>
      </c>
      <c r="P318" s="9">
        <v>0.5</v>
      </c>
      <c r="Q318" s="9">
        <v>0.5</v>
      </c>
      <c r="R318" s="9">
        <v>0.5</v>
      </c>
      <c r="S318" s="10">
        <v>45560.0</v>
      </c>
      <c r="T318" s="11">
        <v>1.25</v>
      </c>
      <c r="U318" s="8" t="s">
        <v>33</v>
      </c>
      <c r="V318" s="12">
        <f t="shared" si="1"/>
        <v>0.125</v>
      </c>
      <c r="W318" s="12">
        <f t="shared" si="4"/>
        <v>0.5553792603</v>
      </c>
    </row>
    <row r="319">
      <c r="A319" s="15">
        <f t="shared" si="3"/>
        <v>318</v>
      </c>
      <c r="B319" s="15" t="s">
        <v>18</v>
      </c>
      <c r="C319" s="15" t="s">
        <v>19</v>
      </c>
      <c r="D319" s="15">
        <v>80.0</v>
      </c>
      <c r="E319" s="15" t="s">
        <v>2119</v>
      </c>
      <c r="F319" s="15"/>
      <c r="G319" s="15"/>
      <c r="H319" s="15"/>
      <c r="I319" s="15" t="s">
        <v>1479</v>
      </c>
      <c r="J319" s="15" t="s">
        <v>1474</v>
      </c>
      <c r="K319" s="15">
        <v>-2.0</v>
      </c>
      <c r="L319" s="15" t="s">
        <v>93</v>
      </c>
      <c r="M319" s="15" t="s">
        <v>22</v>
      </c>
      <c r="N319" s="15" t="s">
        <v>225</v>
      </c>
      <c r="O319" s="15" t="s">
        <v>24</v>
      </c>
      <c r="P319" s="16">
        <v>0.5</v>
      </c>
      <c r="Q319" s="16">
        <v>0.25</v>
      </c>
      <c r="R319" s="16">
        <v>0.2069</v>
      </c>
      <c r="S319" s="17">
        <v>45560.0</v>
      </c>
      <c r="T319" s="18">
        <v>1.725</v>
      </c>
      <c r="U319" s="15" t="s">
        <v>25</v>
      </c>
      <c r="V319" s="19">
        <f t="shared" si="1"/>
        <v>-0.2069</v>
      </c>
      <c r="W319" s="19">
        <f t="shared" si="4"/>
        <v>0.3484792603</v>
      </c>
    </row>
    <row r="320">
      <c r="A320" s="8">
        <f t="shared" si="3"/>
        <v>319</v>
      </c>
      <c r="B320" s="8" t="s">
        <v>137</v>
      </c>
      <c r="C320" s="8" t="s">
        <v>19</v>
      </c>
      <c r="D320" s="8">
        <v>30.0</v>
      </c>
      <c r="E320" s="8" t="s">
        <v>2120</v>
      </c>
      <c r="F320" s="8">
        <v>12.0</v>
      </c>
      <c r="G320" s="8">
        <v>7.0</v>
      </c>
      <c r="H320" s="8"/>
      <c r="I320" s="8" t="s">
        <v>1473</v>
      </c>
      <c r="J320" s="8" t="s">
        <v>1474</v>
      </c>
      <c r="K320" s="8">
        <v>0.0</v>
      </c>
      <c r="L320" s="8" t="s">
        <v>714</v>
      </c>
      <c r="M320" s="8" t="s">
        <v>22</v>
      </c>
      <c r="N320" s="8" t="s">
        <v>225</v>
      </c>
      <c r="O320" s="8" t="s">
        <v>24</v>
      </c>
      <c r="P320" s="9">
        <v>0.25</v>
      </c>
      <c r="Q320" s="9">
        <v>0.5</v>
      </c>
      <c r="R320" s="9">
        <v>0.5</v>
      </c>
      <c r="S320" s="10">
        <v>45560.0</v>
      </c>
      <c r="T320" s="11">
        <f>(1.8+1.581)/2</f>
        <v>1.6905</v>
      </c>
      <c r="U320" s="8" t="s">
        <v>33</v>
      </c>
      <c r="V320" s="12">
        <f t="shared" si="1"/>
        <v>0.34525</v>
      </c>
      <c r="W320" s="12">
        <f t="shared" si="4"/>
        <v>0.6937292603</v>
      </c>
    </row>
    <row r="321">
      <c r="A321" s="15">
        <f t="shared" si="3"/>
        <v>320</v>
      </c>
      <c r="B321" s="15" t="s">
        <v>26</v>
      </c>
      <c r="C321" s="15" t="s">
        <v>19</v>
      </c>
      <c r="D321" s="15">
        <v>70.0</v>
      </c>
      <c r="E321" s="15" t="s">
        <v>2121</v>
      </c>
      <c r="F321" s="15">
        <v>2.0</v>
      </c>
      <c r="G321" s="15">
        <v>6.0</v>
      </c>
      <c r="H321" s="112">
        <f>24/(13*2)</f>
        <v>0.9230769231</v>
      </c>
      <c r="I321" s="15" t="s">
        <v>1479</v>
      </c>
      <c r="J321" s="15" t="s">
        <v>1480</v>
      </c>
      <c r="K321" s="15">
        <v>0.0</v>
      </c>
      <c r="L321" s="15" t="s">
        <v>372</v>
      </c>
      <c r="M321" s="15" t="s">
        <v>22</v>
      </c>
      <c r="N321" s="15" t="s">
        <v>892</v>
      </c>
      <c r="O321" s="15" t="s">
        <v>24</v>
      </c>
      <c r="P321" s="16">
        <v>0.0</v>
      </c>
      <c r="Q321" s="16">
        <v>0.25</v>
      </c>
      <c r="R321" s="16">
        <v>0.25</v>
      </c>
      <c r="S321" s="17">
        <v>45560.0</v>
      </c>
      <c r="T321" s="18">
        <v>1.7</v>
      </c>
      <c r="U321" s="15" t="s">
        <v>70</v>
      </c>
      <c r="V321" s="19">
        <f t="shared" si="1"/>
        <v>0</v>
      </c>
      <c r="W321" s="19">
        <f t="shared" si="4"/>
        <v>0.6937292603</v>
      </c>
    </row>
    <row r="322">
      <c r="A322" s="8">
        <f t="shared" si="3"/>
        <v>321</v>
      </c>
      <c r="B322" s="8" t="s">
        <v>35</v>
      </c>
      <c r="C322" s="8" t="s">
        <v>19</v>
      </c>
      <c r="D322" s="8">
        <v>61.0</v>
      </c>
      <c r="E322" s="8" t="s">
        <v>2122</v>
      </c>
      <c r="F322" s="8">
        <v>11.0</v>
      </c>
      <c r="G322" s="8">
        <v>12.0</v>
      </c>
      <c r="H322" s="109">
        <f>2/(15*2)</f>
        <v>0.06666666667</v>
      </c>
      <c r="I322" s="8" t="s">
        <v>1473</v>
      </c>
      <c r="J322" s="8" t="s">
        <v>1480</v>
      </c>
      <c r="K322" s="8">
        <v>-2.0</v>
      </c>
      <c r="L322" s="8" t="s">
        <v>1031</v>
      </c>
      <c r="M322" s="8" t="s">
        <v>22</v>
      </c>
      <c r="N322" s="8" t="s">
        <v>892</v>
      </c>
      <c r="O322" s="8" t="s">
        <v>24</v>
      </c>
      <c r="P322" s="9">
        <v>0.0</v>
      </c>
      <c r="Q322" s="9">
        <v>0.5</v>
      </c>
      <c r="R322" s="9">
        <v>0.25</v>
      </c>
      <c r="S322" s="10">
        <v>45561.0</v>
      </c>
      <c r="T322" s="11">
        <v>2.275</v>
      </c>
      <c r="U322" s="8" t="s">
        <v>33</v>
      </c>
      <c r="V322" s="12">
        <f t="shared" si="1"/>
        <v>0.31875</v>
      </c>
      <c r="W322" s="12">
        <f t="shared" si="4"/>
        <v>1.01247926</v>
      </c>
    </row>
    <row r="323">
      <c r="A323" s="15">
        <f t="shared" si="3"/>
        <v>322</v>
      </c>
      <c r="B323" s="15" t="s">
        <v>18</v>
      </c>
      <c r="C323" s="15" t="s">
        <v>19</v>
      </c>
      <c r="D323" s="15">
        <v>65.0</v>
      </c>
      <c r="E323" s="15" t="s">
        <v>2123</v>
      </c>
      <c r="F323" s="15">
        <v>12.0</v>
      </c>
      <c r="G323" s="15">
        <v>9.0</v>
      </c>
      <c r="H323" s="112">
        <f>6/(19*2)</f>
        <v>0.1578947368</v>
      </c>
      <c r="I323" s="15" t="s">
        <v>1473</v>
      </c>
      <c r="J323" s="15" t="s">
        <v>1480</v>
      </c>
      <c r="K323" s="15">
        <v>-1.0</v>
      </c>
      <c r="L323" s="15" t="s">
        <v>121</v>
      </c>
      <c r="M323" s="15" t="s">
        <v>22</v>
      </c>
      <c r="N323" s="15" t="s">
        <v>892</v>
      </c>
      <c r="O323" s="15" t="s">
        <v>1803</v>
      </c>
      <c r="P323" s="16">
        <v>0.0</v>
      </c>
      <c r="Q323" s="16">
        <v>0.5</v>
      </c>
      <c r="R323" s="16">
        <v>0.3417</v>
      </c>
      <c r="S323" s="17">
        <v>45561.0</v>
      </c>
      <c r="T323" s="18">
        <v>1.65</v>
      </c>
      <c r="U323" s="15" t="s">
        <v>33</v>
      </c>
      <c r="V323" s="19">
        <f t="shared" si="1"/>
        <v>0.222105</v>
      </c>
      <c r="W323" s="19">
        <f t="shared" si="4"/>
        <v>1.23458426</v>
      </c>
    </row>
    <row r="324">
      <c r="A324" s="8">
        <f t="shared" si="3"/>
        <v>323</v>
      </c>
      <c r="B324" s="8" t="s">
        <v>35</v>
      </c>
      <c r="C324" s="8" t="s">
        <v>19</v>
      </c>
      <c r="D324" s="8">
        <v>65.0</v>
      </c>
      <c r="E324" s="8" t="s">
        <v>2124</v>
      </c>
      <c r="F324" s="8">
        <v>3.0</v>
      </c>
      <c r="G324" s="8">
        <v>6.0</v>
      </c>
      <c r="H324" s="109">
        <f>3/(15*2)</f>
        <v>0.1</v>
      </c>
      <c r="I324" s="8" t="s">
        <v>1479</v>
      </c>
      <c r="J324" s="8" t="s">
        <v>1480</v>
      </c>
      <c r="K324" s="8">
        <v>-2.0</v>
      </c>
      <c r="L324" s="8" t="s">
        <v>853</v>
      </c>
      <c r="M324" s="8" t="s">
        <v>22</v>
      </c>
      <c r="N324" s="8" t="s">
        <v>892</v>
      </c>
      <c r="O324" s="8" t="s">
        <v>24</v>
      </c>
      <c r="P324" s="9">
        <v>0.0</v>
      </c>
      <c r="Q324" s="9">
        <v>0.25</v>
      </c>
      <c r="R324" s="9">
        <v>0.25</v>
      </c>
      <c r="S324" s="10">
        <v>45561.0</v>
      </c>
      <c r="T324" s="11">
        <v>2.1</v>
      </c>
      <c r="U324" s="8" t="s">
        <v>70</v>
      </c>
      <c r="V324" s="12">
        <f t="shared" si="1"/>
        <v>0</v>
      </c>
      <c r="W324" s="12">
        <f t="shared" si="4"/>
        <v>1.23458426</v>
      </c>
    </row>
    <row r="325">
      <c r="A325" s="15">
        <f t="shared" si="3"/>
        <v>324</v>
      </c>
      <c r="B325" s="15" t="s">
        <v>135</v>
      </c>
      <c r="C325" s="15" t="s">
        <v>19</v>
      </c>
      <c r="D325" s="15">
        <v>0.0</v>
      </c>
      <c r="E325" s="15" t="s">
        <v>2125</v>
      </c>
      <c r="F325" s="15">
        <v>17.0</v>
      </c>
      <c r="G325" s="15">
        <v>15.0</v>
      </c>
      <c r="H325" s="112">
        <f>4/(16*2)</f>
        <v>0.125</v>
      </c>
      <c r="I325" s="15"/>
      <c r="J325" s="15"/>
      <c r="K325" s="15"/>
      <c r="L325" s="15" t="s">
        <v>167</v>
      </c>
      <c r="M325" s="15" t="s">
        <v>598</v>
      </c>
      <c r="N325" s="15" t="s">
        <v>29</v>
      </c>
      <c r="O325" s="15" t="s">
        <v>24</v>
      </c>
      <c r="P325" s="15">
        <v>-2.75</v>
      </c>
      <c r="Q325" s="16">
        <v>0.25</v>
      </c>
      <c r="R325" s="16">
        <v>0.25</v>
      </c>
      <c r="S325" s="17">
        <v>45562.0</v>
      </c>
      <c r="T325" s="18">
        <v>1.46</v>
      </c>
      <c r="U325" s="15" t="s">
        <v>33</v>
      </c>
      <c r="V325" s="19">
        <f t="shared" si="1"/>
        <v>0.115</v>
      </c>
      <c r="W325" s="19">
        <f t="shared" si="4"/>
        <v>1.34958426</v>
      </c>
    </row>
    <row r="326">
      <c r="A326" s="8">
        <f t="shared" si="3"/>
        <v>325</v>
      </c>
      <c r="B326" s="8" t="s">
        <v>137</v>
      </c>
      <c r="C326" s="8" t="s">
        <v>19</v>
      </c>
      <c r="D326" s="8">
        <v>65.0</v>
      </c>
      <c r="E326" s="8" t="s">
        <v>2126</v>
      </c>
      <c r="F326" s="8">
        <v>4.0</v>
      </c>
      <c r="G326" s="8">
        <v>8.0</v>
      </c>
      <c r="H326" s="8"/>
      <c r="I326" s="8" t="s">
        <v>1479</v>
      </c>
      <c r="J326" s="8" t="s">
        <v>1477</v>
      </c>
      <c r="K326" s="8">
        <v>-1.0</v>
      </c>
      <c r="L326" s="8" t="s">
        <v>923</v>
      </c>
      <c r="M326" s="8" t="s">
        <v>22</v>
      </c>
      <c r="N326" s="8" t="s">
        <v>894</v>
      </c>
      <c r="O326" s="8" t="s">
        <v>24</v>
      </c>
      <c r="P326" s="8">
        <v>-0.25</v>
      </c>
      <c r="Q326" s="9">
        <v>0.25</v>
      </c>
      <c r="R326" s="9">
        <v>0.25</v>
      </c>
      <c r="S326" s="10">
        <v>45562.0</v>
      </c>
      <c r="T326" s="11">
        <v>2.05</v>
      </c>
      <c r="U326" s="8" t="s">
        <v>33</v>
      </c>
      <c r="V326" s="12">
        <f t="shared" si="1"/>
        <v>0.2625</v>
      </c>
      <c r="W326" s="12">
        <f t="shared" si="4"/>
        <v>1.61208426</v>
      </c>
    </row>
    <row r="327">
      <c r="A327" s="15">
        <f t="shared" si="3"/>
        <v>326</v>
      </c>
      <c r="B327" s="15" t="s">
        <v>135</v>
      </c>
      <c r="C327" s="15" t="s">
        <v>19</v>
      </c>
      <c r="D327" s="15">
        <v>0.0</v>
      </c>
      <c r="E327" s="15" t="s">
        <v>2127</v>
      </c>
      <c r="F327" s="15">
        <v>10.0</v>
      </c>
      <c r="G327" s="15">
        <v>1.0</v>
      </c>
      <c r="H327" s="112">
        <f t="shared" ref="H327:H329" si="19">4/(9*2)</f>
        <v>0.2222222222</v>
      </c>
      <c r="I327" s="15"/>
      <c r="J327" s="15"/>
      <c r="K327" s="15"/>
      <c r="L327" s="15" t="s">
        <v>583</v>
      </c>
      <c r="M327" s="15" t="s">
        <v>598</v>
      </c>
      <c r="N327" s="15" t="s">
        <v>29</v>
      </c>
      <c r="O327" s="15" t="s">
        <v>24</v>
      </c>
      <c r="P327" s="16">
        <v>-2.5</v>
      </c>
      <c r="Q327" s="16">
        <v>0.25</v>
      </c>
      <c r="R327" s="16">
        <v>0.25</v>
      </c>
      <c r="S327" s="17">
        <v>45562.0</v>
      </c>
      <c r="T327" s="18">
        <v>1.9</v>
      </c>
      <c r="U327" s="15" t="s">
        <v>25</v>
      </c>
      <c r="V327" s="19">
        <f t="shared" si="1"/>
        <v>-0.25</v>
      </c>
      <c r="W327" s="19">
        <f t="shared" si="4"/>
        <v>1.36208426</v>
      </c>
    </row>
    <row r="328">
      <c r="A328" s="8">
        <f t="shared" si="3"/>
        <v>327</v>
      </c>
      <c r="B328" s="8" t="s">
        <v>135</v>
      </c>
      <c r="C328" s="8" t="s">
        <v>19</v>
      </c>
      <c r="D328" s="8">
        <v>0.0</v>
      </c>
      <c r="E328" s="8" t="s">
        <v>2128</v>
      </c>
      <c r="F328" s="8">
        <v>6.0</v>
      </c>
      <c r="G328" s="8">
        <v>1.0</v>
      </c>
      <c r="H328" s="109">
        <f t="shared" si="19"/>
        <v>0.2222222222</v>
      </c>
      <c r="I328" s="8"/>
      <c r="J328" s="8"/>
      <c r="K328" s="8"/>
      <c r="L328" s="8" t="s">
        <v>583</v>
      </c>
      <c r="M328" s="8" t="s">
        <v>598</v>
      </c>
      <c r="N328" s="8" t="s">
        <v>29</v>
      </c>
      <c r="O328" s="8" t="s">
        <v>24</v>
      </c>
      <c r="P328" s="9">
        <v>-3.0</v>
      </c>
      <c r="Q328" s="9">
        <v>0.25</v>
      </c>
      <c r="R328" s="9">
        <v>0.25</v>
      </c>
      <c r="S328" s="10">
        <v>45562.0</v>
      </c>
      <c r="T328" s="11">
        <v>1.8</v>
      </c>
      <c r="U328" s="8" t="s">
        <v>33</v>
      </c>
      <c r="V328" s="12">
        <f t="shared" si="1"/>
        <v>0.2</v>
      </c>
      <c r="W328" s="12">
        <f t="shared" si="4"/>
        <v>1.56208426</v>
      </c>
    </row>
    <row r="329">
      <c r="A329" s="15">
        <f t="shared" si="3"/>
        <v>328</v>
      </c>
      <c r="B329" s="15" t="s">
        <v>135</v>
      </c>
      <c r="C329" s="15" t="s">
        <v>19</v>
      </c>
      <c r="D329" s="15">
        <v>0.0</v>
      </c>
      <c r="E329" s="15" t="s">
        <v>2129</v>
      </c>
      <c r="F329" s="15">
        <v>6.0</v>
      </c>
      <c r="G329" s="15">
        <v>1.0</v>
      </c>
      <c r="H329" s="112">
        <f t="shared" si="19"/>
        <v>0.2222222222</v>
      </c>
      <c r="I329" s="15"/>
      <c r="J329" s="15"/>
      <c r="K329" s="15"/>
      <c r="L329" s="15" t="s">
        <v>583</v>
      </c>
      <c r="M329" s="15" t="s">
        <v>598</v>
      </c>
      <c r="N329" s="15" t="s">
        <v>29</v>
      </c>
      <c r="O329" s="15" t="s">
        <v>24</v>
      </c>
      <c r="P329" s="16">
        <v>-3.25</v>
      </c>
      <c r="Q329" s="16">
        <v>0.25</v>
      </c>
      <c r="R329" s="16">
        <v>0.25</v>
      </c>
      <c r="S329" s="17">
        <v>45562.0</v>
      </c>
      <c r="T329" s="18">
        <v>1.8</v>
      </c>
      <c r="U329" s="15" t="s">
        <v>25</v>
      </c>
      <c r="V329" s="19">
        <f t="shared" si="1"/>
        <v>-0.25</v>
      </c>
      <c r="W329" s="19">
        <f t="shared" si="4"/>
        <v>1.31208426</v>
      </c>
    </row>
    <row r="330">
      <c r="A330" s="8">
        <f t="shared" si="3"/>
        <v>329</v>
      </c>
      <c r="B330" s="8" t="s">
        <v>18</v>
      </c>
      <c r="C330" s="8" t="s">
        <v>19</v>
      </c>
      <c r="D330" s="8">
        <v>67.0</v>
      </c>
      <c r="E330" s="8" t="s">
        <v>2130</v>
      </c>
      <c r="F330" s="8">
        <v>3.0</v>
      </c>
      <c r="G330" s="8">
        <v>11.0</v>
      </c>
      <c r="H330" s="109">
        <f>2/(15*2)</f>
        <v>0.06666666667</v>
      </c>
      <c r="I330" s="8" t="s">
        <v>1473</v>
      </c>
      <c r="J330" s="8" t="s">
        <v>1474</v>
      </c>
      <c r="K330" s="8">
        <v>-1.0</v>
      </c>
      <c r="L330" s="8" t="s">
        <v>1031</v>
      </c>
      <c r="M330" s="8" t="s">
        <v>22</v>
      </c>
      <c r="N330" s="8" t="s">
        <v>225</v>
      </c>
      <c r="O330" s="8" t="s">
        <v>24</v>
      </c>
      <c r="P330" s="9">
        <v>0.25</v>
      </c>
      <c r="Q330" s="9">
        <v>0.5</v>
      </c>
      <c r="R330" s="9">
        <v>0.5</v>
      </c>
      <c r="S330" s="10">
        <v>45562.0</v>
      </c>
      <c r="T330" s="8">
        <v>1.725</v>
      </c>
      <c r="U330" s="8" t="s">
        <v>30</v>
      </c>
      <c r="V330" s="12">
        <f t="shared" si="1"/>
        <v>0.18125</v>
      </c>
      <c r="W330" s="12">
        <f t="shared" si="4"/>
        <v>1.49333426</v>
      </c>
    </row>
    <row r="331">
      <c r="A331" s="15">
        <f t="shared" si="3"/>
        <v>330</v>
      </c>
      <c r="B331" s="15" t="s">
        <v>18</v>
      </c>
      <c r="C331" s="15" t="s">
        <v>19</v>
      </c>
      <c r="D331" s="15">
        <v>77.0</v>
      </c>
      <c r="E331" s="15" t="s">
        <v>2131</v>
      </c>
      <c r="F331" s="15"/>
      <c r="G331" s="15"/>
      <c r="H331" s="15"/>
      <c r="I331" s="15" t="s">
        <v>1479</v>
      </c>
      <c r="J331" s="15" t="s">
        <v>1480</v>
      </c>
      <c r="K331" s="15">
        <v>0.0</v>
      </c>
      <c r="L331" s="15" t="s">
        <v>189</v>
      </c>
      <c r="M331" s="15" t="s">
        <v>22</v>
      </c>
      <c r="N331" s="15" t="s">
        <v>892</v>
      </c>
      <c r="O331" s="15"/>
      <c r="P331" s="16">
        <v>0.0</v>
      </c>
      <c r="Q331" s="16">
        <v>0.25</v>
      </c>
      <c r="R331" s="16">
        <v>0.25</v>
      </c>
      <c r="S331" s="17">
        <v>45562.0</v>
      </c>
      <c r="T331" s="18">
        <v>2.075</v>
      </c>
      <c r="U331" s="15" t="s">
        <v>25</v>
      </c>
      <c r="V331" s="19">
        <f t="shared" si="1"/>
        <v>-0.25</v>
      </c>
      <c r="W331" s="19">
        <f t="shared" si="4"/>
        <v>1.24333426</v>
      </c>
    </row>
    <row r="332">
      <c r="A332" s="8">
        <f t="shared" si="3"/>
        <v>331</v>
      </c>
      <c r="B332" s="8" t="s">
        <v>135</v>
      </c>
      <c r="C332" s="8" t="s">
        <v>19</v>
      </c>
      <c r="D332" s="8">
        <v>0.0</v>
      </c>
      <c r="E332" s="8" t="s">
        <v>2132</v>
      </c>
      <c r="F332" s="8"/>
      <c r="G332" s="8"/>
      <c r="H332" s="8"/>
      <c r="I332" s="8"/>
      <c r="J332" s="8"/>
      <c r="K332" s="8"/>
      <c r="L332" s="8" t="s">
        <v>50</v>
      </c>
      <c r="M332" s="8" t="s">
        <v>598</v>
      </c>
      <c r="N332" s="8" t="s">
        <v>29</v>
      </c>
      <c r="O332" s="8"/>
      <c r="P332" s="9">
        <v>-2.5</v>
      </c>
      <c r="Q332" s="9">
        <v>0.25</v>
      </c>
      <c r="R332" s="9">
        <v>0.25</v>
      </c>
      <c r="S332" s="10">
        <v>45562.0</v>
      </c>
      <c r="T332" s="11">
        <v>1.775</v>
      </c>
      <c r="U332" s="8" t="s">
        <v>33</v>
      </c>
      <c r="V332" s="12">
        <f t="shared" si="1"/>
        <v>0.19375</v>
      </c>
      <c r="W332" s="12">
        <f t="shared" si="4"/>
        <v>1.43708426</v>
      </c>
    </row>
    <row r="333">
      <c r="A333" s="15">
        <f t="shared" si="3"/>
        <v>332</v>
      </c>
      <c r="B333" s="15" t="s">
        <v>135</v>
      </c>
      <c r="C333" s="15" t="s">
        <v>19</v>
      </c>
      <c r="D333" s="15">
        <v>0.0</v>
      </c>
      <c r="E333" s="15" t="s">
        <v>2133</v>
      </c>
      <c r="F333" s="15">
        <v>2.0</v>
      </c>
      <c r="G333" s="15">
        <v>7.0</v>
      </c>
      <c r="H333" s="112">
        <f>8/(11*2)</f>
        <v>0.3636363636</v>
      </c>
      <c r="I333" s="15"/>
      <c r="J333" s="15"/>
      <c r="K333" s="15"/>
      <c r="L333" s="15" t="s">
        <v>341</v>
      </c>
      <c r="M333" s="15" t="s">
        <v>598</v>
      </c>
      <c r="N333" s="15" t="s">
        <v>29</v>
      </c>
      <c r="O333" s="15"/>
      <c r="P333" s="16">
        <v>-2.0</v>
      </c>
      <c r="Q333" s="16">
        <v>0.25</v>
      </c>
      <c r="R333" s="16">
        <v>0.25</v>
      </c>
      <c r="S333" s="17">
        <v>45562.0</v>
      </c>
      <c r="T333" s="18">
        <v>2.0</v>
      </c>
      <c r="U333" s="15" t="s">
        <v>25</v>
      </c>
      <c r="V333" s="19">
        <f t="shared" si="1"/>
        <v>-0.25</v>
      </c>
      <c r="W333" s="19">
        <f t="shared" si="4"/>
        <v>1.18708426</v>
      </c>
    </row>
    <row r="334">
      <c r="A334" s="8">
        <f t="shared" si="3"/>
        <v>333</v>
      </c>
      <c r="B334" s="8" t="s">
        <v>18</v>
      </c>
      <c r="C334" s="8" t="s">
        <v>19</v>
      </c>
      <c r="D334" s="8"/>
      <c r="E334" s="8" t="s">
        <v>2134</v>
      </c>
      <c r="F334" s="8">
        <v>7.0</v>
      </c>
      <c r="G334" s="8">
        <v>8.0</v>
      </c>
      <c r="H334" s="109">
        <f>7/(15*2)</f>
        <v>0.2333333333</v>
      </c>
      <c r="I334" s="8"/>
      <c r="J334" s="8"/>
      <c r="K334" s="8"/>
      <c r="L334" s="8" t="s">
        <v>316</v>
      </c>
      <c r="M334" s="8" t="s">
        <v>22</v>
      </c>
      <c r="N334" s="8" t="s">
        <v>225</v>
      </c>
      <c r="O334" s="8"/>
      <c r="P334" s="9">
        <v>0.25</v>
      </c>
      <c r="Q334" s="9">
        <v>0.5</v>
      </c>
      <c r="R334" s="9">
        <v>0.5</v>
      </c>
      <c r="S334" s="10">
        <v>45562.0</v>
      </c>
      <c r="T334" s="11">
        <v>1.116</v>
      </c>
      <c r="U334" s="8" t="s">
        <v>33</v>
      </c>
      <c r="V334" s="12">
        <f t="shared" si="1"/>
        <v>0.058</v>
      </c>
      <c r="W334" s="12">
        <f t="shared" si="4"/>
        <v>1.24508426</v>
      </c>
    </row>
    <row r="335">
      <c r="A335" s="15">
        <f t="shared" si="3"/>
        <v>334</v>
      </c>
      <c r="B335" s="15" t="s">
        <v>26</v>
      </c>
      <c r="C335" s="15" t="s">
        <v>19</v>
      </c>
      <c r="D335" s="15"/>
      <c r="E335" s="15" t="s">
        <v>2135</v>
      </c>
      <c r="F335" s="15"/>
      <c r="G335" s="15"/>
      <c r="H335" s="15"/>
      <c r="I335" s="15"/>
      <c r="J335" s="15"/>
      <c r="K335" s="15"/>
      <c r="L335" s="15" t="s">
        <v>82</v>
      </c>
      <c r="M335" s="15" t="s">
        <v>22</v>
      </c>
      <c r="N335" s="15" t="s">
        <v>440</v>
      </c>
      <c r="O335" s="15"/>
      <c r="P335" s="16">
        <v>0.5</v>
      </c>
      <c r="Q335" s="16">
        <v>0.1</v>
      </c>
      <c r="R335" s="16">
        <v>0.1</v>
      </c>
      <c r="S335" s="17">
        <v>45562.0</v>
      </c>
      <c r="T335" s="18">
        <v>2.13</v>
      </c>
      <c r="U335" s="15" t="s">
        <v>25</v>
      </c>
      <c r="V335" s="19">
        <f t="shared" si="1"/>
        <v>-0.1</v>
      </c>
      <c r="W335" s="19">
        <f t="shared" si="4"/>
        <v>1.14508426</v>
      </c>
    </row>
    <row r="336">
      <c r="A336" s="8">
        <f t="shared" si="3"/>
        <v>335</v>
      </c>
      <c r="B336" s="8" t="s">
        <v>18</v>
      </c>
      <c r="C336" s="8" t="s">
        <v>19</v>
      </c>
      <c r="D336" s="8"/>
      <c r="E336" s="8" t="s">
        <v>2136</v>
      </c>
      <c r="F336" s="8">
        <v>7.0</v>
      </c>
      <c r="G336" s="8">
        <v>5.0</v>
      </c>
      <c r="H336" s="109">
        <f>8/(11*2)</f>
        <v>0.3636363636</v>
      </c>
      <c r="I336" s="8" t="s">
        <v>1473</v>
      </c>
      <c r="J336" s="8" t="s">
        <v>1474</v>
      </c>
      <c r="K336" s="8">
        <v>-1.0</v>
      </c>
      <c r="L336" s="8" t="s">
        <v>513</v>
      </c>
      <c r="M336" s="8" t="s">
        <v>22</v>
      </c>
      <c r="N336" s="8" t="s">
        <v>225</v>
      </c>
      <c r="O336" s="8"/>
      <c r="P336" s="8">
        <v>0.25</v>
      </c>
      <c r="Q336" s="9">
        <v>0.25</v>
      </c>
      <c r="R336" s="9">
        <v>0.25</v>
      </c>
      <c r="S336" s="10">
        <v>45563.0</v>
      </c>
      <c r="T336" s="11">
        <v>1.7</v>
      </c>
      <c r="U336" s="8" t="s">
        <v>30</v>
      </c>
      <c r="V336" s="12">
        <f t="shared" si="1"/>
        <v>0.0875</v>
      </c>
      <c r="W336" s="12">
        <f t="shared" si="4"/>
        <v>1.23258426</v>
      </c>
    </row>
    <row r="337">
      <c r="A337" s="15">
        <f t="shared" si="3"/>
        <v>336</v>
      </c>
      <c r="B337" s="15" t="s">
        <v>26</v>
      </c>
      <c r="C337" s="15" t="s">
        <v>19</v>
      </c>
      <c r="D337" s="15">
        <v>60.0</v>
      </c>
      <c r="E337" s="15" t="s">
        <v>2137</v>
      </c>
      <c r="F337" s="15"/>
      <c r="G337" s="15"/>
      <c r="H337" s="15"/>
      <c r="I337" s="15" t="s">
        <v>1479</v>
      </c>
      <c r="J337" s="15" t="s">
        <v>1480</v>
      </c>
      <c r="K337" s="15">
        <v>-2.0</v>
      </c>
      <c r="L337" s="15" t="s">
        <v>101</v>
      </c>
      <c r="M337" s="15" t="s">
        <v>22</v>
      </c>
      <c r="N337" s="15" t="s">
        <v>892</v>
      </c>
      <c r="O337" s="15"/>
      <c r="P337" s="16">
        <v>0.0</v>
      </c>
      <c r="Q337" s="16">
        <v>0.5</v>
      </c>
      <c r="R337" s="16">
        <v>0.3689</v>
      </c>
      <c r="S337" s="17">
        <v>45563.0</v>
      </c>
      <c r="T337" s="18">
        <v>1.825</v>
      </c>
      <c r="U337" s="15" t="s">
        <v>25</v>
      </c>
      <c r="V337" s="19">
        <f t="shared" si="1"/>
        <v>-0.3689</v>
      </c>
      <c r="W337" s="19">
        <f t="shared" si="4"/>
        <v>0.8636842603</v>
      </c>
    </row>
    <row r="338">
      <c r="A338" s="8">
        <f t="shared" si="3"/>
        <v>337</v>
      </c>
      <c r="B338" s="8" t="s">
        <v>26</v>
      </c>
      <c r="C338" s="8" t="s">
        <v>19</v>
      </c>
      <c r="D338" s="8">
        <v>78.0</v>
      </c>
      <c r="E338" s="8" t="s">
        <v>2138</v>
      </c>
      <c r="F338" s="8">
        <v>7.0</v>
      </c>
      <c r="G338" s="8">
        <v>9.0</v>
      </c>
      <c r="H338" s="109">
        <f>4/(13*2)</f>
        <v>0.1538461538</v>
      </c>
      <c r="I338" s="8" t="s">
        <v>1473</v>
      </c>
      <c r="J338" s="8" t="s">
        <v>1480</v>
      </c>
      <c r="K338" s="8">
        <v>0.0</v>
      </c>
      <c r="L338" s="8" t="s">
        <v>908</v>
      </c>
      <c r="M338" s="8" t="s">
        <v>22</v>
      </c>
      <c r="N338" s="8" t="s">
        <v>892</v>
      </c>
      <c r="O338" s="8"/>
      <c r="P338" s="9">
        <v>0.0</v>
      </c>
      <c r="Q338" s="9">
        <v>0.25</v>
      </c>
      <c r="R338" s="9">
        <v>0.25</v>
      </c>
      <c r="S338" s="10">
        <v>45563.0</v>
      </c>
      <c r="T338" s="11">
        <v>1.7</v>
      </c>
      <c r="U338" s="8" t="s">
        <v>33</v>
      </c>
      <c r="V338" s="12">
        <f t="shared" si="1"/>
        <v>0.175</v>
      </c>
      <c r="W338" s="12">
        <f t="shared" si="4"/>
        <v>1.03868426</v>
      </c>
    </row>
    <row r="339">
      <c r="A339" s="15">
        <f t="shared" si="3"/>
        <v>338</v>
      </c>
      <c r="B339" s="15" t="s">
        <v>131</v>
      </c>
      <c r="C339" s="15" t="s">
        <v>40</v>
      </c>
      <c r="D339" s="15">
        <v>54.0</v>
      </c>
      <c r="E339" s="15" t="s">
        <v>2139</v>
      </c>
      <c r="F339" s="15"/>
      <c r="G339" s="15"/>
      <c r="H339" s="15"/>
      <c r="I339" s="15" t="s">
        <v>1479</v>
      </c>
      <c r="J339" s="15" t="s">
        <v>1474</v>
      </c>
      <c r="K339" s="15">
        <v>0.0</v>
      </c>
      <c r="L339" s="15" t="s">
        <v>60</v>
      </c>
      <c r="M339" s="15" t="s">
        <v>22</v>
      </c>
      <c r="N339" s="15" t="s">
        <v>225</v>
      </c>
      <c r="O339" s="15"/>
      <c r="P339" s="16">
        <v>0.5</v>
      </c>
      <c r="Q339" s="16">
        <v>0.25</v>
      </c>
      <c r="R339" s="16">
        <v>0.25</v>
      </c>
      <c r="S339" s="17">
        <v>45563.0</v>
      </c>
      <c r="T339" s="18">
        <v>1.775</v>
      </c>
      <c r="U339" s="15" t="s">
        <v>33</v>
      </c>
      <c r="V339" s="19">
        <f t="shared" si="1"/>
        <v>0.19375</v>
      </c>
      <c r="W339" s="19">
        <f t="shared" si="4"/>
        <v>1.23243426</v>
      </c>
    </row>
    <row r="340">
      <c r="A340" s="8">
        <f t="shared" si="3"/>
        <v>339</v>
      </c>
      <c r="B340" s="8" t="s">
        <v>26</v>
      </c>
      <c r="C340" s="8" t="s">
        <v>19</v>
      </c>
      <c r="D340" s="8">
        <v>65.0</v>
      </c>
      <c r="E340" s="8" t="s">
        <v>2140</v>
      </c>
      <c r="F340" s="8"/>
      <c r="G340" s="8"/>
      <c r="H340" s="8"/>
      <c r="I340" s="8" t="s">
        <v>1479</v>
      </c>
      <c r="J340" s="8" t="s">
        <v>1480</v>
      </c>
      <c r="K340" s="8">
        <v>0.0</v>
      </c>
      <c r="L340" s="8" t="s">
        <v>908</v>
      </c>
      <c r="M340" s="8" t="s">
        <v>22</v>
      </c>
      <c r="N340" s="8" t="s">
        <v>892</v>
      </c>
      <c r="O340" s="8"/>
      <c r="P340" s="9">
        <v>0.0</v>
      </c>
      <c r="Q340" s="9">
        <v>0.25</v>
      </c>
      <c r="R340" s="9">
        <v>0.25</v>
      </c>
      <c r="S340" s="10">
        <v>45563.0</v>
      </c>
      <c r="T340" s="11">
        <v>1.8</v>
      </c>
      <c r="U340" s="8" t="s">
        <v>70</v>
      </c>
      <c r="V340" s="12">
        <f t="shared" si="1"/>
        <v>0</v>
      </c>
      <c r="W340" s="12">
        <f t="shared" si="4"/>
        <v>1.23243426</v>
      </c>
    </row>
    <row r="341">
      <c r="A341" s="15">
        <f t="shared" si="3"/>
        <v>340</v>
      </c>
      <c r="B341" s="15" t="s">
        <v>26</v>
      </c>
      <c r="C341" s="15" t="s">
        <v>19</v>
      </c>
      <c r="D341" s="15">
        <v>60.0</v>
      </c>
      <c r="E341" s="15" t="s">
        <v>2141</v>
      </c>
      <c r="F341" s="15">
        <v>14.0</v>
      </c>
      <c r="G341" s="15">
        <v>1.0</v>
      </c>
      <c r="H341" s="112">
        <f>4/(15*2)</f>
        <v>0.1333333333</v>
      </c>
      <c r="I341" s="15" t="s">
        <v>1479</v>
      </c>
      <c r="J341" s="15" t="s">
        <v>1480</v>
      </c>
      <c r="K341" s="15">
        <v>-1.0</v>
      </c>
      <c r="L341" s="15" t="s">
        <v>229</v>
      </c>
      <c r="M341" s="15" t="s">
        <v>22</v>
      </c>
      <c r="N341" s="15" t="s">
        <v>892</v>
      </c>
      <c r="O341" s="15"/>
      <c r="P341" s="16">
        <v>0.0</v>
      </c>
      <c r="Q341" s="16">
        <v>0.75</v>
      </c>
      <c r="R341" s="16">
        <v>0.75</v>
      </c>
      <c r="S341" s="17">
        <v>45563.0</v>
      </c>
      <c r="T341" s="18">
        <v>1.975</v>
      </c>
      <c r="U341" s="15" t="s">
        <v>25</v>
      </c>
      <c r="V341" s="19">
        <f t="shared" si="1"/>
        <v>-0.75</v>
      </c>
      <c r="W341" s="19">
        <f t="shared" si="4"/>
        <v>0.4824342603</v>
      </c>
    </row>
    <row r="342">
      <c r="A342" s="8">
        <f t="shared" si="3"/>
        <v>341</v>
      </c>
      <c r="B342" s="8" t="s">
        <v>26</v>
      </c>
      <c r="C342" s="8" t="s">
        <v>19</v>
      </c>
      <c r="D342" s="8">
        <v>34.0</v>
      </c>
      <c r="E342" s="8" t="s">
        <v>2142</v>
      </c>
      <c r="F342" s="8">
        <v>13.0</v>
      </c>
      <c r="G342" s="8">
        <v>8.0</v>
      </c>
      <c r="H342" s="109">
        <f>6/(15*2)</f>
        <v>0.2</v>
      </c>
      <c r="I342" s="8" t="s">
        <v>1479</v>
      </c>
      <c r="J342" s="8" t="s">
        <v>1480</v>
      </c>
      <c r="K342" s="8">
        <v>0.0</v>
      </c>
      <c r="L342" s="8" t="s">
        <v>101</v>
      </c>
      <c r="M342" s="8" t="s">
        <v>22</v>
      </c>
      <c r="N342" s="8" t="s">
        <v>892</v>
      </c>
      <c r="O342" s="8"/>
      <c r="P342" s="9">
        <v>0.0</v>
      </c>
      <c r="Q342" s="9">
        <v>0.75</v>
      </c>
      <c r="R342" s="9">
        <v>0.5615</v>
      </c>
      <c r="S342" s="10">
        <v>45563.0</v>
      </c>
      <c r="T342" s="11">
        <v>1.85</v>
      </c>
      <c r="U342" s="8" t="s">
        <v>70</v>
      </c>
      <c r="V342" s="12">
        <f t="shared" si="1"/>
        <v>0</v>
      </c>
      <c r="W342" s="12">
        <f t="shared" si="4"/>
        <v>0.4824342603</v>
      </c>
    </row>
    <row r="343">
      <c r="A343" s="15">
        <f t="shared" si="3"/>
        <v>342</v>
      </c>
      <c r="B343" s="15" t="s">
        <v>26</v>
      </c>
      <c r="C343" s="15" t="s">
        <v>19</v>
      </c>
      <c r="D343" s="15"/>
      <c r="E343" s="15" t="s">
        <v>2143</v>
      </c>
      <c r="F343" s="15">
        <v>10.0</v>
      </c>
      <c r="G343" s="15">
        <v>5.0</v>
      </c>
      <c r="H343" s="112">
        <f>7/(15*2)</f>
        <v>0.2333333333</v>
      </c>
      <c r="I343" s="15" t="s">
        <v>1473</v>
      </c>
      <c r="J343" s="15" t="s">
        <v>1480</v>
      </c>
      <c r="K343" s="15">
        <v>0.0</v>
      </c>
      <c r="L343" s="15" t="s">
        <v>316</v>
      </c>
      <c r="M343" s="15" t="s">
        <v>22</v>
      </c>
      <c r="N343" s="15" t="s">
        <v>892</v>
      </c>
      <c r="O343" s="15"/>
      <c r="P343" s="16">
        <v>0.0</v>
      </c>
      <c r="Q343" s="16">
        <v>0.75</v>
      </c>
      <c r="R343" s="16">
        <v>0.75</v>
      </c>
      <c r="S343" s="17">
        <v>45563.0</v>
      </c>
      <c r="T343" s="18">
        <v>1.75</v>
      </c>
      <c r="U343" s="15" t="s">
        <v>70</v>
      </c>
      <c r="V343" s="19">
        <f t="shared" si="1"/>
        <v>0</v>
      </c>
      <c r="W343" s="19">
        <f t="shared" si="4"/>
        <v>0.4824342603</v>
      </c>
    </row>
    <row r="344">
      <c r="A344" s="8">
        <f t="shared" si="3"/>
        <v>343</v>
      </c>
      <c r="B344" s="8" t="s">
        <v>26</v>
      </c>
      <c r="C344" s="8" t="s">
        <v>19</v>
      </c>
      <c r="D344" s="8"/>
      <c r="E344" s="8" t="s">
        <v>2144</v>
      </c>
      <c r="F344" s="8"/>
      <c r="G344" s="8"/>
      <c r="H344" s="8"/>
      <c r="I344" s="8" t="s">
        <v>1479</v>
      </c>
      <c r="J344" s="8" t="s">
        <v>1480</v>
      </c>
      <c r="K344" s="8">
        <v>-1.0</v>
      </c>
      <c r="L344" s="8" t="s">
        <v>66</v>
      </c>
      <c r="M344" s="8" t="s">
        <v>22</v>
      </c>
      <c r="N344" s="8" t="s">
        <v>892</v>
      </c>
      <c r="O344" s="8"/>
      <c r="P344" s="9">
        <v>0.0</v>
      </c>
      <c r="Q344" s="9">
        <v>1.0</v>
      </c>
      <c r="R344" s="9">
        <v>0.9754</v>
      </c>
      <c r="S344" s="10">
        <v>45563.0</v>
      </c>
      <c r="T344" s="11">
        <v>2.0</v>
      </c>
      <c r="U344" s="8" t="s">
        <v>70</v>
      </c>
      <c r="V344" s="12">
        <f t="shared" si="1"/>
        <v>0</v>
      </c>
      <c r="W344" s="12">
        <f t="shared" si="4"/>
        <v>0.4824342603</v>
      </c>
    </row>
    <row r="345">
      <c r="A345" s="15">
        <f t="shared" si="3"/>
        <v>344</v>
      </c>
      <c r="B345" s="15" t="s">
        <v>26</v>
      </c>
      <c r="C345" s="15" t="s">
        <v>19</v>
      </c>
      <c r="D345" s="15"/>
      <c r="E345" s="15" t="s">
        <v>2145</v>
      </c>
      <c r="F345" s="15"/>
      <c r="G345" s="15"/>
      <c r="H345" s="15"/>
      <c r="I345" s="15" t="s">
        <v>1473</v>
      </c>
      <c r="J345" s="15" t="s">
        <v>1480</v>
      </c>
      <c r="K345" s="15">
        <v>-1.0</v>
      </c>
      <c r="L345" s="15" t="s">
        <v>66</v>
      </c>
      <c r="M345" s="15" t="s">
        <v>22</v>
      </c>
      <c r="N345" s="15" t="s">
        <v>892</v>
      </c>
      <c r="O345" s="15"/>
      <c r="P345" s="16">
        <v>0.0</v>
      </c>
      <c r="Q345" s="16">
        <v>0.25</v>
      </c>
      <c r="R345" s="16">
        <v>0.1926</v>
      </c>
      <c r="S345" s="17">
        <v>45563.0</v>
      </c>
      <c r="T345" s="18">
        <v>1.8</v>
      </c>
      <c r="U345" s="15" t="s">
        <v>25</v>
      </c>
      <c r="V345" s="19">
        <f t="shared" si="1"/>
        <v>-0.1926</v>
      </c>
      <c r="W345" s="19">
        <f t="shared" si="4"/>
        <v>0.2898342603</v>
      </c>
    </row>
    <row r="346">
      <c r="A346" s="8">
        <f t="shared" si="3"/>
        <v>345</v>
      </c>
      <c r="B346" s="8" t="s">
        <v>137</v>
      </c>
      <c r="C346" s="8" t="s">
        <v>19</v>
      </c>
      <c r="D346" s="8"/>
      <c r="E346" s="8" t="s">
        <v>2146</v>
      </c>
      <c r="F346" s="8">
        <v>16.0</v>
      </c>
      <c r="G346" s="8">
        <v>12.0</v>
      </c>
      <c r="H346" s="109">
        <f t="shared" ref="H346:H347" si="20">3/(15*2)</f>
        <v>0.1</v>
      </c>
      <c r="I346" s="8" t="s">
        <v>1473</v>
      </c>
      <c r="J346" s="8" t="s">
        <v>1480</v>
      </c>
      <c r="K346" s="8">
        <v>2.0</v>
      </c>
      <c r="L346" s="8" t="s">
        <v>245</v>
      </c>
      <c r="M346" s="8" t="s">
        <v>22</v>
      </c>
      <c r="N346" s="8" t="s">
        <v>892</v>
      </c>
      <c r="O346" s="8"/>
      <c r="P346" s="9">
        <v>0.0</v>
      </c>
      <c r="Q346" s="9">
        <v>0.5</v>
      </c>
      <c r="R346" s="9">
        <v>0.5</v>
      </c>
      <c r="S346" s="10">
        <v>45563.0</v>
      </c>
      <c r="T346" s="11">
        <v>1.775</v>
      </c>
      <c r="U346" s="8" t="s">
        <v>70</v>
      </c>
      <c r="V346" s="12">
        <f t="shared" si="1"/>
        <v>0</v>
      </c>
      <c r="W346" s="12">
        <f t="shared" si="4"/>
        <v>0.2898342603</v>
      </c>
    </row>
    <row r="347">
      <c r="A347" s="15">
        <f t="shared" si="3"/>
        <v>346</v>
      </c>
      <c r="B347" s="15" t="s">
        <v>129</v>
      </c>
      <c r="C347" s="15" t="s">
        <v>19</v>
      </c>
      <c r="D347" s="15"/>
      <c r="E347" s="15" t="s">
        <v>2147</v>
      </c>
      <c r="F347" s="15">
        <v>14.0</v>
      </c>
      <c r="G347" s="15">
        <v>5.0</v>
      </c>
      <c r="H347" s="112">
        <f t="shared" si="20"/>
        <v>0.1</v>
      </c>
      <c r="I347" s="15" t="s">
        <v>1473</v>
      </c>
      <c r="J347" s="15" t="s">
        <v>1480</v>
      </c>
      <c r="K347" s="15">
        <v>0.0</v>
      </c>
      <c r="L347" s="15" t="s">
        <v>245</v>
      </c>
      <c r="M347" s="15" t="s">
        <v>22</v>
      </c>
      <c r="N347" s="15" t="s">
        <v>892</v>
      </c>
      <c r="O347" s="15"/>
      <c r="P347" s="16">
        <v>0.0</v>
      </c>
      <c r="Q347" s="16">
        <v>0.5</v>
      </c>
      <c r="R347" s="16">
        <v>0.5</v>
      </c>
      <c r="S347" s="17">
        <v>45563.0</v>
      </c>
      <c r="T347" s="18">
        <v>2.075</v>
      </c>
      <c r="U347" s="15" t="s">
        <v>25</v>
      </c>
      <c r="V347" s="19">
        <f t="shared" si="1"/>
        <v>-0.5</v>
      </c>
      <c r="W347" s="19">
        <f t="shared" si="4"/>
        <v>-0.2101657397</v>
      </c>
    </row>
    <row r="348">
      <c r="A348" s="8">
        <f t="shared" si="3"/>
        <v>347</v>
      </c>
      <c r="B348" s="8" t="s">
        <v>26</v>
      </c>
      <c r="C348" s="8" t="s">
        <v>40</v>
      </c>
      <c r="D348" s="8"/>
      <c r="E348" s="8" t="s">
        <v>2148</v>
      </c>
      <c r="F348" s="8"/>
      <c r="G348" s="8"/>
      <c r="H348" s="8"/>
      <c r="I348" s="8" t="s">
        <v>1473</v>
      </c>
      <c r="J348" s="8" t="s">
        <v>1480</v>
      </c>
      <c r="K348" s="8">
        <v>1.0</v>
      </c>
      <c r="L348" s="8" t="s">
        <v>341</v>
      </c>
      <c r="M348" s="8" t="s">
        <v>22</v>
      </c>
      <c r="N348" s="8" t="s">
        <v>225</v>
      </c>
      <c r="O348" s="8"/>
      <c r="P348" s="9">
        <v>0.25</v>
      </c>
      <c r="Q348" s="9">
        <v>0.5</v>
      </c>
      <c r="R348" s="9">
        <v>0.25</v>
      </c>
      <c r="S348" s="10">
        <v>45563.0</v>
      </c>
      <c r="T348" s="11">
        <v>1.975</v>
      </c>
      <c r="U348" s="8" t="s">
        <v>30</v>
      </c>
      <c r="V348" s="12">
        <f t="shared" si="1"/>
        <v>0.121875</v>
      </c>
      <c r="W348" s="12">
        <f t="shared" si="4"/>
        <v>-0.08829073971</v>
      </c>
    </row>
    <row r="349">
      <c r="A349" s="15">
        <f t="shared" si="3"/>
        <v>348</v>
      </c>
      <c r="B349" s="15" t="s">
        <v>18</v>
      </c>
      <c r="C349" s="15" t="s">
        <v>19</v>
      </c>
      <c r="D349" s="15">
        <v>65.0</v>
      </c>
      <c r="E349" s="15" t="s">
        <v>2149</v>
      </c>
      <c r="F349" s="15">
        <v>5.0</v>
      </c>
      <c r="G349" s="15">
        <v>2.0</v>
      </c>
      <c r="H349" s="112">
        <f>1/(15*2)</f>
        <v>0.03333333333</v>
      </c>
      <c r="I349" s="15" t="s">
        <v>1479</v>
      </c>
      <c r="J349" s="15" t="s">
        <v>1477</v>
      </c>
      <c r="K349" s="15">
        <v>0.0</v>
      </c>
      <c r="L349" s="15" t="s">
        <v>659</v>
      </c>
      <c r="M349" s="15" t="s">
        <v>22</v>
      </c>
      <c r="N349" s="15" t="s">
        <v>894</v>
      </c>
      <c r="O349" s="15"/>
      <c r="P349" s="16">
        <v>-0.5</v>
      </c>
      <c r="Q349" s="16">
        <v>0.3</v>
      </c>
      <c r="R349" s="16">
        <v>0.3</v>
      </c>
      <c r="S349" s="17">
        <v>45563.0</v>
      </c>
      <c r="T349" s="18">
        <v>2.05</v>
      </c>
      <c r="U349" s="15" t="s">
        <v>25</v>
      </c>
      <c r="V349" s="19">
        <f t="shared" si="1"/>
        <v>-0.3</v>
      </c>
      <c r="W349" s="19">
        <f t="shared" si="4"/>
        <v>-0.3882907397</v>
      </c>
    </row>
    <row r="350">
      <c r="A350" s="8">
        <f t="shared" si="3"/>
        <v>349</v>
      </c>
      <c r="B350" s="8" t="s">
        <v>129</v>
      </c>
      <c r="C350" s="8" t="s">
        <v>19</v>
      </c>
      <c r="D350" s="8"/>
      <c r="E350" s="8" t="s">
        <v>2150</v>
      </c>
      <c r="F350" s="8">
        <v>18.0</v>
      </c>
      <c r="G350" s="8">
        <v>1.0</v>
      </c>
      <c r="H350" s="109">
        <f>3/(17*2)</f>
        <v>0.08823529412</v>
      </c>
      <c r="I350" s="8" t="s">
        <v>1473</v>
      </c>
      <c r="J350" s="8" t="s">
        <v>1480</v>
      </c>
      <c r="K350" s="8">
        <v>0.0</v>
      </c>
      <c r="L350" s="8" t="s">
        <v>93</v>
      </c>
      <c r="M350" s="8" t="s">
        <v>22</v>
      </c>
      <c r="N350" s="8" t="s">
        <v>892</v>
      </c>
      <c r="O350" s="8"/>
      <c r="P350" s="9">
        <v>0.0</v>
      </c>
      <c r="Q350" s="9">
        <v>0.25</v>
      </c>
      <c r="R350" s="9">
        <v>0.25</v>
      </c>
      <c r="S350" s="10">
        <v>45563.0</v>
      </c>
      <c r="T350" s="11">
        <v>1.725</v>
      </c>
      <c r="U350" s="8" t="s">
        <v>25</v>
      </c>
      <c r="V350" s="12">
        <f t="shared" si="1"/>
        <v>-0.25</v>
      </c>
      <c r="W350" s="12">
        <f t="shared" si="4"/>
        <v>-0.6382907397</v>
      </c>
    </row>
    <row r="351">
      <c r="A351" s="15">
        <f t="shared" si="3"/>
        <v>350</v>
      </c>
      <c r="B351" s="15" t="s">
        <v>35</v>
      </c>
      <c r="C351" s="15" t="s">
        <v>19</v>
      </c>
      <c r="D351" s="15"/>
      <c r="E351" s="15" t="s">
        <v>2151</v>
      </c>
      <c r="F351" s="15">
        <v>8.0</v>
      </c>
      <c r="G351" s="15">
        <v>13.0</v>
      </c>
      <c r="H351" s="112">
        <f t="shared" ref="H351:H352" si="21">1/(15*2)</f>
        <v>0.03333333333</v>
      </c>
      <c r="I351" s="15" t="s">
        <v>1479</v>
      </c>
      <c r="J351" s="15" t="s">
        <v>1480</v>
      </c>
      <c r="K351" s="15">
        <v>0.0</v>
      </c>
      <c r="L351" s="15" t="s">
        <v>82</v>
      </c>
      <c r="M351" s="15" t="s">
        <v>22</v>
      </c>
      <c r="N351" s="15" t="s">
        <v>892</v>
      </c>
      <c r="O351" s="15"/>
      <c r="P351" s="16">
        <v>0.0</v>
      </c>
      <c r="Q351" s="16">
        <v>0.25</v>
      </c>
      <c r="R351" s="16">
        <v>0.25</v>
      </c>
      <c r="S351" s="17">
        <v>45563.0</v>
      </c>
      <c r="T351" s="18">
        <v>2.075</v>
      </c>
      <c r="U351" s="15" t="s">
        <v>70</v>
      </c>
      <c r="V351" s="19">
        <f t="shared" si="1"/>
        <v>0</v>
      </c>
      <c r="W351" s="19">
        <f t="shared" si="4"/>
        <v>-0.6382907397</v>
      </c>
    </row>
    <row r="352">
      <c r="A352" s="8">
        <f t="shared" si="3"/>
        <v>351</v>
      </c>
      <c r="B352" s="8" t="s">
        <v>35</v>
      </c>
      <c r="C352" s="8" t="s">
        <v>19</v>
      </c>
      <c r="D352" s="8"/>
      <c r="E352" s="8" t="s">
        <v>2152</v>
      </c>
      <c r="F352" s="8">
        <v>8.0</v>
      </c>
      <c r="G352" s="8">
        <v>13.0</v>
      </c>
      <c r="H352" s="109">
        <f t="shared" si="21"/>
        <v>0.03333333333</v>
      </c>
      <c r="I352" s="8" t="s">
        <v>1473</v>
      </c>
      <c r="J352" s="8" t="s">
        <v>1480</v>
      </c>
      <c r="K352" s="8">
        <v>0.0</v>
      </c>
      <c r="L352" s="8" t="s">
        <v>82</v>
      </c>
      <c r="M352" s="8" t="s">
        <v>22</v>
      </c>
      <c r="N352" s="8" t="s">
        <v>892</v>
      </c>
      <c r="O352" s="8"/>
      <c r="P352" s="9">
        <v>0.0</v>
      </c>
      <c r="Q352" s="9">
        <v>0.27</v>
      </c>
      <c r="R352" s="9">
        <v>0.27</v>
      </c>
      <c r="S352" s="10">
        <v>45563.0</v>
      </c>
      <c r="T352" s="11">
        <v>1.725</v>
      </c>
      <c r="U352" s="8" t="s">
        <v>70</v>
      </c>
      <c r="V352" s="12">
        <f t="shared" si="1"/>
        <v>0</v>
      </c>
      <c r="W352" s="12">
        <f t="shared" si="4"/>
        <v>-0.6382907397</v>
      </c>
    </row>
    <row r="353">
      <c r="A353" s="15">
        <f t="shared" si="3"/>
        <v>352</v>
      </c>
      <c r="B353" s="15" t="s">
        <v>26</v>
      </c>
      <c r="C353" s="15" t="s">
        <v>19</v>
      </c>
      <c r="D353" s="15">
        <v>73.0</v>
      </c>
      <c r="E353" s="15" t="s">
        <v>2153</v>
      </c>
      <c r="F353" s="15">
        <v>11.0</v>
      </c>
      <c r="G353" s="15">
        <v>2.0</v>
      </c>
      <c r="H353" s="112">
        <f t="shared" ref="H353:H354" si="22">2/(15*2)</f>
        <v>0.06666666667</v>
      </c>
      <c r="I353" s="15" t="s">
        <v>1473</v>
      </c>
      <c r="J353" s="15" t="s">
        <v>1474</v>
      </c>
      <c r="K353" s="15">
        <v>0.0</v>
      </c>
      <c r="L353" s="15" t="s">
        <v>273</v>
      </c>
      <c r="M353" s="15" t="s">
        <v>22</v>
      </c>
      <c r="N353" s="15" t="s">
        <v>892</v>
      </c>
      <c r="O353" s="15"/>
      <c r="P353" s="16">
        <v>0.0</v>
      </c>
      <c r="Q353" s="16">
        <v>0.5</v>
      </c>
      <c r="R353" s="16">
        <v>0.4918</v>
      </c>
      <c r="S353" s="17">
        <v>45563.0</v>
      </c>
      <c r="T353" s="18">
        <v>1.725</v>
      </c>
      <c r="U353" s="15" t="s">
        <v>25</v>
      </c>
      <c r="V353" s="19">
        <f t="shared" si="1"/>
        <v>-0.4918</v>
      </c>
      <c r="W353" s="19">
        <f t="shared" si="4"/>
        <v>-1.13009074</v>
      </c>
    </row>
    <row r="354">
      <c r="A354" s="8">
        <f t="shared" si="3"/>
        <v>353</v>
      </c>
      <c r="B354" s="8" t="s">
        <v>26</v>
      </c>
      <c r="C354" s="8" t="s">
        <v>19</v>
      </c>
      <c r="D354" s="8">
        <v>81.0</v>
      </c>
      <c r="E354" s="8" t="s">
        <v>2154</v>
      </c>
      <c r="F354" s="8">
        <v>7.0</v>
      </c>
      <c r="G354" s="8">
        <v>14.0</v>
      </c>
      <c r="H354" s="109">
        <f t="shared" si="22"/>
        <v>0.06666666667</v>
      </c>
      <c r="I354" s="8" t="s">
        <v>1479</v>
      </c>
      <c r="J354" s="8" t="s">
        <v>1480</v>
      </c>
      <c r="K354" s="8">
        <v>0.0</v>
      </c>
      <c r="L354" s="8" t="s">
        <v>1031</v>
      </c>
      <c r="M354" s="8" t="s">
        <v>22</v>
      </c>
      <c r="N354" s="8" t="s">
        <v>892</v>
      </c>
      <c r="O354" s="8"/>
      <c r="P354" s="9">
        <v>0.0</v>
      </c>
      <c r="Q354" s="9">
        <v>0.5</v>
      </c>
      <c r="R354" s="9">
        <v>0.5</v>
      </c>
      <c r="S354" s="10">
        <v>45563.0</v>
      </c>
      <c r="T354" s="11">
        <v>1.75</v>
      </c>
      <c r="U354" s="8" t="s">
        <v>70</v>
      </c>
      <c r="V354" s="12">
        <f t="shared" si="1"/>
        <v>0</v>
      </c>
      <c r="W354" s="12">
        <f t="shared" si="4"/>
        <v>-1.13009074</v>
      </c>
    </row>
    <row r="355">
      <c r="A355" s="15">
        <f t="shared" si="3"/>
        <v>354</v>
      </c>
      <c r="B355" s="15" t="s">
        <v>26</v>
      </c>
      <c r="C355" s="15" t="s">
        <v>19</v>
      </c>
      <c r="D355" s="15">
        <v>25.0</v>
      </c>
      <c r="E355" s="15" t="s">
        <v>2155</v>
      </c>
      <c r="F355" s="15"/>
      <c r="G355" s="15"/>
      <c r="H355" s="15"/>
      <c r="I355" s="15" t="s">
        <v>1479</v>
      </c>
      <c r="J355" s="15" t="s">
        <v>1474</v>
      </c>
      <c r="K355" s="15">
        <v>1.0</v>
      </c>
      <c r="L355" s="15" t="s">
        <v>93</v>
      </c>
      <c r="M355" s="15" t="s">
        <v>22</v>
      </c>
      <c r="N355" s="15" t="s">
        <v>225</v>
      </c>
      <c r="O355" s="15"/>
      <c r="P355" s="15">
        <v>0.25</v>
      </c>
      <c r="Q355" s="16">
        <v>0.5</v>
      </c>
      <c r="R355" s="16">
        <v>0.5</v>
      </c>
      <c r="S355" s="17">
        <v>45564.0</v>
      </c>
      <c r="T355" s="18">
        <v>1.775</v>
      </c>
      <c r="U355" s="15" t="s">
        <v>33</v>
      </c>
      <c r="V355" s="19">
        <f t="shared" si="1"/>
        <v>0.3875</v>
      </c>
      <c r="W355" s="19">
        <f t="shared" si="4"/>
        <v>-0.7425907397</v>
      </c>
    </row>
    <row r="356">
      <c r="A356" s="8">
        <f t="shared" si="3"/>
        <v>355</v>
      </c>
      <c r="B356" s="8" t="s">
        <v>26</v>
      </c>
      <c r="C356" s="8" t="s">
        <v>19</v>
      </c>
      <c r="D356" s="8">
        <v>40.0</v>
      </c>
      <c r="E356" s="8" t="s">
        <v>2156</v>
      </c>
      <c r="F356" s="8">
        <v>12.0</v>
      </c>
      <c r="G356" s="8">
        <v>2.0</v>
      </c>
      <c r="H356" s="109">
        <f>4/(15*2)</f>
        <v>0.1333333333</v>
      </c>
      <c r="I356" s="8" t="s">
        <v>1479</v>
      </c>
      <c r="J356" s="8" t="s">
        <v>1474</v>
      </c>
      <c r="K356" s="8">
        <v>0.0</v>
      </c>
      <c r="L356" s="8" t="s">
        <v>93</v>
      </c>
      <c r="M356" s="8" t="s">
        <v>22</v>
      </c>
      <c r="N356" s="8" t="s">
        <v>225</v>
      </c>
      <c r="O356" s="8"/>
      <c r="P356" s="8">
        <v>0.25</v>
      </c>
      <c r="Q356" s="9">
        <v>0.5</v>
      </c>
      <c r="R356" s="9">
        <v>0.212</v>
      </c>
      <c r="S356" s="10">
        <v>45564.0</v>
      </c>
      <c r="T356" s="11">
        <v>1.7</v>
      </c>
      <c r="U356" s="8" t="s">
        <v>25</v>
      </c>
      <c r="V356" s="12">
        <f t="shared" si="1"/>
        <v>-0.212</v>
      </c>
      <c r="W356" s="12">
        <f t="shared" si="4"/>
        <v>-0.9545907397</v>
      </c>
    </row>
    <row r="357">
      <c r="A357" s="15">
        <f t="shared" si="3"/>
        <v>356</v>
      </c>
      <c r="B357" s="15" t="s">
        <v>26</v>
      </c>
      <c r="C357" s="15" t="s">
        <v>19</v>
      </c>
      <c r="D357" s="15">
        <v>65.0</v>
      </c>
      <c r="E357" s="15" t="s">
        <v>2157</v>
      </c>
      <c r="F357" s="15">
        <v>10.0</v>
      </c>
      <c r="G357" s="15">
        <v>9.0</v>
      </c>
      <c r="H357" s="112">
        <f>2/(11*2)</f>
        <v>0.09090909091</v>
      </c>
      <c r="I357" s="15" t="s">
        <v>1479</v>
      </c>
      <c r="J357" s="15" t="s">
        <v>1474</v>
      </c>
      <c r="K357" s="15">
        <v>0.0</v>
      </c>
      <c r="L357" s="15" t="s">
        <v>88</v>
      </c>
      <c r="M357" s="15" t="s">
        <v>22</v>
      </c>
      <c r="N357" s="15" t="s">
        <v>941</v>
      </c>
      <c r="O357" s="15"/>
      <c r="P357" s="16">
        <v>0.0</v>
      </c>
      <c r="Q357" s="16">
        <v>0.5</v>
      </c>
      <c r="R357" s="16">
        <v>0.5</v>
      </c>
      <c r="S357" s="17">
        <v>45564.0</v>
      </c>
      <c r="T357" s="18">
        <v>1.725</v>
      </c>
      <c r="U357" s="15" t="s">
        <v>25</v>
      </c>
      <c r="V357" s="19">
        <f t="shared" si="1"/>
        <v>-0.5</v>
      </c>
      <c r="W357" s="19">
        <f t="shared" si="4"/>
        <v>-1.45459074</v>
      </c>
    </row>
    <row r="358">
      <c r="A358" s="8">
        <f t="shared" si="3"/>
        <v>357</v>
      </c>
      <c r="B358" s="8" t="s">
        <v>26</v>
      </c>
      <c r="C358" s="8" t="s">
        <v>19</v>
      </c>
      <c r="D358" s="8">
        <v>54.0</v>
      </c>
      <c r="E358" s="8" t="s">
        <v>2158</v>
      </c>
      <c r="F358" s="8">
        <v>12.0</v>
      </c>
      <c r="G358" s="8">
        <v>2.0</v>
      </c>
      <c r="H358" s="109">
        <f t="shared" ref="H358:H359" si="23">4/(15*2)</f>
        <v>0.1333333333</v>
      </c>
      <c r="I358" s="8" t="s">
        <v>1479</v>
      </c>
      <c r="J358" s="8" t="s">
        <v>1474</v>
      </c>
      <c r="K358" s="8">
        <v>0.0</v>
      </c>
      <c r="L358" s="8" t="s">
        <v>93</v>
      </c>
      <c r="M358" s="8" t="s">
        <v>22</v>
      </c>
      <c r="N358" s="8" t="s">
        <v>941</v>
      </c>
      <c r="O358" s="8"/>
      <c r="P358" s="9">
        <v>0.0</v>
      </c>
      <c r="Q358" s="9">
        <v>0.25</v>
      </c>
      <c r="R358" s="9">
        <v>0.25</v>
      </c>
      <c r="S358" s="10">
        <v>45564.0</v>
      </c>
      <c r="T358" s="11">
        <v>2.25</v>
      </c>
      <c r="U358" s="8" t="s">
        <v>25</v>
      </c>
      <c r="V358" s="12">
        <f t="shared" si="1"/>
        <v>-0.25</v>
      </c>
      <c r="W358" s="12">
        <f t="shared" si="4"/>
        <v>-1.70459074</v>
      </c>
    </row>
    <row r="359">
      <c r="A359" s="15">
        <f t="shared" si="3"/>
        <v>358</v>
      </c>
      <c r="B359" s="15" t="s">
        <v>26</v>
      </c>
      <c r="C359" s="15" t="s">
        <v>19</v>
      </c>
      <c r="D359" s="15">
        <v>61.0</v>
      </c>
      <c r="E359" s="15" t="s">
        <v>2159</v>
      </c>
      <c r="F359" s="15">
        <v>12.0</v>
      </c>
      <c r="G359" s="15">
        <v>11.0</v>
      </c>
      <c r="H359" s="112">
        <f t="shared" si="23"/>
        <v>0.1333333333</v>
      </c>
      <c r="I359" s="15" t="s">
        <v>1479</v>
      </c>
      <c r="J359" s="15" t="s">
        <v>1480</v>
      </c>
      <c r="K359" s="15">
        <v>0.0</v>
      </c>
      <c r="L359" s="15" t="s">
        <v>93</v>
      </c>
      <c r="M359" s="15" t="s">
        <v>22</v>
      </c>
      <c r="N359" s="15" t="s">
        <v>892</v>
      </c>
      <c r="O359" s="15"/>
      <c r="P359" s="16">
        <v>0.0</v>
      </c>
      <c r="Q359" s="16">
        <v>0.5</v>
      </c>
      <c r="R359" s="16">
        <v>0.5</v>
      </c>
      <c r="S359" s="17">
        <v>45564.0</v>
      </c>
      <c r="T359" s="18">
        <v>1.75</v>
      </c>
      <c r="U359" s="15" t="s">
        <v>33</v>
      </c>
      <c r="V359" s="19">
        <f t="shared" si="1"/>
        <v>0.375</v>
      </c>
      <c r="W359" s="19">
        <f t="shared" si="4"/>
        <v>-1.32959074</v>
      </c>
    </row>
    <row r="360">
      <c r="A360" s="8">
        <f t="shared" si="3"/>
        <v>359</v>
      </c>
      <c r="B360" s="8" t="s">
        <v>135</v>
      </c>
      <c r="C360" s="8" t="s">
        <v>19</v>
      </c>
      <c r="D360" s="8">
        <v>0.0</v>
      </c>
      <c r="E360" s="8" t="s">
        <v>2160</v>
      </c>
      <c r="F360" s="8"/>
      <c r="G360" s="8"/>
      <c r="H360" s="8"/>
      <c r="I360" s="8"/>
      <c r="J360" s="8"/>
      <c r="K360" s="8"/>
      <c r="L360" s="8" t="s">
        <v>101</v>
      </c>
      <c r="M360" s="8" t="s">
        <v>598</v>
      </c>
      <c r="N360" s="8" t="s">
        <v>29</v>
      </c>
      <c r="O360" s="8"/>
      <c r="P360" s="8">
        <v>-3.25</v>
      </c>
      <c r="Q360" s="9">
        <v>0.25</v>
      </c>
      <c r="R360" s="9">
        <v>0.25</v>
      </c>
      <c r="S360" s="10">
        <v>45564.0</v>
      </c>
      <c r="T360" s="11">
        <v>1.8</v>
      </c>
      <c r="U360" s="8" t="s">
        <v>30</v>
      </c>
      <c r="V360" s="12">
        <f t="shared" si="1"/>
        <v>0.1</v>
      </c>
      <c r="W360" s="12">
        <f t="shared" si="4"/>
        <v>-1.22959074</v>
      </c>
    </row>
    <row r="361">
      <c r="A361" s="15">
        <f t="shared" si="3"/>
        <v>360</v>
      </c>
      <c r="B361" s="15" t="s">
        <v>135</v>
      </c>
      <c r="C361" s="15" t="s">
        <v>19</v>
      </c>
      <c r="D361" s="15">
        <v>0.0</v>
      </c>
      <c r="E361" s="15" t="s">
        <v>2161</v>
      </c>
      <c r="F361" s="15">
        <v>6.0</v>
      </c>
      <c r="G361" s="15">
        <v>1.0</v>
      </c>
      <c r="H361" s="112">
        <f>9/(17*2)</f>
        <v>0.2647058824</v>
      </c>
      <c r="I361" s="15"/>
      <c r="J361" s="15"/>
      <c r="K361" s="15"/>
      <c r="L361" s="15" t="s">
        <v>432</v>
      </c>
      <c r="M361" s="15" t="s">
        <v>598</v>
      </c>
      <c r="N361" s="15" t="s">
        <v>29</v>
      </c>
      <c r="O361" s="15"/>
      <c r="P361" s="15">
        <v>-2.75</v>
      </c>
      <c r="Q361" s="16">
        <v>0.25</v>
      </c>
      <c r="R361" s="16">
        <v>0.25</v>
      </c>
      <c r="S361" s="17">
        <v>45564.0</v>
      </c>
      <c r="T361" s="18">
        <v>1.975</v>
      </c>
      <c r="U361" s="15" t="s">
        <v>79</v>
      </c>
      <c r="V361" s="19">
        <f t="shared" si="1"/>
        <v>-0.125</v>
      </c>
      <c r="W361" s="19">
        <f t="shared" si="4"/>
        <v>-1.35459074</v>
      </c>
    </row>
    <row r="362">
      <c r="A362" s="8">
        <f t="shared" si="3"/>
        <v>361</v>
      </c>
      <c r="B362" s="8" t="s">
        <v>135</v>
      </c>
      <c r="C362" s="8" t="s">
        <v>19</v>
      </c>
      <c r="D362" s="8">
        <v>0.0</v>
      </c>
      <c r="E362" s="8" t="s">
        <v>2162</v>
      </c>
      <c r="F362" s="8">
        <v>10.0</v>
      </c>
      <c r="G362" s="8">
        <v>5.0</v>
      </c>
      <c r="H362" s="109">
        <f>1/(10*2)</f>
        <v>0.05</v>
      </c>
      <c r="I362" s="8"/>
      <c r="J362" s="8"/>
      <c r="K362" s="8"/>
      <c r="L362" s="8" t="s">
        <v>88</v>
      </c>
      <c r="M362" s="8" t="s">
        <v>598</v>
      </c>
      <c r="N362" s="8" t="s">
        <v>29</v>
      </c>
      <c r="O362" s="8"/>
      <c r="P362" s="8">
        <v>-2.75</v>
      </c>
      <c r="Q362" s="9">
        <v>0.25</v>
      </c>
      <c r="R362" s="9">
        <v>0.25</v>
      </c>
      <c r="S362" s="10">
        <v>45564.0</v>
      </c>
      <c r="T362" s="11">
        <v>2.0</v>
      </c>
      <c r="U362" s="8" t="s">
        <v>79</v>
      </c>
      <c r="V362" s="12">
        <f t="shared" si="1"/>
        <v>-0.125</v>
      </c>
      <c r="W362" s="12">
        <f t="shared" si="4"/>
        <v>-1.47959074</v>
      </c>
    </row>
    <row r="363">
      <c r="A363" s="15">
        <f t="shared" si="3"/>
        <v>362</v>
      </c>
      <c r="B363" s="15" t="s">
        <v>18</v>
      </c>
      <c r="C363" s="15" t="s">
        <v>19</v>
      </c>
      <c r="D363" s="15">
        <v>77.0</v>
      </c>
      <c r="E363" s="15" t="s">
        <v>2163</v>
      </c>
      <c r="F363" s="15">
        <v>10.0</v>
      </c>
      <c r="G363" s="15">
        <v>2.0</v>
      </c>
      <c r="H363" s="112">
        <f>22/(13*2)</f>
        <v>0.8461538462</v>
      </c>
      <c r="I363" s="15" t="s">
        <v>1479</v>
      </c>
      <c r="J363" s="15" t="s">
        <v>1480</v>
      </c>
      <c r="K363" s="15">
        <v>1.0</v>
      </c>
      <c r="L363" s="15" t="s">
        <v>940</v>
      </c>
      <c r="M363" s="15" t="s">
        <v>22</v>
      </c>
      <c r="N363" s="15" t="s">
        <v>892</v>
      </c>
      <c r="O363" s="15"/>
      <c r="P363" s="16">
        <v>0.0</v>
      </c>
      <c r="Q363" s="16">
        <v>0.5</v>
      </c>
      <c r="R363" s="16">
        <v>0.5</v>
      </c>
      <c r="S363" s="17">
        <v>45564.0</v>
      </c>
      <c r="T363" s="18">
        <v>2.35</v>
      </c>
      <c r="U363" s="15" t="s">
        <v>33</v>
      </c>
      <c r="V363" s="19">
        <f t="shared" si="1"/>
        <v>0.675</v>
      </c>
      <c r="W363" s="19">
        <f t="shared" si="4"/>
        <v>-0.8045907397</v>
      </c>
    </row>
    <row r="364">
      <c r="A364" s="8">
        <f t="shared" si="3"/>
        <v>363</v>
      </c>
      <c r="B364" s="8" t="s">
        <v>18</v>
      </c>
      <c r="C364" s="8" t="s">
        <v>19</v>
      </c>
      <c r="D364" s="8">
        <v>38.0</v>
      </c>
      <c r="E364" s="8" t="s">
        <v>2164</v>
      </c>
      <c r="F364" s="8">
        <v>15.0</v>
      </c>
      <c r="G364" s="8">
        <v>2.0</v>
      </c>
      <c r="H364" s="109">
        <f>9/(17*2)</f>
        <v>0.2647058824</v>
      </c>
      <c r="I364" s="8" t="s">
        <v>1473</v>
      </c>
      <c r="J364" s="8" t="s">
        <v>1477</v>
      </c>
      <c r="K364" s="8">
        <v>0.0</v>
      </c>
      <c r="L364" s="8" t="s">
        <v>432</v>
      </c>
      <c r="M364" s="8" t="s">
        <v>22</v>
      </c>
      <c r="N364" s="8" t="s">
        <v>894</v>
      </c>
      <c r="O364" s="8"/>
      <c r="P364" s="8">
        <v>-0.25</v>
      </c>
      <c r="Q364" s="9">
        <v>0.5</v>
      </c>
      <c r="R364" s="9">
        <v>0.5</v>
      </c>
      <c r="S364" s="10">
        <v>45564.0</v>
      </c>
      <c r="T364" s="11">
        <v>1.975</v>
      </c>
      <c r="U364" s="8" t="s">
        <v>79</v>
      </c>
      <c r="V364" s="12">
        <f t="shared" si="1"/>
        <v>-0.25</v>
      </c>
      <c r="W364" s="12">
        <f t="shared" si="4"/>
        <v>-1.05459074</v>
      </c>
    </row>
    <row r="365">
      <c r="A365" s="15">
        <f t="shared" si="3"/>
        <v>364</v>
      </c>
      <c r="B365" s="15" t="s">
        <v>135</v>
      </c>
      <c r="C365" s="15" t="s">
        <v>19</v>
      </c>
      <c r="D365" s="15">
        <v>0.0</v>
      </c>
      <c r="E365" s="15" t="s">
        <v>2165</v>
      </c>
      <c r="F365" s="15">
        <v>8.0</v>
      </c>
      <c r="G365" s="15">
        <v>1.0</v>
      </c>
      <c r="H365" s="112">
        <f>3/(17*2)</f>
        <v>0.08823529412</v>
      </c>
      <c r="I365" s="15"/>
      <c r="J365" s="15"/>
      <c r="K365" s="15"/>
      <c r="L365" s="15" t="s">
        <v>121</v>
      </c>
      <c r="M365" s="15" t="s">
        <v>598</v>
      </c>
      <c r="N365" s="15" t="s">
        <v>29</v>
      </c>
      <c r="O365" s="15"/>
      <c r="P365" s="16">
        <v>-2.5</v>
      </c>
      <c r="Q365" s="16">
        <v>0.25</v>
      </c>
      <c r="R365" s="16">
        <v>0.25</v>
      </c>
      <c r="S365" s="17">
        <v>45564.0</v>
      </c>
      <c r="T365" s="18">
        <v>1.725</v>
      </c>
      <c r="U365" s="15" t="s">
        <v>25</v>
      </c>
      <c r="V365" s="19">
        <f t="shared" si="1"/>
        <v>-0.25</v>
      </c>
      <c r="W365" s="19">
        <f t="shared" si="4"/>
        <v>-1.30459074</v>
      </c>
    </row>
    <row r="366">
      <c r="A366" s="8">
        <f t="shared" si="3"/>
        <v>365</v>
      </c>
      <c r="B366" s="8" t="s">
        <v>135</v>
      </c>
      <c r="C366" s="8" t="s">
        <v>19</v>
      </c>
      <c r="D366" s="8">
        <v>0.0</v>
      </c>
      <c r="E366" s="8" t="s">
        <v>2166</v>
      </c>
      <c r="F366" s="8">
        <v>8.0</v>
      </c>
      <c r="G366" s="8">
        <v>3.0</v>
      </c>
      <c r="H366" s="109">
        <f>15/(11*2)</f>
        <v>0.6818181818</v>
      </c>
      <c r="I366" s="8"/>
      <c r="J366" s="8"/>
      <c r="K366" s="8"/>
      <c r="L366" s="8" t="s">
        <v>1175</v>
      </c>
      <c r="M366" s="8" t="s">
        <v>598</v>
      </c>
      <c r="N366" s="8" t="s">
        <v>29</v>
      </c>
      <c r="O366" s="8"/>
      <c r="P366" s="9">
        <v>-2.5</v>
      </c>
      <c r="Q366" s="9">
        <v>0.25</v>
      </c>
      <c r="R366" s="9">
        <v>0.25</v>
      </c>
      <c r="S366" s="10">
        <v>45564.0</v>
      </c>
      <c r="T366" s="11">
        <v>1.8</v>
      </c>
      <c r="U366" s="8" t="s">
        <v>33</v>
      </c>
      <c r="V366" s="12">
        <f t="shared" si="1"/>
        <v>0.2</v>
      </c>
      <c r="W366" s="12">
        <f t="shared" si="4"/>
        <v>-1.10459074</v>
      </c>
    </row>
    <row r="367">
      <c r="A367" s="15">
        <f t="shared" si="3"/>
        <v>366</v>
      </c>
      <c r="B367" s="15" t="s">
        <v>26</v>
      </c>
      <c r="C367" s="15" t="s">
        <v>19</v>
      </c>
      <c r="D367" s="15">
        <v>21.0</v>
      </c>
      <c r="E367" s="15" t="s">
        <v>2167</v>
      </c>
      <c r="F367" s="15">
        <v>10.0</v>
      </c>
      <c r="G367" s="15">
        <v>9.0</v>
      </c>
      <c r="H367" s="112">
        <f>4/(15*2)</f>
        <v>0.1333333333</v>
      </c>
      <c r="I367" s="15" t="s">
        <v>1479</v>
      </c>
      <c r="J367" s="15" t="s">
        <v>1480</v>
      </c>
      <c r="K367" s="15">
        <v>0.0</v>
      </c>
      <c r="L367" s="15" t="s">
        <v>109</v>
      </c>
      <c r="M367" s="15" t="s">
        <v>22</v>
      </c>
      <c r="N367" s="15" t="s">
        <v>892</v>
      </c>
      <c r="O367" s="15"/>
      <c r="P367" s="16">
        <v>0.0</v>
      </c>
      <c r="Q367" s="16">
        <v>0.25</v>
      </c>
      <c r="R367" s="16">
        <v>0.168</v>
      </c>
      <c r="S367" s="17">
        <v>45564.0</v>
      </c>
      <c r="T367" s="18">
        <v>1.8</v>
      </c>
      <c r="U367" s="15" t="s">
        <v>70</v>
      </c>
      <c r="V367" s="19">
        <f t="shared" si="1"/>
        <v>0</v>
      </c>
      <c r="W367" s="19">
        <f t="shared" si="4"/>
        <v>-1.10459074</v>
      </c>
    </row>
    <row r="368">
      <c r="A368" s="8">
        <f t="shared" si="3"/>
        <v>367</v>
      </c>
      <c r="B368" s="8" t="s">
        <v>26</v>
      </c>
      <c r="C368" s="8" t="s">
        <v>19</v>
      </c>
      <c r="D368" s="8">
        <v>42.0</v>
      </c>
      <c r="E368" s="8" t="s">
        <v>2168</v>
      </c>
      <c r="F368" s="8">
        <v>7.0</v>
      </c>
      <c r="G368" s="8">
        <v>17.0</v>
      </c>
      <c r="H368" s="109">
        <f>3/(17*2)</f>
        <v>0.08823529412</v>
      </c>
      <c r="I368" s="8" t="s">
        <v>1473</v>
      </c>
      <c r="J368" s="8" t="s">
        <v>1474</v>
      </c>
      <c r="K368" s="8">
        <v>0.0</v>
      </c>
      <c r="L368" s="8" t="s">
        <v>121</v>
      </c>
      <c r="M368" s="8" t="s">
        <v>22</v>
      </c>
      <c r="N368" s="8" t="s">
        <v>225</v>
      </c>
      <c r="O368" s="8"/>
      <c r="P368" s="8">
        <v>0.25</v>
      </c>
      <c r="Q368" s="9">
        <v>0.5</v>
      </c>
      <c r="R368" s="9">
        <v>0.5</v>
      </c>
      <c r="S368" s="10">
        <v>45564.0</v>
      </c>
      <c r="T368" s="11">
        <v>1.2392</v>
      </c>
      <c r="U368" s="8" t="s">
        <v>33</v>
      </c>
      <c r="V368" s="12">
        <f t="shared" si="1"/>
        <v>0.1196</v>
      </c>
      <c r="W368" s="12">
        <f t="shared" si="4"/>
        <v>-0.9849907397</v>
      </c>
    </row>
    <row r="369">
      <c r="A369" s="15">
        <f t="shared" si="3"/>
        <v>368</v>
      </c>
      <c r="B369" s="15" t="s">
        <v>135</v>
      </c>
      <c r="C369" s="15" t="s">
        <v>19</v>
      </c>
      <c r="D369" s="15">
        <v>0.0</v>
      </c>
      <c r="E369" s="15" t="s">
        <v>2169</v>
      </c>
      <c r="F369" s="15">
        <v>1.0</v>
      </c>
      <c r="G369" s="15">
        <v>14.0</v>
      </c>
      <c r="H369" s="112">
        <f>4/(13*2)</f>
        <v>0.1538461538</v>
      </c>
      <c r="I369" s="15"/>
      <c r="J369" s="15"/>
      <c r="K369" s="15"/>
      <c r="L369" s="15" t="s">
        <v>66</v>
      </c>
      <c r="M369" s="15" t="s">
        <v>598</v>
      </c>
      <c r="N369" s="15" t="s">
        <v>29</v>
      </c>
      <c r="O369" s="15"/>
      <c r="P369" s="15">
        <v>-2.5</v>
      </c>
      <c r="Q369" s="16">
        <v>0.25</v>
      </c>
      <c r="R369" s="16">
        <v>0.25</v>
      </c>
      <c r="S369" s="17">
        <v>45564.0</v>
      </c>
      <c r="T369" s="18">
        <v>1.925</v>
      </c>
      <c r="U369" s="15" t="s">
        <v>25</v>
      </c>
      <c r="V369" s="19">
        <f t="shared" si="1"/>
        <v>-0.25</v>
      </c>
      <c r="W369" s="19">
        <f t="shared" si="4"/>
        <v>-1.23499074</v>
      </c>
    </row>
    <row r="370">
      <c r="A370" s="8">
        <f t="shared" si="3"/>
        <v>369</v>
      </c>
      <c r="B370" s="8" t="s">
        <v>18</v>
      </c>
      <c r="C370" s="8" t="s">
        <v>19</v>
      </c>
      <c r="D370" s="8">
        <v>71.0</v>
      </c>
      <c r="E370" s="8" t="s">
        <v>2170</v>
      </c>
      <c r="F370" s="8">
        <v>15.0</v>
      </c>
      <c r="G370" s="8">
        <v>6.0</v>
      </c>
      <c r="H370" s="109">
        <f>5/(15*2)</f>
        <v>0.1666666667</v>
      </c>
      <c r="I370" s="8" t="s">
        <v>1473</v>
      </c>
      <c r="J370" s="8" t="s">
        <v>1480</v>
      </c>
      <c r="K370" s="8">
        <v>-1.0</v>
      </c>
      <c r="L370" s="8" t="s">
        <v>1201</v>
      </c>
      <c r="M370" s="8" t="s">
        <v>22</v>
      </c>
      <c r="N370" s="8" t="s">
        <v>892</v>
      </c>
      <c r="O370" s="8"/>
      <c r="P370" s="9">
        <v>0.0</v>
      </c>
      <c r="Q370" s="9">
        <v>0.5</v>
      </c>
      <c r="R370" s="9">
        <v>0.5</v>
      </c>
      <c r="S370" s="10">
        <v>45564.0</v>
      </c>
      <c r="T370" s="11">
        <v>2.2</v>
      </c>
      <c r="U370" s="8" t="s">
        <v>25</v>
      </c>
      <c r="V370" s="12">
        <f t="shared" si="1"/>
        <v>-0.5</v>
      </c>
      <c r="W370" s="12">
        <f t="shared" si="4"/>
        <v>-1.73499074</v>
      </c>
    </row>
    <row r="371">
      <c r="A371" s="15">
        <f t="shared" si="3"/>
        <v>370</v>
      </c>
      <c r="B371" s="15" t="s">
        <v>26</v>
      </c>
      <c r="C371" s="15" t="s">
        <v>19</v>
      </c>
      <c r="D371" s="15">
        <v>69.0</v>
      </c>
      <c r="E371" s="15" t="s">
        <v>2171</v>
      </c>
      <c r="F371" s="15">
        <v>3.0</v>
      </c>
      <c r="G371" s="15">
        <v>1.0</v>
      </c>
      <c r="H371" s="112">
        <f>6/(15*2)</f>
        <v>0.2</v>
      </c>
      <c r="I371" s="15" t="s">
        <v>1479</v>
      </c>
      <c r="J371" s="15" t="s">
        <v>1480</v>
      </c>
      <c r="K371" s="15">
        <v>-1.0</v>
      </c>
      <c r="L371" s="15" t="s">
        <v>101</v>
      </c>
      <c r="M371" s="15" t="s">
        <v>22</v>
      </c>
      <c r="N371" s="15" t="s">
        <v>892</v>
      </c>
      <c r="O371" s="15"/>
      <c r="P371" s="16">
        <v>0.0</v>
      </c>
      <c r="Q371" s="16">
        <v>0.6</v>
      </c>
      <c r="R371" s="16">
        <v>0.6</v>
      </c>
      <c r="S371" s="17">
        <v>45564.0</v>
      </c>
      <c r="T371" s="18">
        <v>2.025</v>
      </c>
      <c r="U371" s="15" t="s">
        <v>33</v>
      </c>
      <c r="V371" s="19">
        <f t="shared" si="1"/>
        <v>0.615</v>
      </c>
      <c r="W371" s="19">
        <f t="shared" si="4"/>
        <v>-1.11999074</v>
      </c>
    </row>
    <row r="372">
      <c r="A372" s="8">
        <f t="shared" si="3"/>
        <v>371</v>
      </c>
      <c r="B372" s="8" t="s">
        <v>18</v>
      </c>
      <c r="C372" s="8" t="s">
        <v>19</v>
      </c>
      <c r="D372" s="8">
        <v>71.0</v>
      </c>
      <c r="E372" s="8" t="s">
        <v>2172</v>
      </c>
      <c r="F372" s="8">
        <v>11.0</v>
      </c>
      <c r="G372" s="8">
        <v>10.0</v>
      </c>
      <c r="H372" s="109">
        <f>7/(15*2)</f>
        <v>0.2333333333</v>
      </c>
      <c r="I372" s="8" t="s">
        <v>1479</v>
      </c>
      <c r="J372" s="8" t="s">
        <v>1480</v>
      </c>
      <c r="K372" s="8">
        <v>0.0</v>
      </c>
      <c r="L372" s="8" t="s">
        <v>101</v>
      </c>
      <c r="M372" s="8" t="s">
        <v>22</v>
      </c>
      <c r="N372" s="8" t="s">
        <v>892</v>
      </c>
      <c r="O372" s="8"/>
      <c r="P372" s="9">
        <v>0.0</v>
      </c>
      <c r="Q372" s="9">
        <v>0.5</v>
      </c>
      <c r="R372" s="9">
        <v>0.5</v>
      </c>
      <c r="S372" s="10">
        <v>45564.0</v>
      </c>
      <c r="T372" s="11">
        <v>1.7</v>
      </c>
      <c r="U372" s="8" t="s">
        <v>70</v>
      </c>
      <c r="V372" s="12">
        <f t="shared" si="1"/>
        <v>0</v>
      </c>
      <c r="W372" s="12">
        <f t="shared" si="4"/>
        <v>-1.11999074</v>
      </c>
    </row>
    <row r="373">
      <c r="A373" s="15">
        <f t="shared" si="3"/>
        <v>372</v>
      </c>
      <c r="B373" s="15" t="s">
        <v>26</v>
      </c>
      <c r="C373" s="15" t="s">
        <v>19</v>
      </c>
      <c r="D373" s="15">
        <v>75.0</v>
      </c>
      <c r="E373" s="15" t="s">
        <v>2173</v>
      </c>
      <c r="F373" s="15">
        <v>6.0</v>
      </c>
      <c r="G373" s="15">
        <v>3.0</v>
      </c>
      <c r="H373" s="112">
        <f>3/(17*2)</f>
        <v>0.08823529412</v>
      </c>
      <c r="I373" s="15" t="s">
        <v>1479</v>
      </c>
      <c r="J373" s="15" t="s">
        <v>1480</v>
      </c>
      <c r="K373" s="15">
        <v>-2.0</v>
      </c>
      <c r="L373" s="15" t="s">
        <v>121</v>
      </c>
      <c r="M373" s="15" t="s">
        <v>22</v>
      </c>
      <c r="N373" s="15" t="s">
        <v>892</v>
      </c>
      <c r="O373" s="15" t="s">
        <v>1522</v>
      </c>
      <c r="P373" s="16">
        <v>0.0</v>
      </c>
      <c r="Q373" s="16">
        <v>0.5</v>
      </c>
      <c r="R373" s="16">
        <v>0.5</v>
      </c>
      <c r="S373" s="17">
        <v>45564.0</v>
      </c>
      <c r="T373" s="18">
        <v>1.75</v>
      </c>
      <c r="U373" s="15" t="s">
        <v>70</v>
      </c>
      <c r="V373" s="19">
        <f t="shared" si="1"/>
        <v>0</v>
      </c>
      <c r="W373" s="19">
        <f t="shared" si="4"/>
        <v>-1.11999074</v>
      </c>
    </row>
    <row r="374">
      <c r="A374" s="8">
        <f t="shared" si="3"/>
        <v>373</v>
      </c>
      <c r="B374" s="8"/>
      <c r="C374" s="8"/>
      <c r="D374" s="8"/>
      <c r="E374" s="8" t="s">
        <v>2174</v>
      </c>
      <c r="F374" s="8"/>
      <c r="G374" s="8"/>
      <c r="H374" s="8"/>
      <c r="I374" s="8" t="s">
        <v>1473</v>
      </c>
      <c r="J374" s="8" t="s">
        <v>1474</v>
      </c>
      <c r="K374" s="8">
        <v>-2.0</v>
      </c>
      <c r="L374" s="8" t="s">
        <v>675</v>
      </c>
      <c r="M374" s="8" t="s">
        <v>22</v>
      </c>
      <c r="N374" s="8" t="s">
        <v>225</v>
      </c>
      <c r="O374" s="8"/>
      <c r="P374" s="8">
        <v>0.25</v>
      </c>
      <c r="Q374" s="9">
        <v>0.25</v>
      </c>
      <c r="R374" s="9">
        <v>0.25</v>
      </c>
      <c r="S374" s="10">
        <v>45565.0</v>
      </c>
      <c r="T374" s="11">
        <v>1.95</v>
      </c>
      <c r="U374" s="8" t="s">
        <v>25</v>
      </c>
      <c r="V374" s="12">
        <f t="shared" si="1"/>
        <v>-0.25</v>
      </c>
      <c r="W374" s="12">
        <f t="shared" si="4"/>
        <v>-1.36999074</v>
      </c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24"/>
      <c r="Q375" s="16"/>
      <c r="R375" s="16"/>
      <c r="S375" s="17"/>
      <c r="T375" s="15"/>
      <c r="U375" s="15"/>
      <c r="V375" s="19" t="str">
        <f t="shared" si="1"/>
        <v/>
      </c>
      <c r="W375" s="19">
        <f t="shared" si="4"/>
        <v>-1.36999074</v>
      </c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123"/>
      <c r="Q376" s="9"/>
      <c r="R376" s="9"/>
      <c r="S376" s="10"/>
      <c r="T376" s="8"/>
      <c r="U376" s="8"/>
      <c r="V376" s="12" t="str">
        <f t="shared" si="1"/>
        <v/>
      </c>
      <c r="W376" s="12">
        <f t="shared" si="4"/>
        <v>-1.36999074</v>
      </c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24"/>
      <c r="Q377" s="16"/>
      <c r="R377" s="16"/>
      <c r="S377" s="17"/>
      <c r="T377" s="15"/>
      <c r="U377" s="15"/>
      <c r="V377" s="19" t="str">
        <f t="shared" si="1"/>
        <v/>
      </c>
      <c r="W377" s="19">
        <f t="shared" si="4"/>
        <v>-1.36999074</v>
      </c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123"/>
      <c r="Q378" s="9"/>
      <c r="R378" s="9"/>
      <c r="S378" s="10"/>
      <c r="T378" s="8"/>
      <c r="U378" s="8"/>
      <c r="V378" s="12" t="str">
        <f t="shared" si="1"/>
        <v/>
      </c>
      <c r="W378" s="12">
        <f t="shared" si="4"/>
        <v>-1.36999074</v>
      </c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24"/>
      <c r="Q379" s="16"/>
      <c r="R379" s="16"/>
      <c r="S379" s="17"/>
      <c r="T379" s="15"/>
      <c r="U379" s="15"/>
      <c r="V379" s="19" t="str">
        <f t="shared" si="1"/>
        <v/>
      </c>
      <c r="W379" s="19">
        <f t="shared" si="4"/>
        <v>-1.36999074</v>
      </c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123"/>
      <c r="Q380" s="9"/>
      <c r="R380" s="9"/>
      <c r="S380" s="10"/>
      <c r="T380" s="8"/>
      <c r="U380" s="8"/>
      <c r="V380" s="12" t="str">
        <f t="shared" si="1"/>
        <v/>
      </c>
      <c r="W380" s="12">
        <f t="shared" si="4"/>
        <v>-1.36999074</v>
      </c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24"/>
      <c r="Q381" s="16"/>
      <c r="R381" s="16"/>
      <c r="S381" s="17"/>
      <c r="T381" s="15"/>
      <c r="U381" s="15"/>
      <c r="V381" s="19" t="str">
        <f t="shared" si="1"/>
        <v/>
      </c>
      <c r="W381" s="19">
        <f t="shared" si="4"/>
        <v>-1.36999074</v>
      </c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123"/>
      <c r="Q382" s="9"/>
      <c r="R382" s="9"/>
      <c r="S382" s="10"/>
      <c r="T382" s="8"/>
      <c r="U382" s="8"/>
      <c r="V382" s="12" t="str">
        <f t="shared" si="1"/>
        <v/>
      </c>
      <c r="W382" s="12">
        <f t="shared" si="4"/>
        <v>-1.36999074</v>
      </c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24"/>
      <c r="Q383" s="16"/>
      <c r="R383" s="16"/>
      <c r="S383" s="17"/>
      <c r="T383" s="15"/>
      <c r="U383" s="15"/>
      <c r="V383" s="19" t="str">
        <f t="shared" si="1"/>
        <v/>
      </c>
      <c r="W383" s="19">
        <f t="shared" si="4"/>
        <v>-1.36999074</v>
      </c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123"/>
      <c r="Q384" s="9"/>
      <c r="R384" s="9"/>
      <c r="S384" s="10"/>
      <c r="T384" s="8"/>
      <c r="U384" s="8"/>
      <c r="V384" s="12" t="str">
        <f t="shared" si="1"/>
        <v/>
      </c>
      <c r="W384" s="12">
        <f t="shared" si="4"/>
        <v>-1.36999074</v>
      </c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24"/>
      <c r="Q385" s="16"/>
      <c r="R385" s="16"/>
      <c r="S385" s="17"/>
      <c r="T385" s="15"/>
      <c r="U385" s="15"/>
      <c r="V385" s="19" t="str">
        <f t="shared" si="1"/>
        <v/>
      </c>
      <c r="W385" s="19">
        <f t="shared" si="4"/>
        <v>-1.36999074</v>
      </c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123"/>
      <c r="Q386" s="9"/>
      <c r="R386" s="9"/>
      <c r="S386" s="10"/>
      <c r="T386" s="8"/>
      <c r="U386" s="8"/>
      <c r="V386" s="12" t="str">
        <f t="shared" si="1"/>
        <v/>
      </c>
      <c r="W386" s="12">
        <f t="shared" si="4"/>
        <v>-1.36999074</v>
      </c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24"/>
      <c r="Q387" s="16"/>
      <c r="R387" s="16"/>
      <c r="S387" s="17"/>
      <c r="T387" s="15"/>
      <c r="U387" s="15"/>
      <c r="V387" s="19" t="str">
        <f t="shared" si="1"/>
        <v/>
      </c>
      <c r="W387" s="19">
        <f t="shared" si="4"/>
        <v>-1.36999074</v>
      </c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123"/>
      <c r="Q388" s="9"/>
      <c r="R388" s="9"/>
      <c r="S388" s="10"/>
      <c r="T388" s="8"/>
      <c r="U388" s="8"/>
      <c r="V388" s="12" t="str">
        <f t="shared" si="1"/>
        <v/>
      </c>
      <c r="W388" s="12">
        <f t="shared" si="4"/>
        <v>-1.36999074</v>
      </c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24"/>
      <c r="Q389" s="16"/>
      <c r="R389" s="16"/>
      <c r="S389" s="17"/>
      <c r="T389" s="15"/>
      <c r="U389" s="15"/>
      <c r="V389" s="19" t="str">
        <f t="shared" si="1"/>
        <v/>
      </c>
      <c r="W389" s="19">
        <f t="shared" si="4"/>
        <v>-1.36999074</v>
      </c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123"/>
      <c r="Q390" s="9"/>
      <c r="R390" s="9"/>
      <c r="S390" s="10"/>
      <c r="T390" s="8"/>
      <c r="U390" s="8"/>
      <c r="V390" s="12" t="str">
        <f t="shared" si="1"/>
        <v/>
      </c>
      <c r="W390" s="12">
        <f t="shared" si="4"/>
        <v>-1.36999074</v>
      </c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24"/>
      <c r="Q391" s="16"/>
      <c r="R391" s="16"/>
      <c r="S391" s="17"/>
      <c r="T391" s="15"/>
      <c r="U391" s="15"/>
      <c r="V391" s="19" t="str">
        <f t="shared" si="1"/>
        <v/>
      </c>
      <c r="W391" s="19">
        <f t="shared" si="4"/>
        <v>-1.36999074</v>
      </c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123"/>
      <c r="Q392" s="9"/>
      <c r="R392" s="9"/>
      <c r="S392" s="10"/>
      <c r="T392" s="8"/>
      <c r="U392" s="8"/>
      <c r="V392" s="12" t="str">
        <f t="shared" si="1"/>
        <v/>
      </c>
      <c r="W392" s="12">
        <f t="shared" si="4"/>
        <v>-1.36999074</v>
      </c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24"/>
      <c r="Q393" s="16"/>
      <c r="R393" s="16"/>
      <c r="S393" s="17"/>
      <c r="T393" s="15"/>
      <c r="U393" s="15"/>
      <c r="V393" s="19" t="str">
        <f t="shared" si="1"/>
        <v/>
      </c>
      <c r="W393" s="19">
        <f t="shared" si="4"/>
        <v>-1.36999074</v>
      </c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123"/>
      <c r="Q394" s="9"/>
      <c r="R394" s="9"/>
      <c r="S394" s="10"/>
      <c r="T394" s="8"/>
      <c r="U394" s="8"/>
      <c r="V394" s="12" t="str">
        <f t="shared" ref="V394:V396" si="24">IF(U395="ganha",(R394*(T394-1)),IF(U395="perdida",-R394,IF(U395="devolvida",0,IF(U395="ganha/devolvida",((R394*(T394-1)))/2,IF(U395="perdida/devolvida",-R394/2,IF(U395="Aguardando",0,""))))))</f>
        <v/>
      </c>
      <c r="W394" s="12">
        <f t="shared" si="4"/>
        <v>-1.36999074</v>
      </c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24"/>
      <c r="Q395" s="16"/>
      <c r="R395" s="16"/>
      <c r="S395" s="17"/>
      <c r="T395" s="15"/>
      <c r="U395" s="15"/>
      <c r="V395" s="19" t="str">
        <f t="shared" si="24"/>
        <v/>
      </c>
      <c r="W395" s="19">
        <f t="shared" si="4"/>
        <v>-1.36999074</v>
      </c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123"/>
      <c r="Q396" s="9"/>
      <c r="R396" s="9"/>
      <c r="S396" s="10"/>
      <c r="T396" s="8"/>
      <c r="U396" s="8"/>
      <c r="V396" s="12" t="str">
        <f t="shared" si="24"/>
        <v/>
      </c>
      <c r="W396" s="12">
        <f t="shared" si="4"/>
        <v>-1.36999074</v>
      </c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24"/>
      <c r="Q397" s="16"/>
      <c r="R397" s="16"/>
      <c r="S397" s="17"/>
      <c r="T397" s="15"/>
      <c r="U397" s="15"/>
      <c r="V397" s="124"/>
      <c r="W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123"/>
      <c r="Q398" s="9"/>
      <c r="R398" s="9"/>
      <c r="S398" s="10"/>
      <c r="T398" s="8"/>
      <c r="U398" s="8"/>
      <c r="V398" s="123"/>
      <c r="W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24"/>
      <c r="Q399" s="16"/>
      <c r="R399" s="16"/>
      <c r="S399" s="17"/>
      <c r="T399" s="15"/>
      <c r="U399" s="15"/>
      <c r="V399" s="124"/>
      <c r="W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123"/>
      <c r="Q400" s="9"/>
      <c r="R400" s="9"/>
      <c r="S400" s="10"/>
      <c r="T400" s="8"/>
      <c r="U400" s="8"/>
      <c r="V400" s="123"/>
      <c r="W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24"/>
      <c r="Q401" s="16"/>
      <c r="R401" s="16"/>
      <c r="S401" s="17"/>
      <c r="T401" s="15"/>
      <c r="U401" s="15"/>
      <c r="V401" s="124"/>
      <c r="W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123"/>
      <c r="Q402" s="9"/>
      <c r="R402" s="9"/>
      <c r="S402" s="10"/>
      <c r="T402" s="8"/>
      <c r="U402" s="8"/>
      <c r="V402" s="123"/>
      <c r="W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24"/>
      <c r="Q403" s="16"/>
      <c r="R403" s="16"/>
      <c r="S403" s="17"/>
      <c r="T403" s="15"/>
      <c r="U403" s="15"/>
      <c r="V403" s="124"/>
      <c r="W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123"/>
      <c r="Q404" s="9"/>
      <c r="R404" s="9"/>
      <c r="S404" s="10"/>
      <c r="T404" s="8"/>
      <c r="U404" s="8"/>
      <c r="V404" s="123"/>
      <c r="W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24"/>
      <c r="Q405" s="16"/>
      <c r="R405" s="16"/>
      <c r="S405" s="17"/>
      <c r="T405" s="15"/>
      <c r="U405" s="15"/>
      <c r="V405" s="124"/>
      <c r="W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123"/>
      <c r="Q406" s="9"/>
      <c r="R406" s="9"/>
      <c r="S406" s="10"/>
      <c r="T406" s="8"/>
      <c r="U406" s="8"/>
      <c r="V406" s="123"/>
      <c r="W406" s="123"/>
    </row>
    <row r="407">
      <c r="A407" s="15">
        <f t="shared" si="3"/>
        <v>406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24"/>
      <c r="Q407" s="16"/>
      <c r="R407" s="16"/>
      <c r="S407" s="17"/>
      <c r="T407" s="15"/>
      <c r="U407" s="15"/>
      <c r="V407" s="124"/>
      <c r="W407" s="124"/>
    </row>
    <row r="408">
      <c r="A408" s="8">
        <f t="shared" si="3"/>
        <v>407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123"/>
      <c r="Q408" s="9"/>
      <c r="R408" s="9"/>
      <c r="S408" s="10"/>
      <c r="T408" s="8"/>
      <c r="U408" s="8"/>
      <c r="V408" s="123"/>
      <c r="W408" s="123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6"/>
      <c r="Q409" s="127"/>
      <c r="R409" s="127"/>
      <c r="S409" s="128"/>
      <c r="T409" s="125"/>
      <c r="U409" s="15"/>
      <c r="V409" s="126"/>
      <c r="W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30"/>
      <c r="Q410" s="131"/>
      <c r="R410" s="131"/>
      <c r="S410" s="132"/>
      <c r="T410" s="129"/>
      <c r="U410" s="129"/>
      <c r="V410" s="130"/>
      <c r="W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6"/>
      <c r="Q411" s="127"/>
      <c r="R411" s="127"/>
      <c r="S411" s="128"/>
      <c r="T411" s="125"/>
      <c r="U411" s="125"/>
      <c r="V411" s="126"/>
      <c r="W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30"/>
      <c r="Q412" s="131"/>
      <c r="R412" s="131"/>
      <c r="S412" s="132"/>
      <c r="T412" s="129"/>
      <c r="U412" s="129"/>
      <c r="V412" s="130"/>
      <c r="W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6"/>
      <c r="Q413" s="127"/>
      <c r="R413" s="127"/>
      <c r="S413" s="128"/>
      <c r="T413" s="125"/>
      <c r="U413" s="125"/>
      <c r="V413" s="126"/>
      <c r="W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30"/>
      <c r="Q414" s="131"/>
      <c r="R414" s="131"/>
      <c r="S414" s="132"/>
      <c r="T414" s="129"/>
      <c r="U414" s="129"/>
      <c r="V414" s="130"/>
      <c r="W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6"/>
      <c r="Q415" s="127"/>
      <c r="R415" s="127"/>
      <c r="S415" s="128"/>
      <c r="T415" s="125"/>
      <c r="U415" s="125"/>
      <c r="V415" s="126"/>
      <c r="W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30"/>
      <c r="Q416" s="131"/>
      <c r="R416" s="131"/>
      <c r="S416" s="132"/>
      <c r="T416" s="129"/>
      <c r="U416" s="129"/>
      <c r="V416" s="130"/>
      <c r="W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6"/>
      <c r="Q417" s="127"/>
      <c r="R417" s="127"/>
      <c r="S417" s="128"/>
      <c r="T417" s="125"/>
      <c r="U417" s="125"/>
      <c r="V417" s="126"/>
      <c r="W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30"/>
      <c r="Q418" s="131"/>
      <c r="R418" s="131"/>
      <c r="S418" s="132"/>
      <c r="T418" s="129"/>
      <c r="U418" s="129"/>
      <c r="V418" s="130"/>
      <c r="W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6"/>
      <c r="Q419" s="127"/>
      <c r="R419" s="127"/>
      <c r="S419" s="128"/>
      <c r="T419" s="125"/>
      <c r="U419" s="125"/>
      <c r="V419" s="126"/>
      <c r="W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30"/>
      <c r="Q420" s="131"/>
      <c r="R420" s="131"/>
      <c r="S420" s="132"/>
      <c r="T420" s="129"/>
      <c r="U420" s="129"/>
      <c r="V420" s="130"/>
      <c r="W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6"/>
      <c r="Q421" s="127"/>
      <c r="R421" s="127"/>
      <c r="S421" s="128"/>
      <c r="T421" s="125"/>
      <c r="U421" s="125"/>
      <c r="V421" s="126"/>
      <c r="W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30"/>
      <c r="Q422" s="131"/>
      <c r="R422" s="131"/>
      <c r="S422" s="132"/>
      <c r="T422" s="129"/>
      <c r="U422" s="129"/>
      <c r="V422" s="130"/>
      <c r="W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6"/>
      <c r="Q423" s="127"/>
      <c r="R423" s="127"/>
      <c r="S423" s="128"/>
      <c r="T423" s="125"/>
      <c r="U423" s="125"/>
      <c r="V423" s="126"/>
      <c r="W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30"/>
      <c r="Q424" s="131"/>
      <c r="R424" s="131"/>
      <c r="S424" s="132"/>
      <c r="T424" s="129"/>
      <c r="U424" s="129"/>
      <c r="V424" s="130"/>
      <c r="W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6"/>
      <c r="Q425" s="127"/>
      <c r="R425" s="127"/>
      <c r="S425" s="128"/>
      <c r="T425" s="125"/>
      <c r="U425" s="125"/>
      <c r="V425" s="126"/>
      <c r="W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30"/>
      <c r="Q426" s="131"/>
      <c r="R426" s="131"/>
      <c r="S426" s="132"/>
      <c r="T426" s="129"/>
      <c r="U426" s="129"/>
      <c r="V426" s="130"/>
      <c r="W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6"/>
      <c r="Q427" s="127"/>
      <c r="R427" s="127"/>
      <c r="S427" s="128"/>
      <c r="T427" s="125"/>
      <c r="U427" s="125"/>
      <c r="V427" s="126"/>
      <c r="W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30"/>
      <c r="Q428" s="131"/>
      <c r="R428" s="131"/>
      <c r="S428" s="132"/>
      <c r="T428" s="129"/>
      <c r="U428" s="129"/>
      <c r="V428" s="130"/>
      <c r="W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6"/>
      <c r="Q429" s="127"/>
      <c r="R429" s="127"/>
      <c r="S429" s="128"/>
      <c r="T429" s="125"/>
      <c r="U429" s="125"/>
      <c r="V429" s="126"/>
      <c r="W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30"/>
      <c r="Q430" s="131"/>
      <c r="R430" s="131"/>
      <c r="S430" s="132"/>
      <c r="T430" s="129"/>
      <c r="U430" s="129"/>
      <c r="V430" s="130"/>
      <c r="W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6"/>
      <c r="Q431" s="127"/>
      <c r="R431" s="127"/>
      <c r="S431" s="128"/>
      <c r="T431" s="125"/>
      <c r="U431" s="125"/>
      <c r="V431" s="126"/>
      <c r="W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30"/>
      <c r="Q432" s="131"/>
      <c r="R432" s="131"/>
      <c r="S432" s="132"/>
      <c r="T432" s="129"/>
      <c r="U432" s="129"/>
      <c r="V432" s="130"/>
      <c r="W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6"/>
      <c r="Q433" s="127"/>
      <c r="R433" s="127"/>
      <c r="S433" s="128"/>
      <c r="T433" s="125"/>
      <c r="U433" s="125"/>
      <c r="V433" s="126"/>
      <c r="W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30"/>
      <c r="Q434" s="131"/>
      <c r="R434" s="131"/>
      <c r="S434" s="132"/>
      <c r="T434" s="129"/>
      <c r="U434" s="129"/>
      <c r="V434" s="130"/>
      <c r="W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6"/>
      <c r="Q435" s="127"/>
      <c r="R435" s="127"/>
      <c r="S435" s="128"/>
      <c r="T435" s="125"/>
      <c r="U435" s="125"/>
      <c r="V435" s="126"/>
      <c r="W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30"/>
      <c r="Q436" s="131"/>
      <c r="R436" s="131"/>
      <c r="S436" s="132"/>
      <c r="T436" s="129"/>
      <c r="U436" s="129"/>
      <c r="V436" s="130"/>
      <c r="W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6"/>
      <c r="Q437" s="127"/>
      <c r="R437" s="127"/>
      <c r="S437" s="128"/>
      <c r="T437" s="125"/>
      <c r="U437" s="125"/>
      <c r="V437" s="126"/>
      <c r="W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30"/>
      <c r="Q438" s="131"/>
      <c r="R438" s="131"/>
      <c r="S438" s="132"/>
      <c r="T438" s="129"/>
      <c r="U438" s="129"/>
      <c r="V438" s="130"/>
      <c r="W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6"/>
      <c r="Q439" s="127"/>
      <c r="R439" s="127"/>
      <c r="S439" s="128"/>
      <c r="T439" s="125"/>
      <c r="U439" s="125"/>
      <c r="V439" s="126"/>
      <c r="W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30"/>
      <c r="Q440" s="131"/>
      <c r="R440" s="131"/>
      <c r="S440" s="132"/>
      <c r="T440" s="129"/>
      <c r="U440" s="129"/>
      <c r="V440" s="130"/>
      <c r="W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6"/>
      <c r="Q441" s="127"/>
      <c r="R441" s="127"/>
      <c r="S441" s="128"/>
      <c r="T441" s="125"/>
      <c r="U441" s="125"/>
      <c r="V441" s="126"/>
      <c r="W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30"/>
      <c r="Q442" s="131"/>
      <c r="R442" s="131"/>
      <c r="S442" s="132"/>
      <c r="T442" s="129"/>
      <c r="U442" s="129"/>
      <c r="V442" s="130"/>
      <c r="W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6"/>
      <c r="Q443" s="127"/>
      <c r="R443" s="127"/>
      <c r="S443" s="128"/>
      <c r="T443" s="125"/>
      <c r="U443" s="125"/>
      <c r="V443" s="126"/>
      <c r="W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30"/>
      <c r="Q444" s="131"/>
      <c r="R444" s="131"/>
      <c r="S444" s="132"/>
      <c r="T444" s="129"/>
      <c r="U444" s="129"/>
      <c r="V444" s="130"/>
      <c r="W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6"/>
      <c r="Q445" s="127"/>
      <c r="R445" s="127"/>
      <c r="S445" s="128"/>
      <c r="T445" s="125"/>
      <c r="U445" s="125"/>
      <c r="V445" s="126"/>
      <c r="W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30"/>
      <c r="Q446" s="131"/>
      <c r="R446" s="131"/>
      <c r="S446" s="132"/>
      <c r="T446" s="129"/>
      <c r="U446" s="129"/>
      <c r="V446" s="130"/>
      <c r="W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6"/>
      <c r="Q447" s="127"/>
      <c r="R447" s="127"/>
      <c r="S447" s="128"/>
      <c r="T447" s="125"/>
      <c r="U447" s="125"/>
      <c r="V447" s="126"/>
      <c r="W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30"/>
      <c r="Q448" s="131"/>
      <c r="R448" s="131"/>
      <c r="S448" s="132"/>
      <c r="T448" s="129"/>
      <c r="U448" s="129"/>
      <c r="V448" s="130"/>
      <c r="W448" s="130"/>
    </row>
    <row r="4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6"/>
      <c r="Q449" s="127"/>
      <c r="R449" s="127"/>
      <c r="S449" s="128"/>
      <c r="T449" s="125"/>
      <c r="U449" s="125"/>
      <c r="V449" s="126"/>
      <c r="W449" s="126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30"/>
      <c r="Q450" s="131"/>
      <c r="R450" s="131"/>
      <c r="S450" s="132"/>
      <c r="T450" s="129"/>
      <c r="U450" s="129"/>
      <c r="V450" s="130"/>
      <c r="W450" s="130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125"/>
      <c r="V451" s="126"/>
      <c r="W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130"/>
      <c r="W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126"/>
      <c r="W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130"/>
      <c r="W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126"/>
      <c r="W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130"/>
      <c r="W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126"/>
      <c r="W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130"/>
      <c r="W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126"/>
      <c r="W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58"/>
      <c r="V1001" s="29"/>
      <c r="W1001" s="29"/>
    </row>
  </sheetData>
  <autoFilter ref="$A$1:$V$409"/>
  <customSheetViews>
    <customSheetView guid="{9B5C888F-E11A-4842-8D0B-62F1614802A4}" filter="1" showAutoFilter="1">
      <autoFilter ref="$A$1:$V$286">
        <filterColumn colId="13">
          <filters>
            <filter val="AH+"/>
            <filter val="AH-"/>
            <filter val="Dnb"/>
            <filter val="ML HT"/>
          </filters>
        </filterColumn>
      </autoFilter>
    </customSheetView>
    <customSheetView guid="{F477B962-7F95-4B58-B796-7F91B20D0221}" filter="1" showAutoFilter="1">
      <autoFilter ref="$A$1:$AA$409">
        <filterColumn colId="13">
          <filters>
            <filter val="AH-"/>
            <filter val="Under"/>
            <filter val="Dnb"/>
            <filter val="NG"/>
            <filter val="ML HT"/>
            <filter val="ML"/>
          </filters>
        </filterColumn>
      </autoFilter>
    </customSheetView>
    <customSheetView guid="{978C25F2-69C0-4E3B-8EFC-6A6EC3E48DD3}" filter="1" showAutoFilter="1">
      <autoFilter ref="$A$1:$AA$409"/>
    </customSheetView>
    <customSheetView guid="{3D13BECD-F97B-4CC8-B9FC-728C2CBFEBF1}" filter="1" showAutoFilter="1">
      <autoFilter ref="$A$1:$W$409">
        <filterColumn colId="11">
          <filters>
            <filter val="Finlândia"/>
            <filter val="Nigéria"/>
            <filter val="Geórgia"/>
            <filter val="Tanzânia"/>
            <filter val="Trinidad"/>
            <filter val="Thailândia"/>
            <filter val="Islândia"/>
            <filter val="Colombia"/>
            <filter val="Argentina"/>
            <filter val="México"/>
            <filter val="Algéria"/>
            <filter val="Moçambique"/>
            <filter val="Catar"/>
            <filter val="Paraguai"/>
            <filter val="África do Sul"/>
            <filter val="Emir Árabes"/>
            <filter val="AFC"/>
            <filter val="Países Baixos"/>
            <filter val="Suécia"/>
            <filter val="Mauritânia"/>
            <filter val="Costa Rica"/>
            <filter val="Bahrein"/>
            <filter val="Europa"/>
            <filter val="Kuwait"/>
            <filter val="Bósnia e Herz"/>
            <filter val="Grécia"/>
            <filter val="Jordânia"/>
            <filter val="Índia"/>
            <filter val="UEFA"/>
            <filter val="Zimbábue"/>
            <filter val="Mongólia"/>
            <filter val="Uruguai"/>
            <filter val="ASEAN"/>
          </filters>
        </filterColumn>
      </autoFilter>
    </customSheetView>
    <customSheetView guid="{9BA04A38-02DA-4F02-BBBB-302FC15326E0}" filter="1" showAutoFilter="1">
      <autoFilter ref="$A$1:$W$409">
        <filterColumn colId="13">
          <filters>
            <filter val="AH-"/>
            <filter val="Dnb"/>
            <filter val="NG"/>
            <filter val="ML HT"/>
          </filters>
        </filterColumn>
      </autoFilter>
    </customSheetView>
    <customSheetView guid="{D9D1A42E-DDFC-4032-8664-60A2E47E0D40}" filter="1" showAutoFilter="1">
      <autoFilter ref="$A$1:$V$286"/>
    </customSheetView>
    <customSheetView guid="{B1E9CC24-145D-4007-8A11-90FD9E435072}" filter="1" showAutoFilter="1">
      <autoFilter ref="$A$1:$AA$409">
        <filterColumn colId="11">
          <filters>
            <filter val="Polônia"/>
            <filter val="Hungria"/>
            <filter val="Angola"/>
            <filter val="Bolívia"/>
            <filter val="Nigéria"/>
            <filter val="África Sul"/>
            <filter val="Geórgia"/>
            <filter val="EUA"/>
            <filter val="Malaui"/>
            <filter val="Trinidad"/>
            <filter val="Noruega"/>
            <filter val="Thailândia"/>
            <filter val="Romênia"/>
            <filter val="Islândia"/>
            <filter val="Chile"/>
            <filter val="Colombia"/>
            <filter val="Argentina"/>
            <filter val="Omã"/>
            <filter val="Costa Marfim"/>
            <filter val="Algéria"/>
            <filter val="Moçambique"/>
            <filter val="Eslovênia"/>
            <filter val="Bélgica"/>
            <filter val="Ásia"/>
            <filter val="Eslováquia"/>
            <filter val="Croácia"/>
            <filter val="Indonésia"/>
            <filter val="Rep. Tcheca"/>
            <filter val="Catar"/>
            <filter val="Paraguai"/>
            <filter val="África do Sul"/>
            <filter val="Emir Árabes"/>
            <filter val="AFC"/>
            <filter val="Países Baixos"/>
            <filter val="Suécia"/>
            <filter val="Costa Rica"/>
            <filter val="Bahrein"/>
            <filter val="Kosovo"/>
            <filter val="Irlanda Norte"/>
            <filter val="Europa"/>
            <filter val="Kuwait"/>
            <filter val="Bósnia e Herz"/>
            <filter val="Irlanda"/>
            <filter val="Estônia"/>
            <filter val="Jordânia"/>
            <filter val="UEFA"/>
            <filter val="Internacional"/>
            <filter val="Zimbábue"/>
            <filter val="Áustria"/>
            <filter val="Mongólia"/>
            <filter val="Uruguai"/>
            <filter val="ASEAN"/>
          </filters>
        </filterColumn>
      </autoFilter>
    </customSheetView>
    <customSheetView guid="{BA551338-6311-4C02-9137-137E692B7D93}" filter="1" showAutoFilter="1">
      <autoFilter ref="$A$1:$W$409">
        <filterColumn colId="15">
          <filters>
            <filter val="0.00"/>
            <filter val="2.25"/>
            <filter val="0.75"/>
            <filter val="2.00"/>
            <filter val="1.50"/>
            <filter val="0.50"/>
            <filter val="-3.50"/>
            <filter val="-3.75"/>
            <filter val="-4.00"/>
            <filter val="-2.50"/>
            <filter val="-0.50"/>
            <filter val="-2.75"/>
            <filter val="1.25"/>
            <filter val="0.25"/>
            <filter val="-4.25"/>
            <filter val="-2.00"/>
            <filter val="-0.75"/>
            <filter val="-3.25"/>
            <filter val="-2.5"/>
            <filter val="-3.00"/>
            <filter val="-2.25"/>
            <filter val="-0.25"/>
          </filters>
        </filterColumn>
      </autoFilter>
    </customSheetView>
    <customSheetView guid="{C0AB1544-F4B4-45C0-8975-97F745A006DC}" filter="1" showAutoFilter="1">
      <autoFilter ref="$A$1:$AA$409"/>
    </customSheetView>
    <customSheetView guid="{8BE028A4-B37D-4082-AE82-07BBC89EBB11}" filter="1" showAutoFilter="1">
      <autoFilter ref="$A$1:$W$409"/>
    </customSheetView>
  </customSheetViews>
  <mergeCells count="14">
    <mergeCell ref="Y67:AA67"/>
    <mergeCell ref="Y68:AA68"/>
    <mergeCell ref="Y69:AA69"/>
    <mergeCell ref="Y70:AA70"/>
    <mergeCell ref="Y71:AA71"/>
    <mergeCell ref="Y72:AA72"/>
    <mergeCell ref="Y73:AA73"/>
    <mergeCell ref="Y60:AA60"/>
    <mergeCell ref="Y61:AA61"/>
    <mergeCell ref="Y62:AA62"/>
    <mergeCell ref="Y63:AA63"/>
    <mergeCell ref="Y64:AA64"/>
    <mergeCell ref="Y65:AA65"/>
    <mergeCell ref="Y66:AA66"/>
  </mergeCells>
  <conditionalFormatting sqref="U2:U502">
    <cfRule type="cellIs" dxfId="0" priority="1" operator="equal">
      <formula>"Ganha"</formula>
    </cfRule>
  </conditionalFormatting>
  <conditionalFormatting sqref="U2:U502">
    <cfRule type="cellIs" dxfId="1" priority="2" operator="equal">
      <formula>"Ganha/devolvida"</formula>
    </cfRule>
  </conditionalFormatting>
  <conditionalFormatting sqref="U2:U502">
    <cfRule type="cellIs" dxfId="2" priority="3" operator="equal">
      <formula>"Devolvida"</formula>
    </cfRule>
  </conditionalFormatting>
  <conditionalFormatting sqref="U2:U502">
    <cfRule type="cellIs" dxfId="3" priority="4" operator="equal">
      <formula>"Perdida/devolvida"</formula>
    </cfRule>
  </conditionalFormatting>
  <conditionalFormatting sqref="U2:U502">
    <cfRule type="cellIs" dxfId="4" priority="5" operator="equal">
      <formula>"Perdida"</formula>
    </cfRule>
  </conditionalFormatting>
  <conditionalFormatting sqref="V2:V459 W2:W1001 Z2:Z35">
    <cfRule type="cellIs" dxfId="0" priority="6" operator="greaterThan">
      <formula>0</formula>
    </cfRule>
  </conditionalFormatting>
  <conditionalFormatting sqref="V2:V459 W2:W1001 Z2:Z35">
    <cfRule type="cellIs" dxfId="4" priority="7" operator="lessThan">
      <formula>0</formula>
    </cfRule>
  </conditionalFormatting>
  <conditionalFormatting sqref="V2:V1001 W2:W13 Z2:Z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3.75"/>
    <col customWidth="1" min="6" max="6" width="60.88"/>
    <col customWidth="1" min="7" max="10" width="6.38"/>
    <col customWidth="1" min="11" max="11" width="5.5"/>
    <col customWidth="1" min="12" max="12" width="8.0"/>
    <col customWidth="1" min="13" max="13" width="11.25"/>
    <col customWidth="1" min="14" max="14" width="4.5"/>
    <col customWidth="1" min="15" max="15" width="8.13"/>
    <col customWidth="1" min="16" max="16" width="9.5"/>
    <col customWidth="1" min="17" max="20" width="5.88"/>
    <col customWidth="1" min="21" max="21" width="6.5"/>
    <col customWidth="1" min="22" max="22" width="14.75"/>
    <col customWidth="1" min="23" max="23" width="7.38"/>
    <col customWidth="1" min="24" max="24" width="7.25"/>
    <col customWidth="1" min="25" max="25" width="4.13"/>
    <col customWidth="1" min="26" max="26" width="6.25"/>
    <col customWidth="1" min="27" max="27" width="6.5"/>
    <col customWidth="1" min="28" max="28" width="11.63"/>
  </cols>
  <sheetData>
    <row r="1">
      <c r="A1" s="1">
        <v>4.0</v>
      </c>
      <c r="B1" s="2" t="s">
        <v>1</v>
      </c>
      <c r="C1" s="2" t="s">
        <v>2</v>
      </c>
      <c r="D1" s="2" t="s">
        <v>1462</v>
      </c>
      <c r="E1" s="2" t="s">
        <v>1480</v>
      </c>
      <c r="F1" s="3" t="s">
        <v>3</v>
      </c>
      <c r="G1" s="2" t="s">
        <v>1463</v>
      </c>
      <c r="H1" s="2" t="s">
        <v>1464</v>
      </c>
      <c r="I1" s="108" t="s">
        <v>1465</v>
      </c>
      <c r="J1" s="2" t="s">
        <v>1466</v>
      </c>
      <c r="K1" s="2" t="s">
        <v>1467</v>
      </c>
      <c r="L1" s="2" t="s">
        <v>1468</v>
      </c>
      <c r="M1" s="3" t="s">
        <v>4</v>
      </c>
      <c r="N1" s="3" t="s">
        <v>5</v>
      </c>
      <c r="O1" s="3" t="s">
        <v>6</v>
      </c>
      <c r="P1" s="2" t="s">
        <v>7</v>
      </c>
      <c r="Q1" s="4" t="s">
        <v>8</v>
      </c>
      <c r="R1" s="5" t="s">
        <v>9</v>
      </c>
      <c r="S1" s="4" t="s">
        <v>10</v>
      </c>
      <c r="T1" s="6" t="s">
        <v>11</v>
      </c>
      <c r="U1" s="97" t="s">
        <v>12</v>
      </c>
      <c r="V1" s="3" t="s">
        <v>13</v>
      </c>
      <c r="W1" s="5" t="s">
        <v>14</v>
      </c>
      <c r="X1" s="4" t="s">
        <v>15</v>
      </c>
      <c r="Z1" s="3" t="s">
        <v>16</v>
      </c>
      <c r="AA1" s="3" t="s">
        <v>15</v>
      </c>
      <c r="AB1" s="3" t="s">
        <v>17</v>
      </c>
    </row>
    <row r="2">
      <c r="A2" s="8">
        <f>1</f>
        <v>1</v>
      </c>
      <c r="B2" s="8" t="s">
        <v>137</v>
      </c>
      <c r="C2" s="8" t="s">
        <v>40</v>
      </c>
      <c r="D2" s="8">
        <v>51.0</v>
      </c>
      <c r="E2" s="8">
        <v>2.0</v>
      </c>
      <c r="F2" s="8" t="s">
        <v>2175</v>
      </c>
      <c r="G2" s="8">
        <v>6.0</v>
      </c>
      <c r="H2" s="8">
        <v>5.0</v>
      </c>
      <c r="I2" s="109">
        <f>8/15</f>
        <v>0.5333333333</v>
      </c>
      <c r="J2" s="8" t="s">
        <v>1479</v>
      </c>
      <c r="K2" s="8" t="s">
        <v>1474</v>
      </c>
      <c r="L2" s="8">
        <v>0.0</v>
      </c>
      <c r="M2" s="8" t="s">
        <v>877</v>
      </c>
      <c r="N2" s="8" t="s">
        <v>22</v>
      </c>
      <c r="O2" s="8" t="s">
        <v>225</v>
      </c>
      <c r="P2" s="8" t="s">
        <v>24</v>
      </c>
      <c r="Q2" s="9">
        <v>0.25</v>
      </c>
      <c r="R2" s="9">
        <v>0.5</v>
      </c>
      <c r="S2" s="9">
        <v>0.5</v>
      </c>
      <c r="T2" s="10">
        <v>45505.0</v>
      </c>
      <c r="U2" s="11">
        <v>1.7</v>
      </c>
      <c r="V2" s="8" t="s">
        <v>30</v>
      </c>
      <c r="W2" s="12">
        <f t="shared" ref="W2:W393" si="1">IF(V2="ganha",(S2*(U2-1)),IF(V2="perdida",-S2,IF(V2="devolvida",0,IF(V2="ganha/devolvida",((S2*(U2-1)))/2,IF(V2="perdida/devolvida",-S2/2,IF(V2="Aguardando",0,""))))))</f>
        <v>0.175</v>
      </c>
      <c r="X2" s="12">
        <f>W2</f>
        <v>0.175</v>
      </c>
      <c r="Z2" s="66">
        <v>45505.0</v>
      </c>
      <c r="AA2" s="13">
        <f t="shared" ref="AA2:AA32" si="2">SUMIF($T$2:$T$2984,Z2,$W$2:$W$2984)</f>
        <v>0.175</v>
      </c>
      <c r="AB2" s="14">
        <f>SUMIF($V$2:$V$2984,"Aguardando",$S$2:$S$2984)</f>
        <v>0</v>
      </c>
    </row>
    <row r="3" ht="16.5" customHeight="1">
      <c r="A3" s="15">
        <f t="shared" ref="A3:A408" si="3">A2+1</f>
        <v>2</v>
      </c>
      <c r="B3" s="15" t="s">
        <v>26</v>
      </c>
      <c r="C3" s="15" t="s">
        <v>19</v>
      </c>
      <c r="D3" s="15">
        <v>66.0</v>
      </c>
      <c r="E3" s="15">
        <v>3.0</v>
      </c>
      <c r="F3" s="15" t="s">
        <v>2176</v>
      </c>
      <c r="G3" s="15"/>
      <c r="H3" s="15"/>
      <c r="I3" s="110"/>
      <c r="J3" s="15" t="s">
        <v>1473</v>
      </c>
      <c r="K3" s="15" t="s">
        <v>1480</v>
      </c>
      <c r="L3" s="15">
        <v>-1.0</v>
      </c>
      <c r="M3" s="15" t="s">
        <v>101</v>
      </c>
      <c r="N3" s="15" t="s">
        <v>22</v>
      </c>
      <c r="O3" s="15" t="s">
        <v>892</v>
      </c>
      <c r="P3" s="15" t="s">
        <v>24</v>
      </c>
      <c r="Q3" s="16">
        <v>0.0</v>
      </c>
      <c r="R3" s="16">
        <v>0.5</v>
      </c>
      <c r="S3" s="16">
        <v>0.45</v>
      </c>
      <c r="T3" s="17">
        <v>45506.0</v>
      </c>
      <c r="U3" s="18">
        <v>1.9</v>
      </c>
      <c r="V3" s="15" t="s">
        <v>25</v>
      </c>
      <c r="W3" s="19">
        <f t="shared" si="1"/>
        <v>-0.45</v>
      </c>
      <c r="X3" s="19">
        <f t="shared" ref="X3:X360" si="4">X2+W3</f>
        <v>-0.275</v>
      </c>
      <c r="Z3" s="66">
        <v>45506.0</v>
      </c>
      <c r="AA3" s="13">
        <f t="shared" si="2"/>
        <v>-1.319</v>
      </c>
    </row>
    <row r="4">
      <c r="A4" s="8">
        <f t="shared" si="3"/>
        <v>3</v>
      </c>
      <c r="B4" s="8" t="s">
        <v>18</v>
      </c>
      <c r="C4" s="8" t="s">
        <v>19</v>
      </c>
      <c r="D4" s="8">
        <v>54.0</v>
      </c>
      <c r="E4" s="8">
        <v>3.0</v>
      </c>
      <c r="F4" s="8" t="s">
        <v>2177</v>
      </c>
      <c r="G4" s="8">
        <v>11.0</v>
      </c>
      <c r="H4" s="8">
        <v>7.0</v>
      </c>
      <c r="I4" s="111"/>
      <c r="J4" s="8" t="s">
        <v>1479</v>
      </c>
      <c r="K4" s="8" t="s">
        <v>1480</v>
      </c>
      <c r="L4" s="8">
        <v>0.0</v>
      </c>
      <c r="M4" s="8" t="s">
        <v>908</v>
      </c>
      <c r="N4" s="8" t="s">
        <v>22</v>
      </c>
      <c r="O4" s="8" t="s">
        <v>892</v>
      </c>
      <c r="P4" s="8" t="s">
        <v>24</v>
      </c>
      <c r="Q4" s="9">
        <v>0.0</v>
      </c>
      <c r="R4" s="9">
        <v>1.0</v>
      </c>
      <c r="S4" s="9">
        <v>0.92</v>
      </c>
      <c r="T4" s="10">
        <v>45506.0</v>
      </c>
      <c r="U4" s="11">
        <v>1.675</v>
      </c>
      <c r="V4" s="8" t="s">
        <v>33</v>
      </c>
      <c r="W4" s="12">
        <f t="shared" si="1"/>
        <v>0.621</v>
      </c>
      <c r="X4" s="12">
        <f t="shared" si="4"/>
        <v>0.346</v>
      </c>
      <c r="Z4" s="66">
        <v>45507.0</v>
      </c>
      <c r="AA4" s="13">
        <f t="shared" si="2"/>
        <v>1.249</v>
      </c>
      <c r="AB4" s="3" t="s">
        <v>34</v>
      </c>
    </row>
    <row r="5">
      <c r="A5" s="15">
        <f t="shared" si="3"/>
        <v>4</v>
      </c>
      <c r="B5" s="15" t="s">
        <v>26</v>
      </c>
      <c r="C5" s="15" t="s">
        <v>19</v>
      </c>
      <c r="D5" s="15">
        <v>31.0</v>
      </c>
      <c r="E5" s="15">
        <v>2.0</v>
      </c>
      <c r="F5" s="15" t="s">
        <v>2178</v>
      </c>
      <c r="G5" s="15">
        <v>4.0</v>
      </c>
      <c r="H5" s="15">
        <v>3.0</v>
      </c>
      <c r="I5" s="15"/>
      <c r="J5" s="15" t="s">
        <v>1479</v>
      </c>
      <c r="K5" s="15" t="s">
        <v>1474</v>
      </c>
      <c r="L5" s="15">
        <v>0.0</v>
      </c>
      <c r="M5" s="15" t="s">
        <v>2179</v>
      </c>
      <c r="N5" s="15" t="s">
        <v>22</v>
      </c>
      <c r="O5" s="15" t="s">
        <v>225</v>
      </c>
      <c r="P5" s="15" t="s">
        <v>24</v>
      </c>
      <c r="Q5" s="16">
        <v>0.5</v>
      </c>
      <c r="R5" s="16">
        <v>1.0</v>
      </c>
      <c r="S5" s="16">
        <v>0.99</v>
      </c>
      <c r="T5" s="17">
        <v>45506.0</v>
      </c>
      <c r="U5" s="18">
        <v>1.7</v>
      </c>
      <c r="V5" s="15" t="s">
        <v>25</v>
      </c>
      <c r="W5" s="19">
        <f t="shared" si="1"/>
        <v>-0.99</v>
      </c>
      <c r="X5" s="19">
        <f t="shared" si="4"/>
        <v>-0.644</v>
      </c>
      <c r="Z5" s="66">
        <v>45508.0</v>
      </c>
      <c r="AA5" s="13">
        <f t="shared" si="2"/>
        <v>-0.796</v>
      </c>
      <c r="AB5" s="20">
        <f>sum(S2:S1017)</f>
        <v>72.35069437</v>
      </c>
    </row>
    <row r="6">
      <c r="A6" s="8">
        <f t="shared" si="3"/>
        <v>5</v>
      </c>
      <c r="B6" s="8" t="s">
        <v>129</v>
      </c>
      <c r="C6" s="8" t="s">
        <v>19</v>
      </c>
      <c r="D6" s="8">
        <v>19.0</v>
      </c>
      <c r="E6" s="8">
        <v>3.0</v>
      </c>
      <c r="F6" s="8" t="s">
        <v>2180</v>
      </c>
      <c r="G6" s="8"/>
      <c r="H6" s="8"/>
      <c r="I6" s="111"/>
      <c r="J6" s="8" t="s">
        <v>1473</v>
      </c>
      <c r="K6" s="8" t="s">
        <v>1480</v>
      </c>
      <c r="L6" s="8">
        <v>0.0</v>
      </c>
      <c r="M6" s="8" t="s">
        <v>607</v>
      </c>
      <c r="N6" s="8" t="s">
        <v>22</v>
      </c>
      <c r="O6" s="8" t="s">
        <v>1150</v>
      </c>
      <c r="P6" s="8" t="s">
        <v>24</v>
      </c>
      <c r="Q6" s="9">
        <v>0.0</v>
      </c>
      <c r="R6" s="9">
        <v>0.25</v>
      </c>
      <c r="S6" s="9">
        <v>0.25</v>
      </c>
      <c r="T6" s="10">
        <v>45506.0</v>
      </c>
      <c r="U6" s="11">
        <v>1.85</v>
      </c>
      <c r="V6" s="8" t="s">
        <v>70</v>
      </c>
      <c r="W6" s="12">
        <f t="shared" si="1"/>
        <v>0</v>
      </c>
      <c r="X6" s="12">
        <f t="shared" si="4"/>
        <v>-0.644</v>
      </c>
      <c r="Z6" s="66">
        <v>45509.0</v>
      </c>
      <c r="AA6" s="13">
        <f t="shared" si="2"/>
        <v>0</v>
      </c>
    </row>
    <row r="7">
      <c r="A7" s="15">
        <f t="shared" si="3"/>
        <v>6</v>
      </c>
      <c r="B7" s="15" t="s">
        <v>137</v>
      </c>
      <c r="C7" s="15" t="s">
        <v>19</v>
      </c>
      <c r="D7" s="15">
        <v>33.0</v>
      </c>
      <c r="E7" s="15">
        <v>3.0</v>
      </c>
      <c r="F7" s="15" t="s">
        <v>2181</v>
      </c>
      <c r="G7" s="15"/>
      <c r="H7" s="15"/>
      <c r="I7" s="110"/>
      <c r="J7" s="15" t="s">
        <v>1473</v>
      </c>
      <c r="K7" s="15" t="s">
        <v>1480</v>
      </c>
      <c r="L7" s="15">
        <v>-1.0</v>
      </c>
      <c r="M7" s="15" t="s">
        <v>607</v>
      </c>
      <c r="N7" s="15" t="s">
        <v>22</v>
      </c>
      <c r="O7" s="15" t="s">
        <v>892</v>
      </c>
      <c r="P7" s="15" t="s">
        <v>24</v>
      </c>
      <c r="Q7" s="16">
        <v>0.0</v>
      </c>
      <c r="R7" s="16">
        <v>0.5</v>
      </c>
      <c r="S7" s="16">
        <v>0.5</v>
      </c>
      <c r="T7" s="17">
        <v>45506.0</v>
      </c>
      <c r="U7" s="18">
        <v>1.75</v>
      </c>
      <c r="V7" s="15" t="s">
        <v>25</v>
      </c>
      <c r="W7" s="19">
        <f t="shared" si="1"/>
        <v>-0.5</v>
      </c>
      <c r="X7" s="19">
        <f t="shared" si="4"/>
        <v>-1.144</v>
      </c>
      <c r="Z7" s="66">
        <v>45510.0</v>
      </c>
      <c r="AA7" s="13">
        <f t="shared" si="2"/>
        <v>0.255</v>
      </c>
      <c r="AB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>
        <v>69.0</v>
      </c>
      <c r="E8" s="8">
        <v>3.0</v>
      </c>
      <c r="F8" s="8" t="s">
        <v>2182</v>
      </c>
      <c r="G8" s="8"/>
      <c r="H8" s="8"/>
      <c r="I8" s="109"/>
      <c r="J8" s="8" t="s">
        <v>1479</v>
      </c>
      <c r="K8" s="8" t="s">
        <v>1480</v>
      </c>
      <c r="L8" s="8">
        <v>0.0</v>
      </c>
      <c r="M8" s="8" t="s">
        <v>124</v>
      </c>
      <c r="N8" s="8" t="s">
        <v>22</v>
      </c>
      <c r="O8" s="8" t="s">
        <v>892</v>
      </c>
      <c r="P8" s="8" t="s">
        <v>24</v>
      </c>
      <c r="Q8" s="9">
        <v>0.0</v>
      </c>
      <c r="R8" s="9">
        <v>0.5</v>
      </c>
      <c r="S8" s="9">
        <v>0.32</v>
      </c>
      <c r="T8" s="10">
        <v>45507.0</v>
      </c>
      <c r="U8" s="11">
        <v>2.0</v>
      </c>
      <c r="V8" s="8" t="s">
        <v>25</v>
      </c>
      <c r="W8" s="12">
        <f t="shared" si="1"/>
        <v>-0.32</v>
      </c>
      <c r="X8" s="12">
        <f t="shared" si="4"/>
        <v>-1.464</v>
      </c>
      <c r="Z8" s="66">
        <v>45511.0</v>
      </c>
      <c r="AA8" s="13">
        <f t="shared" si="2"/>
        <v>1.48666</v>
      </c>
      <c r="AB8" s="21">
        <f>AA33/(SUM(S2:S4937)-AB2)</f>
        <v>0.1144366778</v>
      </c>
    </row>
    <row r="9">
      <c r="A9" s="15">
        <f t="shared" si="3"/>
        <v>8</v>
      </c>
      <c r="B9" s="15" t="s">
        <v>18</v>
      </c>
      <c r="C9" s="15" t="s">
        <v>40</v>
      </c>
      <c r="D9" s="15">
        <v>20.0</v>
      </c>
      <c r="E9" s="15">
        <v>5.0</v>
      </c>
      <c r="F9" s="15" t="s">
        <v>2183</v>
      </c>
      <c r="G9" s="15"/>
      <c r="H9" s="15"/>
      <c r="I9" s="110"/>
      <c r="J9" s="15" t="s">
        <v>1473</v>
      </c>
      <c r="K9" s="15" t="s">
        <v>1477</v>
      </c>
      <c r="L9" s="15">
        <v>0.0</v>
      </c>
      <c r="M9" s="15" t="s">
        <v>513</v>
      </c>
      <c r="N9" s="15" t="s">
        <v>22</v>
      </c>
      <c r="O9" s="15" t="s">
        <v>894</v>
      </c>
      <c r="P9" s="15" t="s">
        <v>24</v>
      </c>
      <c r="Q9" s="16">
        <v>-0.75</v>
      </c>
      <c r="R9" s="16">
        <v>0.5</v>
      </c>
      <c r="S9" s="16">
        <v>0.5</v>
      </c>
      <c r="T9" s="17">
        <v>45507.0</v>
      </c>
      <c r="U9" s="18">
        <v>1.825</v>
      </c>
      <c r="V9" s="15" t="s">
        <v>33</v>
      </c>
      <c r="W9" s="19">
        <f t="shared" si="1"/>
        <v>0.4125</v>
      </c>
      <c r="X9" s="19">
        <f t="shared" si="4"/>
        <v>-1.0515</v>
      </c>
      <c r="Z9" s="66">
        <v>45512.0</v>
      </c>
      <c r="AA9" s="13">
        <f t="shared" si="2"/>
        <v>0.5758823529</v>
      </c>
    </row>
    <row r="10">
      <c r="A10" s="8">
        <f t="shared" si="3"/>
        <v>9</v>
      </c>
      <c r="B10" s="8" t="s">
        <v>26</v>
      </c>
      <c r="C10" s="8" t="s">
        <v>19</v>
      </c>
      <c r="D10" s="8">
        <v>39.0</v>
      </c>
      <c r="E10" s="8">
        <v>3.0</v>
      </c>
      <c r="F10" s="8" t="s">
        <v>2184</v>
      </c>
      <c r="G10" s="8">
        <v>3.0</v>
      </c>
      <c r="H10" s="8">
        <v>8.0</v>
      </c>
      <c r="I10" s="8"/>
      <c r="J10" s="8" t="s">
        <v>1479</v>
      </c>
      <c r="K10" s="8" t="s">
        <v>1480</v>
      </c>
      <c r="L10" s="8">
        <v>-1.0</v>
      </c>
      <c r="M10" s="8" t="s">
        <v>908</v>
      </c>
      <c r="N10" s="8" t="s">
        <v>22</v>
      </c>
      <c r="O10" s="8" t="s">
        <v>892</v>
      </c>
      <c r="P10" s="8" t="s">
        <v>24</v>
      </c>
      <c r="Q10" s="9">
        <v>0.0</v>
      </c>
      <c r="R10" s="9">
        <v>0.5</v>
      </c>
      <c r="S10" s="9">
        <v>0.5</v>
      </c>
      <c r="T10" s="10">
        <v>45507.0</v>
      </c>
      <c r="U10" s="11">
        <v>1.8</v>
      </c>
      <c r="V10" s="8" t="s">
        <v>33</v>
      </c>
      <c r="W10" s="12">
        <f t="shared" si="1"/>
        <v>0.4</v>
      </c>
      <c r="X10" s="12">
        <f t="shared" si="4"/>
        <v>-0.6515</v>
      </c>
      <c r="Z10" s="66">
        <v>45513.0</v>
      </c>
      <c r="AA10" s="13">
        <f t="shared" si="2"/>
        <v>0.5127117647</v>
      </c>
      <c r="AB10" s="2" t="s">
        <v>51</v>
      </c>
    </row>
    <row r="11">
      <c r="A11" s="15">
        <f t="shared" si="3"/>
        <v>10</v>
      </c>
      <c r="B11" s="15" t="s">
        <v>129</v>
      </c>
      <c r="C11" s="15" t="s">
        <v>19</v>
      </c>
      <c r="D11" s="15">
        <v>66.0</v>
      </c>
      <c r="E11" s="15">
        <v>2.0</v>
      </c>
      <c r="F11" s="15" t="s">
        <v>2185</v>
      </c>
      <c r="G11" s="15">
        <v>13.0</v>
      </c>
      <c r="H11" s="15">
        <v>14.0</v>
      </c>
      <c r="I11" s="110">
        <f>2/(16*2)</f>
        <v>0.0625</v>
      </c>
      <c r="J11" s="15" t="s">
        <v>1473</v>
      </c>
      <c r="K11" s="15" t="s">
        <v>1474</v>
      </c>
      <c r="L11" s="15">
        <v>-2.0</v>
      </c>
      <c r="M11" s="15" t="s">
        <v>44</v>
      </c>
      <c r="N11" s="15" t="s">
        <v>22</v>
      </c>
      <c r="O11" s="15" t="s">
        <v>225</v>
      </c>
      <c r="P11" s="15" t="s">
        <v>24</v>
      </c>
      <c r="Q11" s="16">
        <v>0.25</v>
      </c>
      <c r="R11" s="16">
        <v>0.5</v>
      </c>
      <c r="S11" s="16">
        <v>0.5</v>
      </c>
      <c r="T11" s="17">
        <v>45507.0</v>
      </c>
      <c r="U11" s="18">
        <v>1.107</v>
      </c>
      <c r="V11" s="15" t="s">
        <v>33</v>
      </c>
      <c r="W11" s="19">
        <f t="shared" si="1"/>
        <v>0.0535</v>
      </c>
      <c r="X11" s="19">
        <f t="shared" si="4"/>
        <v>-0.598</v>
      </c>
      <c r="Z11" s="66">
        <v>45514.0</v>
      </c>
      <c r="AA11" s="13">
        <f t="shared" si="2"/>
        <v>0.5692024709</v>
      </c>
      <c r="AB11" s="14">
        <f>average(S2:S1003)</f>
        <v>0.3768265332</v>
      </c>
    </row>
    <row r="12">
      <c r="A12" s="8">
        <f t="shared" si="3"/>
        <v>11</v>
      </c>
      <c r="B12" s="8" t="s">
        <v>129</v>
      </c>
      <c r="C12" s="8" t="s">
        <v>19</v>
      </c>
      <c r="D12" s="8">
        <v>26.0</v>
      </c>
      <c r="E12" s="8">
        <v>3.0</v>
      </c>
      <c r="F12" s="8" t="s">
        <v>2186</v>
      </c>
      <c r="G12" s="8">
        <v>4.0</v>
      </c>
      <c r="H12" s="8">
        <v>5.0</v>
      </c>
      <c r="I12" s="8"/>
      <c r="J12" s="8" t="s">
        <v>1473</v>
      </c>
      <c r="K12" s="8" t="s">
        <v>1480</v>
      </c>
      <c r="L12" s="8">
        <v>0.0</v>
      </c>
      <c r="M12" s="8" t="s">
        <v>463</v>
      </c>
      <c r="N12" s="8" t="s">
        <v>22</v>
      </c>
      <c r="O12" s="8" t="s">
        <v>892</v>
      </c>
      <c r="P12" s="8" t="s">
        <v>24</v>
      </c>
      <c r="Q12" s="9">
        <v>0.0</v>
      </c>
      <c r="R12" s="9">
        <v>0.25</v>
      </c>
      <c r="S12" s="9">
        <v>0.08</v>
      </c>
      <c r="T12" s="10">
        <v>45507.0</v>
      </c>
      <c r="U12" s="11">
        <v>1.95</v>
      </c>
      <c r="V12" s="8" t="s">
        <v>25</v>
      </c>
      <c r="W12" s="12">
        <f t="shared" si="1"/>
        <v>-0.08</v>
      </c>
      <c r="X12" s="12">
        <f t="shared" si="4"/>
        <v>-0.678</v>
      </c>
      <c r="Z12" s="66">
        <v>45515.0</v>
      </c>
      <c r="AA12" s="13">
        <f t="shared" si="2"/>
        <v>0.9068181818</v>
      </c>
    </row>
    <row r="13">
      <c r="A13" s="15">
        <f t="shared" si="3"/>
        <v>12</v>
      </c>
      <c r="B13" s="15" t="s">
        <v>137</v>
      </c>
      <c r="C13" s="15" t="s">
        <v>19</v>
      </c>
      <c r="D13" s="15">
        <v>79.0</v>
      </c>
      <c r="E13" s="15">
        <v>3.0</v>
      </c>
      <c r="F13" s="15" t="s">
        <v>2187</v>
      </c>
      <c r="G13" s="15">
        <v>16.0</v>
      </c>
      <c r="H13" s="15">
        <v>1.0</v>
      </c>
      <c r="I13" s="110">
        <f>2/(17*2)</f>
        <v>0.05882352941</v>
      </c>
      <c r="J13" s="15" t="s">
        <v>1479</v>
      </c>
      <c r="K13" s="15" t="s">
        <v>1480</v>
      </c>
      <c r="L13" s="15">
        <v>0.0</v>
      </c>
      <c r="M13" s="15" t="s">
        <v>44</v>
      </c>
      <c r="N13" s="15" t="s">
        <v>22</v>
      </c>
      <c r="O13" s="15" t="s">
        <v>892</v>
      </c>
      <c r="P13" s="15" t="s">
        <v>24</v>
      </c>
      <c r="Q13" s="16">
        <v>0.0</v>
      </c>
      <c r="R13" s="16">
        <v>0.5</v>
      </c>
      <c r="S13" s="16">
        <v>0.5</v>
      </c>
      <c r="T13" s="17">
        <v>45507.0</v>
      </c>
      <c r="U13" s="18">
        <v>1.725</v>
      </c>
      <c r="V13" s="15" t="s">
        <v>70</v>
      </c>
      <c r="W13" s="19">
        <f t="shared" si="1"/>
        <v>0</v>
      </c>
      <c r="X13" s="19">
        <f t="shared" si="4"/>
        <v>-0.678</v>
      </c>
      <c r="Z13" s="66">
        <v>45516.0</v>
      </c>
      <c r="AA13" s="13">
        <f t="shared" si="2"/>
        <v>0</v>
      </c>
      <c r="AB13" s="2" t="s">
        <v>55</v>
      </c>
    </row>
    <row r="14">
      <c r="A14" s="8">
        <f t="shared" si="3"/>
        <v>13</v>
      </c>
      <c r="B14" s="8" t="s">
        <v>26</v>
      </c>
      <c r="C14" s="8" t="s">
        <v>19</v>
      </c>
      <c r="D14" s="8">
        <v>25.0</v>
      </c>
      <c r="E14" s="8">
        <v>3.0</v>
      </c>
      <c r="F14" s="8" t="s">
        <v>2188</v>
      </c>
      <c r="G14" s="8"/>
      <c r="H14" s="8"/>
      <c r="I14" s="8"/>
      <c r="J14" s="8" t="s">
        <v>1479</v>
      </c>
      <c r="K14" s="8" t="s">
        <v>1480</v>
      </c>
      <c r="L14" s="8">
        <v>0.0</v>
      </c>
      <c r="M14" s="8" t="s">
        <v>38</v>
      </c>
      <c r="N14" s="8" t="s">
        <v>22</v>
      </c>
      <c r="O14" s="8" t="s">
        <v>1150</v>
      </c>
      <c r="P14" s="8" t="s">
        <v>24</v>
      </c>
      <c r="Q14" s="9">
        <v>0.0</v>
      </c>
      <c r="R14" s="9">
        <v>0.25</v>
      </c>
      <c r="S14" s="9">
        <v>0.02</v>
      </c>
      <c r="T14" s="10">
        <v>45507.0</v>
      </c>
      <c r="U14" s="11">
        <v>1.825</v>
      </c>
      <c r="V14" s="8" t="s">
        <v>33</v>
      </c>
      <c r="W14" s="12">
        <f t="shared" si="1"/>
        <v>0.0165</v>
      </c>
      <c r="X14" s="12">
        <f t="shared" si="4"/>
        <v>-0.6615</v>
      </c>
      <c r="Z14" s="66">
        <v>45517.0</v>
      </c>
      <c r="AA14" s="13">
        <f t="shared" si="2"/>
        <v>0.3275</v>
      </c>
      <c r="AB14" s="21">
        <f>(SUMPRODUCT(--(R2:R1003 = S2:S1003))-countif(R2:R1003,""))/countif(R2:R1003,"&gt;0")</f>
        <v>0.5885416667</v>
      </c>
    </row>
    <row r="15">
      <c r="A15" s="15">
        <f t="shared" si="3"/>
        <v>14</v>
      </c>
      <c r="B15" s="15" t="s">
        <v>131</v>
      </c>
      <c r="C15" s="15" t="s">
        <v>19</v>
      </c>
      <c r="D15" s="15">
        <v>60.0</v>
      </c>
      <c r="E15" s="15">
        <v>2.0</v>
      </c>
      <c r="F15" s="15" t="s">
        <v>2189</v>
      </c>
      <c r="G15" s="15"/>
      <c r="H15" s="15"/>
      <c r="I15" s="15"/>
      <c r="J15" s="15" t="s">
        <v>1473</v>
      </c>
      <c r="K15" s="15" t="s">
        <v>1474</v>
      </c>
      <c r="L15" s="15">
        <v>-1.0</v>
      </c>
      <c r="M15" s="15" t="s">
        <v>908</v>
      </c>
      <c r="N15" s="15" t="s">
        <v>22</v>
      </c>
      <c r="O15" s="15" t="s">
        <v>225</v>
      </c>
      <c r="P15" s="15" t="s">
        <v>24</v>
      </c>
      <c r="Q15" s="16">
        <v>0.25</v>
      </c>
      <c r="R15" s="16">
        <v>0.5</v>
      </c>
      <c r="S15" s="16">
        <v>0.49</v>
      </c>
      <c r="T15" s="17">
        <v>45507.0</v>
      </c>
      <c r="U15" s="18">
        <v>1.7</v>
      </c>
      <c r="V15" s="15" t="s">
        <v>30</v>
      </c>
      <c r="W15" s="19">
        <f t="shared" si="1"/>
        <v>0.1715</v>
      </c>
      <c r="X15" s="19">
        <f t="shared" si="4"/>
        <v>-0.49</v>
      </c>
      <c r="Z15" s="66">
        <v>45518.0</v>
      </c>
      <c r="AA15" s="13">
        <f t="shared" si="2"/>
        <v>0.3425</v>
      </c>
    </row>
    <row r="16">
      <c r="A16" s="8">
        <f t="shared" si="3"/>
        <v>15</v>
      </c>
      <c r="B16" s="8" t="s">
        <v>26</v>
      </c>
      <c r="C16" s="8" t="s">
        <v>19</v>
      </c>
      <c r="D16" s="8">
        <v>73.0</v>
      </c>
      <c r="E16" s="8">
        <v>3.0</v>
      </c>
      <c r="F16" s="8" t="s">
        <v>2190</v>
      </c>
      <c r="G16" s="8"/>
      <c r="H16" s="8"/>
      <c r="I16" s="111"/>
      <c r="J16" s="8" t="s">
        <v>1479</v>
      </c>
      <c r="K16" s="8" t="s">
        <v>1480</v>
      </c>
      <c r="L16" s="8">
        <v>1.0</v>
      </c>
      <c r="M16" s="8" t="s">
        <v>101</v>
      </c>
      <c r="N16" s="8" t="s">
        <v>22</v>
      </c>
      <c r="O16" s="8" t="s">
        <v>892</v>
      </c>
      <c r="P16" s="8" t="s">
        <v>24</v>
      </c>
      <c r="Q16" s="9">
        <v>0.0</v>
      </c>
      <c r="R16" s="9">
        <v>0.5</v>
      </c>
      <c r="S16" s="9">
        <v>0.5</v>
      </c>
      <c r="T16" s="10">
        <v>45507.0</v>
      </c>
      <c r="U16" s="11">
        <v>1.925</v>
      </c>
      <c r="V16" s="8" t="s">
        <v>25</v>
      </c>
      <c r="W16" s="12">
        <f t="shared" si="1"/>
        <v>-0.5</v>
      </c>
      <c r="X16" s="12">
        <f t="shared" si="4"/>
        <v>-0.99</v>
      </c>
      <c r="Z16" s="66">
        <v>45519.0</v>
      </c>
      <c r="AA16" s="13">
        <f t="shared" si="2"/>
        <v>-0.16425</v>
      </c>
      <c r="AB16" s="2" t="s">
        <v>61</v>
      </c>
    </row>
    <row r="17">
      <c r="A17" s="15">
        <f t="shared" si="3"/>
        <v>16</v>
      </c>
      <c r="B17" s="15" t="s">
        <v>18</v>
      </c>
      <c r="C17" s="15" t="s">
        <v>19</v>
      </c>
      <c r="D17" s="15">
        <v>72.0</v>
      </c>
      <c r="E17" s="15">
        <v>3.0</v>
      </c>
      <c r="F17" s="15" t="s">
        <v>2191</v>
      </c>
      <c r="G17" s="15"/>
      <c r="H17" s="15"/>
      <c r="I17" s="110"/>
      <c r="J17" s="15" t="s">
        <v>1473</v>
      </c>
      <c r="K17" s="15" t="s">
        <v>1480</v>
      </c>
      <c r="L17" s="15">
        <v>-1.0</v>
      </c>
      <c r="M17" s="15" t="s">
        <v>74</v>
      </c>
      <c r="N17" s="15" t="s">
        <v>22</v>
      </c>
      <c r="O17" s="15" t="s">
        <v>892</v>
      </c>
      <c r="P17" s="15" t="s">
        <v>24</v>
      </c>
      <c r="Q17" s="16">
        <v>0.0</v>
      </c>
      <c r="R17" s="16">
        <v>0.5</v>
      </c>
      <c r="S17" s="16">
        <v>0.5</v>
      </c>
      <c r="T17" s="17">
        <v>45507.0</v>
      </c>
      <c r="U17" s="18">
        <v>2.0</v>
      </c>
      <c r="V17" s="15" t="s">
        <v>33</v>
      </c>
      <c r="W17" s="19">
        <f t="shared" si="1"/>
        <v>0.5</v>
      </c>
      <c r="X17" s="19">
        <f t="shared" si="4"/>
        <v>-0.49</v>
      </c>
      <c r="Z17" s="66">
        <v>45520.0</v>
      </c>
      <c r="AA17" s="13">
        <f t="shared" si="2"/>
        <v>0.79375</v>
      </c>
      <c r="AB17" s="22">
        <f>average(U2:U202)</f>
        <v>1.90048941</v>
      </c>
    </row>
    <row r="18">
      <c r="A18" s="8">
        <f t="shared" si="3"/>
        <v>17</v>
      </c>
      <c r="B18" s="8" t="s">
        <v>129</v>
      </c>
      <c r="C18" s="8" t="s">
        <v>40</v>
      </c>
      <c r="D18" s="8">
        <v>37.0</v>
      </c>
      <c r="E18" s="8">
        <v>3.0</v>
      </c>
      <c r="F18" s="8" t="s">
        <v>2192</v>
      </c>
      <c r="G18" s="8">
        <v>9.0</v>
      </c>
      <c r="H18" s="8">
        <v>8.0</v>
      </c>
      <c r="I18" s="111">
        <f t="shared" ref="I18:I19" si="5">8/(15*2)</f>
        <v>0.2666666667</v>
      </c>
      <c r="J18" s="8" t="s">
        <v>1473</v>
      </c>
      <c r="K18" s="8" t="s">
        <v>1480</v>
      </c>
      <c r="L18" s="8">
        <v>0.0</v>
      </c>
      <c r="M18" s="8" t="s">
        <v>635</v>
      </c>
      <c r="N18" s="8" t="s">
        <v>22</v>
      </c>
      <c r="O18" s="8" t="s">
        <v>892</v>
      </c>
      <c r="P18" s="8" t="s">
        <v>24</v>
      </c>
      <c r="Q18" s="9">
        <v>0.0</v>
      </c>
      <c r="R18" s="9">
        <v>0.5</v>
      </c>
      <c r="S18" s="9">
        <v>0.5</v>
      </c>
      <c r="T18" s="10">
        <v>45507.0</v>
      </c>
      <c r="U18" s="11">
        <v>1.775</v>
      </c>
      <c r="V18" s="8" t="s">
        <v>70</v>
      </c>
      <c r="W18" s="12">
        <f t="shared" si="1"/>
        <v>0</v>
      </c>
      <c r="X18" s="12">
        <f t="shared" si="4"/>
        <v>-0.49</v>
      </c>
      <c r="Z18" s="66">
        <v>45521.0</v>
      </c>
      <c r="AA18" s="13">
        <f t="shared" si="2"/>
        <v>0.73325</v>
      </c>
    </row>
    <row r="19">
      <c r="A19" s="15">
        <f t="shared" si="3"/>
        <v>18</v>
      </c>
      <c r="B19" s="15" t="s">
        <v>129</v>
      </c>
      <c r="C19" s="15" t="s">
        <v>40</v>
      </c>
      <c r="D19" s="15">
        <v>62.0</v>
      </c>
      <c r="E19" s="15">
        <v>3.0</v>
      </c>
      <c r="F19" s="15" t="s">
        <v>2193</v>
      </c>
      <c r="G19" s="15">
        <v>9.0</v>
      </c>
      <c r="H19" s="15">
        <v>8.0</v>
      </c>
      <c r="I19" s="110">
        <f t="shared" si="5"/>
        <v>0.2666666667</v>
      </c>
      <c r="J19" s="15" t="s">
        <v>1479</v>
      </c>
      <c r="K19" s="15" t="s">
        <v>1480</v>
      </c>
      <c r="L19" s="15">
        <v>0.0</v>
      </c>
      <c r="M19" s="15" t="s">
        <v>635</v>
      </c>
      <c r="N19" s="15" t="s">
        <v>22</v>
      </c>
      <c r="O19" s="15" t="s">
        <v>892</v>
      </c>
      <c r="P19" s="15" t="s">
        <v>24</v>
      </c>
      <c r="Q19" s="16">
        <v>0.0</v>
      </c>
      <c r="R19" s="16">
        <v>0.75</v>
      </c>
      <c r="S19" s="16">
        <v>0.75</v>
      </c>
      <c r="T19" s="17">
        <v>45507.0</v>
      </c>
      <c r="U19" s="18">
        <v>1.8</v>
      </c>
      <c r="V19" s="15" t="s">
        <v>70</v>
      </c>
      <c r="W19" s="19">
        <f t="shared" si="1"/>
        <v>0</v>
      </c>
      <c r="X19" s="19">
        <f t="shared" si="4"/>
        <v>-0.49</v>
      </c>
      <c r="Z19" s="66">
        <v>45522.0</v>
      </c>
      <c r="AA19" s="13">
        <f t="shared" si="2"/>
        <v>-0.44225</v>
      </c>
    </row>
    <row r="20">
      <c r="A20" s="8">
        <f t="shared" si="3"/>
        <v>19</v>
      </c>
      <c r="B20" s="8" t="s">
        <v>129</v>
      </c>
      <c r="C20" s="8" t="s">
        <v>19</v>
      </c>
      <c r="D20" s="8">
        <v>60.0</v>
      </c>
      <c r="E20" s="8">
        <v>3.0</v>
      </c>
      <c r="F20" s="8" t="s">
        <v>2194</v>
      </c>
      <c r="G20" s="8"/>
      <c r="H20" s="8"/>
      <c r="I20" s="111"/>
      <c r="J20" s="8" t="s">
        <v>1479</v>
      </c>
      <c r="K20" s="8" t="s">
        <v>1480</v>
      </c>
      <c r="L20" s="8">
        <v>-1.0</v>
      </c>
      <c r="M20" s="8" t="s">
        <v>82</v>
      </c>
      <c r="N20" s="8" t="s">
        <v>22</v>
      </c>
      <c r="O20" s="8" t="s">
        <v>892</v>
      </c>
      <c r="P20" s="8" t="s">
        <v>24</v>
      </c>
      <c r="Q20" s="9">
        <v>0.0</v>
      </c>
      <c r="R20" s="9">
        <v>0.25</v>
      </c>
      <c r="S20" s="9">
        <v>0.09</v>
      </c>
      <c r="T20" s="54">
        <v>45507.0</v>
      </c>
      <c r="U20" s="11">
        <v>2.02</v>
      </c>
      <c r="V20" s="8" t="s">
        <v>70</v>
      </c>
      <c r="W20" s="12">
        <f t="shared" si="1"/>
        <v>0</v>
      </c>
      <c r="X20" s="12">
        <f t="shared" si="4"/>
        <v>-0.49</v>
      </c>
      <c r="Z20" s="66">
        <v>45523.0</v>
      </c>
      <c r="AA20" s="13">
        <f t="shared" si="2"/>
        <v>0</v>
      </c>
    </row>
    <row r="21">
      <c r="A21" s="15">
        <f t="shared" si="3"/>
        <v>20</v>
      </c>
      <c r="B21" s="15" t="s">
        <v>137</v>
      </c>
      <c r="C21" s="15" t="s">
        <v>19</v>
      </c>
      <c r="D21" s="15">
        <v>22.0</v>
      </c>
      <c r="E21" s="15">
        <v>2.0</v>
      </c>
      <c r="F21" s="15" t="s">
        <v>2195</v>
      </c>
      <c r="G21" s="15"/>
      <c r="H21" s="15"/>
      <c r="I21" s="110"/>
      <c r="J21" s="15" t="s">
        <v>1479</v>
      </c>
      <c r="K21" s="15" t="s">
        <v>1474</v>
      </c>
      <c r="L21" s="15">
        <v>0.0</v>
      </c>
      <c r="M21" s="15" t="s">
        <v>82</v>
      </c>
      <c r="N21" s="15" t="s">
        <v>22</v>
      </c>
      <c r="O21" s="15" t="s">
        <v>225</v>
      </c>
      <c r="P21" s="15" t="s">
        <v>24</v>
      </c>
      <c r="Q21" s="16">
        <v>0.5</v>
      </c>
      <c r="R21" s="16">
        <v>0.75</v>
      </c>
      <c r="S21" s="16">
        <v>0.75</v>
      </c>
      <c r="T21" s="17">
        <v>45507.0</v>
      </c>
      <c r="U21" s="18">
        <v>1.9</v>
      </c>
      <c r="V21" s="15" t="s">
        <v>33</v>
      </c>
      <c r="W21" s="19">
        <f t="shared" si="1"/>
        <v>0.675</v>
      </c>
      <c r="X21" s="19">
        <f t="shared" si="4"/>
        <v>0.185</v>
      </c>
      <c r="Z21" s="66">
        <v>45524.0</v>
      </c>
      <c r="AA21" s="13">
        <f t="shared" si="2"/>
        <v>0</v>
      </c>
    </row>
    <row r="22">
      <c r="A22" s="8">
        <f t="shared" si="3"/>
        <v>21</v>
      </c>
      <c r="B22" s="8" t="s">
        <v>129</v>
      </c>
      <c r="C22" s="8" t="s">
        <v>19</v>
      </c>
      <c r="D22" s="8">
        <v>76.0</v>
      </c>
      <c r="E22" s="8">
        <v>3.0</v>
      </c>
      <c r="F22" s="8" t="s">
        <v>2196</v>
      </c>
      <c r="G22" s="8"/>
      <c r="H22" s="8"/>
      <c r="I22" s="8"/>
      <c r="J22" s="8" t="s">
        <v>1473</v>
      </c>
      <c r="K22" s="8" t="s">
        <v>1480</v>
      </c>
      <c r="L22" s="8">
        <v>0.0</v>
      </c>
      <c r="M22" s="8" t="s">
        <v>2197</v>
      </c>
      <c r="N22" s="8" t="s">
        <v>22</v>
      </c>
      <c r="O22" s="8" t="s">
        <v>892</v>
      </c>
      <c r="P22" s="8" t="s">
        <v>24</v>
      </c>
      <c r="Q22" s="9">
        <v>0.0</v>
      </c>
      <c r="R22" s="9">
        <v>0.6</v>
      </c>
      <c r="S22" s="9">
        <v>0.6</v>
      </c>
      <c r="T22" s="10">
        <v>45507.0</v>
      </c>
      <c r="U22" s="11">
        <v>1.7</v>
      </c>
      <c r="V22" s="8" t="s">
        <v>33</v>
      </c>
      <c r="W22" s="12">
        <f t="shared" si="1"/>
        <v>0.42</v>
      </c>
      <c r="X22" s="12">
        <f t="shared" si="4"/>
        <v>0.605</v>
      </c>
      <c r="Z22" s="66">
        <v>45525.0</v>
      </c>
      <c r="AA22" s="13">
        <f t="shared" si="2"/>
        <v>0.53925</v>
      </c>
    </row>
    <row r="23">
      <c r="A23" s="15">
        <f t="shared" si="3"/>
        <v>22</v>
      </c>
      <c r="B23" s="15" t="s">
        <v>137</v>
      </c>
      <c r="C23" s="15" t="s">
        <v>19</v>
      </c>
      <c r="D23" s="15">
        <v>60.0</v>
      </c>
      <c r="E23" s="15">
        <v>5.0</v>
      </c>
      <c r="F23" s="15" t="s">
        <v>2198</v>
      </c>
      <c r="G23" s="15"/>
      <c r="H23" s="15"/>
      <c r="I23" s="110"/>
      <c r="J23" s="15" t="s">
        <v>1473</v>
      </c>
      <c r="K23" s="15" t="s">
        <v>1477</v>
      </c>
      <c r="L23" s="15">
        <v>0.0</v>
      </c>
      <c r="M23" s="15" t="s">
        <v>82</v>
      </c>
      <c r="N23" s="15" t="s">
        <v>22</v>
      </c>
      <c r="O23" s="15" t="s">
        <v>894</v>
      </c>
      <c r="P23" s="15" t="s">
        <v>24</v>
      </c>
      <c r="Q23" s="16">
        <v>-0.5</v>
      </c>
      <c r="R23" s="16">
        <v>0.5</v>
      </c>
      <c r="S23" s="16">
        <v>0.5</v>
      </c>
      <c r="T23" s="17">
        <v>45507.0</v>
      </c>
      <c r="U23" s="18">
        <v>1.9</v>
      </c>
      <c r="V23" s="15" t="s">
        <v>25</v>
      </c>
      <c r="W23" s="19">
        <f t="shared" si="1"/>
        <v>-0.5</v>
      </c>
      <c r="X23" s="19">
        <f t="shared" si="4"/>
        <v>0.105</v>
      </c>
      <c r="Z23" s="66">
        <v>45526.0</v>
      </c>
      <c r="AA23" s="13">
        <f t="shared" si="2"/>
        <v>-0.07595666667</v>
      </c>
    </row>
    <row r="24">
      <c r="A24" s="8">
        <f t="shared" si="3"/>
        <v>23</v>
      </c>
      <c r="B24" s="8" t="s">
        <v>129</v>
      </c>
      <c r="C24" s="8" t="s">
        <v>19</v>
      </c>
      <c r="D24" s="8">
        <v>21.0</v>
      </c>
      <c r="E24" s="8">
        <v>2.0</v>
      </c>
      <c r="F24" s="8" t="s">
        <v>2199</v>
      </c>
      <c r="G24" s="8">
        <v>14.0</v>
      </c>
      <c r="H24" s="8">
        <v>13.0</v>
      </c>
      <c r="I24" s="111"/>
      <c r="J24" s="8" t="s">
        <v>1479</v>
      </c>
      <c r="K24" s="8" t="s">
        <v>1474</v>
      </c>
      <c r="L24" s="8">
        <v>0.0</v>
      </c>
      <c r="M24" s="8" t="s">
        <v>44</v>
      </c>
      <c r="N24" s="8" t="s">
        <v>22</v>
      </c>
      <c r="O24" s="8" t="s">
        <v>225</v>
      </c>
      <c r="P24" s="8" t="s">
        <v>24</v>
      </c>
      <c r="Q24" s="9">
        <v>0.5</v>
      </c>
      <c r="R24" s="98">
        <v>0.25</v>
      </c>
      <c r="S24" s="33">
        <v>0.08</v>
      </c>
      <c r="T24" s="10">
        <v>45508.0</v>
      </c>
      <c r="U24" s="11">
        <v>1.95</v>
      </c>
      <c r="V24" s="8" t="s">
        <v>33</v>
      </c>
      <c r="W24" s="12">
        <f t="shared" si="1"/>
        <v>0.076</v>
      </c>
      <c r="X24" s="12">
        <f t="shared" si="4"/>
        <v>0.181</v>
      </c>
      <c r="Z24" s="66">
        <v>45527.0</v>
      </c>
      <c r="AA24" s="13">
        <f t="shared" si="2"/>
        <v>-0.276</v>
      </c>
    </row>
    <row r="25">
      <c r="A25" s="15">
        <f t="shared" si="3"/>
        <v>24</v>
      </c>
      <c r="B25" s="15" t="s">
        <v>26</v>
      </c>
      <c r="C25" s="15" t="s">
        <v>19</v>
      </c>
      <c r="D25" s="15">
        <v>73.0</v>
      </c>
      <c r="E25" s="15">
        <v>3.0</v>
      </c>
      <c r="F25" s="15" t="s">
        <v>2200</v>
      </c>
      <c r="G25" s="15">
        <v>6.0</v>
      </c>
      <c r="H25" s="15">
        <v>5.0</v>
      </c>
      <c r="I25" s="110">
        <f>14/(13*2)</f>
        <v>0.5384615385</v>
      </c>
      <c r="J25" s="15" t="s">
        <v>1479</v>
      </c>
      <c r="K25" s="15" t="s">
        <v>1480</v>
      </c>
      <c r="L25" s="15">
        <v>-1.0</v>
      </c>
      <c r="M25" s="15" t="s">
        <v>940</v>
      </c>
      <c r="N25" s="15" t="s">
        <v>22</v>
      </c>
      <c r="O25" s="15" t="s">
        <v>892</v>
      </c>
      <c r="P25" s="15" t="s">
        <v>2201</v>
      </c>
      <c r="Q25" s="16">
        <v>0.0</v>
      </c>
      <c r="R25" s="99">
        <v>0.25</v>
      </c>
      <c r="S25" s="43">
        <v>0.22</v>
      </c>
      <c r="T25" s="17">
        <v>45508.0</v>
      </c>
      <c r="U25" s="18">
        <v>1.725</v>
      </c>
      <c r="V25" s="15" t="s">
        <v>70</v>
      </c>
      <c r="W25" s="19">
        <f t="shared" si="1"/>
        <v>0</v>
      </c>
      <c r="X25" s="19">
        <f t="shared" si="4"/>
        <v>0.181</v>
      </c>
      <c r="Z25" s="66">
        <v>45528.0</v>
      </c>
      <c r="AA25" s="13">
        <f t="shared" si="2"/>
        <v>0.38278</v>
      </c>
    </row>
    <row r="26">
      <c r="A26" s="8">
        <f t="shared" si="3"/>
        <v>25</v>
      </c>
      <c r="B26" s="8" t="s">
        <v>129</v>
      </c>
      <c r="C26" s="8" t="s">
        <v>19</v>
      </c>
      <c r="D26" s="8">
        <v>29.0</v>
      </c>
      <c r="E26" s="8">
        <v>3.0</v>
      </c>
      <c r="F26" s="8" t="s">
        <v>2202</v>
      </c>
      <c r="G26" s="8">
        <v>8.0</v>
      </c>
      <c r="H26" s="8">
        <v>7.0</v>
      </c>
      <c r="I26" s="111">
        <f>15/26</f>
        <v>0.5769230769</v>
      </c>
      <c r="J26" s="8" t="s">
        <v>1479</v>
      </c>
      <c r="K26" s="8" t="s">
        <v>1480</v>
      </c>
      <c r="L26" s="8">
        <v>0.0</v>
      </c>
      <c r="M26" s="8" t="s">
        <v>940</v>
      </c>
      <c r="N26" s="8" t="s">
        <v>22</v>
      </c>
      <c r="O26" s="8" t="s">
        <v>892</v>
      </c>
      <c r="P26" s="8" t="s">
        <v>24</v>
      </c>
      <c r="Q26" s="9">
        <v>0.0</v>
      </c>
      <c r="R26" s="9">
        <v>0.5</v>
      </c>
      <c r="S26" s="9">
        <v>0.44</v>
      </c>
      <c r="T26" s="10">
        <v>45508.0</v>
      </c>
      <c r="U26" s="11">
        <v>1.775</v>
      </c>
      <c r="V26" s="8" t="s">
        <v>70</v>
      </c>
      <c r="W26" s="12">
        <f t="shared" si="1"/>
        <v>0</v>
      </c>
      <c r="X26" s="12">
        <f t="shared" si="4"/>
        <v>0.181</v>
      </c>
      <c r="Z26" s="66">
        <v>45529.0</v>
      </c>
      <c r="AA26" s="13">
        <f t="shared" si="2"/>
        <v>0.219875</v>
      </c>
    </row>
    <row r="27">
      <c r="A27" s="15">
        <f t="shared" si="3"/>
        <v>26</v>
      </c>
      <c r="B27" s="15" t="s">
        <v>26</v>
      </c>
      <c r="C27" s="15" t="s">
        <v>19</v>
      </c>
      <c r="D27" s="15">
        <v>59.0</v>
      </c>
      <c r="E27" s="15">
        <v>3.0</v>
      </c>
      <c r="F27" s="15" t="s">
        <v>2203</v>
      </c>
      <c r="G27" s="15">
        <v>14.0</v>
      </c>
      <c r="H27" s="15">
        <v>13.0</v>
      </c>
      <c r="I27" s="110"/>
      <c r="J27" s="15" t="s">
        <v>1473</v>
      </c>
      <c r="K27" s="15" t="s">
        <v>1480</v>
      </c>
      <c r="L27" s="15">
        <v>-2.0</v>
      </c>
      <c r="M27" s="15" t="s">
        <v>44</v>
      </c>
      <c r="N27" s="15" t="s">
        <v>22</v>
      </c>
      <c r="O27" s="15" t="s">
        <v>892</v>
      </c>
      <c r="P27" s="15" t="s">
        <v>24</v>
      </c>
      <c r="Q27" s="16">
        <v>0.0</v>
      </c>
      <c r="R27" s="16">
        <v>1.0</v>
      </c>
      <c r="S27" s="16">
        <v>0.88</v>
      </c>
      <c r="T27" s="17">
        <v>45508.0</v>
      </c>
      <c r="U27" s="18">
        <v>1.875</v>
      </c>
      <c r="V27" s="15" t="s">
        <v>70</v>
      </c>
      <c r="W27" s="19">
        <f t="shared" si="1"/>
        <v>0</v>
      </c>
      <c r="X27" s="19">
        <f t="shared" si="4"/>
        <v>0.181</v>
      </c>
      <c r="Z27" s="66">
        <v>45530.0</v>
      </c>
      <c r="AA27" s="13">
        <f t="shared" si="2"/>
        <v>0.21</v>
      </c>
    </row>
    <row r="28">
      <c r="A28" s="8">
        <f t="shared" si="3"/>
        <v>27</v>
      </c>
      <c r="B28" s="8" t="s">
        <v>129</v>
      </c>
      <c r="C28" s="8" t="s">
        <v>19</v>
      </c>
      <c r="D28" s="8">
        <v>78.0</v>
      </c>
      <c r="E28" s="8">
        <v>3.0</v>
      </c>
      <c r="F28" s="8" t="s">
        <v>2204</v>
      </c>
      <c r="G28" s="8">
        <v>13.0</v>
      </c>
      <c r="H28" s="8">
        <v>12.0</v>
      </c>
      <c r="I28" s="111"/>
      <c r="J28" s="8" t="s">
        <v>1479</v>
      </c>
      <c r="K28" s="8" t="s">
        <v>1480</v>
      </c>
      <c r="L28" s="8">
        <v>0.0</v>
      </c>
      <c r="M28" s="8" t="s">
        <v>44</v>
      </c>
      <c r="N28" s="8" t="s">
        <v>22</v>
      </c>
      <c r="O28" s="8" t="s">
        <v>892</v>
      </c>
      <c r="P28" s="8" t="s">
        <v>24</v>
      </c>
      <c r="Q28" s="9">
        <v>0.0</v>
      </c>
      <c r="R28" s="9">
        <v>0.5</v>
      </c>
      <c r="S28" s="9">
        <v>0.42</v>
      </c>
      <c r="T28" s="10">
        <v>45508.0</v>
      </c>
      <c r="U28" s="11">
        <v>1.9</v>
      </c>
      <c r="V28" s="8" t="s">
        <v>33</v>
      </c>
      <c r="W28" s="12">
        <f t="shared" si="1"/>
        <v>0.378</v>
      </c>
      <c r="X28" s="12">
        <f t="shared" si="4"/>
        <v>0.559</v>
      </c>
      <c r="Z28" s="66">
        <v>45531.0</v>
      </c>
      <c r="AA28" s="13">
        <f t="shared" si="2"/>
        <v>-0.03479</v>
      </c>
    </row>
    <row r="29">
      <c r="A29" s="15">
        <f t="shared" si="3"/>
        <v>28</v>
      </c>
      <c r="B29" s="15" t="s">
        <v>129</v>
      </c>
      <c r="C29" s="15" t="s">
        <v>19</v>
      </c>
      <c r="D29" s="15">
        <v>79.0</v>
      </c>
      <c r="E29" s="15">
        <v>2.0</v>
      </c>
      <c r="F29" s="15" t="s">
        <v>2205</v>
      </c>
      <c r="G29" s="15"/>
      <c r="H29" s="15"/>
      <c r="I29" s="110"/>
      <c r="J29" s="15" t="s">
        <v>1473</v>
      </c>
      <c r="K29" s="15" t="s">
        <v>1474</v>
      </c>
      <c r="L29" s="15">
        <v>0.0</v>
      </c>
      <c r="M29" s="15" t="s">
        <v>463</v>
      </c>
      <c r="N29" s="15" t="s">
        <v>22</v>
      </c>
      <c r="O29" s="15" t="s">
        <v>225</v>
      </c>
      <c r="P29" s="15" t="s">
        <v>1803</v>
      </c>
      <c r="Q29" s="16">
        <v>0.25</v>
      </c>
      <c r="R29" s="16">
        <v>0.5</v>
      </c>
      <c r="S29" s="16">
        <v>0.5</v>
      </c>
      <c r="T29" s="55">
        <v>45508.0</v>
      </c>
      <c r="U29" s="18">
        <v>1.725</v>
      </c>
      <c r="V29" s="15" t="s">
        <v>25</v>
      </c>
      <c r="W29" s="19">
        <f t="shared" si="1"/>
        <v>-0.5</v>
      </c>
      <c r="X29" s="19">
        <f t="shared" si="4"/>
        <v>0.059</v>
      </c>
      <c r="Z29" s="66">
        <v>45532.0</v>
      </c>
      <c r="AA29" s="13">
        <f t="shared" si="2"/>
        <v>1.25095</v>
      </c>
    </row>
    <row r="30">
      <c r="A30" s="8">
        <f t="shared" si="3"/>
        <v>29</v>
      </c>
      <c r="B30" s="8" t="s">
        <v>26</v>
      </c>
      <c r="C30" s="8" t="s">
        <v>19</v>
      </c>
      <c r="D30" s="8">
        <v>43.0</v>
      </c>
      <c r="E30" s="8">
        <v>2.0</v>
      </c>
      <c r="F30" s="8" t="s">
        <v>2206</v>
      </c>
      <c r="G30" s="8"/>
      <c r="H30" s="8"/>
      <c r="I30" s="111"/>
      <c r="J30" s="8" t="s">
        <v>1479</v>
      </c>
      <c r="K30" s="8" t="s">
        <v>1474</v>
      </c>
      <c r="L30" s="8">
        <v>-1.0</v>
      </c>
      <c r="M30" s="8" t="s">
        <v>101</v>
      </c>
      <c r="N30" s="8" t="s">
        <v>22</v>
      </c>
      <c r="O30" s="8" t="s">
        <v>225</v>
      </c>
      <c r="P30" s="8" t="s">
        <v>24</v>
      </c>
      <c r="Q30" s="9">
        <v>0.5</v>
      </c>
      <c r="R30" s="9">
        <v>0.75</v>
      </c>
      <c r="S30" s="9">
        <v>0.75</v>
      </c>
      <c r="T30" s="10">
        <v>45508.0</v>
      </c>
      <c r="U30" s="11">
        <v>1.8</v>
      </c>
      <c r="V30" s="8" t="s">
        <v>25</v>
      </c>
      <c r="W30" s="12">
        <f t="shared" si="1"/>
        <v>-0.75</v>
      </c>
      <c r="X30" s="12">
        <f t="shared" si="4"/>
        <v>-0.691</v>
      </c>
      <c r="Z30" s="66">
        <v>45533.0</v>
      </c>
      <c r="AA30" s="13">
        <f t="shared" si="2"/>
        <v>-0.01896</v>
      </c>
    </row>
    <row r="31">
      <c r="A31" s="15">
        <f t="shared" si="3"/>
        <v>30</v>
      </c>
      <c r="B31" s="15" t="s">
        <v>137</v>
      </c>
      <c r="C31" s="15" t="s">
        <v>19</v>
      </c>
      <c r="D31" s="15">
        <v>58.0</v>
      </c>
      <c r="E31" s="15">
        <v>3.0</v>
      </c>
      <c r="F31" s="15" t="s">
        <v>2207</v>
      </c>
      <c r="G31" s="15"/>
      <c r="H31" s="15"/>
      <c r="I31" s="110"/>
      <c r="J31" s="15" t="s">
        <v>1479</v>
      </c>
      <c r="K31" s="15" t="s">
        <v>1480</v>
      </c>
      <c r="L31" s="15">
        <v>0.0</v>
      </c>
      <c r="M31" s="15" t="s">
        <v>93</v>
      </c>
      <c r="N31" s="15" t="s">
        <v>22</v>
      </c>
      <c r="O31" s="15" t="s">
        <v>892</v>
      </c>
      <c r="P31" s="15" t="s">
        <v>24</v>
      </c>
      <c r="Q31" s="16">
        <v>0.0</v>
      </c>
      <c r="R31" s="16">
        <v>0.5</v>
      </c>
      <c r="S31" s="16">
        <v>0.5</v>
      </c>
      <c r="T31" s="17">
        <v>45508.0</v>
      </c>
      <c r="U31" s="18">
        <v>1.7</v>
      </c>
      <c r="V31" s="15" t="s">
        <v>70</v>
      </c>
      <c r="W31" s="19">
        <f t="shared" si="1"/>
        <v>0</v>
      </c>
      <c r="X31" s="19">
        <f t="shared" si="4"/>
        <v>-0.691</v>
      </c>
      <c r="Z31" s="66">
        <v>45534.0</v>
      </c>
      <c r="AA31" s="13">
        <f t="shared" si="2"/>
        <v>-0.55946</v>
      </c>
    </row>
    <row r="32">
      <c r="A32" s="8">
        <f t="shared" si="3"/>
        <v>31</v>
      </c>
      <c r="B32" s="8" t="s">
        <v>137</v>
      </c>
      <c r="C32" s="8" t="s">
        <v>19</v>
      </c>
      <c r="D32" s="8">
        <v>30.0</v>
      </c>
      <c r="E32" s="8">
        <v>3.0</v>
      </c>
      <c r="F32" s="8" t="s">
        <v>2208</v>
      </c>
      <c r="G32" s="8"/>
      <c r="H32" s="8"/>
      <c r="I32" s="111"/>
      <c r="J32" s="8" t="s">
        <v>1473</v>
      </c>
      <c r="K32" s="8" t="s">
        <v>1480</v>
      </c>
      <c r="L32" s="8">
        <v>0.0</v>
      </c>
      <c r="M32" s="8" t="s">
        <v>28</v>
      </c>
      <c r="N32" s="8" t="s">
        <v>22</v>
      </c>
      <c r="O32" s="8" t="s">
        <v>1150</v>
      </c>
      <c r="P32" s="8" t="s">
        <v>24</v>
      </c>
      <c r="Q32" s="9">
        <v>0.0</v>
      </c>
      <c r="R32" s="9">
        <v>0.25</v>
      </c>
      <c r="S32" s="9">
        <v>0.25</v>
      </c>
      <c r="T32" s="10">
        <v>45510.0</v>
      </c>
      <c r="U32" s="11">
        <v>1.65</v>
      </c>
      <c r="V32" s="8" t="s">
        <v>70</v>
      </c>
      <c r="W32" s="12">
        <f t="shared" si="1"/>
        <v>0</v>
      </c>
      <c r="X32" s="12">
        <f t="shared" si="4"/>
        <v>-0.691</v>
      </c>
      <c r="Z32" s="66">
        <v>45535.0</v>
      </c>
      <c r="AA32" s="13">
        <f t="shared" si="2"/>
        <v>1.43611</v>
      </c>
    </row>
    <row r="33">
      <c r="A33" s="15">
        <f t="shared" si="3"/>
        <v>32</v>
      </c>
      <c r="B33" s="15" t="s">
        <v>26</v>
      </c>
      <c r="C33" s="15" t="s">
        <v>19</v>
      </c>
      <c r="D33" s="15">
        <v>81.0</v>
      </c>
      <c r="E33" s="15">
        <v>2.0</v>
      </c>
      <c r="F33" s="15" t="s">
        <v>2209</v>
      </c>
      <c r="G33" s="15"/>
      <c r="H33" s="15"/>
      <c r="I33" s="110"/>
      <c r="J33" s="15" t="s">
        <v>1479</v>
      </c>
      <c r="K33" s="15" t="s">
        <v>1474</v>
      </c>
      <c r="L33" s="15">
        <v>0.0</v>
      </c>
      <c r="M33" s="15" t="s">
        <v>316</v>
      </c>
      <c r="N33" s="15" t="s">
        <v>22</v>
      </c>
      <c r="O33" s="15" t="s">
        <v>225</v>
      </c>
      <c r="P33" s="15" t="s">
        <v>24</v>
      </c>
      <c r="Q33" s="16">
        <v>0.25</v>
      </c>
      <c r="R33" s="16">
        <v>0.25</v>
      </c>
      <c r="S33" s="16">
        <v>0.25</v>
      </c>
      <c r="T33" s="17">
        <v>45510.0</v>
      </c>
      <c r="U33" s="18">
        <v>2.02</v>
      </c>
      <c r="V33" s="15" t="s">
        <v>33</v>
      </c>
      <c r="W33" s="19">
        <f t="shared" si="1"/>
        <v>0.255</v>
      </c>
      <c r="X33" s="19">
        <f t="shared" si="4"/>
        <v>-0.436</v>
      </c>
      <c r="Z33" s="94" t="s">
        <v>89</v>
      </c>
      <c r="AA33" s="28">
        <f>SUM(AA2:AA32)</f>
        <v>8.279573104</v>
      </c>
    </row>
    <row r="34">
      <c r="A34" s="8">
        <f t="shared" si="3"/>
        <v>33</v>
      </c>
      <c r="B34" s="8" t="s">
        <v>26</v>
      </c>
      <c r="C34" s="8" t="s">
        <v>19</v>
      </c>
      <c r="D34" s="8">
        <v>25.0</v>
      </c>
      <c r="E34" s="8">
        <v>2.0</v>
      </c>
      <c r="F34" s="8" t="s">
        <v>2210</v>
      </c>
      <c r="G34" s="8">
        <v>1.0</v>
      </c>
      <c r="H34" s="8">
        <v>2.0</v>
      </c>
      <c r="I34" s="111">
        <v>0.5</v>
      </c>
      <c r="J34" s="8" t="s">
        <v>1473</v>
      </c>
      <c r="K34" s="8" t="s">
        <v>1474</v>
      </c>
      <c r="L34" s="8">
        <v>0.0</v>
      </c>
      <c r="M34" s="8" t="s">
        <v>82</v>
      </c>
      <c r="N34" s="8" t="s">
        <v>22</v>
      </c>
      <c r="O34" s="8" t="s">
        <v>225</v>
      </c>
      <c r="P34" s="8" t="s">
        <v>24</v>
      </c>
      <c r="Q34" s="9">
        <v>0.5</v>
      </c>
      <c r="R34" s="9">
        <v>0.6</v>
      </c>
      <c r="S34" s="9">
        <v>0.38</v>
      </c>
      <c r="T34" s="10">
        <v>45511.0</v>
      </c>
      <c r="U34" s="11">
        <v>1.8</v>
      </c>
      <c r="V34" s="8" t="s">
        <v>33</v>
      </c>
      <c r="W34" s="12">
        <f t="shared" si="1"/>
        <v>0.304</v>
      </c>
      <c r="X34" s="12">
        <f t="shared" si="4"/>
        <v>-0.132</v>
      </c>
    </row>
    <row r="35">
      <c r="A35" s="15">
        <f t="shared" si="3"/>
        <v>34</v>
      </c>
      <c r="B35" s="15" t="s">
        <v>18</v>
      </c>
      <c r="C35" s="15" t="s">
        <v>19</v>
      </c>
      <c r="D35" s="15">
        <v>22.0</v>
      </c>
      <c r="E35" s="15">
        <v>5.0</v>
      </c>
      <c r="F35" s="15" t="s">
        <v>2211</v>
      </c>
      <c r="G35" s="15"/>
      <c r="H35" s="15"/>
      <c r="I35" s="110"/>
      <c r="J35" s="15" t="s">
        <v>1479</v>
      </c>
      <c r="K35" s="15" t="s">
        <v>1477</v>
      </c>
      <c r="L35" s="15">
        <v>0.0</v>
      </c>
      <c r="M35" s="15" t="s">
        <v>1031</v>
      </c>
      <c r="N35" s="15" t="s">
        <v>22</v>
      </c>
      <c r="O35" s="15" t="s">
        <v>1847</v>
      </c>
      <c r="P35" s="15" t="s">
        <v>24</v>
      </c>
      <c r="Q35" s="16">
        <v>-0.5</v>
      </c>
      <c r="R35" s="16">
        <v>0.6</v>
      </c>
      <c r="S35" s="16">
        <v>0.58</v>
      </c>
      <c r="T35" s="17">
        <v>45511.0</v>
      </c>
      <c r="U35" s="18">
        <v>1.727</v>
      </c>
      <c r="V35" s="15" t="s">
        <v>33</v>
      </c>
      <c r="W35" s="19">
        <f t="shared" si="1"/>
        <v>0.42166</v>
      </c>
      <c r="X35" s="19">
        <f t="shared" si="4"/>
        <v>0.28966</v>
      </c>
      <c r="Z35" s="29"/>
    </row>
    <row r="36">
      <c r="A36" s="8">
        <f t="shared" si="3"/>
        <v>35</v>
      </c>
      <c r="B36" s="8" t="s">
        <v>129</v>
      </c>
      <c r="C36" s="8" t="s">
        <v>19</v>
      </c>
      <c r="D36" s="8">
        <v>27.0</v>
      </c>
      <c r="E36" s="8">
        <v>6.0</v>
      </c>
      <c r="F36" s="8" t="s">
        <v>2212</v>
      </c>
      <c r="G36" s="8"/>
      <c r="H36" s="8"/>
      <c r="I36" s="111"/>
      <c r="J36" s="8" t="s">
        <v>1479</v>
      </c>
      <c r="K36" s="8" t="s">
        <v>1480</v>
      </c>
      <c r="L36" s="8">
        <v>0.0</v>
      </c>
      <c r="M36" s="8" t="s">
        <v>99</v>
      </c>
      <c r="N36" s="8" t="s">
        <v>22</v>
      </c>
      <c r="O36" s="8" t="s">
        <v>1150</v>
      </c>
      <c r="P36" s="8" t="s">
        <v>24</v>
      </c>
      <c r="Q36" s="9">
        <v>0.0</v>
      </c>
      <c r="R36" s="9">
        <v>0.75</v>
      </c>
      <c r="S36" s="9">
        <v>0.53</v>
      </c>
      <c r="T36" s="10">
        <v>45511.0</v>
      </c>
      <c r="U36" s="11">
        <v>1.675</v>
      </c>
      <c r="V36" s="8" t="s">
        <v>70</v>
      </c>
      <c r="W36" s="12">
        <f t="shared" si="1"/>
        <v>0</v>
      </c>
      <c r="X36" s="12">
        <f t="shared" si="4"/>
        <v>0.28966</v>
      </c>
      <c r="Z36" s="30"/>
    </row>
    <row r="37">
      <c r="A37" s="15">
        <f t="shared" si="3"/>
        <v>36</v>
      </c>
      <c r="B37" s="15" t="s">
        <v>137</v>
      </c>
      <c r="C37" s="15" t="s">
        <v>19</v>
      </c>
      <c r="D37" s="15">
        <v>57.0</v>
      </c>
      <c r="E37" s="15">
        <v>5.0</v>
      </c>
      <c r="F37" s="15" t="s">
        <v>2213</v>
      </c>
      <c r="G37" s="15"/>
      <c r="H37" s="15"/>
      <c r="I37" s="110"/>
      <c r="J37" s="15" t="s">
        <v>1473</v>
      </c>
      <c r="K37" s="15" t="s">
        <v>1477</v>
      </c>
      <c r="L37" s="15">
        <v>0.0</v>
      </c>
      <c r="M37" s="15" t="s">
        <v>448</v>
      </c>
      <c r="N37" s="15" t="s">
        <v>22</v>
      </c>
      <c r="O37" s="15" t="s">
        <v>894</v>
      </c>
      <c r="P37" s="15" t="s">
        <v>24</v>
      </c>
      <c r="Q37" s="16">
        <v>-0.25</v>
      </c>
      <c r="R37" s="16">
        <v>0.6</v>
      </c>
      <c r="S37" s="16">
        <v>0.32</v>
      </c>
      <c r="T37" s="17">
        <v>45511.0</v>
      </c>
      <c r="U37" s="18">
        <v>1.9</v>
      </c>
      <c r="V37" s="15" t="s">
        <v>33</v>
      </c>
      <c r="W37" s="19">
        <f t="shared" si="1"/>
        <v>0.288</v>
      </c>
      <c r="X37" s="19">
        <f t="shared" si="4"/>
        <v>0.57766</v>
      </c>
      <c r="Z37" s="30"/>
    </row>
    <row r="38">
      <c r="A38" s="8">
        <f t="shared" si="3"/>
        <v>37</v>
      </c>
      <c r="B38" s="8" t="s">
        <v>18</v>
      </c>
      <c r="C38" s="8" t="s">
        <v>19</v>
      </c>
      <c r="D38" s="8">
        <v>69.0</v>
      </c>
      <c r="E38" s="8">
        <v>5.0</v>
      </c>
      <c r="F38" s="8" t="s">
        <v>2214</v>
      </c>
      <c r="G38" s="8"/>
      <c r="H38" s="8"/>
      <c r="I38" s="111"/>
      <c r="J38" s="8" t="s">
        <v>1479</v>
      </c>
      <c r="K38" s="8" t="s">
        <v>1477</v>
      </c>
      <c r="L38" s="8">
        <v>0.0</v>
      </c>
      <c r="M38" s="8" t="s">
        <v>99</v>
      </c>
      <c r="N38" s="8" t="s">
        <v>22</v>
      </c>
      <c r="O38" s="8" t="s">
        <v>894</v>
      </c>
      <c r="P38" s="8" t="s">
        <v>24</v>
      </c>
      <c r="Q38" s="9">
        <v>-0.25</v>
      </c>
      <c r="R38" s="9">
        <v>0.5</v>
      </c>
      <c r="S38" s="9">
        <v>0.44</v>
      </c>
      <c r="T38" s="10">
        <v>45511.0</v>
      </c>
      <c r="U38" s="11">
        <v>2.075</v>
      </c>
      <c r="V38" s="8" t="s">
        <v>33</v>
      </c>
      <c r="W38" s="12">
        <f t="shared" si="1"/>
        <v>0.473</v>
      </c>
      <c r="X38" s="12">
        <f t="shared" si="4"/>
        <v>1.05066</v>
      </c>
      <c r="Z38" s="30"/>
    </row>
    <row r="39">
      <c r="A39" s="15">
        <f t="shared" si="3"/>
        <v>38</v>
      </c>
      <c r="B39" s="15" t="s">
        <v>26</v>
      </c>
      <c r="C39" s="15" t="s">
        <v>19</v>
      </c>
      <c r="D39" s="15">
        <v>70.0</v>
      </c>
      <c r="E39" s="15">
        <v>3.0</v>
      </c>
      <c r="F39" s="15" t="s">
        <v>2215</v>
      </c>
      <c r="G39" s="15"/>
      <c r="H39" s="15"/>
      <c r="I39" s="110"/>
      <c r="J39" s="15" t="s">
        <v>1479</v>
      </c>
      <c r="K39" s="15" t="s">
        <v>1480</v>
      </c>
      <c r="L39" s="15">
        <v>-1.0</v>
      </c>
      <c r="M39" s="15" t="s">
        <v>124</v>
      </c>
      <c r="N39" s="15" t="s">
        <v>22</v>
      </c>
      <c r="O39" s="15" t="s">
        <v>2216</v>
      </c>
      <c r="P39" s="15" t="s">
        <v>24</v>
      </c>
      <c r="Q39" s="16">
        <v>0.0</v>
      </c>
      <c r="R39" s="16">
        <v>0.6</v>
      </c>
      <c r="S39" s="16">
        <f>0.3+0.3*10/51</f>
        <v>0.3588235294</v>
      </c>
      <c r="T39" s="17">
        <v>45512.0</v>
      </c>
      <c r="U39" s="18">
        <f>198/180</f>
        <v>1.1</v>
      </c>
      <c r="V39" s="15" t="s">
        <v>33</v>
      </c>
      <c r="W39" s="19">
        <f t="shared" si="1"/>
        <v>0.03588235294</v>
      </c>
      <c r="X39" s="19">
        <f t="shared" si="4"/>
        <v>1.086542353</v>
      </c>
      <c r="Z39" s="30"/>
    </row>
    <row r="40">
      <c r="A40" s="8">
        <f t="shared" si="3"/>
        <v>39</v>
      </c>
      <c r="B40" s="8" t="s">
        <v>18</v>
      </c>
      <c r="C40" s="8" t="s">
        <v>19</v>
      </c>
      <c r="D40" s="8">
        <v>80.0</v>
      </c>
      <c r="E40" s="8">
        <v>3.0</v>
      </c>
      <c r="F40" s="8" t="s">
        <v>2217</v>
      </c>
      <c r="G40" s="8"/>
      <c r="H40" s="8"/>
      <c r="I40" s="111"/>
      <c r="J40" s="8" t="s">
        <v>1473</v>
      </c>
      <c r="K40" s="8" t="s">
        <v>1480</v>
      </c>
      <c r="L40" s="8">
        <v>-1.0</v>
      </c>
      <c r="M40" s="8" t="s">
        <v>1025</v>
      </c>
      <c r="N40" s="8" t="s">
        <v>22</v>
      </c>
      <c r="O40" s="8" t="s">
        <v>892</v>
      </c>
      <c r="P40" s="8" t="s">
        <v>24</v>
      </c>
      <c r="Q40" s="9">
        <v>0.0</v>
      </c>
      <c r="R40" s="9">
        <v>0.3</v>
      </c>
      <c r="S40" s="9">
        <v>0.11</v>
      </c>
      <c r="T40" s="10">
        <v>45512.0</v>
      </c>
      <c r="U40" s="11">
        <v>1.85</v>
      </c>
      <c r="V40" s="8" t="s">
        <v>70</v>
      </c>
      <c r="W40" s="12">
        <f t="shared" si="1"/>
        <v>0</v>
      </c>
      <c r="X40" s="12">
        <f t="shared" si="4"/>
        <v>1.086542353</v>
      </c>
      <c r="Z40" s="30"/>
    </row>
    <row r="41">
      <c r="A41" s="15">
        <f t="shared" si="3"/>
        <v>40</v>
      </c>
      <c r="B41" s="15" t="s">
        <v>18</v>
      </c>
      <c r="C41" s="15" t="s">
        <v>19</v>
      </c>
      <c r="D41" s="15">
        <v>70.0</v>
      </c>
      <c r="E41" s="15">
        <v>2.0</v>
      </c>
      <c r="F41" s="15" t="s">
        <v>2218</v>
      </c>
      <c r="G41" s="15"/>
      <c r="H41" s="15"/>
      <c r="I41" s="110"/>
      <c r="J41" s="15" t="s">
        <v>1473</v>
      </c>
      <c r="K41" s="15" t="s">
        <v>1474</v>
      </c>
      <c r="L41" s="15">
        <v>-1.0</v>
      </c>
      <c r="M41" s="15" t="s">
        <v>853</v>
      </c>
      <c r="N41" s="15" t="s">
        <v>22</v>
      </c>
      <c r="O41" s="15" t="s">
        <v>225</v>
      </c>
      <c r="P41" s="15" t="s">
        <v>24</v>
      </c>
      <c r="Q41" s="16">
        <v>0.25</v>
      </c>
      <c r="R41" s="16">
        <v>0.3</v>
      </c>
      <c r="S41" s="16">
        <v>0.3</v>
      </c>
      <c r="T41" s="17">
        <v>45512.0</v>
      </c>
      <c r="U41" s="18">
        <v>1.7</v>
      </c>
      <c r="V41" s="15" t="s">
        <v>30</v>
      </c>
      <c r="W41" s="19">
        <f t="shared" si="1"/>
        <v>0.105</v>
      </c>
      <c r="X41" s="19">
        <f t="shared" si="4"/>
        <v>1.191542353</v>
      </c>
      <c r="Z41" s="30"/>
    </row>
    <row r="42">
      <c r="A42" s="8">
        <f t="shared" si="3"/>
        <v>41</v>
      </c>
      <c r="B42" s="31" t="s">
        <v>129</v>
      </c>
      <c r="C42" s="32" t="s">
        <v>40</v>
      </c>
      <c r="D42" s="32">
        <v>70.0</v>
      </c>
      <c r="E42" s="8">
        <v>3.0</v>
      </c>
      <c r="F42" s="32" t="s">
        <v>2219</v>
      </c>
      <c r="G42" s="134"/>
      <c r="H42" s="134"/>
      <c r="I42" s="111"/>
      <c r="J42" s="32" t="s">
        <v>1473</v>
      </c>
      <c r="K42" s="32" t="s">
        <v>1480</v>
      </c>
      <c r="L42" s="32">
        <v>-1.0</v>
      </c>
      <c r="M42" s="32" t="s">
        <v>93</v>
      </c>
      <c r="N42" s="32" t="s">
        <v>22</v>
      </c>
      <c r="O42" s="32" t="s">
        <v>892</v>
      </c>
      <c r="P42" s="8" t="s">
        <v>24</v>
      </c>
      <c r="Q42" s="33">
        <v>0.0</v>
      </c>
      <c r="R42" s="33">
        <v>0.6</v>
      </c>
      <c r="S42" s="33">
        <v>0.6</v>
      </c>
      <c r="T42" s="34">
        <v>45512.0</v>
      </c>
      <c r="U42" s="35">
        <v>1.725</v>
      </c>
      <c r="V42" s="8" t="s">
        <v>33</v>
      </c>
      <c r="W42" s="12">
        <f t="shared" si="1"/>
        <v>0.435</v>
      </c>
      <c r="X42" s="12">
        <f t="shared" si="4"/>
        <v>1.626542353</v>
      </c>
      <c r="Z42" s="30"/>
    </row>
    <row r="43">
      <c r="A43" s="15">
        <f t="shared" si="3"/>
        <v>42</v>
      </c>
      <c r="B43" s="15" t="s">
        <v>18</v>
      </c>
      <c r="C43" s="15" t="s">
        <v>19</v>
      </c>
      <c r="D43" s="15">
        <v>0.0</v>
      </c>
      <c r="E43" s="15">
        <v>11.0</v>
      </c>
      <c r="F43" s="15" t="s">
        <v>2220</v>
      </c>
      <c r="G43" s="15">
        <v>12.0</v>
      </c>
      <c r="H43" s="15">
        <v>5.0</v>
      </c>
      <c r="I43" s="110">
        <f>11/(11*2)</f>
        <v>0.5</v>
      </c>
      <c r="J43" s="15"/>
      <c r="K43" s="15"/>
      <c r="L43" s="15"/>
      <c r="M43" s="15" t="s">
        <v>1175</v>
      </c>
      <c r="N43" s="15" t="s">
        <v>598</v>
      </c>
      <c r="O43" s="15" t="s">
        <v>29</v>
      </c>
      <c r="P43" s="15" t="s">
        <v>24</v>
      </c>
      <c r="Q43" s="16">
        <v>-2.25</v>
      </c>
      <c r="R43" s="16">
        <v>0.6</v>
      </c>
      <c r="S43" s="16">
        <v>0.6</v>
      </c>
      <c r="T43" s="17">
        <v>45513.0</v>
      </c>
      <c r="U43" s="18">
        <v>1.75</v>
      </c>
      <c r="V43" s="15" t="s">
        <v>25</v>
      </c>
      <c r="W43" s="19">
        <f t="shared" si="1"/>
        <v>-0.6</v>
      </c>
      <c r="X43" s="19">
        <f t="shared" si="4"/>
        <v>1.026542353</v>
      </c>
      <c r="Z43" s="30"/>
    </row>
    <row r="44">
      <c r="A44" s="8">
        <f t="shared" si="3"/>
        <v>43</v>
      </c>
      <c r="B44" s="8" t="s">
        <v>129</v>
      </c>
      <c r="C44" s="8" t="s">
        <v>19</v>
      </c>
      <c r="D44" s="8">
        <v>15.0</v>
      </c>
      <c r="E44" s="8">
        <v>2.0</v>
      </c>
      <c r="F44" s="8" t="s">
        <v>2221</v>
      </c>
      <c r="G44" s="8">
        <v>6.0</v>
      </c>
      <c r="H44" s="8">
        <v>14.0</v>
      </c>
      <c r="I44" s="111">
        <f>1/(15*2)</f>
        <v>0.03333333333</v>
      </c>
      <c r="J44" s="8" t="s">
        <v>1473</v>
      </c>
      <c r="K44" s="8" t="s">
        <v>1474</v>
      </c>
      <c r="L44" s="8">
        <v>0.0</v>
      </c>
      <c r="M44" s="8" t="s">
        <v>101</v>
      </c>
      <c r="N44" s="8" t="s">
        <v>22</v>
      </c>
      <c r="O44" s="8" t="s">
        <v>225</v>
      </c>
      <c r="P44" s="8" t="s">
        <v>24</v>
      </c>
      <c r="Q44" s="9">
        <v>1.25</v>
      </c>
      <c r="R44" s="9">
        <v>0.3</v>
      </c>
      <c r="S44" s="9">
        <v>0.23</v>
      </c>
      <c r="T44" s="10">
        <v>45513.0</v>
      </c>
      <c r="U44" s="11">
        <v>1.21</v>
      </c>
      <c r="V44" s="8" t="s">
        <v>33</v>
      </c>
      <c r="W44" s="12">
        <f t="shared" si="1"/>
        <v>0.0483</v>
      </c>
      <c r="X44" s="12">
        <f t="shared" si="4"/>
        <v>1.074842353</v>
      </c>
      <c r="Z44" s="30"/>
    </row>
    <row r="45">
      <c r="A45" s="15">
        <f t="shared" si="3"/>
        <v>44</v>
      </c>
      <c r="B45" s="15" t="s">
        <v>26</v>
      </c>
      <c r="C45" s="15" t="s">
        <v>19</v>
      </c>
      <c r="D45" s="15">
        <v>30.0</v>
      </c>
      <c r="E45" s="15">
        <v>2.0</v>
      </c>
      <c r="F45" s="15" t="s">
        <v>2222</v>
      </c>
      <c r="G45" s="15">
        <v>13.0</v>
      </c>
      <c r="H45" s="15">
        <v>1.0</v>
      </c>
      <c r="I45" s="110">
        <f>4/(16*2)</f>
        <v>0.125</v>
      </c>
      <c r="J45" s="15" t="s">
        <v>1479</v>
      </c>
      <c r="K45" s="15" t="s">
        <v>1474</v>
      </c>
      <c r="L45" s="15">
        <v>0.0</v>
      </c>
      <c r="M45" s="15" t="s">
        <v>44</v>
      </c>
      <c r="N45" s="15" t="s">
        <v>22</v>
      </c>
      <c r="O45" s="15" t="s">
        <v>225</v>
      </c>
      <c r="P45" s="15" t="s">
        <v>24</v>
      </c>
      <c r="Q45" s="16">
        <v>0.25</v>
      </c>
      <c r="R45" s="16">
        <v>0.3</v>
      </c>
      <c r="S45" s="16">
        <f>12/51*0.3</f>
        <v>0.07058823529</v>
      </c>
      <c r="T45" s="17">
        <v>45513.0</v>
      </c>
      <c r="U45" s="18">
        <v>1.9</v>
      </c>
      <c r="V45" s="15" t="s">
        <v>30</v>
      </c>
      <c r="W45" s="19">
        <f t="shared" si="1"/>
        <v>0.03176470588</v>
      </c>
      <c r="X45" s="19">
        <f t="shared" si="4"/>
        <v>1.106607059</v>
      </c>
    </row>
    <row r="46">
      <c r="A46" s="8">
        <f t="shared" si="3"/>
        <v>45</v>
      </c>
      <c r="B46" s="8" t="s">
        <v>26</v>
      </c>
      <c r="C46" s="8" t="s">
        <v>19</v>
      </c>
      <c r="D46" s="8">
        <v>59.0</v>
      </c>
      <c r="E46" s="8">
        <v>5.0</v>
      </c>
      <c r="F46" s="8" t="s">
        <v>2223</v>
      </c>
      <c r="G46" s="8">
        <v>6.0</v>
      </c>
      <c r="H46" s="8">
        <v>14.0</v>
      </c>
      <c r="I46" s="111">
        <f t="shared" ref="I46:I50" si="6">1/(15*2)</f>
        <v>0.03333333333</v>
      </c>
      <c r="J46" s="8" t="s">
        <v>1479</v>
      </c>
      <c r="K46" s="8" t="s">
        <v>1477</v>
      </c>
      <c r="L46" s="8">
        <v>0.0</v>
      </c>
      <c r="M46" s="8" t="s">
        <v>101</v>
      </c>
      <c r="N46" s="8" t="s">
        <v>22</v>
      </c>
      <c r="O46" s="8" t="s">
        <v>894</v>
      </c>
      <c r="P46" s="8" t="s">
        <v>24</v>
      </c>
      <c r="Q46" s="9">
        <v>-0.25</v>
      </c>
      <c r="R46" s="9">
        <v>0.9</v>
      </c>
      <c r="S46" s="9">
        <v>0.9</v>
      </c>
      <c r="T46" s="10">
        <v>45513.0</v>
      </c>
      <c r="U46" s="11">
        <v>1.75</v>
      </c>
      <c r="V46" s="8" t="s">
        <v>33</v>
      </c>
      <c r="W46" s="12">
        <f t="shared" si="1"/>
        <v>0.675</v>
      </c>
      <c r="X46" s="12">
        <f t="shared" si="4"/>
        <v>1.781607059</v>
      </c>
    </row>
    <row r="47">
      <c r="A47" s="15">
        <f t="shared" si="3"/>
        <v>46</v>
      </c>
      <c r="B47" s="15" t="s">
        <v>26</v>
      </c>
      <c r="C47" s="15" t="s">
        <v>19</v>
      </c>
      <c r="D47" s="15">
        <v>35.0</v>
      </c>
      <c r="E47" s="15">
        <v>2.0</v>
      </c>
      <c r="F47" s="15" t="s">
        <v>2224</v>
      </c>
      <c r="G47" s="15">
        <v>9.0</v>
      </c>
      <c r="H47" s="15">
        <v>3.0</v>
      </c>
      <c r="I47" s="110">
        <f t="shared" si="6"/>
        <v>0.03333333333</v>
      </c>
      <c r="J47" s="15" t="s">
        <v>1479</v>
      </c>
      <c r="K47" s="15" t="s">
        <v>1474</v>
      </c>
      <c r="L47" s="15">
        <v>0.0</v>
      </c>
      <c r="M47" s="15" t="s">
        <v>316</v>
      </c>
      <c r="N47" s="15" t="s">
        <v>22</v>
      </c>
      <c r="O47" s="15" t="s">
        <v>225</v>
      </c>
      <c r="P47" s="15" t="s">
        <v>24</v>
      </c>
      <c r="Q47" s="16">
        <v>1.0</v>
      </c>
      <c r="R47" s="16">
        <v>0.3</v>
      </c>
      <c r="S47" s="16">
        <v>0.04</v>
      </c>
      <c r="T47" s="17">
        <v>45513.0</v>
      </c>
      <c r="U47" s="18">
        <v>1.8</v>
      </c>
      <c r="V47" s="15" t="s">
        <v>70</v>
      </c>
      <c r="W47" s="19">
        <f t="shared" si="1"/>
        <v>0</v>
      </c>
      <c r="X47" s="19">
        <f t="shared" si="4"/>
        <v>1.781607059</v>
      </c>
    </row>
    <row r="48">
      <c r="A48" s="8">
        <f t="shared" si="3"/>
        <v>47</v>
      </c>
      <c r="B48" s="8" t="s">
        <v>26</v>
      </c>
      <c r="C48" s="8" t="s">
        <v>19</v>
      </c>
      <c r="D48" s="8">
        <v>36.0</v>
      </c>
      <c r="E48" s="8">
        <v>2.0</v>
      </c>
      <c r="F48" s="8" t="s">
        <v>2225</v>
      </c>
      <c r="G48" s="8">
        <v>9.0</v>
      </c>
      <c r="H48" s="8">
        <v>3.0</v>
      </c>
      <c r="I48" s="111">
        <f t="shared" si="6"/>
        <v>0.03333333333</v>
      </c>
      <c r="J48" s="8" t="s">
        <v>1479</v>
      </c>
      <c r="K48" s="8" t="s">
        <v>1474</v>
      </c>
      <c r="L48" s="8">
        <v>0.0</v>
      </c>
      <c r="M48" s="8" t="s">
        <v>316</v>
      </c>
      <c r="N48" s="8" t="s">
        <v>22</v>
      </c>
      <c r="O48" s="8" t="s">
        <v>225</v>
      </c>
      <c r="P48" s="8" t="s">
        <v>24</v>
      </c>
      <c r="Q48" s="9">
        <v>0.75</v>
      </c>
      <c r="R48" s="9">
        <v>0.3</v>
      </c>
      <c r="S48" s="9">
        <f>11/51*0.3</f>
        <v>0.06470588235</v>
      </c>
      <c r="T48" s="10">
        <v>45513.0</v>
      </c>
      <c r="U48" s="11">
        <v>1.725</v>
      </c>
      <c r="V48" s="8" t="s">
        <v>79</v>
      </c>
      <c r="W48" s="12">
        <f t="shared" si="1"/>
        <v>-0.03235294118</v>
      </c>
      <c r="X48" s="12">
        <f t="shared" si="4"/>
        <v>1.749254118</v>
      </c>
    </row>
    <row r="49">
      <c r="A49" s="15">
        <f t="shared" si="3"/>
        <v>48</v>
      </c>
      <c r="B49" s="15" t="s">
        <v>26</v>
      </c>
      <c r="C49" s="15" t="s">
        <v>19</v>
      </c>
      <c r="D49" s="15">
        <v>65.0</v>
      </c>
      <c r="E49" s="15">
        <v>3.0</v>
      </c>
      <c r="F49" s="95" t="s">
        <v>2226</v>
      </c>
      <c r="G49" s="15">
        <v>16.0</v>
      </c>
      <c r="H49" s="15">
        <v>15.0</v>
      </c>
      <c r="I49" s="110">
        <f t="shared" si="6"/>
        <v>0.03333333333</v>
      </c>
      <c r="J49" s="15" t="s">
        <v>1473</v>
      </c>
      <c r="K49" s="15" t="s">
        <v>1480</v>
      </c>
      <c r="L49" s="15">
        <v>-1.0</v>
      </c>
      <c r="M49" s="15" t="s">
        <v>316</v>
      </c>
      <c r="N49" s="15" t="s">
        <v>22</v>
      </c>
      <c r="O49" s="15" t="s">
        <v>892</v>
      </c>
      <c r="P49" s="15" t="s">
        <v>1851</v>
      </c>
      <c r="Q49" s="16">
        <v>0.0</v>
      </c>
      <c r="R49" s="16">
        <v>0.6</v>
      </c>
      <c r="S49" s="16">
        <v>0.6</v>
      </c>
      <c r="T49" s="17">
        <v>45513.0</v>
      </c>
      <c r="U49" s="18">
        <v>1.675</v>
      </c>
      <c r="V49" s="15" t="s">
        <v>70</v>
      </c>
      <c r="W49" s="19">
        <f t="shared" si="1"/>
        <v>0</v>
      </c>
      <c r="X49" s="19">
        <f t="shared" si="4"/>
        <v>1.749254118</v>
      </c>
    </row>
    <row r="50">
      <c r="A50" s="8">
        <f t="shared" si="3"/>
        <v>49</v>
      </c>
      <c r="B50" s="8" t="s">
        <v>26</v>
      </c>
      <c r="C50" s="8" t="s">
        <v>19</v>
      </c>
      <c r="D50" s="8">
        <v>65.0</v>
      </c>
      <c r="E50" s="8">
        <v>3.0</v>
      </c>
      <c r="F50" s="8" t="s">
        <v>2227</v>
      </c>
      <c r="G50" s="8">
        <v>9.0</v>
      </c>
      <c r="H50" s="8">
        <v>3.0</v>
      </c>
      <c r="I50" s="111">
        <f t="shared" si="6"/>
        <v>0.03333333333</v>
      </c>
      <c r="J50" s="8" t="s">
        <v>1473</v>
      </c>
      <c r="K50" s="8" t="s">
        <v>1480</v>
      </c>
      <c r="L50" s="8">
        <v>0.0</v>
      </c>
      <c r="M50" s="8" t="s">
        <v>316</v>
      </c>
      <c r="N50" s="8" t="s">
        <v>22</v>
      </c>
      <c r="O50" s="8" t="s">
        <v>892</v>
      </c>
      <c r="P50" s="8" t="s">
        <v>24</v>
      </c>
      <c r="Q50" s="9">
        <v>0.0</v>
      </c>
      <c r="R50" s="9">
        <v>0.6</v>
      </c>
      <c r="S50" s="9">
        <v>0.6</v>
      </c>
      <c r="T50" s="10">
        <v>45513.0</v>
      </c>
      <c r="U50" s="11">
        <v>1.65</v>
      </c>
      <c r="V50" s="8" t="s">
        <v>33</v>
      </c>
      <c r="W50" s="12">
        <f t="shared" si="1"/>
        <v>0.39</v>
      </c>
      <c r="X50" s="12">
        <f t="shared" si="4"/>
        <v>2.139254118</v>
      </c>
    </row>
    <row r="51">
      <c r="A51" s="15">
        <f t="shared" si="3"/>
        <v>50</v>
      </c>
      <c r="B51" s="15" t="s">
        <v>26</v>
      </c>
      <c r="C51" s="15" t="s">
        <v>19</v>
      </c>
      <c r="D51" s="15">
        <v>20.0</v>
      </c>
      <c r="E51" s="15">
        <v>3.0</v>
      </c>
      <c r="F51" s="15" t="s">
        <v>2228</v>
      </c>
      <c r="G51" s="15">
        <v>10.0</v>
      </c>
      <c r="H51" s="15">
        <v>2.0</v>
      </c>
      <c r="I51" s="110">
        <f>16/(13*2)</f>
        <v>0.6153846154</v>
      </c>
      <c r="J51" s="15" t="s">
        <v>1479</v>
      </c>
      <c r="K51" s="15" t="s">
        <v>1480</v>
      </c>
      <c r="L51" s="15">
        <v>0.0</v>
      </c>
      <c r="M51" s="15" t="s">
        <v>463</v>
      </c>
      <c r="N51" s="15" t="s">
        <v>22</v>
      </c>
      <c r="O51" s="15" t="s">
        <v>892</v>
      </c>
      <c r="P51" s="15" t="s">
        <v>24</v>
      </c>
      <c r="Q51" s="16">
        <v>0.0</v>
      </c>
      <c r="R51" s="16">
        <v>0.3</v>
      </c>
      <c r="S51" s="16">
        <f>41/52*0.3</f>
        <v>0.2365384615</v>
      </c>
      <c r="T51" s="17">
        <v>45514.0</v>
      </c>
      <c r="U51" s="18">
        <v>1.9</v>
      </c>
      <c r="V51" s="15" t="s">
        <v>33</v>
      </c>
      <c r="W51" s="19">
        <f t="shared" si="1"/>
        <v>0.2128846154</v>
      </c>
      <c r="X51" s="19">
        <f t="shared" si="4"/>
        <v>2.352138733</v>
      </c>
      <c r="Y51" s="40"/>
      <c r="Z51" s="41" t="s">
        <v>125</v>
      </c>
      <c r="AA51" s="41" t="s">
        <v>126</v>
      </c>
      <c r="AB51" s="41" t="s">
        <v>45</v>
      </c>
    </row>
    <row r="52">
      <c r="A52" s="8">
        <f t="shared" si="3"/>
        <v>51</v>
      </c>
      <c r="B52" s="8" t="s">
        <v>18</v>
      </c>
      <c r="C52" s="8" t="s">
        <v>19</v>
      </c>
      <c r="D52" s="8">
        <v>35.0</v>
      </c>
      <c r="E52" s="8">
        <v>2.0</v>
      </c>
      <c r="F52" s="8" t="s">
        <v>2229</v>
      </c>
      <c r="G52" s="8">
        <v>8.0</v>
      </c>
      <c r="H52" s="8">
        <v>5.0</v>
      </c>
      <c r="I52" s="111">
        <f>2/(11*2)</f>
        <v>0.09090909091</v>
      </c>
      <c r="J52" s="8" t="s">
        <v>1479</v>
      </c>
      <c r="K52" s="8" t="s">
        <v>1480</v>
      </c>
      <c r="L52" s="8">
        <v>0.0</v>
      </c>
      <c r="M52" s="8" t="s">
        <v>908</v>
      </c>
      <c r="N52" s="8" t="s">
        <v>22</v>
      </c>
      <c r="O52" s="8" t="s">
        <v>225</v>
      </c>
      <c r="P52" s="8" t="s">
        <v>24</v>
      </c>
      <c r="Q52" s="9">
        <v>0.25</v>
      </c>
      <c r="R52" s="9">
        <v>0.6</v>
      </c>
      <c r="S52" s="9">
        <f>0.3+0.3*41/52</f>
        <v>0.5365384615</v>
      </c>
      <c r="T52" s="10">
        <v>45514.0</v>
      </c>
      <c r="U52" s="11">
        <v>1.25</v>
      </c>
      <c r="V52" s="8" t="s">
        <v>30</v>
      </c>
      <c r="W52" s="12">
        <f t="shared" si="1"/>
        <v>0.06706730769</v>
      </c>
      <c r="X52" s="12">
        <f t="shared" si="4"/>
        <v>2.419206041</v>
      </c>
      <c r="Y52" s="41" t="s">
        <v>18</v>
      </c>
      <c r="Z52" s="45">
        <f t="shared" ref="Z52:Z56" si="7">SUMIF($B$2:$B$2984,Y52,$W$2:$W$2984)</f>
        <v>2.39014918</v>
      </c>
      <c r="AA52" s="45">
        <f t="shared" ref="AA52:AA56" si="8">SUMIF($B$2:$B$2984,Y52,$S$2:$S$2984)</f>
        <v>18.62190723</v>
      </c>
      <c r="AB52" s="46">
        <f t="shared" ref="AB52:AB56" si="9">Z52/AA52</f>
        <v>0.1283514707</v>
      </c>
    </row>
    <row r="53">
      <c r="A53" s="15">
        <f t="shared" si="3"/>
        <v>52</v>
      </c>
      <c r="B53" s="15" t="s">
        <v>18</v>
      </c>
      <c r="C53" s="42" t="s">
        <v>40</v>
      </c>
      <c r="D53" s="42">
        <v>49.0</v>
      </c>
      <c r="E53" s="15">
        <v>2.0</v>
      </c>
      <c r="F53" s="42" t="s">
        <v>2230</v>
      </c>
      <c r="G53" s="15"/>
      <c r="H53" s="15"/>
      <c r="I53" s="110"/>
      <c r="J53" s="42" t="s">
        <v>1473</v>
      </c>
      <c r="K53" s="42" t="s">
        <v>1474</v>
      </c>
      <c r="L53" s="42">
        <v>1.0</v>
      </c>
      <c r="M53" s="15" t="s">
        <v>908</v>
      </c>
      <c r="N53" s="15" t="s">
        <v>22</v>
      </c>
      <c r="O53" s="15" t="s">
        <v>225</v>
      </c>
      <c r="P53" s="15" t="s">
        <v>24</v>
      </c>
      <c r="Q53" s="43">
        <v>0.25</v>
      </c>
      <c r="R53" s="43">
        <v>0.6</v>
      </c>
      <c r="S53" s="43">
        <f>0.6*72/104</f>
        <v>0.4153846154</v>
      </c>
      <c r="T53" s="17">
        <v>45514.0</v>
      </c>
      <c r="U53" s="44">
        <v>1.7</v>
      </c>
      <c r="V53" s="15" t="s">
        <v>33</v>
      </c>
      <c r="W53" s="19">
        <f t="shared" si="1"/>
        <v>0.2907692308</v>
      </c>
      <c r="X53" s="19">
        <f t="shared" si="4"/>
        <v>2.709975271</v>
      </c>
      <c r="Y53" s="41" t="s">
        <v>129</v>
      </c>
      <c r="Z53" s="45">
        <f t="shared" si="7"/>
        <v>1.709554147</v>
      </c>
      <c r="AA53" s="45">
        <f t="shared" si="8"/>
        <v>17.15406585</v>
      </c>
      <c r="AB53" s="46">
        <f t="shared" si="9"/>
        <v>0.09965883085</v>
      </c>
    </row>
    <row r="54">
      <c r="A54" s="8">
        <f t="shared" si="3"/>
        <v>53</v>
      </c>
      <c r="B54" s="8" t="s">
        <v>18</v>
      </c>
      <c r="C54" s="8" t="s">
        <v>40</v>
      </c>
      <c r="D54" s="8">
        <v>50.0</v>
      </c>
      <c r="E54" s="8">
        <v>3.0</v>
      </c>
      <c r="F54" s="47" t="s">
        <v>2231</v>
      </c>
      <c r="G54" s="8"/>
      <c r="H54" s="8"/>
      <c r="I54" s="111"/>
      <c r="J54" s="8" t="s">
        <v>1473</v>
      </c>
      <c r="K54" s="8" t="s">
        <v>1480</v>
      </c>
      <c r="L54" s="8">
        <v>1.0</v>
      </c>
      <c r="M54" s="8" t="s">
        <v>908</v>
      </c>
      <c r="N54" s="8" t="s">
        <v>22</v>
      </c>
      <c r="O54" s="8" t="s">
        <v>892</v>
      </c>
      <c r="P54" s="8" t="s">
        <v>24</v>
      </c>
      <c r="Q54" s="26">
        <v>0.0</v>
      </c>
      <c r="R54" s="26">
        <v>0.3</v>
      </c>
      <c r="S54" s="26">
        <f>0.3*24/53</f>
        <v>0.1358490566</v>
      </c>
      <c r="T54" s="10">
        <v>45514.0</v>
      </c>
      <c r="U54" s="11">
        <v>2.075</v>
      </c>
      <c r="V54" s="8" t="s">
        <v>33</v>
      </c>
      <c r="W54" s="12">
        <f t="shared" si="1"/>
        <v>0.1460377358</v>
      </c>
      <c r="X54" s="12">
        <f t="shared" si="4"/>
        <v>2.856013007</v>
      </c>
      <c r="Y54" s="41" t="s">
        <v>131</v>
      </c>
      <c r="Z54" s="45">
        <f t="shared" si="7"/>
        <v>0.564</v>
      </c>
      <c r="AA54" s="45">
        <f t="shared" si="8"/>
        <v>2.23</v>
      </c>
      <c r="AB54" s="46">
        <f t="shared" si="9"/>
        <v>0.2529147982</v>
      </c>
    </row>
    <row r="55">
      <c r="A55" s="15">
        <f t="shared" si="3"/>
        <v>54</v>
      </c>
      <c r="B55" s="15" t="s">
        <v>18</v>
      </c>
      <c r="C55" s="15" t="s">
        <v>19</v>
      </c>
      <c r="D55" s="15">
        <v>75.0</v>
      </c>
      <c r="E55" s="15">
        <v>3.0</v>
      </c>
      <c r="F55" s="42" t="s">
        <v>2232</v>
      </c>
      <c r="G55" s="15">
        <v>5.0</v>
      </c>
      <c r="H55" s="15">
        <v>7.0</v>
      </c>
      <c r="I55" s="110">
        <f>2/(7*2)</f>
        <v>0.1428571429</v>
      </c>
      <c r="J55" s="15" t="s">
        <v>1473</v>
      </c>
      <c r="K55" s="15" t="s">
        <v>1480</v>
      </c>
      <c r="L55" s="15">
        <v>-2.0</v>
      </c>
      <c r="M55" s="15" t="s">
        <v>44</v>
      </c>
      <c r="N55" s="15" t="s">
        <v>22</v>
      </c>
      <c r="O55" s="15" t="s">
        <v>892</v>
      </c>
      <c r="P55" s="15" t="s">
        <v>24</v>
      </c>
      <c r="Q55" s="16">
        <v>0.0</v>
      </c>
      <c r="R55" s="16">
        <v>0.5</v>
      </c>
      <c r="S55" s="16">
        <v>0.5</v>
      </c>
      <c r="T55" s="55">
        <v>45514.0</v>
      </c>
      <c r="U55" s="18">
        <v>2.35</v>
      </c>
      <c r="V55" s="15" t="s">
        <v>70</v>
      </c>
      <c r="W55" s="19">
        <f t="shared" si="1"/>
        <v>0</v>
      </c>
      <c r="X55" s="19">
        <f t="shared" si="4"/>
        <v>2.856013007</v>
      </c>
      <c r="Y55" s="41" t="s">
        <v>26</v>
      </c>
      <c r="Z55" s="45">
        <f t="shared" si="7"/>
        <v>2.542945248</v>
      </c>
      <c r="AA55" s="45">
        <f t="shared" si="8"/>
        <v>24.71792884</v>
      </c>
      <c r="AB55" s="46">
        <f t="shared" si="9"/>
        <v>0.1028785731</v>
      </c>
    </row>
    <row r="56">
      <c r="A56" s="8">
        <f t="shared" si="3"/>
        <v>55</v>
      </c>
      <c r="B56" s="8" t="s">
        <v>137</v>
      </c>
      <c r="C56" s="8" t="s">
        <v>19</v>
      </c>
      <c r="D56" s="8">
        <v>30.0</v>
      </c>
      <c r="E56" s="8">
        <v>3.0</v>
      </c>
      <c r="F56" s="8" t="s">
        <v>2233</v>
      </c>
      <c r="G56" s="8">
        <v>1.0</v>
      </c>
      <c r="H56" s="8">
        <v>7.0</v>
      </c>
      <c r="I56" s="111">
        <f>4/(17*2)</f>
        <v>0.1176470588</v>
      </c>
      <c r="J56" s="8" t="s">
        <v>1479</v>
      </c>
      <c r="K56" s="8" t="s">
        <v>1480</v>
      </c>
      <c r="L56" s="8">
        <v>0.0</v>
      </c>
      <c r="M56" s="8" t="s">
        <v>432</v>
      </c>
      <c r="N56" s="8" t="s">
        <v>22</v>
      </c>
      <c r="O56" s="8" t="s">
        <v>892</v>
      </c>
      <c r="P56" s="8" t="s">
        <v>1803</v>
      </c>
      <c r="Q56" s="9">
        <v>0.0</v>
      </c>
      <c r="R56" s="9">
        <v>0.6</v>
      </c>
      <c r="S56" s="9">
        <v>0.6</v>
      </c>
      <c r="T56" s="54">
        <v>45514.0</v>
      </c>
      <c r="U56" s="11">
        <v>1.775</v>
      </c>
      <c r="V56" s="8" t="s">
        <v>33</v>
      </c>
      <c r="W56" s="12">
        <f t="shared" si="1"/>
        <v>0.465</v>
      </c>
      <c r="X56" s="12">
        <f t="shared" si="4"/>
        <v>3.321013007</v>
      </c>
      <c r="Y56" s="41" t="s">
        <v>137</v>
      </c>
      <c r="Z56" s="45">
        <f t="shared" si="7"/>
        <v>1.145924528</v>
      </c>
      <c r="AA56" s="45">
        <f t="shared" si="8"/>
        <v>9.396792453</v>
      </c>
      <c r="AB56" s="46">
        <f t="shared" si="9"/>
        <v>0.121948477</v>
      </c>
    </row>
    <row r="57">
      <c r="A57" s="15">
        <f t="shared" si="3"/>
        <v>56</v>
      </c>
      <c r="B57" s="15" t="s">
        <v>129</v>
      </c>
      <c r="C57" s="15" t="s">
        <v>19</v>
      </c>
      <c r="D57" s="15">
        <v>80.0</v>
      </c>
      <c r="E57" s="15">
        <v>3.0</v>
      </c>
      <c r="F57" s="15" t="s">
        <v>2234</v>
      </c>
      <c r="G57" s="15"/>
      <c r="H57" s="15"/>
      <c r="I57" s="110"/>
      <c r="J57" s="15" t="s">
        <v>1479</v>
      </c>
      <c r="K57" s="15" t="s">
        <v>1480</v>
      </c>
      <c r="L57" s="15">
        <v>-1.0</v>
      </c>
      <c r="M57" s="15" t="s">
        <v>101</v>
      </c>
      <c r="N57" s="15" t="s">
        <v>22</v>
      </c>
      <c r="O57" s="15" t="s">
        <v>892</v>
      </c>
      <c r="P57" s="15" t="s">
        <v>24</v>
      </c>
      <c r="Q57" s="16">
        <v>0.0</v>
      </c>
      <c r="R57" s="16">
        <v>0.3</v>
      </c>
      <c r="S57" s="16">
        <f>0.3*15/53</f>
        <v>0.08490566038</v>
      </c>
      <c r="T57" s="55">
        <v>45514.0</v>
      </c>
      <c r="U57" s="18">
        <v>1.95</v>
      </c>
      <c r="V57" s="15" t="s">
        <v>25</v>
      </c>
      <c r="W57" s="19">
        <f t="shared" si="1"/>
        <v>-0.08490566038</v>
      </c>
      <c r="X57" s="19">
        <f t="shared" si="4"/>
        <v>3.236107347</v>
      </c>
      <c r="Y57" s="51"/>
      <c r="Z57" s="135"/>
      <c r="AA57" s="135"/>
      <c r="AB57" s="136"/>
    </row>
    <row r="58">
      <c r="A58" s="8">
        <f t="shared" si="3"/>
        <v>57</v>
      </c>
      <c r="B58" s="8" t="s">
        <v>129</v>
      </c>
      <c r="C58" s="8" t="s">
        <v>40</v>
      </c>
      <c r="D58" s="8">
        <v>80.0</v>
      </c>
      <c r="E58" s="8">
        <v>3.0</v>
      </c>
      <c r="F58" s="8" t="s">
        <v>2235</v>
      </c>
      <c r="G58" s="8"/>
      <c r="H58" s="8"/>
      <c r="I58" s="111"/>
      <c r="J58" s="8" t="s">
        <v>1479</v>
      </c>
      <c r="K58" s="8" t="s">
        <v>1480</v>
      </c>
      <c r="L58" s="8">
        <v>0.0</v>
      </c>
      <c r="M58" s="8" t="s">
        <v>908</v>
      </c>
      <c r="N58" s="8" t="s">
        <v>22</v>
      </c>
      <c r="O58" s="8" t="s">
        <v>892</v>
      </c>
      <c r="P58" s="8" t="s">
        <v>24</v>
      </c>
      <c r="Q58" s="9">
        <v>0.0</v>
      </c>
      <c r="R58" s="9">
        <v>0.6</v>
      </c>
      <c r="S58" s="9">
        <v>0.6</v>
      </c>
      <c r="T58" s="54">
        <v>45514.0</v>
      </c>
      <c r="U58" s="11">
        <v>1.63</v>
      </c>
      <c r="V58" s="8" t="s">
        <v>70</v>
      </c>
      <c r="W58" s="12">
        <f t="shared" si="1"/>
        <v>0</v>
      </c>
      <c r="X58" s="12">
        <f t="shared" si="4"/>
        <v>3.236107347</v>
      </c>
    </row>
    <row r="59">
      <c r="A59" s="15">
        <f t="shared" si="3"/>
        <v>58</v>
      </c>
      <c r="B59" s="15" t="s">
        <v>18</v>
      </c>
      <c r="C59" s="15" t="s">
        <v>19</v>
      </c>
      <c r="D59" s="15">
        <v>60.0</v>
      </c>
      <c r="E59" s="15">
        <v>3.0</v>
      </c>
      <c r="F59" s="42" t="s">
        <v>2236</v>
      </c>
      <c r="G59" s="15">
        <v>12.0</v>
      </c>
      <c r="H59" s="15">
        <v>10.0</v>
      </c>
      <c r="I59" s="110">
        <f t="shared" ref="I59:I60" si="10">16/(13*2)</f>
        <v>0.6153846154</v>
      </c>
      <c r="J59" s="15" t="s">
        <v>1479</v>
      </c>
      <c r="K59" s="15" t="s">
        <v>1480</v>
      </c>
      <c r="L59" s="15">
        <v>0.0</v>
      </c>
      <c r="M59" s="15" t="s">
        <v>463</v>
      </c>
      <c r="N59" s="15" t="s">
        <v>22</v>
      </c>
      <c r="O59" s="15" t="s">
        <v>892</v>
      </c>
      <c r="P59" s="15" t="s">
        <v>24</v>
      </c>
      <c r="Q59" s="16">
        <v>0.0</v>
      </c>
      <c r="R59" s="16">
        <v>0.3</v>
      </c>
      <c r="S59" s="16">
        <f>0.3*40/53</f>
        <v>0.2264150943</v>
      </c>
      <c r="T59" s="17">
        <v>45514.0</v>
      </c>
      <c r="U59" s="18">
        <v>1.8</v>
      </c>
      <c r="V59" s="15" t="s">
        <v>25</v>
      </c>
      <c r="W59" s="19">
        <f t="shared" si="1"/>
        <v>-0.2264150943</v>
      </c>
      <c r="X59" s="49">
        <f t="shared" si="4"/>
        <v>3.009692253</v>
      </c>
    </row>
    <row r="60">
      <c r="A60" s="8">
        <f t="shared" si="3"/>
        <v>59</v>
      </c>
      <c r="B60" s="8" t="s">
        <v>137</v>
      </c>
      <c r="C60" s="8" t="s">
        <v>19</v>
      </c>
      <c r="D60" s="8">
        <v>45.0</v>
      </c>
      <c r="E60" s="8">
        <v>3.0</v>
      </c>
      <c r="F60" s="47" t="s">
        <v>2237</v>
      </c>
      <c r="G60" s="8">
        <v>11.0</v>
      </c>
      <c r="H60" s="8">
        <v>9.0</v>
      </c>
      <c r="I60" s="111">
        <f t="shared" si="10"/>
        <v>0.6153846154</v>
      </c>
      <c r="J60" s="8" t="s">
        <v>1479</v>
      </c>
      <c r="K60" s="8" t="s">
        <v>1480</v>
      </c>
      <c r="L60" s="8">
        <v>0.0</v>
      </c>
      <c r="M60" s="8" t="s">
        <v>940</v>
      </c>
      <c r="N60" s="8" t="s">
        <v>22</v>
      </c>
      <c r="O60" s="8" t="s">
        <v>892</v>
      </c>
      <c r="P60" s="8" t="s">
        <v>24</v>
      </c>
      <c r="Q60" s="9">
        <v>0.0</v>
      </c>
      <c r="R60" s="9">
        <v>0.3</v>
      </c>
      <c r="S60" s="9">
        <f>0.3*33/53</f>
        <v>0.1867924528</v>
      </c>
      <c r="T60" s="10">
        <v>45514.0</v>
      </c>
      <c r="U60" s="11">
        <v>1.725</v>
      </c>
      <c r="V60" s="8" t="s">
        <v>33</v>
      </c>
      <c r="W60" s="12">
        <f t="shared" si="1"/>
        <v>0.1354245283</v>
      </c>
      <c r="X60" s="48">
        <f t="shared" si="4"/>
        <v>3.145116781</v>
      </c>
      <c r="Y60" s="100" t="s">
        <v>0</v>
      </c>
      <c r="Z60" s="101" t="s">
        <v>960</v>
      </c>
      <c r="AA60" s="102"/>
      <c r="AB60" s="103"/>
    </row>
    <row r="61">
      <c r="A61" s="15">
        <f t="shared" si="3"/>
        <v>60</v>
      </c>
      <c r="B61" s="15" t="s">
        <v>129</v>
      </c>
      <c r="C61" s="15" t="s">
        <v>19</v>
      </c>
      <c r="D61" s="15">
        <v>45.0</v>
      </c>
      <c r="E61" s="15">
        <v>3.0</v>
      </c>
      <c r="F61" s="42" t="s">
        <v>2238</v>
      </c>
      <c r="G61" s="15">
        <v>10.0</v>
      </c>
      <c r="H61" s="15">
        <v>3.0</v>
      </c>
      <c r="I61" s="110">
        <f>1/(11*2)</f>
        <v>0.04545454545</v>
      </c>
      <c r="J61" s="15" t="s">
        <v>1479</v>
      </c>
      <c r="K61" s="15" t="s">
        <v>1480</v>
      </c>
      <c r="L61" s="15">
        <v>0.0</v>
      </c>
      <c r="M61" s="15" t="s">
        <v>341</v>
      </c>
      <c r="N61" s="15" t="s">
        <v>22</v>
      </c>
      <c r="O61" s="15" t="s">
        <v>892</v>
      </c>
      <c r="P61" s="15" t="s">
        <v>24</v>
      </c>
      <c r="Q61" s="16">
        <v>0.0</v>
      </c>
      <c r="R61" s="16">
        <v>0.25</v>
      </c>
      <c r="S61" s="16">
        <f>0.25*48/53</f>
        <v>0.2264150943</v>
      </c>
      <c r="T61" s="17">
        <v>45514.0</v>
      </c>
      <c r="U61" s="18">
        <v>1.85</v>
      </c>
      <c r="V61" s="15" t="s">
        <v>25</v>
      </c>
      <c r="W61" s="19">
        <f t="shared" si="1"/>
        <v>-0.2264150943</v>
      </c>
      <c r="X61" s="49">
        <f t="shared" si="4"/>
        <v>2.918701687</v>
      </c>
      <c r="Y61" s="41">
        <v>1.0</v>
      </c>
      <c r="Z61" s="104" t="s">
        <v>962</v>
      </c>
      <c r="AA61" s="102"/>
      <c r="AB61" s="103"/>
    </row>
    <row r="62">
      <c r="A62" s="8">
        <f t="shared" si="3"/>
        <v>61</v>
      </c>
      <c r="B62" s="8" t="s">
        <v>26</v>
      </c>
      <c r="C62" s="8" t="s">
        <v>19</v>
      </c>
      <c r="D62" s="8">
        <v>75.0</v>
      </c>
      <c r="E62" s="8">
        <v>3.0</v>
      </c>
      <c r="F62" s="47" t="s">
        <v>2239</v>
      </c>
      <c r="G62" s="8"/>
      <c r="H62" s="8"/>
      <c r="I62" s="111"/>
      <c r="J62" s="8" t="s">
        <v>1473</v>
      </c>
      <c r="K62" s="8" t="s">
        <v>1480</v>
      </c>
      <c r="L62" s="8">
        <v>-1.0</v>
      </c>
      <c r="M62" s="8" t="s">
        <v>84</v>
      </c>
      <c r="N62" s="8" t="s">
        <v>22</v>
      </c>
      <c r="O62" s="8" t="s">
        <v>892</v>
      </c>
      <c r="P62" s="8" t="s">
        <v>24</v>
      </c>
      <c r="Q62" s="26">
        <v>0.0</v>
      </c>
      <c r="R62" s="9">
        <v>0.25</v>
      </c>
      <c r="S62" s="9">
        <v>0.25</v>
      </c>
      <c r="T62" s="10">
        <v>45514.0</v>
      </c>
      <c r="U62" s="11">
        <v>1.975</v>
      </c>
      <c r="V62" s="8" t="s">
        <v>33</v>
      </c>
      <c r="W62" s="12">
        <f t="shared" si="1"/>
        <v>0.24375</v>
      </c>
      <c r="X62" s="48">
        <f t="shared" si="4"/>
        <v>3.162451687</v>
      </c>
      <c r="Y62" s="41">
        <v>2.0</v>
      </c>
      <c r="Z62" s="104" t="s">
        <v>965</v>
      </c>
      <c r="AA62" s="102"/>
      <c r="AB62" s="103"/>
    </row>
    <row r="63">
      <c r="A63" s="15">
        <f t="shared" si="3"/>
        <v>62</v>
      </c>
      <c r="B63" s="15" t="s">
        <v>18</v>
      </c>
      <c r="C63" s="15" t="s">
        <v>19</v>
      </c>
      <c r="D63" s="15">
        <v>80.0</v>
      </c>
      <c r="E63" s="15">
        <v>3.0</v>
      </c>
      <c r="F63" s="42" t="s">
        <v>2240</v>
      </c>
      <c r="G63" s="15">
        <v>6.0</v>
      </c>
      <c r="H63" s="15">
        <v>5.0</v>
      </c>
      <c r="I63" s="110">
        <f>1/(11*2)</f>
        <v>0.04545454545</v>
      </c>
      <c r="J63" s="15" t="s">
        <v>1479</v>
      </c>
      <c r="K63" s="15" t="s">
        <v>1480</v>
      </c>
      <c r="L63" s="15">
        <v>1.0</v>
      </c>
      <c r="M63" s="15" t="s">
        <v>341</v>
      </c>
      <c r="N63" s="15" t="s">
        <v>22</v>
      </c>
      <c r="O63" s="15" t="s">
        <v>892</v>
      </c>
      <c r="P63" s="15" t="s">
        <v>24</v>
      </c>
      <c r="Q63" s="43">
        <v>0.0</v>
      </c>
      <c r="R63" s="16">
        <v>0.25</v>
      </c>
      <c r="S63" s="16">
        <f>0.25*29/50</f>
        <v>0.145</v>
      </c>
      <c r="T63" s="17">
        <v>45514.0</v>
      </c>
      <c r="U63" s="18">
        <v>1.975</v>
      </c>
      <c r="V63" s="15" t="s">
        <v>25</v>
      </c>
      <c r="W63" s="19">
        <f t="shared" si="1"/>
        <v>-0.145</v>
      </c>
      <c r="X63" s="49">
        <f t="shared" si="4"/>
        <v>3.017451687</v>
      </c>
      <c r="Y63" s="41">
        <v>3.0</v>
      </c>
      <c r="Z63" s="104" t="s">
        <v>967</v>
      </c>
      <c r="AA63" s="102"/>
      <c r="AB63" s="103"/>
    </row>
    <row r="64">
      <c r="A64" s="8">
        <f t="shared" si="3"/>
        <v>63</v>
      </c>
      <c r="B64" s="8" t="s">
        <v>26</v>
      </c>
      <c r="C64" s="8" t="s">
        <v>40</v>
      </c>
      <c r="D64" s="8">
        <v>65.0</v>
      </c>
      <c r="E64" s="8"/>
      <c r="F64" s="47" t="s">
        <v>2241</v>
      </c>
      <c r="G64" s="8"/>
      <c r="H64" s="8"/>
      <c r="I64" s="111"/>
      <c r="J64" s="8"/>
      <c r="K64" s="8"/>
      <c r="L64" s="8"/>
      <c r="M64" s="8" t="s">
        <v>794</v>
      </c>
      <c r="N64" s="8" t="s">
        <v>22</v>
      </c>
      <c r="O64" s="8" t="s">
        <v>440</v>
      </c>
      <c r="P64" s="8" t="s">
        <v>39</v>
      </c>
      <c r="Q64" s="26">
        <v>1.75</v>
      </c>
      <c r="R64" s="9">
        <v>0.05</v>
      </c>
      <c r="S64" s="9">
        <v>0.05</v>
      </c>
      <c r="T64" s="10">
        <v>45514.0</v>
      </c>
      <c r="U64" s="11">
        <v>1.825</v>
      </c>
      <c r="V64" s="8" t="s">
        <v>25</v>
      </c>
      <c r="W64" s="12">
        <f t="shared" si="1"/>
        <v>-0.05</v>
      </c>
      <c r="X64" s="48">
        <f t="shared" si="4"/>
        <v>2.967451687</v>
      </c>
      <c r="Y64" s="41">
        <v>4.0</v>
      </c>
      <c r="Z64" s="104" t="s">
        <v>969</v>
      </c>
      <c r="AA64" s="102"/>
      <c r="AB64" s="103"/>
    </row>
    <row r="65">
      <c r="A65" s="15">
        <f t="shared" si="3"/>
        <v>64</v>
      </c>
      <c r="B65" s="15" t="s">
        <v>26</v>
      </c>
      <c r="C65" s="15" t="s">
        <v>19</v>
      </c>
      <c r="D65" s="15">
        <v>39.0</v>
      </c>
      <c r="E65" s="15">
        <v>2.0</v>
      </c>
      <c r="F65" s="42" t="s">
        <v>2242</v>
      </c>
      <c r="G65" s="15"/>
      <c r="H65" s="15"/>
      <c r="I65" s="110"/>
      <c r="J65" s="15" t="s">
        <v>1479</v>
      </c>
      <c r="K65" s="15" t="s">
        <v>1480</v>
      </c>
      <c r="L65" s="15">
        <v>0.0</v>
      </c>
      <c r="M65" s="15" t="s">
        <v>74</v>
      </c>
      <c r="N65" s="15" t="s">
        <v>22</v>
      </c>
      <c r="O65" s="15" t="s">
        <v>225</v>
      </c>
      <c r="P65" s="15" t="s">
        <v>24</v>
      </c>
      <c r="Q65" s="43">
        <v>0.25</v>
      </c>
      <c r="R65" s="16">
        <v>0.5</v>
      </c>
      <c r="S65" s="16">
        <v>0.5</v>
      </c>
      <c r="T65" s="17">
        <v>45514.0</v>
      </c>
      <c r="U65" s="18">
        <v>1.775</v>
      </c>
      <c r="V65" s="15" t="s">
        <v>70</v>
      </c>
      <c r="W65" s="19">
        <f t="shared" si="1"/>
        <v>0</v>
      </c>
      <c r="X65" s="49">
        <f t="shared" si="4"/>
        <v>2.967451687</v>
      </c>
      <c r="Y65" s="41">
        <v>5.0</v>
      </c>
      <c r="Z65" s="104" t="s">
        <v>971</v>
      </c>
      <c r="AA65" s="102"/>
      <c r="AB65" s="103"/>
    </row>
    <row r="66">
      <c r="A66" s="8">
        <f t="shared" si="3"/>
        <v>65</v>
      </c>
      <c r="B66" s="8" t="s">
        <v>18</v>
      </c>
      <c r="C66" s="8" t="s">
        <v>40</v>
      </c>
      <c r="D66" s="8">
        <v>85.0</v>
      </c>
      <c r="E66" s="8">
        <v>3.0</v>
      </c>
      <c r="F66" s="47" t="s">
        <v>2243</v>
      </c>
      <c r="G66" s="8"/>
      <c r="H66" s="8"/>
      <c r="I66" s="111"/>
      <c r="J66" s="8" t="s">
        <v>1479</v>
      </c>
      <c r="K66" s="8" t="s">
        <v>1480</v>
      </c>
      <c r="L66" s="8">
        <v>0.0</v>
      </c>
      <c r="M66" s="8" t="s">
        <v>1085</v>
      </c>
      <c r="N66" s="8" t="s">
        <v>22</v>
      </c>
      <c r="O66" s="8" t="s">
        <v>892</v>
      </c>
      <c r="P66" s="8" t="s">
        <v>24</v>
      </c>
      <c r="Q66" s="9">
        <v>0.0</v>
      </c>
      <c r="R66" s="9">
        <v>0.3</v>
      </c>
      <c r="S66" s="9">
        <v>0.3</v>
      </c>
      <c r="T66" s="10">
        <v>45514.0</v>
      </c>
      <c r="U66" s="11">
        <v>1.85</v>
      </c>
      <c r="V66" s="8" t="s">
        <v>70</v>
      </c>
      <c r="W66" s="12">
        <f t="shared" si="1"/>
        <v>0</v>
      </c>
      <c r="X66" s="48">
        <f t="shared" si="4"/>
        <v>2.967451687</v>
      </c>
      <c r="Y66" s="41">
        <v>6.0</v>
      </c>
      <c r="Z66" s="104" t="s">
        <v>973</v>
      </c>
      <c r="AA66" s="102"/>
      <c r="AB66" s="103"/>
    </row>
    <row r="67">
      <c r="A67" s="15">
        <f t="shared" si="3"/>
        <v>66</v>
      </c>
      <c r="B67" s="15" t="s">
        <v>129</v>
      </c>
      <c r="C67" s="15" t="s">
        <v>19</v>
      </c>
      <c r="D67" s="15">
        <v>30.0</v>
      </c>
      <c r="E67" s="15">
        <v>3.0</v>
      </c>
      <c r="F67" s="42" t="s">
        <v>2244</v>
      </c>
      <c r="G67" s="15"/>
      <c r="H67" s="15"/>
      <c r="I67" s="110"/>
      <c r="J67" s="15" t="s">
        <v>1473</v>
      </c>
      <c r="K67" s="15" t="s">
        <v>1480</v>
      </c>
      <c r="L67" s="15">
        <v>0.0</v>
      </c>
      <c r="M67" s="15" t="s">
        <v>1031</v>
      </c>
      <c r="N67" s="15" t="s">
        <v>22</v>
      </c>
      <c r="O67" s="15" t="s">
        <v>892</v>
      </c>
      <c r="P67" s="15" t="s">
        <v>24</v>
      </c>
      <c r="Q67" s="16">
        <v>0.0</v>
      </c>
      <c r="R67" s="16">
        <v>0.5</v>
      </c>
      <c r="S67" s="16">
        <v>0.5</v>
      </c>
      <c r="T67" s="17">
        <v>45514.0</v>
      </c>
      <c r="U67" s="18">
        <v>1.72</v>
      </c>
      <c r="V67" s="15" t="s">
        <v>33</v>
      </c>
      <c r="W67" s="19">
        <f t="shared" si="1"/>
        <v>0.36</v>
      </c>
      <c r="X67" s="49">
        <f t="shared" si="4"/>
        <v>3.327451687</v>
      </c>
      <c r="Y67" s="41">
        <v>7.0</v>
      </c>
      <c r="Z67" s="104" t="s">
        <v>975</v>
      </c>
      <c r="AA67" s="102"/>
      <c r="AB67" s="103"/>
    </row>
    <row r="68">
      <c r="A68" s="8">
        <f t="shared" si="3"/>
        <v>67</v>
      </c>
      <c r="B68" s="8" t="s">
        <v>129</v>
      </c>
      <c r="C68" s="8" t="s">
        <v>2245</v>
      </c>
      <c r="D68" s="8">
        <v>27.0</v>
      </c>
      <c r="E68" s="8">
        <v>3.0</v>
      </c>
      <c r="F68" s="47" t="s">
        <v>2246</v>
      </c>
      <c r="G68" s="8"/>
      <c r="H68" s="8"/>
      <c r="I68" s="111"/>
      <c r="J68" s="8" t="s">
        <v>1479</v>
      </c>
      <c r="K68" s="8" t="s">
        <v>1480</v>
      </c>
      <c r="L68" s="8">
        <v>0.0</v>
      </c>
      <c r="M68" s="8" t="s">
        <v>93</v>
      </c>
      <c r="N68" s="8" t="s">
        <v>22</v>
      </c>
      <c r="O68" s="8" t="s">
        <v>941</v>
      </c>
      <c r="P68" s="8" t="s">
        <v>24</v>
      </c>
      <c r="Q68" s="9">
        <v>0.0</v>
      </c>
      <c r="R68" s="9">
        <v>1.0</v>
      </c>
      <c r="S68" s="9">
        <f>0.75+0.25*23/51</f>
        <v>0.862745098</v>
      </c>
      <c r="T68" s="10">
        <v>45514.0</v>
      </c>
      <c r="U68" s="11">
        <v>1.72</v>
      </c>
      <c r="V68" s="8" t="s">
        <v>25</v>
      </c>
      <c r="W68" s="12">
        <f t="shared" si="1"/>
        <v>-0.862745098</v>
      </c>
      <c r="X68" s="48">
        <f t="shared" si="4"/>
        <v>2.464706589</v>
      </c>
      <c r="Y68" s="41">
        <v>8.0</v>
      </c>
      <c r="Z68" s="104" t="s">
        <v>977</v>
      </c>
      <c r="AA68" s="102"/>
      <c r="AB68" s="103"/>
    </row>
    <row r="69">
      <c r="A69" s="15">
        <f t="shared" si="3"/>
        <v>68</v>
      </c>
      <c r="B69" s="15" t="s">
        <v>129</v>
      </c>
      <c r="C69" s="15" t="s">
        <v>19</v>
      </c>
      <c r="D69" s="15">
        <v>70.0</v>
      </c>
      <c r="E69" s="15">
        <v>3.0</v>
      </c>
      <c r="F69" s="42" t="s">
        <v>2247</v>
      </c>
      <c r="G69" s="15"/>
      <c r="H69" s="15"/>
      <c r="I69" s="110"/>
      <c r="J69" s="15" t="s">
        <v>1479</v>
      </c>
      <c r="K69" s="15" t="s">
        <v>1480</v>
      </c>
      <c r="L69" s="15">
        <v>-1.0</v>
      </c>
      <c r="M69" s="15" t="s">
        <v>84</v>
      </c>
      <c r="N69" s="15" t="s">
        <v>22</v>
      </c>
      <c r="O69" s="15" t="s">
        <v>892</v>
      </c>
      <c r="P69" s="15" t="s">
        <v>24</v>
      </c>
      <c r="Q69" s="24">
        <v>0.0</v>
      </c>
      <c r="R69" s="16">
        <v>0.75</v>
      </c>
      <c r="S69" s="16">
        <v>0.75</v>
      </c>
      <c r="T69" s="17">
        <v>45514.0</v>
      </c>
      <c r="U69" s="18">
        <v>1.725</v>
      </c>
      <c r="V69" s="15" t="s">
        <v>33</v>
      </c>
      <c r="W69" s="19">
        <f t="shared" si="1"/>
        <v>0.54375</v>
      </c>
      <c r="X69" s="49">
        <f t="shared" si="4"/>
        <v>3.008456589</v>
      </c>
      <c r="Y69" s="41">
        <v>9.0</v>
      </c>
      <c r="Z69" s="104" t="s">
        <v>979</v>
      </c>
      <c r="AA69" s="102"/>
      <c r="AB69" s="103"/>
    </row>
    <row r="70">
      <c r="A70" s="8">
        <f t="shared" si="3"/>
        <v>69</v>
      </c>
      <c r="B70" s="8" t="s">
        <v>129</v>
      </c>
      <c r="C70" s="8" t="s">
        <v>19</v>
      </c>
      <c r="D70" s="8">
        <v>83.0</v>
      </c>
      <c r="E70" s="8">
        <v>3.0</v>
      </c>
      <c r="F70" s="47" t="s">
        <v>2248</v>
      </c>
      <c r="G70" s="8"/>
      <c r="H70" s="8"/>
      <c r="I70" s="111"/>
      <c r="J70" s="8" t="s">
        <v>1479</v>
      </c>
      <c r="K70" s="8" t="s">
        <v>1480</v>
      </c>
      <c r="L70" s="8">
        <v>0.0</v>
      </c>
      <c r="M70" s="32" t="s">
        <v>372</v>
      </c>
      <c r="N70" s="8" t="s">
        <v>22</v>
      </c>
      <c r="O70" s="8" t="s">
        <v>892</v>
      </c>
      <c r="P70" s="8" t="s">
        <v>1522</v>
      </c>
      <c r="Q70" s="33">
        <v>0.0</v>
      </c>
      <c r="R70" s="9">
        <v>0.3</v>
      </c>
      <c r="S70" s="9">
        <v>0.3</v>
      </c>
      <c r="T70" s="10">
        <v>45514.0</v>
      </c>
      <c r="U70" s="11">
        <v>1.6</v>
      </c>
      <c r="V70" s="8" t="s">
        <v>25</v>
      </c>
      <c r="W70" s="12">
        <f t="shared" si="1"/>
        <v>-0.3</v>
      </c>
      <c r="X70" s="48">
        <f t="shared" si="4"/>
        <v>2.708456589</v>
      </c>
      <c r="Y70" s="41">
        <v>10.0</v>
      </c>
      <c r="Z70" s="104" t="s">
        <v>981</v>
      </c>
      <c r="AA70" s="102"/>
      <c r="AB70" s="103"/>
    </row>
    <row r="71">
      <c r="A71" s="15">
        <f t="shared" si="3"/>
        <v>70</v>
      </c>
      <c r="B71" s="36" t="s">
        <v>26</v>
      </c>
      <c r="C71" s="37" t="s">
        <v>19</v>
      </c>
      <c r="D71" s="37">
        <v>55.0</v>
      </c>
      <c r="E71" s="37">
        <v>3.0</v>
      </c>
      <c r="F71" s="42" t="s">
        <v>2249</v>
      </c>
      <c r="G71" s="37"/>
      <c r="H71" s="37"/>
      <c r="I71" s="110"/>
      <c r="J71" s="15" t="s">
        <v>1479</v>
      </c>
      <c r="K71" s="15" t="s">
        <v>1480</v>
      </c>
      <c r="L71" s="15">
        <v>-1.0</v>
      </c>
      <c r="M71" s="37" t="s">
        <v>513</v>
      </c>
      <c r="N71" s="37" t="s">
        <v>22</v>
      </c>
      <c r="O71" s="37" t="s">
        <v>892</v>
      </c>
      <c r="P71" s="37" t="s">
        <v>24</v>
      </c>
      <c r="Q71" s="24">
        <v>0.0</v>
      </c>
      <c r="R71" s="24">
        <v>0.55</v>
      </c>
      <c r="S71" s="24">
        <f>0.3+0.25*18/44</f>
        <v>0.4022727273</v>
      </c>
      <c r="T71" s="105">
        <v>45515.0</v>
      </c>
      <c r="U71" s="39">
        <v>1.8</v>
      </c>
      <c r="V71" s="15" t="s">
        <v>33</v>
      </c>
      <c r="W71" s="19">
        <f t="shared" si="1"/>
        <v>0.3218181818</v>
      </c>
      <c r="X71" s="49">
        <f t="shared" si="4"/>
        <v>3.03027477</v>
      </c>
      <c r="Y71" s="41">
        <v>11.0</v>
      </c>
      <c r="Z71" s="104" t="s">
        <v>983</v>
      </c>
      <c r="AA71" s="102"/>
      <c r="AB71" s="103"/>
    </row>
    <row r="72">
      <c r="A72" s="8">
        <f t="shared" si="3"/>
        <v>71</v>
      </c>
      <c r="B72" s="31" t="s">
        <v>26</v>
      </c>
      <c r="C72" s="32" t="s">
        <v>19</v>
      </c>
      <c r="D72" s="32">
        <v>38.0</v>
      </c>
      <c r="E72" s="32">
        <v>5.0</v>
      </c>
      <c r="F72" s="47" t="s">
        <v>2250</v>
      </c>
      <c r="G72" s="32">
        <v>19.0</v>
      </c>
      <c r="H72" s="32">
        <v>1.0</v>
      </c>
      <c r="I72" s="111">
        <f>3/(18*2)</f>
        <v>0.08333333333</v>
      </c>
      <c r="J72" s="8" t="s">
        <v>1473</v>
      </c>
      <c r="K72" s="8" t="s">
        <v>1477</v>
      </c>
      <c r="L72" s="8">
        <v>0.0</v>
      </c>
      <c r="M72" s="32" t="s">
        <v>44</v>
      </c>
      <c r="N72" s="32" t="s">
        <v>22</v>
      </c>
      <c r="O72" s="32" t="s">
        <v>1847</v>
      </c>
      <c r="P72" s="32" t="s">
        <v>1803</v>
      </c>
      <c r="Q72" s="33">
        <v>-0.5</v>
      </c>
      <c r="R72" s="33">
        <v>0.25</v>
      </c>
      <c r="S72" s="33">
        <v>0.25</v>
      </c>
      <c r="T72" s="106">
        <v>45515.0</v>
      </c>
      <c r="U72" s="137">
        <f>1.49</f>
        <v>1.49</v>
      </c>
      <c r="V72" s="8" t="s">
        <v>33</v>
      </c>
      <c r="W72" s="12">
        <f t="shared" si="1"/>
        <v>0.1225</v>
      </c>
      <c r="X72" s="48">
        <f t="shared" si="4"/>
        <v>3.15277477</v>
      </c>
      <c r="Y72" s="41">
        <v>12.0</v>
      </c>
      <c r="Z72" s="104" t="s">
        <v>985</v>
      </c>
      <c r="AA72" s="102"/>
      <c r="AB72" s="103"/>
    </row>
    <row r="73">
      <c r="A73" s="15">
        <f t="shared" si="3"/>
        <v>72</v>
      </c>
      <c r="B73" s="15" t="s">
        <v>129</v>
      </c>
      <c r="C73" s="15" t="s">
        <v>19</v>
      </c>
      <c r="D73" s="15">
        <v>81.0</v>
      </c>
      <c r="E73" s="15">
        <v>3.0</v>
      </c>
      <c r="F73" s="42" t="s">
        <v>2251</v>
      </c>
      <c r="G73" s="15">
        <v>15.0</v>
      </c>
      <c r="H73" s="15">
        <v>5.0</v>
      </c>
      <c r="I73" s="110">
        <f>2/(17*2)</f>
        <v>0.05882352941</v>
      </c>
      <c r="J73" s="15" t="s">
        <v>1473</v>
      </c>
      <c r="K73" s="15" t="s">
        <v>1480</v>
      </c>
      <c r="L73" s="15">
        <v>0.0</v>
      </c>
      <c r="M73" s="37" t="s">
        <v>44</v>
      </c>
      <c r="N73" s="37" t="s">
        <v>22</v>
      </c>
      <c r="O73" s="15" t="s">
        <v>892</v>
      </c>
      <c r="P73" s="15" t="s">
        <v>39</v>
      </c>
      <c r="Q73" s="16">
        <v>0.0</v>
      </c>
      <c r="R73" s="16">
        <v>0.25</v>
      </c>
      <c r="S73" s="16">
        <v>0.25</v>
      </c>
      <c r="T73" s="105">
        <v>45515.0</v>
      </c>
      <c r="U73" s="18">
        <v>1.6</v>
      </c>
      <c r="V73" s="15" t="s">
        <v>70</v>
      </c>
      <c r="W73" s="19">
        <f t="shared" si="1"/>
        <v>0</v>
      </c>
      <c r="X73" s="49">
        <f t="shared" si="4"/>
        <v>3.15277477</v>
      </c>
      <c r="Y73" s="41">
        <v>13.0</v>
      </c>
      <c r="Z73" s="104" t="s">
        <v>987</v>
      </c>
      <c r="AA73" s="102"/>
      <c r="AB73" s="103"/>
    </row>
    <row r="74">
      <c r="A74" s="8">
        <f t="shared" si="3"/>
        <v>73</v>
      </c>
      <c r="B74" s="8" t="s">
        <v>129</v>
      </c>
      <c r="C74" s="8" t="s">
        <v>19</v>
      </c>
      <c r="D74" s="8">
        <v>45.0</v>
      </c>
      <c r="E74" s="8"/>
      <c r="F74" s="47" t="s">
        <v>2252</v>
      </c>
      <c r="G74" s="8">
        <v>11.0</v>
      </c>
      <c r="H74" s="8">
        <v>8.0</v>
      </c>
      <c r="I74" s="111">
        <f>3/(15*2)</f>
        <v>0.1</v>
      </c>
      <c r="J74" s="8" t="s">
        <v>1473</v>
      </c>
      <c r="K74" s="8" t="s">
        <v>1474</v>
      </c>
      <c r="L74" s="8">
        <v>-1.0</v>
      </c>
      <c r="M74" s="8" t="s">
        <v>99</v>
      </c>
      <c r="N74" s="8" t="s">
        <v>22</v>
      </c>
      <c r="O74" s="8" t="s">
        <v>225</v>
      </c>
      <c r="P74" s="8" t="s">
        <v>24</v>
      </c>
      <c r="Q74" s="9">
        <v>0.5</v>
      </c>
      <c r="R74" s="9">
        <v>0.5</v>
      </c>
      <c r="S74" s="9">
        <v>0.5</v>
      </c>
      <c r="T74" s="10">
        <v>45515.0</v>
      </c>
      <c r="U74" s="11">
        <v>1.925</v>
      </c>
      <c r="V74" s="8" t="s">
        <v>33</v>
      </c>
      <c r="W74" s="12">
        <f t="shared" si="1"/>
        <v>0.4625</v>
      </c>
      <c r="X74" s="48">
        <f t="shared" si="4"/>
        <v>3.61527477</v>
      </c>
    </row>
    <row r="75">
      <c r="A75" s="15">
        <f t="shared" si="3"/>
        <v>74</v>
      </c>
      <c r="B75" s="15" t="s">
        <v>131</v>
      </c>
      <c r="C75" s="15" t="s">
        <v>19</v>
      </c>
      <c r="D75" s="15">
        <v>61.0</v>
      </c>
      <c r="E75" s="15"/>
      <c r="F75" s="15" t="s">
        <v>2253</v>
      </c>
      <c r="G75" s="15">
        <v>11.0</v>
      </c>
      <c r="H75" s="15">
        <v>8.0</v>
      </c>
      <c r="I75" s="110"/>
      <c r="J75" s="15" t="s">
        <v>1473</v>
      </c>
      <c r="K75" s="15" t="s">
        <v>1480</v>
      </c>
      <c r="L75" s="15">
        <v>0.0</v>
      </c>
      <c r="M75" s="15" t="s">
        <v>703</v>
      </c>
      <c r="N75" s="15" t="s">
        <v>22</v>
      </c>
      <c r="O75" s="15" t="s">
        <v>892</v>
      </c>
      <c r="P75" s="15" t="s">
        <v>1522</v>
      </c>
      <c r="Q75" s="16">
        <v>0.0</v>
      </c>
      <c r="R75" s="16">
        <v>0.25</v>
      </c>
      <c r="S75" s="16">
        <v>0.25</v>
      </c>
      <c r="T75" s="17">
        <v>45517.0</v>
      </c>
      <c r="U75" s="18">
        <v>1.95</v>
      </c>
      <c r="V75" s="15" t="s">
        <v>33</v>
      </c>
      <c r="W75" s="19">
        <f t="shared" si="1"/>
        <v>0.2375</v>
      </c>
      <c r="X75" s="49">
        <f t="shared" si="4"/>
        <v>3.85277477</v>
      </c>
    </row>
    <row r="76">
      <c r="A76" s="8">
        <f t="shared" si="3"/>
        <v>75</v>
      </c>
      <c r="B76" s="8" t="s">
        <v>131</v>
      </c>
      <c r="C76" s="8" t="s">
        <v>19</v>
      </c>
      <c r="D76" s="8">
        <v>80.0</v>
      </c>
      <c r="E76" s="8"/>
      <c r="F76" s="8" t="s">
        <v>2254</v>
      </c>
      <c r="G76" s="8">
        <v>11.0</v>
      </c>
      <c r="H76" s="8">
        <v>8.0</v>
      </c>
      <c r="I76" s="111"/>
      <c r="J76" s="8" t="s">
        <v>1479</v>
      </c>
      <c r="K76" s="8" t="s">
        <v>1480</v>
      </c>
      <c r="L76" s="8">
        <v>0.0</v>
      </c>
      <c r="M76" s="8" t="s">
        <v>703</v>
      </c>
      <c r="N76" s="8" t="s">
        <v>22</v>
      </c>
      <c r="O76" s="8" t="s">
        <v>892</v>
      </c>
      <c r="P76" s="8" t="s">
        <v>39</v>
      </c>
      <c r="Q76" s="9">
        <v>0.0</v>
      </c>
      <c r="R76" s="9">
        <v>0.26</v>
      </c>
      <c r="S76" s="9">
        <v>0.26</v>
      </c>
      <c r="T76" s="10">
        <v>45517.0</v>
      </c>
      <c r="U76" s="11">
        <v>1.85</v>
      </c>
      <c r="V76" s="8" t="s">
        <v>25</v>
      </c>
      <c r="W76" s="12">
        <f t="shared" si="1"/>
        <v>-0.26</v>
      </c>
      <c r="X76" s="48">
        <f t="shared" si="4"/>
        <v>3.59277477</v>
      </c>
    </row>
    <row r="77">
      <c r="A77" s="15">
        <f t="shared" si="3"/>
        <v>76</v>
      </c>
      <c r="B77" s="15" t="s">
        <v>26</v>
      </c>
      <c r="C77" s="15" t="s">
        <v>19</v>
      </c>
      <c r="D77" s="15">
        <v>55.0</v>
      </c>
      <c r="E77" s="15"/>
      <c r="F77" s="15" t="s">
        <v>2255</v>
      </c>
      <c r="G77" s="15"/>
      <c r="H77" s="15"/>
      <c r="I77" s="110"/>
      <c r="J77" s="15" t="s">
        <v>1473</v>
      </c>
      <c r="K77" s="15" t="s">
        <v>1477</v>
      </c>
      <c r="L77" s="15">
        <v>-1.0</v>
      </c>
      <c r="M77" s="15" t="s">
        <v>316</v>
      </c>
      <c r="N77" s="15" t="s">
        <v>22</v>
      </c>
      <c r="O77" s="15" t="s">
        <v>894</v>
      </c>
      <c r="P77" s="15" t="s">
        <v>24</v>
      </c>
      <c r="Q77" s="16">
        <v>-0.5</v>
      </c>
      <c r="R77" s="16">
        <v>0.5</v>
      </c>
      <c r="S77" s="16">
        <v>0.5</v>
      </c>
      <c r="T77" s="17">
        <v>45517.0</v>
      </c>
      <c r="U77" s="18">
        <v>1.8</v>
      </c>
      <c r="V77" s="15" t="s">
        <v>33</v>
      </c>
      <c r="W77" s="19">
        <f t="shared" si="1"/>
        <v>0.4</v>
      </c>
      <c r="X77" s="19">
        <f t="shared" si="4"/>
        <v>3.99277477</v>
      </c>
    </row>
    <row r="78">
      <c r="A78" s="8">
        <f t="shared" si="3"/>
        <v>77</v>
      </c>
      <c r="B78" s="8" t="s">
        <v>26</v>
      </c>
      <c r="C78" s="8" t="s">
        <v>19</v>
      </c>
      <c r="D78" s="8">
        <v>88.0</v>
      </c>
      <c r="E78" s="8"/>
      <c r="F78" s="8" t="s">
        <v>2256</v>
      </c>
      <c r="G78" s="8"/>
      <c r="H78" s="8"/>
      <c r="I78" s="111"/>
      <c r="J78" s="8" t="s">
        <v>1479</v>
      </c>
      <c r="K78" s="8"/>
      <c r="L78" s="8"/>
      <c r="M78" s="8" t="s">
        <v>316</v>
      </c>
      <c r="N78" s="8" t="s">
        <v>22</v>
      </c>
      <c r="O78" s="8" t="s">
        <v>1847</v>
      </c>
      <c r="P78" s="8" t="s">
        <v>24</v>
      </c>
      <c r="Q78" s="9">
        <v>-0.5</v>
      </c>
      <c r="R78" s="9">
        <v>0.08</v>
      </c>
      <c r="S78" s="9">
        <v>0.05</v>
      </c>
      <c r="T78" s="10">
        <v>45517.0</v>
      </c>
      <c r="U78" s="11">
        <v>7.5</v>
      </c>
      <c r="V78" s="8" t="s">
        <v>25</v>
      </c>
      <c r="W78" s="12">
        <f t="shared" si="1"/>
        <v>-0.05</v>
      </c>
      <c r="X78" s="12">
        <f t="shared" si="4"/>
        <v>3.94277477</v>
      </c>
    </row>
    <row r="79">
      <c r="A79" s="15">
        <f t="shared" si="3"/>
        <v>78</v>
      </c>
      <c r="B79" s="15" t="s">
        <v>26</v>
      </c>
      <c r="C79" s="15" t="s">
        <v>19</v>
      </c>
      <c r="D79" s="15">
        <v>0.0</v>
      </c>
      <c r="E79" s="15"/>
      <c r="F79" s="15" t="s">
        <v>2257</v>
      </c>
      <c r="G79" s="15">
        <v>7.0</v>
      </c>
      <c r="H79" s="15">
        <v>1.0</v>
      </c>
      <c r="I79" s="110">
        <f>17/(19*2)</f>
        <v>0.4473684211</v>
      </c>
      <c r="J79" s="15"/>
      <c r="K79" s="15"/>
      <c r="L79" s="15"/>
      <c r="M79" s="15" t="s">
        <v>82</v>
      </c>
      <c r="N79" s="15" t="s">
        <v>598</v>
      </c>
      <c r="O79" s="15" t="s">
        <v>440</v>
      </c>
      <c r="P79" s="15" t="s">
        <v>39</v>
      </c>
      <c r="Q79" s="16">
        <v>2.75</v>
      </c>
      <c r="R79" s="16">
        <v>0.1</v>
      </c>
      <c r="S79" s="16">
        <v>0.1</v>
      </c>
      <c r="T79" s="17">
        <v>45518.0</v>
      </c>
      <c r="U79" s="18">
        <v>1.8</v>
      </c>
      <c r="V79" s="15" t="s">
        <v>33</v>
      </c>
      <c r="W79" s="19">
        <f t="shared" si="1"/>
        <v>0.08</v>
      </c>
      <c r="X79" s="19">
        <f t="shared" si="4"/>
        <v>4.02277477</v>
      </c>
    </row>
    <row r="80">
      <c r="A80" s="8">
        <f t="shared" si="3"/>
        <v>79</v>
      </c>
      <c r="B80" s="8" t="s">
        <v>137</v>
      </c>
      <c r="C80" s="8" t="s">
        <v>19</v>
      </c>
      <c r="D80" s="8">
        <v>70.0</v>
      </c>
      <c r="E80" s="8">
        <v>3.0</v>
      </c>
      <c r="F80" s="8" t="s">
        <v>2258</v>
      </c>
      <c r="G80" s="8"/>
      <c r="H80" s="8"/>
      <c r="I80" s="111"/>
      <c r="J80" s="8" t="s">
        <v>1479</v>
      </c>
      <c r="K80" s="8" t="s">
        <v>1480</v>
      </c>
      <c r="L80" s="8">
        <v>0.0</v>
      </c>
      <c r="M80" s="8" t="s">
        <v>78</v>
      </c>
      <c r="N80" s="8" t="s">
        <v>22</v>
      </c>
      <c r="O80" s="8" t="s">
        <v>892</v>
      </c>
      <c r="P80" s="8" t="s">
        <v>24</v>
      </c>
      <c r="Q80" s="9">
        <v>0.0</v>
      </c>
      <c r="R80" s="9">
        <v>0.25</v>
      </c>
      <c r="S80" s="9">
        <v>0.25</v>
      </c>
      <c r="T80" s="10">
        <v>45518.0</v>
      </c>
      <c r="U80" s="11">
        <v>1.7</v>
      </c>
      <c r="V80" s="8" t="s">
        <v>70</v>
      </c>
      <c r="W80" s="12">
        <f t="shared" si="1"/>
        <v>0</v>
      </c>
      <c r="X80" s="12">
        <f t="shared" si="4"/>
        <v>4.02277477</v>
      </c>
    </row>
    <row r="81">
      <c r="A81" s="15">
        <f t="shared" si="3"/>
        <v>80</v>
      </c>
      <c r="B81" s="15" t="s">
        <v>26</v>
      </c>
      <c r="C81" s="15" t="s">
        <v>19</v>
      </c>
      <c r="D81" s="15">
        <v>82.0</v>
      </c>
      <c r="E81" s="15">
        <v>3.0</v>
      </c>
      <c r="F81" s="15" t="s">
        <v>2259</v>
      </c>
      <c r="G81" s="15"/>
      <c r="H81" s="15"/>
      <c r="I81" s="110"/>
      <c r="J81" s="15" t="s">
        <v>1473</v>
      </c>
      <c r="K81" s="15" t="s">
        <v>1480</v>
      </c>
      <c r="L81" s="15">
        <v>1.0</v>
      </c>
      <c r="M81" s="15" t="s">
        <v>316</v>
      </c>
      <c r="N81" s="15" t="s">
        <v>22</v>
      </c>
      <c r="O81" s="15" t="s">
        <v>892</v>
      </c>
      <c r="P81" s="15" t="s">
        <v>24</v>
      </c>
      <c r="Q81" s="16">
        <v>0.0</v>
      </c>
      <c r="R81" s="16">
        <v>0.25</v>
      </c>
      <c r="S81" s="16">
        <v>0.25</v>
      </c>
      <c r="T81" s="17">
        <v>45518.0</v>
      </c>
      <c r="U81" s="18">
        <v>2.05</v>
      </c>
      <c r="V81" s="15" t="s">
        <v>33</v>
      </c>
      <c r="W81" s="19">
        <f t="shared" si="1"/>
        <v>0.2625</v>
      </c>
      <c r="X81" s="19">
        <f t="shared" si="4"/>
        <v>4.28527477</v>
      </c>
    </row>
    <row r="82">
      <c r="A82" s="8">
        <f t="shared" si="3"/>
        <v>81</v>
      </c>
      <c r="B82" s="8" t="s">
        <v>18</v>
      </c>
      <c r="C82" s="8" t="s">
        <v>19</v>
      </c>
      <c r="D82" s="8">
        <v>54.0</v>
      </c>
      <c r="E82" s="8">
        <v>6.0</v>
      </c>
      <c r="F82" s="8" t="s">
        <v>2260</v>
      </c>
      <c r="G82" s="8">
        <v>1.0</v>
      </c>
      <c r="H82" s="8">
        <v>2.0</v>
      </c>
      <c r="I82" s="111"/>
      <c r="J82" s="8" t="s">
        <v>1479</v>
      </c>
      <c r="K82" s="8" t="s">
        <v>1477</v>
      </c>
      <c r="L82" s="8">
        <v>0.0</v>
      </c>
      <c r="M82" s="8" t="s">
        <v>231</v>
      </c>
      <c r="N82" s="8" t="s">
        <v>22</v>
      </c>
      <c r="O82" s="8" t="s">
        <v>894</v>
      </c>
      <c r="P82" s="8" t="s">
        <v>1803</v>
      </c>
      <c r="Q82" s="9">
        <v>-0.5</v>
      </c>
      <c r="R82" s="9">
        <v>0.25</v>
      </c>
      <c r="S82" s="9">
        <v>0.25</v>
      </c>
      <c r="T82" s="10">
        <v>45519.0</v>
      </c>
      <c r="U82" s="11">
        <v>1.975</v>
      </c>
      <c r="V82" s="8" t="s">
        <v>25</v>
      </c>
      <c r="W82" s="12">
        <f t="shared" si="1"/>
        <v>-0.25</v>
      </c>
      <c r="X82" s="12">
        <f t="shared" si="4"/>
        <v>4.03527477</v>
      </c>
    </row>
    <row r="83">
      <c r="A83" s="15">
        <f t="shared" si="3"/>
        <v>82</v>
      </c>
      <c r="B83" s="15" t="s">
        <v>137</v>
      </c>
      <c r="C83" s="15" t="s">
        <v>19</v>
      </c>
      <c r="D83" s="15">
        <v>61.0</v>
      </c>
      <c r="E83" s="15">
        <v>5.0</v>
      </c>
      <c r="F83" s="15" t="s">
        <v>2261</v>
      </c>
      <c r="G83" s="15"/>
      <c r="H83" s="15"/>
      <c r="I83" s="110"/>
      <c r="J83" s="15" t="s">
        <v>1473</v>
      </c>
      <c r="K83" s="15" t="s">
        <v>1477</v>
      </c>
      <c r="L83" s="15">
        <v>0.0</v>
      </c>
      <c r="M83" s="15" t="s">
        <v>82</v>
      </c>
      <c r="N83" s="15" t="s">
        <v>22</v>
      </c>
      <c r="O83" s="15" t="s">
        <v>894</v>
      </c>
      <c r="P83" s="15" t="s">
        <v>24</v>
      </c>
      <c r="Q83" s="16">
        <v>-0.25</v>
      </c>
      <c r="R83" s="16">
        <v>0.25</v>
      </c>
      <c r="S83" s="16">
        <v>0.25</v>
      </c>
      <c r="T83" s="55">
        <v>45519.0</v>
      </c>
      <c r="U83" s="18">
        <v>2.0</v>
      </c>
      <c r="V83" s="15" t="s">
        <v>79</v>
      </c>
      <c r="W83" s="19">
        <f t="shared" si="1"/>
        <v>-0.125</v>
      </c>
      <c r="X83" s="19">
        <f t="shared" si="4"/>
        <v>3.91027477</v>
      </c>
    </row>
    <row r="84">
      <c r="A84" s="8">
        <f t="shared" si="3"/>
        <v>83</v>
      </c>
      <c r="B84" s="8" t="s">
        <v>26</v>
      </c>
      <c r="C84" s="8" t="s">
        <v>19</v>
      </c>
      <c r="D84" s="8">
        <v>70.0</v>
      </c>
      <c r="E84" s="8">
        <v>3.0</v>
      </c>
      <c r="F84" s="8" t="s">
        <v>2262</v>
      </c>
      <c r="G84" s="8">
        <v>11.0</v>
      </c>
      <c r="H84" s="8">
        <v>13.0</v>
      </c>
      <c r="I84" s="111">
        <f>17/(19*2)</f>
        <v>0.4473684211</v>
      </c>
      <c r="J84" s="8" t="s">
        <v>1479</v>
      </c>
      <c r="K84" s="8" t="s">
        <v>1480</v>
      </c>
      <c r="L84" s="8">
        <v>0.0</v>
      </c>
      <c r="M84" s="8" t="s">
        <v>82</v>
      </c>
      <c r="N84" s="8" t="s">
        <v>22</v>
      </c>
      <c r="O84" s="8" t="s">
        <v>892</v>
      </c>
      <c r="P84" s="8" t="s">
        <v>1851</v>
      </c>
      <c r="Q84" s="9">
        <v>0.0</v>
      </c>
      <c r="R84" s="9">
        <v>0.25</v>
      </c>
      <c r="S84" s="9">
        <v>0.12</v>
      </c>
      <c r="T84" s="54">
        <v>45519.0</v>
      </c>
      <c r="U84" s="11">
        <v>1.975</v>
      </c>
      <c r="V84" s="8" t="s">
        <v>25</v>
      </c>
      <c r="W84" s="12">
        <f t="shared" si="1"/>
        <v>-0.12</v>
      </c>
      <c r="X84" s="12">
        <f t="shared" si="4"/>
        <v>3.79027477</v>
      </c>
    </row>
    <row r="85">
      <c r="A85" s="15">
        <f t="shared" si="3"/>
        <v>84</v>
      </c>
      <c r="B85" s="15" t="s">
        <v>137</v>
      </c>
      <c r="C85" s="15" t="s">
        <v>19</v>
      </c>
      <c r="D85" s="15">
        <v>72.0</v>
      </c>
      <c r="E85" s="15">
        <v>3.0</v>
      </c>
      <c r="F85" s="15" t="s">
        <v>2263</v>
      </c>
      <c r="G85" s="15"/>
      <c r="H85" s="15"/>
      <c r="I85" s="110"/>
      <c r="J85" s="15" t="s">
        <v>1479</v>
      </c>
      <c r="K85" s="15" t="s">
        <v>1480</v>
      </c>
      <c r="L85" s="15">
        <v>0.0</v>
      </c>
      <c r="M85" s="15" t="s">
        <v>82</v>
      </c>
      <c r="N85" s="15" t="s">
        <v>22</v>
      </c>
      <c r="O85" s="15" t="s">
        <v>892</v>
      </c>
      <c r="P85" s="15" t="s">
        <v>24</v>
      </c>
      <c r="Q85" s="16">
        <v>0.0</v>
      </c>
      <c r="R85" s="16">
        <v>0.25</v>
      </c>
      <c r="S85" s="16">
        <v>0.25</v>
      </c>
      <c r="T85" s="55">
        <v>45519.0</v>
      </c>
      <c r="U85" s="18">
        <v>2.0</v>
      </c>
      <c r="V85" s="15" t="s">
        <v>70</v>
      </c>
      <c r="W85" s="19">
        <f t="shared" si="1"/>
        <v>0</v>
      </c>
      <c r="X85" s="19">
        <f t="shared" si="4"/>
        <v>3.79027477</v>
      </c>
    </row>
    <row r="86">
      <c r="A86" s="8">
        <f t="shared" si="3"/>
        <v>85</v>
      </c>
      <c r="B86" s="8" t="s">
        <v>26</v>
      </c>
      <c r="C86" s="8" t="s">
        <v>40</v>
      </c>
      <c r="D86" s="8">
        <v>85.0</v>
      </c>
      <c r="E86" s="8">
        <v>3.0</v>
      </c>
      <c r="F86" s="8" t="s">
        <v>2264</v>
      </c>
      <c r="G86" s="8"/>
      <c r="H86" s="8"/>
      <c r="I86" s="111"/>
      <c r="J86" s="8" t="s">
        <v>1473</v>
      </c>
      <c r="K86" s="8" t="s">
        <v>1480</v>
      </c>
      <c r="L86" s="8">
        <v>0.0</v>
      </c>
      <c r="M86" s="8" t="s">
        <v>319</v>
      </c>
      <c r="N86" s="8" t="s">
        <v>22</v>
      </c>
      <c r="O86" s="8" t="s">
        <v>892</v>
      </c>
      <c r="P86" s="8" t="s">
        <v>39</v>
      </c>
      <c r="Q86" s="9">
        <v>0.0</v>
      </c>
      <c r="R86" s="9">
        <v>0.5</v>
      </c>
      <c r="S86" s="9">
        <v>0.49</v>
      </c>
      <c r="T86" s="54">
        <v>45519.0</v>
      </c>
      <c r="U86" s="11">
        <v>1.675</v>
      </c>
      <c r="V86" s="8" t="s">
        <v>33</v>
      </c>
      <c r="W86" s="12">
        <f t="shared" si="1"/>
        <v>0.33075</v>
      </c>
      <c r="X86" s="12">
        <f t="shared" si="4"/>
        <v>4.12102477</v>
      </c>
    </row>
    <row r="87">
      <c r="A87" s="15">
        <f t="shared" si="3"/>
        <v>86</v>
      </c>
      <c r="B87" s="15" t="s">
        <v>26</v>
      </c>
      <c r="C87" s="15" t="s">
        <v>19</v>
      </c>
      <c r="D87" s="15"/>
      <c r="E87" s="15"/>
      <c r="F87" s="15" t="s">
        <v>2265</v>
      </c>
      <c r="G87" s="15">
        <v>12.0</v>
      </c>
      <c r="H87" s="15">
        <v>5.0</v>
      </c>
      <c r="I87" s="110">
        <f>1/(15*2)</f>
        <v>0.03333333333</v>
      </c>
      <c r="J87" s="15" t="s">
        <v>1473</v>
      </c>
      <c r="K87" s="15" t="s">
        <v>1480</v>
      </c>
      <c r="L87" s="15">
        <v>-2.0</v>
      </c>
      <c r="M87" s="15" t="s">
        <v>101</v>
      </c>
      <c r="N87" s="15" t="s">
        <v>22</v>
      </c>
      <c r="O87" s="15" t="s">
        <v>892</v>
      </c>
      <c r="P87" s="15" t="s">
        <v>39</v>
      </c>
      <c r="Q87" s="16">
        <v>0.0</v>
      </c>
      <c r="R87" s="16">
        <v>0.25</v>
      </c>
      <c r="S87" s="16">
        <v>0.25</v>
      </c>
      <c r="T87" s="55">
        <v>45520.0</v>
      </c>
      <c r="U87" s="18">
        <v>1.6</v>
      </c>
      <c r="V87" s="15" t="s">
        <v>25</v>
      </c>
      <c r="W87" s="19">
        <f t="shared" si="1"/>
        <v>-0.25</v>
      </c>
      <c r="X87" s="19">
        <f t="shared" si="4"/>
        <v>3.87102477</v>
      </c>
    </row>
    <row r="88">
      <c r="A88" s="8">
        <f t="shared" si="3"/>
        <v>87</v>
      </c>
      <c r="B88" s="8" t="s">
        <v>129</v>
      </c>
      <c r="C88" s="8" t="s">
        <v>19</v>
      </c>
      <c r="D88" s="8">
        <v>30.0</v>
      </c>
      <c r="E88" s="8"/>
      <c r="F88" s="8" t="s">
        <v>2266</v>
      </c>
      <c r="G88" s="8"/>
      <c r="H88" s="8"/>
      <c r="I88" s="111"/>
      <c r="J88" s="8" t="s">
        <v>1473</v>
      </c>
      <c r="K88" s="8" t="s">
        <v>1480</v>
      </c>
      <c r="L88" s="8">
        <v>0.0</v>
      </c>
      <c r="M88" s="8" t="s">
        <v>74</v>
      </c>
      <c r="N88" s="8" t="s">
        <v>22</v>
      </c>
      <c r="O88" s="8" t="s">
        <v>892</v>
      </c>
      <c r="P88" s="8" t="s">
        <v>24</v>
      </c>
      <c r="Q88" s="9">
        <v>0.0</v>
      </c>
      <c r="R88" s="9">
        <v>0.75</v>
      </c>
      <c r="S88" s="9">
        <v>0.6</v>
      </c>
      <c r="T88" s="10">
        <v>45520.0</v>
      </c>
      <c r="U88" s="11">
        <v>1.775</v>
      </c>
      <c r="V88" s="8" t="s">
        <v>33</v>
      </c>
      <c r="W88" s="12">
        <f t="shared" si="1"/>
        <v>0.465</v>
      </c>
      <c r="X88" s="12">
        <f t="shared" si="4"/>
        <v>4.33602477</v>
      </c>
    </row>
    <row r="89">
      <c r="A89" s="15">
        <f t="shared" si="3"/>
        <v>88</v>
      </c>
      <c r="B89" s="15" t="s">
        <v>18</v>
      </c>
      <c r="C89" s="15" t="s">
        <v>19</v>
      </c>
      <c r="D89" s="15">
        <v>37.0</v>
      </c>
      <c r="E89" s="15"/>
      <c r="F89" s="15" t="s">
        <v>2267</v>
      </c>
      <c r="G89" s="15">
        <v>13.0</v>
      </c>
      <c r="H89" s="15">
        <v>1.0</v>
      </c>
      <c r="I89" s="110">
        <f>1/(15*2)</f>
        <v>0.03333333333</v>
      </c>
      <c r="J89" s="15" t="s">
        <v>1473</v>
      </c>
      <c r="K89" s="15" t="s">
        <v>1474</v>
      </c>
      <c r="L89" s="15">
        <v>-1.0</v>
      </c>
      <c r="M89" s="15" t="s">
        <v>101</v>
      </c>
      <c r="N89" s="15" t="s">
        <v>22</v>
      </c>
      <c r="O89" s="15" t="s">
        <v>225</v>
      </c>
      <c r="P89" s="15" t="s">
        <v>24</v>
      </c>
      <c r="Q89" s="16">
        <v>0.25</v>
      </c>
      <c r="R89" s="16">
        <v>0.75</v>
      </c>
      <c r="S89" s="16">
        <v>0.75</v>
      </c>
      <c r="T89" s="55">
        <v>45520.0</v>
      </c>
      <c r="U89" s="18">
        <v>1.8</v>
      </c>
      <c r="V89" s="15" t="s">
        <v>33</v>
      </c>
      <c r="W89" s="19">
        <f t="shared" si="1"/>
        <v>0.6</v>
      </c>
      <c r="X89" s="19">
        <f t="shared" si="4"/>
        <v>4.93602477</v>
      </c>
    </row>
    <row r="90">
      <c r="A90" s="8">
        <f t="shared" si="3"/>
        <v>89</v>
      </c>
      <c r="B90" s="8" t="s">
        <v>26</v>
      </c>
      <c r="C90" s="8" t="s">
        <v>19</v>
      </c>
      <c r="D90" s="8">
        <v>22.0</v>
      </c>
      <c r="E90" s="8"/>
      <c r="F90" s="8" t="s">
        <v>2268</v>
      </c>
      <c r="G90" s="8">
        <v>5.0</v>
      </c>
      <c r="H90" s="8">
        <v>4.0</v>
      </c>
      <c r="I90" s="111">
        <f t="shared" ref="I90:I91" si="11">5/(17*2)</f>
        <v>0.1470588235</v>
      </c>
      <c r="J90" s="8" t="s">
        <v>1473</v>
      </c>
      <c r="K90" s="8" t="s">
        <v>1474</v>
      </c>
      <c r="L90" s="8">
        <v>1.0</v>
      </c>
      <c r="M90" s="8" t="s">
        <v>44</v>
      </c>
      <c r="N90" s="8" t="s">
        <v>22</v>
      </c>
      <c r="O90" s="8" t="s">
        <v>225</v>
      </c>
      <c r="P90" s="8" t="s">
        <v>24</v>
      </c>
      <c r="Q90" s="9">
        <v>0.5</v>
      </c>
      <c r="R90" s="9">
        <v>0.25</v>
      </c>
      <c r="S90" s="9">
        <v>0.25</v>
      </c>
      <c r="T90" s="10">
        <v>45520.0</v>
      </c>
      <c r="U90" s="11">
        <v>1.775</v>
      </c>
      <c r="V90" s="8" t="s">
        <v>25</v>
      </c>
      <c r="W90" s="12">
        <f t="shared" si="1"/>
        <v>-0.25</v>
      </c>
      <c r="X90" s="12">
        <f t="shared" si="4"/>
        <v>4.68602477</v>
      </c>
    </row>
    <row r="91">
      <c r="A91" s="15">
        <f t="shared" si="3"/>
        <v>90</v>
      </c>
      <c r="B91" s="15" t="s">
        <v>26</v>
      </c>
      <c r="C91" s="15" t="s">
        <v>19</v>
      </c>
      <c r="D91" s="15">
        <v>24.0</v>
      </c>
      <c r="E91" s="15"/>
      <c r="F91" s="15" t="s">
        <v>2269</v>
      </c>
      <c r="G91" s="15">
        <v>6.0</v>
      </c>
      <c r="H91" s="15">
        <v>4.0</v>
      </c>
      <c r="I91" s="110">
        <f t="shared" si="11"/>
        <v>0.1470588235</v>
      </c>
      <c r="J91" s="15" t="s">
        <v>1473</v>
      </c>
      <c r="K91" s="15"/>
      <c r="L91" s="15">
        <v>1.0</v>
      </c>
      <c r="M91" s="15" t="s">
        <v>44</v>
      </c>
      <c r="N91" s="15" t="s">
        <v>22</v>
      </c>
      <c r="O91" s="15" t="s">
        <v>1847</v>
      </c>
      <c r="P91" s="15" t="s">
        <v>24</v>
      </c>
      <c r="Q91" s="16">
        <v>-0.5</v>
      </c>
      <c r="R91" s="16">
        <v>0.25</v>
      </c>
      <c r="S91" s="16">
        <v>0.25</v>
      </c>
      <c r="T91" s="17">
        <v>45520.0</v>
      </c>
      <c r="U91" s="18">
        <v>1.8</v>
      </c>
      <c r="V91" s="15" t="s">
        <v>25</v>
      </c>
      <c r="W91" s="19">
        <f t="shared" si="1"/>
        <v>-0.25</v>
      </c>
      <c r="X91" s="19">
        <f t="shared" si="4"/>
        <v>4.43602477</v>
      </c>
    </row>
    <row r="92">
      <c r="A92" s="8">
        <f t="shared" si="3"/>
        <v>91</v>
      </c>
      <c r="B92" s="8" t="s">
        <v>129</v>
      </c>
      <c r="C92" s="8" t="s">
        <v>19</v>
      </c>
      <c r="D92" s="8">
        <v>31.0</v>
      </c>
      <c r="E92" s="8"/>
      <c r="F92" s="8" t="s">
        <v>2270</v>
      </c>
      <c r="G92" s="8"/>
      <c r="H92" s="8"/>
      <c r="I92" s="111"/>
      <c r="J92" s="8" t="s">
        <v>1473</v>
      </c>
      <c r="K92" s="8" t="s">
        <v>1480</v>
      </c>
      <c r="L92" s="8">
        <v>0.0</v>
      </c>
      <c r="M92" s="8" t="s">
        <v>93</v>
      </c>
      <c r="N92" s="8" t="s">
        <v>22</v>
      </c>
      <c r="O92" s="8" t="s">
        <v>892</v>
      </c>
      <c r="P92" s="8" t="s">
        <v>24</v>
      </c>
      <c r="Q92" s="9">
        <v>0.0</v>
      </c>
      <c r="R92" s="9">
        <v>0.5</v>
      </c>
      <c r="S92" s="9">
        <v>0.39</v>
      </c>
      <c r="T92" s="10">
        <v>45520.0</v>
      </c>
      <c r="U92" s="11">
        <v>1.8</v>
      </c>
      <c r="V92" s="8" t="s">
        <v>70</v>
      </c>
      <c r="W92" s="12">
        <f t="shared" si="1"/>
        <v>0</v>
      </c>
      <c r="X92" s="12">
        <f t="shared" si="4"/>
        <v>4.43602477</v>
      </c>
    </row>
    <row r="93">
      <c r="A93" s="15">
        <f t="shared" si="3"/>
        <v>92</v>
      </c>
      <c r="B93" s="15" t="s">
        <v>18</v>
      </c>
      <c r="C93" s="15" t="s">
        <v>19</v>
      </c>
      <c r="D93" s="15">
        <v>85.0</v>
      </c>
      <c r="E93" s="15"/>
      <c r="F93" s="15" t="s">
        <v>2271</v>
      </c>
      <c r="G93" s="15">
        <v>13.0</v>
      </c>
      <c r="H93" s="15">
        <v>1.0</v>
      </c>
      <c r="I93" s="110">
        <f>1/(15*2)</f>
        <v>0.03333333333</v>
      </c>
      <c r="J93" s="15" t="s">
        <v>1479</v>
      </c>
      <c r="K93" s="15" t="s">
        <v>1477</v>
      </c>
      <c r="L93" s="15">
        <v>1.0</v>
      </c>
      <c r="M93" s="15" t="s">
        <v>101</v>
      </c>
      <c r="N93" s="15" t="s">
        <v>22</v>
      </c>
      <c r="O93" s="15" t="s">
        <v>894</v>
      </c>
      <c r="P93" s="15" t="s">
        <v>24</v>
      </c>
      <c r="Q93" s="16">
        <v>-1.0</v>
      </c>
      <c r="R93" s="16">
        <v>0.1</v>
      </c>
      <c r="S93" s="16">
        <v>0.09</v>
      </c>
      <c r="T93" s="17">
        <v>45520.0</v>
      </c>
      <c r="U93" s="18">
        <v>6.0</v>
      </c>
      <c r="V93" s="15" t="s">
        <v>25</v>
      </c>
      <c r="W93" s="19">
        <f t="shared" si="1"/>
        <v>-0.09</v>
      </c>
      <c r="X93" s="19">
        <f t="shared" si="4"/>
        <v>4.34602477</v>
      </c>
    </row>
    <row r="94">
      <c r="A94" s="8">
        <f t="shared" si="3"/>
        <v>93</v>
      </c>
      <c r="B94" s="8" t="s">
        <v>26</v>
      </c>
      <c r="C94" s="8" t="s">
        <v>19</v>
      </c>
      <c r="D94" s="8">
        <v>55.0</v>
      </c>
      <c r="E94" s="8"/>
      <c r="F94" s="8" t="s">
        <v>2272</v>
      </c>
      <c r="G94" s="8">
        <v>5.0</v>
      </c>
      <c r="H94" s="8">
        <v>4.0</v>
      </c>
      <c r="I94" s="111">
        <f>5/(17*2)</f>
        <v>0.1470588235</v>
      </c>
      <c r="J94" s="8" t="s">
        <v>1479</v>
      </c>
      <c r="K94" s="8"/>
      <c r="L94" s="8">
        <v>-1.0</v>
      </c>
      <c r="M94" s="8" t="s">
        <v>44</v>
      </c>
      <c r="N94" s="8" t="s">
        <v>22</v>
      </c>
      <c r="O94" s="8" t="s">
        <v>1023</v>
      </c>
      <c r="P94" s="8" t="s">
        <v>24</v>
      </c>
      <c r="Q94" s="9"/>
      <c r="R94" s="9">
        <v>0.35</v>
      </c>
      <c r="S94" s="9">
        <v>0.35</v>
      </c>
      <c r="T94" s="10">
        <v>45520.0</v>
      </c>
      <c r="U94" s="11">
        <v>2.625</v>
      </c>
      <c r="V94" s="8" t="s">
        <v>33</v>
      </c>
      <c r="W94" s="12">
        <f t="shared" si="1"/>
        <v>0.56875</v>
      </c>
      <c r="X94" s="12">
        <f t="shared" si="4"/>
        <v>4.91477477</v>
      </c>
    </row>
    <row r="95">
      <c r="A95" s="15">
        <f t="shared" si="3"/>
        <v>94</v>
      </c>
      <c r="B95" s="15" t="s">
        <v>129</v>
      </c>
      <c r="C95" s="15" t="s">
        <v>19</v>
      </c>
      <c r="D95" s="15">
        <v>69.0</v>
      </c>
      <c r="E95" s="15"/>
      <c r="F95" s="15" t="s">
        <v>2273</v>
      </c>
      <c r="G95" s="15"/>
      <c r="H95" s="15"/>
      <c r="I95" s="110"/>
      <c r="J95" s="15" t="s">
        <v>1479</v>
      </c>
      <c r="K95" s="15" t="s">
        <v>1480</v>
      </c>
      <c r="L95" s="15">
        <v>0.0</v>
      </c>
      <c r="M95" s="15" t="s">
        <v>93</v>
      </c>
      <c r="N95" s="15" t="s">
        <v>22</v>
      </c>
      <c r="O95" s="15" t="s">
        <v>892</v>
      </c>
      <c r="P95" s="15" t="s">
        <v>24</v>
      </c>
      <c r="Q95" s="16">
        <v>0.0</v>
      </c>
      <c r="R95" s="16">
        <v>0.3</v>
      </c>
      <c r="S95" s="16">
        <v>0.3</v>
      </c>
      <c r="T95" s="17">
        <v>45520.0</v>
      </c>
      <c r="U95" s="18">
        <v>2.3</v>
      </c>
      <c r="V95" s="15" t="s">
        <v>70</v>
      </c>
      <c r="W95" s="19">
        <f t="shared" si="1"/>
        <v>0</v>
      </c>
      <c r="X95" s="19">
        <f t="shared" si="4"/>
        <v>4.91477477</v>
      </c>
    </row>
    <row r="96">
      <c r="A96" s="8">
        <f t="shared" si="3"/>
        <v>95</v>
      </c>
      <c r="B96" s="8" t="s">
        <v>129</v>
      </c>
      <c r="C96" s="8" t="s">
        <v>19</v>
      </c>
      <c r="D96" s="8">
        <v>75.0</v>
      </c>
      <c r="E96" s="8"/>
      <c r="F96" s="8" t="s">
        <v>2274</v>
      </c>
      <c r="G96" s="8"/>
      <c r="H96" s="8"/>
      <c r="I96" s="111"/>
      <c r="J96" s="8" t="s">
        <v>1473</v>
      </c>
      <c r="K96" s="8" t="s">
        <v>1480</v>
      </c>
      <c r="L96" s="8">
        <v>-1.0</v>
      </c>
      <c r="M96" s="8" t="s">
        <v>316</v>
      </c>
      <c r="N96" s="8" t="s">
        <v>22</v>
      </c>
      <c r="O96" s="8" t="s">
        <v>892</v>
      </c>
      <c r="P96" s="8" t="s">
        <v>24</v>
      </c>
      <c r="Q96" s="9">
        <v>0.0</v>
      </c>
      <c r="R96" s="9">
        <v>0.25</v>
      </c>
      <c r="S96" s="9">
        <v>0.25</v>
      </c>
      <c r="T96" s="54">
        <v>45520.0</v>
      </c>
      <c r="U96" s="11">
        <v>2.1</v>
      </c>
      <c r="V96" s="8" t="s">
        <v>70</v>
      </c>
      <c r="W96" s="12">
        <f t="shared" si="1"/>
        <v>0</v>
      </c>
      <c r="X96" s="12">
        <f t="shared" si="4"/>
        <v>4.91477477</v>
      </c>
    </row>
    <row r="97">
      <c r="A97" s="15">
        <f t="shared" si="3"/>
        <v>96</v>
      </c>
      <c r="B97" s="15" t="s">
        <v>131</v>
      </c>
      <c r="C97" s="15" t="s">
        <v>40</v>
      </c>
      <c r="D97" s="15">
        <v>84.0</v>
      </c>
      <c r="E97" s="15"/>
      <c r="F97" s="15" t="s">
        <v>2275</v>
      </c>
      <c r="G97" s="15"/>
      <c r="H97" s="15"/>
      <c r="I97" s="15"/>
      <c r="J97" s="15" t="s">
        <v>1479</v>
      </c>
      <c r="K97" s="15" t="s">
        <v>1480</v>
      </c>
      <c r="L97" s="15">
        <v>-1.0</v>
      </c>
      <c r="M97" s="15" t="s">
        <v>487</v>
      </c>
      <c r="N97" s="15" t="s">
        <v>22</v>
      </c>
      <c r="O97" s="15" t="s">
        <v>892</v>
      </c>
      <c r="P97" s="15" t="s">
        <v>24</v>
      </c>
      <c r="Q97" s="16">
        <v>0.0</v>
      </c>
      <c r="R97" s="16">
        <v>0.25</v>
      </c>
      <c r="S97" s="16">
        <v>0.23</v>
      </c>
      <c r="T97" s="17">
        <v>45521.0</v>
      </c>
      <c r="U97" s="18">
        <v>1.65</v>
      </c>
      <c r="V97" s="15" t="s">
        <v>70</v>
      </c>
      <c r="W97" s="19">
        <f t="shared" si="1"/>
        <v>0</v>
      </c>
      <c r="X97" s="19">
        <f t="shared" si="4"/>
        <v>4.91477477</v>
      </c>
    </row>
    <row r="98">
      <c r="A98" s="8">
        <f t="shared" si="3"/>
        <v>97</v>
      </c>
      <c r="B98" s="8" t="s">
        <v>26</v>
      </c>
      <c r="C98" s="8" t="s">
        <v>19</v>
      </c>
      <c r="D98" s="8">
        <v>35.0</v>
      </c>
      <c r="E98" s="8"/>
      <c r="F98" s="8" t="s">
        <v>2276</v>
      </c>
      <c r="G98" s="8">
        <v>4.0</v>
      </c>
      <c r="H98" s="8">
        <v>7.0</v>
      </c>
      <c r="I98" s="111">
        <f t="shared" ref="I98:I99" si="12">2/(17*2)</f>
        <v>0.05882352941</v>
      </c>
      <c r="J98" s="8" t="s">
        <v>1479</v>
      </c>
      <c r="K98" s="8" t="s">
        <v>1480</v>
      </c>
      <c r="L98" s="8">
        <v>-1.0</v>
      </c>
      <c r="M98" s="8" t="s">
        <v>44</v>
      </c>
      <c r="N98" s="8" t="s">
        <v>22</v>
      </c>
      <c r="O98" s="8" t="s">
        <v>892</v>
      </c>
      <c r="P98" s="8" t="s">
        <v>24</v>
      </c>
      <c r="Q98" s="9">
        <v>0.0</v>
      </c>
      <c r="R98" s="9">
        <v>0.25</v>
      </c>
      <c r="S98" s="9">
        <v>0.11</v>
      </c>
      <c r="T98" s="10">
        <v>45521.0</v>
      </c>
      <c r="U98" s="11">
        <v>1.975</v>
      </c>
      <c r="V98" s="8" t="s">
        <v>33</v>
      </c>
      <c r="W98" s="12">
        <f t="shared" si="1"/>
        <v>0.10725</v>
      </c>
      <c r="X98" s="12">
        <f t="shared" si="4"/>
        <v>5.02202477</v>
      </c>
    </row>
    <row r="99">
      <c r="A99" s="15">
        <f t="shared" si="3"/>
        <v>98</v>
      </c>
      <c r="B99" s="15" t="s">
        <v>26</v>
      </c>
      <c r="C99" s="15" t="s">
        <v>19</v>
      </c>
      <c r="D99" s="15">
        <v>38.0</v>
      </c>
      <c r="E99" s="15"/>
      <c r="F99" s="15" t="s">
        <v>2277</v>
      </c>
      <c r="G99" s="15">
        <v>4.0</v>
      </c>
      <c r="H99" s="15">
        <v>7.0</v>
      </c>
      <c r="I99" s="110">
        <f t="shared" si="12"/>
        <v>0.05882352941</v>
      </c>
      <c r="J99" s="15" t="s">
        <v>1479</v>
      </c>
      <c r="K99" s="15" t="s">
        <v>1480</v>
      </c>
      <c r="L99" s="15">
        <v>-1.0</v>
      </c>
      <c r="M99" s="15" t="s">
        <v>44</v>
      </c>
      <c r="N99" s="15" t="s">
        <v>22</v>
      </c>
      <c r="O99" s="15" t="s">
        <v>1150</v>
      </c>
      <c r="P99" s="15" t="s">
        <v>24</v>
      </c>
      <c r="Q99" s="16">
        <v>0.0</v>
      </c>
      <c r="R99" s="16">
        <v>0.25</v>
      </c>
      <c r="S99" s="16">
        <v>0.25</v>
      </c>
      <c r="T99" s="17">
        <v>45521.0</v>
      </c>
      <c r="U99" s="18">
        <v>1.75</v>
      </c>
      <c r="V99" s="15" t="s">
        <v>70</v>
      </c>
      <c r="W99" s="19">
        <f t="shared" si="1"/>
        <v>0</v>
      </c>
      <c r="X99" s="19">
        <f t="shared" si="4"/>
        <v>5.02202477</v>
      </c>
    </row>
    <row r="100">
      <c r="A100" s="8">
        <f t="shared" si="3"/>
        <v>99</v>
      </c>
      <c r="B100" s="8" t="s">
        <v>18</v>
      </c>
      <c r="C100" s="8" t="s">
        <v>19</v>
      </c>
      <c r="D100" s="8">
        <v>40.0</v>
      </c>
      <c r="E100" s="8"/>
      <c r="F100" s="8" t="s">
        <v>2278</v>
      </c>
      <c r="G100" s="8">
        <v>4.0</v>
      </c>
      <c r="H100" s="8">
        <v>2.0</v>
      </c>
      <c r="I100" s="111">
        <f>2/(7*2)</f>
        <v>0.1428571429</v>
      </c>
      <c r="J100" s="8" t="s">
        <v>1473</v>
      </c>
      <c r="K100" s="8" t="s">
        <v>1474</v>
      </c>
      <c r="L100" s="8">
        <v>-1.0</v>
      </c>
      <c r="M100" s="8" t="s">
        <v>44</v>
      </c>
      <c r="N100" s="8" t="s">
        <v>22</v>
      </c>
      <c r="O100" s="8" t="s">
        <v>225</v>
      </c>
      <c r="P100" s="8" t="s">
        <v>24</v>
      </c>
      <c r="Q100" s="9">
        <v>0.5</v>
      </c>
      <c r="R100" s="9">
        <v>1.0</v>
      </c>
      <c r="S100" s="9">
        <v>0.82</v>
      </c>
      <c r="T100" s="54">
        <v>45521.0</v>
      </c>
      <c r="U100" s="11">
        <v>1.8</v>
      </c>
      <c r="V100" s="8" t="s">
        <v>33</v>
      </c>
      <c r="W100" s="12">
        <f t="shared" si="1"/>
        <v>0.656</v>
      </c>
      <c r="X100" s="12">
        <f t="shared" si="4"/>
        <v>5.67802477</v>
      </c>
    </row>
    <row r="101">
      <c r="A101" s="15">
        <f t="shared" si="3"/>
        <v>100</v>
      </c>
      <c r="B101" s="15" t="s">
        <v>26</v>
      </c>
      <c r="C101" s="15" t="s">
        <v>19</v>
      </c>
      <c r="D101" s="15">
        <v>85.0</v>
      </c>
      <c r="E101" s="15"/>
      <c r="F101" s="15" t="s">
        <v>2279</v>
      </c>
      <c r="G101" s="15">
        <v>12.0</v>
      </c>
      <c r="H101" s="15">
        <v>3.0</v>
      </c>
      <c r="I101" s="110">
        <f>2/(17*2)</f>
        <v>0.05882352941</v>
      </c>
      <c r="J101" s="15" t="s">
        <v>1479</v>
      </c>
      <c r="K101" s="15" t="s">
        <v>1480</v>
      </c>
      <c r="L101" s="15">
        <v>-1.0</v>
      </c>
      <c r="M101" s="15" t="s">
        <v>432</v>
      </c>
      <c r="N101" s="15" t="s">
        <v>22</v>
      </c>
      <c r="O101" s="15" t="s">
        <v>892</v>
      </c>
      <c r="P101" s="15" t="s">
        <v>24</v>
      </c>
      <c r="Q101" s="16">
        <v>0.0</v>
      </c>
      <c r="R101" s="16">
        <v>0.55</v>
      </c>
      <c r="S101" s="16">
        <v>0.51</v>
      </c>
      <c r="T101" s="17">
        <v>45521.0</v>
      </c>
      <c r="U101" s="18">
        <v>2.05</v>
      </c>
      <c r="V101" s="15" t="s">
        <v>70</v>
      </c>
      <c r="W101" s="19">
        <f t="shared" si="1"/>
        <v>0</v>
      </c>
      <c r="X101" s="19">
        <f t="shared" si="4"/>
        <v>5.67802477</v>
      </c>
    </row>
    <row r="102">
      <c r="A102" s="8">
        <f t="shared" si="3"/>
        <v>101</v>
      </c>
      <c r="B102" s="8" t="s">
        <v>18</v>
      </c>
      <c r="C102" s="8" t="s">
        <v>19</v>
      </c>
      <c r="D102" s="8"/>
      <c r="E102" s="8"/>
      <c r="F102" s="8" t="s">
        <v>2280</v>
      </c>
      <c r="G102" s="8"/>
      <c r="H102" s="8"/>
      <c r="I102" s="111"/>
      <c r="J102" s="8"/>
      <c r="K102" s="8"/>
      <c r="L102" s="8"/>
      <c r="M102" s="8" t="s">
        <v>44</v>
      </c>
      <c r="N102" s="8" t="s">
        <v>22</v>
      </c>
      <c r="O102" s="8" t="s">
        <v>1165</v>
      </c>
      <c r="P102" s="8" t="s">
        <v>24</v>
      </c>
      <c r="Q102" s="9"/>
      <c r="R102" s="9">
        <v>0.1</v>
      </c>
      <c r="S102" s="9">
        <v>0.03</v>
      </c>
      <c r="T102" s="10">
        <v>45521.0</v>
      </c>
      <c r="U102" s="11">
        <v>10.0</v>
      </c>
      <c r="V102" s="8" t="s">
        <v>25</v>
      </c>
      <c r="W102" s="12">
        <f t="shared" si="1"/>
        <v>-0.03</v>
      </c>
      <c r="X102" s="12">
        <f t="shared" si="4"/>
        <v>5.64802477</v>
      </c>
    </row>
    <row r="103">
      <c r="A103" s="15">
        <f t="shared" si="3"/>
        <v>102</v>
      </c>
      <c r="B103" s="15" t="s">
        <v>18</v>
      </c>
      <c r="C103" s="15" t="s">
        <v>19</v>
      </c>
      <c r="D103" s="15">
        <v>59.0</v>
      </c>
      <c r="E103" s="15"/>
      <c r="F103" s="15" t="s">
        <v>2281</v>
      </c>
      <c r="G103" s="15">
        <v>3.0</v>
      </c>
      <c r="H103" s="15">
        <v>4.0</v>
      </c>
      <c r="I103" s="110"/>
      <c r="J103" s="15" t="s">
        <v>1479</v>
      </c>
      <c r="K103" s="15" t="s">
        <v>1480</v>
      </c>
      <c r="L103" s="15">
        <v>-2.0</v>
      </c>
      <c r="M103" s="15" t="s">
        <v>50</v>
      </c>
      <c r="N103" s="15" t="s">
        <v>22</v>
      </c>
      <c r="O103" s="15" t="s">
        <v>892</v>
      </c>
      <c r="P103" s="15" t="s">
        <v>24</v>
      </c>
      <c r="Q103" s="16">
        <v>0.0</v>
      </c>
      <c r="R103" s="16">
        <v>0.25</v>
      </c>
      <c r="S103" s="16">
        <v>0.2</v>
      </c>
      <c r="T103" s="17">
        <v>45521.0</v>
      </c>
      <c r="U103" s="18">
        <v>1.8</v>
      </c>
      <c r="V103" s="15" t="s">
        <v>70</v>
      </c>
      <c r="W103" s="19">
        <f t="shared" si="1"/>
        <v>0</v>
      </c>
      <c r="X103" s="19">
        <f t="shared" si="4"/>
        <v>5.64802477</v>
      </c>
    </row>
    <row r="104">
      <c r="A104" s="8">
        <f t="shared" si="3"/>
        <v>103</v>
      </c>
      <c r="B104" s="8" t="s">
        <v>18</v>
      </c>
      <c r="C104" s="8" t="s">
        <v>19</v>
      </c>
      <c r="D104" s="8">
        <v>75.0</v>
      </c>
      <c r="E104" s="8"/>
      <c r="F104" s="8" t="s">
        <v>2282</v>
      </c>
      <c r="G104" s="8"/>
      <c r="H104" s="8"/>
      <c r="I104" s="109"/>
      <c r="J104" s="8" t="s">
        <v>1479</v>
      </c>
      <c r="K104" s="8" t="s">
        <v>1480</v>
      </c>
      <c r="L104" s="8">
        <v>0.0</v>
      </c>
      <c r="M104" s="8" t="s">
        <v>82</v>
      </c>
      <c r="N104" s="8" t="s">
        <v>22</v>
      </c>
      <c r="O104" s="8" t="s">
        <v>892</v>
      </c>
      <c r="P104" s="8" t="s">
        <v>24</v>
      </c>
      <c r="Q104" s="9">
        <v>0.0</v>
      </c>
      <c r="R104" s="9">
        <v>0.25</v>
      </c>
      <c r="S104" s="9">
        <v>0.25</v>
      </c>
      <c r="T104" s="10">
        <v>45521.0</v>
      </c>
      <c r="U104" s="11">
        <v>1.675</v>
      </c>
      <c r="V104" s="8" t="s">
        <v>70</v>
      </c>
      <c r="W104" s="12">
        <f t="shared" si="1"/>
        <v>0</v>
      </c>
      <c r="X104" s="12">
        <f t="shared" si="4"/>
        <v>5.64802477</v>
      </c>
    </row>
    <row r="105">
      <c r="A105" s="15">
        <f t="shared" si="3"/>
        <v>104</v>
      </c>
      <c r="B105" s="15" t="s">
        <v>129</v>
      </c>
      <c r="C105" s="15" t="s">
        <v>19</v>
      </c>
      <c r="D105" s="15">
        <v>28.0</v>
      </c>
      <c r="E105" s="15"/>
      <c r="F105" s="15" t="s">
        <v>2283</v>
      </c>
      <c r="G105" s="15"/>
      <c r="H105" s="15"/>
      <c r="I105" s="112"/>
      <c r="J105" s="15" t="s">
        <v>1479</v>
      </c>
      <c r="K105" s="15" t="s">
        <v>1480</v>
      </c>
      <c r="L105" s="15">
        <v>0.0</v>
      </c>
      <c r="M105" s="15" t="s">
        <v>316</v>
      </c>
      <c r="N105" s="15" t="s">
        <v>22</v>
      </c>
      <c r="O105" s="15" t="s">
        <v>1150</v>
      </c>
      <c r="P105" s="15" t="s">
        <v>24</v>
      </c>
      <c r="Q105" s="16">
        <v>0.0</v>
      </c>
      <c r="R105" s="16">
        <v>0.25</v>
      </c>
      <c r="S105" s="16">
        <v>0.23</v>
      </c>
      <c r="T105" s="17">
        <v>45522.0</v>
      </c>
      <c r="U105" s="18">
        <v>1.775</v>
      </c>
      <c r="V105" s="15" t="s">
        <v>70</v>
      </c>
      <c r="W105" s="19">
        <f t="shared" si="1"/>
        <v>0</v>
      </c>
      <c r="X105" s="19">
        <f t="shared" si="4"/>
        <v>5.64802477</v>
      </c>
    </row>
    <row r="106">
      <c r="A106" s="8">
        <f t="shared" si="3"/>
        <v>105</v>
      </c>
      <c r="B106" s="8" t="s">
        <v>129</v>
      </c>
      <c r="C106" s="8" t="s">
        <v>19</v>
      </c>
      <c r="D106" s="8">
        <v>74.0</v>
      </c>
      <c r="E106" s="8"/>
      <c r="F106" s="8" t="s">
        <v>2284</v>
      </c>
      <c r="G106" s="8"/>
      <c r="H106" s="8"/>
      <c r="I106" s="109"/>
      <c r="J106" s="8" t="s">
        <v>1479</v>
      </c>
      <c r="K106" s="8" t="s">
        <v>1474</v>
      </c>
      <c r="L106" s="8">
        <v>0.0</v>
      </c>
      <c r="M106" s="8" t="s">
        <v>513</v>
      </c>
      <c r="N106" s="8" t="s">
        <v>22</v>
      </c>
      <c r="O106" s="8" t="s">
        <v>225</v>
      </c>
      <c r="P106" s="8" t="s">
        <v>24</v>
      </c>
      <c r="Q106" s="9">
        <v>0.25</v>
      </c>
      <c r="R106" s="9">
        <v>0.25</v>
      </c>
      <c r="S106" s="9">
        <v>0.11</v>
      </c>
      <c r="T106" s="10">
        <v>45522.0</v>
      </c>
      <c r="U106" s="11">
        <v>1.8</v>
      </c>
      <c r="V106" s="8" t="s">
        <v>30</v>
      </c>
      <c r="W106" s="12">
        <f t="shared" si="1"/>
        <v>0.044</v>
      </c>
      <c r="X106" s="12">
        <f t="shared" si="4"/>
        <v>5.69202477</v>
      </c>
    </row>
    <row r="107">
      <c r="A107" s="15">
        <f t="shared" si="3"/>
        <v>106</v>
      </c>
      <c r="B107" s="15" t="s">
        <v>129</v>
      </c>
      <c r="C107" s="15" t="s">
        <v>19</v>
      </c>
      <c r="D107" s="15">
        <v>75.0</v>
      </c>
      <c r="E107" s="15"/>
      <c r="F107" s="15" t="s">
        <v>2285</v>
      </c>
      <c r="G107" s="15"/>
      <c r="H107" s="15"/>
      <c r="I107" s="112"/>
      <c r="J107" s="15" t="s">
        <v>1479</v>
      </c>
      <c r="K107" s="15" t="s">
        <v>1480</v>
      </c>
      <c r="L107" s="15">
        <v>0.0</v>
      </c>
      <c r="M107" s="15" t="s">
        <v>513</v>
      </c>
      <c r="N107" s="15" t="s">
        <v>22</v>
      </c>
      <c r="O107" s="15" t="s">
        <v>892</v>
      </c>
      <c r="P107" s="15" t="s">
        <v>24</v>
      </c>
      <c r="Q107" s="16">
        <v>0.0</v>
      </c>
      <c r="R107" s="16">
        <v>0.75</v>
      </c>
      <c r="S107" s="16">
        <v>0.75</v>
      </c>
      <c r="T107" s="17">
        <v>45522.0</v>
      </c>
      <c r="U107" s="18">
        <v>1.7</v>
      </c>
      <c r="V107" s="15" t="s">
        <v>70</v>
      </c>
      <c r="W107" s="19">
        <f t="shared" si="1"/>
        <v>0</v>
      </c>
      <c r="X107" s="19">
        <f t="shared" si="4"/>
        <v>5.69202477</v>
      </c>
    </row>
    <row r="108">
      <c r="A108" s="8">
        <f t="shared" si="3"/>
        <v>107</v>
      </c>
      <c r="B108" s="8" t="s">
        <v>137</v>
      </c>
      <c r="C108" s="8" t="s">
        <v>19</v>
      </c>
      <c r="D108" s="8">
        <v>24.0</v>
      </c>
      <c r="E108" s="8"/>
      <c r="F108" s="8" t="s">
        <v>2286</v>
      </c>
      <c r="G108" s="8"/>
      <c r="H108" s="8"/>
      <c r="I108" s="109"/>
      <c r="J108" s="8" t="s">
        <v>1479</v>
      </c>
      <c r="K108" s="8" t="s">
        <v>1480</v>
      </c>
      <c r="L108" s="8">
        <v>-1.0</v>
      </c>
      <c r="M108" s="8" t="s">
        <v>84</v>
      </c>
      <c r="N108" s="8" t="s">
        <v>22</v>
      </c>
      <c r="O108" s="8" t="s">
        <v>892</v>
      </c>
      <c r="P108" s="8" t="s">
        <v>24</v>
      </c>
      <c r="Q108" s="9">
        <v>0.0</v>
      </c>
      <c r="R108" s="9">
        <v>0.25</v>
      </c>
      <c r="S108" s="9">
        <v>0.08</v>
      </c>
      <c r="T108" s="10">
        <v>45522.0</v>
      </c>
      <c r="U108" s="11">
        <v>1.75</v>
      </c>
      <c r="V108" s="8" t="s">
        <v>70</v>
      </c>
      <c r="W108" s="12">
        <f t="shared" si="1"/>
        <v>0</v>
      </c>
      <c r="X108" s="12">
        <f t="shared" si="4"/>
        <v>5.69202477</v>
      </c>
    </row>
    <row r="109">
      <c r="A109" s="15">
        <f t="shared" si="3"/>
        <v>108</v>
      </c>
      <c r="B109" s="15" t="s">
        <v>137</v>
      </c>
      <c r="C109" s="15" t="s">
        <v>19</v>
      </c>
      <c r="D109" s="15">
        <v>25.0</v>
      </c>
      <c r="E109" s="15"/>
      <c r="F109" s="15" t="s">
        <v>2287</v>
      </c>
      <c r="G109" s="15"/>
      <c r="H109" s="15"/>
      <c r="I109" s="112"/>
      <c r="J109" s="15" t="s">
        <v>1479</v>
      </c>
      <c r="K109" s="15" t="s">
        <v>1480</v>
      </c>
      <c r="L109" s="15">
        <v>-1.0</v>
      </c>
      <c r="M109" s="15" t="s">
        <v>84</v>
      </c>
      <c r="N109" s="15" t="s">
        <v>22</v>
      </c>
      <c r="O109" s="15" t="s">
        <v>1150</v>
      </c>
      <c r="P109" s="15" t="s">
        <v>24</v>
      </c>
      <c r="Q109" s="16">
        <v>0.0</v>
      </c>
      <c r="R109" s="16">
        <v>0.25</v>
      </c>
      <c r="S109" s="16">
        <v>0.25</v>
      </c>
      <c r="T109" s="17">
        <v>45522.0</v>
      </c>
      <c r="U109" s="18">
        <v>1.7</v>
      </c>
      <c r="V109" s="15" t="s">
        <v>70</v>
      </c>
      <c r="W109" s="19">
        <f t="shared" si="1"/>
        <v>0</v>
      </c>
      <c r="X109" s="19">
        <f t="shared" si="4"/>
        <v>5.69202477</v>
      </c>
    </row>
    <row r="110">
      <c r="A110" s="8">
        <f t="shared" si="3"/>
        <v>109</v>
      </c>
      <c r="B110" s="8" t="s">
        <v>129</v>
      </c>
      <c r="C110" s="8" t="s">
        <v>19</v>
      </c>
      <c r="D110" s="8">
        <v>21.0</v>
      </c>
      <c r="E110" s="8"/>
      <c r="F110" s="8" t="s">
        <v>2288</v>
      </c>
      <c r="G110" s="8"/>
      <c r="H110" s="8"/>
      <c r="I110" s="109"/>
      <c r="J110" s="8" t="s">
        <v>1479</v>
      </c>
      <c r="K110" s="8" t="s">
        <v>1477</v>
      </c>
      <c r="L110" s="8">
        <v>0.0</v>
      </c>
      <c r="M110" s="8" t="s">
        <v>84</v>
      </c>
      <c r="N110" s="8" t="s">
        <v>22</v>
      </c>
      <c r="O110" s="8" t="s">
        <v>894</v>
      </c>
      <c r="P110" s="8" t="s">
        <v>24</v>
      </c>
      <c r="Q110" s="9">
        <v>-0.5</v>
      </c>
      <c r="R110" s="9">
        <v>0.5</v>
      </c>
      <c r="S110" s="9">
        <v>0.5</v>
      </c>
      <c r="T110" s="10">
        <v>45522.0</v>
      </c>
      <c r="U110" s="11">
        <v>1.75</v>
      </c>
      <c r="V110" s="8" t="s">
        <v>33</v>
      </c>
      <c r="W110" s="12">
        <f t="shared" si="1"/>
        <v>0.375</v>
      </c>
      <c r="X110" s="12">
        <f t="shared" si="4"/>
        <v>6.06702477</v>
      </c>
    </row>
    <row r="111">
      <c r="A111" s="15">
        <f t="shared" si="3"/>
        <v>110</v>
      </c>
      <c r="B111" s="15" t="s">
        <v>26</v>
      </c>
      <c r="C111" s="15" t="s">
        <v>19</v>
      </c>
      <c r="D111" s="15">
        <v>60.0</v>
      </c>
      <c r="E111" s="15"/>
      <c r="F111" s="15" t="s">
        <v>2289</v>
      </c>
      <c r="G111" s="113">
        <v>12.0</v>
      </c>
      <c r="H111" s="113">
        <v>2.0</v>
      </c>
      <c r="I111" s="112">
        <f>2/(17*2)</f>
        <v>0.05882352941</v>
      </c>
      <c r="J111" s="15" t="s">
        <v>1479</v>
      </c>
      <c r="K111" s="15" t="s">
        <v>1480</v>
      </c>
      <c r="L111" s="15">
        <v>0.0</v>
      </c>
      <c r="M111" s="15" t="s">
        <v>44</v>
      </c>
      <c r="N111" s="15" t="s">
        <v>22</v>
      </c>
      <c r="O111" s="15" t="s">
        <v>892</v>
      </c>
      <c r="P111" s="15" t="s">
        <v>24</v>
      </c>
      <c r="Q111" s="16">
        <v>0.0</v>
      </c>
      <c r="R111" s="16">
        <v>0.5</v>
      </c>
      <c r="S111" s="16">
        <v>0.5</v>
      </c>
      <c r="T111" s="17">
        <v>45522.0</v>
      </c>
      <c r="U111" s="18">
        <v>2.05</v>
      </c>
      <c r="V111" s="15" t="s">
        <v>70</v>
      </c>
      <c r="W111" s="19">
        <f t="shared" si="1"/>
        <v>0</v>
      </c>
      <c r="X111" s="19">
        <f t="shared" si="4"/>
        <v>6.06702477</v>
      </c>
    </row>
    <row r="112">
      <c r="A112" s="8">
        <f t="shared" si="3"/>
        <v>111</v>
      </c>
      <c r="B112" s="8" t="s">
        <v>26</v>
      </c>
      <c r="C112" s="8" t="s">
        <v>19</v>
      </c>
      <c r="D112" s="8">
        <v>20.0</v>
      </c>
      <c r="E112" s="8"/>
      <c r="F112" s="8" t="s">
        <v>2290</v>
      </c>
      <c r="G112" s="8"/>
      <c r="H112" s="8"/>
      <c r="I112" s="109"/>
      <c r="J112" s="8" t="s">
        <v>1479</v>
      </c>
      <c r="K112" s="8" t="s">
        <v>1480</v>
      </c>
      <c r="L112" s="8">
        <v>0.0</v>
      </c>
      <c r="M112" s="8" t="s">
        <v>316</v>
      </c>
      <c r="N112" s="8" t="s">
        <v>22</v>
      </c>
      <c r="O112" s="8" t="s">
        <v>892</v>
      </c>
      <c r="P112" s="8" t="s">
        <v>24</v>
      </c>
      <c r="Q112" s="9">
        <v>0.0</v>
      </c>
      <c r="R112" s="9">
        <v>0.25</v>
      </c>
      <c r="S112" s="9">
        <v>0.25</v>
      </c>
      <c r="T112" s="10">
        <v>45522.0</v>
      </c>
      <c r="U112" s="11">
        <v>1.55</v>
      </c>
      <c r="V112" s="8" t="s">
        <v>33</v>
      </c>
      <c r="W112" s="12">
        <f t="shared" si="1"/>
        <v>0.1375</v>
      </c>
      <c r="X112" s="12">
        <f t="shared" si="4"/>
        <v>6.20452477</v>
      </c>
    </row>
    <row r="113">
      <c r="A113" s="15">
        <f t="shared" si="3"/>
        <v>112</v>
      </c>
      <c r="B113" s="15" t="s">
        <v>137</v>
      </c>
      <c r="C113" s="15" t="s">
        <v>19</v>
      </c>
      <c r="D113" s="15">
        <v>42.0</v>
      </c>
      <c r="E113" s="15"/>
      <c r="F113" s="15" t="s">
        <v>2291</v>
      </c>
      <c r="G113" s="15">
        <v>2.0</v>
      </c>
      <c r="H113" s="15">
        <v>9.0</v>
      </c>
      <c r="I113" s="112">
        <f>3/(15*2)</f>
        <v>0.1</v>
      </c>
      <c r="J113" s="15" t="s">
        <v>1479</v>
      </c>
      <c r="K113" s="15" t="s">
        <v>1477</v>
      </c>
      <c r="L113" s="15">
        <v>1.0</v>
      </c>
      <c r="M113" s="15" t="s">
        <v>99</v>
      </c>
      <c r="N113" s="15" t="s">
        <v>22</v>
      </c>
      <c r="O113" s="15" t="s">
        <v>894</v>
      </c>
      <c r="P113" s="15" t="s">
        <v>24</v>
      </c>
      <c r="Q113" s="16">
        <v>-0.5</v>
      </c>
      <c r="R113" s="16">
        <v>0.3</v>
      </c>
      <c r="S113" s="16">
        <v>0.3</v>
      </c>
      <c r="T113" s="17">
        <v>45522.0</v>
      </c>
      <c r="U113" s="18">
        <v>1.8</v>
      </c>
      <c r="V113" s="15" t="s">
        <v>25</v>
      </c>
      <c r="W113" s="19">
        <f t="shared" si="1"/>
        <v>-0.3</v>
      </c>
      <c r="X113" s="19">
        <f t="shared" si="4"/>
        <v>5.90452477</v>
      </c>
    </row>
    <row r="114">
      <c r="A114" s="8">
        <f t="shared" si="3"/>
        <v>113</v>
      </c>
      <c r="B114" s="8" t="s">
        <v>26</v>
      </c>
      <c r="C114" s="8" t="s">
        <v>19</v>
      </c>
      <c r="D114" s="8">
        <v>80.0</v>
      </c>
      <c r="E114" s="8"/>
      <c r="F114" s="8" t="s">
        <v>2292</v>
      </c>
      <c r="G114" s="8"/>
      <c r="H114" s="8"/>
      <c r="I114" s="109"/>
      <c r="J114" s="8" t="s">
        <v>1473</v>
      </c>
      <c r="K114" s="8" t="s">
        <v>1474</v>
      </c>
      <c r="L114" s="8">
        <v>-1.0</v>
      </c>
      <c r="M114" s="8" t="s">
        <v>448</v>
      </c>
      <c r="N114" s="8" t="s">
        <v>22</v>
      </c>
      <c r="O114" s="8" t="s">
        <v>225</v>
      </c>
      <c r="P114" s="8" t="s">
        <v>24</v>
      </c>
      <c r="Q114" s="9">
        <v>0.25</v>
      </c>
      <c r="R114" s="9">
        <v>0.25</v>
      </c>
      <c r="S114" s="9">
        <v>0.25</v>
      </c>
      <c r="T114" s="10">
        <v>45522.0</v>
      </c>
      <c r="U114" s="11">
        <v>1.7</v>
      </c>
      <c r="V114" s="8" t="s">
        <v>25</v>
      </c>
      <c r="W114" s="12">
        <f t="shared" si="1"/>
        <v>-0.25</v>
      </c>
      <c r="X114" s="12">
        <f t="shared" si="4"/>
        <v>5.65452477</v>
      </c>
    </row>
    <row r="115">
      <c r="A115" s="15">
        <f t="shared" si="3"/>
        <v>114</v>
      </c>
      <c r="B115" s="15" t="s">
        <v>26</v>
      </c>
      <c r="C115" s="15" t="s">
        <v>19</v>
      </c>
      <c r="D115" s="15">
        <v>72.0</v>
      </c>
      <c r="E115" s="15"/>
      <c r="F115" s="15" t="s">
        <v>2293</v>
      </c>
      <c r="G115" s="15">
        <v>2.0</v>
      </c>
      <c r="H115" s="15">
        <v>3.0</v>
      </c>
      <c r="I115" s="112">
        <f>3/(15*2)</f>
        <v>0.1</v>
      </c>
      <c r="J115" s="15" t="s">
        <v>1479</v>
      </c>
      <c r="K115" s="15" t="s">
        <v>1480</v>
      </c>
      <c r="L115" s="15">
        <v>-2.0</v>
      </c>
      <c r="M115" s="15" t="s">
        <v>99</v>
      </c>
      <c r="N115" s="15" t="s">
        <v>22</v>
      </c>
      <c r="O115" s="15" t="s">
        <v>892</v>
      </c>
      <c r="P115" s="15" t="s">
        <v>24</v>
      </c>
      <c r="Q115" s="16">
        <v>0.0</v>
      </c>
      <c r="R115" s="16">
        <v>0.5</v>
      </c>
      <c r="S115" s="16">
        <v>0.5</v>
      </c>
      <c r="T115" s="17">
        <v>45522.0</v>
      </c>
      <c r="U115" s="18">
        <v>1.75</v>
      </c>
      <c r="V115" s="15" t="s">
        <v>70</v>
      </c>
      <c r="W115" s="19">
        <f t="shared" si="1"/>
        <v>0</v>
      </c>
      <c r="X115" s="19">
        <f t="shared" si="4"/>
        <v>5.65452477</v>
      </c>
    </row>
    <row r="116">
      <c r="A116" s="8">
        <f t="shared" si="3"/>
        <v>115</v>
      </c>
      <c r="B116" s="8" t="s">
        <v>26</v>
      </c>
      <c r="C116" s="8" t="s">
        <v>19</v>
      </c>
      <c r="D116" s="8">
        <v>65.0</v>
      </c>
      <c r="E116" s="8"/>
      <c r="F116" s="8" t="s">
        <v>2294</v>
      </c>
      <c r="G116" s="8">
        <v>4.0</v>
      </c>
      <c r="H116" s="8">
        <v>9.0</v>
      </c>
      <c r="I116" s="109"/>
      <c r="J116" s="8" t="s">
        <v>1473</v>
      </c>
      <c r="K116" s="8" t="s">
        <v>1477</v>
      </c>
      <c r="L116" s="8">
        <v>0.0</v>
      </c>
      <c r="M116" s="8" t="s">
        <v>66</v>
      </c>
      <c r="N116" s="8" t="s">
        <v>22</v>
      </c>
      <c r="O116" s="8" t="s">
        <v>894</v>
      </c>
      <c r="P116" s="8" t="s">
        <v>24</v>
      </c>
      <c r="Q116" s="9">
        <v>-0.25</v>
      </c>
      <c r="R116" s="9">
        <v>0.25</v>
      </c>
      <c r="S116" s="9">
        <v>0.05</v>
      </c>
      <c r="T116" s="10">
        <v>45522.0</v>
      </c>
      <c r="U116" s="11">
        <v>2.025</v>
      </c>
      <c r="V116" s="8" t="s">
        <v>33</v>
      </c>
      <c r="W116" s="12">
        <f t="shared" si="1"/>
        <v>0.05125</v>
      </c>
      <c r="X116" s="12">
        <f t="shared" si="4"/>
        <v>5.70577477</v>
      </c>
    </row>
    <row r="117">
      <c r="A117" s="15">
        <f t="shared" si="3"/>
        <v>116</v>
      </c>
      <c r="B117" s="15" t="s">
        <v>137</v>
      </c>
      <c r="C117" s="15" t="s">
        <v>19</v>
      </c>
      <c r="D117" s="15">
        <v>79.0</v>
      </c>
      <c r="E117" s="15"/>
      <c r="F117" s="15" t="s">
        <v>2295</v>
      </c>
      <c r="G117" s="15"/>
      <c r="H117" s="15"/>
      <c r="I117" s="112"/>
      <c r="J117" s="15" t="s">
        <v>1479</v>
      </c>
      <c r="K117" s="15" t="s">
        <v>1480</v>
      </c>
      <c r="L117" s="15">
        <v>-3.0</v>
      </c>
      <c r="M117" s="15" t="s">
        <v>66</v>
      </c>
      <c r="N117" s="15" t="s">
        <v>22</v>
      </c>
      <c r="O117" s="15" t="s">
        <v>892</v>
      </c>
      <c r="P117" s="15" t="s">
        <v>24</v>
      </c>
      <c r="Q117" s="16">
        <v>0.0</v>
      </c>
      <c r="R117" s="16">
        <v>0.5</v>
      </c>
      <c r="S117" s="16">
        <v>0.5</v>
      </c>
      <c r="T117" s="17">
        <v>45522.0</v>
      </c>
      <c r="U117" s="18">
        <v>2.08</v>
      </c>
      <c r="V117" s="15" t="s">
        <v>70</v>
      </c>
      <c r="W117" s="19">
        <f t="shared" si="1"/>
        <v>0</v>
      </c>
      <c r="X117" s="19">
        <f t="shared" si="4"/>
        <v>5.70577477</v>
      </c>
    </row>
    <row r="118" ht="15.0" customHeight="1">
      <c r="A118" s="8">
        <f t="shared" si="3"/>
        <v>117</v>
      </c>
      <c r="B118" s="8" t="s">
        <v>129</v>
      </c>
      <c r="C118" s="8" t="s">
        <v>19</v>
      </c>
      <c r="D118" s="8">
        <v>80.0</v>
      </c>
      <c r="E118" s="8">
        <v>3.0</v>
      </c>
      <c r="F118" s="8" t="s">
        <v>2296</v>
      </c>
      <c r="G118" s="8"/>
      <c r="H118" s="8"/>
      <c r="I118" s="109"/>
      <c r="J118" s="8" t="s">
        <v>1479</v>
      </c>
      <c r="K118" s="8" t="s">
        <v>1480</v>
      </c>
      <c r="L118" s="8">
        <v>0.0</v>
      </c>
      <c r="M118" s="8" t="s">
        <v>99</v>
      </c>
      <c r="N118" s="8" t="s">
        <v>22</v>
      </c>
      <c r="O118" s="8" t="s">
        <v>892</v>
      </c>
      <c r="P118" s="8" t="s">
        <v>24</v>
      </c>
      <c r="Q118" s="9">
        <v>0.0</v>
      </c>
      <c r="R118" s="9">
        <v>0.5</v>
      </c>
      <c r="S118" s="9">
        <v>0.5</v>
      </c>
      <c r="T118" s="10">
        <v>45522.0</v>
      </c>
      <c r="U118" s="11">
        <v>1.775</v>
      </c>
      <c r="V118" s="8" t="s">
        <v>25</v>
      </c>
      <c r="W118" s="12">
        <f t="shared" si="1"/>
        <v>-0.5</v>
      </c>
      <c r="X118" s="12">
        <f t="shared" si="4"/>
        <v>5.20577477</v>
      </c>
    </row>
    <row r="119">
      <c r="A119" s="15">
        <f t="shared" si="3"/>
        <v>118</v>
      </c>
      <c r="B119" s="15" t="s">
        <v>129</v>
      </c>
      <c r="C119" s="15" t="s">
        <v>19</v>
      </c>
      <c r="D119" s="15">
        <v>3.0</v>
      </c>
      <c r="E119" s="15">
        <v>3.0</v>
      </c>
      <c r="F119" s="15" t="s">
        <v>2297</v>
      </c>
      <c r="G119" s="15"/>
      <c r="H119" s="15"/>
      <c r="I119" s="112"/>
      <c r="J119" s="15" t="s">
        <v>1473</v>
      </c>
      <c r="K119" s="15" t="s">
        <v>1480</v>
      </c>
      <c r="L119" s="15">
        <v>0.0</v>
      </c>
      <c r="M119" s="15" t="s">
        <v>84</v>
      </c>
      <c r="N119" s="15" t="s">
        <v>22</v>
      </c>
      <c r="O119" s="15" t="s">
        <v>1150</v>
      </c>
      <c r="P119" s="15" t="s">
        <v>24</v>
      </c>
      <c r="Q119" s="16">
        <v>0.0</v>
      </c>
      <c r="R119" s="16">
        <v>0.6</v>
      </c>
      <c r="S119" s="16">
        <v>0.6</v>
      </c>
      <c r="T119" s="17">
        <v>45523.0</v>
      </c>
      <c r="U119" s="18">
        <v>1.7</v>
      </c>
      <c r="V119" s="15" t="s">
        <v>70</v>
      </c>
      <c r="W119" s="19">
        <f t="shared" si="1"/>
        <v>0</v>
      </c>
      <c r="X119" s="19">
        <f t="shared" si="4"/>
        <v>5.20577477</v>
      </c>
    </row>
    <row r="120">
      <c r="A120" s="8">
        <f t="shared" si="3"/>
        <v>119</v>
      </c>
      <c r="B120" s="8" t="s">
        <v>129</v>
      </c>
      <c r="C120" s="8" t="s">
        <v>19</v>
      </c>
      <c r="D120" s="8">
        <v>3.0</v>
      </c>
      <c r="E120" s="8">
        <v>3.0</v>
      </c>
      <c r="F120" s="8" t="s">
        <v>2298</v>
      </c>
      <c r="G120" s="8"/>
      <c r="H120" s="8"/>
      <c r="I120" s="109"/>
      <c r="J120" s="8" t="s">
        <v>1473</v>
      </c>
      <c r="K120" s="8" t="s">
        <v>1480</v>
      </c>
      <c r="L120" s="8">
        <v>0.0</v>
      </c>
      <c r="M120" s="8" t="s">
        <v>84</v>
      </c>
      <c r="N120" s="8" t="s">
        <v>22</v>
      </c>
      <c r="O120" s="8" t="s">
        <v>892</v>
      </c>
      <c r="P120" s="8" t="s">
        <v>24</v>
      </c>
      <c r="Q120" s="9">
        <v>0.0</v>
      </c>
      <c r="R120" s="9">
        <v>1.0</v>
      </c>
      <c r="S120" s="9">
        <v>1.0</v>
      </c>
      <c r="T120" s="10">
        <v>45523.0</v>
      </c>
      <c r="U120" s="11">
        <v>1.675</v>
      </c>
      <c r="V120" s="8" t="s">
        <v>70</v>
      </c>
      <c r="W120" s="12">
        <f t="shared" si="1"/>
        <v>0</v>
      </c>
      <c r="X120" s="12">
        <f t="shared" si="4"/>
        <v>5.20577477</v>
      </c>
    </row>
    <row r="121">
      <c r="A121" s="15">
        <f t="shared" si="3"/>
        <v>120</v>
      </c>
      <c r="B121" s="15" t="s">
        <v>26</v>
      </c>
      <c r="C121" s="15" t="s">
        <v>19</v>
      </c>
      <c r="D121" s="15">
        <v>0.0</v>
      </c>
      <c r="E121" s="15"/>
      <c r="F121" s="15" t="s">
        <v>2299</v>
      </c>
      <c r="G121" s="15">
        <v>9.0</v>
      </c>
      <c r="H121" s="15">
        <v>4.0</v>
      </c>
      <c r="I121" s="15"/>
      <c r="J121" s="15" t="s">
        <v>1473</v>
      </c>
      <c r="K121" s="15" t="s">
        <v>1474</v>
      </c>
      <c r="L121" s="15">
        <v>0.0</v>
      </c>
      <c r="M121" s="15" t="s">
        <v>82</v>
      </c>
      <c r="N121" s="15" t="s">
        <v>22</v>
      </c>
      <c r="O121" s="15" t="s">
        <v>225</v>
      </c>
      <c r="P121" s="15" t="s">
        <v>1522</v>
      </c>
      <c r="Q121" s="16">
        <v>1.25</v>
      </c>
      <c r="R121" s="16">
        <v>0.1</v>
      </c>
      <c r="S121" s="16">
        <v>0.1</v>
      </c>
      <c r="T121" s="17">
        <v>45525.0</v>
      </c>
      <c r="U121" s="18">
        <v>1.33</v>
      </c>
      <c r="V121" s="15" t="s">
        <v>33</v>
      </c>
      <c r="W121" s="19">
        <f t="shared" si="1"/>
        <v>0.033</v>
      </c>
      <c r="X121" s="19">
        <f t="shared" si="4"/>
        <v>5.23877477</v>
      </c>
    </row>
    <row r="122">
      <c r="A122" s="8">
        <f t="shared" si="3"/>
        <v>121</v>
      </c>
      <c r="B122" s="8" t="s">
        <v>18</v>
      </c>
      <c r="C122" s="8" t="s">
        <v>19</v>
      </c>
      <c r="D122" s="8">
        <v>63.0</v>
      </c>
      <c r="E122" s="8"/>
      <c r="F122" s="8" t="s">
        <v>2300</v>
      </c>
      <c r="G122" s="8">
        <v>12.0</v>
      </c>
      <c r="H122" s="8">
        <v>14.0</v>
      </c>
      <c r="I122" s="8">
        <f>3/(16*2)</f>
        <v>0.09375</v>
      </c>
      <c r="J122" s="8" t="s">
        <v>1479</v>
      </c>
      <c r="K122" s="8" t="s">
        <v>1477</v>
      </c>
      <c r="L122" s="8">
        <v>0.0</v>
      </c>
      <c r="M122" s="8" t="s">
        <v>448</v>
      </c>
      <c r="N122" s="8" t="s">
        <v>22</v>
      </c>
      <c r="O122" s="8" t="s">
        <v>894</v>
      </c>
      <c r="P122" s="8" t="s">
        <v>24</v>
      </c>
      <c r="Q122" s="9">
        <v>-0.25</v>
      </c>
      <c r="R122" s="9">
        <v>0.25</v>
      </c>
      <c r="S122" s="9">
        <v>0.25</v>
      </c>
      <c r="T122" s="10">
        <v>45525.0</v>
      </c>
      <c r="U122" s="11">
        <v>1.975</v>
      </c>
      <c r="V122" s="8" t="s">
        <v>33</v>
      </c>
      <c r="W122" s="12">
        <f t="shared" si="1"/>
        <v>0.24375</v>
      </c>
      <c r="X122" s="12">
        <f t="shared" si="4"/>
        <v>5.48252477</v>
      </c>
    </row>
    <row r="123">
      <c r="A123" s="15">
        <f t="shared" si="3"/>
        <v>122</v>
      </c>
      <c r="B123" s="15" t="s">
        <v>26</v>
      </c>
      <c r="C123" s="15" t="s">
        <v>19</v>
      </c>
      <c r="D123" s="15">
        <v>78.0</v>
      </c>
      <c r="E123" s="15"/>
      <c r="F123" s="15" t="s">
        <v>2301</v>
      </c>
      <c r="G123" s="15">
        <v>6.0</v>
      </c>
      <c r="H123" s="15">
        <v>7.0</v>
      </c>
      <c r="I123" s="15"/>
      <c r="J123" s="15" t="s">
        <v>1473</v>
      </c>
      <c r="K123" s="15" t="s">
        <v>1480</v>
      </c>
      <c r="L123" s="15">
        <v>1.0</v>
      </c>
      <c r="M123" s="15" t="s">
        <v>432</v>
      </c>
      <c r="N123" s="15" t="s">
        <v>22</v>
      </c>
      <c r="O123" s="15" t="s">
        <v>892</v>
      </c>
      <c r="P123" s="15" t="s">
        <v>24</v>
      </c>
      <c r="Q123" s="16">
        <v>0.0</v>
      </c>
      <c r="R123" s="16">
        <v>0.25</v>
      </c>
      <c r="S123" s="16">
        <v>0.14</v>
      </c>
      <c r="T123" s="17">
        <v>45525.0</v>
      </c>
      <c r="U123" s="18">
        <v>2.08</v>
      </c>
      <c r="V123" s="15" t="s">
        <v>70</v>
      </c>
      <c r="W123" s="19">
        <f t="shared" si="1"/>
        <v>0</v>
      </c>
      <c r="X123" s="19">
        <f t="shared" si="4"/>
        <v>5.48252477</v>
      </c>
    </row>
    <row r="124">
      <c r="A124" s="8">
        <f t="shared" si="3"/>
        <v>123</v>
      </c>
      <c r="B124" s="8" t="s">
        <v>26</v>
      </c>
      <c r="C124" s="8" t="s">
        <v>40</v>
      </c>
      <c r="D124" s="8">
        <v>83.0</v>
      </c>
      <c r="E124" s="8"/>
      <c r="F124" s="8" t="s">
        <v>2302</v>
      </c>
      <c r="G124" s="8"/>
      <c r="H124" s="8"/>
      <c r="I124" s="8"/>
      <c r="J124" s="8" t="s">
        <v>1479</v>
      </c>
      <c r="K124" s="8" t="s">
        <v>1474</v>
      </c>
      <c r="L124" s="8">
        <v>0.0</v>
      </c>
      <c r="M124" s="8" t="s">
        <v>224</v>
      </c>
      <c r="N124" s="8" t="s">
        <v>22</v>
      </c>
      <c r="O124" s="8" t="s">
        <v>225</v>
      </c>
      <c r="P124" s="8" t="s">
        <v>24</v>
      </c>
      <c r="Q124" s="9">
        <v>0.25</v>
      </c>
      <c r="R124" s="9">
        <v>0.25</v>
      </c>
      <c r="S124" s="9">
        <v>0.25</v>
      </c>
      <c r="T124" s="10">
        <v>45525.0</v>
      </c>
      <c r="U124" s="11">
        <v>1.7</v>
      </c>
      <c r="V124" s="8" t="s">
        <v>30</v>
      </c>
      <c r="W124" s="12">
        <f t="shared" si="1"/>
        <v>0.0875</v>
      </c>
      <c r="X124" s="12">
        <f t="shared" si="4"/>
        <v>5.57002477</v>
      </c>
    </row>
    <row r="125">
      <c r="A125" s="15">
        <f t="shared" si="3"/>
        <v>124</v>
      </c>
      <c r="B125" s="15" t="s">
        <v>26</v>
      </c>
      <c r="C125" s="15" t="s">
        <v>40</v>
      </c>
      <c r="D125" s="15">
        <v>84.0</v>
      </c>
      <c r="E125" s="15"/>
      <c r="F125" s="15" t="s">
        <v>2303</v>
      </c>
      <c r="G125" s="15"/>
      <c r="H125" s="15"/>
      <c r="I125" s="15"/>
      <c r="J125" s="15" t="s">
        <v>1479</v>
      </c>
      <c r="K125" s="15" t="s">
        <v>1480</v>
      </c>
      <c r="L125" s="15">
        <v>0.0</v>
      </c>
      <c r="M125" s="15" t="s">
        <v>224</v>
      </c>
      <c r="N125" s="15" t="s">
        <v>22</v>
      </c>
      <c r="O125" s="15" t="s">
        <v>941</v>
      </c>
      <c r="P125" s="15" t="s">
        <v>24</v>
      </c>
      <c r="Q125" s="16">
        <v>0.0</v>
      </c>
      <c r="R125" s="16">
        <v>0.2</v>
      </c>
      <c r="S125" s="16">
        <v>0.05</v>
      </c>
      <c r="T125" s="17">
        <v>45525.0</v>
      </c>
      <c r="U125" s="18">
        <v>4.0</v>
      </c>
      <c r="V125" s="15" t="s">
        <v>70</v>
      </c>
      <c r="W125" s="19">
        <f t="shared" si="1"/>
        <v>0</v>
      </c>
      <c r="X125" s="19">
        <f t="shared" si="4"/>
        <v>5.57002477</v>
      </c>
    </row>
    <row r="126">
      <c r="A126" s="8">
        <f t="shared" si="3"/>
        <v>125</v>
      </c>
      <c r="B126" s="8" t="s">
        <v>26</v>
      </c>
      <c r="C126" s="8" t="s">
        <v>19</v>
      </c>
      <c r="D126" s="8">
        <v>9.0</v>
      </c>
      <c r="E126" s="8"/>
      <c r="F126" s="8" t="s">
        <v>2304</v>
      </c>
      <c r="G126" s="8">
        <v>5.0</v>
      </c>
      <c r="H126" s="8">
        <v>16.0</v>
      </c>
      <c r="I126" s="109">
        <f>18/(19*2)</f>
        <v>0.4736842105</v>
      </c>
      <c r="J126" s="8" t="s">
        <v>1479</v>
      </c>
      <c r="K126" s="8" t="s">
        <v>1477</v>
      </c>
      <c r="L126" s="8">
        <v>0.0</v>
      </c>
      <c r="M126" s="8" t="s">
        <v>82</v>
      </c>
      <c r="N126" s="8" t="s">
        <v>22</v>
      </c>
      <c r="O126" s="8" t="s">
        <v>894</v>
      </c>
      <c r="P126" s="8" t="s">
        <v>39</v>
      </c>
      <c r="Q126" s="9">
        <v>-1.0</v>
      </c>
      <c r="R126" s="9">
        <v>0.25</v>
      </c>
      <c r="S126" s="9">
        <v>0.25</v>
      </c>
      <c r="T126" s="10">
        <v>45525.0</v>
      </c>
      <c r="U126" s="11">
        <v>1.7</v>
      </c>
      <c r="V126" s="8" t="s">
        <v>33</v>
      </c>
      <c r="W126" s="12">
        <f t="shared" si="1"/>
        <v>0.175</v>
      </c>
      <c r="X126" s="12">
        <f t="shared" si="4"/>
        <v>5.74502477</v>
      </c>
    </row>
    <row r="127">
      <c r="A127" s="15">
        <f t="shared" si="3"/>
        <v>126</v>
      </c>
      <c r="B127" s="15" t="s">
        <v>26</v>
      </c>
      <c r="C127" s="15" t="s">
        <v>19</v>
      </c>
      <c r="D127" s="15">
        <v>7.0</v>
      </c>
      <c r="E127" s="15"/>
      <c r="F127" s="15" t="s">
        <v>2305</v>
      </c>
      <c r="G127" s="15">
        <v>4.0</v>
      </c>
      <c r="H127" s="15">
        <v>15.0</v>
      </c>
      <c r="I127" s="112">
        <f>17/(15*2)</f>
        <v>0.5666666667</v>
      </c>
      <c r="J127" s="15"/>
      <c r="K127" s="15"/>
      <c r="L127" s="15"/>
      <c r="M127" s="15" t="s">
        <v>1470</v>
      </c>
      <c r="N127" s="15" t="s">
        <v>22</v>
      </c>
      <c r="O127" s="15" t="s">
        <v>29</v>
      </c>
      <c r="P127" s="15" t="s">
        <v>24</v>
      </c>
      <c r="Q127" s="16">
        <v>-2.25</v>
      </c>
      <c r="R127" s="16">
        <v>0.5</v>
      </c>
      <c r="S127" s="16">
        <v>0.5</v>
      </c>
      <c r="T127" s="17">
        <v>45526.0</v>
      </c>
      <c r="U127" s="18">
        <v>1.53484</v>
      </c>
      <c r="V127" s="15" t="s">
        <v>30</v>
      </c>
      <c r="W127" s="19">
        <f t="shared" si="1"/>
        <v>0.13371</v>
      </c>
      <c r="X127" s="19">
        <f t="shared" si="4"/>
        <v>5.87873477</v>
      </c>
    </row>
    <row r="128">
      <c r="A128" s="8">
        <f t="shared" si="3"/>
        <v>127</v>
      </c>
      <c r="B128" s="8" t="s">
        <v>137</v>
      </c>
      <c r="C128" s="8" t="s">
        <v>19</v>
      </c>
      <c r="D128" s="8">
        <v>33.0</v>
      </c>
      <c r="E128" s="8">
        <v>3.0</v>
      </c>
      <c r="F128" s="8" t="s">
        <v>2306</v>
      </c>
      <c r="G128" s="8">
        <v>2.0</v>
      </c>
      <c r="H128" s="8">
        <v>16.0</v>
      </c>
      <c r="I128" s="109">
        <f>2/(15*2)</f>
        <v>0.06666666667</v>
      </c>
      <c r="J128" s="8" t="s">
        <v>1479</v>
      </c>
      <c r="K128" s="8" t="s">
        <v>1480</v>
      </c>
      <c r="L128" s="8">
        <v>0.0</v>
      </c>
      <c r="M128" s="8" t="s">
        <v>231</v>
      </c>
      <c r="N128" s="8" t="s">
        <v>22</v>
      </c>
      <c r="O128" s="8" t="s">
        <v>892</v>
      </c>
      <c r="P128" s="8" t="s">
        <v>24</v>
      </c>
      <c r="Q128" s="9">
        <v>0.0</v>
      </c>
      <c r="R128" s="9">
        <v>0.5</v>
      </c>
      <c r="S128" s="9">
        <v>0.5</v>
      </c>
      <c r="T128" s="10">
        <v>45526.0</v>
      </c>
      <c r="U128" s="11">
        <v>1.294</v>
      </c>
      <c r="V128" s="8" t="s">
        <v>33</v>
      </c>
      <c r="W128" s="12">
        <f t="shared" si="1"/>
        <v>0.147</v>
      </c>
      <c r="X128" s="12">
        <f t="shared" si="4"/>
        <v>6.02573477</v>
      </c>
    </row>
    <row r="129">
      <c r="A129" s="15">
        <f t="shared" si="3"/>
        <v>128</v>
      </c>
      <c r="B129" s="15" t="s">
        <v>26</v>
      </c>
      <c r="C129" s="15" t="s">
        <v>19</v>
      </c>
      <c r="D129" s="15">
        <v>25.0</v>
      </c>
      <c r="E129" s="15">
        <v>3.0</v>
      </c>
      <c r="F129" s="15" t="s">
        <v>2307</v>
      </c>
      <c r="G129" s="15"/>
      <c r="H129" s="15"/>
      <c r="I129" s="112"/>
      <c r="J129" s="15" t="s">
        <v>1479</v>
      </c>
      <c r="K129" s="15" t="s">
        <v>1480</v>
      </c>
      <c r="L129" s="15">
        <v>1.0</v>
      </c>
      <c r="M129" s="15" t="s">
        <v>683</v>
      </c>
      <c r="N129" s="15" t="s">
        <v>22</v>
      </c>
      <c r="O129" s="15" t="s">
        <v>892</v>
      </c>
      <c r="P129" s="15" t="s">
        <v>24</v>
      </c>
      <c r="Q129" s="16">
        <v>0.0</v>
      </c>
      <c r="R129" s="16">
        <v>1.0</v>
      </c>
      <c r="S129" s="16">
        <v>0.09</v>
      </c>
      <c r="T129" s="55">
        <v>45526.0</v>
      </c>
      <c r="U129" s="18">
        <v>1.775</v>
      </c>
      <c r="V129" s="15" t="s">
        <v>25</v>
      </c>
      <c r="W129" s="19">
        <f t="shared" si="1"/>
        <v>-0.09</v>
      </c>
      <c r="X129" s="19">
        <f t="shared" si="4"/>
        <v>5.93573477</v>
      </c>
    </row>
    <row r="130">
      <c r="A130" s="8">
        <f t="shared" si="3"/>
        <v>129</v>
      </c>
      <c r="B130" s="8" t="s">
        <v>18</v>
      </c>
      <c r="C130" s="8" t="s">
        <v>40</v>
      </c>
      <c r="D130" s="8">
        <v>57.0</v>
      </c>
      <c r="E130" s="8">
        <v>3.0</v>
      </c>
      <c r="F130" s="8" t="s">
        <v>2308</v>
      </c>
      <c r="G130" s="8"/>
      <c r="H130" s="8"/>
      <c r="I130" s="8"/>
      <c r="J130" s="8" t="s">
        <v>1479</v>
      </c>
      <c r="K130" s="8" t="s">
        <v>1480</v>
      </c>
      <c r="L130" s="8">
        <v>-1.0</v>
      </c>
      <c r="M130" s="8" t="s">
        <v>635</v>
      </c>
      <c r="N130" s="8" t="s">
        <v>22</v>
      </c>
      <c r="O130" s="8" t="s">
        <v>892</v>
      </c>
      <c r="P130" s="8" t="s">
        <v>24</v>
      </c>
      <c r="Q130" s="9">
        <v>0.0</v>
      </c>
      <c r="R130" s="9">
        <v>1.0</v>
      </c>
      <c r="S130" s="9">
        <v>1.0</v>
      </c>
      <c r="T130" s="10">
        <v>45526.0</v>
      </c>
      <c r="U130" s="11">
        <v>1.725</v>
      </c>
      <c r="V130" s="8" t="s">
        <v>70</v>
      </c>
      <c r="W130" s="12">
        <f t="shared" si="1"/>
        <v>0</v>
      </c>
      <c r="X130" s="12">
        <f t="shared" si="4"/>
        <v>5.93573477</v>
      </c>
    </row>
    <row r="131">
      <c r="A131" s="15">
        <f t="shared" si="3"/>
        <v>130</v>
      </c>
      <c r="B131" s="15" t="s">
        <v>26</v>
      </c>
      <c r="C131" s="15" t="s">
        <v>19</v>
      </c>
      <c r="D131" s="15">
        <v>79.0</v>
      </c>
      <c r="E131" s="15"/>
      <c r="F131" s="15" t="s">
        <v>2309</v>
      </c>
      <c r="G131" s="15"/>
      <c r="H131" s="15"/>
      <c r="I131" s="112"/>
      <c r="J131" s="15" t="s">
        <v>1479</v>
      </c>
      <c r="K131" s="15" t="s">
        <v>1474</v>
      </c>
      <c r="L131" s="15">
        <v>2.0</v>
      </c>
      <c r="M131" s="15" t="s">
        <v>463</v>
      </c>
      <c r="N131" s="15" t="s">
        <v>22</v>
      </c>
      <c r="O131" s="15" t="s">
        <v>225</v>
      </c>
      <c r="P131" s="15" t="s">
        <v>24</v>
      </c>
      <c r="Q131" s="16">
        <v>0.5</v>
      </c>
      <c r="R131" s="16">
        <v>0.5</v>
      </c>
      <c r="S131" s="16">
        <v>0.32</v>
      </c>
      <c r="T131" s="17">
        <v>45526.0</v>
      </c>
      <c r="U131" s="18">
        <v>1.75</v>
      </c>
      <c r="V131" s="15" t="s">
        <v>25</v>
      </c>
      <c r="W131" s="19">
        <f t="shared" si="1"/>
        <v>-0.32</v>
      </c>
      <c r="X131" s="19">
        <f t="shared" si="4"/>
        <v>5.61573477</v>
      </c>
    </row>
    <row r="132">
      <c r="A132" s="8">
        <f t="shared" si="3"/>
        <v>131</v>
      </c>
      <c r="B132" s="8" t="s">
        <v>26</v>
      </c>
      <c r="C132" s="8" t="s">
        <v>19</v>
      </c>
      <c r="D132" s="8">
        <v>83.0</v>
      </c>
      <c r="E132" s="8"/>
      <c r="F132" s="8" t="s">
        <v>2310</v>
      </c>
      <c r="G132" s="8"/>
      <c r="H132" s="8"/>
      <c r="I132" s="109"/>
      <c r="J132" s="8"/>
      <c r="K132" s="8"/>
      <c r="L132" s="8"/>
      <c r="M132" s="8" t="s">
        <v>463</v>
      </c>
      <c r="N132" s="8" t="s">
        <v>22</v>
      </c>
      <c r="O132" s="8" t="s">
        <v>29</v>
      </c>
      <c r="P132" s="8" t="s">
        <v>24</v>
      </c>
      <c r="Q132" s="9">
        <v>-4.75</v>
      </c>
      <c r="R132" s="9">
        <v>0.25</v>
      </c>
      <c r="S132" s="9">
        <v>0.06</v>
      </c>
      <c r="T132" s="10">
        <v>45526.0</v>
      </c>
      <c r="U132" s="11">
        <v>2.08</v>
      </c>
      <c r="V132" s="8" t="s">
        <v>79</v>
      </c>
      <c r="W132" s="12">
        <f t="shared" si="1"/>
        <v>-0.03</v>
      </c>
      <c r="X132" s="12">
        <f t="shared" si="4"/>
        <v>5.58573477</v>
      </c>
    </row>
    <row r="133">
      <c r="A133" s="15">
        <f t="shared" si="3"/>
        <v>132</v>
      </c>
      <c r="B133" s="15" t="s">
        <v>26</v>
      </c>
      <c r="C133" s="15" t="s">
        <v>19</v>
      </c>
      <c r="D133" s="15">
        <v>86.0</v>
      </c>
      <c r="E133" s="15"/>
      <c r="F133" s="15" t="s">
        <v>2311</v>
      </c>
      <c r="G133" s="15"/>
      <c r="H133" s="15"/>
      <c r="I133" s="112"/>
      <c r="J133" s="15"/>
      <c r="K133" s="15"/>
      <c r="L133" s="15"/>
      <c r="M133" s="15" t="s">
        <v>463</v>
      </c>
      <c r="N133" s="15" t="s">
        <v>22</v>
      </c>
      <c r="O133" s="15" t="s">
        <v>29</v>
      </c>
      <c r="P133" s="15" t="s">
        <v>24</v>
      </c>
      <c r="Q133" s="16">
        <v>-5.5</v>
      </c>
      <c r="R133" s="16">
        <v>0.25</v>
      </c>
      <c r="S133" s="16">
        <v>0.25</v>
      </c>
      <c r="T133" s="17">
        <v>45526.0</v>
      </c>
      <c r="U133" s="18">
        <f>200/150</f>
        <v>1.333333333</v>
      </c>
      <c r="V133" s="15" t="s">
        <v>33</v>
      </c>
      <c r="W133" s="19">
        <f t="shared" si="1"/>
        <v>0.08333333333</v>
      </c>
      <c r="X133" s="19">
        <f t="shared" si="4"/>
        <v>5.669068104</v>
      </c>
    </row>
    <row r="134">
      <c r="A134" s="8">
        <f t="shared" si="3"/>
        <v>133</v>
      </c>
      <c r="B134" s="8" t="s">
        <v>26</v>
      </c>
      <c r="C134" s="8" t="s">
        <v>19</v>
      </c>
      <c r="D134" s="8"/>
      <c r="E134" s="8"/>
      <c r="F134" s="8" t="s">
        <v>2312</v>
      </c>
      <c r="G134" s="8">
        <v>5.0</v>
      </c>
      <c r="H134" s="8">
        <v>7.0</v>
      </c>
      <c r="I134" s="109">
        <f>4/(7*2)</f>
        <v>0.2857142857</v>
      </c>
      <c r="J134" s="8" t="s">
        <v>1479</v>
      </c>
      <c r="K134" s="8" t="s">
        <v>1480</v>
      </c>
      <c r="L134" s="8">
        <v>0.0</v>
      </c>
      <c r="M134" s="8" t="s">
        <v>44</v>
      </c>
      <c r="N134" s="8" t="s">
        <v>22</v>
      </c>
      <c r="O134" s="8" t="s">
        <v>892</v>
      </c>
      <c r="P134" s="8" t="s">
        <v>1851</v>
      </c>
      <c r="Q134" s="9">
        <v>0.0</v>
      </c>
      <c r="R134" s="9">
        <v>0.1</v>
      </c>
      <c r="S134" s="9">
        <v>0.09</v>
      </c>
      <c r="T134" s="10">
        <v>45527.0</v>
      </c>
      <c r="U134" s="11">
        <v>1.6</v>
      </c>
      <c r="V134" s="8" t="s">
        <v>33</v>
      </c>
      <c r="W134" s="12">
        <f t="shared" si="1"/>
        <v>0.054</v>
      </c>
      <c r="X134" s="12">
        <f t="shared" si="4"/>
        <v>5.723068104</v>
      </c>
    </row>
    <row r="135">
      <c r="A135" s="15">
        <f t="shared" si="3"/>
        <v>134</v>
      </c>
      <c r="B135" s="15" t="s">
        <v>26</v>
      </c>
      <c r="C135" s="15" t="s">
        <v>19</v>
      </c>
      <c r="D135" s="15"/>
      <c r="E135" s="138"/>
      <c r="F135" s="15" t="s">
        <v>2313</v>
      </c>
      <c r="G135" s="15">
        <v>10.0</v>
      </c>
      <c r="H135" s="15">
        <v>8.0</v>
      </c>
      <c r="I135" s="112">
        <f>15/(11*2)</f>
        <v>0.6818181818</v>
      </c>
      <c r="J135" s="15" t="s">
        <v>1479</v>
      </c>
      <c r="K135" s="15" t="s">
        <v>1480</v>
      </c>
      <c r="L135" s="15">
        <v>0.0</v>
      </c>
      <c r="M135" s="15" t="s">
        <v>513</v>
      </c>
      <c r="N135" s="15" t="s">
        <v>22</v>
      </c>
      <c r="O135" s="15" t="s">
        <v>892</v>
      </c>
      <c r="P135" s="15" t="s">
        <v>1851</v>
      </c>
      <c r="Q135" s="16">
        <v>0.0</v>
      </c>
      <c r="R135" s="16">
        <v>0.1</v>
      </c>
      <c r="S135" s="16">
        <v>0.1</v>
      </c>
      <c r="T135" s="17">
        <v>45527.0</v>
      </c>
      <c r="U135" s="18">
        <v>1.58</v>
      </c>
      <c r="V135" s="15" t="s">
        <v>33</v>
      </c>
      <c r="W135" s="19">
        <f t="shared" si="1"/>
        <v>0.058</v>
      </c>
      <c r="X135" s="19">
        <f t="shared" si="4"/>
        <v>5.781068104</v>
      </c>
    </row>
    <row r="136">
      <c r="A136" s="8">
        <f t="shared" si="3"/>
        <v>135</v>
      </c>
      <c r="B136" s="8" t="s">
        <v>18</v>
      </c>
      <c r="C136" s="8" t="s">
        <v>19</v>
      </c>
      <c r="D136" s="8"/>
      <c r="E136" s="8"/>
      <c r="F136" s="8" t="s">
        <v>2314</v>
      </c>
      <c r="G136" s="8">
        <v>3.0</v>
      </c>
      <c r="H136" s="8">
        <v>4.0</v>
      </c>
      <c r="I136" s="109">
        <f>2/(15*2)</f>
        <v>0.06666666667</v>
      </c>
      <c r="J136" s="8" t="s">
        <v>1479</v>
      </c>
      <c r="K136" s="8" t="s">
        <v>1477</v>
      </c>
      <c r="L136" s="8">
        <v>0.0</v>
      </c>
      <c r="M136" s="8" t="s">
        <v>231</v>
      </c>
      <c r="N136" s="8" t="s">
        <v>22</v>
      </c>
      <c r="O136" s="8" t="s">
        <v>894</v>
      </c>
      <c r="P136" s="8" t="s">
        <v>24</v>
      </c>
      <c r="Q136" s="9">
        <v>-0.5</v>
      </c>
      <c r="R136" s="9">
        <v>0.5</v>
      </c>
      <c r="S136" s="9">
        <v>0.5</v>
      </c>
      <c r="T136" s="10">
        <v>45527.0</v>
      </c>
      <c r="U136" s="11">
        <v>1.9</v>
      </c>
      <c r="V136" s="8" t="s">
        <v>25</v>
      </c>
      <c r="W136" s="12">
        <f t="shared" si="1"/>
        <v>-0.5</v>
      </c>
      <c r="X136" s="12">
        <f t="shared" si="4"/>
        <v>5.281068104</v>
      </c>
    </row>
    <row r="137">
      <c r="A137" s="15">
        <f t="shared" si="3"/>
        <v>136</v>
      </c>
      <c r="B137" s="15" t="s">
        <v>18</v>
      </c>
      <c r="C137" s="15" t="s">
        <v>19</v>
      </c>
      <c r="D137" s="15"/>
      <c r="E137" s="15"/>
      <c r="F137" s="15" t="s">
        <v>2315</v>
      </c>
      <c r="G137" s="15">
        <v>12.0</v>
      </c>
      <c r="H137" s="15">
        <v>2.0</v>
      </c>
      <c r="I137" s="112">
        <f>3/(15*2)</f>
        <v>0.1</v>
      </c>
      <c r="J137" s="15" t="s">
        <v>1473</v>
      </c>
      <c r="K137" s="15" t="s">
        <v>1480</v>
      </c>
      <c r="L137" s="15">
        <v>0.0</v>
      </c>
      <c r="M137" s="15" t="s">
        <v>316</v>
      </c>
      <c r="N137" s="15" t="s">
        <v>22</v>
      </c>
      <c r="O137" s="15" t="s">
        <v>941</v>
      </c>
      <c r="P137" s="15" t="s">
        <v>24</v>
      </c>
      <c r="Q137" s="16">
        <v>0.0</v>
      </c>
      <c r="R137" s="16">
        <v>0.5</v>
      </c>
      <c r="S137" s="16">
        <v>0.5</v>
      </c>
      <c r="T137" s="17">
        <v>45527.0</v>
      </c>
      <c r="U137" s="18">
        <v>1.725</v>
      </c>
      <c r="V137" s="15" t="s">
        <v>70</v>
      </c>
      <c r="W137" s="19">
        <f t="shared" si="1"/>
        <v>0</v>
      </c>
      <c r="X137" s="19">
        <f t="shared" si="4"/>
        <v>5.281068104</v>
      </c>
    </row>
    <row r="138">
      <c r="A138" s="8">
        <f t="shared" si="3"/>
        <v>137</v>
      </c>
      <c r="B138" s="8" t="s">
        <v>18</v>
      </c>
      <c r="C138" s="8" t="s">
        <v>19</v>
      </c>
      <c r="D138" s="8"/>
      <c r="E138" s="8"/>
      <c r="F138" s="8" t="s">
        <v>2316</v>
      </c>
      <c r="G138" s="8">
        <v>10.0</v>
      </c>
      <c r="H138" s="8">
        <v>13.0</v>
      </c>
      <c r="I138" s="109">
        <f>6/(16*2)</f>
        <v>0.1875</v>
      </c>
      <c r="J138" s="8" t="s">
        <v>1473</v>
      </c>
      <c r="K138" s="8" t="s">
        <v>1480</v>
      </c>
      <c r="L138" s="8">
        <v>0.0</v>
      </c>
      <c r="M138" s="8" t="s">
        <v>44</v>
      </c>
      <c r="N138" s="8" t="s">
        <v>22</v>
      </c>
      <c r="O138" s="8" t="s">
        <v>892</v>
      </c>
      <c r="P138" s="8" t="s">
        <v>24</v>
      </c>
      <c r="Q138" s="9">
        <v>0.0</v>
      </c>
      <c r="R138" s="9">
        <v>0.25</v>
      </c>
      <c r="S138" s="9">
        <v>0.25</v>
      </c>
      <c r="T138" s="10">
        <v>45527.0</v>
      </c>
      <c r="U138" s="11">
        <v>2.25</v>
      </c>
      <c r="V138" s="8" t="s">
        <v>70</v>
      </c>
      <c r="W138" s="12">
        <f t="shared" si="1"/>
        <v>0</v>
      </c>
      <c r="X138" s="12">
        <f t="shared" si="4"/>
        <v>5.281068104</v>
      </c>
    </row>
    <row r="139">
      <c r="A139" s="15">
        <f t="shared" si="3"/>
        <v>138</v>
      </c>
      <c r="B139" s="15" t="s">
        <v>18</v>
      </c>
      <c r="C139" s="15" t="s">
        <v>19</v>
      </c>
      <c r="D139" s="15"/>
      <c r="E139" s="15"/>
      <c r="F139" s="15" t="s">
        <v>2317</v>
      </c>
      <c r="G139" s="15">
        <v>10.0</v>
      </c>
      <c r="H139" s="15">
        <v>4.0</v>
      </c>
      <c r="I139" s="112">
        <f>3/(15*2)</f>
        <v>0.1</v>
      </c>
      <c r="J139" s="15" t="s">
        <v>1473</v>
      </c>
      <c r="K139" s="15" t="s">
        <v>1474</v>
      </c>
      <c r="L139" s="15">
        <v>1.0</v>
      </c>
      <c r="M139" s="15" t="s">
        <v>316</v>
      </c>
      <c r="N139" s="15" t="s">
        <v>22</v>
      </c>
      <c r="O139" s="15" t="s">
        <v>225</v>
      </c>
      <c r="P139" s="15" t="s">
        <v>24</v>
      </c>
      <c r="Q139" s="16">
        <v>0.25</v>
      </c>
      <c r="R139" s="16">
        <v>0.75</v>
      </c>
      <c r="S139" s="16">
        <v>0.55</v>
      </c>
      <c r="T139" s="17">
        <v>45527.0</v>
      </c>
      <c r="U139" s="18">
        <v>1.725</v>
      </c>
      <c r="V139" s="15" t="s">
        <v>70</v>
      </c>
      <c r="W139" s="19">
        <f t="shared" si="1"/>
        <v>0</v>
      </c>
      <c r="X139" s="19">
        <f t="shared" si="4"/>
        <v>5.281068104</v>
      </c>
    </row>
    <row r="140">
      <c r="A140" s="8">
        <f t="shared" si="3"/>
        <v>139</v>
      </c>
      <c r="B140" s="8" t="s">
        <v>18</v>
      </c>
      <c r="C140" s="8" t="s">
        <v>19</v>
      </c>
      <c r="D140" s="8">
        <v>76.0</v>
      </c>
      <c r="E140" s="8"/>
      <c r="F140" s="8" t="s">
        <v>2318</v>
      </c>
      <c r="G140" s="8"/>
      <c r="H140" s="8"/>
      <c r="I140" s="109"/>
      <c r="J140" s="8" t="s">
        <v>1479</v>
      </c>
      <c r="K140" s="8" t="s">
        <v>1480</v>
      </c>
      <c r="L140" s="8">
        <v>0.0</v>
      </c>
      <c r="M140" s="8" t="s">
        <v>316</v>
      </c>
      <c r="N140" s="8" t="s">
        <v>22</v>
      </c>
      <c r="O140" s="8" t="s">
        <v>892</v>
      </c>
      <c r="P140" s="8" t="s">
        <v>24</v>
      </c>
      <c r="Q140" s="9">
        <v>0.0</v>
      </c>
      <c r="R140" s="9">
        <v>0.5</v>
      </c>
      <c r="S140" s="9">
        <v>0.5</v>
      </c>
      <c r="T140" s="10">
        <v>45527.0</v>
      </c>
      <c r="U140" s="11">
        <v>1.725</v>
      </c>
      <c r="V140" s="8" t="s">
        <v>70</v>
      </c>
      <c r="W140" s="12">
        <f t="shared" si="1"/>
        <v>0</v>
      </c>
      <c r="X140" s="12">
        <f t="shared" si="4"/>
        <v>5.281068104</v>
      </c>
    </row>
    <row r="141">
      <c r="A141" s="15">
        <f t="shared" si="3"/>
        <v>140</v>
      </c>
      <c r="B141" s="15" t="s">
        <v>18</v>
      </c>
      <c r="C141" s="15" t="s">
        <v>19</v>
      </c>
      <c r="D141" s="15">
        <v>70.0</v>
      </c>
      <c r="E141" s="139"/>
      <c r="F141" s="15" t="s">
        <v>2319</v>
      </c>
      <c r="G141" s="15">
        <v>12.0</v>
      </c>
      <c r="H141" s="15">
        <v>2.0</v>
      </c>
      <c r="I141" s="112">
        <f>3/(15*2)</f>
        <v>0.1</v>
      </c>
      <c r="J141" s="15" t="s">
        <v>1479</v>
      </c>
      <c r="K141" s="15" t="s">
        <v>1480</v>
      </c>
      <c r="L141" s="15">
        <v>0.0</v>
      </c>
      <c r="M141" s="15" t="s">
        <v>316</v>
      </c>
      <c r="N141" s="15" t="s">
        <v>22</v>
      </c>
      <c r="O141" s="15" t="s">
        <v>892</v>
      </c>
      <c r="P141" s="15" t="s">
        <v>24</v>
      </c>
      <c r="Q141" s="16">
        <v>0.0</v>
      </c>
      <c r="R141" s="16">
        <v>1.0</v>
      </c>
      <c r="S141" s="16">
        <v>1.0</v>
      </c>
      <c r="T141" s="17">
        <v>45527.0</v>
      </c>
      <c r="U141" s="18">
        <v>1.975</v>
      </c>
      <c r="V141" s="15" t="s">
        <v>70</v>
      </c>
      <c r="W141" s="19">
        <f t="shared" si="1"/>
        <v>0</v>
      </c>
      <c r="X141" s="19">
        <f t="shared" si="4"/>
        <v>5.281068104</v>
      </c>
    </row>
    <row r="142">
      <c r="A142" s="8">
        <f t="shared" si="3"/>
        <v>141</v>
      </c>
      <c r="B142" s="8" t="s">
        <v>129</v>
      </c>
      <c r="C142" s="8" t="s">
        <v>19</v>
      </c>
      <c r="D142" s="8">
        <v>75.0</v>
      </c>
      <c r="E142" s="8"/>
      <c r="F142" s="8" t="s">
        <v>2320</v>
      </c>
      <c r="G142" s="8">
        <v>10.0</v>
      </c>
      <c r="H142" s="8">
        <v>4.0</v>
      </c>
      <c r="I142" s="8"/>
      <c r="J142" s="8" t="s">
        <v>1479</v>
      </c>
      <c r="K142" s="8" t="s">
        <v>1480</v>
      </c>
      <c r="L142" s="8">
        <v>-1.0</v>
      </c>
      <c r="M142" s="8" t="s">
        <v>316</v>
      </c>
      <c r="N142" s="8" t="s">
        <v>22</v>
      </c>
      <c r="O142" s="8" t="s">
        <v>892</v>
      </c>
      <c r="P142" s="8" t="s">
        <v>24</v>
      </c>
      <c r="Q142" s="9">
        <v>0.0</v>
      </c>
      <c r="R142" s="9">
        <v>0.25</v>
      </c>
      <c r="S142" s="9">
        <v>0.2</v>
      </c>
      <c r="T142" s="54">
        <v>45527.0</v>
      </c>
      <c r="U142" s="11">
        <v>1.75</v>
      </c>
      <c r="V142" s="8" t="s">
        <v>70</v>
      </c>
      <c r="W142" s="12">
        <f t="shared" si="1"/>
        <v>0</v>
      </c>
      <c r="X142" s="12">
        <f t="shared" si="4"/>
        <v>5.281068104</v>
      </c>
    </row>
    <row r="143">
      <c r="A143" s="15">
        <f t="shared" si="3"/>
        <v>142</v>
      </c>
      <c r="B143" s="15" t="s">
        <v>18</v>
      </c>
      <c r="C143" s="15" t="s">
        <v>40</v>
      </c>
      <c r="D143" s="15">
        <v>35.0</v>
      </c>
      <c r="E143" s="15"/>
      <c r="F143" s="15" t="s">
        <v>2321</v>
      </c>
      <c r="G143" s="15">
        <v>7.0</v>
      </c>
      <c r="H143" s="15">
        <v>6.0</v>
      </c>
      <c r="I143" s="110">
        <f>9/(8*2)</f>
        <v>0.5625</v>
      </c>
      <c r="J143" s="15" t="s">
        <v>1473</v>
      </c>
      <c r="K143" s="15" t="s">
        <v>1474</v>
      </c>
      <c r="L143" s="15">
        <v>0.0</v>
      </c>
      <c r="M143" s="15" t="s">
        <v>169</v>
      </c>
      <c r="N143" s="15" t="s">
        <v>22</v>
      </c>
      <c r="O143" s="15" t="s">
        <v>225</v>
      </c>
      <c r="P143" s="15" t="s">
        <v>24</v>
      </c>
      <c r="Q143" s="16">
        <v>1.0</v>
      </c>
      <c r="R143" s="16">
        <v>0.25</v>
      </c>
      <c r="S143" s="16">
        <v>0.14</v>
      </c>
      <c r="T143" s="17">
        <v>45527.0</v>
      </c>
      <c r="U143" s="18">
        <v>1.8</v>
      </c>
      <c r="V143" s="15" t="s">
        <v>33</v>
      </c>
      <c r="W143" s="19">
        <f t="shared" si="1"/>
        <v>0.112</v>
      </c>
      <c r="X143" s="19">
        <f t="shared" si="4"/>
        <v>5.393068104</v>
      </c>
    </row>
    <row r="144">
      <c r="A144" s="8">
        <f t="shared" si="3"/>
        <v>143</v>
      </c>
      <c r="B144" s="8" t="s">
        <v>18</v>
      </c>
      <c r="C144" s="8" t="s">
        <v>19</v>
      </c>
      <c r="D144" s="8">
        <v>28.0</v>
      </c>
      <c r="E144" s="8"/>
      <c r="F144" s="8" t="s">
        <v>2322</v>
      </c>
      <c r="G144" s="8">
        <v>8.0</v>
      </c>
      <c r="H144" s="8">
        <v>3.0</v>
      </c>
      <c r="I144" s="111">
        <f>3/(11*2)</f>
        <v>0.1363636364</v>
      </c>
      <c r="J144" s="8" t="s">
        <v>1479</v>
      </c>
      <c r="K144" s="8" t="s">
        <v>1480</v>
      </c>
      <c r="L144" s="8">
        <v>0.0</v>
      </c>
      <c r="M144" s="8" t="s">
        <v>908</v>
      </c>
      <c r="N144" s="8" t="s">
        <v>22</v>
      </c>
      <c r="O144" s="8" t="s">
        <v>892</v>
      </c>
      <c r="P144" s="8" t="s">
        <v>24</v>
      </c>
      <c r="Q144" s="9">
        <v>0.0</v>
      </c>
      <c r="R144" s="9">
        <v>0.75</v>
      </c>
      <c r="S144" s="9">
        <v>0.73</v>
      </c>
      <c r="T144" s="10">
        <v>45528.0</v>
      </c>
      <c r="U144" s="11">
        <v>2.0</v>
      </c>
      <c r="V144" s="8" t="s">
        <v>33</v>
      </c>
      <c r="W144" s="12">
        <f t="shared" si="1"/>
        <v>0.73</v>
      </c>
      <c r="X144" s="12">
        <f t="shared" si="4"/>
        <v>6.123068104</v>
      </c>
    </row>
    <row r="145">
      <c r="A145" s="15">
        <f t="shared" si="3"/>
        <v>144</v>
      </c>
      <c r="B145" s="15" t="s">
        <v>18</v>
      </c>
      <c r="C145" s="15" t="s">
        <v>19</v>
      </c>
      <c r="D145" s="15">
        <v>33.0</v>
      </c>
      <c r="E145" s="15"/>
      <c r="F145" s="15" t="s">
        <v>2323</v>
      </c>
      <c r="G145" s="15">
        <v>6.0</v>
      </c>
      <c r="H145" s="15">
        <v>5.0</v>
      </c>
      <c r="I145" s="110">
        <f>5/(6*2)</f>
        <v>0.4166666667</v>
      </c>
      <c r="J145" s="15" t="s">
        <v>1479</v>
      </c>
      <c r="K145" s="15" t="s">
        <v>1480</v>
      </c>
      <c r="L145" s="15">
        <v>0.0</v>
      </c>
      <c r="M145" s="15" t="s">
        <v>82</v>
      </c>
      <c r="N145" s="15" t="s">
        <v>22</v>
      </c>
      <c r="O145" s="15" t="s">
        <v>941</v>
      </c>
      <c r="P145" s="15" t="s">
        <v>24</v>
      </c>
      <c r="Q145" s="16">
        <v>0.0</v>
      </c>
      <c r="R145" s="16">
        <v>0.55</v>
      </c>
      <c r="S145" s="16">
        <f>0.42*0.816</f>
        <v>0.34272</v>
      </c>
      <c r="T145" s="17">
        <v>45528.0</v>
      </c>
      <c r="U145" s="18">
        <v>1.725</v>
      </c>
      <c r="V145" s="15" t="s">
        <v>25</v>
      </c>
      <c r="W145" s="19">
        <f t="shared" si="1"/>
        <v>-0.34272</v>
      </c>
      <c r="X145" s="19">
        <f t="shared" si="4"/>
        <v>5.780348104</v>
      </c>
    </row>
    <row r="146">
      <c r="A146" s="8">
        <f t="shared" si="3"/>
        <v>145</v>
      </c>
      <c r="B146" s="8" t="s">
        <v>26</v>
      </c>
      <c r="C146" s="8" t="s">
        <v>40</v>
      </c>
      <c r="D146" s="8">
        <v>73.0</v>
      </c>
      <c r="E146" s="8"/>
      <c r="F146" s="8" t="s">
        <v>2324</v>
      </c>
      <c r="G146" s="8"/>
      <c r="H146" s="8"/>
      <c r="I146" s="111"/>
      <c r="J146" s="8" t="s">
        <v>1473</v>
      </c>
      <c r="K146" s="8" t="s">
        <v>1480</v>
      </c>
      <c r="L146" s="8">
        <v>1.0</v>
      </c>
      <c r="M146" s="8" t="s">
        <v>101</v>
      </c>
      <c r="N146" s="8" t="s">
        <v>22</v>
      </c>
      <c r="O146" s="8" t="s">
        <v>892</v>
      </c>
      <c r="P146" s="8" t="s">
        <v>24</v>
      </c>
      <c r="Q146" s="9">
        <v>0.0</v>
      </c>
      <c r="R146" s="9">
        <v>0.7</v>
      </c>
      <c r="S146" s="9">
        <v>0.69</v>
      </c>
      <c r="T146" s="10">
        <v>45528.0</v>
      </c>
      <c r="U146" s="11">
        <v>2.02</v>
      </c>
      <c r="V146" s="8" t="s">
        <v>70</v>
      </c>
      <c r="W146" s="12">
        <f t="shared" si="1"/>
        <v>0</v>
      </c>
      <c r="X146" s="12">
        <f t="shared" si="4"/>
        <v>5.780348104</v>
      </c>
    </row>
    <row r="147">
      <c r="A147" s="15">
        <f t="shared" si="3"/>
        <v>146</v>
      </c>
      <c r="B147" s="15" t="s">
        <v>18</v>
      </c>
      <c r="C147" s="15" t="s">
        <v>19</v>
      </c>
      <c r="D147" s="15">
        <v>59.0</v>
      </c>
      <c r="E147" s="15"/>
      <c r="F147" s="15" t="s">
        <v>2325</v>
      </c>
      <c r="G147" s="15">
        <v>10.0</v>
      </c>
      <c r="H147" s="15">
        <v>5.0</v>
      </c>
      <c r="I147" s="110">
        <f>2/(15*2)</f>
        <v>0.06666666667</v>
      </c>
      <c r="J147" s="15" t="s">
        <v>1479</v>
      </c>
      <c r="K147" s="15" t="s">
        <v>1474</v>
      </c>
      <c r="L147" s="15">
        <v>0.0</v>
      </c>
      <c r="M147" s="15" t="s">
        <v>44</v>
      </c>
      <c r="N147" s="15" t="s">
        <v>22</v>
      </c>
      <c r="O147" s="15" t="s">
        <v>225</v>
      </c>
      <c r="P147" s="15" t="s">
        <v>24</v>
      </c>
      <c r="Q147" s="16">
        <v>0.25</v>
      </c>
      <c r="R147" s="16">
        <v>0.5</v>
      </c>
      <c r="S147" s="16">
        <v>0.5</v>
      </c>
      <c r="T147" s="17">
        <v>45528.0</v>
      </c>
      <c r="U147" s="18">
        <v>1.725</v>
      </c>
      <c r="V147" s="15" t="s">
        <v>25</v>
      </c>
      <c r="W147" s="19">
        <f t="shared" si="1"/>
        <v>-0.5</v>
      </c>
      <c r="X147" s="19">
        <f t="shared" si="4"/>
        <v>5.280348104</v>
      </c>
    </row>
    <row r="148">
      <c r="A148" s="8">
        <f t="shared" si="3"/>
        <v>147</v>
      </c>
      <c r="B148" s="8" t="s">
        <v>131</v>
      </c>
      <c r="C148" s="8" t="s">
        <v>40</v>
      </c>
      <c r="D148" s="8">
        <v>34.0</v>
      </c>
      <c r="E148" s="8"/>
      <c r="F148" s="8" t="s">
        <v>2326</v>
      </c>
      <c r="G148" s="8"/>
      <c r="H148" s="8"/>
      <c r="I148" s="111"/>
      <c r="J148" s="8" t="s">
        <v>1479</v>
      </c>
      <c r="K148" s="8" t="s">
        <v>1477</v>
      </c>
      <c r="L148" s="8">
        <v>0.0</v>
      </c>
      <c r="M148" s="8" t="s">
        <v>463</v>
      </c>
      <c r="N148" s="8" t="s">
        <v>22</v>
      </c>
      <c r="O148" s="8" t="s">
        <v>894</v>
      </c>
      <c r="P148" s="8" t="s">
        <v>24</v>
      </c>
      <c r="Q148" s="9">
        <v>-0.5</v>
      </c>
      <c r="R148" s="9">
        <v>0.5</v>
      </c>
      <c r="S148" s="9">
        <v>0.5</v>
      </c>
      <c r="T148" s="10">
        <v>45528.0</v>
      </c>
      <c r="U148" s="11">
        <v>1.81</v>
      </c>
      <c r="V148" s="8" t="s">
        <v>33</v>
      </c>
      <c r="W148" s="12">
        <f t="shared" si="1"/>
        <v>0.405</v>
      </c>
      <c r="X148" s="12">
        <f t="shared" si="4"/>
        <v>5.685348104</v>
      </c>
    </row>
    <row r="149">
      <c r="A149" s="15">
        <f t="shared" si="3"/>
        <v>148</v>
      </c>
      <c r="B149" s="15" t="s">
        <v>131</v>
      </c>
      <c r="C149" s="15" t="s">
        <v>19</v>
      </c>
      <c r="D149" s="15">
        <v>81.0</v>
      </c>
      <c r="E149" s="15"/>
      <c r="F149" s="15" t="s">
        <v>2327</v>
      </c>
      <c r="G149" s="15">
        <v>10.0</v>
      </c>
      <c r="H149" s="15">
        <v>5.0</v>
      </c>
      <c r="I149" s="110">
        <f>2/(15*2)</f>
        <v>0.06666666667</v>
      </c>
      <c r="J149" s="15" t="s">
        <v>1479</v>
      </c>
      <c r="K149" s="15" t="s">
        <v>1480</v>
      </c>
      <c r="L149" s="15">
        <v>0.0</v>
      </c>
      <c r="M149" s="15" t="s">
        <v>44</v>
      </c>
      <c r="N149" s="15" t="s">
        <v>22</v>
      </c>
      <c r="O149" s="15" t="s">
        <v>892</v>
      </c>
      <c r="P149" s="15" t="s">
        <v>24</v>
      </c>
      <c r="Q149" s="16">
        <v>0.0</v>
      </c>
      <c r="R149" s="16">
        <v>0.2</v>
      </c>
      <c r="S149" s="16">
        <v>0.2</v>
      </c>
      <c r="T149" s="17">
        <v>45528.0</v>
      </c>
      <c r="U149" s="18">
        <v>2.25</v>
      </c>
      <c r="V149" s="15" t="s">
        <v>25</v>
      </c>
      <c r="W149" s="19">
        <f t="shared" si="1"/>
        <v>-0.2</v>
      </c>
      <c r="X149" s="19">
        <f t="shared" si="4"/>
        <v>5.485348104</v>
      </c>
    </row>
    <row r="150">
      <c r="A150" s="8">
        <f t="shared" si="3"/>
        <v>149</v>
      </c>
      <c r="B150" s="8" t="s">
        <v>137</v>
      </c>
      <c r="C150" s="8" t="s">
        <v>19</v>
      </c>
      <c r="D150" s="8">
        <v>64.0</v>
      </c>
      <c r="E150" s="8"/>
      <c r="F150" s="8" t="s">
        <v>2328</v>
      </c>
      <c r="G150" s="8">
        <v>17.0</v>
      </c>
      <c r="H150" s="8">
        <v>2.0</v>
      </c>
      <c r="I150" s="111">
        <f>2/(17*2)</f>
        <v>0.05882352941</v>
      </c>
      <c r="J150" s="8" t="s">
        <v>1473</v>
      </c>
      <c r="K150" s="8" t="s">
        <v>1480</v>
      </c>
      <c r="L150" s="8">
        <v>1.0</v>
      </c>
      <c r="M150" s="8" t="s">
        <v>913</v>
      </c>
      <c r="N150" s="8" t="s">
        <v>22</v>
      </c>
      <c r="O150" s="8" t="s">
        <v>892</v>
      </c>
      <c r="P150" s="8" t="s">
        <v>24</v>
      </c>
      <c r="Q150" s="9">
        <v>0.0</v>
      </c>
      <c r="R150" s="9">
        <v>1.0</v>
      </c>
      <c r="S150" s="9">
        <v>0.98</v>
      </c>
      <c r="T150" s="10">
        <v>45528.0</v>
      </c>
      <c r="U150" s="11">
        <v>1.9</v>
      </c>
      <c r="V150" s="8" t="s">
        <v>70</v>
      </c>
      <c r="W150" s="12">
        <f t="shared" si="1"/>
        <v>0</v>
      </c>
      <c r="X150" s="12">
        <f t="shared" si="4"/>
        <v>5.485348104</v>
      </c>
    </row>
    <row r="151">
      <c r="A151" s="15">
        <f t="shared" si="3"/>
        <v>150</v>
      </c>
      <c r="B151" s="15" t="s">
        <v>18</v>
      </c>
      <c r="C151" s="15" t="s">
        <v>40</v>
      </c>
      <c r="D151" s="15">
        <v>73.0</v>
      </c>
      <c r="E151" s="15"/>
      <c r="F151" s="15" t="s">
        <v>2329</v>
      </c>
      <c r="G151" s="15"/>
      <c r="H151" s="15"/>
      <c r="I151" s="15"/>
      <c r="J151" s="15" t="s">
        <v>1473</v>
      </c>
      <c r="K151" s="15" t="s">
        <v>1480</v>
      </c>
      <c r="L151" s="15">
        <v>0.0</v>
      </c>
      <c r="M151" s="15" t="s">
        <v>683</v>
      </c>
      <c r="N151" s="15" t="s">
        <v>22</v>
      </c>
      <c r="O151" s="15" t="s">
        <v>892</v>
      </c>
      <c r="P151" s="15" t="s">
        <v>24</v>
      </c>
      <c r="Q151" s="16">
        <v>0.0</v>
      </c>
      <c r="R151" s="16">
        <v>0.75</v>
      </c>
      <c r="S151" s="16">
        <v>0.75</v>
      </c>
      <c r="T151" s="17">
        <v>45528.0</v>
      </c>
      <c r="U151" s="18">
        <v>1.925</v>
      </c>
      <c r="V151" s="15" t="s">
        <v>70</v>
      </c>
      <c r="W151" s="19">
        <f t="shared" si="1"/>
        <v>0</v>
      </c>
      <c r="X151" s="19">
        <f t="shared" si="4"/>
        <v>5.485348104</v>
      </c>
    </row>
    <row r="152">
      <c r="A152" s="8">
        <f t="shared" si="3"/>
        <v>151</v>
      </c>
      <c r="B152" s="8" t="s">
        <v>26</v>
      </c>
      <c r="C152" s="8" t="s">
        <v>19</v>
      </c>
      <c r="D152" s="8">
        <v>26.0</v>
      </c>
      <c r="E152" s="8"/>
      <c r="F152" s="8" t="s">
        <v>2330</v>
      </c>
      <c r="G152" s="8">
        <v>15.0</v>
      </c>
      <c r="H152" s="8">
        <v>1.0</v>
      </c>
      <c r="I152" s="111">
        <f>3/(16*2)</f>
        <v>0.09375</v>
      </c>
      <c r="J152" s="8" t="s">
        <v>1479</v>
      </c>
      <c r="K152" s="8" t="s">
        <v>1480</v>
      </c>
      <c r="L152" s="8">
        <v>0.0</v>
      </c>
      <c r="M152" s="8" t="s">
        <v>448</v>
      </c>
      <c r="N152" s="8" t="s">
        <v>22</v>
      </c>
      <c r="O152" s="8" t="s">
        <v>1150</v>
      </c>
      <c r="P152" s="8" t="s">
        <v>24</v>
      </c>
      <c r="Q152" s="9">
        <v>0.0</v>
      </c>
      <c r="R152" s="9">
        <v>0.25</v>
      </c>
      <c r="S152" s="9">
        <v>0.23</v>
      </c>
      <c r="T152" s="10">
        <v>45528.0</v>
      </c>
      <c r="U152" s="11">
        <v>1.825</v>
      </c>
      <c r="V152" s="8" t="s">
        <v>70</v>
      </c>
      <c r="W152" s="12">
        <f t="shared" si="1"/>
        <v>0</v>
      </c>
      <c r="X152" s="12">
        <f t="shared" si="4"/>
        <v>5.485348104</v>
      </c>
    </row>
    <row r="153">
      <c r="A153" s="15">
        <f t="shared" si="3"/>
        <v>152</v>
      </c>
      <c r="B153" s="15" t="s">
        <v>26</v>
      </c>
      <c r="C153" s="15" t="s">
        <v>19</v>
      </c>
      <c r="D153" s="15">
        <v>25.0</v>
      </c>
      <c r="E153" s="15"/>
      <c r="F153" s="15" t="s">
        <v>2331</v>
      </c>
      <c r="G153" s="15"/>
      <c r="H153" s="15"/>
      <c r="I153" s="110"/>
      <c r="J153" s="15" t="s">
        <v>1479</v>
      </c>
      <c r="K153" s="15" t="s">
        <v>1480</v>
      </c>
      <c r="L153" s="15">
        <v>1.0</v>
      </c>
      <c r="M153" s="15" t="s">
        <v>448</v>
      </c>
      <c r="N153" s="15" t="s">
        <v>22</v>
      </c>
      <c r="O153" s="15" t="s">
        <v>1150</v>
      </c>
      <c r="P153" s="15" t="s">
        <v>24</v>
      </c>
      <c r="Q153" s="16">
        <v>0.0</v>
      </c>
      <c r="R153" s="16">
        <v>0.25</v>
      </c>
      <c r="S153" s="16">
        <v>0.2</v>
      </c>
      <c r="T153" s="17">
        <v>45528.0</v>
      </c>
      <c r="U153" s="18">
        <v>1.825</v>
      </c>
      <c r="V153" s="15" t="s">
        <v>33</v>
      </c>
      <c r="W153" s="19">
        <f t="shared" si="1"/>
        <v>0.165</v>
      </c>
      <c r="X153" s="19">
        <f t="shared" si="4"/>
        <v>5.650348104</v>
      </c>
    </row>
    <row r="154">
      <c r="A154" s="8">
        <f t="shared" si="3"/>
        <v>153</v>
      </c>
      <c r="B154" s="8" t="s">
        <v>26</v>
      </c>
      <c r="C154" s="8" t="s">
        <v>19</v>
      </c>
      <c r="D154" s="8">
        <v>60.0</v>
      </c>
      <c r="E154" s="8"/>
      <c r="F154" s="8" t="s">
        <v>2332</v>
      </c>
      <c r="G154" s="8"/>
      <c r="H154" s="8"/>
      <c r="I154" s="111"/>
      <c r="J154" s="8" t="s">
        <v>1473</v>
      </c>
      <c r="K154" s="8" t="s">
        <v>1480</v>
      </c>
      <c r="L154" s="8">
        <v>-1.0</v>
      </c>
      <c r="M154" s="8" t="s">
        <v>229</v>
      </c>
      <c r="N154" s="8" t="s">
        <v>22</v>
      </c>
      <c r="O154" s="8" t="s">
        <v>892</v>
      </c>
      <c r="P154" s="8" t="s">
        <v>24</v>
      </c>
      <c r="Q154" s="9">
        <v>0.0</v>
      </c>
      <c r="R154" s="9">
        <v>0.75</v>
      </c>
      <c r="S154" s="9">
        <v>0.72</v>
      </c>
      <c r="T154" s="10">
        <v>45528.0</v>
      </c>
      <c r="U154" s="11">
        <v>1.7</v>
      </c>
      <c r="V154" s="8" t="s">
        <v>70</v>
      </c>
      <c r="W154" s="12">
        <f t="shared" si="1"/>
        <v>0</v>
      </c>
      <c r="X154" s="12">
        <f t="shared" si="4"/>
        <v>5.650348104</v>
      </c>
    </row>
    <row r="155">
      <c r="A155" s="15">
        <f t="shared" si="3"/>
        <v>154</v>
      </c>
      <c r="B155" s="15" t="s">
        <v>137</v>
      </c>
      <c r="C155" s="15" t="s">
        <v>19</v>
      </c>
      <c r="D155" s="15">
        <v>60.0</v>
      </c>
      <c r="E155" s="15"/>
      <c r="F155" s="15" t="s">
        <v>2333</v>
      </c>
      <c r="G155" s="15">
        <v>8.0</v>
      </c>
      <c r="H155" s="15">
        <v>11.0</v>
      </c>
      <c r="I155" s="110">
        <f>3/(17*2)</f>
        <v>0.08823529412</v>
      </c>
      <c r="J155" s="15" t="s">
        <v>1473</v>
      </c>
      <c r="K155" s="15" t="s">
        <v>1480</v>
      </c>
      <c r="L155" s="15">
        <v>-2.0</v>
      </c>
      <c r="M155" s="15" t="s">
        <v>44</v>
      </c>
      <c r="N155" s="15" t="s">
        <v>22</v>
      </c>
      <c r="O155" s="15" t="s">
        <v>892</v>
      </c>
      <c r="P155" s="15" t="s">
        <v>24</v>
      </c>
      <c r="Q155" s="16">
        <v>0.0</v>
      </c>
      <c r="R155" s="16">
        <v>0.5</v>
      </c>
      <c r="S155" s="16">
        <v>0.48</v>
      </c>
      <c r="T155" s="17">
        <v>45528.0</v>
      </c>
      <c r="U155" s="18">
        <v>1.725</v>
      </c>
      <c r="V155" s="15" t="s">
        <v>33</v>
      </c>
      <c r="W155" s="19">
        <f t="shared" si="1"/>
        <v>0.348</v>
      </c>
      <c r="X155" s="19">
        <f t="shared" si="4"/>
        <v>5.998348104</v>
      </c>
    </row>
    <row r="156">
      <c r="A156" s="8">
        <f t="shared" si="3"/>
        <v>155</v>
      </c>
      <c r="B156" s="8" t="s">
        <v>18</v>
      </c>
      <c r="C156" s="8" t="s">
        <v>19</v>
      </c>
      <c r="D156" s="8">
        <v>81.0</v>
      </c>
      <c r="E156" s="8"/>
      <c r="F156" s="8" t="s">
        <v>2334</v>
      </c>
      <c r="G156" s="8">
        <v>4.0</v>
      </c>
      <c r="H156" s="8">
        <v>3.0</v>
      </c>
      <c r="I156" s="8"/>
      <c r="J156" s="8" t="s">
        <v>1479</v>
      </c>
      <c r="K156" s="8" t="s">
        <v>1474</v>
      </c>
      <c r="L156" s="8">
        <v>-1.0</v>
      </c>
      <c r="M156" s="8" t="s">
        <v>703</v>
      </c>
      <c r="N156" s="8" t="s">
        <v>22</v>
      </c>
      <c r="O156" s="8" t="s">
        <v>225</v>
      </c>
      <c r="P156" s="8" t="s">
        <v>24</v>
      </c>
      <c r="Q156" s="9">
        <v>0.5</v>
      </c>
      <c r="R156" s="9">
        <v>0.25</v>
      </c>
      <c r="S156" s="9">
        <v>0.01</v>
      </c>
      <c r="T156" s="10">
        <v>45528.0</v>
      </c>
      <c r="U156" s="11">
        <v>1.7</v>
      </c>
      <c r="V156" s="8" t="s">
        <v>25</v>
      </c>
      <c r="W156" s="12">
        <f t="shared" si="1"/>
        <v>-0.01</v>
      </c>
      <c r="X156" s="12">
        <f t="shared" si="4"/>
        <v>5.988348104</v>
      </c>
    </row>
    <row r="157">
      <c r="A157" s="15">
        <f t="shared" si="3"/>
        <v>156</v>
      </c>
      <c r="B157" s="15" t="s">
        <v>18</v>
      </c>
      <c r="C157" s="15" t="s">
        <v>19</v>
      </c>
      <c r="D157" s="15">
        <v>80.0</v>
      </c>
      <c r="E157" s="15"/>
      <c r="F157" s="15" t="s">
        <v>2335</v>
      </c>
      <c r="G157" s="15">
        <v>4.0</v>
      </c>
      <c r="H157" s="15">
        <v>3.0</v>
      </c>
      <c r="I157" s="110"/>
      <c r="J157" s="15" t="s">
        <v>1479</v>
      </c>
      <c r="K157" s="15" t="s">
        <v>1474</v>
      </c>
      <c r="L157" s="15">
        <v>-1.0</v>
      </c>
      <c r="M157" s="15" t="s">
        <v>703</v>
      </c>
      <c r="N157" s="15" t="s">
        <v>22</v>
      </c>
      <c r="O157" s="15" t="s">
        <v>225</v>
      </c>
      <c r="P157" s="15" t="s">
        <v>24</v>
      </c>
      <c r="Q157" s="16">
        <v>0.25</v>
      </c>
      <c r="R157" s="16">
        <v>0.75</v>
      </c>
      <c r="S157" s="16">
        <v>0.75</v>
      </c>
      <c r="T157" s="17">
        <v>45528.0</v>
      </c>
      <c r="U157" s="18">
        <v>1.8</v>
      </c>
      <c r="V157" s="15" t="s">
        <v>25</v>
      </c>
      <c r="W157" s="19">
        <f t="shared" si="1"/>
        <v>-0.75</v>
      </c>
      <c r="X157" s="19">
        <f t="shared" si="4"/>
        <v>5.238348104</v>
      </c>
    </row>
    <row r="158">
      <c r="A158" s="8">
        <f t="shared" si="3"/>
        <v>157</v>
      </c>
      <c r="B158" s="8" t="s">
        <v>26</v>
      </c>
      <c r="C158" s="8" t="s">
        <v>19</v>
      </c>
      <c r="D158" s="8">
        <v>63.0</v>
      </c>
      <c r="E158" s="8"/>
      <c r="F158" s="8" t="s">
        <v>2336</v>
      </c>
      <c r="G158" s="8"/>
      <c r="H158" s="8"/>
      <c r="I158" s="111"/>
      <c r="J158" s="8" t="s">
        <v>1479</v>
      </c>
      <c r="K158" s="8" t="s">
        <v>1474</v>
      </c>
      <c r="L158" s="8">
        <v>0.0</v>
      </c>
      <c r="M158" s="8" t="s">
        <v>50</v>
      </c>
      <c r="N158" s="8" t="s">
        <v>22</v>
      </c>
      <c r="O158" s="8" t="s">
        <v>225</v>
      </c>
      <c r="P158" s="8" t="s">
        <v>24</v>
      </c>
      <c r="Q158" s="9">
        <v>0.25</v>
      </c>
      <c r="R158" s="9">
        <v>0.25</v>
      </c>
      <c r="S158" s="9">
        <v>0.25</v>
      </c>
      <c r="T158" s="54">
        <v>45528.0</v>
      </c>
      <c r="U158" s="11">
        <v>1.7</v>
      </c>
      <c r="V158" s="8" t="s">
        <v>33</v>
      </c>
      <c r="W158" s="12">
        <f t="shared" si="1"/>
        <v>0.175</v>
      </c>
      <c r="X158" s="12">
        <f t="shared" si="4"/>
        <v>5.413348104</v>
      </c>
    </row>
    <row r="159">
      <c r="A159" s="15">
        <f t="shared" si="3"/>
        <v>158</v>
      </c>
      <c r="B159" s="15" t="s">
        <v>26</v>
      </c>
      <c r="C159" s="15" t="s">
        <v>19</v>
      </c>
      <c r="D159" s="15">
        <v>67.0</v>
      </c>
      <c r="E159" s="15"/>
      <c r="F159" s="15" t="s">
        <v>2337</v>
      </c>
      <c r="G159" s="15"/>
      <c r="H159" s="15"/>
      <c r="I159" s="15"/>
      <c r="J159" s="15" t="s">
        <v>1479</v>
      </c>
      <c r="K159" s="15" t="s">
        <v>1480</v>
      </c>
      <c r="L159" s="15">
        <v>0.0</v>
      </c>
      <c r="M159" s="15" t="s">
        <v>50</v>
      </c>
      <c r="N159" s="15" t="s">
        <v>22</v>
      </c>
      <c r="O159" s="15" t="s">
        <v>941</v>
      </c>
      <c r="P159" s="15" t="s">
        <v>24</v>
      </c>
      <c r="Q159" s="16">
        <v>0.0</v>
      </c>
      <c r="R159" s="16">
        <v>0.5</v>
      </c>
      <c r="S159" s="16">
        <v>0.5</v>
      </c>
      <c r="T159" s="17">
        <v>45528.0</v>
      </c>
      <c r="U159" s="18">
        <f>(2.375*0.3+2*0.2)/0.5</f>
        <v>2.225</v>
      </c>
      <c r="V159" s="15" t="s">
        <v>33</v>
      </c>
      <c r="W159" s="19">
        <f t="shared" si="1"/>
        <v>0.6125</v>
      </c>
      <c r="X159" s="19">
        <f t="shared" si="4"/>
        <v>6.025848104</v>
      </c>
    </row>
    <row r="160">
      <c r="A160" s="8">
        <f t="shared" si="3"/>
        <v>159</v>
      </c>
      <c r="B160" s="8" t="s">
        <v>18</v>
      </c>
      <c r="C160" s="8" t="s">
        <v>19</v>
      </c>
      <c r="D160" s="8">
        <v>71.0</v>
      </c>
      <c r="E160" s="8"/>
      <c r="F160" s="8" t="s">
        <v>2338</v>
      </c>
      <c r="G160" s="8"/>
      <c r="H160" s="8"/>
      <c r="I160" s="111"/>
      <c r="J160" s="8" t="s">
        <v>1479</v>
      </c>
      <c r="K160" s="8" t="s">
        <v>1477</v>
      </c>
      <c r="L160" s="8">
        <v>0.0</v>
      </c>
      <c r="M160" s="8" t="s">
        <v>93</v>
      </c>
      <c r="N160" s="8" t="s">
        <v>22</v>
      </c>
      <c r="O160" s="8" t="s">
        <v>894</v>
      </c>
      <c r="P160" s="8" t="s">
        <v>24</v>
      </c>
      <c r="Q160" s="9">
        <v>-0.25</v>
      </c>
      <c r="R160" s="9">
        <v>0.25</v>
      </c>
      <c r="S160" s="9">
        <v>0.25</v>
      </c>
      <c r="T160" s="10">
        <v>45528.0</v>
      </c>
      <c r="U160" s="11">
        <v>2.025</v>
      </c>
      <c r="V160" s="8" t="s">
        <v>25</v>
      </c>
      <c r="W160" s="12">
        <f t="shared" si="1"/>
        <v>-0.25</v>
      </c>
      <c r="X160" s="12">
        <f t="shared" si="4"/>
        <v>5.775848104</v>
      </c>
    </row>
    <row r="161">
      <c r="A161" s="15">
        <f t="shared" si="3"/>
        <v>160</v>
      </c>
      <c r="B161" s="15" t="s">
        <v>129</v>
      </c>
      <c r="C161" s="15" t="s">
        <v>19</v>
      </c>
      <c r="D161" s="15">
        <v>85.0</v>
      </c>
      <c r="E161" s="15"/>
      <c r="F161" s="15" t="s">
        <v>2339</v>
      </c>
      <c r="G161" s="15">
        <v>3.0</v>
      </c>
      <c r="H161" s="15">
        <v>8.0</v>
      </c>
      <c r="I161" s="110">
        <f>4/(7*2)</f>
        <v>0.2857142857</v>
      </c>
      <c r="J161" s="15"/>
      <c r="K161" s="15"/>
      <c r="L161" s="15"/>
      <c r="M161" s="15" t="s">
        <v>44</v>
      </c>
      <c r="N161" s="15" t="s">
        <v>22</v>
      </c>
      <c r="O161" s="15" t="s">
        <v>29</v>
      </c>
      <c r="P161" s="15" t="s">
        <v>24</v>
      </c>
      <c r="Q161" s="16">
        <v>-4.5</v>
      </c>
      <c r="R161" s="16">
        <v>0.2</v>
      </c>
      <c r="S161" s="16">
        <v>0.05</v>
      </c>
      <c r="T161" s="17">
        <v>45529.0</v>
      </c>
      <c r="U161" s="18">
        <v>1.625</v>
      </c>
      <c r="V161" s="15" t="s">
        <v>25</v>
      </c>
      <c r="W161" s="19">
        <f t="shared" si="1"/>
        <v>-0.05</v>
      </c>
      <c r="X161" s="19">
        <f t="shared" si="4"/>
        <v>5.725848104</v>
      </c>
    </row>
    <row r="162">
      <c r="A162" s="8">
        <f t="shared" si="3"/>
        <v>161</v>
      </c>
      <c r="B162" s="8" t="s">
        <v>129</v>
      </c>
      <c r="C162" s="8" t="s">
        <v>19</v>
      </c>
      <c r="D162" s="8">
        <v>61.0</v>
      </c>
      <c r="E162" s="8"/>
      <c r="F162" s="8" t="s">
        <v>2340</v>
      </c>
      <c r="G162" s="8"/>
      <c r="H162" s="8"/>
      <c r="I162" s="111"/>
      <c r="J162" s="8" t="s">
        <v>1479</v>
      </c>
      <c r="K162" s="8" t="s">
        <v>1480</v>
      </c>
      <c r="L162" s="8">
        <v>-1.0</v>
      </c>
      <c r="M162" s="8" t="s">
        <v>93</v>
      </c>
      <c r="N162" s="8" t="s">
        <v>22</v>
      </c>
      <c r="O162" s="8" t="s">
        <v>892</v>
      </c>
      <c r="P162" s="8" t="s">
        <v>24</v>
      </c>
      <c r="Q162" s="9">
        <v>0.0</v>
      </c>
      <c r="R162" s="9">
        <v>0.25</v>
      </c>
      <c r="S162" s="9">
        <v>0.06</v>
      </c>
      <c r="T162" s="10">
        <v>45529.0</v>
      </c>
      <c r="U162" s="11">
        <v>1.625</v>
      </c>
      <c r="V162" s="8" t="s">
        <v>33</v>
      </c>
      <c r="W162" s="12">
        <f t="shared" si="1"/>
        <v>0.0375</v>
      </c>
      <c r="X162" s="12">
        <f t="shared" si="4"/>
        <v>5.763348104</v>
      </c>
    </row>
    <row r="163">
      <c r="A163" s="15">
        <f t="shared" si="3"/>
        <v>162</v>
      </c>
      <c r="B163" s="15" t="s">
        <v>26</v>
      </c>
      <c r="C163" s="15" t="s">
        <v>19</v>
      </c>
      <c r="D163" s="15">
        <v>75.0</v>
      </c>
      <c r="E163" s="15"/>
      <c r="F163" s="15" t="s">
        <v>2341</v>
      </c>
      <c r="G163" s="15">
        <v>2.0</v>
      </c>
      <c r="H163" s="15">
        <v>4.0</v>
      </c>
      <c r="I163" s="15"/>
      <c r="J163" s="15" t="s">
        <v>1479</v>
      </c>
      <c r="K163" s="15" t="s">
        <v>1480</v>
      </c>
      <c r="L163" s="15">
        <v>-1.0</v>
      </c>
      <c r="M163" s="15" t="s">
        <v>44</v>
      </c>
      <c r="N163" s="15" t="s">
        <v>22</v>
      </c>
      <c r="O163" s="15" t="s">
        <v>892</v>
      </c>
      <c r="P163" s="15" t="s">
        <v>24</v>
      </c>
      <c r="Q163" s="16">
        <v>0.0</v>
      </c>
      <c r="R163" s="16">
        <v>0.25</v>
      </c>
      <c r="S163" s="16">
        <v>0.25</v>
      </c>
      <c r="T163" s="17">
        <v>45529.0</v>
      </c>
      <c r="U163" s="18">
        <v>1.8</v>
      </c>
      <c r="V163" s="15" t="s">
        <v>33</v>
      </c>
      <c r="W163" s="19">
        <f t="shared" si="1"/>
        <v>0.2</v>
      </c>
      <c r="X163" s="19">
        <f t="shared" si="4"/>
        <v>5.963348104</v>
      </c>
    </row>
    <row r="164">
      <c r="A164" s="8">
        <f t="shared" si="3"/>
        <v>163</v>
      </c>
      <c r="B164" s="8" t="s">
        <v>129</v>
      </c>
      <c r="C164" s="8" t="s">
        <v>40</v>
      </c>
      <c r="D164" s="8">
        <v>60.0</v>
      </c>
      <c r="E164" s="8"/>
      <c r="F164" s="8" t="s">
        <v>2342</v>
      </c>
      <c r="G164" s="8"/>
      <c r="H164" s="8"/>
      <c r="I164" s="111"/>
      <c r="J164" s="8" t="s">
        <v>1473</v>
      </c>
      <c r="K164" s="8" t="s">
        <v>1480</v>
      </c>
      <c r="L164" s="8">
        <v>0.0</v>
      </c>
      <c r="M164" s="8" t="s">
        <v>908</v>
      </c>
      <c r="N164" s="8" t="s">
        <v>22</v>
      </c>
      <c r="O164" s="8" t="s">
        <v>892</v>
      </c>
      <c r="P164" s="8" t="s">
        <v>24</v>
      </c>
      <c r="Q164" s="9">
        <v>0.0</v>
      </c>
      <c r="R164" s="9">
        <v>0.5</v>
      </c>
      <c r="S164" s="9">
        <v>0.5</v>
      </c>
      <c r="T164" s="10">
        <v>45529.0</v>
      </c>
      <c r="U164" s="11">
        <v>1.775</v>
      </c>
      <c r="V164" s="8" t="s">
        <v>25</v>
      </c>
      <c r="W164" s="12">
        <f t="shared" si="1"/>
        <v>-0.5</v>
      </c>
      <c r="X164" s="12">
        <f t="shared" si="4"/>
        <v>5.463348104</v>
      </c>
    </row>
    <row r="165">
      <c r="A165" s="15">
        <f t="shared" si="3"/>
        <v>164</v>
      </c>
      <c r="B165" s="15" t="s">
        <v>26</v>
      </c>
      <c r="C165" s="15" t="s">
        <v>40</v>
      </c>
      <c r="D165" s="15">
        <v>70.0</v>
      </c>
      <c r="E165" s="15"/>
      <c r="F165" s="15" t="s">
        <v>2343</v>
      </c>
      <c r="G165" s="15"/>
      <c r="H165" s="15"/>
      <c r="I165" s="110"/>
      <c r="J165" s="15"/>
      <c r="K165" s="15"/>
      <c r="L165" s="15"/>
      <c r="M165" s="15" t="s">
        <v>908</v>
      </c>
      <c r="N165" s="15" t="s">
        <v>22</v>
      </c>
      <c r="O165" s="15" t="s">
        <v>440</v>
      </c>
      <c r="P165" s="15" t="s">
        <v>24</v>
      </c>
      <c r="Q165" s="16">
        <v>0.5</v>
      </c>
      <c r="R165" s="16">
        <v>0.2</v>
      </c>
      <c r="S165" s="16">
        <v>0.2</v>
      </c>
      <c r="T165" s="17">
        <v>45529.0</v>
      </c>
      <c r="U165" s="18">
        <v>1.95</v>
      </c>
      <c r="V165" s="15" t="s">
        <v>33</v>
      </c>
      <c r="W165" s="19">
        <f t="shared" si="1"/>
        <v>0.19</v>
      </c>
      <c r="X165" s="19">
        <f t="shared" si="4"/>
        <v>5.653348104</v>
      </c>
    </row>
    <row r="166">
      <c r="A166" s="8">
        <f t="shared" si="3"/>
        <v>165</v>
      </c>
      <c r="B166" s="8" t="s">
        <v>129</v>
      </c>
      <c r="C166" s="8" t="s">
        <v>19</v>
      </c>
      <c r="D166" s="8">
        <v>75.0</v>
      </c>
      <c r="E166" s="8"/>
      <c r="F166" s="8" t="s">
        <v>2344</v>
      </c>
      <c r="G166" s="8">
        <v>6.0</v>
      </c>
      <c r="H166" s="8">
        <v>8.0</v>
      </c>
      <c r="I166" s="111">
        <f>3/(18*2)</f>
        <v>0.08333333333</v>
      </c>
      <c r="J166" s="8" t="s">
        <v>1479</v>
      </c>
      <c r="K166" s="8" t="s">
        <v>1480</v>
      </c>
      <c r="L166" s="8">
        <v>0.0</v>
      </c>
      <c r="M166" s="8" t="s">
        <v>44</v>
      </c>
      <c r="N166" s="8" t="s">
        <v>22</v>
      </c>
      <c r="O166" s="8" t="s">
        <v>892</v>
      </c>
      <c r="P166" s="8" t="s">
        <v>24</v>
      </c>
      <c r="Q166" s="9">
        <v>0.0</v>
      </c>
      <c r="R166" s="9">
        <v>0.25</v>
      </c>
      <c r="S166" s="9">
        <v>0.15</v>
      </c>
      <c r="T166" s="10">
        <v>45529.0</v>
      </c>
      <c r="U166" s="11">
        <v>1.7</v>
      </c>
      <c r="V166" s="8" t="s">
        <v>33</v>
      </c>
      <c r="W166" s="12">
        <f t="shared" si="1"/>
        <v>0.105</v>
      </c>
      <c r="X166" s="12">
        <f t="shared" si="4"/>
        <v>5.758348104</v>
      </c>
    </row>
    <row r="167">
      <c r="A167" s="15">
        <f t="shared" si="3"/>
        <v>166</v>
      </c>
      <c r="B167" s="15" t="s">
        <v>26</v>
      </c>
      <c r="C167" s="15" t="s">
        <v>19</v>
      </c>
      <c r="D167" s="15">
        <v>25.0</v>
      </c>
      <c r="E167" s="15"/>
      <c r="F167" s="15" t="s">
        <v>2345</v>
      </c>
      <c r="G167" s="15"/>
      <c r="H167" s="15"/>
      <c r="I167" s="110"/>
      <c r="J167" s="15" t="s">
        <v>1479</v>
      </c>
      <c r="K167" s="15" t="s">
        <v>1474</v>
      </c>
      <c r="L167" s="15">
        <v>0.0</v>
      </c>
      <c r="M167" s="15" t="s">
        <v>101</v>
      </c>
      <c r="N167" s="15" t="s">
        <v>22</v>
      </c>
      <c r="O167" s="15" t="s">
        <v>225</v>
      </c>
      <c r="P167" s="15" t="s">
        <v>24</v>
      </c>
      <c r="Q167" s="16">
        <v>0.5</v>
      </c>
      <c r="R167" s="16">
        <v>0.25</v>
      </c>
      <c r="S167" s="16">
        <f>0.25*54/60</f>
        <v>0.225</v>
      </c>
      <c r="T167" s="17">
        <v>45529.0</v>
      </c>
      <c r="U167" s="18">
        <v>1.975</v>
      </c>
      <c r="V167" s="15" t="s">
        <v>33</v>
      </c>
      <c r="W167" s="19">
        <f t="shared" si="1"/>
        <v>0.219375</v>
      </c>
      <c r="X167" s="19">
        <f t="shared" si="4"/>
        <v>5.977723104</v>
      </c>
    </row>
    <row r="168">
      <c r="A168" s="8">
        <f t="shared" si="3"/>
        <v>167</v>
      </c>
      <c r="B168" s="8" t="s">
        <v>18</v>
      </c>
      <c r="C168" s="8" t="s">
        <v>40</v>
      </c>
      <c r="D168" s="8">
        <v>75.0</v>
      </c>
      <c r="E168" s="8"/>
      <c r="F168" s="8" t="s">
        <v>2346</v>
      </c>
      <c r="G168" s="8"/>
      <c r="H168" s="8"/>
      <c r="I168" s="111"/>
      <c r="J168" s="8" t="s">
        <v>1479</v>
      </c>
      <c r="K168" s="8" t="s">
        <v>1480</v>
      </c>
      <c r="L168" s="8">
        <v>1.0</v>
      </c>
      <c r="M168" s="8" t="s">
        <v>172</v>
      </c>
      <c r="N168" s="8" t="s">
        <v>22</v>
      </c>
      <c r="O168" s="8" t="s">
        <v>892</v>
      </c>
      <c r="P168" s="8" t="s">
        <v>24</v>
      </c>
      <c r="Q168" s="9">
        <v>0.0</v>
      </c>
      <c r="R168" s="9">
        <v>0.5</v>
      </c>
      <c r="S168" s="9">
        <v>0.5</v>
      </c>
      <c r="T168" s="10">
        <v>45529.0</v>
      </c>
      <c r="U168" s="11">
        <v>1.675</v>
      </c>
      <c r="V168" s="8" t="s">
        <v>70</v>
      </c>
      <c r="W168" s="12">
        <f t="shared" si="1"/>
        <v>0</v>
      </c>
      <c r="X168" s="12">
        <f t="shared" si="4"/>
        <v>5.977723104</v>
      </c>
    </row>
    <row r="169">
      <c r="A169" s="15">
        <f t="shared" si="3"/>
        <v>168</v>
      </c>
      <c r="B169" s="15" t="s">
        <v>18</v>
      </c>
      <c r="C169" s="15" t="s">
        <v>40</v>
      </c>
      <c r="D169" s="15">
        <v>76.0</v>
      </c>
      <c r="E169" s="15"/>
      <c r="F169" s="15" t="s">
        <v>2347</v>
      </c>
      <c r="G169" s="15"/>
      <c r="H169" s="15"/>
      <c r="I169" s="110"/>
      <c r="J169" s="15" t="s">
        <v>1473</v>
      </c>
      <c r="K169" s="15" t="s">
        <v>1480</v>
      </c>
      <c r="L169" s="15">
        <v>-1.0</v>
      </c>
      <c r="M169" s="15" t="s">
        <v>172</v>
      </c>
      <c r="N169" s="15" t="s">
        <v>22</v>
      </c>
      <c r="O169" s="15" t="s">
        <v>892</v>
      </c>
      <c r="P169" s="15" t="s">
        <v>24</v>
      </c>
      <c r="Q169" s="16">
        <v>0.0</v>
      </c>
      <c r="R169" s="16">
        <v>0.5</v>
      </c>
      <c r="S169" s="16">
        <v>0.5</v>
      </c>
      <c r="T169" s="17">
        <v>45529.0</v>
      </c>
      <c r="U169" s="18">
        <v>2.0</v>
      </c>
      <c r="V169" s="15" t="s">
        <v>70</v>
      </c>
      <c r="W169" s="19">
        <f t="shared" si="1"/>
        <v>0</v>
      </c>
      <c r="X169" s="19">
        <f t="shared" si="4"/>
        <v>5.977723104</v>
      </c>
    </row>
    <row r="170">
      <c r="A170" s="8">
        <f t="shared" si="3"/>
        <v>169</v>
      </c>
      <c r="B170" s="8" t="s">
        <v>18</v>
      </c>
      <c r="C170" s="8" t="s">
        <v>19</v>
      </c>
      <c r="D170" s="8">
        <v>20.0</v>
      </c>
      <c r="E170" s="8"/>
      <c r="F170" s="8" t="s">
        <v>2348</v>
      </c>
      <c r="G170" s="8"/>
      <c r="H170" s="8"/>
      <c r="I170" s="111"/>
      <c r="J170" s="8" t="s">
        <v>1473</v>
      </c>
      <c r="K170" s="8" t="s">
        <v>1474</v>
      </c>
      <c r="L170" s="8">
        <v>0.0</v>
      </c>
      <c r="M170" s="8" t="s">
        <v>93</v>
      </c>
      <c r="N170" s="8" t="s">
        <v>22</v>
      </c>
      <c r="O170" s="8" t="s">
        <v>225</v>
      </c>
      <c r="P170" s="8" t="s">
        <v>24</v>
      </c>
      <c r="Q170" s="9">
        <v>0.25</v>
      </c>
      <c r="R170" s="9">
        <v>0.5</v>
      </c>
      <c r="S170" s="9">
        <v>0.5</v>
      </c>
      <c r="T170" s="10">
        <v>45529.0</v>
      </c>
      <c r="U170" s="11">
        <f>259/250</f>
        <v>1.036</v>
      </c>
      <c r="V170" s="8" t="s">
        <v>33</v>
      </c>
      <c r="W170" s="12">
        <f t="shared" si="1"/>
        <v>0.018</v>
      </c>
      <c r="X170" s="12">
        <f t="shared" si="4"/>
        <v>5.995723104</v>
      </c>
    </row>
    <row r="171">
      <c r="A171" s="15">
        <f t="shared" si="3"/>
        <v>170</v>
      </c>
      <c r="B171" s="15" t="s">
        <v>131</v>
      </c>
      <c r="C171" s="15" t="s">
        <v>19</v>
      </c>
      <c r="D171" s="15">
        <v>70.0</v>
      </c>
      <c r="E171" s="15"/>
      <c r="F171" s="15" t="s">
        <v>2349</v>
      </c>
      <c r="G171" s="15"/>
      <c r="H171" s="15"/>
      <c r="I171" s="110"/>
      <c r="J171" s="15" t="s">
        <v>1473</v>
      </c>
      <c r="K171" s="15" t="s">
        <v>1477</v>
      </c>
      <c r="L171" s="15">
        <v>0.0</v>
      </c>
      <c r="M171" s="15" t="s">
        <v>167</v>
      </c>
      <c r="N171" s="15" t="s">
        <v>22</v>
      </c>
      <c r="O171" s="15" t="s">
        <v>894</v>
      </c>
      <c r="P171" s="15" t="s">
        <v>1522</v>
      </c>
      <c r="Q171" s="16">
        <v>-0.5</v>
      </c>
      <c r="R171" s="16">
        <v>0.3</v>
      </c>
      <c r="S171" s="16">
        <v>0.3</v>
      </c>
      <c r="T171" s="17">
        <v>45530.0</v>
      </c>
      <c r="U171" s="18">
        <v>1.7</v>
      </c>
      <c r="V171" s="15" t="s">
        <v>33</v>
      </c>
      <c r="W171" s="19">
        <f t="shared" si="1"/>
        <v>0.21</v>
      </c>
      <c r="X171" s="19">
        <f t="shared" si="4"/>
        <v>6.205723104</v>
      </c>
    </row>
    <row r="172">
      <c r="A172" s="8">
        <f t="shared" si="3"/>
        <v>171</v>
      </c>
      <c r="B172" s="8" t="s">
        <v>35</v>
      </c>
      <c r="C172" s="8" t="s">
        <v>19</v>
      </c>
      <c r="D172" s="8">
        <v>42.0</v>
      </c>
      <c r="E172" s="8"/>
      <c r="F172" s="8" t="s">
        <v>2350</v>
      </c>
      <c r="G172" s="8"/>
      <c r="H172" s="8"/>
      <c r="I172" s="111"/>
      <c r="J172" s="8" t="s">
        <v>1473</v>
      </c>
      <c r="K172" s="8" t="s">
        <v>1480</v>
      </c>
      <c r="L172" s="8">
        <v>0.0</v>
      </c>
      <c r="M172" s="8" t="s">
        <v>78</v>
      </c>
      <c r="N172" s="8" t="s">
        <v>22</v>
      </c>
      <c r="O172" s="8" t="s">
        <v>892</v>
      </c>
      <c r="P172" s="8" t="s">
        <v>39</v>
      </c>
      <c r="Q172" s="9">
        <v>0.0</v>
      </c>
      <c r="R172" s="9">
        <v>0.1</v>
      </c>
      <c r="S172" s="9">
        <f>0.1*18/60</f>
        <v>0.03</v>
      </c>
      <c r="T172" s="10">
        <v>45531.0</v>
      </c>
      <c r="U172" s="11">
        <v>1.9</v>
      </c>
      <c r="V172" s="8" t="s">
        <v>33</v>
      </c>
      <c r="W172" s="12">
        <f t="shared" si="1"/>
        <v>0.027</v>
      </c>
      <c r="X172" s="12">
        <f t="shared" si="4"/>
        <v>6.232723104</v>
      </c>
    </row>
    <row r="173">
      <c r="A173" s="15">
        <f t="shared" si="3"/>
        <v>172</v>
      </c>
      <c r="B173" s="15" t="s">
        <v>129</v>
      </c>
      <c r="C173" s="15" t="s">
        <v>19</v>
      </c>
      <c r="D173" s="15">
        <v>40.0</v>
      </c>
      <c r="E173" s="15"/>
      <c r="F173" s="15" t="s">
        <v>2351</v>
      </c>
      <c r="G173" s="15"/>
      <c r="H173" s="15"/>
      <c r="I173" s="110"/>
      <c r="J173" s="15" t="s">
        <v>1473</v>
      </c>
      <c r="K173" s="15" t="s">
        <v>1480</v>
      </c>
      <c r="L173" s="15">
        <v>0.0</v>
      </c>
      <c r="M173" s="15" t="s">
        <v>432</v>
      </c>
      <c r="N173" s="15" t="s">
        <v>22</v>
      </c>
      <c r="O173" s="15" t="s">
        <v>894</v>
      </c>
      <c r="P173" s="15" t="s">
        <v>39</v>
      </c>
      <c r="Q173" s="16">
        <v>-0.25</v>
      </c>
      <c r="R173" s="16">
        <v>0.1</v>
      </c>
      <c r="S173" s="16">
        <v>0.1</v>
      </c>
      <c r="T173" s="17">
        <v>45531.0</v>
      </c>
      <c r="U173" s="18">
        <f>138.21/100</f>
        <v>1.3821</v>
      </c>
      <c r="V173" s="15" t="s">
        <v>33</v>
      </c>
      <c r="W173" s="19">
        <f t="shared" si="1"/>
        <v>0.03821</v>
      </c>
      <c r="X173" s="19">
        <f t="shared" si="4"/>
        <v>6.270933104</v>
      </c>
    </row>
    <row r="174">
      <c r="A174" s="8">
        <f t="shared" si="3"/>
        <v>173</v>
      </c>
      <c r="B174" s="8" t="s">
        <v>35</v>
      </c>
      <c r="C174" s="8" t="s">
        <v>19</v>
      </c>
      <c r="D174" s="8">
        <v>40.0</v>
      </c>
      <c r="E174" s="8"/>
      <c r="F174" s="8" t="s">
        <v>2352</v>
      </c>
      <c r="G174" s="8"/>
      <c r="H174" s="8"/>
      <c r="I174" s="111"/>
      <c r="J174" s="8" t="s">
        <v>1473</v>
      </c>
      <c r="K174" s="8" t="s">
        <v>1480</v>
      </c>
      <c r="L174" s="8">
        <v>0.0</v>
      </c>
      <c r="M174" s="8" t="s">
        <v>162</v>
      </c>
      <c r="N174" s="8" t="s">
        <v>22</v>
      </c>
      <c r="O174" s="8" t="s">
        <v>892</v>
      </c>
      <c r="P174" s="8" t="s">
        <v>39</v>
      </c>
      <c r="Q174" s="9">
        <v>0.0</v>
      </c>
      <c r="R174" s="9">
        <v>0.1</v>
      </c>
      <c r="S174" s="9">
        <v>0.1</v>
      </c>
      <c r="T174" s="10">
        <v>45531.0</v>
      </c>
      <c r="U174" s="11">
        <v>1.7</v>
      </c>
      <c r="V174" s="8" t="s">
        <v>25</v>
      </c>
      <c r="W174" s="12">
        <f t="shared" si="1"/>
        <v>-0.1</v>
      </c>
      <c r="X174" s="12">
        <f t="shared" si="4"/>
        <v>6.170933104</v>
      </c>
    </row>
    <row r="175">
      <c r="A175" s="15">
        <f t="shared" si="3"/>
        <v>174</v>
      </c>
      <c r="B175" s="15" t="s">
        <v>26</v>
      </c>
      <c r="C175" s="15" t="s">
        <v>19</v>
      </c>
      <c r="D175" s="15">
        <v>25.0</v>
      </c>
      <c r="E175" s="15">
        <v>3.0</v>
      </c>
      <c r="F175" s="15" t="s">
        <v>2353</v>
      </c>
      <c r="G175" s="15"/>
      <c r="H175" s="15"/>
      <c r="I175" s="110"/>
      <c r="J175" s="15" t="s">
        <v>1473</v>
      </c>
      <c r="K175" s="15" t="s">
        <v>1480</v>
      </c>
      <c r="L175" s="15">
        <v>-1.0</v>
      </c>
      <c r="M175" s="15" t="s">
        <v>84</v>
      </c>
      <c r="N175" s="15" t="s">
        <v>22</v>
      </c>
      <c r="O175" s="15" t="s">
        <v>892</v>
      </c>
      <c r="P175" s="15" t="s">
        <v>24</v>
      </c>
      <c r="Q175" s="16">
        <v>0.0</v>
      </c>
      <c r="R175" s="16">
        <v>0.25</v>
      </c>
      <c r="S175" s="16">
        <v>0.25</v>
      </c>
      <c r="T175" s="17">
        <v>45532.0</v>
      </c>
      <c r="U175" s="18">
        <v>1.925</v>
      </c>
      <c r="V175" s="15" t="s">
        <v>33</v>
      </c>
      <c r="W175" s="19">
        <f t="shared" si="1"/>
        <v>0.23125</v>
      </c>
      <c r="X175" s="19">
        <f t="shared" si="4"/>
        <v>6.402183104</v>
      </c>
    </row>
    <row r="176">
      <c r="A176" s="8">
        <f t="shared" si="3"/>
        <v>175</v>
      </c>
      <c r="B176" s="8" t="s">
        <v>129</v>
      </c>
      <c r="C176" s="8" t="s">
        <v>19</v>
      </c>
      <c r="D176" s="8">
        <v>40.0</v>
      </c>
      <c r="E176" s="8"/>
      <c r="F176" s="8" t="s">
        <v>2354</v>
      </c>
      <c r="G176" s="8">
        <v>11.0</v>
      </c>
      <c r="H176" s="8">
        <v>10.0</v>
      </c>
      <c r="I176" s="111">
        <f>4/(15*2)</f>
        <v>0.1333333333</v>
      </c>
      <c r="J176" s="8" t="s">
        <v>1473</v>
      </c>
      <c r="K176" s="8" t="s">
        <v>1480</v>
      </c>
      <c r="L176" s="8">
        <v>0.0</v>
      </c>
      <c r="M176" s="8" t="s">
        <v>99</v>
      </c>
      <c r="N176" s="8" t="s">
        <v>22</v>
      </c>
      <c r="O176" s="8" t="s">
        <v>892</v>
      </c>
      <c r="P176" s="8" t="s">
        <v>24</v>
      </c>
      <c r="Q176" s="9">
        <v>0.0</v>
      </c>
      <c r="R176" s="9">
        <v>1.0</v>
      </c>
      <c r="S176" s="9">
        <v>1.0</v>
      </c>
      <c r="T176" s="10">
        <v>45532.0</v>
      </c>
      <c r="U176" s="11">
        <v>1.925</v>
      </c>
      <c r="V176" s="8" t="s">
        <v>33</v>
      </c>
      <c r="W176" s="12">
        <f t="shared" si="1"/>
        <v>0.925</v>
      </c>
      <c r="X176" s="12">
        <f t="shared" si="4"/>
        <v>7.327183104</v>
      </c>
    </row>
    <row r="177">
      <c r="A177" s="15">
        <f t="shared" si="3"/>
        <v>176</v>
      </c>
      <c r="B177" s="15" t="s">
        <v>26</v>
      </c>
      <c r="C177" s="15" t="s">
        <v>40</v>
      </c>
      <c r="D177" s="15">
        <v>72.0</v>
      </c>
      <c r="E177" s="15"/>
      <c r="F177" s="15" t="s">
        <v>2355</v>
      </c>
      <c r="G177" s="15"/>
      <c r="H177" s="15"/>
      <c r="I177" s="15"/>
      <c r="J177" s="15" t="s">
        <v>1473</v>
      </c>
      <c r="K177" s="15" t="s">
        <v>1477</v>
      </c>
      <c r="L177" s="15">
        <v>0.0</v>
      </c>
      <c r="M177" s="15" t="s">
        <v>463</v>
      </c>
      <c r="N177" s="15" t="s">
        <v>22</v>
      </c>
      <c r="O177" s="15" t="s">
        <v>894</v>
      </c>
      <c r="P177" s="15" t="s">
        <v>39</v>
      </c>
      <c r="Q177" s="16">
        <v>-0.5</v>
      </c>
      <c r="R177" s="16">
        <v>0.1</v>
      </c>
      <c r="S177" s="16">
        <v>0.09</v>
      </c>
      <c r="T177" s="17">
        <v>45532.0</v>
      </c>
      <c r="U177" s="18">
        <v>1.75</v>
      </c>
      <c r="V177" s="15" t="s">
        <v>33</v>
      </c>
      <c r="W177" s="19">
        <f t="shared" si="1"/>
        <v>0.0675</v>
      </c>
      <c r="X177" s="19">
        <f t="shared" si="4"/>
        <v>7.394683104</v>
      </c>
    </row>
    <row r="178">
      <c r="A178" s="8">
        <f t="shared" si="3"/>
        <v>177</v>
      </c>
      <c r="B178" s="8" t="s">
        <v>26</v>
      </c>
      <c r="C178" s="8" t="s">
        <v>19</v>
      </c>
      <c r="D178" s="8">
        <v>27.0</v>
      </c>
      <c r="E178" s="8"/>
      <c r="F178" s="8" t="s">
        <v>2356</v>
      </c>
      <c r="G178" s="8"/>
      <c r="H178" s="8"/>
      <c r="I178" s="111"/>
      <c r="J178" s="8" t="s">
        <v>1473</v>
      </c>
      <c r="K178" s="8" t="s">
        <v>1474</v>
      </c>
      <c r="L178" s="8">
        <v>0.0</v>
      </c>
      <c r="M178" s="8" t="s">
        <v>60</v>
      </c>
      <c r="N178" s="8" t="s">
        <v>22</v>
      </c>
      <c r="O178" s="8" t="s">
        <v>225</v>
      </c>
      <c r="P178" s="8" t="s">
        <v>24</v>
      </c>
      <c r="Q178" s="9">
        <v>0.75</v>
      </c>
      <c r="R178" s="9">
        <v>0.75</v>
      </c>
      <c r="S178" s="9">
        <v>0.68</v>
      </c>
      <c r="T178" s="54">
        <v>45532.0</v>
      </c>
      <c r="U178" s="11">
        <v>1.04</v>
      </c>
      <c r="V178" s="8" t="s">
        <v>33</v>
      </c>
      <c r="W178" s="12">
        <f t="shared" si="1"/>
        <v>0.0272</v>
      </c>
      <c r="X178" s="12">
        <f t="shared" si="4"/>
        <v>7.421883104</v>
      </c>
    </row>
    <row r="179">
      <c r="A179" s="15">
        <f t="shared" si="3"/>
        <v>178</v>
      </c>
      <c r="B179" s="15" t="s">
        <v>35</v>
      </c>
      <c r="C179" s="15" t="s">
        <v>19</v>
      </c>
      <c r="D179" s="15">
        <v>33.0</v>
      </c>
      <c r="E179" s="15"/>
      <c r="F179" s="15" t="s">
        <v>2357</v>
      </c>
      <c r="G179" s="15"/>
      <c r="H179" s="15"/>
      <c r="I179" s="15"/>
      <c r="J179" s="15" t="s">
        <v>1473</v>
      </c>
      <c r="K179" s="15" t="s">
        <v>1474</v>
      </c>
      <c r="L179" s="15">
        <v>0.0</v>
      </c>
      <c r="M179" s="15" t="s">
        <v>38</v>
      </c>
      <c r="N179" s="15" t="s">
        <v>22</v>
      </c>
      <c r="O179" s="15" t="s">
        <v>225</v>
      </c>
      <c r="P179" s="15" t="s">
        <v>39</v>
      </c>
      <c r="Q179" s="16">
        <v>0.25</v>
      </c>
      <c r="R179" s="16">
        <v>0.1</v>
      </c>
      <c r="S179" s="16">
        <v>0.1</v>
      </c>
      <c r="T179" s="17">
        <v>45532.0</v>
      </c>
      <c r="U179" s="18">
        <v>1.75</v>
      </c>
      <c r="V179" s="15" t="s">
        <v>70</v>
      </c>
      <c r="W179" s="19">
        <f t="shared" si="1"/>
        <v>0</v>
      </c>
      <c r="X179" s="19">
        <f t="shared" si="4"/>
        <v>7.421883104</v>
      </c>
    </row>
    <row r="180">
      <c r="A180" s="8">
        <f t="shared" si="3"/>
        <v>179</v>
      </c>
      <c r="B180" s="8" t="s">
        <v>26</v>
      </c>
      <c r="C180" s="8" t="s">
        <v>19</v>
      </c>
      <c r="D180" s="8">
        <v>46.0</v>
      </c>
      <c r="E180" s="8"/>
      <c r="F180" s="8" t="s">
        <v>2358</v>
      </c>
      <c r="G180" s="8">
        <v>13.0</v>
      </c>
      <c r="H180" s="8">
        <v>1.0</v>
      </c>
      <c r="I180" s="111">
        <f>17/(15*2)</f>
        <v>0.5666666667</v>
      </c>
      <c r="J180" s="8"/>
      <c r="K180" s="8"/>
      <c r="L180" s="8"/>
      <c r="M180" s="8" t="s">
        <v>1470</v>
      </c>
      <c r="N180" s="8" t="s">
        <v>22</v>
      </c>
      <c r="O180" s="8" t="s">
        <v>440</v>
      </c>
      <c r="P180" s="8" t="s">
        <v>24</v>
      </c>
      <c r="Q180" s="9">
        <v>2.0</v>
      </c>
      <c r="R180" s="9">
        <v>0.25</v>
      </c>
      <c r="S180" s="9">
        <v>0.25</v>
      </c>
      <c r="T180" s="10">
        <v>45533.0</v>
      </c>
      <c r="U180" s="11">
        <v>1.75</v>
      </c>
      <c r="V180" s="8" t="s">
        <v>70</v>
      </c>
      <c r="W180" s="12">
        <f t="shared" si="1"/>
        <v>0</v>
      </c>
      <c r="X180" s="12">
        <f t="shared" si="4"/>
        <v>7.421883104</v>
      </c>
    </row>
    <row r="181">
      <c r="A181" s="15">
        <f t="shared" si="3"/>
        <v>180</v>
      </c>
      <c r="B181" s="15" t="s">
        <v>26</v>
      </c>
      <c r="C181" s="15" t="s">
        <v>19</v>
      </c>
      <c r="D181" s="15">
        <v>0.0</v>
      </c>
      <c r="E181" s="15"/>
      <c r="F181" s="15" t="s">
        <v>2359</v>
      </c>
      <c r="G181" s="15"/>
      <c r="H181" s="15"/>
      <c r="I181" s="110"/>
      <c r="J181" s="15" t="s">
        <v>1479</v>
      </c>
      <c r="K181" s="15" t="s">
        <v>1480</v>
      </c>
      <c r="L181" s="15">
        <v>0.0</v>
      </c>
      <c r="M181" s="15" t="s">
        <v>82</v>
      </c>
      <c r="N181" s="15" t="s">
        <v>598</v>
      </c>
      <c r="O181" s="15" t="s">
        <v>892</v>
      </c>
      <c r="P181" s="15" t="s">
        <v>39</v>
      </c>
      <c r="Q181" s="16">
        <v>0.0</v>
      </c>
      <c r="R181" s="16">
        <v>0.2</v>
      </c>
      <c r="S181" s="16">
        <v>0.2</v>
      </c>
      <c r="T181" s="17">
        <v>45533.0</v>
      </c>
      <c r="U181" s="18">
        <v>2.1</v>
      </c>
      <c r="V181" s="15" t="s">
        <v>33</v>
      </c>
      <c r="W181" s="19">
        <f t="shared" si="1"/>
        <v>0.22</v>
      </c>
      <c r="X181" s="19">
        <f t="shared" si="4"/>
        <v>7.641883104</v>
      </c>
    </row>
    <row r="182">
      <c r="A182" s="8">
        <f t="shared" si="3"/>
        <v>181</v>
      </c>
      <c r="B182" s="8" t="s">
        <v>26</v>
      </c>
      <c r="C182" s="8" t="s">
        <v>19</v>
      </c>
      <c r="D182" s="8">
        <v>81.0</v>
      </c>
      <c r="E182" s="8"/>
      <c r="F182" s="8" t="s">
        <v>2360</v>
      </c>
      <c r="G182" s="8"/>
      <c r="H182" s="8"/>
      <c r="I182" s="111"/>
      <c r="J182" s="8" t="s">
        <v>1479</v>
      </c>
      <c r="K182" s="8" t="s">
        <v>1480</v>
      </c>
      <c r="L182" s="8">
        <v>0.0</v>
      </c>
      <c r="M182" s="8" t="s">
        <v>78</v>
      </c>
      <c r="N182" s="8" t="s">
        <v>22</v>
      </c>
      <c r="O182" s="8" t="s">
        <v>892</v>
      </c>
      <c r="P182" s="8" t="s">
        <v>39</v>
      </c>
      <c r="Q182" s="9">
        <v>0.0</v>
      </c>
      <c r="R182" s="9">
        <v>0.25</v>
      </c>
      <c r="S182" s="9">
        <v>0.25</v>
      </c>
      <c r="T182" s="10">
        <v>45533.0</v>
      </c>
      <c r="U182" s="11">
        <v>1.725</v>
      </c>
      <c r="V182" s="8" t="s">
        <v>25</v>
      </c>
      <c r="W182" s="12">
        <f t="shared" si="1"/>
        <v>-0.25</v>
      </c>
      <c r="X182" s="12">
        <f t="shared" si="4"/>
        <v>7.391883104</v>
      </c>
    </row>
    <row r="183">
      <c r="A183" s="15">
        <f t="shared" si="3"/>
        <v>182</v>
      </c>
      <c r="B183" s="15" t="s">
        <v>26</v>
      </c>
      <c r="C183" s="15" t="s">
        <v>40</v>
      </c>
      <c r="D183" s="15">
        <v>22.0</v>
      </c>
      <c r="E183" s="15"/>
      <c r="F183" s="15" t="s">
        <v>2361</v>
      </c>
      <c r="G183" s="15"/>
      <c r="H183" s="15"/>
      <c r="I183" s="110"/>
      <c r="J183" s="15" t="s">
        <v>1479</v>
      </c>
      <c r="K183" s="15" t="s">
        <v>1480</v>
      </c>
      <c r="L183" s="15">
        <v>0.0</v>
      </c>
      <c r="M183" s="15" t="s">
        <v>38</v>
      </c>
      <c r="N183" s="15" t="s">
        <v>22</v>
      </c>
      <c r="O183" s="15" t="s">
        <v>892</v>
      </c>
      <c r="P183" s="15" t="s">
        <v>24</v>
      </c>
      <c r="Q183" s="16">
        <v>0.0</v>
      </c>
      <c r="R183" s="16">
        <v>0.5</v>
      </c>
      <c r="S183" s="16">
        <v>0.45</v>
      </c>
      <c r="T183" s="17">
        <v>45533.0</v>
      </c>
      <c r="U183" s="18">
        <f>153.68/150</f>
        <v>1.024533333</v>
      </c>
      <c r="V183" s="15" t="s">
        <v>33</v>
      </c>
      <c r="W183" s="19">
        <f t="shared" si="1"/>
        <v>0.01104</v>
      </c>
      <c r="X183" s="19">
        <f t="shared" si="4"/>
        <v>7.402923104</v>
      </c>
    </row>
    <row r="184">
      <c r="A184" s="8">
        <f t="shared" si="3"/>
        <v>183</v>
      </c>
      <c r="B184" s="8" t="s">
        <v>137</v>
      </c>
      <c r="C184" s="8" t="s">
        <v>19</v>
      </c>
      <c r="D184" s="8">
        <v>73.0</v>
      </c>
      <c r="E184" s="8"/>
      <c r="F184" s="8" t="s">
        <v>2362</v>
      </c>
      <c r="G184" s="8">
        <v>7.0</v>
      </c>
      <c r="H184" s="8">
        <v>3.0</v>
      </c>
      <c r="I184" s="8"/>
      <c r="J184" s="8" t="s">
        <v>1473</v>
      </c>
      <c r="K184" s="8" t="s">
        <v>1480</v>
      </c>
      <c r="L184" s="8">
        <v>1.0</v>
      </c>
      <c r="M184" s="8" t="s">
        <v>82</v>
      </c>
      <c r="N184" s="8" t="s">
        <v>22</v>
      </c>
      <c r="O184" s="8" t="s">
        <v>892</v>
      </c>
      <c r="P184" s="8" t="s">
        <v>24</v>
      </c>
      <c r="Q184" s="9">
        <v>0.0</v>
      </c>
      <c r="R184" s="9">
        <v>0.5</v>
      </c>
      <c r="S184" s="9">
        <v>0.5</v>
      </c>
      <c r="T184" s="10">
        <v>45533.0</v>
      </c>
      <c r="U184" s="11">
        <v>2.15</v>
      </c>
      <c r="V184" s="8" t="s">
        <v>70</v>
      </c>
      <c r="W184" s="12">
        <f t="shared" si="1"/>
        <v>0</v>
      </c>
      <c r="X184" s="12">
        <f t="shared" si="4"/>
        <v>7.402923104</v>
      </c>
    </row>
    <row r="185">
      <c r="A185" s="15">
        <f t="shared" si="3"/>
        <v>184</v>
      </c>
      <c r="B185" s="15" t="s">
        <v>26</v>
      </c>
      <c r="C185" s="15" t="s">
        <v>19</v>
      </c>
      <c r="D185" s="15">
        <v>70.0</v>
      </c>
      <c r="E185" s="15"/>
      <c r="F185" s="15" t="s">
        <v>2363</v>
      </c>
      <c r="G185" s="15"/>
      <c r="H185" s="15"/>
      <c r="I185" s="110"/>
      <c r="J185" s="15" t="s">
        <v>1479</v>
      </c>
      <c r="K185" s="15" t="s">
        <v>1474</v>
      </c>
      <c r="L185" s="15">
        <v>-1.0</v>
      </c>
      <c r="M185" s="15" t="s">
        <v>263</v>
      </c>
      <c r="N185" s="15" t="s">
        <v>22</v>
      </c>
      <c r="O185" s="15" t="s">
        <v>225</v>
      </c>
      <c r="P185" s="15" t="s">
        <v>24</v>
      </c>
      <c r="Q185" s="16">
        <v>0.25</v>
      </c>
      <c r="R185" s="16">
        <v>0.5</v>
      </c>
      <c r="S185" s="16">
        <v>0.5</v>
      </c>
      <c r="T185" s="17">
        <v>45534.0</v>
      </c>
      <c r="U185" s="18">
        <v>1.56216</v>
      </c>
      <c r="V185" s="15" t="s">
        <v>30</v>
      </c>
      <c r="W185" s="19">
        <f t="shared" si="1"/>
        <v>0.14054</v>
      </c>
      <c r="X185" s="19">
        <f t="shared" si="4"/>
        <v>7.543463104</v>
      </c>
    </row>
    <row r="186">
      <c r="A186" s="8">
        <f t="shared" si="3"/>
        <v>185</v>
      </c>
      <c r="B186" s="8" t="s">
        <v>26</v>
      </c>
      <c r="C186" s="8" t="s">
        <v>19</v>
      </c>
      <c r="D186" s="8">
        <v>81.0</v>
      </c>
      <c r="E186" s="8"/>
      <c r="F186" s="8" t="s">
        <v>2364</v>
      </c>
      <c r="G186" s="8">
        <v>4.0</v>
      </c>
      <c r="H186" s="8">
        <v>8.0</v>
      </c>
      <c r="I186" s="111">
        <f>2/(15*2)</f>
        <v>0.06666666667</v>
      </c>
      <c r="J186" s="8" t="s">
        <v>1479</v>
      </c>
      <c r="K186" s="8" t="s">
        <v>1480</v>
      </c>
      <c r="L186" s="8">
        <v>-2.0</v>
      </c>
      <c r="M186" s="8" t="s">
        <v>44</v>
      </c>
      <c r="N186" s="8" t="s">
        <v>22</v>
      </c>
      <c r="O186" s="8" t="s">
        <v>892</v>
      </c>
      <c r="P186" s="8" t="s">
        <v>24</v>
      </c>
      <c r="Q186" s="9">
        <v>0.0</v>
      </c>
      <c r="R186" s="9">
        <v>0.5</v>
      </c>
      <c r="S186" s="9">
        <v>0.5</v>
      </c>
      <c r="T186" s="10">
        <v>45534.0</v>
      </c>
      <c r="U186" s="11">
        <v>1.75</v>
      </c>
      <c r="V186" s="8" t="s">
        <v>70</v>
      </c>
      <c r="W186" s="12">
        <f t="shared" si="1"/>
        <v>0</v>
      </c>
      <c r="X186" s="12">
        <f t="shared" si="4"/>
        <v>7.543463104</v>
      </c>
    </row>
    <row r="187">
      <c r="A187" s="15">
        <f t="shared" si="3"/>
        <v>186</v>
      </c>
      <c r="B187" s="15" t="s">
        <v>26</v>
      </c>
      <c r="C187" s="15" t="s">
        <v>19</v>
      </c>
      <c r="D187" s="15">
        <v>31.0</v>
      </c>
      <c r="E187" s="15"/>
      <c r="F187" s="15" t="s">
        <v>2365</v>
      </c>
      <c r="G187" s="15"/>
      <c r="H187" s="15"/>
      <c r="I187" s="110"/>
      <c r="J187" s="15" t="s">
        <v>1473</v>
      </c>
      <c r="K187" s="15" t="s">
        <v>1474</v>
      </c>
      <c r="L187" s="15">
        <v>0.0</v>
      </c>
      <c r="M187" s="15" t="s">
        <v>463</v>
      </c>
      <c r="N187" s="15" t="s">
        <v>22</v>
      </c>
      <c r="O187" s="15" t="s">
        <v>225</v>
      </c>
      <c r="P187" s="15" t="s">
        <v>24</v>
      </c>
      <c r="Q187" s="16">
        <v>0.25</v>
      </c>
      <c r="R187" s="16">
        <v>0.7</v>
      </c>
      <c r="S187" s="16">
        <v>0.7</v>
      </c>
      <c r="T187" s="17">
        <v>45534.0</v>
      </c>
      <c r="U187" s="18">
        <v>1.9</v>
      </c>
      <c r="V187" s="15" t="s">
        <v>25</v>
      </c>
      <c r="W187" s="19">
        <f t="shared" si="1"/>
        <v>-0.7</v>
      </c>
      <c r="X187" s="19">
        <f t="shared" si="4"/>
        <v>6.843463104</v>
      </c>
    </row>
    <row r="188">
      <c r="A188" s="8">
        <f t="shared" si="3"/>
        <v>187</v>
      </c>
      <c r="B188" s="8" t="s">
        <v>26</v>
      </c>
      <c r="C188" s="8" t="s">
        <v>19</v>
      </c>
      <c r="D188" s="8">
        <v>73.0</v>
      </c>
      <c r="E188" s="8"/>
      <c r="F188" s="8" t="s">
        <v>2366</v>
      </c>
      <c r="G188" s="8"/>
      <c r="H188" s="8"/>
      <c r="I188" s="111"/>
      <c r="J188" s="8" t="s">
        <v>1473</v>
      </c>
      <c r="K188" s="8" t="s">
        <v>1480</v>
      </c>
      <c r="L188" s="8">
        <v>-2.0</v>
      </c>
      <c r="M188" s="8" t="s">
        <v>463</v>
      </c>
      <c r="N188" s="8" t="s">
        <v>22</v>
      </c>
      <c r="O188" s="8" t="s">
        <v>892</v>
      </c>
      <c r="P188" s="8" t="s">
        <v>24</v>
      </c>
      <c r="Q188" s="9">
        <v>0.0</v>
      </c>
      <c r="R188" s="9">
        <v>0.3</v>
      </c>
      <c r="S188" s="9">
        <v>0.3</v>
      </c>
      <c r="T188" s="10">
        <v>45534.0</v>
      </c>
      <c r="U188" s="11">
        <v>2.25</v>
      </c>
      <c r="V188" s="8" t="s">
        <v>70</v>
      </c>
      <c r="W188" s="12">
        <f t="shared" si="1"/>
        <v>0</v>
      </c>
      <c r="X188" s="12">
        <f t="shared" si="4"/>
        <v>6.843463104</v>
      </c>
    </row>
    <row r="189">
      <c r="A189" s="15">
        <f t="shared" si="3"/>
        <v>188</v>
      </c>
      <c r="B189" s="15" t="s">
        <v>137</v>
      </c>
      <c r="C189" s="15" t="s">
        <v>19</v>
      </c>
      <c r="D189" s="15">
        <v>24.0</v>
      </c>
      <c r="E189" s="15"/>
      <c r="F189" s="15" t="s">
        <v>2367</v>
      </c>
      <c r="G189" s="15">
        <v>3.0</v>
      </c>
      <c r="H189" s="15">
        <v>4.0</v>
      </c>
      <c r="I189" s="110">
        <f>4/(11*2)</f>
        <v>0.1818181818</v>
      </c>
      <c r="J189" s="15" t="s">
        <v>1473</v>
      </c>
      <c r="K189" s="15" t="s">
        <v>1480</v>
      </c>
      <c r="L189" s="15">
        <v>1.0</v>
      </c>
      <c r="M189" s="15" t="s">
        <v>908</v>
      </c>
      <c r="N189" s="15" t="s">
        <v>22</v>
      </c>
      <c r="O189" s="15" t="s">
        <v>892</v>
      </c>
      <c r="P189" s="15" t="s">
        <v>24</v>
      </c>
      <c r="Q189" s="16">
        <v>0.0</v>
      </c>
      <c r="R189" s="16">
        <v>0.5</v>
      </c>
      <c r="S189" s="16">
        <v>0.45</v>
      </c>
      <c r="T189" s="17">
        <v>45535.0</v>
      </c>
      <c r="U189" s="18">
        <v>1.75</v>
      </c>
      <c r="V189" s="15" t="s">
        <v>33</v>
      </c>
      <c r="W189" s="19">
        <f t="shared" si="1"/>
        <v>0.3375</v>
      </c>
      <c r="X189" s="19">
        <f t="shared" si="4"/>
        <v>7.180963104</v>
      </c>
    </row>
    <row r="190">
      <c r="A190" s="8">
        <f t="shared" si="3"/>
        <v>189</v>
      </c>
      <c r="B190" s="8" t="s">
        <v>26</v>
      </c>
      <c r="C190" s="8" t="s">
        <v>19</v>
      </c>
      <c r="D190" s="8"/>
      <c r="E190" s="8"/>
      <c r="F190" s="8" t="s">
        <v>2368</v>
      </c>
      <c r="G190" s="8"/>
      <c r="H190" s="8"/>
      <c r="I190" s="111"/>
      <c r="J190" s="8" t="s">
        <v>1473</v>
      </c>
      <c r="K190" s="8" t="s">
        <v>1474</v>
      </c>
      <c r="L190" s="8">
        <v>-1.0</v>
      </c>
      <c r="M190" s="8" t="s">
        <v>178</v>
      </c>
      <c r="N190" s="8" t="s">
        <v>22</v>
      </c>
      <c r="O190" s="8" t="s">
        <v>225</v>
      </c>
      <c r="P190" s="8" t="s">
        <v>24</v>
      </c>
      <c r="Q190" s="9">
        <v>0.25</v>
      </c>
      <c r="R190" s="9">
        <v>0.5</v>
      </c>
      <c r="S190" s="9">
        <v>0.47</v>
      </c>
      <c r="T190" s="10">
        <v>45535.0</v>
      </c>
      <c r="U190" s="11">
        <v>1.775</v>
      </c>
      <c r="V190" s="8" t="s">
        <v>33</v>
      </c>
      <c r="W190" s="12">
        <f t="shared" si="1"/>
        <v>0.36425</v>
      </c>
      <c r="X190" s="12">
        <f t="shared" si="4"/>
        <v>7.545213104</v>
      </c>
    </row>
    <row r="191">
      <c r="A191" s="15">
        <f t="shared" si="3"/>
        <v>190</v>
      </c>
      <c r="B191" s="15" t="s">
        <v>18</v>
      </c>
      <c r="C191" s="15" t="s">
        <v>19</v>
      </c>
      <c r="D191" s="15">
        <v>70.0</v>
      </c>
      <c r="E191" s="15"/>
      <c r="F191" s="15" t="s">
        <v>2369</v>
      </c>
      <c r="G191" s="15">
        <v>12.0</v>
      </c>
      <c r="H191" s="15">
        <v>7.0</v>
      </c>
      <c r="I191" s="110"/>
      <c r="J191" s="15" t="s">
        <v>1473</v>
      </c>
      <c r="K191" s="15" t="s">
        <v>1474</v>
      </c>
      <c r="L191" s="15">
        <v>0.0</v>
      </c>
      <c r="M191" s="15" t="s">
        <v>93</v>
      </c>
      <c r="N191" s="15" t="s">
        <v>22</v>
      </c>
      <c r="O191" s="15" t="s">
        <v>225</v>
      </c>
      <c r="P191" s="15" t="s">
        <v>24</v>
      </c>
      <c r="Q191" s="16">
        <v>0.25</v>
      </c>
      <c r="R191" s="16">
        <v>0.25</v>
      </c>
      <c r="S191" s="16">
        <v>0.25</v>
      </c>
      <c r="T191" s="17">
        <v>45535.0</v>
      </c>
      <c r="U191" s="18">
        <v>1.75</v>
      </c>
      <c r="V191" s="15" t="s">
        <v>33</v>
      </c>
      <c r="W191" s="19">
        <f t="shared" si="1"/>
        <v>0.1875</v>
      </c>
      <c r="X191" s="19">
        <f t="shared" si="4"/>
        <v>7.732713104</v>
      </c>
    </row>
    <row r="192">
      <c r="A192" s="8">
        <f t="shared" si="3"/>
        <v>191</v>
      </c>
      <c r="B192" s="8" t="s">
        <v>18</v>
      </c>
      <c r="C192" s="8" t="s">
        <v>19</v>
      </c>
      <c r="D192" s="8">
        <v>73.0</v>
      </c>
      <c r="E192" s="8"/>
      <c r="F192" s="8" t="s">
        <v>2370</v>
      </c>
      <c r="G192" s="8"/>
      <c r="H192" s="8"/>
      <c r="I192" s="111"/>
      <c r="J192" s="8" t="s">
        <v>1473</v>
      </c>
      <c r="K192" s="8" t="s">
        <v>1480</v>
      </c>
      <c r="L192" s="8">
        <v>0.0</v>
      </c>
      <c r="M192" s="8" t="s">
        <v>93</v>
      </c>
      <c r="N192" s="8" t="s">
        <v>22</v>
      </c>
      <c r="O192" s="8" t="s">
        <v>941</v>
      </c>
      <c r="P192" s="8" t="s">
        <v>24</v>
      </c>
      <c r="Q192" s="9">
        <v>0.0</v>
      </c>
      <c r="R192" s="9">
        <v>0.25</v>
      </c>
      <c r="S192" s="9">
        <v>0.25</v>
      </c>
      <c r="T192" s="10">
        <v>45535.0</v>
      </c>
      <c r="U192" s="11">
        <v>3.0</v>
      </c>
      <c r="V192" s="8" t="s">
        <v>33</v>
      </c>
      <c r="W192" s="12">
        <f t="shared" si="1"/>
        <v>0.5</v>
      </c>
      <c r="X192" s="12">
        <f t="shared" si="4"/>
        <v>8.232713104</v>
      </c>
    </row>
    <row r="193">
      <c r="A193" s="15">
        <f t="shared" si="3"/>
        <v>192</v>
      </c>
      <c r="B193" s="15" t="s">
        <v>129</v>
      </c>
      <c r="C193" s="15" t="s">
        <v>19</v>
      </c>
      <c r="D193" s="15">
        <v>58.0</v>
      </c>
      <c r="E193" s="15"/>
      <c r="F193" s="15" t="s">
        <v>2371</v>
      </c>
      <c r="G193" s="15"/>
      <c r="H193" s="15"/>
      <c r="I193" s="110"/>
      <c r="J193" s="15" t="s">
        <v>1479</v>
      </c>
      <c r="K193" s="15" t="s">
        <v>1474</v>
      </c>
      <c r="L193" s="15">
        <v>2.0</v>
      </c>
      <c r="M193" s="15" t="s">
        <v>82</v>
      </c>
      <c r="N193" s="15" t="s">
        <v>22</v>
      </c>
      <c r="O193" s="15" t="s">
        <v>225</v>
      </c>
      <c r="P193" s="15" t="s">
        <v>24</v>
      </c>
      <c r="Q193" s="16">
        <v>0.25</v>
      </c>
      <c r="R193" s="16">
        <v>0.22</v>
      </c>
      <c r="S193" s="16">
        <v>0.22</v>
      </c>
      <c r="T193" s="55">
        <v>45535.0</v>
      </c>
      <c r="U193" s="18">
        <v>1.213</v>
      </c>
      <c r="V193" s="15" t="s">
        <v>33</v>
      </c>
      <c r="W193" s="19">
        <f t="shared" si="1"/>
        <v>0.04686</v>
      </c>
      <c r="X193" s="19">
        <f t="shared" si="4"/>
        <v>8.279573104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111"/>
      <c r="J194" s="8"/>
      <c r="K194" s="8"/>
      <c r="L194" s="8"/>
      <c r="M194" s="8"/>
      <c r="N194" s="8"/>
      <c r="O194" s="8"/>
      <c r="P194" s="8"/>
      <c r="Q194" s="9"/>
      <c r="R194" s="9"/>
      <c r="S194" s="9"/>
      <c r="T194" s="10"/>
      <c r="U194" s="11"/>
      <c r="V194" s="8"/>
      <c r="W194" s="12" t="str">
        <f t="shared" si="1"/>
        <v/>
      </c>
      <c r="X194" s="12">
        <f t="shared" si="4"/>
        <v>8.279573104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10"/>
      <c r="J195" s="15"/>
      <c r="K195" s="15"/>
      <c r="L195" s="15"/>
      <c r="M195" s="15"/>
      <c r="N195" s="15"/>
      <c r="O195" s="15"/>
      <c r="P195" s="15"/>
      <c r="Q195" s="16"/>
      <c r="R195" s="16"/>
      <c r="S195" s="16"/>
      <c r="T195" s="17"/>
      <c r="U195" s="18"/>
      <c r="V195" s="15"/>
      <c r="W195" s="19" t="str">
        <f t="shared" si="1"/>
        <v/>
      </c>
      <c r="X195" s="19">
        <f t="shared" si="4"/>
        <v>8.279573104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111"/>
      <c r="J196" s="8"/>
      <c r="K196" s="8"/>
      <c r="L196" s="8"/>
      <c r="M196" s="8"/>
      <c r="N196" s="8"/>
      <c r="O196" s="8"/>
      <c r="P196" s="8"/>
      <c r="Q196" s="9"/>
      <c r="R196" s="9"/>
      <c r="S196" s="9"/>
      <c r="T196" s="10"/>
      <c r="U196" s="11"/>
      <c r="V196" s="8"/>
      <c r="W196" s="12" t="str">
        <f t="shared" si="1"/>
        <v/>
      </c>
      <c r="X196" s="12">
        <f t="shared" si="4"/>
        <v>8.279573104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10"/>
      <c r="J197" s="15"/>
      <c r="K197" s="15"/>
      <c r="L197" s="15"/>
      <c r="M197" s="15"/>
      <c r="N197" s="15"/>
      <c r="O197" s="15"/>
      <c r="P197" s="15"/>
      <c r="Q197" s="16"/>
      <c r="R197" s="16"/>
      <c r="S197" s="16"/>
      <c r="T197" s="17"/>
      <c r="U197" s="18"/>
      <c r="V197" s="15"/>
      <c r="W197" s="19" t="str">
        <f t="shared" si="1"/>
        <v/>
      </c>
      <c r="X197" s="19">
        <f t="shared" si="4"/>
        <v>8.279573104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111"/>
      <c r="J198" s="8"/>
      <c r="K198" s="8"/>
      <c r="L198" s="8"/>
      <c r="M198" s="8"/>
      <c r="N198" s="8"/>
      <c r="O198" s="8"/>
      <c r="P198" s="8"/>
      <c r="Q198" s="9"/>
      <c r="R198" s="9"/>
      <c r="S198" s="9"/>
      <c r="T198" s="10"/>
      <c r="U198" s="11"/>
      <c r="V198" s="8"/>
      <c r="W198" s="12" t="str">
        <f t="shared" si="1"/>
        <v/>
      </c>
      <c r="X198" s="12">
        <f t="shared" si="4"/>
        <v>8.279573104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10"/>
      <c r="J199" s="15"/>
      <c r="K199" s="15"/>
      <c r="L199" s="15"/>
      <c r="M199" s="15"/>
      <c r="N199" s="15"/>
      <c r="O199" s="15"/>
      <c r="P199" s="15"/>
      <c r="Q199" s="16"/>
      <c r="R199" s="16"/>
      <c r="S199" s="16"/>
      <c r="T199" s="17"/>
      <c r="U199" s="18"/>
      <c r="V199" s="15"/>
      <c r="W199" s="19" t="str">
        <f t="shared" si="1"/>
        <v/>
      </c>
      <c r="X199" s="19">
        <f t="shared" si="4"/>
        <v>8.279573104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111"/>
      <c r="J200" s="8"/>
      <c r="K200" s="8"/>
      <c r="L200" s="8"/>
      <c r="M200" s="8"/>
      <c r="N200" s="8"/>
      <c r="O200" s="8"/>
      <c r="P200" s="8"/>
      <c r="Q200" s="9"/>
      <c r="R200" s="9"/>
      <c r="S200" s="9"/>
      <c r="T200" s="10"/>
      <c r="U200" s="11"/>
      <c r="V200" s="8"/>
      <c r="W200" s="12" t="str">
        <f t="shared" si="1"/>
        <v/>
      </c>
      <c r="X200" s="12">
        <f t="shared" si="4"/>
        <v>8.279573104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10"/>
      <c r="J201" s="15"/>
      <c r="K201" s="15"/>
      <c r="L201" s="15"/>
      <c r="M201" s="15"/>
      <c r="N201" s="15"/>
      <c r="O201" s="15"/>
      <c r="P201" s="15"/>
      <c r="Q201" s="16"/>
      <c r="R201" s="16"/>
      <c r="S201" s="16"/>
      <c r="T201" s="17"/>
      <c r="U201" s="18"/>
      <c r="V201" s="15"/>
      <c r="W201" s="19" t="str">
        <f t="shared" si="1"/>
        <v/>
      </c>
      <c r="X201" s="19">
        <f t="shared" si="4"/>
        <v>8.279573104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111"/>
      <c r="J202" s="8"/>
      <c r="K202" s="8"/>
      <c r="L202" s="8"/>
      <c r="M202" s="8"/>
      <c r="N202" s="8"/>
      <c r="O202" s="8"/>
      <c r="P202" s="8"/>
      <c r="Q202" s="9"/>
      <c r="R202" s="9"/>
      <c r="S202" s="9"/>
      <c r="T202" s="10"/>
      <c r="U202" s="11"/>
      <c r="V202" s="8"/>
      <c r="W202" s="12" t="str">
        <f t="shared" si="1"/>
        <v/>
      </c>
      <c r="X202" s="12">
        <f t="shared" si="4"/>
        <v>8.279573104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10"/>
      <c r="J203" s="15"/>
      <c r="K203" s="15"/>
      <c r="L203" s="15"/>
      <c r="M203" s="15"/>
      <c r="N203" s="15"/>
      <c r="O203" s="15"/>
      <c r="P203" s="15"/>
      <c r="Q203" s="16"/>
      <c r="R203" s="16"/>
      <c r="S203" s="16"/>
      <c r="T203" s="17"/>
      <c r="U203" s="18"/>
      <c r="V203" s="15"/>
      <c r="W203" s="19" t="str">
        <f t="shared" si="1"/>
        <v/>
      </c>
      <c r="X203" s="19">
        <f t="shared" si="4"/>
        <v>8.279573104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111"/>
      <c r="J204" s="8"/>
      <c r="K204" s="8"/>
      <c r="L204" s="8"/>
      <c r="M204" s="8"/>
      <c r="N204" s="8"/>
      <c r="O204" s="8"/>
      <c r="P204" s="8"/>
      <c r="Q204" s="9"/>
      <c r="R204" s="9"/>
      <c r="S204" s="9"/>
      <c r="T204" s="10"/>
      <c r="U204" s="11"/>
      <c r="V204" s="8"/>
      <c r="W204" s="12" t="str">
        <f t="shared" si="1"/>
        <v/>
      </c>
      <c r="X204" s="12">
        <f t="shared" si="4"/>
        <v>8.279573104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10"/>
      <c r="J205" s="15"/>
      <c r="K205" s="15"/>
      <c r="L205" s="15"/>
      <c r="M205" s="15"/>
      <c r="N205" s="15"/>
      <c r="O205" s="15"/>
      <c r="P205" s="15"/>
      <c r="Q205" s="16"/>
      <c r="R205" s="16"/>
      <c r="S205" s="16"/>
      <c r="T205" s="17"/>
      <c r="U205" s="18"/>
      <c r="V205" s="15"/>
      <c r="W205" s="19" t="str">
        <f t="shared" si="1"/>
        <v/>
      </c>
      <c r="X205" s="19">
        <f t="shared" si="4"/>
        <v>8.279573104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111"/>
      <c r="J206" s="8"/>
      <c r="K206" s="8"/>
      <c r="L206" s="8"/>
      <c r="M206" s="8"/>
      <c r="N206" s="8"/>
      <c r="O206" s="8"/>
      <c r="P206" s="8"/>
      <c r="Q206" s="9"/>
      <c r="R206" s="9"/>
      <c r="S206" s="9"/>
      <c r="T206" s="10"/>
      <c r="U206" s="11"/>
      <c r="V206" s="8"/>
      <c r="W206" s="12" t="str">
        <f t="shared" si="1"/>
        <v/>
      </c>
      <c r="X206" s="12">
        <f t="shared" si="4"/>
        <v>8.279573104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10"/>
      <c r="J207" s="15"/>
      <c r="K207" s="15"/>
      <c r="L207" s="15"/>
      <c r="M207" s="15"/>
      <c r="N207" s="15"/>
      <c r="O207" s="15"/>
      <c r="P207" s="15"/>
      <c r="Q207" s="16"/>
      <c r="R207" s="16"/>
      <c r="S207" s="16"/>
      <c r="T207" s="17"/>
      <c r="U207" s="18"/>
      <c r="V207" s="15"/>
      <c r="W207" s="19" t="str">
        <f t="shared" si="1"/>
        <v/>
      </c>
      <c r="X207" s="19">
        <f t="shared" si="4"/>
        <v>8.279573104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111"/>
      <c r="J208" s="8"/>
      <c r="K208" s="8"/>
      <c r="L208" s="8"/>
      <c r="M208" s="8"/>
      <c r="N208" s="8"/>
      <c r="O208" s="8"/>
      <c r="P208" s="8"/>
      <c r="Q208" s="9"/>
      <c r="R208" s="9"/>
      <c r="S208" s="9"/>
      <c r="T208" s="10"/>
      <c r="U208" s="11"/>
      <c r="V208" s="8"/>
      <c r="W208" s="12" t="str">
        <f t="shared" si="1"/>
        <v/>
      </c>
      <c r="X208" s="12">
        <f t="shared" si="4"/>
        <v>8.279573104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10"/>
      <c r="J209" s="15"/>
      <c r="K209" s="15"/>
      <c r="L209" s="15"/>
      <c r="M209" s="15"/>
      <c r="N209" s="15"/>
      <c r="O209" s="15"/>
      <c r="P209" s="15"/>
      <c r="Q209" s="16"/>
      <c r="R209" s="16"/>
      <c r="S209" s="16"/>
      <c r="T209" s="17"/>
      <c r="U209" s="18"/>
      <c r="V209" s="15"/>
      <c r="W209" s="19" t="str">
        <f t="shared" si="1"/>
        <v/>
      </c>
      <c r="X209" s="19">
        <f t="shared" si="4"/>
        <v>8.279573104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111"/>
      <c r="J210" s="8"/>
      <c r="K210" s="8"/>
      <c r="L210" s="8"/>
      <c r="M210" s="8"/>
      <c r="N210" s="8"/>
      <c r="O210" s="8"/>
      <c r="P210" s="8"/>
      <c r="Q210" s="9"/>
      <c r="R210" s="9"/>
      <c r="S210" s="9"/>
      <c r="T210" s="10"/>
      <c r="U210" s="11"/>
      <c r="V210" s="8"/>
      <c r="W210" s="12" t="str">
        <f t="shared" si="1"/>
        <v/>
      </c>
      <c r="X210" s="12">
        <f t="shared" si="4"/>
        <v>8.279573104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10"/>
      <c r="J211" s="15"/>
      <c r="K211" s="15"/>
      <c r="L211" s="15"/>
      <c r="M211" s="15"/>
      <c r="N211" s="15"/>
      <c r="O211" s="15"/>
      <c r="P211" s="15"/>
      <c r="Q211" s="16"/>
      <c r="R211" s="16"/>
      <c r="S211" s="16"/>
      <c r="T211" s="17"/>
      <c r="U211" s="18"/>
      <c r="V211" s="15"/>
      <c r="W211" s="19" t="str">
        <f t="shared" si="1"/>
        <v/>
      </c>
      <c r="X211" s="19">
        <f t="shared" si="4"/>
        <v>8.279573104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111"/>
      <c r="J212" s="8"/>
      <c r="K212" s="8"/>
      <c r="L212" s="8"/>
      <c r="M212" s="8"/>
      <c r="N212" s="8"/>
      <c r="O212" s="8"/>
      <c r="P212" s="8"/>
      <c r="Q212" s="9"/>
      <c r="R212" s="9"/>
      <c r="S212" s="9"/>
      <c r="T212" s="54"/>
      <c r="U212" s="11"/>
      <c r="V212" s="8"/>
      <c r="W212" s="12" t="str">
        <f t="shared" si="1"/>
        <v/>
      </c>
      <c r="X212" s="12">
        <f t="shared" si="4"/>
        <v>8.279573104</v>
      </c>
    </row>
    <row r="213">
      <c r="A213" s="15">
        <f t="shared" si="3"/>
        <v>212</v>
      </c>
      <c r="B213" s="15"/>
      <c r="C213" s="15"/>
      <c r="D213" s="15"/>
      <c r="E213" s="15"/>
      <c r="F213" s="15"/>
      <c r="G213" s="15"/>
      <c r="H213" s="15"/>
      <c r="I213" s="110"/>
      <c r="J213" s="15"/>
      <c r="K213" s="15"/>
      <c r="L213" s="15"/>
      <c r="M213" s="15"/>
      <c r="N213" s="15"/>
      <c r="O213" s="15"/>
      <c r="P213" s="15"/>
      <c r="Q213" s="16"/>
      <c r="R213" s="16"/>
      <c r="S213" s="16"/>
      <c r="T213" s="17"/>
      <c r="U213" s="18"/>
      <c r="V213" s="15"/>
      <c r="W213" s="19" t="str">
        <f t="shared" si="1"/>
        <v/>
      </c>
      <c r="X213" s="19">
        <f t="shared" si="4"/>
        <v>8.279573104</v>
      </c>
    </row>
    <row r="214">
      <c r="A214" s="8">
        <f t="shared" si="3"/>
        <v>213</v>
      </c>
      <c r="B214" s="8"/>
      <c r="C214" s="8"/>
      <c r="D214" s="8"/>
      <c r="E214" s="8"/>
      <c r="F214" s="8"/>
      <c r="G214" s="8"/>
      <c r="H214" s="8"/>
      <c r="I214" s="111"/>
      <c r="J214" s="8"/>
      <c r="K214" s="8"/>
      <c r="L214" s="8"/>
      <c r="M214" s="8"/>
      <c r="N214" s="8"/>
      <c r="O214" s="8"/>
      <c r="P214" s="8"/>
      <c r="Q214" s="9"/>
      <c r="R214" s="9"/>
      <c r="S214" s="9"/>
      <c r="T214" s="10"/>
      <c r="U214" s="11"/>
      <c r="V214" s="8"/>
      <c r="W214" s="12" t="str">
        <f t="shared" si="1"/>
        <v/>
      </c>
      <c r="X214" s="12">
        <f t="shared" si="4"/>
        <v>8.279573104</v>
      </c>
    </row>
    <row r="215">
      <c r="A215" s="15">
        <f t="shared" si="3"/>
        <v>214</v>
      </c>
      <c r="B215" s="15"/>
      <c r="C215" s="15"/>
      <c r="D215" s="15"/>
      <c r="E215" s="15"/>
      <c r="F215" s="37"/>
      <c r="G215" s="37"/>
      <c r="H215" s="37"/>
      <c r="I215" s="110"/>
      <c r="J215" s="15"/>
      <c r="K215" s="15"/>
      <c r="L215" s="15"/>
      <c r="M215" s="15"/>
      <c r="N215" s="15"/>
      <c r="O215" s="15"/>
      <c r="P215" s="15"/>
      <c r="Q215" s="16"/>
      <c r="R215" s="16"/>
      <c r="S215" s="16"/>
      <c r="T215" s="17"/>
      <c r="U215" s="18"/>
      <c r="V215" s="15"/>
      <c r="W215" s="19" t="str">
        <f t="shared" si="1"/>
        <v/>
      </c>
      <c r="X215" s="19">
        <f t="shared" si="4"/>
        <v>8.279573104</v>
      </c>
    </row>
    <row r="216">
      <c r="A216" s="8">
        <f t="shared" si="3"/>
        <v>215</v>
      </c>
      <c r="B216" s="8"/>
      <c r="C216" s="8"/>
      <c r="D216" s="8"/>
      <c r="E216" s="8"/>
      <c r="F216" s="47"/>
      <c r="G216" s="47"/>
      <c r="H216" s="47"/>
      <c r="I216" s="111"/>
      <c r="J216" s="8"/>
      <c r="K216" s="8"/>
      <c r="L216" s="8"/>
      <c r="M216" s="8"/>
      <c r="N216" s="8"/>
      <c r="O216" s="8"/>
      <c r="P216" s="8"/>
      <c r="Q216" s="9"/>
      <c r="R216" s="9"/>
      <c r="S216" s="9"/>
      <c r="T216" s="10"/>
      <c r="U216" s="11"/>
      <c r="V216" s="8"/>
      <c r="W216" s="12" t="str">
        <f t="shared" si="1"/>
        <v/>
      </c>
      <c r="X216" s="12">
        <f t="shared" si="4"/>
        <v>8.279573104</v>
      </c>
    </row>
    <row r="217">
      <c r="A217" s="15">
        <f t="shared" si="3"/>
        <v>216</v>
      </c>
      <c r="B217" s="15"/>
      <c r="C217" s="15"/>
      <c r="D217" s="15"/>
      <c r="E217" s="15"/>
      <c r="F217" s="42"/>
      <c r="G217" s="42"/>
      <c r="H217" s="42"/>
      <c r="I217" s="110"/>
      <c r="J217" s="15"/>
      <c r="K217" s="15"/>
      <c r="L217" s="15"/>
      <c r="M217" s="15"/>
      <c r="N217" s="15"/>
      <c r="O217" s="15"/>
      <c r="P217" s="15"/>
      <c r="Q217" s="16"/>
      <c r="R217" s="16"/>
      <c r="S217" s="16"/>
      <c r="T217" s="17"/>
      <c r="U217" s="18"/>
      <c r="V217" s="15"/>
      <c r="W217" s="19" t="str">
        <f t="shared" si="1"/>
        <v/>
      </c>
      <c r="X217" s="19">
        <f t="shared" si="4"/>
        <v>8.279573104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111"/>
      <c r="J218" s="8"/>
      <c r="K218" s="8"/>
      <c r="L218" s="8"/>
      <c r="M218" s="8"/>
      <c r="N218" s="8"/>
      <c r="O218" s="8"/>
      <c r="P218" s="8"/>
      <c r="Q218" s="9"/>
      <c r="R218" s="9"/>
      <c r="S218" s="9"/>
      <c r="T218" s="10"/>
      <c r="U218" s="11"/>
      <c r="V218" s="8"/>
      <c r="W218" s="12" t="str">
        <f t="shared" si="1"/>
        <v/>
      </c>
      <c r="X218" s="12">
        <f t="shared" si="4"/>
        <v>8.279573104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10"/>
      <c r="J219" s="15"/>
      <c r="K219" s="15"/>
      <c r="L219" s="15"/>
      <c r="M219" s="15"/>
      <c r="N219" s="15"/>
      <c r="O219" s="15"/>
      <c r="P219" s="15"/>
      <c r="Q219" s="16"/>
      <c r="R219" s="16"/>
      <c r="S219" s="16"/>
      <c r="T219" s="17"/>
      <c r="U219" s="18"/>
      <c r="V219" s="15"/>
      <c r="W219" s="19" t="str">
        <f t="shared" si="1"/>
        <v/>
      </c>
      <c r="X219" s="19">
        <f t="shared" si="4"/>
        <v>8.279573104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111"/>
      <c r="J220" s="8"/>
      <c r="K220" s="8"/>
      <c r="L220" s="8"/>
      <c r="M220" s="8"/>
      <c r="N220" s="8"/>
      <c r="O220" s="8"/>
      <c r="P220" s="8"/>
      <c r="Q220" s="9"/>
      <c r="R220" s="9"/>
      <c r="S220" s="9"/>
      <c r="T220" s="10"/>
      <c r="U220" s="11"/>
      <c r="V220" s="8"/>
      <c r="W220" s="12" t="str">
        <f t="shared" si="1"/>
        <v/>
      </c>
      <c r="X220" s="12">
        <f t="shared" si="4"/>
        <v>8.279573104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10"/>
      <c r="J221" s="15"/>
      <c r="K221" s="15"/>
      <c r="L221" s="15"/>
      <c r="M221" s="15"/>
      <c r="N221" s="15"/>
      <c r="O221" s="15"/>
      <c r="P221" s="15"/>
      <c r="Q221" s="16"/>
      <c r="R221" s="16"/>
      <c r="S221" s="16"/>
      <c r="T221" s="17"/>
      <c r="U221" s="18"/>
      <c r="V221" s="15"/>
      <c r="W221" s="19" t="str">
        <f t="shared" si="1"/>
        <v/>
      </c>
      <c r="X221" s="19">
        <f t="shared" si="4"/>
        <v>8.279573104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111"/>
      <c r="J222" s="8"/>
      <c r="K222" s="8"/>
      <c r="L222" s="8"/>
      <c r="M222" s="8"/>
      <c r="N222" s="8"/>
      <c r="O222" s="8"/>
      <c r="P222" s="8"/>
      <c r="Q222" s="9"/>
      <c r="R222" s="9"/>
      <c r="S222" s="9"/>
      <c r="T222" s="10"/>
      <c r="U222" s="11"/>
      <c r="V222" s="8"/>
      <c r="W222" s="12" t="str">
        <f t="shared" si="1"/>
        <v/>
      </c>
      <c r="X222" s="12">
        <f t="shared" si="4"/>
        <v>8.279573104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10"/>
      <c r="J223" s="15"/>
      <c r="K223" s="15"/>
      <c r="L223" s="15"/>
      <c r="M223" s="15"/>
      <c r="N223" s="15"/>
      <c r="O223" s="15"/>
      <c r="P223" s="15"/>
      <c r="Q223" s="16"/>
      <c r="R223" s="16"/>
      <c r="S223" s="16"/>
      <c r="T223" s="17"/>
      <c r="U223" s="18"/>
      <c r="V223" s="15"/>
      <c r="W223" s="19" t="str">
        <f t="shared" si="1"/>
        <v/>
      </c>
      <c r="X223" s="19">
        <f t="shared" si="4"/>
        <v>8.279573104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111"/>
      <c r="J224" s="8"/>
      <c r="K224" s="8"/>
      <c r="L224" s="8"/>
      <c r="M224" s="8"/>
      <c r="N224" s="8"/>
      <c r="O224" s="8"/>
      <c r="P224" s="8"/>
      <c r="Q224" s="9"/>
      <c r="R224" s="9"/>
      <c r="S224" s="9"/>
      <c r="T224" s="10"/>
      <c r="U224" s="11"/>
      <c r="V224" s="8"/>
      <c r="W224" s="12" t="str">
        <f t="shared" si="1"/>
        <v/>
      </c>
      <c r="X224" s="12">
        <f t="shared" si="4"/>
        <v>8.279573104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6"/>
      <c r="R225" s="16"/>
      <c r="S225" s="16"/>
      <c r="T225" s="17"/>
      <c r="U225" s="18"/>
      <c r="V225" s="15"/>
      <c r="W225" s="19" t="str">
        <f t="shared" si="1"/>
        <v/>
      </c>
      <c r="X225" s="19">
        <f t="shared" si="4"/>
        <v>8.279573104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9"/>
      <c r="R226" s="9"/>
      <c r="S226" s="9"/>
      <c r="T226" s="10"/>
      <c r="U226" s="11"/>
      <c r="V226" s="8"/>
      <c r="W226" s="12" t="str">
        <f t="shared" si="1"/>
        <v/>
      </c>
      <c r="X226" s="12">
        <f t="shared" si="4"/>
        <v>8.279573104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6"/>
      <c r="R227" s="16"/>
      <c r="S227" s="16"/>
      <c r="T227" s="17"/>
      <c r="U227" s="18"/>
      <c r="V227" s="15"/>
      <c r="W227" s="19" t="str">
        <f t="shared" si="1"/>
        <v/>
      </c>
      <c r="X227" s="19">
        <f t="shared" si="4"/>
        <v>8.279573104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9"/>
      <c r="R228" s="9"/>
      <c r="S228" s="9"/>
      <c r="T228" s="10"/>
      <c r="U228" s="11"/>
      <c r="V228" s="8"/>
      <c r="W228" s="12" t="str">
        <f t="shared" si="1"/>
        <v/>
      </c>
      <c r="X228" s="12">
        <f t="shared" si="4"/>
        <v>8.279573104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6"/>
      <c r="R229" s="16"/>
      <c r="S229" s="16"/>
      <c r="T229" s="17"/>
      <c r="U229" s="18"/>
      <c r="V229" s="15"/>
      <c r="W229" s="19" t="str">
        <f t="shared" si="1"/>
        <v/>
      </c>
      <c r="X229" s="19">
        <f t="shared" si="4"/>
        <v>8.279573104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9"/>
      <c r="R230" s="9"/>
      <c r="S230" s="9"/>
      <c r="T230" s="10"/>
      <c r="U230" s="11"/>
      <c r="V230" s="8"/>
      <c r="W230" s="12" t="str">
        <f t="shared" si="1"/>
        <v/>
      </c>
      <c r="X230" s="12">
        <f t="shared" si="4"/>
        <v>8.279573104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6"/>
      <c r="R231" s="16"/>
      <c r="S231" s="16"/>
      <c r="T231" s="17"/>
      <c r="U231" s="18"/>
      <c r="V231" s="15"/>
      <c r="W231" s="19" t="str">
        <f t="shared" si="1"/>
        <v/>
      </c>
      <c r="X231" s="19">
        <f t="shared" si="4"/>
        <v>8.279573104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9"/>
      <c r="R232" s="9"/>
      <c r="S232" s="9"/>
      <c r="T232" s="10"/>
      <c r="U232" s="11"/>
      <c r="V232" s="8"/>
      <c r="W232" s="12" t="str">
        <f t="shared" si="1"/>
        <v/>
      </c>
      <c r="X232" s="12">
        <f t="shared" si="4"/>
        <v>8.279573104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6"/>
      <c r="R233" s="16"/>
      <c r="S233" s="16"/>
      <c r="T233" s="17"/>
      <c r="U233" s="18"/>
      <c r="V233" s="15"/>
      <c r="W233" s="19" t="str">
        <f t="shared" si="1"/>
        <v/>
      </c>
      <c r="X233" s="19">
        <f t="shared" si="4"/>
        <v>8.279573104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9"/>
      <c r="R234" s="9"/>
      <c r="S234" s="9"/>
      <c r="T234" s="10"/>
      <c r="U234" s="11"/>
      <c r="V234" s="8"/>
      <c r="W234" s="12" t="str">
        <f t="shared" si="1"/>
        <v/>
      </c>
      <c r="X234" s="12">
        <f t="shared" si="4"/>
        <v>8.279573104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6"/>
      <c r="R235" s="16"/>
      <c r="S235" s="16"/>
      <c r="T235" s="17"/>
      <c r="U235" s="18"/>
      <c r="V235" s="15"/>
      <c r="W235" s="19" t="str">
        <f t="shared" si="1"/>
        <v/>
      </c>
      <c r="X235" s="19">
        <f t="shared" si="4"/>
        <v>8.279573104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9"/>
      <c r="R236" s="9"/>
      <c r="S236" s="9"/>
      <c r="T236" s="10"/>
      <c r="U236" s="11"/>
      <c r="V236" s="8"/>
      <c r="W236" s="12" t="str">
        <f t="shared" si="1"/>
        <v/>
      </c>
      <c r="X236" s="12">
        <f t="shared" si="4"/>
        <v>8.279573104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6"/>
      <c r="R237" s="16"/>
      <c r="S237" s="16"/>
      <c r="T237" s="17"/>
      <c r="U237" s="18"/>
      <c r="V237" s="15"/>
      <c r="W237" s="19" t="str">
        <f t="shared" si="1"/>
        <v/>
      </c>
      <c r="X237" s="19">
        <f t="shared" si="4"/>
        <v>8.279573104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9"/>
      <c r="R238" s="9"/>
      <c r="S238" s="9"/>
      <c r="T238" s="10"/>
      <c r="U238" s="11"/>
      <c r="V238" s="8"/>
      <c r="W238" s="12" t="str">
        <f t="shared" si="1"/>
        <v/>
      </c>
      <c r="X238" s="12">
        <f t="shared" si="4"/>
        <v>8.279573104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6"/>
      <c r="R239" s="16"/>
      <c r="S239" s="16"/>
      <c r="T239" s="17"/>
      <c r="U239" s="18"/>
      <c r="V239" s="15"/>
      <c r="W239" s="19" t="str">
        <f t="shared" si="1"/>
        <v/>
      </c>
      <c r="X239" s="19">
        <f t="shared" si="4"/>
        <v>8.279573104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9"/>
      <c r="R240" s="9"/>
      <c r="S240" s="9"/>
      <c r="T240" s="10"/>
      <c r="U240" s="11"/>
      <c r="V240" s="8"/>
      <c r="W240" s="12" t="str">
        <f t="shared" si="1"/>
        <v/>
      </c>
      <c r="X240" s="12">
        <f t="shared" si="4"/>
        <v>8.279573104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6"/>
      <c r="R241" s="16"/>
      <c r="S241" s="16"/>
      <c r="T241" s="17"/>
      <c r="U241" s="18"/>
      <c r="V241" s="15"/>
      <c r="W241" s="19" t="str">
        <f t="shared" si="1"/>
        <v/>
      </c>
      <c r="X241" s="19">
        <f t="shared" si="4"/>
        <v>8.279573104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9"/>
      <c r="R242" s="9"/>
      <c r="S242" s="9"/>
      <c r="T242" s="10"/>
      <c r="U242" s="11"/>
      <c r="V242" s="8"/>
      <c r="W242" s="12" t="str">
        <f t="shared" si="1"/>
        <v/>
      </c>
      <c r="X242" s="12">
        <f t="shared" si="4"/>
        <v>8.279573104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6"/>
      <c r="R243" s="16"/>
      <c r="S243" s="16"/>
      <c r="T243" s="17"/>
      <c r="U243" s="18"/>
      <c r="V243" s="15"/>
      <c r="W243" s="19" t="str">
        <f t="shared" si="1"/>
        <v/>
      </c>
      <c r="X243" s="19">
        <f t="shared" si="4"/>
        <v>8.279573104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9"/>
      <c r="R244" s="9"/>
      <c r="S244" s="9"/>
      <c r="T244" s="10"/>
      <c r="U244" s="11"/>
      <c r="V244" s="8"/>
      <c r="W244" s="12" t="str">
        <f t="shared" si="1"/>
        <v/>
      </c>
      <c r="X244" s="12">
        <f t="shared" si="4"/>
        <v>8.279573104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6"/>
      <c r="R245" s="16"/>
      <c r="S245" s="16"/>
      <c r="T245" s="55"/>
      <c r="U245" s="18"/>
      <c r="V245" s="15"/>
      <c r="W245" s="19" t="str">
        <f t="shared" si="1"/>
        <v/>
      </c>
      <c r="X245" s="19">
        <f t="shared" si="4"/>
        <v>8.279573104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  <c r="R246" s="9"/>
      <c r="S246" s="9"/>
      <c r="T246" s="10"/>
      <c r="U246" s="11"/>
      <c r="V246" s="8"/>
      <c r="W246" s="12" t="str">
        <f t="shared" si="1"/>
        <v/>
      </c>
      <c r="X246" s="12">
        <f t="shared" si="4"/>
        <v>8.279573104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6"/>
      <c r="R247" s="16"/>
      <c r="S247" s="16"/>
      <c r="T247" s="17"/>
      <c r="U247" s="18"/>
      <c r="V247" s="15"/>
      <c r="W247" s="19" t="str">
        <f t="shared" si="1"/>
        <v/>
      </c>
      <c r="X247" s="19">
        <f t="shared" si="4"/>
        <v>8.279573104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9"/>
      <c r="R248" s="9"/>
      <c r="S248" s="9"/>
      <c r="T248" s="10"/>
      <c r="U248" s="11"/>
      <c r="V248" s="8"/>
      <c r="W248" s="12" t="str">
        <f t="shared" si="1"/>
        <v/>
      </c>
      <c r="X248" s="12">
        <f t="shared" si="4"/>
        <v>8.279573104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6"/>
      <c r="R249" s="16"/>
      <c r="S249" s="16"/>
      <c r="T249" s="17"/>
      <c r="U249" s="18"/>
      <c r="V249" s="15"/>
      <c r="W249" s="19" t="str">
        <f t="shared" si="1"/>
        <v/>
      </c>
      <c r="X249" s="19">
        <f t="shared" si="4"/>
        <v>8.279573104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9"/>
      <c r="R250" s="9"/>
      <c r="S250" s="9"/>
      <c r="T250" s="10"/>
      <c r="U250" s="11"/>
      <c r="V250" s="8"/>
      <c r="W250" s="12" t="str">
        <f t="shared" si="1"/>
        <v/>
      </c>
      <c r="X250" s="12">
        <f t="shared" si="4"/>
        <v>8.279573104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6"/>
      <c r="R251" s="16"/>
      <c r="S251" s="16"/>
      <c r="T251" s="17"/>
      <c r="U251" s="18"/>
      <c r="V251" s="15"/>
      <c r="W251" s="19" t="str">
        <f t="shared" si="1"/>
        <v/>
      </c>
      <c r="X251" s="19">
        <f t="shared" si="4"/>
        <v>8.279573104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9"/>
      <c r="R252" s="9"/>
      <c r="S252" s="9"/>
      <c r="T252" s="10"/>
      <c r="U252" s="11"/>
      <c r="V252" s="8"/>
      <c r="W252" s="12" t="str">
        <f t="shared" si="1"/>
        <v/>
      </c>
      <c r="X252" s="12">
        <f t="shared" si="4"/>
        <v>8.279573104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6"/>
      <c r="R253" s="16"/>
      <c r="S253" s="16"/>
      <c r="T253" s="17"/>
      <c r="U253" s="18"/>
      <c r="V253" s="15"/>
      <c r="W253" s="19" t="str">
        <f t="shared" si="1"/>
        <v/>
      </c>
      <c r="X253" s="19">
        <f t="shared" si="4"/>
        <v>8.279573104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9"/>
      <c r="R254" s="9"/>
      <c r="S254" s="9"/>
      <c r="T254" s="10"/>
      <c r="U254" s="11"/>
      <c r="V254" s="8"/>
      <c r="W254" s="12" t="str">
        <f t="shared" si="1"/>
        <v/>
      </c>
      <c r="X254" s="12">
        <f t="shared" si="4"/>
        <v>8.279573104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6"/>
      <c r="R255" s="16"/>
      <c r="S255" s="16"/>
      <c r="T255" s="17"/>
      <c r="U255" s="18"/>
      <c r="V255" s="15"/>
      <c r="W255" s="19" t="str">
        <f t="shared" si="1"/>
        <v/>
      </c>
      <c r="X255" s="19">
        <f t="shared" si="4"/>
        <v>8.279573104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9"/>
      <c r="R256" s="9"/>
      <c r="S256" s="9"/>
      <c r="T256" s="10"/>
      <c r="U256" s="11"/>
      <c r="V256" s="8"/>
      <c r="W256" s="12" t="str">
        <f t="shared" si="1"/>
        <v/>
      </c>
      <c r="X256" s="12">
        <f t="shared" si="4"/>
        <v>8.279573104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6"/>
      <c r="R257" s="16"/>
      <c r="S257" s="16"/>
      <c r="T257" s="17"/>
      <c r="U257" s="18"/>
      <c r="V257" s="15"/>
      <c r="W257" s="19" t="str">
        <f t="shared" si="1"/>
        <v/>
      </c>
      <c r="X257" s="19">
        <f t="shared" si="4"/>
        <v>8.279573104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9"/>
      <c r="R258" s="9"/>
      <c r="S258" s="9"/>
      <c r="T258" s="10"/>
      <c r="U258" s="11"/>
      <c r="V258" s="8"/>
      <c r="W258" s="12" t="str">
        <f t="shared" si="1"/>
        <v/>
      </c>
      <c r="X258" s="12">
        <f t="shared" si="4"/>
        <v>8.279573104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6"/>
      <c r="R259" s="16"/>
      <c r="S259" s="16"/>
      <c r="T259" s="17"/>
      <c r="U259" s="18"/>
      <c r="V259" s="15"/>
      <c r="W259" s="19" t="str">
        <f t="shared" si="1"/>
        <v/>
      </c>
      <c r="X259" s="19">
        <f t="shared" si="4"/>
        <v>8.279573104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9"/>
      <c r="R260" s="9"/>
      <c r="S260" s="9"/>
      <c r="T260" s="10"/>
      <c r="U260" s="11"/>
      <c r="V260" s="8"/>
      <c r="W260" s="12" t="str">
        <f t="shared" si="1"/>
        <v/>
      </c>
      <c r="X260" s="12">
        <f t="shared" si="4"/>
        <v>8.279573104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6"/>
      <c r="R261" s="16"/>
      <c r="S261" s="16"/>
      <c r="T261" s="17"/>
      <c r="U261" s="18"/>
      <c r="V261" s="15"/>
      <c r="W261" s="19" t="str">
        <f t="shared" si="1"/>
        <v/>
      </c>
      <c r="X261" s="19">
        <f t="shared" si="4"/>
        <v>8.279573104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9"/>
      <c r="R262" s="9"/>
      <c r="S262" s="9"/>
      <c r="T262" s="10"/>
      <c r="U262" s="11"/>
      <c r="V262" s="8"/>
      <c r="W262" s="12" t="str">
        <f t="shared" si="1"/>
        <v/>
      </c>
      <c r="X262" s="12">
        <f t="shared" si="4"/>
        <v>8.279573104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6"/>
      <c r="R263" s="16"/>
      <c r="S263" s="16"/>
      <c r="T263" s="17"/>
      <c r="U263" s="18"/>
      <c r="V263" s="15"/>
      <c r="W263" s="19" t="str">
        <f t="shared" si="1"/>
        <v/>
      </c>
      <c r="X263" s="19">
        <f t="shared" si="4"/>
        <v>8.279573104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9"/>
      <c r="R264" s="9"/>
      <c r="S264" s="9"/>
      <c r="T264" s="10"/>
      <c r="U264" s="11"/>
      <c r="V264" s="8"/>
      <c r="W264" s="12" t="str">
        <f t="shared" si="1"/>
        <v/>
      </c>
      <c r="X264" s="12">
        <f t="shared" si="4"/>
        <v>8.279573104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6"/>
      <c r="R265" s="16"/>
      <c r="S265" s="16"/>
      <c r="T265" s="17"/>
      <c r="U265" s="18"/>
      <c r="V265" s="15"/>
      <c r="W265" s="19" t="str">
        <f t="shared" si="1"/>
        <v/>
      </c>
      <c r="X265" s="19">
        <f t="shared" si="4"/>
        <v>8.279573104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9"/>
      <c r="R266" s="9"/>
      <c r="S266" s="9"/>
      <c r="T266" s="10"/>
      <c r="U266" s="11"/>
      <c r="V266" s="8"/>
      <c r="W266" s="12" t="str">
        <f t="shared" si="1"/>
        <v/>
      </c>
      <c r="X266" s="12">
        <f t="shared" si="4"/>
        <v>8.279573104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6"/>
      <c r="R267" s="16"/>
      <c r="S267" s="16"/>
      <c r="T267" s="17"/>
      <c r="U267" s="18"/>
      <c r="V267" s="15"/>
      <c r="W267" s="19" t="str">
        <f t="shared" si="1"/>
        <v/>
      </c>
      <c r="X267" s="19">
        <f t="shared" si="4"/>
        <v>8.279573104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9"/>
      <c r="R268" s="9"/>
      <c r="S268" s="9"/>
      <c r="T268" s="10"/>
      <c r="U268" s="11"/>
      <c r="V268" s="8"/>
      <c r="W268" s="12" t="str">
        <f t="shared" si="1"/>
        <v/>
      </c>
      <c r="X268" s="12">
        <f t="shared" si="4"/>
        <v>8.279573104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6"/>
      <c r="R269" s="16"/>
      <c r="S269" s="16"/>
      <c r="T269" s="17"/>
      <c r="U269" s="18"/>
      <c r="V269" s="15"/>
      <c r="W269" s="19" t="str">
        <f t="shared" si="1"/>
        <v/>
      </c>
      <c r="X269" s="19">
        <f t="shared" si="4"/>
        <v>8.279573104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9"/>
      <c r="R270" s="9"/>
      <c r="S270" s="9"/>
      <c r="T270" s="10"/>
      <c r="U270" s="11"/>
      <c r="V270" s="8"/>
      <c r="W270" s="12" t="str">
        <f t="shared" si="1"/>
        <v/>
      </c>
      <c r="X270" s="12">
        <f t="shared" si="4"/>
        <v>8.279573104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6"/>
      <c r="R271" s="16"/>
      <c r="S271" s="16"/>
      <c r="T271" s="17"/>
      <c r="U271" s="18"/>
      <c r="V271" s="15"/>
      <c r="W271" s="19" t="str">
        <f t="shared" si="1"/>
        <v/>
      </c>
      <c r="X271" s="19">
        <f t="shared" si="4"/>
        <v>8.279573104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9"/>
      <c r="R272" s="9"/>
      <c r="S272" s="9"/>
      <c r="T272" s="10"/>
      <c r="U272" s="11"/>
      <c r="V272" s="8"/>
      <c r="W272" s="12" t="str">
        <f t="shared" si="1"/>
        <v/>
      </c>
      <c r="X272" s="12">
        <f t="shared" si="4"/>
        <v>8.279573104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6"/>
      <c r="R273" s="16"/>
      <c r="S273" s="16"/>
      <c r="T273" s="17"/>
      <c r="U273" s="18"/>
      <c r="V273" s="15"/>
      <c r="W273" s="19" t="str">
        <f t="shared" si="1"/>
        <v/>
      </c>
      <c r="X273" s="19">
        <f t="shared" si="4"/>
        <v>8.279573104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9"/>
      <c r="R274" s="9"/>
      <c r="S274" s="9"/>
      <c r="T274" s="10"/>
      <c r="U274" s="11"/>
      <c r="V274" s="8"/>
      <c r="W274" s="12" t="str">
        <f t="shared" si="1"/>
        <v/>
      </c>
      <c r="X274" s="12">
        <f t="shared" si="4"/>
        <v>8.279573104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6"/>
      <c r="R275" s="16"/>
      <c r="S275" s="16"/>
      <c r="T275" s="17"/>
      <c r="U275" s="18"/>
      <c r="V275" s="15"/>
      <c r="W275" s="19" t="str">
        <f t="shared" si="1"/>
        <v/>
      </c>
      <c r="X275" s="19">
        <f t="shared" si="4"/>
        <v>8.279573104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9"/>
      <c r="R276" s="9"/>
      <c r="S276" s="9"/>
      <c r="T276" s="10"/>
      <c r="U276" s="11"/>
      <c r="V276" s="8"/>
      <c r="W276" s="12" t="str">
        <f t="shared" si="1"/>
        <v/>
      </c>
      <c r="X276" s="12">
        <f t="shared" si="4"/>
        <v>8.279573104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6"/>
      <c r="R277" s="16"/>
      <c r="S277" s="16"/>
      <c r="T277" s="17"/>
      <c r="U277" s="18"/>
      <c r="V277" s="15"/>
      <c r="W277" s="19" t="str">
        <f t="shared" si="1"/>
        <v/>
      </c>
      <c r="X277" s="19">
        <f t="shared" si="4"/>
        <v>8.279573104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9"/>
      <c r="R278" s="9"/>
      <c r="S278" s="9"/>
      <c r="T278" s="10"/>
      <c r="U278" s="11"/>
      <c r="V278" s="8"/>
      <c r="W278" s="12" t="str">
        <f t="shared" si="1"/>
        <v/>
      </c>
      <c r="X278" s="12">
        <f t="shared" si="4"/>
        <v>8.279573104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6"/>
      <c r="R279" s="16"/>
      <c r="S279" s="16"/>
      <c r="T279" s="17"/>
      <c r="U279" s="18"/>
      <c r="V279" s="15"/>
      <c r="W279" s="19" t="str">
        <f t="shared" si="1"/>
        <v/>
      </c>
      <c r="X279" s="19">
        <f t="shared" si="4"/>
        <v>8.279573104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114"/>
      <c r="H280" s="114"/>
      <c r="I280" s="114"/>
      <c r="J280" s="114"/>
      <c r="K280" s="8"/>
      <c r="L280" s="8"/>
      <c r="M280" s="8"/>
      <c r="N280" s="8"/>
      <c r="O280" s="8"/>
      <c r="P280" s="8"/>
      <c r="Q280" s="9"/>
      <c r="R280" s="9"/>
      <c r="S280" s="9"/>
      <c r="T280" s="10"/>
      <c r="U280" s="11"/>
      <c r="V280" s="8"/>
      <c r="W280" s="12" t="str">
        <f t="shared" si="1"/>
        <v/>
      </c>
      <c r="X280" s="12">
        <f t="shared" si="4"/>
        <v>8.279573104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6"/>
      <c r="R281" s="16"/>
      <c r="S281" s="16"/>
      <c r="T281" s="17"/>
      <c r="U281" s="18"/>
      <c r="V281" s="15"/>
      <c r="W281" s="19" t="str">
        <f t="shared" si="1"/>
        <v/>
      </c>
      <c r="X281" s="19">
        <f t="shared" si="4"/>
        <v>8.279573104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9"/>
      <c r="R282" s="9"/>
      <c r="S282" s="9"/>
      <c r="T282" s="10"/>
      <c r="U282" s="11"/>
      <c r="V282" s="8"/>
      <c r="W282" s="12" t="str">
        <f t="shared" si="1"/>
        <v/>
      </c>
      <c r="X282" s="12">
        <f t="shared" si="4"/>
        <v>8.279573104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6"/>
      <c r="R283" s="16"/>
      <c r="S283" s="16"/>
      <c r="T283" s="17"/>
      <c r="U283" s="18"/>
      <c r="V283" s="15"/>
      <c r="W283" s="19" t="str">
        <f t="shared" si="1"/>
        <v/>
      </c>
      <c r="X283" s="19">
        <f t="shared" si="4"/>
        <v>8.279573104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9"/>
      <c r="R284" s="9"/>
      <c r="S284" s="9"/>
      <c r="T284" s="10"/>
      <c r="U284" s="11"/>
      <c r="V284" s="8"/>
      <c r="W284" s="12" t="str">
        <f t="shared" si="1"/>
        <v/>
      </c>
      <c r="X284" s="12">
        <f t="shared" si="4"/>
        <v>8.279573104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6"/>
      <c r="R285" s="16"/>
      <c r="S285" s="16"/>
      <c r="T285" s="17"/>
      <c r="U285" s="18"/>
      <c r="V285" s="15"/>
      <c r="W285" s="19" t="str">
        <f t="shared" si="1"/>
        <v/>
      </c>
      <c r="X285" s="19">
        <f t="shared" si="4"/>
        <v>8.279573104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9"/>
      <c r="R286" s="9"/>
      <c r="S286" s="9"/>
      <c r="T286" s="54"/>
      <c r="U286" s="11"/>
      <c r="V286" s="8"/>
      <c r="W286" s="12" t="str">
        <f t="shared" si="1"/>
        <v/>
      </c>
      <c r="X286" s="12">
        <f t="shared" si="4"/>
        <v>8.279573104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16"/>
      <c r="H287" s="116"/>
      <c r="I287" s="116"/>
      <c r="J287" s="37"/>
      <c r="K287" s="37"/>
      <c r="L287" s="37"/>
      <c r="M287" s="37"/>
      <c r="N287" s="37"/>
      <c r="O287" s="37"/>
      <c r="P287" s="37"/>
      <c r="Q287" s="24"/>
      <c r="R287" s="16"/>
      <c r="S287" s="16"/>
      <c r="T287" s="17"/>
      <c r="U287" s="18"/>
      <c r="V287" s="15"/>
      <c r="W287" s="19" t="str">
        <f t="shared" si="1"/>
        <v/>
      </c>
      <c r="X287" s="19">
        <f t="shared" si="4"/>
        <v>8.279573104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118"/>
      <c r="H288" s="118"/>
      <c r="I288" s="118"/>
      <c r="J288" s="32"/>
      <c r="K288" s="32"/>
      <c r="L288" s="32"/>
      <c r="M288" s="32"/>
      <c r="N288" s="32"/>
      <c r="O288" s="32"/>
      <c r="P288" s="32"/>
      <c r="Q288" s="33"/>
      <c r="R288" s="9"/>
      <c r="S288" s="9"/>
      <c r="T288" s="10"/>
      <c r="U288" s="11"/>
      <c r="V288" s="8"/>
      <c r="W288" s="12" t="str">
        <f t="shared" si="1"/>
        <v/>
      </c>
      <c r="X288" s="12">
        <f t="shared" si="4"/>
        <v>8.279573104</v>
      </c>
    </row>
    <row r="289">
      <c r="A289" s="15">
        <f t="shared" si="3"/>
        <v>288</v>
      </c>
      <c r="B289" s="15"/>
      <c r="C289" s="15"/>
      <c r="D289" s="120"/>
      <c r="E289" s="120"/>
      <c r="F289" s="15"/>
      <c r="G289" s="121"/>
      <c r="H289" s="121"/>
      <c r="I289" s="121"/>
      <c r="J289" s="42"/>
      <c r="K289" s="42"/>
      <c r="L289" s="42"/>
      <c r="M289" s="42"/>
      <c r="N289" s="42"/>
      <c r="O289" s="42"/>
      <c r="P289" s="37"/>
      <c r="Q289" s="16"/>
      <c r="R289" s="16"/>
      <c r="S289" s="16"/>
      <c r="T289" s="17"/>
      <c r="U289" s="18"/>
      <c r="V289" s="15"/>
      <c r="W289" s="19" t="str">
        <f t="shared" si="1"/>
        <v/>
      </c>
      <c r="X289" s="19">
        <f t="shared" si="4"/>
        <v>8.279573104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32"/>
      <c r="Q290" s="9"/>
      <c r="R290" s="9"/>
      <c r="S290" s="9"/>
      <c r="T290" s="10"/>
      <c r="U290" s="11"/>
      <c r="V290" s="8"/>
      <c r="W290" s="12" t="str">
        <f t="shared" si="1"/>
        <v/>
      </c>
      <c r="X290" s="12">
        <f t="shared" si="4"/>
        <v>8.279573104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37"/>
      <c r="Q291" s="16"/>
      <c r="R291" s="16"/>
      <c r="S291" s="16"/>
      <c r="T291" s="17"/>
      <c r="U291" s="18"/>
      <c r="V291" s="15"/>
      <c r="W291" s="19" t="str">
        <f t="shared" si="1"/>
        <v/>
      </c>
      <c r="X291" s="19">
        <f t="shared" si="4"/>
        <v>8.279573104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32"/>
      <c r="Q292" s="9"/>
      <c r="R292" s="9"/>
      <c r="S292" s="9"/>
      <c r="T292" s="10"/>
      <c r="U292" s="11"/>
      <c r="V292" s="8"/>
      <c r="W292" s="12" t="str">
        <f t="shared" si="1"/>
        <v/>
      </c>
      <c r="X292" s="12">
        <f t="shared" si="4"/>
        <v>8.279573104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37"/>
      <c r="Q293" s="16"/>
      <c r="R293" s="16"/>
      <c r="S293" s="16"/>
      <c r="T293" s="17"/>
      <c r="U293" s="18"/>
      <c r="V293" s="15"/>
      <c r="W293" s="19" t="str">
        <f t="shared" si="1"/>
        <v/>
      </c>
      <c r="X293" s="19">
        <f t="shared" si="4"/>
        <v>8.279573104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32"/>
      <c r="Q294" s="9"/>
      <c r="R294" s="9"/>
      <c r="S294" s="9"/>
      <c r="T294" s="10"/>
      <c r="U294" s="11"/>
      <c r="V294" s="8"/>
      <c r="W294" s="12" t="str">
        <f t="shared" si="1"/>
        <v/>
      </c>
      <c r="X294" s="12">
        <f t="shared" si="4"/>
        <v>8.279573104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37"/>
      <c r="Q295" s="16"/>
      <c r="R295" s="16"/>
      <c r="S295" s="16"/>
      <c r="T295" s="17"/>
      <c r="U295" s="18"/>
      <c r="V295" s="15"/>
      <c r="W295" s="19" t="str">
        <f t="shared" si="1"/>
        <v/>
      </c>
      <c r="X295" s="19">
        <f t="shared" si="4"/>
        <v>8.279573104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32"/>
      <c r="Q296" s="9"/>
      <c r="R296" s="9"/>
      <c r="S296" s="9"/>
      <c r="T296" s="10"/>
      <c r="U296" s="11"/>
      <c r="V296" s="8"/>
      <c r="W296" s="12" t="str">
        <f t="shared" si="1"/>
        <v/>
      </c>
      <c r="X296" s="12">
        <f t="shared" si="4"/>
        <v>8.279573104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37"/>
      <c r="Q297" s="16"/>
      <c r="R297" s="16"/>
      <c r="S297" s="16"/>
      <c r="T297" s="17"/>
      <c r="U297" s="18"/>
      <c r="V297" s="15"/>
      <c r="W297" s="19" t="str">
        <f t="shared" si="1"/>
        <v/>
      </c>
      <c r="X297" s="19">
        <f t="shared" si="4"/>
        <v>8.279573104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32"/>
      <c r="Q298" s="9"/>
      <c r="R298" s="9"/>
      <c r="S298" s="9"/>
      <c r="T298" s="10"/>
      <c r="U298" s="11"/>
      <c r="V298" s="8"/>
      <c r="W298" s="12" t="str">
        <f t="shared" si="1"/>
        <v/>
      </c>
      <c r="X298" s="12">
        <f t="shared" si="4"/>
        <v>8.279573104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37"/>
      <c r="Q299" s="16"/>
      <c r="R299" s="16"/>
      <c r="S299" s="16"/>
      <c r="T299" s="17"/>
      <c r="U299" s="18"/>
      <c r="V299" s="15"/>
      <c r="W299" s="19" t="str">
        <f t="shared" si="1"/>
        <v/>
      </c>
      <c r="X299" s="19">
        <f t="shared" si="4"/>
        <v>8.279573104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32"/>
      <c r="Q300" s="9"/>
      <c r="R300" s="9"/>
      <c r="S300" s="9"/>
      <c r="T300" s="10"/>
      <c r="U300" s="11"/>
      <c r="V300" s="8"/>
      <c r="W300" s="12" t="str">
        <f t="shared" si="1"/>
        <v/>
      </c>
      <c r="X300" s="12">
        <f t="shared" si="4"/>
        <v>8.279573104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37"/>
      <c r="Q301" s="16"/>
      <c r="R301" s="16"/>
      <c r="S301" s="16"/>
      <c r="T301" s="17"/>
      <c r="U301" s="18"/>
      <c r="V301" s="15"/>
      <c r="W301" s="19" t="str">
        <f t="shared" si="1"/>
        <v/>
      </c>
      <c r="X301" s="19">
        <f t="shared" si="4"/>
        <v>8.279573104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9"/>
      <c r="R302" s="9"/>
      <c r="S302" s="9"/>
      <c r="T302" s="10"/>
      <c r="U302" s="11"/>
      <c r="V302" s="8"/>
      <c r="W302" s="12" t="str">
        <f t="shared" si="1"/>
        <v/>
      </c>
      <c r="X302" s="12">
        <f t="shared" si="4"/>
        <v>8.279573104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6"/>
      <c r="R303" s="16"/>
      <c r="S303" s="16"/>
      <c r="T303" s="17"/>
      <c r="U303" s="18"/>
      <c r="V303" s="15"/>
      <c r="W303" s="19" t="str">
        <f t="shared" si="1"/>
        <v/>
      </c>
      <c r="X303" s="19">
        <f t="shared" si="4"/>
        <v>8.279573104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9"/>
      <c r="R304" s="9"/>
      <c r="S304" s="9"/>
      <c r="T304" s="10"/>
      <c r="U304" s="11"/>
      <c r="V304" s="8"/>
      <c r="W304" s="12" t="str">
        <f t="shared" si="1"/>
        <v/>
      </c>
      <c r="X304" s="12">
        <f t="shared" si="4"/>
        <v>8.279573104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6"/>
      <c r="R305" s="16"/>
      <c r="S305" s="16"/>
      <c r="T305" s="17"/>
      <c r="U305" s="18"/>
      <c r="V305" s="15"/>
      <c r="W305" s="19" t="str">
        <f t="shared" si="1"/>
        <v/>
      </c>
      <c r="X305" s="19">
        <f t="shared" si="4"/>
        <v>8.279573104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9"/>
      <c r="R306" s="9"/>
      <c r="S306" s="9"/>
      <c r="T306" s="10"/>
      <c r="U306" s="11"/>
      <c r="V306" s="8"/>
      <c r="W306" s="12" t="str">
        <f t="shared" si="1"/>
        <v/>
      </c>
      <c r="X306" s="12">
        <f t="shared" si="4"/>
        <v>8.279573104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6"/>
      <c r="R307" s="16"/>
      <c r="S307" s="16"/>
      <c r="T307" s="17"/>
      <c r="U307" s="18"/>
      <c r="V307" s="15"/>
      <c r="W307" s="19" t="str">
        <f t="shared" si="1"/>
        <v/>
      </c>
      <c r="X307" s="19">
        <f t="shared" si="4"/>
        <v>8.279573104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9"/>
      <c r="R308" s="9"/>
      <c r="S308" s="9"/>
      <c r="T308" s="10"/>
      <c r="U308" s="11"/>
      <c r="V308" s="8"/>
      <c r="W308" s="12" t="str">
        <f t="shared" si="1"/>
        <v/>
      </c>
      <c r="X308" s="12">
        <f t="shared" si="4"/>
        <v>8.279573104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6"/>
      <c r="R309" s="16"/>
      <c r="S309" s="16"/>
      <c r="T309" s="17"/>
      <c r="U309" s="18"/>
      <c r="V309" s="15"/>
      <c r="W309" s="19" t="str">
        <f t="shared" si="1"/>
        <v/>
      </c>
      <c r="X309" s="19">
        <f t="shared" si="4"/>
        <v>8.279573104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9"/>
      <c r="R310" s="9"/>
      <c r="S310" s="9"/>
      <c r="T310" s="10"/>
      <c r="U310" s="11"/>
      <c r="V310" s="8"/>
      <c r="W310" s="12" t="str">
        <f t="shared" si="1"/>
        <v/>
      </c>
      <c r="X310" s="12">
        <f t="shared" si="4"/>
        <v>8.279573104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6"/>
      <c r="R311" s="16"/>
      <c r="S311" s="16"/>
      <c r="T311" s="17"/>
      <c r="U311" s="18"/>
      <c r="V311" s="15"/>
      <c r="W311" s="19" t="str">
        <f t="shared" si="1"/>
        <v/>
      </c>
      <c r="X311" s="19">
        <f t="shared" si="4"/>
        <v>8.279573104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/>
      <c r="R312" s="9"/>
      <c r="S312" s="9"/>
      <c r="T312" s="10"/>
      <c r="U312" s="11"/>
      <c r="V312" s="8"/>
      <c r="W312" s="12" t="str">
        <f t="shared" si="1"/>
        <v/>
      </c>
      <c r="X312" s="12">
        <f t="shared" si="4"/>
        <v>8.279573104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6"/>
      <c r="R313" s="16"/>
      <c r="S313" s="16"/>
      <c r="T313" s="17"/>
      <c r="U313" s="18"/>
      <c r="V313" s="15"/>
      <c r="W313" s="19" t="str">
        <f t="shared" si="1"/>
        <v/>
      </c>
      <c r="X313" s="19">
        <f t="shared" si="4"/>
        <v>8.279573104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9"/>
      <c r="R314" s="9"/>
      <c r="S314" s="9"/>
      <c r="T314" s="10"/>
      <c r="U314" s="11"/>
      <c r="V314" s="8"/>
      <c r="W314" s="12" t="str">
        <f t="shared" si="1"/>
        <v/>
      </c>
      <c r="X314" s="12">
        <f t="shared" si="4"/>
        <v>8.279573104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6"/>
      <c r="R315" s="16"/>
      <c r="S315" s="16"/>
      <c r="T315" s="17"/>
      <c r="U315" s="18"/>
      <c r="V315" s="15"/>
      <c r="W315" s="19" t="str">
        <f t="shared" si="1"/>
        <v/>
      </c>
      <c r="X315" s="19">
        <f t="shared" si="4"/>
        <v>8.279573104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9"/>
      <c r="R316" s="9"/>
      <c r="S316" s="9"/>
      <c r="T316" s="10"/>
      <c r="U316" s="11"/>
      <c r="V316" s="8"/>
      <c r="W316" s="12" t="str">
        <f t="shared" si="1"/>
        <v/>
      </c>
      <c r="X316" s="12">
        <f t="shared" si="4"/>
        <v>8.279573104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6"/>
      <c r="R317" s="16"/>
      <c r="S317" s="16"/>
      <c r="T317" s="17"/>
      <c r="U317" s="18"/>
      <c r="V317" s="15"/>
      <c r="W317" s="19" t="str">
        <f t="shared" si="1"/>
        <v/>
      </c>
      <c r="X317" s="19">
        <f t="shared" si="4"/>
        <v>8.279573104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9"/>
      <c r="R318" s="9"/>
      <c r="S318" s="9"/>
      <c r="T318" s="10"/>
      <c r="U318" s="11"/>
      <c r="V318" s="8"/>
      <c r="W318" s="12" t="str">
        <f t="shared" si="1"/>
        <v/>
      </c>
      <c r="X318" s="12">
        <f t="shared" si="4"/>
        <v>8.279573104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6"/>
      <c r="R319" s="16"/>
      <c r="S319" s="16"/>
      <c r="T319" s="17"/>
      <c r="U319" s="18"/>
      <c r="V319" s="15"/>
      <c r="W319" s="19" t="str">
        <f t="shared" si="1"/>
        <v/>
      </c>
      <c r="X319" s="19">
        <f t="shared" si="4"/>
        <v>8.279573104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9"/>
      <c r="R320" s="9"/>
      <c r="S320" s="9"/>
      <c r="T320" s="10"/>
      <c r="U320" s="11"/>
      <c r="V320" s="8"/>
      <c r="W320" s="12" t="str">
        <f t="shared" si="1"/>
        <v/>
      </c>
      <c r="X320" s="12">
        <f t="shared" si="4"/>
        <v>8.279573104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6"/>
      <c r="R321" s="16"/>
      <c r="S321" s="16"/>
      <c r="T321" s="17"/>
      <c r="U321" s="18"/>
      <c r="V321" s="15"/>
      <c r="W321" s="19" t="str">
        <f t="shared" si="1"/>
        <v/>
      </c>
      <c r="X321" s="19">
        <f t="shared" si="4"/>
        <v>8.279573104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123"/>
      <c r="R322" s="9"/>
      <c r="S322" s="9"/>
      <c r="T322" s="10"/>
      <c r="U322" s="11"/>
      <c r="V322" s="8"/>
      <c r="W322" s="12" t="str">
        <f t="shared" si="1"/>
        <v/>
      </c>
      <c r="X322" s="12">
        <f t="shared" si="4"/>
        <v>8.279573104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6"/>
      <c r="R323" s="16"/>
      <c r="S323" s="16"/>
      <c r="T323" s="17"/>
      <c r="U323" s="18"/>
      <c r="V323" s="15"/>
      <c r="W323" s="19" t="str">
        <f t="shared" si="1"/>
        <v/>
      </c>
      <c r="X323" s="19">
        <f t="shared" si="4"/>
        <v>8.279573104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9"/>
      <c r="R324" s="9"/>
      <c r="S324" s="9"/>
      <c r="T324" s="10"/>
      <c r="U324" s="11"/>
      <c r="V324" s="8"/>
      <c r="W324" s="12" t="str">
        <f t="shared" si="1"/>
        <v/>
      </c>
      <c r="X324" s="12">
        <f t="shared" si="4"/>
        <v>8.279573104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24"/>
      <c r="R325" s="16"/>
      <c r="S325" s="16"/>
      <c r="T325" s="17"/>
      <c r="U325" s="18"/>
      <c r="V325" s="15"/>
      <c r="W325" s="19" t="str">
        <f t="shared" si="1"/>
        <v/>
      </c>
      <c r="X325" s="19">
        <f t="shared" si="4"/>
        <v>8.279573104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9"/>
      <c r="S326" s="9"/>
      <c r="T326" s="10"/>
      <c r="U326" s="11"/>
      <c r="V326" s="8"/>
      <c r="W326" s="12" t="str">
        <f t="shared" si="1"/>
        <v/>
      </c>
      <c r="X326" s="12">
        <f t="shared" si="4"/>
        <v>8.279573104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6"/>
      <c r="R327" s="16"/>
      <c r="S327" s="16"/>
      <c r="T327" s="17"/>
      <c r="U327" s="18"/>
      <c r="V327" s="15"/>
      <c r="W327" s="19" t="str">
        <f t="shared" si="1"/>
        <v/>
      </c>
      <c r="X327" s="19">
        <f t="shared" si="4"/>
        <v>8.279573104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9"/>
      <c r="R328" s="9"/>
      <c r="S328" s="9"/>
      <c r="T328" s="10"/>
      <c r="U328" s="8"/>
      <c r="V328" s="8"/>
      <c r="W328" s="12" t="str">
        <f t="shared" si="1"/>
        <v/>
      </c>
      <c r="X328" s="12">
        <f t="shared" si="4"/>
        <v>8.279573104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6"/>
      <c r="R329" s="16"/>
      <c r="S329" s="16"/>
      <c r="T329" s="17"/>
      <c r="U329" s="15"/>
      <c r="V329" s="15"/>
      <c r="W329" s="19" t="str">
        <f t="shared" si="1"/>
        <v/>
      </c>
      <c r="X329" s="19">
        <f t="shared" si="4"/>
        <v>8.279573104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9"/>
      <c r="R330" s="9"/>
      <c r="S330" s="9"/>
      <c r="T330" s="10"/>
      <c r="U330" s="8"/>
      <c r="V330" s="8"/>
      <c r="W330" s="12" t="str">
        <f t="shared" si="1"/>
        <v/>
      </c>
      <c r="X330" s="12">
        <f t="shared" si="4"/>
        <v>8.279573104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6"/>
      <c r="R331" s="16"/>
      <c r="S331" s="16"/>
      <c r="T331" s="17"/>
      <c r="U331" s="18"/>
      <c r="V331" s="15"/>
      <c r="W331" s="19" t="str">
        <f t="shared" si="1"/>
        <v/>
      </c>
      <c r="X331" s="19">
        <f t="shared" si="4"/>
        <v>8.279573104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9"/>
      <c r="R332" s="9"/>
      <c r="S332" s="9"/>
      <c r="T332" s="10"/>
      <c r="U332" s="11"/>
      <c r="V332" s="8"/>
      <c r="W332" s="12" t="str">
        <f t="shared" si="1"/>
        <v/>
      </c>
      <c r="X332" s="12">
        <f t="shared" si="4"/>
        <v>8.279573104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6"/>
      <c r="R333" s="16"/>
      <c r="S333" s="16"/>
      <c r="T333" s="17"/>
      <c r="U333" s="18"/>
      <c r="V333" s="15"/>
      <c r="W333" s="19" t="str">
        <f t="shared" si="1"/>
        <v/>
      </c>
      <c r="X333" s="19">
        <f t="shared" si="4"/>
        <v>8.279573104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9"/>
      <c r="R334" s="9"/>
      <c r="S334" s="9"/>
      <c r="T334" s="10"/>
      <c r="U334" s="11"/>
      <c r="V334" s="8"/>
      <c r="W334" s="12" t="str">
        <f t="shared" si="1"/>
        <v/>
      </c>
      <c r="X334" s="12">
        <f t="shared" si="4"/>
        <v>8.279573104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6"/>
      <c r="R335" s="16"/>
      <c r="S335" s="16"/>
      <c r="T335" s="17"/>
      <c r="U335" s="18"/>
      <c r="V335" s="15"/>
      <c r="W335" s="19" t="str">
        <f t="shared" si="1"/>
        <v/>
      </c>
      <c r="X335" s="19">
        <f t="shared" si="4"/>
        <v>8.279573104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9"/>
      <c r="S336" s="9"/>
      <c r="T336" s="10"/>
      <c r="U336" s="11"/>
      <c r="V336" s="8"/>
      <c r="W336" s="12" t="str">
        <f t="shared" si="1"/>
        <v/>
      </c>
      <c r="X336" s="12">
        <f t="shared" si="4"/>
        <v>8.279573104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6"/>
      <c r="R337" s="16"/>
      <c r="S337" s="16"/>
      <c r="T337" s="17"/>
      <c r="U337" s="18"/>
      <c r="V337" s="15"/>
      <c r="W337" s="19" t="str">
        <f t="shared" si="1"/>
        <v/>
      </c>
      <c r="X337" s="19">
        <f t="shared" si="4"/>
        <v>8.279573104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9"/>
      <c r="R338" s="9"/>
      <c r="S338" s="9"/>
      <c r="T338" s="10"/>
      <c r="U338" s="11"/>
      <c r="V338" s="8"/>
      <c r="W338" s="12" t="str">
        <f t="shared" si="1"/>
        <v/>
      </c>
      <c r="X338" s="12">
        <f t="shared" si="4"/>
        <v>8.279573104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6"/>
      <c r="R339" s="16"/>
      <c r="S339" s="16"/>
      <c r="T339" s="17"/>
      <c r="U339" s="18"/>
      <c r="V339" s="15"/>
      <c r="W339" s="19" t="str">
        <f t="shared" si="1"/>
        <v/>
      </c>
      <c r="X339" s="19">
        <f t="shared" si="4"/>
        <v>8.279573104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9"/>
      <c r="R340" s="9"/>
      <c r="S340" s="9"/>
      <c r="T340" s="10"/>
      <c r="U340" s="11"/>
      <c r="V340" s="8"/>
      <c r="W340" s="12" t="str">
        <f t="shared" si="1"/>
        <v/>
      </c>
      <c r="X340" s="12">
        <f t="shared" si="4"/>
        <v>8.279573104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6"/>
      <c r="R341" s="16"/>
      <c r="S341" s="16"/>
      <c r="T341" s="17"/>
      <c r="U341" s="18"/>
      <c r="V341" s="15"/>
      <c r="W341" s="19" t="str">
        <f t="shared" si="1"/>
        <v/>
      </c>
      <c r="X341" s="19">
        <f t="shared" si="4"/>
        <v>8.279573104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9"/>
      <c r="R342" s="9"/>
      <c r="S342" s="9"/>
      <c r="T342" s="10"/>
      <c r="U342" s="11"/>
      <c r="V342" s="8"/>
      <c r="W342" s="12" t="str">
        <f t="shared" si="1"/>
        <v/>
      </c>
      <c r="X342" s="12">
        <f t="shared" si="4"/>
        <v>8.279573104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6"/>
      <c r="R343" s="16"/>
      <c r="S343" s="16"/>
      <c r="T343" s="17"/>
      <c r="U343" s="18"/>
      <c r="V343" s="15"/>
      <c r="W343" s="19" t="str">
        <f t="shared" si="1"/>
        <v/>
      </c>
      <c r="X343" s="19">
        <f t="shared" si="4"/>
        <v>8.279573104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9"/>
      <c r="S344" s="9"/>
      <c r="T344" s="10"/>
      <c r="U344" s="11"/>
      <c r="V344" s="8"/>
      <c r="W344" s="12" t="str">
        <f t="shared" si="1"/>
        <v/>
      </c>
      <c r="X344" s="12">
        <f t="shared" si="4"/>
        <v>8.279573104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24"/>
      <c r="R345" s="16"/>
      <c r="S345" s="16"/>
      <c r="T345" s="17"/>
      <c r="U345" s="18"/>
      <c r="V345" s="15"/>
      <c r="W345" s="19" t="str">
        <f t="shared" si="1"/>
        <v/>
      </c>
      <c r="X345" s="19">
        <f t="shared" si="4"/>
        <v>8.279573104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123"/>
      <c r="R346" s="9"/>
      <c r="S346" s="9"/>
      <c r="T346" s="10"/>
      <c r="U346" s="11"/>
      <c r="V346" s="8"/>
      <c r="W346" s="12" t="str">
        <f t="shared" si="1"/>
        <v/>
      </c>
      <c r="X346" s="12">
        <f t="shared" si="4"/>
        <v>8.279573104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24"/>
      <c r="R347" s="16"/>
      <c r="S347" s="16"/>
      <c r="T347" s="17"/>
      <c r="U347" s="18"/>
      <c r="V347" s="15"/>
      <c r="W347" s="19" t="str">
        <f t="shared" si="1"/>
        <v/>
      </c>
      <c r="X347" s="19">
        <f t="shared" si="4"/>
        <v>8.279573104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123"/>
      <c r="R348" s="9"/>
      <c r="S348" s="9"/>
      <c r="T348" s="10"/>
      <c r="U348" s="11"/>
      <c r="V348" s="8"/>
      <c r="W348" s="12" t="str">
        <f t="shared" si="1"/>
        <v/>
      </c>
      <c r="X348" s="12">
        <f t="shared" si="4"/>
        <v>8.279573104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24"/>
      <c r="R349" s="16"/>
      <c r="S349" s="16"/>
      <c r="T349" s="17"/>
      <c r="U349" s="18"/>
      <c r="V349" s="15"/>
      <c r="W349" s="19" t="str">
        <f t="shared" si="1"/>
        <v/>
      </c>
      <c r="X349" s="19">
        <f t="shared" si="4"/>
        <v>8.279573104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123"/>
      <c r="R350" s="9"/>
      <c r="S350" s="9"/>
      <c r="T350" s="10"/>
      <c r="U350" s="11"/>
      <c r="V350" s="8"/>
      <c r="W350" s="12" t="str">
        <f t="shared" si="1"/>
        <v/>
      </c>
      <c r="X350" s="12">
        <f t="shared" si="4"/>
        <v>8.279573104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24"/>
      <c r="R351" s="16"/>
      <c r="S351" s="16"/>
      <c r="T351" s="17"/>
      <c r="U351" s="18"/>
      <c r="V351" s="15"/>
      <c r="W351" s="19" t="str">
        <f t="shared" si="1"/>
        <v/>
      </c>
      <c r="X351" s="19">
        <f t="shared" si="4"/>
        <v>8.279573104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123"/>
      <c r="R352" s="9"/>
      <c r="S352" s="9"/>
      <c r="T352" s="10"/>
      <c r="U352" s="11"/>
      <c r="V352" s="8"/>
      <c r="W352" s="12" t="str">
        <f t="shared" si="1"/>
        <v/>
      </c>
      <c r="X352" s="12">
        <f t="shared" si="4"/>
        <v>8.279573104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24"/>
      <c r="R353" s="16"/>
      <c r="S353" s="16"/>
      <c r="T353" s="17"/>
      <c r="U353" s="18"/>
      <c r="V353" s="15"/>
      <c r="W353" s="19" t="str">
        <f t="shared" si="1"/>
        <v/>
      </c>
      <c r="X353" s="19">
        <f t="shared" si="4"/>
        <v>8.279573104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123"/>
      <c r="R354" s="9"/>
      <c r="S354" s="9"/>
      <c r="T354" s="10"/>
      <c r="U354" s="11"/>
      <c r="V354" s="8"/>
      <c r="W354" s="12" t="str">
        <f t="shared" si="1"/>
        <v/>
      </c>
      <c r="X354" s="12">
        <f t="shared" si="4"/>
        <v>8.279573104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24"/>
      <c r="R355" s="16"/>
      <c r="S355" s="16"/>
      <c r="T355" s="17"/>
      <c r="U355" s="18"/>
      <c r="V355" s="15"/>
      <c r="W355" s="19" t="str">
        <f t="shared" si="1"/>
        <v/>
      </c>
      <c r="X355" s="19">
        <f t="shared" si="4"/>
        <v>8.279573104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123"/>
      <c r="R356" s="9"/>
      <c r="S356" s="9"/>
      <c r="T356" s="10"/>
      <c r="U356" s="11"/>
      <c r="V356" s="8"/>
      <c r="W356" s="12" t="str">
        <f t="shared" si="1"/>
        <v/>
      </c>
      <c r="X356" s="12">
        <f t="shared" si="4"/>
        <v>8.279573104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24"/>
      <c r="R357" s="16"/>
      <c r="S357" s="16"/>
      <c r="T357" s="17"/>
      <c r="U357" s="18"/>
      <c r="V357" s="15"/>
      <c r="W357" s="19" t="str">
        <f t="shared" si="1"/>
        <v/>
      </c>
      <c r="X357" s="19">
        <f t="shared" si="4"/>
        <v>8.279573104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123"/>
      <c r="R358" s="9"/>
      <c r="S358" s="9"/>
      <c r="T358" s="10"/>
      <c r="U358" s="11"/>
      <c r="V358" s="8"/>
      <c r="W358" s="12" t="str">
        <f t="shared" si="1"/>
        <v/>
      </c>
      <c r="X358" s="12">
        <f t="shared" si="4"/>
        <v>8.279573104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24"/>
      <c r="R359" s="16"/>
      <c r="S359" s="16"/>
      <c r="T359" s="17"/>
      <c r="U359" s="18"/>
      <c r="V359" s="15"/>
      <c r="W359" s="19" t="str">
        <f t="shared" si="1"/>
        <v/>
      </c>
      <c r="X359" s="19">
        <f t="shared" si="4"/>
        <v>8.279573104</v>
      </c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123"/>
      <c r="R360" s="9"/>
      <c r="S360" s="9"/>
      <c r="T360" s="10"/>
      <c r="U360" s="11"/>
      <c r="V360" s="8"/>
      <c r="W360" s="12" t="str">
        <f t="shared" si="1"/>
        <v/>
      </c>
      <c r="X360" s="12">
        <f t="shared" si="4"/>
        <v>8.279573104</v>
      </c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24"/>
      <c r="R361" s="16"/>
      <c r="S361" s="16"/>
      <c r="T361" s="17"/>
      <c r="U361" s="18"/>
      <c r="V361" s="15"/>
      <c r="W361" s="19" t="str">
        <f t="shared" si="1"/>
        <v/>
      </c>
      <c r="X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123"/>
      <c r="R362" s="9"/>
      <c r="S362" s="9"/>
      <c r="T362" s="10"/>
      <c r="U362" s="11"/>
      <c r="V362" s="8"/>
      <c r="W362" s="12" t="str">
        <f t="shared" si="1"/>
        <v/>
      </c>
      <c r="X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24"/>
      <c r="R363" s="16"/>
      <c r="S363" s="16"/>
      <c r="T363" s="17"/>
      <c r="U363" s="18"/>
      <c r="V363" s="15"/>
      <c r="W363" s="19" t="str">
        <f t="shared" si="1"/>
        <v/>
      </c>
      <c r="X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123"/>
      <c r="R364" s="9"/>
      <c r="S364" s="9"/>
      <c r="T364" s="10"/>
      <c r="U364" s="11"/>
      <c r="V364" s="8"/>
      <c r="W364" s="12" t="str">
        <f t="shared" si="1"/>
        <v/>
      </c>
      <c r="X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24"/>
      <c r="R365" s="16"/>
      <c r="S365" s="16"/>
      <c r="T365" s="17"/>
      <c r="U365" s="18"/>
      <c r="V365" s="15"/>
      <c r="W365" s="19" t="str">
        <f t="shared" si="1"/>
        <v/>
      </c>
      <c r="X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123"/>
      <c r="R366" s="9"/>
      <c r="S366" s="9"/>
      <c r="T366" s="10"/>
      <c r="U366" s="11"/>
      <c r="V366" s="8"/>
      <c r="W366" s="12" t="str">
        <f t="shared" si="1"/>
        <v/>
      </c>
      <c r="X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24"/>
      <c r="R367" s="16"/>
      <c r="S367" s="16"/>
      <c r="T367" s="17"/>
      <c r="U367" s="18"/>
      <c r="V367" s="15"/>
      <c r="W367" s="19" t="str">
        <f t="shared" si="1"/>
        <v/>
      </c>
      <c r="X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123"/>
      <c r="R368" s="9"/>
      <c r="S368" s="9"/>
      <c r="T368" s="10"/>
      <c r="U368" s="11"/>
      <c r="V368" s="8"/>
      <c r="W368" s="12" t="str">
        <f t="shared" si="1"/>
        <v/>
      </c>
      <c r="X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24"/>
      <c r="R369" s="16"/>
      <c r="S369" s="16"/>
      <c r="T369" s="17"/>
      <c r="U369" s="18"/>
      <c r="V369" s="15"/>
      <c r="W369" s="19" t="str">
        <f t="shared" si="1"/>
        <v/>
      </c>
      <c r="X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123"/>
      <c r="R370" s="9"/>
      <c r="S370" s="9"/>
      <c r="T370" s="10"/>
      <c r="U370" s="11"/>
      <c r="V370" s="8"/>
      <c r="W370" s="12" t="str">
        <f t="shared" si="1"/>
        <v/>
      </c>
      <c r="X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24"/>
      <c r="R371" s="16"/>
      <c r="S371" s="16"/>
      <c r="T371" s="17"/>
      <c r="U371" s="18"/>
      <c r="V371" s="15"/>
      <c r="W371" s="19" t="str">
        <f t="shared" si="1"/>
        <v/>
      </c>
      <c r="X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123"/>
      <c r="R372" s="9"/>
      <c r="S372" s="9"/>
      <c r="T372" s="10"/>
      <c r="U372" s="8"/>
      <c r="V372" s="8"/>
      <c r="W372" s="12" t="str">
        <f t="shared" si="1"/>
        <v/>
      </c>
      <c r="X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24"/>
      <c r="R373" s="16"/>
      <c r="S373" s="16"/>
      <c r="T373" s="17"/>
      <c r="U373" s="15"/>
      <c r="V373" s="15"/>
      <c r="W373" s="19" t="str">
        <f t="shared" si="1"/>
        <v/>
      </c>
      <c r="X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123"/>
      <c r="R374" s="9"/>
      <c r="S374" s="9"/>
      <c r="T374" s="10"/>
      <c r="U374" s="8"/>
      <c r="V374" s="8"/>
      <c r="W374" s="12" t="str">
        <f t="shared" si="1"/>
        <v/>
      </c>
      <c r="X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24"/>
      <c r="R375" s="16"/>
      <c r="S375" s="16"/>
      <c r="T375" s="17"/>
      <c r="U375" s="15"/>
      <c r="V375" s="15"/>
      <c r="W375" s="19" t="str">
        <f t="shared" si="1"/>
        <v/>
      </c>
      <c r="X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123"/>
      <c r="R376" s="9"/>
      <c r="S376" s="9"/>
      <c r="T376" s="10"/>
      <c r="U376" s="8"/>
      <c r="V376" s="8"/>
      <c r="W376" s="12" t="str">
        <f t="shared" si="1"/>
        <v/>
      </c>
      <c r="X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24"/>
      <c r="R377" s="16"/>
      <c r="S377" s="16"/>
      <c r="T377" s="17"/>
      <c r="U377" s="15"/>
      <c r="V377" s="15"/>
      <c r="W377" s="19" t="str">
        <f t="shared" si="1"/>
        <v/>
      </c>
      <c r="X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123"/>
      <c r="R378" s="9"/>
      <c r="S378" s="9"/>
      <c r="T378" s="10"/>
      <c r="U378" s="8"/>
      <c r="V378" s="8"/>
      <c r="W378" s="12" t="str">
        <f t="shared" si="1"/>
        <v/>
      </c>
      <c r="X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24"/>
      <c r="R379" s="16"/>
      <c r="S379" s="16"/>
      <c r="T379" s="17"/>
      <c r="U379" s="15"/>
      <c r="V379" s="15"/>
      <c r="W379" s="19" t="str">
        <f t="shared" si="1"/>
        <v/>
      </c>
      <c r="X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123"/>
      <c r="R380" s="9"/>
      <c r="S380" s="9"/>
      <c r="T380" s="10"/>
      <c r="U380" s="8"/>
      <c r="V380" s="8"/>
      <c r="W380" s="12" t="str">
        <f t="shared" si="1"/>
        <v/>
      </c>
      <c r="X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24"/>
      <c r="R381" s="16"/>
      <c r="S381" s="16"/>
      <c r="T381" s="17"/>
      <c r="U381" s="15"/>
      <c r="V381" s="15"/>
      <c r="W381" s="19" t="str">
        <f t="shared" si="1"/>
        <v/>
      </c>
      <c r="X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123"/>
      <c r="R382" s="9"/>
      <c r="S382" s="9"/>
      <c r="T382" s="10"/>
      <c r="U382" s="8"/>
      <c r="V382" s="8"/>
      <c r="W382" s="12" t="str">
        <f t="shared" si="1"/>
        <v/>
      </c>
      <c r="X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24"/>
      <c r="R383" s="16"/>
      <c r="S383" s="16"/>
      <c r="T383" s="17"/>
      <c r="U383" s="15"/>
      <c r="V383" s="15"/>
      <c r="W383" s="19" t="str">
        <f t="shared" si="1"/>
        <v/>
      </c>
      <c r="X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123"/>
      <c r="R384" s="9"/>
      <c r="S384" s="9"/>
      <c r="T384" s="10"/>
      <c r="U384" s="8"/>
      <c r="V384" s="8"/>
      <c r="W384" s="12" t="str">
        <f t="shared" si="1"/>
        <v/>
      </c>
      <c r="X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24"/>
      <c r="R385" s="16"/>
      <c r="S385" s="16"/>
      <c r="T385" s="17"/>
      <c r="U385" s="15"/>
      <c r="V385" s="15"/>
      <c r="W385" s="19" t="str">
        <f t="shared" si="1"/>
        <v/>
      </c>
      <c r="X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123"/>
      <c r="R386" s="9"/>
      <c r="S386" s="9"/>
      <c r="T386" s="10"/>
      <c r="U386" s="8"/>
      <c r="V386" s="8"/>
      <c r="W386" s="12" t="str">
        <f t="shared" si="1"/>
        <v/>
      </c>
      <c r="X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24"/>
      <c r="R387" s="16"/>
      <c r="S387" s="16"/>
      <c r="T387" s="17"/>
      <c r="U387" s="15"/>
      <c r="V387" s="15"/>
      <c r="W387" s="19" t="str">
        <f t="shared" si="1"/>
        <v/>
      </c>
      <c r="X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123"/>
      <c r="R388" s="9"/>
      <c r="S388" s="9"/>
      <c r="T388" s="10"/>
      <c r="U388" s="8"/>
      <c r="V388" s="8"/>
      <c r="W388" s="12" t="str">
        <f t="shared" si="1"/>
        <v/>
      </c>
      <c r="X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24"/>
      <c r="R389" s="16"/>
      <c r="S389" s="16"/>
      <c r="T389" s="17"/>
      <c r="U389" s="15"/>
      <c r="V389" s="15"/>
      <c r="W389" s="19" t="str">
        <f t="shared" si="1"/>
        <v/>
      </c>
      <c r="X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123"/>
      <c r="R390" s="9"/>
      <c r="S390" s="9"/>
      <c r="T390" s="10"/>
      <c r="U390" s="8"/>
      <c r="V390" s="8"/>
      <c r="W390" s="12" t="str">
        <f t="shared" si="1"/>
        <v/>
      </c>
      <c r="X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24"/>
      <c r="R391" s="16"/>
      <c r="S391" s="16"/>
      <c r="T391" s="17"/>
      <c r="U391" s="15"/>
      <c r="V391" s="15"/>
      <c r="W391" s="19" t="str">
        <f t="shared" si="1"/>
        <v/>
      </c>
      <c r="X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123"/>
      <c r="R392" s="9"/>
      <c r="S392" s="9"/>
      <c r="T392" s="10"/>
      <c r="U392" s="8"/>
      <c r="V392" s="8"/>
      <c r="W392" s="12" t="str">
        <f t="shared" si="1"/>
        <v/>
      </c>
      <c r="X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24"/>
      <c r="R393" s="16"/>
      <c r="S393" s="16"/>
      <c r="T393" s="17"/>
      <c r="U393" s="15"/>
      <c r="V393" s="15"/>
      <c r="W393" s="19" t="str">
        <f t="shared" si="1"/>
        <v/>
      </c>
      <c r="X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123"/>
      <c r="R394" s="9"/>
      <c r="S394" s="9"/>
      <c r="T394" s="10"/>
      <c r="U394" s="8"/>
      <c r="V394" s="8"/>
      <c r="W394" s="12" t="str">
        <f t="shared" ref="W394:W396" si="13">IF(V395="ganha",(S394*(U394-1)),IF(V395="perdida",-S394,IF(V395="devolvida",0,IF(V395="ganha/devolvida",((S394*(U394-1)))/2,IF(V395="perdida/devolvida",-S394/2,IF(V395="Aguardando",0,""))))))</f>
        <v/>
      </c>
      <c r="X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24"/>
      <c r="R395" s="16"/>
      <c r="S395" s="16"/>
      <c r="T395" s="17"/>
      <c r="U395" s="15"/>
      <c r="V395" s="15"/>
      <c r="W395" s="19" t="str">
        <f t="shared" si="13"/>
        <v/>
      </c>
      <c r="X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123"/>
      <c r="R396" s="9"/>
      <c r="S396" s="9"/>
      <c r="T396" s="10"/>
      <c r="U396" s="8"/>
      <c r="V396" s="8"/>
      <c r="W396" s="12" t="str">
        <f t="shared" si="13"/>
        <v/>
      </c>
      <c r="X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24"/>
      <c r="R397" s="16"/>
      <c r="S397" s="16"/>
      <c r="T397" s="17"/>
      <c r="U397" s="15"/>
      <c r="V397" s="15"/>
      <c r="W397" s="124"/>
      <c r="X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123"/>
      <c r="R398" s="9"/>
      <c r="S398" s="9"/>
      <c r="T398" s="10"/>
      <c r="U398" s="8"/>
      <c r="V398" s="8"/>
      <c r="W398" s="123"/>
      <c r="X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24"/>
      <c r="R399" s="16"/>
      <c r="S399" s="16"/>
      <c r="T399" s="17"/>
      <c r="U399" s="15"/>
      <c r="V399" s="15"/>
      <c r="W399" s="124"/>
      <c r="X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123"/>
      <c r="R400" s="9"/>
      <c r="S400" s="9"/>
      <c r="T400" s="10"/>
      <c r="U400" s="8"/>
      <c r="V400" s="8"/>
      <c r="W400" s="123"/>
      <c r="X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24"/>
      <c r="R401" s="16"/>
      <c r="S401" s="16"/>
      <c r="T401" s="17"/>
      <c r="U401" s="15"/>
      <c r="V401" s="15"/>
      <c r="W401" s="124"/>
      <c r="X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123"/>
      <c r="R402" s="9"/>
      <c r="S402" s="9"/>
      <c r="T402" s="10"/>
      <c r="U402" s="8"/>
      <c r="V402" s="8"/>
      <c r="W402" s="123"/>
      <c r="X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24"/>
      <c r="R403" s="16"/>
      <c r="S403" s="16"/>
      <c r="T403" s="17"/>
      <c r="U403" s="15"/>
      <c r="V403" s="15"/>
      <c r="W403" s="124"/>
      <c r="X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123"/>
      <c r="R404" s="9"/>
      <c r="S404" s="9"/>
      <c r="T404" s="10"/>
      <c r="U404" s="8"/>
      <c r="V404" s="8"/>
      <c r="W404" s="123"/>
      <c r="X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24"/>
      <c r="R405" s="16"/>
      <c r="S405" s="16"/>
      <c r="T405" s="17"/>
      <c r="U405" s="15"/>
      <c r="V405" s="15"/>
      <c r="W405" s="124"/>
      <c r="X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123"/>
      <c r="R406" s="9"/>
      <c r="S406" s="9"/>
      <c r="T406" s="10"/>
      <c r="U406" s="8"/>
      <c r="V406" s="8"/>
      <c r="W406" s="123"/>
      <c r="X406" s="123"/>
    </row>
    <row r="407">
      <c r="A407" s="15">
        <f t="shared" si="3"/>
        <v>406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24"/>
      <c r="R407" s="16"/>
      <c r="S407" s="16"/>
      <c r="T407" s="17"/>
      <c r="U407" s="15"/>
      <c r="V407" s="15"/>
      <c r="W407" s="124"/>
      <c r="X407" s="124"/>
    </row>
    <row r="408">
      <c r="A408" s="8">
        <f t="shared" si="3"/>
        <v>407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123"/>
      <c r="R408" s="9"/>
      <c r="S408" s="9"/>
      <c r="T408" s="10"/>
      <c r="U408" s="8"/>
      <c r="V408" s="8"/>
      <c r="W408" s="123"/>
      <c r="X408" s="123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6"/>
      <c r="R409" s="127"/>
      <c r="S409" s="127"/>
      <c r="T409" s="128"/>
      <c r="U409" s="125"/>
      <c r="V409" s="15"/>
      <c r="W409" s="126"/>
      <c r="X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30"/>
      <c r="R410" s="131"/>
      <c r="S410" s="131"/>
      <c r="T410" s="132"/>
      <c r="U410" s="129"/>
      <c r="V410" s="129"/>
      <c r="W410" s="130"/>
      <c r="X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6"/>
      <c r="R411" s="127"/>
      <c r="S411" s="127"/>
      <c r="T411" s="128"/>
      <c r="U411" s="125"/>
      <c r="V411" s="125"/>
      <c r="W411" s="126"/>
      <c r="X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30"/>
      <c r="R412" s="131"/>
      <c r="S412" s="131"/>
      <c r="T412" s="132"/>
      <c r="U412" s="129"/>
      <c r="V412" s="129"/>
      <c r="W412" s="130"/>
      <c r="X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6"/>
      <c r="R413" s="127"/>
      <c r="S413" s="127"/>
      <c r="T413" s="128"/>
      <c r="U413" s="125"/>
      <c r="V413" s="125"/>
      <c r="W413" s="126"/>
      <c r="X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30"/>
      <c r="R414" s="131"/>
      <c r="S414" s="131"/>
      <c r="T414" s="132"/>
      <c r="U414" s="129"/>
      <c r="V414" s="129"/>
      <c r="W414" s="130"/>
      <c r="X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6"/>
      <c r="R415" s="127"/>
      <c r="S415" s="127"/>
      <c r="T415" s="128"/>
      <c r="U415" s="125"/>
      <c r="V415" s="125"/>
      <c r="W415" s="126"/>
      <c r="X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30"/>
      <c r="R416" s="131"/>
      <c r="S416" s="131"/>
      <c r="T416" s="132"/>
      <c r="U416" s="129"/>
      <c r="V416" s="129"/>
      <c r="W416" s="130"/>
      <c r="X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6"/>
      <c r="R417" s="127"/>
      <c r="S417" s="127"/>
      <c r="T417" s="128"/>
      <c r="U417" s="125"/>
      <c r="V417" s="125"/>
      <c r="W417" s="126"/>
      <c r="X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30"/>
      <c r="R418" s="131"/>
      <c r="S418" s="131"/>
      <c r="T418" s="132"/>
      <c r="U418" s="129"/>
      <c r="V418" s="129"/>
      <c r="W418" s="130"/>
      <c r="X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6"/>
      <c r="R419" s="127"/>
      <c r="S419" s="127"/>
      <c r="T419" s="128"/>
      <c r="U419" s="125"/>
      <c r="V419" s="125"/>
      <c r="W419" s="126"/>
      <c r="X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30"/>
      <c r="R420" s="131"/>
      <c r="S420" s="131"/>
      <c r="T420" s="132"/>
      <c r="U420" s="129"/>
      <c r="V420" s="129"/>
      <c r="W420" s="130"/>
      <c r="X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6"/>
      <c r="R421" s="127"/>
      <c r="S421" s="127"/>
      <c r="T421" s="128"/>
      <c r="U421" s="125"/>
      <c r="V421" s="125"/>
      <c r="W421" s="126"/>
      <c r="X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30"/>
      <c r="R422" s="131"/>
      <c r="S422" s="131"/>
      <c r="T422" s="132"/>
      <c r="U422" s="129"/>
      <c r="V422" s="129"/>
      <c r="W422" s="130"/>
      <c r="X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6"/>
      <c r="R423" s="127"/>
      <c r="S423" s="127"/>
      <c r="T423" s="128"/>
      <c r="U423" s="125"/>
      <c r="V423" s="125"/>
      <c r="W423" s="126"/>
      <c r="X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30"/>
      <c r="R424" s="131"/>
      <c r="S424" s="131"/>
      <c r="T424" s="132"/>
      <c r="U424" s="129"/>
      <c r="V424" s="129"/>
      <c r="W424" s="130"/>
      <c r="X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6"/>
      <c r="R425" s="127"/>
      <c r="S425" s="127"/>
      <c r="T425" s="128"/>
      <c r="U425" s="125"/>
      <c r="V425" s="125"/>
      <c r="W425" s="126"/>
      <c r="X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30"/>
      <c r="R426" s="131"/>
      <c r="S426" s="131"/>
      <c r="T426" s="132"/>
      <c r="U426" s="129"/>
      <c r="V426" s="129"/>
      <c r="W426" s="130"/>
      <c r="X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6"/>
      <c r="R427" s="127"/>
      <c r="S427" s="127"/>
      <c r="T427" s="128"/>
      <c r="U427" s="125"/>
      <c r="V427" s="125"/>
      <c r="W427" s="126"/>
      <c r="X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30"/>
      <c r="R428" s="131"/>
      <c r="S428" s="131"/>
      <c r="T428" s="132"/>
      <c r="U428" s="129"/>
      <c r="V428" s="129"/>
      <c r="W428" s="130"/>
      <c r="X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6"/>
      <c r="R429" s="127"/>
      <c r="S429" s="127"/>
      <c r="T429" s="128"/>
      <c r="U429" s="125"/>
      <c r="V429" s="125"/>
      <c r="W429" s="126"/>
      <c r="X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30"/>
      <c r="R430" s="131"/>
      <c r="S430" s="131"/>
      <c r="T430" s="132"/>
      <c r="U430" s="129"/>
      <c r="V430" s="129"/>
      <c r="W430" s="130"/>
      <c r="X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6"/>
      <c r="R431" s="127"/>
      <c r="S431" s="127"/>
      <c r="T431" s="128"/>
      <c r="U431" s="125"/>
      <c r="V431" s="125"/>
      <c r="W431" s="126"/>
      <c r="X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30"/>
      <c r="R432" s="131"/>
      <c r="S432" s="131"/>
      <c r="T432" s="132"/>
      <c r="U432" s="129"/>
      <c r="V432" s="129"/>
      <c r="W432" s="130"/>
      <c r="X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6"/>
      <c r="R433" s="127"/>
      <c r="S433" s="127"/>
      <c r="T433" s="128"/>
      <c r="U433" s="125"/>
      <c r="V433" s="125"/>
      <c r="W433" s="126"/>
      <c r="X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30"/>
      <c r="R434" s="131"/>
      <c r="S434" s="131"/>
      <c r="T434" s="132"/>
      <c r="U434" s="129"/>
      <c r="V434" s="129"/>
      <c r="W434" s="130"/>
      <c r="X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6"/>
      <c r="R435" s="127"/>
      <c r="S435" s="127"/>
      <c r="T435" s="128"/>
      <c r="U435" s="125"/>
      <c r="V435" s="125"/>
      <c r="W435" s="126"/>
      <c r="X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30"/>
      <c r="R436" s="131"/>
      <c r="S436" s="131"/>
      <c r="T436" s="132"/>
      <c r="U436" s="129"/>
      <c r="V436" s="129"/>
      <c r="W436" s="130"/>
      <c r="X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6"/>
      <c r="R437" s="127"/>
      <c r="S437" s="127"/>
      <c r="T437" s="128"/>
      <c r="U437" s="125"/>
      <c r="V437" s="125"/>
      <c r="W437" s="126"/>
      <c r="X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30"/>
      <c r="R438" s="131"/>
      <c r="S438" s="131"/>
      <c r="T438" s="132"/>
      <c r="U438" s="129"/>
      <c r="V438" s="129"/>
      <c r="W438" s="130"/>
      <c r="X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6"/>
      <c r="R439" s="127"/>
      <c r="S439" s="127"/>
      <c r="T439" s="128"/>
      <c r="U439" s="125"/>
      <c r="V439" s="125"/>
      <c r="W439" s="126"/>
      <c r="X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30"/>
      <c r="R440" s="131"/>
      <c r="S440" s="131"/>
      <c r="T440" s="132"/>
      <c r="U440" s="129"/>
      <c r="V440" s="129"/>
      <c r="W440" s="130"/>
      <c r="X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6"/>
      <c r="R441" s="127"/>
      <c r="S441" s="127"/>
      <c r="T441" s="128"/>
      <c r="U441" s="125"/>
      <c r="V441" s="125"/>
      <c r="W441" s="126"/>
      <c r="X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30"/>
      <c r="R442" s="131"/>
      <c r="S442" s="131"/>
      <c r="T442" s="132"/>
      <c r="U442" s="129"/>
      <c r="V442" s="129"/>
      <c r="W442" s="130"/>
      <c r="X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6"/>
      <c r="R443" s="127"/>
      <c r="S443" s="127"/>
      <c r="T443" s="128"/>
      <c r="U443" s="125"/>
      <c r="V443" s="125"/>
      <c r="W443" s="126"/>
      <c r="X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30"/>
      <c r="R444" s="131"/>
      <c r="S444" s="131"/>
      <c r="T444" s="132"/>
      <c r="U444" s="129"/>
      <c r="V444" s="129"/>
      <c r="W444" s="130"/>
      <c r="X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6"/>
      <c r="R445" s="127"/>
      <c r="S445" s="127"/>
      <c r="T445" s="128"/>
      <c r="U445" s="125"/>
      <c r="V445" s="125"/>
      <c r="W445" s="126"/>
      <c r="X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30"/>
      <c r="R446" s="131"/>
      <c r="S446" s="131"/>
      <c r="T446" s="132"/>
      <c r="U446" s="129"/>
      <c r="V446" s="129"/>
      <c r="W446" s="130"/>
      <c r="X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6"/>
      <c r="R447" s="127"/>
      <c r="S447" s="127"/>
      <c r="T447" s="128"/>
      <c r="U447" s="125"/>
      <c r="V447" s="125"/>
      <c r="W447" s="126"/>
      <c r="X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30"/>
      <c r="R448" s="131"/>
      <c r="S448" s="131"/>
      <c r="T448" s="132"/>
      <c r="U448" s="129"/>
      <c r="V448" s="129"/>
      <c r="W448" s="130"/>
      <c r="X448" s="130"/>
    </row>
    <row r="4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6"/>
      <c r="R449" s="127"/>
      <c r="S449" s="127"/>
      <c r="T449" s="128"/>
      <c r="U449" s="125"/>
      <c r="V449" s="125"/>
      <c r="W449" s="126"/>
      <c r="X449" s="126"/>
    </row>
    <row r="450">
      <c r="A450" s="129"/>
      <c r="B450" s="129"/>
      <c r="C450" s="129"/>
      <c r="D450" s="129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30"/>
      <c r="R450" s="131"/>
      <c r="S450" s="131"/>
      <c r="T450" s="132"/>
      <c r="U450" s="129"/>
      <c r="V450" s="129"/>
      <c r="W450" s="130"/>
      <c r="X450" s="130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125"/>
      <c r="W451" s="126"/>
      <c r="X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130"/>
      <c r="X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126"/>
      <c r="X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130"/>
      <c r="X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126"/>
      <c r="X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130"/>
      <c r="X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126"/>
      <c r="X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130"/>
      <c r="X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126"/>
      <c r="X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</row>
    <row r="1001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58"/>
      <c r="W1001" s="29"/>
      <c r="X1001" s="29"/>
    </row>
  </sheetData>
  <autoFilter ref="$A$1:$W$409"/>
  <customSheetViews>
    <customSheetView guid="{9BA04A38-02DA-4F02-BBBB-302FC15326E0}" filter="1" showAutoFilter="1">
      <autoFilter ref="$A$1:$X$409">
        <filterColumn colId="14">
          <filters>
            <filter val="AH-"/>
            <filter val="AH0"/>
            <filter val="NG"/>
            <filter val="DC"/>
          </filters>
        </filterColumn>
      </autoFilter>
    </customSheetView>
    <customSheetView guid="{D9D1A42E-DDFC-4032-8664-60A2E47E0D40}" filter="1" showAutoFilter="1">
      <autoFilter ref="$A$1:$W$286"/>
    </customSheetView>
    <customSheetView guid="{8BE028A4-B37D-4082-AE82-07BBC89EBB11}" filter="1" showAutoFilter="1">
      <autoFilter ref="$A$1:$X$409"/>
    </customSheetView>
    <customSheetView guid="{F477B962-7F95-4B58-B796-7F91B20D0221}" filter="1" showAutoFilter="1">
      <autoFilter ref="$A$1:$AB$409">
        <filterColumn colId="14">
          <filters>
            <filter val="AH-"/>
            <filter val="AH0"/>
            <filter val="Under"/>
            <filter val="NG"/>
            <filter val="ML"/>
            <filter val="DC"/>
          </filters>
        </filterColumn>
      </autoFilter>
    </customSheetView>
    <customSheetView guid="{BA551338-6311-4C02-9137-137E692B7D93}" filter="1" showAutoFilter="1">
      <autoFilter ref="$A$1:$X$409">
        <filterColumn colId="16">
          <filters>
            <filter val="0.00"/>
            <filter val="0.75"/>
            <filter val="1.00"/>
            <filter val="2.00"/>
            <filter val="1.75"/>
            <filter val="2.75"/>
            <filter val="0.50"/>
            <filter val="-4.50"/>
            <filter val="-5.50"/>
            <filter val="-0.50"/>
            <filter val="1.25"/>
            <filter val="0.25"/>
            <filter val="-4.75"/>
            <filter val="-0.75"/>
            <filter val="-1.00"/>
            <filter val="-2.25"/>
            <filter val="-0.25"/>
          </filters>
        </filterColumn>
      </autoFilter>
    </customSheetView>
    <customSheetView guid="{C0AB1544-F4B4-45C0-8975-97F745A006DC}" filter="1" showAutoFilter="1">
      <autoFilter ref="$A$1:$AB$409"/>
    </customSheetView>
    <customSheetView guid="{9B5C888F-E11A-4842-8D0B-62F1614802A4}" filter="1" showAutoFilter="1">
      <autoFilter ref="$A$1:$W$286">
        <filterColumn colId="14">
          <filters>
            <filter val="AH+"/>
            <filter val="AH-"/>
            <filter val="AH0"/>
            <filter val="DC"/>
          </filters>
        </filterColumn>
      </autoFilter>
    </customSheetView>
    <customSheetView guid="{3D13BECD-F97B-4CC8-B9FC-728C2CBFEBF1}" filter="1" showAutoFilter="1">
      <autoFilter ref="$A$1:$X$409">
        <filterColumn colId="12">
          <filters>
            <filter val="Finlândia"/>
            <filter val="País Gales"/>
            <filter val="Tanzânia"/>
            <filter val="Camp. Paulista"/>
            <filter val="Islândia"/>
            <filter val="Argentina"/>
            <filter val="Pernambuco"/>
            <filter val="México"/>
            <filter val="Moçambique"/>
            <filter val="Em. Árabes"/>
            <filter val="Colômbia"/>
            <filter val="Austrália"/>
            <filter val="Paraguai"/>
            <filter val="Peru"/>
            <filter val="Países Baixos"/>
            <filter val="Suécia"/>
            <filter val="Togo"/>
            <filter val="Jordânia"/>
            <filter val="Uruguai"/>
          </filters>
        </filterColumn>
      </autoFilter>
    </customSheetView>
    <customSheetView guid="{B1E9CC24-145D-4007-8A11-90FD9E435072}" filter="1" showAutoFilter="1">
      <autoFilter ref="$A$1:$AB$409">
        <filterColumn colId="12">
          <filters>
            <filter val="Polônia"/>
            <filter val="País Gales"/>
            <filter val="Hungria"/>
            <filter val="Bolívia"/>
            <filter val="África Sul"/>
            <filter val="Malaui"/>
            <filter val="Camp. Paulista"/>
            <filter val="Noruega"/>
            <filter val="Islândia"/>
            <filter val="Argentina"/>
            <filter val="Pernambuco"/>
            <filter val="Moçambique"/>
            <filter val="Em. Árabes"/>
            <filter val="Colômbia"/>
            <filter val="Eslovênia"/>
            <filter val="Bélgica"/>
            <filter val="Eslováquia"/>
            <filter val="Rep. Tcheca"/>
            <filter val="Paraguai"/>
            <filter val="Peru"/>
            <filter val="Países Baixos"/>
            <filter val="Suécia"/>
            <filter val="Irlanda Norte"/>
            <filter val="Irlanda"/>
            <filter val="Togo"/>
            <filter val="Amistoso"/>
            <filter val="Jordânia"/>
            <filter val="Internacional"/>
            <filter val="Áustria"/>
            <filter val="Uruguai"/>
            <filter val="Ucrânia"/>
          </filters>
        </filterColumn>
      </autoFilter>
    </customSheetView>
    <customSheetView guid="{978C25F2-69C0-4E3B-8EFC-6A6EC3E48DD3}" filter="1" showAutoFilter="1">
      <autoFilter ref="$A$1:$AB$409"/>
    </customSheetView>
  </customSheetViews>
  <mergeCells count="14">
    <mergeCell ref="Z67:AB67"/>
    <mergeCell ref="Z68:AB68"/>
    <mergeCell ref="Z69:AB69"/>
    <mergeCell ref="Z70:AB70"/>
    <mergeCell ref="Z71:AB71"/>
    <mergeCell ref="Z72:AB72"/>
    <mergeCell ref="Z73:AB73"/>
    <mergeCell ref="Z60:AB60"/>
    <mergeCell ref="Z61:AB61"/>
    <mergeCell ref="Z62:AB62"/>
    <mergeCell ref="Z63:AB63"/>
    <mergeCell ref="Z64:AB64"/>
    <mergeCell ref="Z65:AB65"/>
    <mergeCell ref="Z66:AB66"/>
  </mergeCells>
  <conditionalFormatting sqref="V2:V502">
    <cfRule type="cellIs" dxfId="0" priority="1" operator="equal">
      <formula>"Ganha"</formula>
    </cfRule>
  </conditionalFormatting>
  <conditionalFormatting sqref="V2:V502">
    <cfRule type="cellIs" dxfId="1" priority="2" operator="equal">
      <formula>"Ganha/devolvida"</formula>
    </cfRule>
  </conditionalFormatting>
  <conditionalFormatting sqref="V2:V502">
    <cfRule type="cellIs" dxfId="2" priority="3" operator="equal">
      <formula>"Devolvida"</formula>
    </cfRule>
  </conditionalFormatting>
  <conditionalFormatting sqref="V2:V502">
    <cfRule type="cellIs" dxfId="3" priority="4" operator="equal">
      <formula>"Perdida/devolvida"</formula>
    </cfRule>
  </conditionalFormatting>
  <conditionalFormatting sqref="V2:V502">
    <cfRule type="cellIs" dxfId="4" priority="5" operator="equal">
      <formula>"Perdida"</formula>
    </cfRule>
  </conditionalFormatting>
  <conditionalFormatting sqref="W2:W459 X2:X1001 AA2:AA35">
    <cfRule type="cellIs" dxfId="0" priority="6" operator="greaterThan">
      <formula>0</formula>
    </cfRule>
  </conditionalFormatting>
  <conditionalFormatting sqref="W2:W459 X2:X1001 AA2:AA35">
    <cfRule type="cellIs" dxfId="4" priority="7" operator="lessThan">
      <formula>0</formula>
    </cfRule>
  </conditionalFormatting>
  <conditionalFormatting sqref="W2:W1001 X2:X13 AA2:AA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" width="4.0"/>
    <col customWidth="1" min="4" max="4" width="3.88"/>
    <col customWidth="1" min="5" max="5" width="60.38"/>
    <col customWidth="1" min="6" max="6" width="22.0"/>
    <col customWidth="1" min="7" max="7" width="12.88"/>
    <col customWidth="1" min="8" max="8" width="11.75"/>
    <col customWidth="1" min="9" max="9" width="11.5"/>
    <col customWidth="1" min="10" max="10" width="4.5"/>
    <col customWidth="1" min="11" max="11" width="9.0"/>
    <col customWidth="1" min="12" max="12" width="9.5"/>
    <col customWidth="1" min="13" max="16" width="5.88"/>
    <col customWidth="1" min="17" max="17" width="6.5"/>
    <col customWidth="1" min="18" max="18" width="14.75"/>
    <col customWidth="1" min="19" max="19" width="10.75"/>
    <col customWidth="1" min="20" max="20" width="7.25"/>
    <col customWidth="1" min="21" max="21" width="4.13"/>
    <col customWidth="1" min="22" max="22" width="6.25"/>
    <col customWidth="1" min="23" max="23" width="6.5"/>
    <col customWidth="1" min="24" max="28" width="11.25"/>
  </cols>
  <sheetData>
    <row r="1">
      <c r="A1" s="3" t="s">
        <v>0</v>
      </c>
      <c r="B1" s="2" t="s">
        <v>1462</v>
      </c>
      <c r="C1" s="2" t="s">
        <v>2</v>
      </c>
      <c r="D1" s="2" t="s">
        <v>1462</v>
      </c>
      <c r="E1" s="3" t="s">
        <v>3</v>
      </c>
      <c r="F1" s="2" t="s">
        <v>1466</v>
      </c>
      <c r="G1" s="2" t="s">
        <v>1467</v>
      </c>
      <c r="H1" s="2" t="s">
        <v>1468</v>
      </c>
      <c r="I1" s="3" t="s">
        <v>4</v>
      </c>
      <c r="J1" s="3" t="s">
        <v>5</v>
      </c>
      <c r="K1" s="3" t="s">
        <v>6</v>
      </c>
      <c r="L1" s="2" t="s">
        <v>7</v>
      </c>
      <c r="M1" s="4" t="s">
        <v>8</v>
      </c>
      <c r="N1" s="5" t="s">
        <v>9</v>
      </c>
      <c r="O1" s="4" t="s">
        <v>10</v>
      </c>
      <c r="P1" s="6" t="s">
        <v>11</v>
      </c>
      <c r="Q1" s="97" t="s">
        <v>12</v>
      </c>
      <c r="R1" s="3" t="s">
        <v>13</v>
      </c>
      <c r="S1" s="4" t="s">
        <v>2372</v>
      </c>
      <c r="T1" s="4" t="s">
        <v>15</v>
      </c>
      <c r="U1" s="140"/>
      <c r="V1" s="3" t="s">
        <v>16</v>
      </c>
      <c r="W1" s="3" t="s">
        <v>15</v>
      </c>
      <c r="X1" s="2" t="s">
        <v>2373</v>
      </c>
      <c r="Y1" s="2" t="s">
        <v>2374</v>
      </c>
      <c r="Z1" s="2" t="s">
        <v>2375</v>
      </c>
      <c r="AA1" s="2" t="s">
        <v>2376</v>
      </c>
      <c r="AB1" s="3" t="s">
        <v>17</v>
      </c>
    </row>
    <row r="2">
      <c r="A2" s="8">
        <f>1</f>
        <v>1</v>
      </c>
      <c r="B2" s="8"/>
      <c r="C2" s="8"/>
      <c r="D2" s="8" t="s">
        <v>19</v>
      </c>
      <c r="E2" s="8" t="s">
        <v>2377</v>
      </c>
      <c r="F2" s="8"/>
      <c r="G2" s="8"/>
      <c r="H2" s="8"/>
      <c r="I2" s="8" t="s">
        <v>2378</v>
      </c>
      <c r="J2" s="8" t="s">
        <v>22</v>
      </c>
      <c r="K2" s="8" t="s">
        <v>225</v>
      </c>
      <c r="L2" s="8" t="s">
        <v>24</v>
      </c>
      <c r="M2" s="9">
        <v>0.25</v>
      </c>
      <c r="N2" s="9">
        <v>0.5</v>
      </c>
      <c r="O2" s="9">
        <v>0.3</v>
      </c>
      <c r="P2" s="10">
        <v>45078.0</v>
      </c>
      <c r="Q2" s="11">
        <v>1.75</v>
      </c>
      <c r="R2" s="8" t="s">
        <v>25</v>
      </c>
      <c r="S2" s="12">
        <f t="shared" ref="S2:S3640" si="1">IF(R2="ganha",(O2*(Q2-1)),IF(R2="perdida",-O2,IF(R2="devolvida",0,IF(R2="ganha/devolvida",((O2*(Q2-1)))/2,IF(R2="perdida/devolvida",-O2/2,IF(R2="Aguardando",0,""))))))</f>
        <v>-0.3</v>
      </c>
      <c r="T2" s="12">
        <f>S2</f>
        <v>-0.3</v>
      </c>
      <c r="U2" s="123"/>
      <c r="V2" s="66">
        <v>45078.0</v>
      </c>
      <c r="W2" s="13">
        <f t="shared" ref="W2:W312" si="2">SUMIF($P$2:$P$5623,V2,$S$2:$S$5623)</f>
        <v>0.2875733333</v>
      </c>
      <c r="X2" s="141" t="b">
        <f t="shared" ref="X2:X312" si="3">if(and(W2&lt;0,W3&lt;0),"Red-red")</f>
        <v>0</v>
      </c>
      <c r="Y2" s="141" t="b">
        <f t="shared" ref="Y2:Y312" si="4">if(and(W2&gt;0,W3&lt;0),"Green-red")</f>
        <v>0</v>
      </c>
      <c r="Z2" s="141" t="str">
        <f t="shared" ref="Z2:Z312" si="5">if(and(W2&gt;0,W3&gt;0),"Green-green")</f>
        <v>Green-green</v>
      </c>
      <c r="AA2" s="141" t="b">
        <f t="shared" ref="AA2:AA312" si="6">if(and(W2&gt;0,W3&lt;0),"Red-green")</f>
        <v>0</v>
      </c>
      <c r="AB2" s="14">
        <f>SUMIF($R$2:$R$5623,"Aguardando",$O$2:$O$5623)</f>
        <v>0.5</v>
      </c>
    </row>
    <row r="3">
      <c r="A3" s="15">
        <f t="shared" ref="A3:A406" si="7">A2+1</f>
        <v>2</v>
      </c>
      <c r="B3" s="15"/>
      <c r="C3" s="15"/>
      <c r="D3" s="15" t="s">
        <v>19</v>
      </c>
      <c r="E3" s="15" t="s">
        <v>2379</v>
      </c>
      <c r="F3" s="15"/>
      <c r="G3" s="15"/>
      <c r="H3" s="15"/>
      <c r="I3" s="15" t="s">
        <v>2380</v>
      </c>
      <c r="J3" s="15" t="s">
        <v>22</v>
      </c>
      <c r="K3" s="15" t="s">
        <v>225</v>
      </c>
      <c r="L3" s="15" t="s">
        <v>24</v>
      </c>
      <c r="M3" s="16">
        <v>1.25</v>
      </c>
      <c r="N3" s="16">
        <v>1.0</v>
      </c>
      <c r="O3" s="16">
        <v>0.37</v>
      </c>
      <c r="P3" s="17">
        <v>45078.0</v>
      </c>
      <c r="Q3" s="18">
        <v>1.75</v>
      </c>
      <c r="R3" s="15" t="s">
        <v>25</v>
      </c>
      <c r="S3" s="19">
        <f t="shared" si="1"/>
        <v>-0.37</v>
      </c>
      <c r="T3" s="19">
        <f t="shared" ref="T3:T3640" si="8">T2+S3</f>
        <v>-0.67</v>
      </c>
      <c r="U3" s="124"/>
      <c r="V3" s="66">
        <v>45079.0</v>
      </c>
      <c r="W3" s="13">
        <f t="shared" si="2"/>
        <v>0.53736</v>
      </c>
      <c r="X3" s="141" t="b">
        <f t="shared" si="3"/>
        <v>0</v>
      </c>
      <c r="Y3" s="141" t="b">
        <f t="shared" si="4"/>
        <v>0</v>
      </c>
      <c r="Z3" s="141" t="str">
        <f t="shared" si="5"/>
        <v>Green-green</v>
      </c>
      <c r="AA3" s="141" t="b">
        <f t="shared" si="6"/>
        <v>0</v>
      </c>
    </row>
    <row r="4">
      <c r="A4" s="8">
        <f t="shared" si="7"/>
        <v>3</v>
      </c>
      <c r="B4" s="8"/>
      <c r="C4" s="8"/>
      <c r="D4" s="8" t="s">
        <v>19</v>
      </c>
      <c r="E4" s="8" t="s">
        <v>2381</v>
      </c>
      <c r="F4" s="8"/>
      <c r="G4" s="8"/>
      <c r="H4" s="8"/>
      <c r="I4" s="8" t="s">
        <v>1006</v>
      </c>
      <c r="J4" s="8" t="s">
        <v>22</v>
      </c>
      <c r="K4" s="8" t="s">
        <v>225</v>
      </c>
      <c r="L4" s="8" t="s">
        <v>2201</v>
      </c>
      <c r="M4" s="9">
        <v>1.0</v>
      </c>
      <c r="N4" s="9">
        <v>1.0</v>
      </c>
      <c r="O4" s="9">
        <v>0.8</v>
      </c>
      <c r="P4" s="10">
        <v>45078.0</v>
      </c>
      <c r="Q4" s="11">
        <v>2.0</v>
      </c>
      <c r="R4" s="8" t="s">
        <v>70</v>
      </c>
      <c r="S4" s="12">
        <f t="shared" si="1"/>
        <v>0</v>
      </c>
      <c r="T4" s="12">
        <f t="shared" si="8"/>
        <v>-0.67</v>
      </c>
      <c r="U4" s="123"/>
      <c r="V4" s="66">
        <v>45080.0</v>
      </c>
      <c r="W4" s="13">
        <f t="shared" si="2"/>
        <v>0.68338</v>
      </c>
      <c r="X4" s="141" t="b">
        <f t="shared" si="3"/>
        <v>0</v>
      </c>
      <c r="Y4" s="141" t="b">
        <f t="shared" si="4"/>
        <v>0</v>
      </c>
      <c r="Z4" s="141" t="str">
        <f t="shared" si="5"/>
        <v>Green-green</v>
      </c>
      <c r="AA4" s="141" t="b">
        <f t="shared" si="6"/>
        <v>0</v>
      </c>
      <c r="AB4" s="3" t="s">
        <v>34</v>
      </c>
    </row>
    <row r="5">
      <c r="A5" s="15">
        <f t="shared" si="7"/>
        <v>4</v>
      </c>
      <c r="B5" s="15"/>
      <c r="C5" s="15"/>
      <c r="D5" s="15" t="s">
        <v>19</v>
      </c>
      <c r="E5" s="15" t="s">
        <v>2382</v>
      </c>
      <c r="F5" s="15"/>
      <c r="G5" s="15"/>
      <c r="H5" s="15"/>
      <c r="I5" s="15" t="s">
        <v>463</v>
      </c>
      <c r="J5" s="15" t="s">
        <v>22</v>
      </c>
      <c r="K5" s="15" t="s">
        <v>225</v>
      </c>
      <c r="L5" s="15" t="s">
        <v>2201</v>
      </c>
      <c r="M5" s="16">
        <v>0.5</v>
      </c>
      <c r="N5" s="16">
        <v>1.0</v>
      </c>
      <c r="O5" s="16">
        <v>0.22</v>
      </c>
      <c r="P5" s="17">
        <v>45078.0</v>
      </c>
      <c r="Q5" s="18">
        <v>1.775</v>
      </c>
      <c r="R5" s="15" t="s">
        <v>25</v>
      </c>
      <c r="S5" s="19">
        <f t="shared" si="1"/>
        <v>-0.22</v>
      </c>
      <c r="T5" s="19">
        <f t="shared" si="8"/>
        <v>-0.89</v>
      </c>
      <c r="U5" s="124"/>
      <c r="V5" s="66">
        <v>45081.0</v>
      </c>
      <c r="W5" s="13">
        <f t="shared" si="2"/>
        <v>1.704405556</v>
      </c>
      <c r="X5" s="141" t="b">
        <f t="shared" si="3"/>
        <v>0</v>
      </c>
      <c r="Y5" s="141" t="b">
        <f t="shared" si="4"/>
        <v>0</v>
      </c>
      <c r="Z5" s="141" t="b">
        <f t="shared" si="5"/>
        <v>0</v>
      </c>
      <c r="AA5" s="141" t="b">
        <f t="shared" si="6"/>
        <v>0</v>
      </c>
      <c r="AB5" s="20">
        <f>sum(O2:O3656)</f>
        <v>1572.109277</v>
      </c>
    </row>
    <row r="6">
      <c r="A6" s="8">
        <f t="shared" si="7"/>
        <v>5</v>
      </c>
      <c r="B6" s="8"/>
      <c r="C6" s="8"/>
      <c r="D6" s="8" t="s">
        <v>19</v>
      </c>
      <c r="E6" s="8" t="s">
        <v>2383</v>
      </c>
      <c r="F6" s="8"/>
      <c r="G6" s="8"/>
      <c r="H6" s="8"/>
      <c r="I6" s="8" t="s">
        <v>463</v>
      </c>
      <c r="J6" s="8" t="s">
        <v>22</v>
      </c>
      <c r="K6" s="8" t="s">
        <v>225</v>
      </c>
      <c r="L6" s="8" t="s">
        <v>2201</v>
      </c>
      <c r="M6" s="9">
        <v>0.5</v>
      </c>
      <c r="N6" s="9">
        <v>1.0</v>
      </c>
      <c r="O6" s="9">
        <v>1.0</v>
      </c>
      <c r="P6" s="10">
        <v>45078.0</v>
      </c>
      <c r="Q6" s="11">
        <f>584.62/500</f>
        <v>1.16924</v>
      </c>
      <c r="R6" s="8" t="s">
        <v>33</v>
      </c>
      <c r="S6" s="12">
        <f t="shared" si="1"/>
        <v>0.16924</v>
      </c>
      <c r="T6" s="12">
        <f t="shared" si="8"/>
        <v>-0.72076</v>
      </c>
      <c r="U6" s="123"/>
      <c r="V6" s="66">
        <v>45082.0</v>
      </c>
      <c r="W6" s="13">
        <f t="shared" si="2"/>
        <v>0</v>
      </c>
      <c r="X6" s="141" t="b">
        <f t="shared" si="3"/>
        <v>0</v>
      </c>
      <c r="Y6" s="141" t="b">
        <f t="shared" si="4"/>
        <v>0</v>
      </c>
      <c r="Z6" s="141" t="b">
        <f t="shared" si="5"/>
        <v>0</v>
      </c>
      <c r="AA6" s="141" t="b">
        <f t="shared" si="6"/>
        <v>0</v>
      </c>
    </row>
    <row r="7">
      <c r="A7" s="15">
        <f t="shared" si="7"/>
        <v>6</v>
      </c>
      <c r="B7" s="15"/>
      <c r="C7" s="15"/>
      <c r="D7" s="15" t="s">
        <v>19</v>
      </c>
      <c r="E7" s="15" t="s">
        <v>2384</v>
      </c>
      <c r="F7" s="15"/>
      <c r="G7" s="15"/>
      <c r="H7" s="15"/>
      <c r="I7" s="15" t="s">
        <v>513</v>
      </c>
      <c r="J7" s="15" t="s">
        <v>22</v>
      </c>
      <c r="K7" s="15" t="s">
        <v>225</v>
      </c>
      <c r="L7" s="15" t="s">
        <v>39</v>
      </c>
      <c r="M7" s="16">
        <v>0.5</v>
      </c>
      <c r="N7" s="16">
        <v>1.0</v>
      </c>
      <c r="O7" s="16">
        <v>1.0</v>
      </c>
      <c r="P7" s="17">
        <v>45078.0</v>
      </c>
      <c r="Q7" s="18">
        <v>1.75</v>
      </c>
      <c r="R7" s="15" t="s">
        <v>33</v>
      </c>
      <c r="S7" s="19">
        <f t="shared" si="1"/>
        <v>0.75</v>
      </c>
      <c r="T7" s="19">
        <f t="shared" si="8"/>
        <v>0.02924</v>
      </c>
      <c r="U7" s="124"/>
      <c r="V7" s="66">
        <v>45083.0</v>
      </c>
      <c r="W7" s="13">
        <f t="shared" si="2"/>
        <v>0.03489444444</v>
      </c>
      <c r="X7" s="141" t="b">
        <f t="shared" si="3"/>
        <v>0</v>
      </c>
      <c r="Y7" s="141" t="b">
        <f t="shared" si="4"/>
        <v>0</v>
      </c>
      <c r="Z7" s="141" t="str">
        <f t="shared" si="5"/>
        <v>Green-green</v>
      </c>
      <c r="AA7" s="141" t="b">
        <f t="shared" si="6"/>
        <v>0</v>
      </c>
      <c r="AB7" s="3" t="s">
        <v>45</v>
      </c>
    </row>
    <row r="8">
      <c r="A8" s="8">
        <f t="shared" si="7"/>
        <v>7</v>
      </c>
      <c r="B8" s="8"/>
      <c r="C8" s="8"/>
      <c r="D8" s="8" t="s">
        <v>19</v>
      </c>
      <c r="E8" s="8" t="s">
        <v>2385</v>
      </c>
      <c r="F8" s="8"/>
      <c r="G8" s="8"/>
      <c r="H8" s="8"/>
      <c r="I8" s="8" t="s">
        <v>2386</v>
      </c>
      <c r="J8" s="8" t="s">
        <v>22</v>
      </c>
      <c r="K8" s="8" t="s">
        <v>440</v>
      </c>
      <c r="L8" s="8" t="s">
        <v>39</v>
      </c>
      <c r="M8" s="9">
        <v>1.0</v>
      </c>
      <c r="N8" s="9">
        <v>0.25</v>
      </c>
      <c r="O8" s="9">
        <v>0.25</v>
      </c>
      <c r="P8" s="10">
        <v>45078.0</v>
      </c>
      <c r="Q8" s="11">
        <v>2.05</v>
      </c>
      <c r="R8" s="8" t="s">
        <v>70</v>
      </c>
      <c r="S8" s="12">
        <f t="shared" si="1"/>
        <v>0</v>
      </c>
      <c r="T8" s="12">
        <f t="shared" si="8"/>
        <v>0.02924</v>
      </c>
      <c r="U8" s="123"/>
      <c r="V8" s="66">
        <v>45084.0</v>
      </c>
      <c r="W8" s="13">
        <f t="shared" si="2"/>
        <v>2.74</v>
      </c>
      <c r="X8" s="141" t="b">
        <f t="shared" si="3"/>
        <v>0</v>
      </c>
      <c r="Y8" s="141" t="b">
        <f t="shared" si="4"/>
        <v>0</v>
      </c>
      <c r="Z8" s="141" t="str">
        <f t="shared" si="5"/>
        <v>Green-green</v>
      </c>
      <c r="AA8" s="141" t="b">
        <f t="shared" si="6"/>
        <v>0</v>
      </c>
      <c r="AB8" s="21">
        <f>W33/(SUM(O3:O7576)-AB2)</f>
        <v>0.001229993375</v>
      </c>
    </row>
    <row r="9">
      <c r="A9" s="15">
        <f t="shared" si="7"/>
        <v>8</v>
      </c>
      <c r="B9" s="15"/>
      <c r="C9" s="15"/>
      <c r="D9" s="15" t="s">
        <v>19</v>
      </c>
      <c r="E9" s="15" t="s">
        <v>2387</v>
      </c>
      <c r="F9" s="15"/>
      <c r="G9" s="15"/>
      <c r="H9" s="15"/>
      <c r="I9" s="15" t="s">
        <v>82</v>
      </c>
      <c r="J9" s="15" t="s">
        <v>22</v>
      </c>
      <c r="K9" s="15" t="s">
        <v>225</v>
      </c>
      <c r="L9" s="15" t="s">
        <v>1803</v>
      </c>
      <c r="M9" s="16">
        <v>0.25</v>
      </c>
      <c r="N9" s="16">
        <v>1.0</v>
      </c>
      <c r="O9" s="16">
        <v>1.0</v>
      </c>
      <c r="P9" s="17">
        <v>45078.0</v>
      </c>
      <c r="Q9" s="18">
        <v>1.7</v>
      </c>
      <c r="R9" s="15" t="s">
        <v>25</v>
      </c>
      <c r="S9" s="19">
        <f t="shared" si="1"/>
        <v>-1</v>
      </c>
      <c r="T9" s="19">
        <f t="shared" si="8"/>
        <v>-0.97076</v>
      </c>
      <c r="U9" s="124"/>
      <c r="V9" s="66">
        <v>45085.0</v>
      </c>
      <c r="W9" s="13">
        <f t="shared" si="2"/>
        <v>0.76875</v>
      </c>
      <c r="X9" s="141" t="b">
        <f t="shared" si="3"/>
        <v>0</v>
      </c>
      <c r="Y9" s="141" t="b">
        <f t="shared" si="4"/>
        <v>0</v>
      </c>
      <c r="Z9" s="141" t="str">
        <f t="shared" si="5"/>
        <v>Green-green</v>
      </c>
      <c r="AA9" s="141" t="b">
        <f t="shared" si="6"/>
        <v>0</v>
      </c>
    </row>
    <row r="10">
      <c r="A10" s="8">
        <f t="shared" si="7"/>
        <v>9</v>
      </c>
      <c r="B10" s="8"/>
      <c r="C10" s="8"/>
      <c r="D10" s="8" t="s">
        <v>19</v>
      </c>
      <c r="E10" s="8" t="s">
        <v>2388</v>
      </c>
      <c r="F10" s="8"/>
      <c r="G10" s="8"/>
      <c r="H10" s="8"/>
      <c r="I10" s="8" t="s">
        <v>82</v>
      </c>
      <c r="J10" s="8" t="s">
        <v>22</v>
      </c>
      <c r="K10" s="8" t="s">
        <v>225</v>
      </c>
      <c r="L10" s="8" t="s">
        <v>24</v>
      </c>
      <c r="M10" s="9">
        <v>0.5</v>
      </c>
      <c r="N10" s="9">
        <v>1.0</v>
      </c>
      <c r="O10" s="9">
        <v>1.0</v>
      </c>
      <c r="P10" s="10">
        <v>45078.0</v>
      </c>
      <c r="Q10" s="11">
        <f>800/600</f>
        <v>1.333333333</v>
      </c>
      <c r="R10" s="8" t="s">
        <v>33</v>
      </c>
      <c r="S10" s="12">
        <f t="shared" si="1"/>
        <v>0.3333333333</v>
      </c>
      <c r="T10" s="12">
        <f t="shared" si="8"/>
        <v>-0.6374266667</v>
      </c>
      <c r="U10" s="123"/>
      <c r="V10" s="66">
        <v>45086.0</v>
      </c>
      <c r="W10" s="13">
        <f t="shared" si="2"/>
        <v>0.08879</v>
      </c>
      <c r="X10" s="141" t="b">
        <f t="shared" si="3"/>
        <v>0</v>
      </c>
      <c r="Y10" s="141" t="b">
        <f t="shared" si="4"/>
        <v>0</v>
      </c>
      <c r="Z10" s="141" t="str">
        <f t="shared" si="5"/>
        <v>Green-green</v>
      </c>
      <c r="AA10" s="141" t="b">
        <f t="shared" si="6"/>
        <v>0</v>
      </c>
      <c r="AB10" s="2" t="s">
        <v>55</v>
      </c>
    </row>
    <row r="11">
      <c r="A11" s="15">
        <f t="shared" si="7"/>
        <v>10</v>
      </c>
      <c r="B11" s="15"/>
      <c r="C11" s="15"/>
      <c r="D11" s="15" t="s">
        <v>40</v>
      </c>
      <c r="E11" s="15" t="s">
        <v>2389</v>
      </c>
      <c r="F11" s="15"/>
      <c r="G11" s="15"/>
      <c r="H11" s="15"/>
      <c r="I11" s="15" t="s">
        <v>319</v>
      </c>
      <c r="J11" s="15" t="s">
        <v>22</v>
      </c>
      <c r="K11" s="15" t="s">
        <v>225</v>
      </c>
      <c r="L11" s="15" t="s">
        <v>2201</v>
      </c>
      <c r="M11" s="16">
        <v>0.25</v>
      </c>
      <c r="N11" s="16">
        <v>1.0</v>
      </c>
      <c r="O11" s="16">
        <v>1.0</v>
      </c>
      <c r="P11" s="17">
        <v>45078.0</v>
      </c>
      <c r="Q11" s="18">
        <v>1.925</v>
      </c>
      <c r="R11" s="15" t="s">
        <v>33</v>
      </c>
      <c r="S11" s="19">
        <f t="shared" si="1"/>
        <v>0.925</v>
      </c>
      <c r="T11" s="19">
        <f t="shared" si="8"/>
        <v>0.2875733333</v>
      </c>
      <c r="U11" s="124"/>
      <c r="V11" s="66">
        <v>45087.0</v>
      </c>
      <c r="W11" s="13">
        <f t="shared" si="2"/>
        <v>0.76025</v>
      </c>
      <c r="X11" s="141" t="b">
        <f t="shared" si="3"/>
        <v>0</v>
      </c>
      <c r="Y11" s="141" t="str">
        <f t="shared" si="4"/>
        <v>Green-red</v>
      </c>
      <c r="Z11" s="141" t="b">
        <f t="shared" si="5"/>
        <v>0</v>
      </c>
      <c r="AA11" s="141" t="str">
        <f t="shared" si="6"/>
        <v>Red-green</v>
      </c>
      <c r="AB11" s="21">
        <f>(SUMPRODUCT(--(N2:N3642 = O2:O3642))-countif(N2:N3642,""))/countif(N2:N3642,"&gt;0")</f>
        <v>0.7874037404</v>
      </c>
    </row>
    <row r="12">
      <c r="A12" s="8">
        <f t="shared" si="7"/>
        <v>11</v>
      </c>
      <c r="B12" s="8"/>
      <c r="C12" s="8"/>
      <c r="D12" s="8" t="s">
        <v>19</v>
      </c>
      <c r="E12" s="8" t="s">
        <v>2390</v>
      </c>
      <c r="F12" s="8"/>
      <c r="G12" s="8"/>
      <c r="H12" s="8"/>
      <c r="I12" s="8" t="s">
        <v>2380</v>
      </c>
      <c r="J12" s="8" t="s">
        <v>22</v>
      </c>
      <c r="K12" s="8" t="s">
        <v>225</v>
      </c>
      <c r="L12" s="8" t="s">
        <v>24</v>
      </c>
      <c r="M12" s="9">
        <v>0.75</v>
      </c>
      <c r="N12" s="9">
        <v>1.0</v>
      </c>
      <c r="O12" s="9">
        <v>1.0</v>
      </c>
      <c r="P12" s="10">
        <v>45079.0</v>
      </c>
      <c r="Q12" s="11">
        <v>1.85</v>
      </c>
      <c r="R12" s="8" t="s">
        <v>25</v>
      </c>
      <c r="S12" s="12">
        <f t="shared" si="1"/>
        <v>-1</v>
      </c>
      <c r="T12" s="12">
        <f t="shared" si="8"/>
        <v>-0.7124266667</v>
      </c>
      <c r="U12" s="123"/>
      <c r="V12" s="66">
        <v>45088.0</v>
      </c>
      <c r="W12" s="13">
        <f t="shared" si="2"/>
        <v>-1.48167</v>
      </c>
      <c r="X12" s="141" t="b">
        <f t="shared" si="3"/>
        <v>0</v>
      </c>
      <c r="Y12" s="141" t="b">
        <f t="shared" si="4"/>
        <v>0</v>
      </c>
      <c r="Z12" s="141" t="b">
        <f t="shared" si="5"/>
        <v>0</v>
      </c>
      <c r="AA12" s="141" t="b">
        <f t="shared" si="6"/>
        <v>0</v>
      </c>
    </row>
    <row r="13">
      <c r="A13" s="15">
        <f t="shared" si="7"/>
        <v>12</v>
      </c>
      <c r="B13" s="15"/>
      <c r="C13" s="15"/>
      <c r="D13" s="15" t="s">
        <v>19</v>
      </c>
      <c r="E13" s="15" t="s">
        <v>2391</v>
      </c>
      <c r="F13" s="15"/>
      <c r="G13" s="15"/>
      <c r="H13" s="15"/>
      <c r="I13" s="15" t="s">
        <v>316</v>
      </c>
      <c r="J13" s="15" t="s">
        <v>22</v>
      </c>
      <c r="K13" s="15" t="s">
        <v>225</v>
      </c>
      <c r="L13" s="15" t="s">
        <v>24</v>
      </c>
      <c r="M13" s="16">
        <v>0.75</v>
      </c>
      <c r="N13" s="16">
        <v>1.0</v>
      </c>
      <c r="O13" s="16">
        <v>1.0</v>
      </c>
      <c r="P13" s="17">
        <v>45079.0</v>
      </c>
      <c r="Q13" s="18">
        <f>755/500</f>
        <v>1.51</v>
      </c>
      <c r="R13" s="15" t="s">
        <v>33</v>
      </c>
      <c r="S13" s="19">
        <f t="shared" si="1"/>
        <v>0.51</v>
      </c>
      <c r="T13" s="19">
        <f t="shared" si="8"/>
        <v>-0.2024266667</v>
      </c>
      <c r="U13" s="124"/>
      <c r="V13" s="66">
        <v>45089.0</v>
      </c>
      <c r="W13" s="13">
        <f t="shared" si="2"/>
        <v>0</v>
      </c>
      <c r="X13" s="141" t="b">
        <f t="shared" si="3"/>
        <v>0</v>
      </c>
      <c r="Y13" s="141" t="b">
        <f t="shared" si="4"/>
        <v>0</v>
      </c>
      <c r="Z13" s="141" t="b">
        <f t="shared" si="5"/>
        <v>0</v>
      </c>
      <c r="AA13" s="141" t="b">
        <f t="shared" si="6"/>
        <v>0</v>
      </c>
      <c r="AB13" s="2" t="s">
        <v>61</v>
      </c>
    </row>
    <row r="14">
      <c r="A14" s="8">
        <f t="shared" si="7"/>
        <v>13</v>
      </c>
      <c r="B14" s="8"/>
      <c r="C14" s="8"/>
      <c r="D14" s="8" t="s">
        <v>40</v>
      </c>
      <c r="E14" s="8" t="s">
        <v>2392</v>
      </c>
      <c r="F14" s="8"/>
      <c r="G14" s="8"/>
      <c r="H14" s="8"/>
      <c r="I14" s="8" t="s">
        <v>229</v>
      </c>
      <c r="J14" s="8" t="s">
        <v>22</v>
      </c>
      <c r="K14" s="8" t="s">
        <v>225</v>
      </c>
      <c r="L14" s="8" t="s">
        <v>24</v>
      </c>
      <c r="M14" s="9">
        <v>0.25</v>
      </c>
      <c r="N14" s="9">
        <v>1.0</v>
      </c>
      <c r="O14" s="9">
        <v>1.0</v>
      </c>
      <c r="P14" s="10">
        <v>45079.0</v>
      </c>
      <c r="Q14" s="11">
        <f>542.18/500</f>
        <v>1.08436</v>
      </c>
      <c r="R14" s="8" t="s">
        <v>33</v>
      </c>
      <c r="S14" s="12">
        <f t="shared" si="1"/>
        <v>0.08436</v>
      </c>
      <c r="T14" s="12">
        <f t="shared" si="8"/>
        <v>-0.1180666667</v>
      </c>
      <c r="U14" s="123"/>
      <c r="V14" s="66">
        <v>45090.0</v>
      </c>
      <c r="W14" s="13">
        <f t="shared" si="2"/>
        <v>0.4125</v>
      </c>
      <c r="X14" s="141" t="b">
        <f t="shared" si="3"/>
        <v>0</v>
      </c>
      <c r="Y14" s="141" t="str">
        <f t="shared" si="4"/>
        <v>Green-red</v>
      </c>
      <c r="Z14" s="141" t="b">
        <f t="shared" si="5"/>
        <v>0</v>
      </c>
      <c r="AA14" s="141" t="str">
        <f t="shared" si="6"/>
        <v>Red-green</v>
      </c>
      <c r="AB14" s="22">
        <f>average(Q2:Q3642)</f>
        <v>1.930505225</v>
      </c>
    </row>
    <row r="15">
      <c r="A15" s="15">
        <f t="shared" si="7"/>
        <v>14</v>
      </c>
      <c r="B15" s="15"/>
      <c r="C15" s="15"/>
      <c r="D15" s="15" t="s">
        <v>19</v>
      </c>
      <c r="E15" s="15" t="s">
        <v>2393</v>
      </c>
      <c r="F15" s="15"/>
      <c r="G15" s="15"/>
      <c r="H15" s="15"/>
      <c r="I15" s="15" t="s">
        <v>101</v>
      </c>
      <c r="J15" s="15" t="s">
        <v>22</v>
      </c>
      <c r="K15" s="15" t="s">
        <v>225</v>
      </c>
      <c r="L15" s="15" t="s">
        <v>24</v>
      </c>
      <c r="M15" s="16">
        <v>0.5</v>
      </c>
      <c r="N15" s="16">
        <v>1.0</v>
      </c>
      <c r="O15" s="16">
        <v>0.54</v>
      </c>
      <c r="P15" s="17">
        <v>45079.0</v>
      </c>
      <c r="Q15" s="18">
        <v>1.95</v>
      </c>
      <c r="R15" s="15" t="s">
        <v>33</v>
      </c>
      <c r="S15" s="19">
        <f t="shared" si="1"/>
        <v>0.513</v>
      </c>
      <c r="T15" s="19">
        <f t="shared" si="8"/>
        <v>0.3949333333</v>
      </c>
      <c r="U15" s="124"/>
      <c r="V15" s="66">
        <v>45091.0</v>
      </c>
      <c r="W15" s="13">
        <f t="shared" si="2"/>
        <v>-0.55684</v>
      </c>
      <c r="X15" s="141" t="str">
        <f t="shared" si="3"/>
        <v>Red-red</v>
      </c>
      <c r="Y15" s="141" t="b">
        <f t="shared" si="4"/>
        <v>0</v>
      </c>
      <c r="Z15" s="141" t="b">
        <f t="shared" si="5"/>
        <v>0</v>
      </c>
      <c r="AA15" s="141" t="b">
        <f t="shared" si="6"/>
        <v>0</v>
      </c>
    </row>
    <row r="16">
      <c r="A16" s="8">
        <f t="shared" si="7"/>
        <v>15</v>
      </c>
      <c r="B16" s="8"/>
      <c r="C16" s="8"/>
      <c r="D16" s="8" t="s">
        <v>19</v>
      </c>
      <c r="E16" s="8" t="s">
        <v>2394</v>
      </c>
      <c r="F16" s="8"/>
      <c r="G16" s="8"/>
      <c r="H16" s="8"/>
      <c r="I16" s="8" t="s">
        <v>513</v>
      </c>
      <c r="J16" s="8" t="s">
        <v>22</v>
      </c>
      <c r="K16" s="8" t="s">
        <v>225</v>
      </c>
      <c r="L16" s="8" t="s">
        <v>2201</v>
      </c>
      <c r="M16" s="9">
        <v>0.75</v>
      </c>
      <c r="N16" s="9">
        <v>1.0</v>
      </c>
      <c r="O16" s="9">
        <v>0.45</v>
      </c>
      <c r="P16" s="10">
        <v>45079.0</v>
      </c>
      <c r="Q16" s="11">
        <v>1.8</v>
      </c>
      <c r="R16" s="8" t="s">
        <v>33</v>
      </c>
      <c r="S16" s="12">
        <f t="shared" si="1"/>
        <v>0.36</v>
      </c>
      <c r="T16" s="12">
        <f t="shared" si="8"/>
        <v>0.7549333333</v>
      </c>
      <c r="U16" s="123"/>
      <c r="V16" s="66">
        <v>45092.0</v>
      </c>
      <c r="W16" s="13">
        <f t="shared" si="2"/>
        <v>-0.61317</v>
      </c>
      <c r="X16" s="141" t="str">
        <f t="shared" si="3"/>
        <v>Red-red</v>
      </c>
      <c r="Y16" s="141" t="b">
        <f t="shared" si="4"/>
        <v>0</v>
      </c>
      <c r="Z16" s="141" t="b">
        <f t="shared" si="5"/>
        <v>0</v>
      </c>
      <c r="AA16" s="141" t="b">
        <f t="shared" si="6"/>
        <v>0</v>
      </c>
      <c r="AB16" s="142">
        <f>countif(W2:W312,"&lt;0")</f>
        <v>71</v>
      </c>
    </row>
    <row r="17">
      <c r="A17" s="15">
        <f t="shared" si="7"/>
        <v>16</v>
      </c>
      <c r="B17" s="15"/>
      <c r="C17" s="15"/>
      <c r="D17" s="15" t="s">
        <v>19</v>
      </c>
      <c r="E17" s="15" t="s">
        <v>2395</v>
      </c>
      <c r="F17" s="15"/>
      <c r="G17" s="15"/>
      <c r="H17" s="15"/>
      <c r="I17" s="15" t="s">
        <v>513</v>
      </c>
      <c r="J17" s="15" t="s">
        <v>22</v>
      </c>
      <c r="K17" s="15" t="s">
        <v>225</v>
      </c>
      <c r="L17" s="15" t="s">
        <v>2201</v>
      </c>
      <c r="M17" s="16">
        <v>0.5</v>
      </c>
      <c r="N17" s="16">
        <v>1.0</v>
      </c>
      <c r="O17" s="16">
        <v>0.3</v>
      </c>
      <c r="P17" s="17">
        <v>45079.0</v>
      </c>
      <c r="Q17" s="18">
        <v>1.725</v>
      </c>
      <c r="R17" s="15" t="s">
        <v>33</v>
      </c>
      <c r="S17" s="19">
        <f t="shared" si="1"/>
        <v>0.2175</v>
      </c>
      <c r="T17" s="19">
        <f t="shared" si="8"/>
        <v>0.9724333333</v>
      </c>
      <c r="U17" s="124"/>
      <c r="V17" s="66">
        <v>45093.0</v>
      </c>
      <c r="W17" s="13">
        <f t="shared" si="2"/>
        <v>-0.3015</v>
      </c>
      <c r="X17" s="141" t="str">
        <f t="shared" si="3"/>
        <v>Red-red</v>
      </c>
      <c r="Y17" s="141" t="b">
        <f t="shared" si="4"/>
        <v>0</v>
      </c>
      <c r="Z17" s="141" t="b">
        <f t="shared" si="5"/>
        <v>0</v>
      </c>
      <c r="AA17" s="141" t="b">
        <f t="shared" si="6"/>
        <v>0</v>
      </c>
      <c r="AB17" s="142">
        <f>countif(W2:W312,"&gt;0")</f>
        <v>175</v>
      </c>
    </row>
    <row r="18">
      <c r="A18" s="8">
        <f t="shared" si="7"/>
        <v>17</v>
      </c>
      <c r="B18" s="8"/>
      <c r="C18" s="8"/>
      <c r="D18" s="8" t="s">
        <v>19</v>
      </c>
      <c r="E18" s="8" t="s">
        <v>2396</v>
      </c>
      <c r="F18" s="8"/>
      <c r="G18" s="8"/>
      <c r="H18" s="8"/>
      <c r="I18" s="8" t="s">
        <v>908</v>
      </c>
      <c r="J18" s="8" t="s">
        <v>22</v>
      </c>
      <c r="K18" s="8" t="s">
        <v>225</v>
      </c>
      <c r="L18" s="8" t="s">
        <v>2201</v>
      </c>
      <c r="M18" s="9">
        <v>0.25</v>
      </c>
      <c r="N18" s="9">
        <v>1.0</v>
      </c>
      <c r="O18" s="9">
        <v>1.0</v>
      </c>
      <c r="P18" s="10">
        <v>45079.0</v>
      </c>
      <c r="Q18" s="11">
        <v>1.725</v>
      </c>
      <c r="R18" s="8" t="s">
        <v>30</v>
      </c>
      <c r="S18" s="12">
        <f t="shared" si="1"/>
        <v>0.3625</v>
      </c>
      <c r="T18" s="12">
        <f t="shared" si="8"/>
        <v>1.334933333</v>
      </c>
      <c r="U18" s="123"/>
      <c r="V18" s="66">
        <v>45094.0</v>
      </c>
      <c r="W18" s="13">
        <f t="shared" si="2"/>
        <v>-1.78225</v>
      </c>
      <c r="X18" s="141" t="str">
        <f t="shared" si="3"/>
        <v>Red-red</v>
      </c>
      <c r="Y18" s="141" t="b">
        <f t="shared" si="4"/>
        <v>0</v>
      </c>
      <c r="Z18" s="141" t="b">
        <f t="shared" si="5"/>
        <v>0</v>
      </c>
      <c r="AA18" s="141" t="b">
        <f t="shared" si="6"/>
        <v>0</v>
      </c>
      <c r="AB18" s="143">
        <f>AB17/(AB17+AB16)</f>
        <v>0.7113821138</v>
      </c>
    </row>
    <row r="19">
      <c r="A19" s="15">
        <f t="shared" si="7"/>
        <v>18</v>
      </c>
      <c r="B19" s="15"/>
      <c r="C19" s="15"/>
      <c r="D19" s="15" t="s">
        <v>40</v>
      </c>
      <c r="E19" s="15" t="s">
        <v>2397</v>
      </c>
      <c r="F19" s="15"/>
      <c r="G19" s="15"/>
      <c r="H19" s="15"/>
      <c r="I19" s="15" t="s">
        <v>78</v>
      </c>
      <c r="J19" s="15" t="s">
        <v>22</v>
      </c>
      <c r="K19" s="15" t="s">
        <v>225</v>
      </c>
      <c r="L19" s="15" t="s">
        <v>2201</v>
      </c>
      <c r="M19" s="16">
        <v>0.5</v>
      </c>
      <c r="N19" s="16">
        <v>1.0</v>
      </c>
      <c r="O19" s="16">
        <v>0.51</v>
      </c>
      <c r="P19" s="17">
        <v>45079.0</v>
      </c>
      <c r="Q19" s="18">
        <v>1.9</v>
      </c>
      <c r="R19" s="15" t="s">
        <v>25</v>
      </c>
      <c r="S19" s="19">
        <f t="shared" si="1"/>
        <v>-0.51</v>
      </c>
      <c r="T19" s="19">
        <f t="shared" si="8"/>
        <v>0.8249333333</v>
      </c>
      <c r="U19" s="124"/>
      <c r="V19" s="66">
        <v>45095.0</v>
      </c>
      <c r="W19" s="13">
        <f t="shared" si="2"/>
        <v>-1.39290385</v>
      </c>
      <c r="X19" s="141" t="b">
        <f t="shared" si="3"/>
        <v>0</v>
      </c>
      <c r="Y19" s="141" t="b">
        <f t="shared" si="4"/>
        <v>0</v>
      </c>
      <c r="Z19" s="141" t="b">
        <f t="shared" si="5"/>
        <v>0</v>
      </c>
      <c r="AA19" s="141" t="b">
        <f t="shared" si="6"/>
        <v>0</v>
      </c>
      <c r="AB19" s="143">
        <f>1-AB18</f>
        <v>0.2886178862</v>
      </c>
    </row>
    <row r="20">
      <c r="A20" s="8">
        <f t="shared" si="7"/>
        <v>19</v>
      </c>
      <c r="B20" s="8"/>
      <c r="C20" s="8"/>
      <c r="D20" s="8" t="s">
        <v>19</v>
      </c>
      <c r="E20" s="8" t="s">
        <v>2398</v>
      </c>
      <c r="F20" s="8"/>
      <c r="G20" s="8"/>
      <c r="H20" s="8"/>
      <c r="I20" s="8" t="s">
        <v>432</v>
      </c>
      <c r="J20" s="8" t="s">
        <v>22</v>
      </c>
      <c r="K20" s="8" t="s">
        <v>225</v>
      </c>
      <c r="L20" s="8" t="s">
        <v>24</v>
      </c>
      <c r="M20" s="9">
        <v>0.25</v>
      </c>
      <c r="N20" s="9">
        <v>1.0</v>
      </c>
      <c r="O20" s="9">
        <v>1.0</v>
      </c>
      <c r="P20" s="10">
        <v>45080.0</v>
      </c>
      <c r="Q20" s="11">
        <v>1.875</v>
      </c>
      <c r="R20" s="8" t="s">
        <v>25</v>
      </c>
      <c r="S20" s="12">
        <f t="shared" si="1"/>
        <v>-1</v>
      </c>
      <c r="T20" s="12">
        <f t="shared" si="8"/>
        <v>-0.1750666667</v>
      </c>
      <c r="U20" s="123"/>
      <c r="V20" s="66">
        <v>45096.0</v>
      </c>
      <c r="W20" s="13">
        <f t="shared" si="2"/>
        <v>0</v>
      </c>
      <c r="X20" s="141" t="b">
        <f t="shared" si="3"/>
        <v>0</v>
      </c>
      <c r="Y20" s="141" t="b">
        <f t="shared" si="4"/>
        <v>0</v>
      </c>
      <c r="Z20" s="141" t="b">
        <f t="shared" si="5"/>
        <v>0</v>
      </c>
      <c r="AA20" s="141" t="b">
        <f t="shared" si="6"/>
        <v>0</v>
      </c>
    </row>
    <row r="21">
      <c r="A21" s="15">
        <f t="shared" si="7"/>
        <v>20</v>
      </c>
      <c r="B21" s="15"/>
      <c r="C21" s="15"/>
      <c r="D21" s="15" t="s">
        <v>19</v>
      </c>
      <c r="E21" s="15" t="s">
        <v>2399</v>
      </c>
      <c r="F21" s="15"/>
      <c r="G21" s="15"/>
      <c r="H21" s="15"/>
      <c r="I21" s="15" t="s">
        <v>245</v>
      </c>
      <c r="J21" s="15" t="s">
        <v>22</v>
      </c>
      <c r="K21" s="15" t="s">
        <v>225</v>
      </c>
      <c r="L21" s="15" t="s">
        <v>24</v>
      </c>
      <c r="M21" s="16">
        <v>0.25</v>
      </c>
      <c r="N21" s="16">
        <v>1.0</v>
      </c>
      <c r="O21" s="16">
        <v>0.9</v>
      </c>
      <c r="P21" s="17">
        <v>45080.0</v>
      </c>
      <c r="Q21" s="18">
        <v>1.95</v>
      </c>
      <c r="R21" s="15" t="s">
        <v>33</v>
      </c>
      <c r="S21" s="19">
        <f t="shared" si="1"/>
        <v>0.855</v>
      </c>
      <c r="T21" s="19">
        <f t="shared" si="8"/>
        <v>0.6799333333</v>
      </c>
      <c r="U21" s="124"/>
      <c r="V21" s="66">
        <v>45097.0</v>
      </c>
      <c r="W21" s="13">
        <f t="shared" si="2"/>
        <v>-0.7125</v>
      </c>
      <c r="X21" s="141" t="str">
        <f t="shared" si="3"/>
        <v>Red-red</v>
      </c>
      <c r="Y21" s="141" t="b">
        <f t="shared" si="4"/>
        <v>0</v>
      </c>
      <c r="Z21" s="141" t="b">
        <f t="shared" si="5"/>
        <v>0</v>
      </c>
      <c r="AA21" s="141" t="b">
        <f t="shared" si="6"/>
        <v>0</v>
      </c>
    </row>
    <row r="22">
      <c r="A22" s="8">
        <f t="shared" si="7"/>
        <v>21</v>
      </c>
      <c r="B22" s="8"/>
      <c r="C22" s="8"/>
      <c r="D22" s="8" t="s">
        <v>19</v>
      </c>
      <c r="E22" s="8" t="s">
        <v>2400</v>
      </c>
      <c r="F22" s="8"/>
      <c r="G22" s="8"/>
      <c r="H22" s="8"/>
      <c r="I22" s="8" t="s">
        <v>316</v>
      </c>
      <c r="J22" s="8" t="s">
        <v>22</v>
      </c>
      <c r="K22" s="8" t="s">
        <v>1847</v>
      </c>
      <c r="L22" s="8" t="s">
        <v>24</v>
      </c>
      <c r="M22" s="9">
        <v>-0.5</v>
      </c>
      <c r="N22" s="9">
        <v>1.0</v>
      </c>
      <c r="O22" s="9">
        <v>1.0</v>
      </c>
      <c r="P22" s="10">
        <v>45080.0</v>
      </c>
      <c r="Q22" s="11">
        <v>1.72</v>
      </c>
      <c r="R22" s="8" t="s">
        <v>33</v>
      </c>
      <c r="S22" s="12">
        <f t="shared" si="1"/>
        <v>0.72</v>
      </c>
      <c r="T22" s="12">
        <f t="shared" si="8"/>
        <v>1.399933333</v>
      </c>
      <c r="U22" s="123"/>
      <c r="V22" s="66">
        <v>45098.0</v>
      </c>
      <c r="W22" s="13">
        <f t="shared" si="2"/>
        <v>-3.284</v>
      </c>
      <c r="X22" s="141" t="b">
        <f t="shared" si="3"/>
        <v>0</v>
      </c>
      <c r="Y22" s="141" t="b">
        <f t="shared" si="4"/>
        <v>0</v>
      </c>
      <c r="Z22" s="141" t="b">
        <f t="shared" si="5"/>
        <v>0</v>
      </c>
      <c r="AA22" s="141" t="b">
        <f t="shared" si="6"/>
        <v>0</v>
      </c>
    </row>
    <row r="23">
      <c r="A23" s="15">
        <f t="shared" si="7"/>
        <v>22</v>
      </c>
      <c r="B23" s="15"/>
      <c r="C23" s="15"/>
      <c r="D23" s="15" t="s">
        <v>19</v>
      </c>
      <c r="E23" s="15" t="s">
        <v>2401</v>
      </c>
      <c r="F23" s="15"/>
      <c r="G23" s="15"/>
      <c r="H23" s="15"/>
      <c r="I23" s="15" t="s">
        <v>940</v>
      </c>
      <c r="J23" s="15" t="s">
        <v>22</v>
      </c>
      <c r="K23" s="15" t="s">
        <v>225</v>
      </c>
      <c r="L23" s="15" t="s">
        <v>24</v>
      </c>
      <c r="M23" s="16">
        <v>0.75</v>
      </c>
      <c r="N23" s="16">
        <v>1.0</v>
      </c>
      <c r="O23" s="16">
        <v>0.37</v>
      </c>
      <c r="P23" s="17">
        <v>45080.0</v>
      </c>
      <c r="Q23" s="18">
        <v>1.8</v>
      </c>
      <c r="R23" s="15" t="s">
        <v>33</v>
      </c>
      <c r="S23" s="19">
        <f t="shared" si="1"/>
        <v>0.296</v>
      </c>
      <c r="T23" s="19">
        <f t="shared" si="8"/>
        <v>1.695933333</v>
      </c>
      <c r="U23" s="124"/>
      <c r="V23" s="66">
        <v>45099.0</v>
      </c>
      <c r="W23" s="13">
        <f t="shared" si="2"/>
        <v>0.21875</v>
      </c>
      <c r="X23" s="141" t="b">
        <f t="shared" si="3"/>
        <v>0</v>
      </c>
      <c r="Y23" s="141" t="b">
        <f t="shared" si="4"/>
        <v>0</v>
      </c>
      <c r="Z23" s="141" t="str">
        <f t="shared" si="5"/>
        <v>Green-green</v>
      </c>
      <c r="AA23" s="141" t="b">
        <f t="shared" si="6"/>
        <v>0</v>
      </c>
    </row>
    <row r="24">
      <c r="A24" s="8">
        <f t="shared" si="7"/>
        <v>23</v>
      </c>
      <c r="B24" s="8"/>
      <c r="C24" s="8"/>
      <c r="D24" s="8" t="s">
        <v>19</v>
      </c>
      <c r="E24" s="8" t="s">
        <v>2402</v>
      </c>
      <c r="F24" s="8"/>
      <c r="G24" s="8"/>
      <c r="H24" s="8"/>
      <c r="I24" s="8" t="s">
        <v>940</v>
      </c>
      <c r="J24" s="8" t="s">
        <v>22</v>
      </c>
      <c r="K24" s="8" t="s">
        <v>225</v>
      </c>
      <c r="L24" s="8" t="s">
        <v>24</v>
      </c>
      <c r="M24" s="9">
        <v>0.5</v>
      </c>
      <c r="N24" s="9">
        <v>1.0</v>
      </c>
      <c r="O24" s="9">
        <v>0.34</v>
      </c>
      <c r="P24" s="10">
        <v>45080.0</v>
      </c>
      <c r="Q24" s="11">
        <v>1.9</v>
      </c>
      <c r="R24" s="8" t="s">
        <v>33</v>
      </c>
      <c r="S24" s="12">
        <f t="shared" si="1"/>
        <v>0.306</v>
      </c>
      <c r="T24" s="12">
        <f t="shared" si="8"/>
        <v>2.001933333</v>
      </c>
      <c r="U24" s="123"/>
      <c r="V24" s="66">
        <v>45100.0</v>
      </c>
      <c r="W24" s="13">
        <f t="shared" si="2"/>
        <v>0.9</v>
      </c>
      <c r="X24" s="141" t="b">
        <f t="shared" si="3"/>
        <v>0</v>
      </c>
      <c r="Y24" s="141" t="b">
        <f t="shared" si="4"/>
        <v>0</v>
      </c>
      <c r="Z24" s="141" t="str">
        <f t="shared" si="5"/>
        <v>Green-green</v>
      </c>
      <c r="AA24" s="141" t="b">
        <f t="shared" si="6"/>
        <v>0</v>
      </c>
    </row>
    <row r="25">
      <c r="A25" s="15">
        <f t="shared" si="7"/>
        <v>24</v>
      </c>
      <c r="B25" s="15"/>
      <c r="C25" s="15"/>
      <c r="D25" s="15" t="s">
        <v>19</v>
      </c>
      <c r="E25" s="15" t="s">
        <v>2403</v>
      </c>
      <c r="F25" s="15"/>
      <c r="G25" s="15"/>
      <c r="H25" s="15"/>
      <c r="I25" s="15" t="s">
        <v>940</v>
      </c>
      <c r="J25" s="15" t="s">
        <v>22</v>
      </c>
      <c r="K25" s="15" t="s">
        <v>225</v>
      </c>
      <c r="L25" s="15" t="s">
        <v>24</v>
      </c>
      <c r="M25" s="16">
        <v>0.25</v>
      </c>
      <c r="N25" s="16">
        <v>0.17</v>
      </c>
      <c r="O25" s="16">
        <v>0.17</v>
      </c>
      <c r="P25" s="17">
        <v>45080.0</v>
      </c>
      <c r="Q25" s="18">
        <v>2.0</v>
      </c>
      <c r="R25" s="15" t="s">
        <v>30</v>
      </c>
      <c r="S25" s="19">
        <f t="shared" si="1"/>
        <v>0.085</v>
      </c>
      <c r="T25" s="19">
        <f t="shared" si="8"/>
        <v>2.086933333</v>
      </c>
      <c r="U25" s="124"/>
      <c r="V25" s="66">
        <v>45101.0</v>
      </c>
      <c r="W25" s="13">
        <f t="shared" si="2"/>
        <v>1.21449888</v>
      </c>
      <c r="X25" s="141" t="b">
        <f t="shared" si="3"/>
        <v>0</v>
      </c>
      <c r="Y25" s="141" t="str">
        <f t="shared" si="4"/>
        <v>Green-red</v>
      </c>
      <c r="Z25" s="141" t="b">
        <f t="shared" si="5"/>
        <v>0</v>
      </c>
      <c r="AA25" s="141" t="str">
        <f t="shared" si="6"/>
        <v>Red-green</v>
      </c>
    </row>
    <row r="26">
      <c r="A26" s="8">
        <f t="shared" si="7"/>
        <v>25</v>
      </c>
      <c r="B26" s="8"/>
      <c r="C26" s="8"/>
      <c r="D26" s="8" t="s">
        <v>19</v>
      </c>
      <c r="E26" s="8" t="s">
        <v>2404</v>
      </c>
      <c r="F26" s="8"/>
      <c r="G26" s="8"/>
      <c r="H26" s="8"/>
      <c r="I26" s="8" t="s">
        <v>44</v>
      </c>
      <c r="J26" s="8" t="s">
        <v>22</v>
      </c>
      <c r="K26" s="8" t="s">
        <v>225</v>
      </c>
      <c r="L26" s="8" t="s">
        <v>2201</v>
      </c>
      <c r="M26" s="9">
        <v>0.5</v>
      </c>
      <c r="N26" s="9">
        <v>1.0</v>
      </c>
      <c r="O26" s="9">
        <v>0.71</v>
      </c>
      <c r="P26" s="10">
        <v>45080.0</v>
      </c>
      <c r="Q26" s="11">
        <v>1.9</v>
      </c>
      <c r="R26" s="8" t="s">
        <v>25</v>
      </c>
      <c r="S26" s="12">
        <f t="shared" si="1"/>
        <v>-0.71</v>
      </c>
      <c r="T26" s="12">
        <f t="shared" si="8"/>
        <v>1.376933333</v>
      </c>
      <c r="U26" s="123"/>
      <c r="V26" s="66">
        <v>45102.0</v>
      </c>
      <c r="W26" s="13">
        <f t="shared" si="2"/>
        <v>-0.63945</v>
      </c>
      <c r="X26" s="141" t="b">
        <f t="shared" si="3"/>
        <v>0</v>
      </c>
      <c r="Y26" s="141" t="b">
        <f t="shared" si="4"/>
        <v>0</v>
      </c>
      <c r="Z26" s="141" t="b">
        <f t="shared" si="5"/>
        <v>0</v>
      </c>
      <c r="AA26" s="141" t="b">
        <f t="shared" si="6"/>
        <v>0</v>
      </c>
    </row>
    <row r="27">
      <c r="A27" s="15">
        <f t="shared" si="7"/>
        <v>26</v>
      </c>
      <c r="B27" s="15"/>
      <c r="C27" s="15"/>
      <c r="D27" s="15" t="s">
        <v>40</v>
      </c>
      <c r="E27" s="15" t="s">
        <v>2405</v>
      </c>
      <c r="F27" s="15"/>
      <c r="G27" s="15"/>
      <c r="H27" s="15"/>
      <c r="I27" s="15" t="s">
        <v>316</v>
      </c>
      <c r="J27" s="15" t="s">
        <v>22</v>
      </c>
      <c r="K27" s="15" t="s">
        <v>225</v>
      </c>
      <c r="L27" s="15" t="s">
        <v>24</v>
      </c>
      <c r="M27" s="16">
        <v>0.75</v>
      </c>
      <c r="N27" s="16">
        <v>1.0</v>
      </c>
      <c r="O27" s="16">
        <v>1.0</v>
      </c>
      <c r="P27" s="17">
        <v>45080.0</v>
      </c>
      <c r="Q27" s="18">
        <v>1.8</v>
      </c>
      <c r="R27" s="15" t="s">
        <v>33</v>
      </c>
      <c r="S27" s="19">
        <f t="shared" si="1"/>
        <v>0.8</v>
      </c>
      <c r="T27" s="19">
        <f t="shared" si="8"/>
        <v>2.176933333</v>
      </c>
      <c r="U27" s="124"/>
      <c r="V27" s="66">
        <v>45103.0</v>
      </c>
      <c r="W27" s="13">
        <f t="shared" si="2"/>
        <v>0</v>
      </c>
      <c r="X27" s="141" t="b">
        <f t="shared" si="3"/>
        <v>0</v>
      </c>
      <c r="Y27" s="141" t="b">
        <f t="shared" si="4"/>
        <v>0</v>
      </c>
      <c r="Z27" s="141" t="b">
        <f t="shared" si="5"/>
        <v>0</v>
      </c>
      <c r="AA27" s="141" t="b">
        <f t="shared" si="6"/>
        <v>0</v>
      </c>
    </row>
    <row r="28">
      <c r="A28" s="8">
        <f t="shared" si="7"/>
        <v>27</v>
      </c>
      <c r="B28" s="8"/>
      <c r="C28" s="8"/>
      <c r="D28" s="8" t="s">
        <v>40</v>
      </c>
      <c r="E28" s="8" t="s">
        <v>2406</v>
      </c>
      <c r="F28" s="8"/>
      <c r="G28" s="8"/>
      <c r="H28" s="8"/>
      <c r="I28" s="8" t="s">
        <v>908</v>
      </c>
      <c r="J28" s="8" t="s">
        <v>22</v>
      </c>
      <c r="K28" s="8" t="s">
        <v>29</v>
      </c>
      <c r="L28" s="8" t="s">
        <v>24</v>
      </c>
      <c r="M28" s="9">
        <v>-1.75</v>
      </c>
      <c r="N28" s="9">
        <v>0.5</v>
      </c>
      <c r="O28" s="9">
        <v>0.45</v>
      </c>
      <c r="P28" s="10">
        <v>45080.0</v>
      </c>
      <c r="Q28" s="11">
        <v>1.825</v>
      </c>
      <c r="R28" s="8" t="s">
        <v>25</v>
      </c>
      <c r="S28" s="12">
        <f t="shared" si="1"/>
        <v>-0.45</v>
      </c>
      <c r="T28" s="12">
        <f t="shared" si="8"/>
        <v>1.726933333</v>
      </c>
      <c r="U28" s="123"/>
      <c r="V28" s="66">
        <v>45104.0</v>
      </c>
      <c r="W28" s="13">
        <f t="shared" si="2"/>
        <v>0.7452</v>
      </c>
      <c r="X28" s="141" t="b">
        <f t="shared" si="3"/>
        <v>0</v>
      </c>
      <c r="Y28" s="141" t="b">
        <f t="shared" si="4"/>
        <v>0</v>
      </c>
      <c r="Z28" s="141" t="str">
        <f t="shared" si="5"/>
        <v>Green-green</v>
      </c>
      <c r="AA28" s="141" t="b">
        <f t="shared" si="6"/>
        <v>0</v>
      </c>
    </row>
    <row r="29">
      <c r="A29" s="15">
        <f t="shared" si="7"/>
        <v>28</v>
      </c>
      <c r="B29" s="15"/>
      <c r="C29" s="15"/>
      <c r="D29" s="15" t="s">
        <v>40</v>
      </c>
      <c r="E29" s="15" t="s">
        <v>2407</v>
      </c>
      <c r="F29" s="15"/>
      <c r="G29" s="15"/>
      <c r="H29" s="15"/>
      <c r="I29" s="15" t="s">
        <v>908</v>
      </c>
      <c r="J29" s="15" t="s">
        <v>22</v>
      </c>
      <c r="K29" s="15" t="s">
        <v>225</v>
      </c>
      <c r="L29" s="15" t="s">
        <v>24</v>
      </c>
      <c r="M29" s="16">
        <v>1.25</v>
      </c>
      <c r="N29" s="16">
        <v>0.5</v>
      </c>
      <c r="O29" s="16">
        <v>0.1</v>
      </c>
      <c r="P29" s="17">
        <v>45080.0</v>
      </c>
      <c r="Q29" s="18">
        <v>1.775</v>
      </c>
      <c r="R29" s="15" t="s">
        <v>30</v>
      </c>
      <c r="S29" s="19">
        <f t="shared" si="1"/>
        <v>0.03875</v>
      </c>
      <c r="T29" s="19">
        <f t="shared" si="8"/>
        <v>1.765683333</v>
      </c>
      <c r="U29" s="124"/>
      <c r="V29" s="66">
        <v>45105.0</v>
      </c>
      <c r="W29" s="13">
        <f t="shared" si="2"/>
        <v>0.03276</v>
      </c>
      <c r="X29" s="141" t="b">
        <f t="shared" si="3"/>
        <v>0</v>
      </c>
      <c r="Y29" s="141" t="str">
        <f t="shared" si="4"/>
        <v>Green-red</v>
      </c>
      <c r="Z29" s="141" t="b">
        <f t="shared" si="5"/>
        <v>0</v>
      </c>
      <c r="AA29" s="141" t="str">
        <f t="shared" si="6"/>
        <v>Red-green</v>
      </c>
    </row>
    <row r="30">
      <c r="A30" s="8">
        <f t="shared" si="7"/>
        <v>29</v>
      </c>
      <c r="B30" s="8"/>
      <c r="C30" s="8"/>
      <c r="D30" s="8" t="s">
        <v>19</v>
      </c>
      <c r="E30" s="8" t="s">
        <v>2408</v>
      </c>
      <c r="F30" s="8"/>
      <c r="G30" s="8"/>
      <c r="H30" s="8"/>
      <c r="I30" s="8" t="s">
        <v>513</v>
      </c>
      <c r="J30" s="8" t="s">
        <v>22</v>
      </c>
      <c r="K30" s="8" t="s">
        <v>225</v>
      </c>
      <c r="L30" s="8" t="s">
        <v>24</v>
      </c>
      <c r="M30" s="9">
        <v>1.5</v>
      </c>
      <c r="N30" s="9">
        <v>1.0</v>
      </c>
      <c r="O30" s="9">
        <v>0.29</v>
      </c>
      <c r="P30" s="10">
        <v>45080.0</v>
      </c>
      <c r="Q30" s="11">
        <v>1.825</v>
      </c>
      <c r="R30" s="8" t="s">
        <v>33</v>
      </c>
      <c r="S30" s="12">
        <f t="shared" si="1"/>
        <v>0.23925</v>
      </c>
      <c r="T30" s="12">
        <f t="shared" si="8"/>
        <v>2.004933333</v>
      </c>
      <c r="U30" s="123"/>
      <c r="V30" s="66">
        <v>45106.0</v>
      </c>
      <c r="W30" s="13">
        <f t="shared" si="2"/>
        <v>-2.92</v>
      </c>
      <c r="X30" s="141" t="str">
        <f t="shared" si="3"/>
        <v>Red-red</v>
      </c>
      <c r="Y30" s="141" t="b">
        <f t="shared" si="4"/>
        <v>0</v>
      </c>
      <c r="Z30" s="141" t="b">
        <f t="shared" si="5"/>
        <v>0</v>
      </c>
      <c r="AA30" s="141" t="b">
        <f t="shared" si="6"/>
        <v>0</v>
      </c>
    </row>
    <row r="31">
      <c r="A31" s="15">
        <f t="shared" si="7"/>
        <v>30</v>
      </c>
      <c r="B31" s="15"/>
      <c r="C31" s="15"/>
      <c r="D31" s="15" t="s">
        <v>19</v>
      </c>
      <c r="E31" s="15" t="s">
        <v>2409</v>
      </c>
      <c r="F31" s="15"/>
      <c r="G31" s="15"/>
      <c r="H31" s="15"/>
      <c r="I31" s="15" t="s">
        <v>50</v>
      </c>
      <c r="J31" s="15" t="s">
        <v>22</v>
      </c>
      <c r="K31" s="15" t="s">
        <v>1847</v>
      </c>
      <c r="L31" s="15" t="s">
        <v>2201</v>
      </c>
      <c r="M31" s="16">
        <v>-0.5</v>
      </c>
      <c r="N31" s="16">
        <v>1.0</v>
      </c>
      <c r="O31" s="16">
        <v>1.0</v>
      </c>
      <c r="P31" s="17">
        <v>45080.0</v>
      </c>
      <c r="Q31" s="18">
        <f>822.52/500</f>
        <v>1.64504</v>
      </c>
      <c r="R31" s="15" t="s">
        <v>33</v>
      </c>
      <c r="S31" s="19">
        <f t="shared" si="1"/>
        <v>0.64504</v>
      </c>
      <c r="T31" s="19">
        <f t="shared" si="8"/>
        <v>2.649973333</v>
      </c>
      <c r="U31" s="124"/>
      <c r="V31" s="66">
        <v>45107.0</v>
      </c>
      <c r="W31" s="13">
        <f t="shared" si="2"/>
        <v>-0.944686</v>
      </c>
      <c r="X31" s="141" t="str">
        <f t="shared" si="3"/>
        <v>Red-red</v>
      </c>
      <c r="Y31" s="141" t="b">
        <f t="shared" si="4"/>
        <v>0</v>
      </c>
      <c r="Z31" s="141" t="b">
        <f t="shared" si="5"/>
        <v>0</v>
      </c>
      <c r="AA31" s="141" t="b">
        <f t="shared" si="6"/>
        <v>0</v>
      </c>
    </row>
    <row r="32">
      <c r="A32" s="8">
        <f t="shared" si="7"/>
        <v>31</v>
      </c>
      <c r="B32" s="8"/>
      <c r="C32" s="8"/>
      <c r="D32" s="8" t="s">
        <v>19</v>
      </c>
      <c r="E32" s="8" t="s">
        <v>2410</v>
      </c>
      <c r="F32" s="8"/>
      <c r="G32" s="8"/>
      <c r="H32" s="8"/>
      <c r="I32" s="8" t="s">
        <v>82</v>
      </c>
      <c r="J32" s="8" t="s">
        <v>598</v>
      </c>
      <c r="K32" s="8" t="s">
        <v>440</v>
      </c>
      <c r="L32" s="8" t="s">
        <v>24</v>
      </c>
      <c r="M32" s="9">
        <v>2.5</v>
      </c>
      <c r="N32" s="9">
        <v>0.5</v>
      </c>
      <c r="O32" s="9">
        <v>0.5</v>
      </c>
      <c r="P32" s="10">
        <v>45081.0</v>
      </c>
      <c r="Q32" s="11">
        <v>1.83</v>
      </c>
      <c r="R32" s="8" t="s">
        <v>33</v>
      </c>
      <c r="S32" s="12">
        <f t="shared" si="1"/>
        <v>0.415</v>
      </c>
      <c r="T32" s="12">
        <f t="shared" si="8"/>
        <v>3.064973333</v>
      </c>
      <c r="U32" s="123"/>
      <c r="V32" s="66">
        <v>45108.0</v>
      </c>
      <c r="W32" s="13">
        <f t="shared" si="2"/>
        <v>-2.24903</v>
      </c>
      <c r="X32" s="141" t="b">
        <f t="shared" si="3"/>
        <v>0</v>
      </c>
      <c r="Y32" s="141" t="b">
        <f t="shared" si="4"/>
        <v>0</v>
      </c>
      <c r="Z32" s="141" t="b">
        <f t="shared" si="5"/>
        <v>0</v>
      </c>
      <c r="AA32" s="141" t="b">
        <f t="shared" si="6"/>
        <v>0</v>
      </c>
    </row>
    <row r="33">
      <c r="A33" s="15">
        <f t="shared" si="7"/>
        <v>32</v>
      </c>
      <c r="B33" s="15"/>
      <c r="C33" s="15"/>
      <c r="D33" s="15" t="s">
        <v>19</v>
      </c>
      <c r="E33" s="15" t="s">
        <v>2411</v>
      </c>
      <c r="F33" s="15"/>
      <c r="G33" s="15"/>
      <c r="H33" s="15"/>
      <c r="I33" s="15" t="s">
        <v>42</v>
      </c>
      <c r="J33" s="15" t="s">
        <v>22</v>
      </c>
      <c r="K33" s="15" t="s">
        <v>225</v>
      </c>
      <c r="L33" s="15" t="s">
        <v>24</v>
      </c>
      <c r="M33" s="16">
        <v>0.25</v>
      </c>
      <c r="N33" s="16">
        <v>1.0</v>
      </c>
      <c r="O33" s="16">
        <v>0.47</v>
      </c>
      <c r="P33" s="17">
        <v>45080.0</v>
      </c>
      <c r="Q33" s="18">
        <v>2.0</v>
      </c>
      <c r="R33" s="15" t="s">
        <v>30</v>
      </c>
      <c r="S33" s="19">
        <f t="shared" si="1"/>
        <v>0.235</v>
      </c>
      <c r="T33" s="19">
        <f t="shared" si="8"/>
        <v>3.299973333</v>
      </c>
      <c r="U33" s="144"/>
      <c r="V33" s="66">
        <v>45109.0</v>
      </c>
      <c r="W33" s="13">
        <f t="shared" si="2"/>
        <v>1.9327</v>
      </c>
      <c r="X33" s="141" t="b">
        <f t="shared" si="3"/>
        <v>0</v>
      </c>
      <c r="Y33" s="141" t="b">
        <f t="shared" si="4"/>
        <v>0</v>
      </c>
      <c r="Z33" s="141" t="b">
        <f t="shared" si="5"/>
        <v>0</v>
      </c>
      <c r="AA33" s="141" t="b">
        <f t="shared" si="6"/>
        <v>0</v>
      </c>
    </row>
    <row r="34">
      <c r="A34" s="8">
        <f t="shared" si="7"/>
        <v>33</v>
      </c>
      <c r="B34" s="8"/>
      <c r="C34" s="8"/>
      <c r="D34" s="8" t="s">
        <v>19</v>
      </c>
      <c r="E34" s="8" t="s">
        <v>2412</v>
      </c>
      <c r="F34" s="8"/>
      <c r="G34" s="8"/>
      <c r="H34" s="8"/>
      <c r="I34" s="8" t="s">
        <v>42</v>
      </c>
      <c r="J34" s="8" t="s">
        <v>22</v>
      </c>
      <c r="K34" s="8" t="s">
        <v>225</v>
      </c>
      <c r="L34" s="8" t="s">
        <v>24</v>
      </c>
      <c r="M34" s="9">
        <v>0.75</v>
      </c>
      <c r="N34" s="9">
        <v>1.0</v>
      </c>
      <c r="O34" s="9">
        <v>0.43</v>
      </c>
      <c r="P34" s="10">
        <v>45080.0</v>
      </c>
      <c r="Q34" s="11">
        <v>1.975</v>
      </c>
      <c r="R34" s="8" t="s">
        <v>79</v>
      </c>
      <c r="S34" s="12">
        <f t="shared" si="1"/>
        <v>-0.215</v>
      </c>
      <c r="T34" s="12">
        <f t="shared" si="8"/>
        <v>3.084973333</v>
      </c>
      <c r="U34" s="145"/>
      <c r="V34" s="66">
        <v>45110.0</v>
      </c>
      <c r="W34" s="13">
        <f t="shared" si="2"/>
        <v>0</v>
      </c>
      <c r="X34" s="141" t="b">
        <f t="shared" si="3"/>
        <v>0</v>
      </c>
      <c r="Y34" s="141" t="b">
        <f t="shared" si="4"/>
        <v>0</v>
      </c>
      <c r="Z34" s="141" t="b">
        <f t="shared" si="5"/>
        <v>0</v>
      </c>
      <c r="AA34" s="141" t="b">
        <f t="shared" si="6"/>
        <v>0</v>
      </c>
    </row>
    <row r="35">
      <c r="A35" s="15">
        <f t="shared" si="7"/>
        <v>34</v>
      </c>
      <c r="B35" s="15"/>
      <c r="C35" s="15"/>
      <c r="D35" s="15" t="s">
        <v>19</v>
      </c>
      <c r="E35" s="15" t="s">
        <v>2413</v>
      </c>
      <c r="F35" s="15"/>
      <c r="G35" s="15"/>
      <c r="H35" s="15"/>
      <c r="I35" s="15" t="s">
        <v>448</v>
      </c>
      <c r="J35" s="15" t="s">
        <v>22</v>
      </c>
      <c r="K35" s="15" t="s">
        <v>225</v>
      </c>
      <c r="L35" s="15" t="s">
        <v>24</v>
      </c>
      <c r="M35" s="16">
        <v>0.25</v>
      </c>
      <c r="N35" s="16">
        <v>0.5</v>
      </c>
      <c r="O35" s="16">
        <v>0.05</v>
      </c>
      <c r="P35" s="17">
        <v>45080.0</v>
      </c>
      <c r="Q35" s="18">
        <v>1.975</v>
      </c>
      <c r="R35" s="15" t="s">
        <v>33</v>
      </c>
      <c r="S35" s="19">
        <f t="shared" si="1"/>
        <v>0.04875</v>
      </c>
      <c r="T35" s="19">
        <f t="shared" si="8"/>
        <v>3.133723333</v>
      </c>
      <c r="U35" s="144"/>
      <c r="V35" s="66">
        <v>45111.0</v>
      </c>
      <c r="W35" s="13">
        <f t="shared" si="2"/>
        <v>0.2182</v>
      </c>
      <c r="X35" s="141" t="b">
        <f t="shared" si="3"/>
        <v>0</v>
      </c>
      <c r="Y35" s="141" t="b">
        <f t="shared" si="4"/>
        <v>0</v>
      </c>
      <c r="Z35" s="141" t="str">
        <f t="shared" si="5"/>
        <v>Green-green</v>
      </c>
      <c r="AA35" s="141" t="b">
        <f t="shared" si="6"/>
        <v>0</v>
      </c>
    </row>
    <row r="36">
      <c r="A36" s="8">
        <f t="shared" si="7"/>
        <v>35</v>
      </c>
      <c r="B36" s="8"/>
      <c r="C36" s="8"/>
      <c r="D36" s="8" t="s">
        <v>19</v>
      </c>
      <c r="E36" s="8" t="s">
        <v>2414</v>
      </c>
      <c r="F36" s="8"/>
      <c r="G36" s="8"/>
      <c r="H36" s="8"/>
      <c r="I36" s="8" t="s">
        <v>2386</v>
      </c>
      <c r="J36" s="8" t="s">
        <v>598</v>
      </c>
      <c r="K36" s="8" t="s">
        <v>2415</v>
      </c>
      <c r="L36" s="8" t="s">
        <v>39</v>
      </c>
      <c r="M36" s="9">
        <v>5.5</v>
      </c>
      <c r="N36" s="9">
        <v>0.25</v>
      </c>
      <c r="O36" s="9">
        <v>0.25</v>
      </c>
      <c r="P36" s="10">
        <v>45080.0</v>
      </c>
      <c r="Q36" s="11">
        <v>1.825</v>
      </c>
      <c r="R36" s="8" t="s">
        <v>33</v>
      </c>
      <c r="S36" s="12">
        <f t="shared" si="1"/>
        <v>0.20625</v>
      </c>
      <c r="T36" s="12">
        <f t="shared" si="8"/>
        <v>3.339973333</v>
      </c>
      <c r="U36" s="145"/>
      <c r="V36" s="66">
        <v>45112.0</v>
      </c>
      <c r="W36" s="13">
        <f t="shared" si="2"/>
        <v>1.240493</v>
      </c>
      <c r="X36" s="141" t="b">
        <f t="shared" si="3"/>
        <v>0</v>
      </c>
      <c r="Y36" s="141" t="str">
        <f t="shared" si="4"/>
        <v>Green-red</v>
      </c>
      <c r="Z36" s="141" t="b">
        <f t="shared" si="5"/>
        <v>0</v>
      </c>
      <c r="AA36" s="141" t="str">
        <f t="shared" si="6"/>
        <v>Red-green</v>
      </c>
    </row>
    <row r="37">
      <c r="A37" s="15">
        <f t="shared" si="7"/>
        <v>36</v>
      </c>
      <c r="B37" s="15"/>
      <c r="C37" s="15"/>
      <c r="D37" s="15" t="s">
        <v>40</v>
      </c>
      <c r="E37" s="15" t="s">
        <v>2416</v>
      </c>
      <c r="F37" s="15"/>
      <c r="G37" s="15"/>
      <c r="H37" s="15"/>
      <c r="I37" s="15" t="s">
        <v>1549</v>
      </c>
      <c r="J37" s="15" t="s">
        <v>22</v>
      </c>
      <c r="K37" s="15" t="s">
        <v>1847</v>
      </c>
      <c r="L37" s="15" t="s">
        <v>24</v>
      </c>
      <c r="M37" s="16">
        <v>-0.5</v>
      </c>
      <c r="N37" s="16">
        <v>0.5</v>
      </c>
      <c r="O37" s="16">
        <v>0.5</v>
      </c>
      <c r="P37" s="17">
        <v>45080.0</v>
      </c>
      <c r="Q37" s="18">
        <f>291.67/250</f>
        <v>1.16668</v>
      </c>
      <c r="R37" s="15" t="s">
        <v>33</v>
      </c>
      <c r="S37" s="19">
        <f t="shared" si="1"/>
        <v>0.08334</v>
      </c>
      <c r="T37" s="19">
        <f t="shared" si="8"/>
        <v>3.423313333</v>
      </c>
      <c r="U37" s="144"/>
      <c r="V37" s="66">
        <v>45113.0</v>
      </c>
      <c r="W37" s="13">
        <f t="shared" si="2"/>
        <v>-0.435875</v>
      </c>
      <c r="X37" s="141" t="str">
        <f t="shared" si="3"/>
        <v>Red-red</v>
      </c>
      <c r="Y37" s="141" t="b">
        <f t="shared" si="4"/>
        <v>0</v>
      </c>
      <c r="Z37" s="141" t="b">
        <f t="shared" si="5"/>
        <v>0</v>
      </c>
      <c r="AA37" s="141" t="b">
        <f t="shared" si="6"/>
        <v>0</v>
      </c>
    </row>
    <row r="38">
      <c r="A38" s="8">
        <f t="shared" si="7"/>
        <v>37</v>
      </c>
      <c r="B38" s="8"/>
      <c r="C38" s="8"/>
      <c r="D38" s="8" t="s">
        <v>19</v>
      </c>
      <c r="E38" s="8" t="s">
        <v>2417</v>
      </c>
      <c r="F38" s="8"/>
      <c r="G38" s="8"/>
      <c r="H38" s="8"/>
      <c r="I38" s="8" t="s">
        <v>248</v>
      </c>
      <c r="J38" s="8" t="s">
        <v>22</v>
      </c>
      <c r="K38" s="8" t="s">
        <v>225</v>
      </c>
      <c r="L38" s="8" t="s">
        <v>24</v>
      </c>
      <c r="M38" s="9">
        <v>0.25</v>
      </c>
      <c r="N38" s="9">
        <v>0.5</v>
      </c>
      <c r="O38" s="9">
        <v>0.5</v>
      </c>
      <c r="P38" s="10">
        <v>45080.0</v>
      </c>
      <c r="Q38" s="11">
        <v>1.925</v>
      </c>
      <c r="R38" s="8" t="s">
        <v>25</v>
      </c>
      <c r="S38" s="12">
        <f t="shared" si="1"/>
        <v>-0.5</v>
      </c>
      <c r="T38" s="12">
        <f t="shared" si="8"/>
        <v>2.923313333</v>
      </c>
      <c r="U38" s="145"/>
      <c r="V38" s="66">
        <v>45114.0</v>
      </c>
      <c r="W38" s="13">
        <f t="shared" si="2"/>
        <v>-1.0581165</v>
      </c>
      <c r="X38" s="141" t="b">
        <f t="shared" si="3"/>
        <v>0</v>
      </c>
      <c r="Y38" s="141" t="b">
        <f t="shared" si="4"/>
        <v>0</v>
      </c>
      <c r="Z38" s="141" t="b">
        <f t="shared" si="5"/>
        <v>0</v>
      </c>
      <c r="AA38" s="141" t="b">
        <f t="shared" si="6"/>
        <v>0</v>
      </c>
    </row>
    <row r="39">
      <c r="A39" s="15">
        <f t="shared" si="7"/>
        <v>38</v>
      </c>
      <c r="B39" s="15"/>
      <c r="C39" s="15"/>
      <c r="D39" s="15" t="s">
        <v>19</v>
      </c>
      <c r="E39" s="15" t="s">
        <v>2418</v>
      </c>
      <c r="F39" s="15"/>
      <c r="G39" s="15"/>
      <c r="H39" s="15"/>
      <c r="I39" s="15" t="s">
        <v>44</v>
      </c>
      <c r="J39" s="15" t="s">
        <v>22</v>
      </c>
      <c r="K39" s="15" t="s">
        <v>225</v>
      </c>
      <c r="L39" s="15" t="s">
        <v>2201</v>
      </c>
      <c r="M39" s="16">
        <v>0.5</v>
      </c>
      <c r="N39" s="16">
        <v>0.5</v>
      </c>
      <c r="O39" s="16">
        <v>0.5</v>
      </c>
      <c r="P39" s="17">
        <v>45080.0</v>
      </c>
      <c r="Q39" s="18">
        <v>1.85</v>
      </c>
      <c r="R39" s="15" t="s">
        <v>25</v>
      </c>
      <c r="S39" s="19">
        <f t="shared" si="1"/>
        <v>-0.5</v>
      </c>
      <c r="T39" s="19">
        <f t="shared" si="8"/>
        <v>2.423313333</v>
      </c>
      <c r="U39" s="144"/>
      <c r="V39" s="66">
        <v>45115.0</v>
      </c>
      <c r="W39" s="13">
        <f t="shared" si="2"/>
        <v>0.10959</v>
      </c>
      <c r="X39" s="141" t="b">
        <f t="shared" si="3"/>
        <v>0</v>
      </c>
      <c r="Y39" s="141" t="str">
        <f t="shared" si="4"/>
        <v>Green-red</v>
      </c>
      <c r="Z39" s="141" t="b">
        <f t="shared" si="5"/>
        <v>0</v>
      </c>
      <c r="AA39" s="141" t="str">
        <f t="shared" si="6"/>
        <v>Red-green</v>
      </c>
    </row>
    <row r="40">
      <c r="A40" s="8">
        <f t="shared" si="7"/>
        <v>39</v>
      </c>
      <c r="B40" s="8"/>
      <c r="C40" s="8"/>
      <c r="D40" s="8" t="s">
        <v>19</v>
      </c>
      <c r="E40" s="8" t="s">
        <v>2419</v>
      </c>
      <c r="F40" s="8"/>
      <c r="G40" s="8"/>
      <c r="H40" s="8"/>
      <c r="I40" s="8" t="s">
        <v>78</v>
      </c>
      <c r="J40" s="8" t="s">
        <v>22</v>
      </c>
      <c r="K40" s="8" t="s">
        <v>225</v>
      </c>
      <c r="L40" s="8" t="s">
        <v>2201</v>
      </c>
      <c r="M40" s="9">
        <v>1.0</v>
      </c>
      <c r="N40" s="9">
        <v>0.5</v>
      </c>
      <c r="O40" s="9">
        <v>0.5</v>
      </c>
      <c r="P40" s="10">
        <v>45080.0</v>
      </c>
      <c r="Q40" s="11">
        <v>1.8</v>
      </c>
      <c r="R40" s="8" t="s">
        <v>70</v>
      </c>
      <c r="S40" s="12">
        <f t="shared" si="1"/>
        <v>0</v>
      </c>
      <c r="T40" s="12">
        <f t="shared" si="8"/>
        <v>2.423313333</v>
      </c>
      <c r="U40" s="145"/>
      <c r="V40" s="66">
        <v>45116.0</v>
      </c>
      <c r="W40" s="13">
        <f t="shared" si="2"/>
        <v>-0.435003</v>
      </c>
      <c r="X40" s="141" t="b">
        <f t="shared" si="3"/>
        <v>0</v>
      </c>
      <c r="Y40" s="141" t="b">
        <f t="shared" si="4"/>
        <v>0</v>
      </c>
      <c r="Z40" s="141" t="b">
        <f t="shared" si="5"/>
        <v>0</v>
      </c>
      <c r="AA40" s="141" t="b">
        <f t="shared" si="6"/>
        <v>0</v>
      </c>
    </row>
    <row r="41">
      <c r="A41" s="15">
        <f t="shared" si="7"/>
        <v>40</v>
      </c>
      <c r="B41" s="15"/>
      <c r="C41" s="15"/>
      <c r="D41" s="15" t="s">
        <v>19</v>
      </c>
      <c r="E41" s="15" t="s">
        <v>2420</v>
      </c>
      <c r="F41" s="15"/>
      <c r="G41" s="15"/>
      <c r="H41" s="15"/>
      <c r="I41" s="15" t="s">
        <v>635</v>
      </c>
      <c r="J41" s="15" t="s">
        <v>22</v>
      </c>
      <c r="K41" s="15" t="s">
        <v>225</v>
      </c>
      <c r="L41" s="15" t="s">
        <v>24</v>
      </c>
      <c r="M41" s="16">
        <v>0.5</v>
      </c>
      <c r="N41" s="16">
        <v>0.5</v>
      </c>
      <c r="O41" s="16">
        <v>0.5</v>
      </c>
      <c r="P41" s="17">
        <v>45080.0</v>
      </c>
      <c r="Q41" s="18">
        <v>1.85</v>
      </c>
      <c r="R41" s="15" t="s">
        <v>25</v>
      </c>
      <c r="S41" s="19">
        <f t="shared" si="1"/>
        <v>-0.5</v>
      </c>
      <c r="T41" s="19">
        <f t="shared" si="8"/>
        <v>1.923313333</v>
      </c>
      <c r="U41" s="144"/>
      <c r="V41" s="66">
        <v>45117.0</v>
      </c>
      <c r="W41" s="13">
        <f t="shared" si="2"/>
        <v>0</v>
      </c>
      <c r="X41" s="141" t="b">
        <f t="shared" si="3"/>
        <v>0</v>
      </c>
      <c r="Y41" s="141" t="b">
        <f t="shared" si="4"/>
        <v>0</v>
      </c>
      <c r="Z41" s="141" t="b">
        <f t="shared" si="5"/>
        <v>0</v>
      </c>
      <c r="AA41" s="141" t="b">
        <f t="shared" si="6"/>
        <v>0</v>
      </c>
    </row>
    <row r="42">
      <c r="A42" s="8">
        <f t="shared" si="7"/>
        <v>41</v>
      </c>
      <c r="B42" s="8"/>
      <c r="C42" s="8"/>
      <c r="D42" s="8" t="s">
        <v>19</v>
      </c>
      <c r="E42" s="8" t="s">
        <v>2421</v>
      </c>
      <c r="F42" s="8"/>
      <c r="G42" s="8"/>
      <c r="H42" s="8"/>
      <c r="I42" s="8" t="s">
        <v>218</v>
      </c>
      <c r="J42" s="8" t="s">
        <v>22</v>
      </c>
      <c r="K42" s="8" t="s">
        <v>225</v>
      </c>
      <c r="L42" s="8" t="s">
        <v>24</v>
      </c>
      <c r="M42" s="9">
        <v>0.5</v>
      </c>
      <c r="N42" s="9">
        <v>1.0</v>
      </c>
      <c r="O42" s="9">
        <v>0.77</v>
      </c>
      <c r="P42" s="10">
        <v>45081.0</v>
      </c>
      <c r="Q42" s="11">
        <v>1.8</v>
      </c>
      <c r="R42" s="8" t="s">
        <v>25</v>
      </c>
      <c r="S42" s="12">
        <f t="shared" si="1"/>
        <v>-0.77</v>
      </c>
      <c r="T42" s="12">
        <f t="shared" si="8"/>
        <v>1.153313333</v>
      </c>
      <c r="U42" s="145"/>
      <c r="V42" s="66">
        <v>45118.0</v>
      </c>
      <c r="W42" s="13">
        <f t="shared" si="2"/>
        <v>0.510171875</v>
      </c>
      <c r="X42" s="141" t="b">
        <f t="shared" si="3"/>
        <v>0</v>
      </c>
      <c r="Y42" s="141" t="b">
        <f t="shared" si="4"/>
        <v>0</v>
      </c>
      <c r="Z42" s="141" t="str">
        <f t="shared" si="5"/>
        <v>Green-green</v>
      </c>
      <c r="AA42" s="141" t="b">
        <f t="shared" si="6"/>
        <v>0</v>
      </c>
    </row>
    <row r="43">
      <c r="A43" s="15">
        <f t="shared" si="7"/>
        <v>42</v>
      </c>
      <c r="B43" s="15"/>
      <c r="C43" s="15"/>
      <c r="D43" s="15" t="s">
        <v>19</v>
      </c>
      <c r="E43" s="15" t="s">
        <v>2421</v>
      </c>
      <c r="F43" s="15"/>
      <c r="G43" s="15"/>
      <c r="H43" s="15"/>
      <c r="I43" s="15" t="s">
        <v>218</v>
      </c>
      <c r="J43" s="15" t="s">
        <v>22</v>
      </c>
      <c r="K43" s="15" t="s">
        <v>225</v>
      </c>
      <c r="L43" s="15" t="s">
        <v>24</v>
      </c>
      <c r="M43" s="16">
        <v>0.5</v>
      </c>
      <c r="N43" s="16">
        <v>0.5</v>
      </c>
      <c r="O43" s="16">
        <v>0.13</v>
      </c>
      <c r="P43" s="17">
        <v>45081.0</v>
      </c>
      <c r="Q43" s="18">
        <v>1.95</v>
      </c>
      <c r="R43" s="15" t="s">
        <v>25</v>
      </c>
      <c r="S43" s="19">
        <f t="shared" si="1"/>
        <v>-0.13</v>
      </c>
      <c r="T43" s="19">
        <f t="shared" si="8"/>
        <v>1.023313333</v>
      </c>
      <c r="U43" s="144"/>
      <c r="V43" s="66">
        <v>45119.0</v>
      </c>
      <c r="W43" s="13">
        <f t="shared" si="2"/>
        <v>0.81335</v>
      </c>
      <c r="X43" s="141" t="b">
        <f t="shared" si="3"/>
        <v>0</v>
      </c>
      <c r="Y43" s="141" t="str">
        <f t="shared" si="4"/>
        <v>Green-red</v>
      </c>
      <c r="Z43" s="141" t="b">
        <f t="shared" si="5"/>
        <v>0</v>
      </c>
      <c r="AA43" s="141" t="str">
        <f t="shared" si="6"/>
        <v>Red-green</v>
      </c>
    </row>
    <row r="44">
      <c r="A44" s="8">
        <f t="shared" si="7"/>
        <v>43</v>
      </c>
      <c r="B44" s="8"/>
      <c r="C44" s="8"/>
      <c r="D44" s="8" t="s">
        <v>19</v>
      </c>
      <c r="E44" s="8" t="s">
        <v>2422</v>
      </c>
      <c r="F44" s="8"/>
      <c r="G44" s="8"/>
      <c r="H44" s="8"/>
      <c r="I44" s="8" t="s">
        <v>908</v>
      </c>
      <c r="J44" s="8" t="s">
        <v>22</v>
      </c>
      <c r="K44" s="8" t="s">
        <v>225</v>
      </c>
      <c r="L44" s="8" t="s">
        <v>1803</v>
      </c>
      <c r="M44" s="9">
        <v>0.5</v>
      </c>
      <c r="N44" s="9">
        <v>1.0</v>
      </c>
      <c r="O44" s="9">
        <v>1.0</v>
      </c>
      <c r="P44" s="10">
        <v>45081.0</v>
      </c>
      <c r="Q44" s="11">
        <v>1.9</v>
      </c>
      <c r="R44" s="8" t="s">
        <v>33</v>
      </c>
      <c r="S44" s="12">
        <f t="shared" si="1"/>
        <v>0.9</v>
      </c>
      <c r="T44" s="12">
        <f t="shared" si="8"/>
        <v>1.923313333</v>
      </c>
      <c r="U44" s="145"/>
      <c r="V44" s="66">
        <v>45120.0</v>
      </c>
      <c r="W44" s="13">
        <f t="shared" si="2"/>
        <v>-0.333375</v>
      </c>
      <c r="X44" s="141" t="b">
        <f t="shared" si="3"/>
        <v>0</v>
      </c>
      <c r="Y44" s="141" t="b">
        <f t="shared" si="4"/>
        <v>0</v>
      </c>
      <c r="Z44" s="141" t="b">
        <f t="shared" si="5"/>
        <v>0</v>
      </c>
      <c r="AA44" s="141" t="b">
        <f t="shared" si="6"/>
        <v>0</v>
      </c>
    </row>
    <row r="45">
      <c r="A45" s="15">
        <f t="shared" si="7"/>
        <v>44</v>
      </c>
      <c r="B45" s="15"/>
      <c r="C45" s="15"/>
      <c r="D45" s="15" t="s">
        <v>19</v>
      </c>
      <c r="E45" s="15" t="s">
        <v>2423</v>
      </c>
      <c r="F45" s="15"/>
      <c r="G45" s="15"/>
      <c r="H45" s="15"/>
      <c r="I45" s="15" t="s">
        <v>82</v>
      </c>
      <c r="J45" s="15" t="s">
        <v>598</v>
      </c>
      <c r="K45" s="15" t="s">
        <v>2415</v>
      </c>
      <c r="L45" s="15" t="s">
        <v>39</v>
      </c>
      <c r="M45" s="16">
        <v>4.5</v>
      </c>
      <c r="N45" s="16">
        <v>0.25</v>
      </c>
      <c r="O45" s="16">
        <v>0.25</v>
      </c>
      <c r="P45" s="17">
        <v>45081.0</v>
      </c>
      <c r="Q45" s="18">
        <v>1.9</v>
      </c>
      <c r="R45" s="15" t="s">
        <v>25</v>
      </c>
      <c r="S45" s="19">
        <f t="shared" si="1"/>
        <v>-0.25</v>
      </c>
      <c r="T45" s="19">
        <f t="shared" si="8"/>
        <v>1.673313333</v>
      </c>
      <c r="U45" s="144"/>
      <c r="V45" s="66">
        <v>45121.0</v>
      </c>
      <c r="W45" s="13">
        <f t="shared" si="2"/>
        <v>0.35501636</v>
      </c>
      <c r="X45" s="141" t="b">
        <f t="shared" si="3"/>
        <v>0</v>
      </c>
      <c r="Y45" s="141" t="b">
        <f t="shared" si="4"/>
        <v>0</v>
      </c>
      <c r="Z45" s="141" t="str">
        <f t="shared" si="5"/>
        <v>Green-green</v>
      </c>
      <c r="AA45" s="141" t="b">
        <f t="shared" si="6"/>
        <v>0</v>
      </c>
    </row>
    <row r="46">
      <c r="A46" s="8">
        <f t="shared" si="7"/>
        <v>45</v>
      </c>
      <c r="B46" s="8"/>
      <c r="C46" s="8"/>
      <c r="D46" s="8" t="s">
        <v>19</v>
      </c>
      <c r="E46" s="8" t="s">
        <v>2424</v>
      </c>
      <c r="F46" s="8"/>
      <c r="G46" s="8"/>
      <c r="H46" s="8"/>
      <c r="I46" s="8" t="s">
        <v>218</v>
      </c>
      <c r="J46" s="8" t="s">
        <v>22</v>
      </c>
      <c r="K46" s="8" t="s">
        <v>225</v>
      </c>
      <c r="L46" s="8" t="s">
        <v>24</v>
      </c>
      <c r="M46" s="9">
        <v>0.5</v>
      </c>
      <c r="N46" s="9">
        <v>0.5</v>
      </c>
      <c r="O46" s="9">
        <v>0.5</v>
      </c>
      <c r="P46" s="10">
        <v>45081.0</v>
      </c>
      <c r="Q46" s="11">
        <f>675/450</f>
        <v>1.5</v>
      </c>
      <c r="R46" s="8" t="s">
        <v>33</v>
      </c>
      <c r="S46" s="12">
        <f t="shared" si="1"/>
        <v>0.25</v>
      </c>
      <c r="T46" s="12">
        <f t="shared" si="8"/>
        <v>1.923313333</v>
      </c>
      <c r="U46" s="145"/>
      <c r="V46" s="66">
        <v>45122.0</v>
      </c>
      <c r="W46" s="13">
        <f t="shared" si="2"/>
        <v>1.0551126</v>
      </c>
      <c r="X46" s="141" t="b">
        <f t="shared" si="3"/>
        <v>0</v>
      </c>
      <c r="Y46" s="141" t="b">
        <f t="shared" si="4"/>
        <v>0</v>
      </c>
      <c r="Z46" s="141" t="str">
        <f t="shared" si="5"/>
        <v>Green-green</v>
      </c>
      <c r="AA46" s="141" t="b">
        <f t="shared" si="6"/>
        <v>0</v>
      </c>
    </row>
    <row r="47">
      <c r="A47" s="15">
        <f t="shared" si="7"/>
        <v>46</v>
      </c>
      <c r="B47" s="15"/>
      <c r="C47" s="15"/>
      <c r="D47" s="15" t="s">
        <v>19</v>
      </c>
      <c r="E47" s="15" t="s">
        <v>2425</v>
      </c>
      <c r="F47" s="15"/>
      <c r="G47" s="15"/>
      <c r="H47" s="15"/>
      <c r="I47" s="15" t="s">
        <v>316</v>
      </c>
      <c r="J47" s="15" t="s">
        <v>22</v>
      </c>
      <c r="K47" s="15" t="s">
        <v>1847</v>
      </c>
      <c r="L47" s="15" t="s">
        <v>2201</v>
      </c>
      <c r="M47" s="16">
        <v>-0.5</v>
      </c>
      <c r="N47" s="16">
        <v>0.5</v>
      </c>
      <c r="O47" s="16">
        <v>0.5</v>
      </c>
      <c r="P47" s="17">
        <v>45081.0</v>
      </c>
      <c r="Q47" s="18">
        <v>1.8</v>
      </c>
      <c r="R47" s="15" t="s">
        <v>25</v>
      </c>
      <c r="S47" s="19">
        <f t="shared" si="1"/>
        <v>-0.5</v>
      </c>
      <c r="T47" s="19">
        <f t="shared" si="8"/>
        <v>1.423313333</v>
      </c>
      <c r="U47" s="144"/>
      <c r="V47" s="66">
        <v>45123.0</v>
      </c>
      <c r="W47" s="13">
        <f t="shared" si="2"/>
        <v>0.06848041333</v>
      </c>
      <c r="X47" s="141" t="b">
        <f t="shared" si="3"/>
        <v>0</v>
      </c>
      <c r="Y47" s="141" t="b">
        <f t="shared" si="4"/>
        <v>0</v>
      </c>
      <c r="Z47" s="141" t="b">
        <f t="shared" si="5"/>
        <v>0</v>
      </c>
      <c r="AA47" s="141" t="b">
        <f t="shared" si="6"/>
        <v>0</v>
      </c>
    </row>
    <row r="48">
      <c r="A48" s="8">
        <f t="shared" si="7"/>
        <v>47</v>
      </c>
      <c r="B48" s="8"/>
      <c r="C48" s="8"/>
      <c r="D48" s="8" t="s">
        <v>19</v>
      </c>
      <c r="E48" s="8" t="s">
        <v>2426</v>
      </c>
      <c r="F48" s="8"/>
      <c r="G48" s="8"/>
      <c r="H48" s="8"/>
      <c r="I48" s="8" t="s">
        <v>121</v>
      </c>
      <c r="J48" s="8" t="s">
        <v>22</v>
      </c>
      <c r="K48" s="8" t="s">
        <v>225</v>
      </c>
      <c r="L48" s="8" t="s">
        <v>1803</v>
      </c>
      <c r="M48" s="9">
        <v>0.25</v>
      </c>
      <c r="N48" s="9">
        <v>1.0</v>
      </c>
      <c r="O48" s="9">
        <v>0.77</v>
      </c>
      <c r="P48" s="10">
        <v>45081.0</v>
      </c>
      <c r="Q48" s="11">
        <v>1.775</v>
      </c>
      <c r="R48" s="8" t="s">
        <v>25</v>
      </c>
      <c r="S48" s="12">
        <f t="shared" si="1"/>
        <v>-0.77</v>
      </c>
      <c r="T48" s="12">
        <f t="shared" si="8"/>
        <v>0.6533133333</v>
      </c>
      <c r="U48" s="145"/>
      <c r="V48" s="66">
        <v>45124.0</v>
      </c>
      <c r="W48" s="13">
        <f t="shared" si="2"/>
        <v>0</v>
      </c>
      <c r="X48" s="141" t="b">
        <f t="shared" si="3"/>
        <v>0</v>
      </c>
      <c r="Y48" s="141" t="b">
        <f t="shared" si="4"/>
        <v>0</v>
      </c>
      <c r="Z48" s="141" t="b">
        <f t="shared" si="5"/>
        <v>0</v>
      </c>
      <c r="AA48" s="141" t="b">
        <f t="shared" si="6"/>
        <v>0</v>
      </c>
      <c r="AB48" s="143"/>
    </row>
    <row r="49">
      <c r="A49" s="15">
        <f t="shared" si="7"/>
        <v>48</v>
      </c>
      <c r="B49" s="15"/>
      <c r="C49" s="15"/>
      <c r="D49" s="15" t="s">
        <v>19</v>
      </c>
      <c r="E49" s="15" t="s">
        <v>2427</v>
      </c>
      <c r="F49" s="15"/>
      <c r="G49" s="15"/>
      <c r="H49" s="15"/>
      <c r="I49" s="15" t="s">
        <v>218</v>
      </c>
      <c r="J49" s="15" t="s">
        <v>22</v>
      </c>
      <c r="K49" s="15" t="s">
        <v>1847</v>
      </c>
      <c r="L49" s="15" t="s">
        <v>24</v>
      </c>
      <c r="M49" s="16">
        <v>-0.5</v>
      </c>
      <c r="N49" s="16">
        <v>0.1</v>
      </c>
      <c r="O49" s="16">
        <v>0.1</v>
      </c>
      <c r="P49" s="17">
        <v>45081.0</v>
      </c>
      <c r="Q49" s="18">
        <v>6.5</v>
      </c>
      <c r="R49" s="15" t="s">
        <v>33</v>
      </c>
      <c r="S49" s="19">
        <f t="shared" si="1"/>
        <v>0.55</v>
      </c>
      <c r="T49" s="19">
        <f t="shared" si="8"/>
        <v>1.203313333</v>
      </c>
      <c r="U49" s="144"/>
      <c r="V49" s="66">
        <v>45125.0</v>
      </c>
      <c r="W49" s="13">
        <f t="shared" si="2"/>
        <v>0.53</v>
      </c>
      <c r="X49" s="141" t="b">
        <f t="shared" si="3"/>
        <v>0</v>
      </c>
      <c r="Y49" s="141" t="b">
        <f t="shared" si="4"/>
        <v>0</v>
      </c>
      <c r="Z49" s="141" t="str">
        <f t="shared" si="5"/>
        <v>Green-green</v>
      </c>
      <c r="AA49" s="141" t="b">
        <f t="shared" si="6"/>
        <v>0</v>
      </c>
      <c r="AB49" s="143"/>
    </row>
    <row r="50">
      <c r="A50" s="8">
        <f t="shared" si="7"/>
        <v>49</v>
      </c>
      <c r="B50" s="8"/>
      <c r="C50" s="8"/>
      <c r="D50" s="8" t="s">
        <v>19</v>
      </c>
      <c r="E50" s="8" t="s">
        <v>2428</v>
      </c>
      <c r="F50" s="8"/>
      <c r="G50" s="8"/>
      <c r="H50" s="8"/>
      <c r="I50" s="8" t="s">
        <v>82</v>
      </c>
      <c r="J50" s="8" t="s">
        <v>22</v>
      </c>
      <c r="K50" s="8" t="s">
        <v>225</v>
      </c>
      <c r="L50" s="8" t="s">
        <v>24</v>
      </c>
      <c r="M50" s="9">
        <v>0.5</v>
      </c>
      <c r="N50" s="9">
        <v>0.5</v>
      </c>
      <c r="O50" s="9">
        <v>0.5</v>
      </c>
      <c r="P50" s="10">
        <v>45081.0</v>
      </c>
      <c r="Q50" s="11">
        <v>1.8</v>
      </c>
      <c r="R50" s="8" t="s">
        <v>25</v>
      </c>
      <c r="S50" s="12">
        <f t="shared" si="1"/>
        <v>-0.5</v>
      </c>
      <c r="T50" s="12">
        <f t="shared" si="8"/>
        <v>0.7033133333</v>
      </c>
      <c r="U50" s="145"/>
      <c r="V50" s="66">
        <v>45126.0</v>
      </c>
      <c r="W50" s="13">
        <f t="shared" si="2"/>
        <v>0.31255</v>
      </c>
      <c r="X50" s="141" t="b">
        <f t="shared" si="3"/>
        <v>0</v>
      </c>
      <c r="Y50" s="141" t="b">
        <f t="shared" si="4"/>
        <v>0</v>
      </c>
      <c r="Z50" s="141" t="str">
        <f t="shared" si="5"/>
        <v>Green-green</v>
      </c>
      <c r="AA50" s="141" t="b">
        <f t="shared" si="6"/>
        <v>0</v>
      </c>
    </row>
    <row r="51">
      <c r="A51" s="15">
        <f t="shared" si="7"/>
        <v>50</v>
      </c>
      <c r="B51" s="15"/>
      <c r="C51" s="15"/>
      <c r="D51" s="15" t="s">
        <v>19</v>
      </c>
      <c r="E51" s="15" t="s">
        <v>2429</v>
      </c>
      <c r="F51" s="15"/>
      <c r="G51" s="15"/>
      <c r="H51" s="15"/>
      <c r="I51" s="15" t="s">
        <v>82</v>
      </c>
      <c r="J51" s="15" t="s">
        <v>22</v>
      </c>
      <c r="K51" s="15" t="s">
        <v>29</v>
      </c>
      <c r="L51" s="15" t="s">
        <v>24</v>
      </c>
      <c r="M51" s="16">
        <v>-2.0</v>
      </c>
      <c r="N51" s="16">
        <v>0.5</v>
      </c>
      <c r="O51" s="16">
        <v>0.5</v>
      </c>
      <c r="P51" s="17">
        <v>45081.0</v>
      </c>
      <c r="Q51" s="18">
        <v>1.75</v>
      </c>
      <c r="R51" s="15" t="s">
        <v>25</v>
      </c>
      <c r="S51" s="19">
        <f t="shared" si="1"/>
        <v>-0.5</v>
      </c>
      <c r="T51" s="19">
        <f t="shared" si="8"/>
        <v>0.2033133333</v>
      </c>
      <c r="U51" s="139"/>
      <c r="V51" s="66">
        <v>45127.0</v>
      </c>
      <c r="W51" s="13">
        <f t="shared" si="2"/>
        <v>0.1599284</v>
      </c>
      <c r="X51" s="141" t="b">
        <f t="shared" si="3"/>
        <v>0</v>
      </c>
      <c r="Y51" s="141" t="b">
        <f t="shared" si="4"/>
        <v>0</v>
      </c>
      <c r="Z51" s="141" t="str">
        <f t="shared" si="5"/>
        <v>Green-green</v>
      </c>
      <c r="AA51" s="141" t="b">
        <f t="shared" si="6"/>
        <v>0</v>
      </c>
    </row>
    <row r="52">
      <c r="A52" s="8">
        <f t="shared" si="7"/>
        <v>51</v>
      </c>
      <c r="B52" s="8"/>
      <c r="C52" s="8"/>
      <c r="D52" s="8" t="s">
        <v>19</v>
      </c>
      <c r="E52" s="8" t="s">
        <v>2430</v>
      </c>
      <c r="F52" s="8"/>
      <c r="G52" s="8"/>
      <c r="H52" s="8"/>
      <c r="I52" s="8" t="s">
        <v>463</v>
      </c>
      <c r="J52" s="8" t="s">
        <v>22</v>
      </c>
      <c r="K52" s="8" t="s">
        <v>225</v>
      </c>
      <c r="L52" s="8" t="s">
        <v>24</v>
      </c>
      <c r="M52" s="9">
        <v>0.25</v>
      </c>
      <c r="N52" s="9">
        <v>1.0</v>
      </c>
      <c r="O52" s="9">
        <v>1.0</v>
      </c>
      <c r="P52" s="10">
        <v>45081.0</v>
      </c>
      <c r="Q52" s="11">
        <v>1.825</v>
      </c>
      <c r="R52" s="8" t="s">
        <v>33</v>
      </c>
      <c r="S52" s="12">
        <f t="shared" si="1"/>
        <v>0.825</v>
      </c>
      <c r="T52" s="12">
        <f t="shared" si="8"/>
        <v>1.028313333</v>
      </c>
      <c r="U52" s="114"/>
      <c r="V52" s="66">
        <v>45128.0</v>
      </c>
      <c r="W52" s="13">
        <f t="shared" si="2"/>
        <v>0.27754</v>
      </c>
      <c r="X52" s="141" t="b">
        <f t="shared" si="3"/>
        <v>0</v>
      </c>
      <c r="Y52" s="141" t="str">
        <f t="shared" si="4"/>
        <v>Green-red</v>
      </c>
      <c r="Z52" s="141" t="b">
        <f t="shared" si="5"/>
        <v>0</v>
      </c>
      <c r="AA52" s="141" t="str">
        <f t="shared" si="6"/>
        <v>Red-green</v>
      </c>
    </row>
    <row r="53">
      <c r="A53" s="15">
        <f t="shared" si="7"/>
        <v>52</v>
      </c>
      <c r="B53" s="15"/>
      <c r="C53" s="15"/>
      <c r="D53" s="15" t="s">
        <v>40</v>
      </c>
      <c r="E53" s="15" t="s">
        <v>2431</v>
      </c>
      <c r="F53" s="15"/>
      <c r="G53" s="15"/>
      <c r="H53" s="15"/>
      <c r="I53" s="15" t="s">
        <v>82</v>
      </c>
      <c r="J53" s="15" t="s">
        <v>22</v>
      </c>
      <c r="K53" s="15" t="s">
        <v>225</v>
      </c>
      <c r="L53" s="15" t="s">
        <v>2201</v>
      </c>
      <c r="M53" s="16">
        <v>0.5</v>
      </c>
      <c r="N53" s="16">
        <v>1.0</v>
      </c>
      <c r="O53" s="16">
        <v>1.0</v>
      </c>
      <c r="P53" s="17">
        <v>45081.0</v>
      </c>
      <c r="Q53" s="18">
        <v>1.8</v>
      </c>
      <c r="R53" s="15" t="s">
        <v>33</v>
      </c>
      <c r="S53" s="19">
        <f t="shared" si="1"/>
        <v>0.8</v>
      </c>
      <c r="T53" s="19">
        <f t="shared" si="8"/>
        <v>1.828313333</v>
      </c>
      <c r="U53" s="139"/>
      <c r="V53" s="66">
        <v>45129.0</v>
      </c>
      <c r="W53" s="13">
        <f t="shared" si="2"/>
        <v>-1.668452</v>
      </c>
      <c r="X53" s="141" t="b">
        <f t="shared" si="3"/>
        <v>0</v>
      </c>
      <c r="Y53" s="141" t="b">
        <f t="shared" si="4"/>
        <v>0</v>
      </c>
      <c r="Z53" s="141" t="b">
        <f t="shared" si="5"/>
        <v>0</v>
      </c>
      <c r="AA53" s="141" t="b">
        <f t="shared" si="6"/>
        <v>0</v>
      </c>
    </row>
    <row r="54">
      <c r="A54" s="8">
        <f t="shared" si="7"/>
        <v>53</v>
      </c>
      <c r="B54" s="8"/>
      <c r="C54" s="8"/>
      <c r="D54" s="8" t="s">
        <v>19</v>
      </c>
      <c r="E54" s="8" t="s">
        <v>2432</v>
      </c>
      <c r="F54" s="8"/>
      <c r="G54" s="8"/>
      <c r="H54" s="8"/>
      <c r="I54" s="8" t="s">
        <v>82</v>
      </c>
      <c r="J54" s="8" t="s">
        <v>22</v>
      </c>
      <c r="K54" s="8" t="s">
        <v>225</v>
      </c>
      <c r="L54" s="8" t="s">
        <v>2201</v>
      </c>
      <c r="M54" s="9">
        <v>0.5</v>
      </c>
      <c r="N54" s="9">
        <v>1.0</v>
      </c>
      <c r="O54" s="9">
        <v>1.0</v>
      </c>
      <c r="P54" s="10">
        <v>45081.0</v>
      </c>
      <c r="Q54" s="11">
        <f>1.65</f>
        <v>1.65</v>
      </c>
      <c r="R54" s="8" t="s">
        <v>33</v>
      </c>
      <c r="S54" s="12">
        <f t="shared" si="1"/>
        <v>0.65</v>
      </c>
      <c r="T54" s="12">
        <f t="shared" si="8"/>
        <v>2.478313333</v>
      </c>
      <c r="U54" s="114"/>
      <c r="V54" s="66">
        <v>45130.0</v>
      </c>
      <c r="W54" s="13">
        <f t="shared" si="2"/>
        <v>0.78372</v>
      </c>
      <c r="X54" s="141" t="b">
        <f t="shared" si="3"/>
        <v>0</v>
      </c>
      <c r="Y54" s="141" t="b">
        <f t="shared" si="4"/>
        <v>0</v>
      </c>
      <c r="Z54" s="141" t="b">
        <f t="shared" si="5"/>
        <v>0</v>
      </c>
      <c r="AA54" s="141" t="b">
        <f t="shared" si="6"/>
        <v>0</v>
      </c>
    </row>
    <row r="55">
      <c r="A55" s="15">
        <f t="shared" si="7"/>
        <v>54</v>
      </c>
      <c r="B55" s="15"/>
      <c r="C55" s="15"/>
      <c r="D55" s="15" t="s">
        <v>19</v>
      </c>
      <c r="E55" s="15" t="s">
        <v>2433</v>
      </c>
      <c r="F55" s="15"/>
      <c r="G55" s="15"/>
      <c r="H55" s="15"/>
      <c r="I55" s="15" t="s">
        <v>940</v>
      </c>
      <c r="J55" s="15" t="s">
        <v>22</v>
      </c>
      <c r="K55" s="15" t="s">
        <v>225</v>
      </c>
      <c r="L55" s="15" t="s">
        <v>39</v>
      </c>
      <c r="M55" s="16">
        <v>0.5</v>
      </c>
      <c r="N55" s="16">
        <v>1.0</v>
      </c>
      <c r="O55" s="16">
        <v>1.0</v>
      </c>
      <c r="P55" s="17">
        <v>45081.0</v>
      </c>
      <c r="Q55" s="18">
        <f>1764.71/900</f>
        <v>1.960788889</v>
      </c>
      <c r="R55" s="15" t="s">
        <v>33</v>
      </c>
      <c r="S55" s="19">
        <f t="shared" si="1"/>
        <v>0.9607888889</v>
      </c>
      <c r="T55" s="19">
        <f t="shared" si="8"/>
        <v>3.439102222</v>
      </c>
      <c r="U55" s="139"/>
      <c r="V55" s="66">
        <v>45131.0</v>
      </c>
      <c r="W55" s="13">
        <f t="shared" si="2"/>
        <v>0</v>
      </c>
      <c r="X55" s="141" t="b">
        <f t="shared" si="3"/>
        <v>0</v>
      </c>
      <c r="Y55" s="141" t="b">
        <f t="shared" si="4"/>
        <v>0</v>
      </c>
      <c r="Z55" s="141" t="b">
        <f t="shared" si="5"/>
        <v>0</v>
      </c>
      <c r="AA55" s="141" t="b">
        <f t="shared" si="6"/>
        <v>0</v>
      </c>
    </row>
    <row r="56">
      <c r="A56" s="8">
        <f t="shared" si="7"/>
        <v>55</v>
      </c>
      <c r="B56" s="8"/>
      <c r="C56" s="8"/>
      <c r="D56" s="8" t="s">
        <v>19</v>
      </c>
      <c r="E56" s="8" t="s">
        <v>2434</v>
      </c>
      <c r="F56" s="8"/>
      <c r="G56" s="8"/>
      <c r="H56" s="8"/>
      <c r="I56" s="8" t="s">
        <v>463</v>
      </c>
      <c r="J56" s="8" t="s">
        <v>22</v>
      </c>
      <c r="K56" s="8" t="s">
        <v>941</v>
      </c>
      <c r="L56" s="8" t="s">
        <v>24</v>
      </c>
      <c r="M56" s="9">
        <v>0.0</v>
      </c>
      <c r="N56" s="9">
        <v>0.5</v>
      </c>
      <c r="O56" s="9">
        <v>0.5</v>
      </c>
      <c r="P56" s="10">
        <v>45081.0</v>
      </c>
      <c r="Q56" s="11">
        <v>2.37</v>
      </c>
      <c r="R56" s="8" t="s">
        <v>25</v>
      </c>
      <c r="S56" s="12">
        <f t="shared" si="1"/>
        <v>-0.5</v>
      </c>
      <c r="T56" s="12">
        <f t="shared" si="8"/>
        <v>2.939102222</v>
      </c>
      <c r="U56" s="114"/>
      <c r="V56" s="66">
        <v>45132.0</v>
      </c>
      <c r="W56" s="13">
        <f t="shared" si="2"/>
        <v>0.164</v>
      </c>
      <c r="X56" s="141" t="b">
        <f t="shared" si="3"/>
        <v>0</v>
      </c>
      <c r="Y56" s="141" t="b">
        <f t="shared" si="4"/>
        <v>0</v>
      </c>
      <c r="Z56" s="141" t="str">
        <f t="shared" si="5"/>
        <v>Green-green</v>
      </c>
      <c r="AA56" s="141" t="b">
        <f t="shared" si="6"/>
        <v>0</v>
      </c>
    </row>
    <row r="57">
      <c r="A57" s="15">
        <f t="shared" si="7"/>
        <v>56</v>
      </c>
      <c r="B57" s="15"/>
      <c r="C57" s="15"/>
      <c r="D57" s="15" t="s">
        <v>19</v>
      </c>
      <c r="E57" s="15" t="s">
        <v>2435</v>
      </c>
      <c r="F57" s="15"/>
      <c r="G57" s="15"/>
      <c r="H57" s="15"/>
      <c r="I57" s="15" t="s">
        <v>121</v>
      </c>
      <c r="J57" s="15" t="s">
        <v>22</v>
      </c>
      <c r="K57" s="15" t="s">
        <v>225</v>
      </c>
      <c r="L57" s="15" t="s">
        <v>39</v>
      </c>
      <c r="M57" s="16">
        <v>0.5</v>
      </c>
      <c r="N57" s="16">
        <v>1.0</v>
      </c>
      <c r="O57" s="16">
        <v>1.0</v>
      </c>
      <c r="P57" s="17">
        <v>45081.0</v>
      </c>
      <c r="Q57" s="18">
        <f>1472.73/900</f>
        <v>1.636366667</v>
      </c>
      <c r="R57" s="15" t="s">
        <v>33</v>
      </c>
      <c r="S57" s="19">
        <f t="shared" si="1"/>
        <v>0.6363666667</v>
      </c>
      <c r="T57" s="19">
        <f t="shared" si="8"/>
        <v>3.575468889</v>
      </c>
      <c r="U57" s="144"/>
      <c r="V57" s="66">
        <v>45133.0</v>
      </c>
      <c r="W57" s="13">
        <f t="shared" si="2"/>
        <v>0.25</v>
      </c>
      <c r="X57" s="141" t="b">
        <f t="shared" si="3"/>
        <v>0</v>
      </c>
      <c r="Y57" s="141" t="b">
        <f t="shared" si="4"/>
        <v>0</v>
      </c>
      <c r="Z57" s="141" t="b">
        <f t="shared" si="5"/>
        <v>0</v>
      </c>
      <c r="AA57" s="141" t="b">
        <f t="shared" si="6"/>
        <v>0</v>
      </c>
    </row>
    <row r="58">
      <c r="A58" s="8">
        <f t="shared" si="7"/>
        <v>57</v>
      </c>
      <c r="B58" s="8"/>
      <c r="C58" s="8"/>
      <c r="D58" s="8" t="s">
        <v>19</v>
      </c>
      <c r="E58" s="8" t="s">
        <v>2436</v>
      </c>
      <c r="F58" s="8"/>
      <c r="G58" s="8"/>
      <c r="H58" s="8"/>
      <c r="I58" s="8" t="s">
        <v>93</v>
      </c>
      <c r="J58" s="8" t="s">
        <v>22</v>
      </c>
      <c r="K58" s="8" t="s">
        <v>894</v>
      </c>
      <c r="L58" s="8" t="s">
        <v>2201</v>
      </c>
      <c r="M58" s="9">
        <v>-0.75</v>
      </c>
      <c r="N58" s="9">
        <v>0.25</v>
      </c>
      <c r="O58" s="9">
        <v>0.25</v>
      </c>
      <c r="P58" s="10">
        <v>45081.0</v>
      </c>
      <c r="Q58" s="11">
        <v>1.9</v>
      </c>
      <c r="R58" s="8" t="s">
        <v>25</v>
      </c>
      <c r="S58" s="12">
        <f t="shared" si="1"/>
        <v>-0.25</v>
      </c>
      <c r="T58" s="12">
        <f t="shared" si="8"/>
        <v>3.325468889</v>
      </c>
      <c r="U58" s="145"/>
      <c r="V58" s="66">
        <v>45134.0</v>
      </c>
      <c r="W58" s="13">
        <f t="shared" si="2"/>
        <v>0</v>
      </c>
      <c r="X58" s="141" t="b">
        <f t="shared" si="3"/>
        <v>0</v>
      </c>
      <c r="Y58" s="141" t="b">
        <f t="shared" si="4"/>
        <v>0</v>
      </c>
      <c r="Z58" s="141" t="b">
        <f t="shared" si="5"/>
        <v>0</v>
      </c>
      <c r="AA58" s="141" t="b">
        <f t="shared" si="6"/>
        <v>0</v>
      </c>
    </row>
    <row r="59">
      <c r="A59" s="15">
        <f t="shared" si="7"/>
        <v>58</v>
      </c>
      <c r="B59" s="15"/>
      <c r="C59" s="15"/>
      <c r="D59" s="15" t="s">
        <v>40</v>
      </c>
      <c r="E59" s="15" t="s">
        <v>2437</v>
      </c>
      <c r="F59" s="15"/>
      <c r="G59" s="15"/>
      <c r="H59" s="15"/>
      <c r="I59" s="15" t="s">
        <v>1260</v>
      </c>
      <c r="J59" s="15" t="s">
        <v>22</v>
      </c>
      <c r="K59" s="15" t="s">
        <v>225</v>
      </c>
      <c r="L59" s="15" t="s">
        <v>24</v>
      </c>
      <c r="M59" s="16">
        <v>1.25</v>
      </c>
      <c r="N59" s="16">
        <v>0.5</v>
      </c>
      <c r="O59" s="16">
        <v>0.12</v>
      </c>
      <c r="P59" s="17">
        <v>45081.0</v>
      </c>
      <c r="Q59" s="18">
        <v>1.975</v>
      </c>
      <c r="R59" s="15" t="s">
        <v>33</v>
      </c>
      <c r="S59" s="19">
        <f t="shared" si="1"/>
        <v>0.117</v>
      </c>
      <c r="T59" s="19">
        <f t="shared" si="8"/>
        <v>3.442468889</v>
      </c>
      <c r="U59" s="144"/>
      <c r="V59" s="66">
        <v>45135.0</v>
      </c>
      <c r="W59" s="13">
        <f t="shared" si="2"/>
        <v>0.205</v>
      </c>
      <c r="X59" s="141" t="b">
        <f t="shared" si="3"/>
        <v>0</v>
      </c>
      <c r="Y59" s="141" t="b">
        <f t="shared" si="4"/>
        <v>0</v>
      </c>
      <c r="Z59" s="141" t="str">
        <f t="shared" si="5"/>
        <v>Green-green</v>
      </c>
      <c r="AA59" s="141" t="b">
        <f t="shared" si="6"/>
        <v>0</v>
      </c>
    </row>
    <row r="60">
      <c r="A60" s="8">
        <f t="shared" si="7"/>
        <v>59</v>
      </c>
      <c r="B60" s="8"/>
      <c r="C60" s="8"/>
      <c r="D60" s="8" t="s">
        <v>19</v>
      </c>
      <c r="E60" s="8" t="s">
        <v>2438</v>
      </c>
      <c r="F60" s="8"/>
      <c r="G60" s="8"/>
      <c r="H60" s="8"/>
      <c r="I60" s="8" t="s">
        <v>374</v>
      </c>
      <c r="J60" s="8" t="s">
        <v>22</v>
      </c>
      <c r="K60" s="8" t="s">
        <v>225</v>
      </c>
      <c r="L60" s="8" t="s">
        <v>2201</v>
      </c>
      <c r="M60" s="9">
        <v>0.5</v>
      </c>
      <c r="N60" s="9">
        <v>0.5</v>
      </c>
      <c r="O60" s="9">
        <v>0.17</v>
      </c>
      <c r="P60" s="10">
        <v>45081.0</v>
      </c>
      <c r="Q60" s="11">
        <v>1.825</v>
      </c>
      <c r="R60" s="8" t="s">
        <v>33</v>
      </c>
      <c r="S60" s="12">
        <f t="shared" si="1"/>
        <v>0.14025</v>
      </c>
      <c r="T60" s="12">
        <f t="shared" si="8"/>
        <v>3.582718889</v>
      </c>
      <c r="U60" s="145"/>
      <c r="V60" s="66">
        <v>45136.0</v>
      </c>
      <c r="W60" s="13">
        <f t="shared" si="2"/>
        <v>0.9881625</v>
      </c>
      <c r="X60" s="141" t="b">
        <f t="shared" si="3"/>
        <v>0</v>
      </c>
      <c r="Y60" s="141" t="b">
        <f t="shared" si="4"/>
        <v>0</v>
      </c>
      <c r="Z60" s="141" t="str">
        <f t="shared" si="5"/>
        <v>Green-green</v>
      </c>
      <c r="AA60" s="141" t="b">
        <f t="shared" si="6"/>
        <v>0</v>
      </c>
    </row>
    <row r="61">
      <c r="A61" s="15">
        <f t="shared" si="7"/>
        <v>60</v>
      </c>
      <c r="B61" s="15"/>
      <c r="C61" s="15"/>
      <c r="D61" s="15" t="s">
        <v>19</v>
      </c>
      <c r="E61" s="15" t="s">
        <v>2439</v>
      </c>
      <c r="F61" s="15"/>
      <c r="G61" s="15"/>
      <c r="H61" s="15"/>
      <c r="I61" s="15" t="s">
        <v>82</v>
      </c>
      <c r="J61" s="15" t="s">
        <v>22</v>
      </c>
      <c r="K61" s="15" t="s">
        <v>225</v>
      </c>
      <c r="L61" s="15" t="s">
        <v>24</v>
      </c>
      <c r="M61" s="16">
        <v>2.75</v>
      </c>
      <c r="N61" s="16">
        <v>0.5</v>
      </c>
      <c r="O61" s="16">
        <v>0.26</v>
      </c>
      <c r="P61" s="17">
        <v>45081.0</v>
      </c>
      <c r="Q61" s="18">
        <v>1.825</v>
      </c>
      <c r="R61" s="15" t="s">
        <v>79</v>
      </c>
      <c r="S61" s="19">
        <f t="shared" si="1"/>
        <v>-0.13</v>
      </c>
      <c r="T61" s="19">
        <f t="shared" si="8"/>
        <v>3.452718889</v>
      </c>
      <c r="U61" s="144"/>
      <c r="V61" s="66">
        <v>45137.0</v>
      </c>
      <c r="W61" s="13">
        <f t="shared" si="2"/>
        <v>0.05</v>
      </c>
      <c r="X61" s="141" t="b">
        <f t="shared" si="3"/>
        <v>0</v>
      </c>
      <c r="Y61" s="141" t="b">
        <f t="shared" si="4"/>
        <v>0</v>
      </c>
      <c r="Z61" s="141" t="b">
        <f t="shared" si="5"/>
        <v>0</v>
      </c>
      <c r="AA61" s="141" t="b">
        <f t="shared" si="6"/>
        <v>0</v>
      </c>
    </row>
    <row r="62">
      <c r="A62" s="8">
        <f t="shared" si="7"/>
        <v>61</v>
      </c>
      <c r="B62" s="8"/>
      <c r="C62" s="8"/>
      <c r="D62" s="8" t="s">
        <v>19</v>
      </c>
      <c r="E62" s="8" t="s">
        <v>2440</v>
      </c>
      <c r="F62" s="8"/>
      <c r="G62" s="8"/>
      <c r="H62" s="8"/>
      <c r="I62" s="8" t="s">
        <v>82</v>
      </c>
      <c r="J62" s="8" t="s">
        <v>22</v>
      </c>
      <c r="K62" s="8" t="s">
        <v>225</v>
      </c>
      <c r="L62" s="8" t="s">
        <v>24</v>
      </c>
      <c r="M62" s="9">
        <v>2.5</v>
      </c>
      <c r="N62" s="9">
        <v>0.24</v>
      </c>
      <c r="O62" s="9">
        <v>0.24</v>
      </c>
      <c r="P62" s="10">
        <v>45081.0</v>
      </c>
      <c r="Q62" s="11">
        <v>2.0</v>
      </c>
      <c r="R62" s="8" t="s">
        <v>25</v>
      </c>
      <c r="S62" s="12">
        <f t="shared" si="1"/>
        <v>-0.24</v>
      </c>
      <c r="T62" s="12">
        <f t="shared" si="8"/>
        <v>3.212718889</v>
      </c>
      <c r="U62" s="145"/>
      <c r="V62" s="66">
        <v>45138.0</v>
      </c>
      <c r="W62" s="13">
        <f t="shared" si="2"/>
        <v>0</v>
      </c>
      <c r="X62" s="141" t="b">
        <f t="shared" si="3"/>
        <v>0</v>
      </c>
      <c r="Y62" s="141" t="b">
        <f t="shared" si="4"/>
        <v>0</v>
      </c>
      <c r="Z62" s="141" t="b">
        <f t="shared" si="5"/>
        <v>0</v>
      </c>
      <c r="AA62" s="141" t="b">
        <f t="shared" si="6"/>
        <v>0</v>
      </c>
    </row>
    <row r="63">
      <c r="A63" s="15">
        <f t="shared" si="7"/>
        <v>62</v>
      </c>
      <c r="B63" s="15"/>
      <c r="C63" s="15"/>
      <c r="D63" s="15" t="s">
        <v>19</v>
      </c>
      <c r="E63" s="15" t="s">
        <v>2441</v>
      </c>
      <c r="F63" s="15"/>
      <c r="G63" s="15"/>
      <c r="H63" s="15"/>
      <c r="I63" s="15" t="s">
        <v>794</v>
      </c>
      <c r="J63" s="15" t="s">
        <v>22</v>
      </c>
      <c r="K63" s="15" t="s">
        <v>29</v>
      </c>
      <c r="L63" s="15" t="s">
        <v>39</v>
      </c>
      <c r="M63" s="16">
        <v>-1.5</v>
      </c>
      <c r="N63" s="16">
        <v>0.5</v>
      </c>
      <c r="O63" s="16">
        <v>0.5</v>
      </c>
      <c r="P63" s="17">
        <v>45083.0</v>
      </c>
      <c r="Q63" s="18">
        <v>1.775</v>
      </c>
      <c r="R63" s="15" t="s">
        <v>33</v>
      </c>
      <c r="S63" s="19">
        <f t="shared" si="1"/>
        <v>0.3875</v>
      </c>
      <c r="T63" s="19">
        <f t="shared" si="8"/>
        <v>3.600218889</v>
      </c>
      <c r="U63" s="144"/>
      <c r="V63" s="66">
        <v>45139.0</v>
      </c>
      <c r="W63" s="13">
        <f t="shared" si="2"/>
        <v>0.262775</v>
      </c>
      <c r="X63" s="141" t="b">
        <f t="shared" si="3"/>
        <v>0</v>
      </c>
      <c r="Y63" s="141" t="b">
        <f t="shared" si="4"/>
        <v>0</v>
      </c>
      <c r="Z63" s="141" t="str">
        <f t="shared" si="5"/>
        <v>Green-green</v>
      </c>
      <c r="AA63" s="141" t="b">
        <f t="shared" si="6"/>
        <v>0</v>
      </c>
    </row>
    <row r="64">
      <c r="A64" s="8">
        <f t="shared" si="7"/>
        <v>63</v>
      </c>
      <c r="B64" s="8"/>
      <c r="C64" s="8"/>
      <c r="D64" s="8" t="s">
        <v>19</v>
      </c>
      <c r="E64" s="8" t="s">
        <v>2442</v>
      </c>
      <c r="F64" s="8"/>
      <c r="G64" s="8"/>
      <c r="H64" s="8"/>
      <c r="I64" s="8" t="s">
        <v>853</v>
      </c>
      <c r="J64" s="8" t="s">
        <v>22</v>
      </c>
      <c r="K64" s="8" t="s">
        <v>225</v>
      </c>
      <c r="L64" s="8" t="s">
        <v>24</v>
      </c>
      <c r="M64" s="9">
        <v>0.5</v>
      </c>
      <c r="N64" s="9">
        <v>1.0</v>
      </c>
      <c r="O64" s="9">
        <v>0.46</v>
      </c>
      <c r="P64" s="10">
        <v>45083.0</v>
      </c>
      <c r="Q64" s="11">
        <v>2.0</v>
      </c>
      <c r="R64" s="8" t="s">
        <v>25</v>
      </c>
      <c r="S64" s="12">
        <f t="shared" si="1"/>
        <v>-0.46</v>
      </c>
      <c r="T64" s="12">
        <f t="shared" si="8"/>
        <v>3.140218889</v>
      </c>
      <c r="U64" s="145"/>
      <c r="V64" s="66">
        <v>45140.0</v>
      </c>
      <c r="W64" s="13">
        <f t="shared" si="2"/>
        <v>0.732</v>
      </c>
      <c r="X64" s="141" t="b">
        <f t="shared" si="3"/>
        <v>0</v>
      </c>
      <c r="Y64" s="141" t="str">
        <f t="shared" si="4"/>
        <v>Green-red</v>
      </c>
      <c r="Z64" s="141" t="b">
        <f t="shared" si="5"/>
        <v>0</v>
      </c>
      <c r="AA64" s="141" t="str">
        <f t="shared" si="6"/>
        <v>Red-green</v>
      </c>
    </row>
    <row r="65">
      <c r="A65" s="15">
        <f t="shared" si="7"/>
        <v>64</v>
      </c>
      <c r="B65" s="15"/>
      <c r="C65" s="15"/>
      <c r="D65" s="15" t="s">
        <v>19</v>
      </c>
      <c r="E65" s="15" t="s">
        <v>2443</v>
      </c>
      <c r="F65" s="15"/>
      <c r="G65" s="15"/>
      <c r="H65" s="15"/>
      <c r="I65" s="15" t="s">
        <v>853</v>
      </c>
      <c r="J65" s="15" t="s">
        <v>22</v>
      </c>
      <c r="K65" s="15" t="s">
        <v>225</v>
      </c>
      <c r="L65" s="15" t="s">
        <v>24</v>
      </c>
      <c r="M65" s="16">
        <v>0.25</v>
      </c>
      <c r="N65" s="16">
        <v>1.0</v>
      </c>
      <c r="O65" s="16">
        <v>0.22</v>
      </c>
      <c r="P65" s="17">
        <v>45083.0</v>
      </c>
      <c r="Q65" s="18">
        <v>1.725</v>
      </c>
      <c r="R65" s="15" t="s">
        <v>30</v>
      </c>
      <c r="S65" s="19">
        <f t="shared" si="1"/>
        <v>0.07975</v>
      </c>
      <c r="T65" s="19">
        <f t="shared" si="8"/>
        <v>3.219968889</v>
      </c>
      <c r="U65" s="144"/>
      <c r="V65" s="66">
        <v>45141.0</v>
      </c>
      <c r="W65" s="13">
        <f t="shared" si="2"/>
        <v>-0.15</v>
      </c>
      <c r="X65" s="141" t="b">
        <f t="shared" si="3"/>
        <v>0</v>
      </c>
      <c r="Y65" s="141" t="b">
        <f t="shared" si="4"/>
        <v>0</v>
      </c>
      <c r="Z65" s="141" t="b">
        <f t="shared" si="5"/>
        <v>0</v>
      </c>
      <c r="AA65" s="141" t="b">
        <f t="shared" si="6"/>
        <v>0</v>
      </c>
    </row>
    <row r="66">
      <c r="A66" s="8">
        <f t="shared" si="7"/>
        <v>65</v>
      </c>
      <c r="B66" s="8"/>
      <c r="C66" s="8"/>
      <c r="D66" s="8" t="s">
        <v>40</v>
      </c>
      <c r="E66" s="8" t="s">
        <v>2444</v>
      </c>
      <c r="F66" s="8"/>
      <c r="G66" s="8"/>
      <c r="H66" s="8"/>
      <c r="I66" s="8" t="s">
        <v>42</v>
      </c>
      <c r="J66" s="8" t="s">
        <v>22</v>
      </c>
      <c r="K66" s="8" t="s">
        <v>225</v>
      </c>
      <c r="L66" s="8" t="s">
        <v>24</v>
      </c>
      <c r="M66" s="9">
        <v>0.5</v>
      </c>
      <c r="N66" s="9">
        <v>0.5</v>
      </c>
      <c r="O66" s="9">
        <v>0.15</v>
      </c>
      <c r="P66" s="10">
        <v>45083.0</v>
      </c>
      <c r="Q66" s="11">
        <v>1.75</v>
      </c>
      <c r="R66" s="8" t="s">
        <v>25</v>
      </c>
      <c r="S66" s="12">
        <f t="shared" si="1"/>
        <v>-0.15</v>
      </c>
      <c r="T66" s="12">
        <f t="shared" si="8"/>
        <v>3.069968889</v>
      </c>
      <c r="U66" s="145"/>
      <c r="V66" s="66">
        <v>45142.0</v>
      </c>
      <c r="W66" s="13">
        <f t="shared" si="2"/>
        <v>1.686845238</v>
      </c>
      <c r="X66" s="141" t="b">
        <f t="shared" si="3"/>
        <v>0</v>
      </c>
      <c r="Y66" s="141" t="b">
        <f t="shared" si="4"/>
        <v>0</v>
      </c>
      <c r="Z66" s="141" t="str">
        <f t="shared" si="5"/>
        <v>Green-green</v>
      </c>
      <c r="AA66" s="141" t="b">
        <f t="shared" si="6"/>
        <v>0</v>
      </c>
    </row>
    <row r="67">
      <c r="A67" s="15">
        <f t="shared" si="7"/>
        <v>66</v>
      </c>
      <c r="B67" s="15"/>
      <c r="C67" s="15"/>
      <c r="D67" s="15" t="s">
        <v>19</v>
      </c>
      <c r="E67" s="15" t="s">
        <v>2445</v>
      </c>
      <c r="F67" s="15"/>
      <c r="G67" s="15"/>
      <c r="H67" s="15"/>
      <c r="I67" s="15" t="s">
        <v>432</v>
      </c>
      <c r="J67" s="15" t="s">
        <v>22</v>
      </c>
      <c r="K67" s="15" t="s">
        <v>225</v>
      </c>
      <c r="L67" s="15" t="s">
        <v>24</v>
      </c>
      <c r="M67" s="16">
        <v>0.5</v>
      </c>
      <c r="N67" s="16">
        <v>0.5</v>
      </c>
      <c r="O67" s="16">
        <v>0.5</v>
      </c>
      <c r="P67" s="17">
        <v>45083.0</v>
      </c>
      <c r="Q67" s="18">
        <f>787.18/450</f>
        <v>1.749288889</v>
      </c>
      <c r="R67" s="15" t="s">
        <v>33</v>
      </c>
      <c r="S67" s="19">
        <f t="shared" si="1"/>
        <v>0.3746444444</v>
      </c>
      <c r="T67" s="19">
        <f t="shared" si="8"/>
        <v>3.444613333</v>
      </c>
      <c r="U67" s="144"/>
      <c r="V67" s="66">
        <v>45143.0</v>
      </c>
      <c r="W67" s="13">
        <f t="shared" si="2"/>
        <v>0.0175</v>
      </c>
      <c r="X67" s="141" t="b">
        <f t="shared" si="3"/>
        <v>0</v>
      </c>
      <c r="Y67" s="141" t="str">
        <f t="shared" si="4"/>
        <v>Green-red</v>
      </c>
      <c r="Z67" s="141" t="b">
        <f t="shared" si="5"/>
        <v>0</v>
      </c>
      <c r="AA67" s="141" t="str">
        <f t="shared" si="6"/>
        <v>Red-green</v>
      </c>
    </row>
    <row r="68">
      <c r="A68" s="8">
        <f t="shared" si="7"/>
        <v>67</v>
      </c>
      <c r="B68" s="8"/>
      <c r="C68" s="8"/>
      <c r="D68" s="8" t="s">
        <v>19</v>
      </c>
      <c r="E68" s="8" t="s">
        <v>2446</v>
      </c>
      <c r="F68" s="8"/>
      <c r="G68" s="8"/>
      <c r="H68" s="8"/>
      <c r="I68" s="8" t="s">
        <v>432</v>
      </c>
      <c r="J68" s="8" t="s">
        <v>22</v>
      </c>
      <c r="K68" s="8" t="s">
        <v>2415</v>
      </c>
      <c r="L68" s="8" t="s">
        <v>24</v>
      </c>
      <c r="M68" s="9">
        <v>17.5</v>
      </c>
      <c r="N68" s="9">
        <v>0.25</v>
      </c>
      <c r="O68" s="9">
        <v>0.25</v>
      </c>
      <c r="P68" s="10">
        <v>45083.0</v>
      </c>
      <c r="Q68" s="11">
        <v>2.05</v>
      </c>
      <c r="R68" s="8" t="s">
        <v>33</v>
      </c>
      <c r="S68" s="12">
        <f t="shared" si="1"/>
        <v>0.2625</v>
      </c>
      <c r="T68" s="12">
        <f t="shared" si="8"/>
        <v>3.707113333</v>
      </c>
      <c r="U68" s="145"/>
      <c r="V68" s="66">
        <v>45144.0</v>
      </c>
      <c r="W68" s="13">
        <f t="shared" si="2"/>
        <v>-2.529063158</v>
      </c>
      <c r="X68" s="141" t="b">
        <f t="shared" si="3"/>
        <v>0</v>
      </c>
      <c r="Y68" s="141" t="b">
        <f t="shared" si="4"/>
        <v>0</v>
      </c>
      <c r="Z68" s="141" t="b">
        <f t="shared" si="5"/>
        <v>0</v>
      </c>
      <c r="AA68" s="141" t="b">
        <f t="shared" si="6"/>
        <v>0</v>
      </c>
    </row>
    <row r="69">
      <c r="A69" s="15">
        <f t="shared" si="7"/>
        <v>68</v>
      </c>
      <c r="B69" s="15"/>
      <c r="C69" s="15"/>
      <c r="D69" s="15" t="s">
        <v>19</v>
      </c>
      <c r="E69" s="15" t="s">
        <v>2447</v>
      </c>
      <c r="F69" s="15"/>
      <c r="G69" s="15"/>
      <c r="H69" s="15"/>
      <c r="I69" s="15" t="s">
        <v>853</v>
      </c>
      <c r="J69" s="15" t="s">
        <v>22</v>
      </c>
      <c r="K69" s="15" t="s">
        <v>225</v>
      </c>
      <c r="L69" s="15" t="s">
        <v>24</v>
      </c>
      <c r="M69" s="16">
        <v>0.25</v>
      </c>
      <c r="N69" s="16">
        <v>1.0</v>
      </c>
      <c r="O69" s="16">
        <v>0.29</v>
      </c>
      <c r="P69" s="17">
        <v>45083.0</v>
      </c>
      <c r="Q69" s="18">
        <v>1.7</v>
      </c>
      <c r="R69" s="15" t="s">
        <v>33</v>
      </c>
      <c r="S69" s="19">
        <f t="shared" si="1"/>
        <v>0.203</v>
      </c>
      <c r="T69" s="19">
        <f t="shared" si="8"/>
        <v>3.910113333</v>
      </c>
      <c r="U69" s="144"/>
      <c r="V69" s="66">
        <v>45145.0</v>
      </c>
      <c r="W69" s="13">
        <f t="shared" si="2"/>
        <v>0</v>
      </c>
      <c r="X69" s="141" t="b">
        <f t="shared" si="3"/>
        <v>0</v>
      </c>
      <c r="Y69" s="141" t="b">
        <f t="shared" si="4"/>
        <v>0</v>
      </c>
      <c r="Z69" s="141" t="b">
        <f t="shared" si="5"/>
        <v>0</v>
      </c>
      <c r="AA69" s="141" t="b">
        <f t="shared" si="6"/>
        <v>0</v>
      </c>
    </row>
    <row r="70">
      <c r="A70" s="8">
        <f t="shared" si="7"/>
        <v>69</v>
      </c>
      <c r="B70" s="8"/>
      <c r="C70" s="8"/>
      <c r="D70" s="8" t="s">
        <v>19</v>
      </c>
      <c r="E70" s="8" t="s">
        <v>2448</v>
      </c>
      <c r="F70" s="8"/>
      <c r="G70" s="8"/>
      <c r="H70" s="8"/>
      <c r="I70" s="8" t="s">
        <v>2449</v>
      </c>
      <c r="J70" s="8" t="s">
        <v>598</v>
      </c>
      <c r="K70" s="8" t="s">
        <v>2450</v>
      </c>
      <c r="L70" s="8" t="s">
        <v>2201</v>
      </c>
      <c r="M70" s="9">
        <v>-0.5</v>
      </c>
      <c r="N70" s="9">
        <v>0.25</v>
      </c>
      <c r="O70" s="9">
        <v>0.25</v>
      </c>
      <c r="P70" s="10">
        <v>45083.0</v>
      </c>
      <c r="Q70" s="11">
        <v>1.825</v>
      </c>
      <c r="R70" s="8" t="s">
        <v>25</v>
      </c>
      <c r="S70" s="12">
        <f t="shared" si="1"/>
        <v>-0.25</v>
      </c>
      <c r="T70" s="12">
        <f t="shared" si="8"/>
        <v>3.660113333</v>
      </c>
      <c r="U70" s="145"/>
      <c r="V70" s="66">
        <v>45146.0</v>
      </c>
      <c r="W70" s="13">
        <f t="shared" si="2"/>
        <v>1.1745</v>
      </c>
      <c r="X70" s="141" t="b">
        <f t="shared" si="3"/>
        <v>0</v>
      </c>
      <c r="Y70" s="141" t="b">
        <f t="shared" si="4"/>
        <v>0</v>
      </c>
      <c r="Z70" s="141" t="str">
        <f t="shared" si="5"/>
        <v>Green-green</v>
      </c>
      <c r="AA70" s="141" t="b">
        <f t="shared" si="6"/>
        <v>0</v>
      </c>
    </row>
    <row r="71">
      <c r="A71" s="15">
        <f t="shared" si="7"/>
        <v>70</v>
      </c>
      <c r="B71" s="15"/>
      <c r="C71" s="15"/>
      <c r="D71" s="15" t="s">
        <v>40</v>
      </c>
      <c r="E71" s="15" t="s">
        <v>2451</v>
      </c>
      <c r="F71" s="15"/>
      <c r="G71" s="15"/>
      <c r="H71" s="15"/>
      <c r="I71" s="15" t="s">
        <v>82</v>
      </c>
      <c r="J71" s="15" t="s">
        <v>22</v>
      </c>
      <c r="K71" s="15" t="s">
        <v>225</v>
      </c>
      <c r="L71" s="15" t="s">
        <v>2201</v>
      </c>
      <c r="M71" s="16">
        <v>0.5</v>
      </c>
      <c r="N71" s="16">
        <v>0.5</v>
      </c>
      <c r="O71" s="16">
        <v>0.5</v>
      </c>
      <c r="P71" s="17">
        <v>45083.0</v>
      </c>
      <c r="Q71" s="18">
        <v>2.025</v>
      </c>
      <c r="R71" s="15" t="s">
        <v>25</v>
      </c>
      <c r="S71" s="19">
        <f t="shared" si="1"/>
        <v>-0.5</v>
      </c>
      <c r="T71" s="19">
        <f t="shared" si="8"/>
        <v>3.160113333</v>
      </c>
      <c r="U71" s="144"/>
      <c r="V71" s="66">
        <v>45147.0</v>
      </c>
      <c r="W71" s="13">
        <f t="shared" si="2"/>
        <v>0.69015</v>
      </c>
      <c r="X71" s="141" t="b">
        <f t="shared" si="3"/>
        <v>0</v>
      </c>
      <c r="Y71" s="141" t="b">
        <f t="shared" si="4"/>
        <v>0</v>
      </c>
      <c r="Z71" s="141" t="str">
        <f t="shared" si="5"/>
        <v>Green-green</v>
      </c>
      <c r="AA71" s="141" t="b">
        <f t="shared" si="6"/>
        <v>0</v>
      </c>
    </row>
    <row r="72">
      <c r="A72" s="8">
        <f t="shared" si="7"/>
        <v>71</v>
      </c>
      <c r="B72" s="8"/>
      <c r="C72" s="8"/>
      <c r="D72" s="8" t="s">
        <v>19</v>
      </c>
      <c r="E72" s="8" t="s">
        <v>2452</v>
      </c>
      <c r="F72" s="8"/>
      <c r="G72" s="8"/>
      <c r="H72" s="8"/>
      <c r="I72" s="8" t="s">
        <v>2453</v>
      </c>
      <c r="J72" s="8" t="s">
        <v>598</v>
      </c>
      <c r="K72" s="8" t="s">
        <v>1847</v>
      </c>
      <c r="L72" s="8" t="s">
        <v>2201</v>
      </c>
      <c r="M72" s="9">
        <v>-0.5</v>
      </c>
      <c r="N72" s="9">
        <v>0.25</v>
      </c>
      <c r="O72" s="9">
        <v>0.25</v>
      </c>
      <c r="P72" s="10">
        <v>45083.0</v>
      </c>
      <c r="Q72" s="11">
        <v>1.75</v>
      </c>
      <c r="R72" s="8" t="s">
        <v>33</v>
      </c>
      <c r="S72" s="12">
        <f t="shared" si="1"/>
        <v>0.1875</v>
      </c>
      <c r="T72" s="12">
        <f t="shared" si="8"/>
        <v>3.347613333</v>
      </c>
      <c r="U72" s="145"/>
      <c r="V72" s="66">
        <v>45148.0</v>
      </c>
      <c r="W72" s="13">
        <f t="shared" si="2"/>
        <v>0.79</v>
      </c>
      <c r="X72" s="141" t="b">
        <f t="shared" si="3"/>
        <v>0</v>
      </c>
      <c r="Y72" s="141" t="b">
        <f t="shared" si="4"/>
        <v>0</v>
      </c>
      <c r="Z72" s="141" t="str">
        <f t="shared" si="5"/>
        <v>Green-green</v>
      </c>
      <c r="AA72" s="141" t="b">
        <f t="shared" si="6"/>
        <v>0</v>
      </c>
    </row>
    <row r="73">
      <c r="A73" s="15">
        <f t="shared" si="7"/>
        <v>72</v>
      </c>
      <c r="B73" s="15"/>
      <c r="C73" s="15"/>
      <c r="D73" s="15" t="s">
        <v>19</v>
      </c>
      <c r="E73" s="15" t="s">
        <v>2454</v>
      </c>
      <c r="F73" s="15"/>
      <c r="G73" s="15"/>
      <c r="H73" s="15"/>
      <c r="I73" s="15" t="s">
        <v>319</v>
      </c>
      <c r="J73" s="15" t="s">
        <v>22</v>
      </c>
      <c r="K73" s="15" t="s">
        <v>1847</v>
      </c>
      <c r="L73" s="15" t="s">
        <v>39</v>
      </c>
      <c r="M73" s="16">
        <v>-0.5</v>
      </c>
      <c r="N73" s="16">
        <v>0.1</v>
      </c>
      <c r="O73" s="16">
        <v>0.1</v>
      </c>
      <c r="P73" s="17">
        <v>45083.0</v>
      </c>
      <c r="Q73" s="18">
        <v>7.0</v>
      </c>
      <c r="R73" s="15" t="s">
        <v>25</v>
      </c>
      <c r="S73" s="19">
        <f t="shared" si="1"/>
        <v>-0.1</v>
      </c>
      <c r="T73" s="19">
        <f t="shared" si="8"/>
        <v>3.247613333</v>
      </c>
      <c r="U73" s="144"/>
      <c r="V73" s="66">
        <v>45149.0</v>
      </c>
      <c r="W73" s="13">
        <f t="shared" si="2"/>
        <v>1.184991667</v>
      </c>
      <c r="X73" s="141" t="b">
        <f t="shared" si="3"/>
        <v>0</v>
      </c>
      <c r="Y73" s="141" t="b">
        <f t="shared" si="4"/>
        <v>0</v>
      </c>
      <c r="Z73" s="141" t="str">
        <f t="shared" si="5"/>
        <v>Green-green</v>
      </c>
      <c r="AA73" s="141" t="b">
        <f t="shared" si="6"/>
        <v>0</v>
      </c>
    </row>
    <row r="74">
      <c r="A74" s="8">
        <f t="shared" si="7"/>
        <v>73</v>
      </c>
      <c r="B74" s="8"/>
      <c r="C74" s="8"/>
      <c r="D74" s="8" t="s">
        <v>19</v>
      </c>
      <c r="E74" s="8" t="s">
        <v>2455</v>
      </c>
      <c r="F74" s="8"/>
      <c r="G74" s="8"/>
      <c r="H74" s="8"/>
      <c r="I74" s="8" t="s">
        <v>2456</v>
      </c>
      <c r="J74" s="8" t="s">
        <v>22</v>
      </c>
      <c r="K74" s="8" t="s">
        <v>225</v>
      </c>
      <c r="L74" s="8" t="s">
        <v>2201</v>
      </c>
      <c r="M74" s="9">
        <v>0.25</v>
      </c>
      <c r="N74" s="9">
        <v>1.0</v>
      </c>
      <c r="O74" s="9">
        <v>1.0</v>
      </c>
      <c r="P74" s="10">
        <v>45084.0</v>
      </c>
      <c r="Q74" s="11">
        <v>1.8</v>
      </c>
      <c r="R74" s="8" t="s">
        <v>33</v>
      </c>
      <c r="S74" s="12">
        <f t="shared" si="1"/>
        <v>0.8</v>
      </c>
      <c r="T74" s="12">
        <f t="shared" si="8"/>
        <v>4.047613333</v>
      </c>
      <c r="U74" s="145"/>
      <c r="V74" s="66">
        <v>45150.0</v>
      </c>
      <c r="W74" s="13">
        <f t="shared" si="2"/>
        <v>1.118277083</v>
      </c>
      <c r="X74" s="141" t="b">
        <f t="shared" si="3"/>
        <v>0</v>
      </c>
      <c r="Y74" s="141" t="b">
        <f t="shared" si="4"/>
        <v>0</v>
      </c>
      <c r="Z74" s="141" t="str">
        <f t="shared" si="5"/>
        <v>Green-green</v>
      </c>
      <c r="AA74" s="141" t="b">
        <f t="shared" si="6"/>
        <v>0</v>
      </c>
    </row>
    <row r="75">
      <c r="A75" s="15">
        <f t="shared" si="7"/>
        <v>74</v>
      </c>
      <c r="B75" s="15"/>
      <c r="C75" s="15"/>
      <c r="D75" s="15" t="s">
        <v>40</v>
      </c>
      <c r="E75" s="15" t="s">
        <v>2457</v>
      </c>
      <c r="F75" s="15"/>
      <c r="G75" s="15"/>
      <c r="H75" s="15"/>
      <c r="I75" s="15" t="s">
        <v>189</v>
      </c>
      <c r="J75" s="15" t="s">
        <v>22</v>
      </c>
      <c r="K75" s="15" t="s">
        <v>225</v>
      </c>
      <c r="L75" s="15" t="s">
        <v>2201</v>
      </c>
      <c r="M75" s="16">
        <v>1.5</v>
      </c>
      <c r="N75" s="16">
        <v>1.0</v>
      </c>
      <c r="O75" s="16">
        <v>0.35</v>
      </c>
      <c r="P75" s="17">
        <v>45084.0</v>
      </c>
      <c r="Q75" s="18">
        <v>1.8</v>
      </c>
      <c r="R75" s="15" t="s">
        <v>25</v>
      </c>
      <c r="S75" s="19">
        <f t="shared" si="1"/>
        <v>-0.35</v>
      </c>
      <c r="T75" s="19">
        <f t="shared" si="8"/>
        <v>3.697613333</v>
      </c>
      <c r="U75" s="144"/>
      <c r="V75" s="66">
        <v>45151.0</v>
      </c>
      <c r="W75" s="13">
        <f t="shared" si="2"/>
        <v>0.1673</v>
      </c>
      <c r="X75" s="141" t="b">
        <f t="shared" si="3"/>
        <v>0</v>
      </c>
      <c r="Y75" s="141" t="b">
        <f t="shared" si="4"/>
        <v>0</v>
      </c>
      <c r="Z75" s="141" t="b">
        <f t="shared" si="5"/>
        <v>0</v>
      </c>
      <c r="AA75" s="141" t="b">
        <f t="shared" si="6"/>
        <v>0</v>
      </c>
    </row>
    <row r="76">
      <c r="A76" s="8">
        <f t="shared" si="7"/>
        <v>75</v>
      </c>
      <c r="B76" s="8"/>
      <c r="C76" s="8"/>
      <c r="D76" s="8" t="s">
        <v>40</v>
      </c>
      <c r="E76" s="8" t="s">
        <v>2458</v>
      </c>
      <c r="F76" s="8"/>
      <c r="G76" s="8"/>
      <c r="H76" s="8"/>
      <c r="I76" s="8" t="s">
        <v>189</v>
      </c>
      <c r="J76" s="8" t="s">
        <v>22</v>
      </c>
      <c r="K76" s="8" t="s">
        <v>225</v>
      </c>
      <c r="L76" s="8" t="s">
        <v>2201</v>
      </c>
      <c r="M76" s="9">
        <v>1.25</v>
      </c>
      <c r="N76" s="9">
        <v>0.33</v>
      </c>
      <c r="O76" s="9">
        <v>0.325</v>
      </c>
      <c r="P76" s="10">
        <v>45084.0</v>
      </c>
      <c r="Q76" s="11">
        <v>2.0</v>
      </c>
      <c r="R76" s="8" t="s">
        <v>25</v>
      </c>
      <c r="S76" s="12">
        <f t="shared" si="1"/>
        <v>-0.325</v>
      </c>
      <c r="T76" s="12">
        <f t="shared" si="8"/>
        <v>3.372613333</v>
      </c>
      <c r="U76" s="145"/>
      <c r="V76" s="66">
        <v>45152.0</v>
      </c>
      <c r="W76" s="13">
        <f t="shared" si="2"/>
        <v>0</v>
      </c>
      <c r="X76" s="141" t="b">
        <f t="shared" si="3"/>
        <v>0</v>
      </c>
      <c r="Y76" s="141" t="b">
        <f t="shared" si="4"/>
        <v>0</v>
      </c>
      <c r="Z76" s="141" t="b">
        <f t="shared" si="5"/>
        <v>0</v>
      </c>
      <c r="AA76" s="141" t="b">
        <f t="shared" si="6"/>
        <v>0</v>
      </c>
    </row>
    <row r="77">
      <c r="A77" s="15">
        <f t="shared" si="7"/>
        <v>76</v>
      </c>
      <c r="B77" s="15"/>
      <c r="C77" s="15"/>
      <c r="D77" s="15" t="s">
        <v>19</v>
      </c>
      <c r="E77" s="15" t="s">
        <v>2459</v>
      </c>
      <c r="F77" s="15"/>
      <c r="G77" s="15"/>
      <c r="H77" s="15"/>
      <c r="I77" s="15" t="s">
        <v>115</v>
      </c>
      <c r="J77" s="15" t="s">
        <v>22</v>
      </c>
      <c r="K77" s="15" t="s">
        <v>225</v>
      </c>
      <c r="L77" s="15" t="s">
        <v>39</v>
      </c>
      <c r="M77" s="16">
        <v>0.5</v>
      </c>
      <c r="N77" s="16">
        <v>1.0</v>
      </c>
      <c r="O77" s="16">
        <v>1.0</v>
      </c>
      <c r="P77" s="17">
        <v>45084.0</v>
      </c>
      <c r="Q77" s="18">
        <v>1.78</v>
      </c>
      <c r="R77" s="15" t="s">
        <v>33</v>
      </c>
      <c r="S77" s="19">
        <f t="shared" si="1"/>
        <v>0.78</v>
      </c>
      <c r="T77" s="19">
        <f t="shared" si="8"/>
        <v>4.152613333</v>
      </c>
      <c r="U77" s="144"/>
      <c r="V77" s="66">
        <v>45153.0</v>
      </c>
      <c r="W77" s="13">
        <f t="shared" si="2"/>
        <v>0.20575</v>
      </c>
      <c r="X77" s="141" t="b">
        <f t="shared" si="3"/>
        <v>0</v>
      </c>
      <c r="Y77" s="141" t="b">
        <f t="shared" si="4"/>
        <v>0</v>
      </c>
      <c r="Z77" s="141" t="str">
        <f t="shared" si="5"/>
        <v>Green-green</v>
      </c>
      <c r="AA77" s="141" t="b">
        <f t="shared" si="6"/>
        <v>0</v>
      </c>
    </row>
    <row r="78">
      <c r="A78" s="8">
        <f t="shared" si="7"/>
        <v>77</v>
      </c>
      <c r="B78" s="8"/>
      <c r="C78" s="8"/>
      <c r="D78" s="8" t="s">
        <v>19</v>
      </c>
      <c r="E78" s="8" t="s">
        <v>2460</v>
      </c>
      <c r="F78" s="8"/>
      <c r="G78" s="8"/>
      <c r="H78" s="8"/>
      <c r="I78" s="8" t="s">
        <v>2453</v>
      </c>
      <c r="J78" s="8" t="s">
        <v>598</v>
      </c>
      <c r="K78" s="8" t="s">
        <v>1847</v>
      </c>
      <c r="L78" s="8" t="s">
        <v>2201</v>
      </c>
      <c r="M78" s="9">
        <v>-0.5</v>
      </c>
      <c r="N78" s="9">
        <v>0.25</v>
      </c>
      <c r="O78" s="9">
        <v>0.25</v>
      </c>
      <c r="P78" s="10">
        <v>45084.0</v>
      </c>
      <c r="Q78" s="11">
        <v>1.7</v>
      </c>
      <c r="R78" s="8" t="s">
        <v>33</v>
      </c>
      <c r="S78" s="12">
        <f t="shared" si="1"/>
        <v>0.175</v>
      </c>
      <c r="T78" s="12">
        <f t="shared" si="8"/>
        <v>4.327613333</v>
      </c>
      <c r="U78" s="145"/>
      <c r="V78" s="66">
        <v>45154.0</v>
      </c>
      <c r="W78" s="13">
        <f t="shared" si="2"/>
        <v>0.3989475</v>
      </c>
      <c r="X78" s="141" t="b">
        <f t="shared" si="3"/>
        <v>0</v>
      </c>
      <c r="Y78" s="141" t="b">
        <f t="shared" si="4"/>
        <v>0</v>
      </c>
      <c r="Z78" s="141" t="str">
        <f t="shared" si="5"/>
        <v>Green-green</v>
      </c>
      <c r="AA78" s="141" t="b">
        <f t="shared" si="6"/>
        <v>0</v>
      </c>
    </row>
    <row r="79">
      <c r="A79" s="15">
        <f t="shared" si="7"/>
        <v>78</v>
      </c>
      <c r="B79" s="15"/>
      <c r="C79" s="15"/>
      <c r="D79" s="15" t="s">
        <v>19</v>
      </c>
      <c r="E79" s="15" t="s">
        <v>2461</v>
      </c>
      <c r="F79" s="15"/>
      <c r="G79" s="15"/>
      <c r="H79" s="15"/>
      <c r="I79" s="15" t="s">
        <v>191</v>
      </c>
      <c r="J79" s="15" t="s">
        <v>22</v>
      </c>
      <c r="K79" s="15" t="s">
        <v>440</v>
      </c>
      <c r="L79" s="15" t="s">
        <v>39</v>
      </c>
      <c r="M79" s="16">
        <v>3.0</v>
      </c>
      <c r="N79" s="16">
        <v>0.5</v>
      </c>
      <c r="O79" s="16">
        <v>0.5</v>
      </c>
      <c r="P79" s="17">
        <v>45084.0</v>
      </c>
      <c r="Q79" s="18">
        <v>1.95</v>
      </c>
      <c r="R79" s="15" t="s">
        <v>25</v>
      </c>
      <c r="S79" s="19">
        <f t="shared" si="1"/>
        <v>-0.5</v>
      </c>
      <c r="T79" s="19">
        <f t="shared" si="8"/>
        <v>3.827613333</v>
      </c>
      <c r="U79" s="144"/>
      <c r="V79" s="66">
        <v>45155.0</v>
      </c>
      <c r="W79" s="13">
        <f t="shared" si="2"/>
        <v>0.0905</v>
      </c>
      <c r="X79" s="141" t="b">
        <f t="shared" si="3"/>
        <v>0</v>
      </c>
      <c r="Y79" s="141" t="b">
        <f t="shared" si="4"/>
        <v>0</v>
      </c>
      <c r="Z79" s="141" t="str">
        <f t="shared" si="5"/>
        <v>Green-green</v>
      </c>
      <c r="AA79" s="141" t="b">
        <f t="shared" si="6"/>
        <v>0</v>
      </c>
    </row>
    <row r="80">
      <c r="A80" s="8">
        <f t="shared" si="7"/>
        <v>79</v>
      </c>
      <c r="B80" s="8"/>
      <c r="C80" s="8"/>
      <c r="D80" s="8" t="s">
        <v>19</v>
      </c>
      <c r="E80" s="8" t="s">
        <v>2462</v>
      </c>
      <c r="F80" s="8"/>
      <c r="G80" s="8"/>
      <c r="H80" s="8"/>
      <c r="I80" s="8" t="s">
        <v>2380</v>
      </c>
      <c r="J80" s="8" t="s">
        <v>22</v>
      </c>
      <c r="K80" s="8" t="s">
        <v>225</v>
      </c>
      <c r="L80" s="8" t="s">
        <v>1803</v>
      </c>
      <c r="M80" s="9">
        <v>0.5</v>
      </c>
      <c r="N80" s="9">
        <v>0.5</v>
      </c>
      <c r="O80" s="9">
        <v>0.5</v>
      </c>
      <c r="P80" s="10">
        <v>45084.0</v>
      </c>
      <c r="Q80" s="11">
        <v>1.875</v>
      </c>
      <c r="R80" s="8" t="s">
        <v>33</v>
      </c>
      <c r="S80" s="12">
        <f t="shared" si="1"/>
        <v>0.4375</v>
      </c>
      <c r="T80" s="12">
        <f t="shared" si="8"/>
        <v>4.265113333</v>
      </c>
      <c r="U80" s="145"/>
      <c r="V80" s="66">
        <v>45156.0</v>
      </c>
      <c r="W80" s="13">
        <f t="shared" si="2"/>
        <v>0.15975</v>
      </c>
      <c r="X80" s="141" t="b">
        <f t="shared" si="3"/>
        <v>0</v>
      </c>
      <c r="Y80" s="141" t="b">
        <f t="shared" si="4"/>
        <v>0</v>
      </c>
      <c r="Z80" s="141" t="str">
        <f t="shared" si="5"/>
        <v>Green-green</v>
      </c>
      <c r="AA80" s="141" t="b">
        <f t="shared" si="6"/>
        <v>0</v>
      </c>
    </row>
    <row r="81">
      <c r="A81" s="15">
        <f t="shared" si="7"/>
        <v>80</v>
      </c>
      <c r="B81" s="15"/>
      <c r="C81" s="15"/>
      <c r="D81" s="15" t="s">
        <v>19</v>
      </c>
      <c r="E81" s="15" t="s">
        <v>2463</v>
      </c>
      <c r="F81" s="15"/>
      <c r="G81" s="15"/>
      <c r="H81" s="15"/>
      <c r="I81" s="15" t="s">
        <v>78</v>
      </c>
      <c r="J81" s="15" t="s">
        <v>22</v>
      </c>
      <c r="K81" s="15" t="s">
        <v>892</v>
      </c>
      <c r="L81" s="15" t="s">
        <v>2201</v>
      </c>
      <c r="M81" s="16">
        <v>0.0</v>
      </c>
      <c r="N81" s="16">
        <v>1.0</v>
      </c>
      <c r="O81" s="16">
        <v>1.0</v>
      </c>
      <c r="P81" s="17">
        <v>45084.0</v>
      </c>
      <c r="Q81" s="18">
        <v>2.0</v>
      </c>
      <c r="R81" s="15" t="s">
        <v>33</v>
      </c>
      <c r="S81" s="19">
        <f t="shared" si="1"/>
        <v>1</v>
      </c>
      <c r="T81" s="19">
        <f t="shared" si="8"/>
        <v>5.265113333</v>
      </c>
      <c r="U81" s="144"/>
      <c r="V81" s="66">
        <v>45157.0</v>
      </c>
      <c r="W81" s="13">
        <f t="shared" si="2"/>
        <v>1.0203875</v>
      </c>
      <c r="X81" s="141" t="b">
        <f t="shared" si="3"/>
        <v>0</v>
      </c>
      <c r="Y81" s="141" t="b">
        <f t="shared" si="4"/>
        <v>0</v>
      </c>
      <c r="Z81" s="141" t="str">
        <f t="shared" si="5"/>
        <v>Green-green</v>
      </c>
      <c r="AA81" s="141" t="b">
        <f t="shared" si="6"/>
        <v>0</v>
      </c>
    </row>
    <row r="82">
      <c r="A82" s="8">
        <f t="shared" si="7"/>
        <v>81</v>
      </c>
      <c r="B82" s="8"/>
      <c r="C82" s="8"/>
      <c r="D82" s="8" t="s">
        <v>19</v>
      </c>
      <c r="E82" s="8" t="s">
        <v>2464</v>
      </c>
      <c r="F82" s="8"/>
      <c r="G82" s="8"/>
      <c r="H82" s="8"/>
      <c r="I82" s="8" t="s">
        <v>463</v>
      </c>
      <c r="J82" s="8" t="s">
        <v>22</v>
      </c>
      <c r="K82" s="8" t="s">
        <v>225</v>
      </c>
      <c r="L82" s="8" t="s">
        <v>2201</v>
      </c>
      <c r="M82" s="9">
        <v>0.5</v>
      </c>
      <c r="N82" s="9">
        <v>0.5</v>
      </c>
      <c r="O82" s="9">
        <v>0.5</v>
      </c>
      <c r="P82" s="10">
        <v>45084.0</v>
      </c>
      <c r="Q82" s="11">
        <v>1.85</v>
      </c>
      <c r="R82" s="8" t="s">
        <v>33</v>
      </c>
      <c r="S82" s="12">
        <f t="shared" si="1"/>
        <v>0.425</v>
      </c>
      <c r="T82" s="12">
        <f t="shared" si="8"/>
        <v>5.690113333</v>
      </c>
      <c r="U82" s="145"/>
      <c r="V82" s="66">
        <v>45158.0</v>
      </c>
      <c r="W82" s="13">
        <f t="shared" si="2"/>
        <v>1.5486</v>
      </c>
      <c r="X82" s="141" t="b">
        <f t="shared" si="3"/>
        <v>0</v>
      </c>
      <c r="Y82" s="141" t="b">
        <f t="shared" si="4"/>
        <v>0</v>
      </c>
      <c r="Z82" s="141" t="b">
        <f t="shared" si="5"/>
        <v>0</v>
      </c>
      <c r="AA82" s="141" t="b">
        <f t="shared" si="6"/>
        <v>0</v>
      </c>
    </row>
    <row r="83">
      <c r="A83" s="15">
        <f t="shared" si="7"/>
        <v>82</v>
      </c>
      <c r="B83" s="15"/>
      <c r="C83" s="15"/>
      <c r="D83" s="15" t="s">
        <v>40</v>
      </c>
      <c r="E83" s="15" t="s">
        <v>2465</v>
      </c>
      <c r="F83" s="15"/>
      <c r="G83" s="15"/>
      <c r="H83" s="15"/>
      <c r="I83" s="15" t="s">
        <v>78</v>
      </c>
      <c r="J83" s="15" t="s">
        <v>22</v>
      </c>
      <c r="K83" s="15" t="s">
        <v>2415</v>
      </c>
      <c r="L83" s="15" t="s">
        <v>24</v>
      </c>
      <c r="M83" s="16">
        <v>2.0</v>
      </c>
      <c r="N83" s="16">
        <v>0.25</v>
      </c>
      <c r="O83" s="16">
        <v>0.25</v>
      </c>
      <c r="P83" s="17">
        <v>45084.0</v>
      </c>
      <c r="Q83" s="18">
        <v>1.775</v>
      </c>
      <c r="R83" s="15" t="s">
        <v>70</v>
      </c>
      <c r="S83" s="19">
        <f t="shared" si="1"/>
        <v>0</v>
      </c>
      <c r="T83" s="19">
        <f t="shared" si="8"/>
        <v>5.690113333</v>
      </c>
      <c r="U83" s="144"/>
      <c r="V83" s="66">
        <v>45159.0</v>
      </c>
      <c r="W83" s="13">
        <f t="shared" si="2"/>
        <v>0</v>
      </c>
      <c r="X83" s="141" t="b">
        <f t="shared" si="3"/>
        <v>0</v>
      </c>
      <c r="Y83" s="141" t="b">
        <f t="shared" si="4"/>
        <v>0</v>
      </c>
      <c r="Z83" s="141" t="b">
        <f t="shared" si="5"/>
        <v>0</v>
      </c>
      <c r="AA83" s="141" t="b">
        <f t="shared" si="6"/>
        <v>0</v>
      </c>
    </row>
    <row r="84">
      <c r="A84" s="8">
        <f t="shared" si="7"/>
        <v>83</v>
      </c>
      <c r="B84" s="8"/>
      <c r="C84" s="8"/>
      <c r="D84" s="8" t="s">
        <v>40</v>
      </c>
      <c r="E84" s="8" t="s">
        <v>2466</v>
      </c>
      <c r="F84" s="8"/>
      <c r="G84" s="8"/>
      <c r="H84" s="8"/>
      <c r="I84" s="8" t="s">
        <v>683</v>
      </c>
      <c r="J84" s="8" t="s">
        <v>22</v>
      </c>
      <c r="K84" s="8" t="s">
        <v>29</v>
      </c>
      <c r="L84" s="8" t="s">
        <v>24</v>
      </c>
      <c r="M84" s="9">
        <v>-4.25</v>
      </c>
      <c r="N84" s="9">
        <v>0.5</v>
      </c>
      <c r="O84" s="9">
        <v>0.34</v>
      </c>
      <c r="P84" s="10">
        <v>45084.0</v>
      </c>
      <c r="Q84" s="11">
        <v>1.875</v>
      </c>
      <c r="R84" s="8" t="s">
        <v>33</v>
      </c>
      <c r="S84" s="12">
        <f t="shared" si="1"/>
        <v>0.2975</v>
      </c>
      <c r="T84" s="12">
        <f t="shared" si="8"/>
        <v>5.987613333</v>
      </c>
      <c r="U84" s="145"/>
      <c r="V84" s="66">
        <v>45160.0</v>
      </c>
      <c r="W84" s="13">
        <f t="shared" si="2"/>
        <v>-0.578</v>
      </c>
      <c r="X84" s="141" t="str">
        <f t="shared" si="3"/>
        <v>Red-red</v>
      </c>
      <c r="Y84" s="141" t="b">
        <f t="shared" si="4"/>
        <v>0</v>
      </c>
      <c r="Z84" s="141" t="b">
        <f t="shared" si="5"/>
        <v>0</v>
      </c>
      <c r="AA84" s="141" t="b">
        <f t="shared" si="6"/>
        <v>0</v>
      </c>
    </row>
    <row r="85">
      <c r="A85" s="15">
        <f t="shared" si="7"/>
        <v>84</v>
      </c>
      <c r="B85" s="15"/>
      <c r="C85" s="15"/>
      <c r="D85" s="15" t="s">
        <v>19</v>
      </c>
      <c r="E85" s="15" t="s">
        <v>2467</v>
      </c>
      <c r="F85" s="15"/>
      <c r="G85" s="15"/>
      <c r="H85" s="15"/>
      <c r="I85" s="15" t="s">
        <v>2468</v>
      </c>
      <c r="J85" s="15" t="s">
        <v>22</v>
      </c>
      <c r="K85" s="15" t="s">
        <v>892</v>
      </c>
      <c r="L85" s="15" t="s">
        <v>2201</v>
      </c>
      <c r="M85" s="16">
        <v>0.0</v>
      </c>
      <c r="N85" s="16">
        <v>0.5</v>
      </c>
      <c r="O85" s="16">
        <v>0.5</v>
      </c>
      <c r="P85" s="17">
        <v>45085.0</v>
      </c>
      <c r="Q85" s="18">
        <v>2.025</v>
      </c>
      <c r="R85" s="15" t="s">
        <v>70</v>
      </c>
      <c r="S85" s="19">
        <f t="shared" si="1"/>
        <v>0</v>
      </c>
      <c r="T85" s="19">
        <f t="shared" si="8"/>
        <v>5.987613333</v>
      </c>
      <c r="U85" s="144"/>
      <c r="V85" s="66">
        <v>45161.0</v>
      </c>
      <c r="W85" s="13">
        <f t="shared" si="2"/>
        <v>-4.5375</v>
      </c>
      <c r="X85" s="141" t="b">
        <f t="shared" si="3"/>
        <v>0</v>
      </c>
      <c r="Y85" s="141" t="b">
        <f t="shared" si="4"/>
        <v>0</v>
      </c>
      <c r="Z85" s="141" t="b">
        <f t="shared" si="5"/>
        <v>0</v>
      </c>
      <c r="AA85" s="141" t="b">
        <f t="shared" si="6"/>
        <v>0</v>
      </c>
    </row>
    <row r="86">
      <c r="A86" s="8">
        <f t="shared" si="7"/>
        <v>85</v>
      </c>
      <c r="B86" s="8"/>
      <c r="C86" s="8"/>
      <c r="D86" s="8" t="s">
        <v>19</v>
      </c>
      <c r="E86" s="8" t="s">
        <v>2469</v>
      </c>
      <c r="F86" s="8"/>
      <c r="G86" s="8"/>
      <c r="H86" s="8"/>
      <c r="I86" s="8" t="s">
        <v>2380</v>
      </c>
      <c r="J86" s="8" t="s">
        <v>22</v>
      </c>
      <c r="K86" s="8" t="s">
        <v>225</v>
      </c>
      <c r="L86" s="8" t="s">
        <v>1803</v>
      </c>
      <c r="M86" s="9">
        <v>0.5</v>
      </c>
      <c r="N86" s="9">
        <v>0.5</v>
      </c>
      <c r="O86" s="9">
        <v>0.5</v>
      </c>
      <c r="P86" s="10">
        <v>45085.0</v>
      </c>
      <c r="Q86" s="11">
        <v>1.925</v>
      </c>
      <c r="R86" s="8" t="s">
        <v>70</v>
      </c>
      <c r="S86" s="12">
        <f t="shared" si="1"/>
        <v>0</v>
      </c>
      <c r="T86" s="12">
        <f t="shared" si="8"/>
        <v>5.987613333</v>
      </c>
      <c r="U86" s="145"/>
      <c r="V86" s="66">
        <v>45162.0</v>
      </c>
      <c r="W86" s="13">
        <f t="shared" si="2"/>
        <v>1.365</v>
      </c>
      <c r="X86" s="141" t="b">
        <f t="shared" si="3"/>
        <v>0</v>
      </c>
      <c r="Y86" s="141" t="str">
        <f t="shared" si="4"/>
        <v>Green-red</v>
      </c>
      <c r="Z86" s="141" t="b">
        <f t="shared" si="5"/>
        <v>0</v>
      </c>
      <c r="AA86" s="141" t="str">
        <f t="shared" si="6"/>
        <v>Red-green</v>
      </c>
    </row>
    <row r="87">
      <c r="A87" s="15">
        <f t="shared" si="7"/>
        <v>86</v>
      </c>
      <c r="B87" s="15"/>
      <c r="C87" s="15"/>
      <c r="D87" s="15" t="s">
        <v>19</v>
      </c>
      <c r="E87" s="15" t="s">
        <v>2470</v>
      </c>
      <c r="F87" s="15"/>
      <c r="G87" s="15"/>
      <c r="H87" s="15"/>
      <c r="I87" s="15" t="s">
        <v>2468</v>
      </c>
      <c r="J87" s="15" t="s">
        <v>22</v>
      </c>
      <c r="K87" s="15" t="s">
        <v>892</v>
      </c>
      <c r="L87" s="15" t="s">
        <v>2201</v>
      </c>
      <c r="M87" s="16">
        <v>0.0</v>
      </c>
      <c r="N87" s="16">
        <v>0.5</v>
      </c>
      <c r="O87" s="16">
        <v>0.5</v>
      </c>
      <c r="P87" s="17">
        <v>45085.0</v>
      </c>
      <c r="Q87" s="18">
        <v>1.5</v>
      </c>
      <c r="R87" s="15" t="s">
        <v>70</v>
      </c>
      <c r="S87" s="19">
        <f t="shared" si="1"/>
        <v>0</v>
      </c>
      <c r="T87" s="19">
        <f t="shared" si="8"/>
        <v>5.987613333</v>
      </c>
      <c r="U87" s="144"/>
      <c r="V87" s="66">
        <v>45163.0</v>
      </c>
      <c r="W87" s="13">
        <f t="shared" si="2"/>
        <v>-0.788875</v>
      </c>
      <c r="X87" s="141" t="b">
        <f t="shared" si="3"/>
        <v>0</v>
      </c>
      <c r="Y87" s="141" t="b">
        <f t="shared" si="4"/>
        <v>0</v>
      </c>
      <c r="Z87" s="141" t="b">
        <f t="shared" si="5"/>
        <v>0</v>
      </c>
      <c r="AA87" s="141" t="b">
        <f t="shared" si="6"/>
        <v>0</v>
      </c>
    </row>
    <row r="88">
      <c r="A88" s="8">
        <f t="shared" si="7"/>
        <v>87</v>
      </c>
      <c r="B88" s="8"/>
      <c r="C88" s="8"/>
      <c r="D88" s="8" t="s">
        <v>19</v>
      </c>
      <c r="E88" s="8" t="s">
        <v>2471</v>
      </c>
      <c r="F88" s="8"/>
      <c r="G88" s="8"/>
      <c r="H88" s="8"/>
      <c r="I88" s="8" t="s">
        <v>513</v>
      </c>
      <c r="J88" s="8" t="s">
        <v>22</v>
      </c>
      <c r="K88" s="8" t="s">
        <v>440</v>
      </c>
      <c r="L88" s="8" t="s">
        <v>39</v>
      </c>
      <c r="M88" s="9">
        <v>1.0</v>
      </c>
      <c r="N88" s="9">
        <v>0.25</v>
      </c>
      <c r="O88" s="9">
        <v>0.25</v>
      </c>
      <c r="P88" s="10">
        <v>45085.0</v>
      </c>
      <c r="Q88" s="11">
        <v>1.7</v>
      </c>
      <c r="R88" s="8" t="s">
        <v>70</v>
      </c>
      <c r="S88" s="12">
        <f t="shared" si="1"/>
        <v>0</v>
      </c>
      <c r="T88" s="12">
        <f t="shared" si="8"/>
        <v>5.987613333</v>
      </c>
      <c r="U88" s="145"/>
      <c r="V88" s="66">
        <v>45164.0</v>
      </c>
      <c r="W88" s="13">
        <f t="shared" si="2"/>
        <v>3.388994676</v>
      </c>
      <c r="X88" s="141" t="b">
        <f t="shared" si="3"/>
        <v>0</v>
      </c>
      <c r="Y88" s="141" t="b">
        <f t="shared" si="4"/>
        <v>0</v>
      </c>
      <c r="Z88" s="141" t="str">
        <f t="shared" si="5"/>
        <v>Green-green</v>
      </c>
      <c r="AA88" s="141" t="b">
        <f t="shared" si="6"/>
        <v>0</v>
      </c>
    </row>
    <row r="89">
      <c r="A89" s="15">
        <f t="shared" si="7"/>
        <v>88</v>
      </c>
      <c r="B89" s="15"/>
      <c r="C89" s="15"/>
      <c r="D89" s="15" t="s">
        <v>19</v>
      </c>
      <c r="E89" s="15" t="s">
        <v>2472</v>
      </c>
      <c r="F89" s="15"/>
      <c r="G89" s="15"/>
      <c r="H89" s="15"/>
      <c r="I89" s="15" t="s">
        <v>248</v>
      </c>
      <c r="J89" s="15" t="s">
        <v>22</v>
      </c>
      <c r="K89" s="15" t="s">
        <v>225</v>
      </c>
      <c r="L89" s="15" t="s">
        <v>24</v>
      </c>
      <c r="M89" s="16">
        <v>0.25</v>
      </c>
      <c r="N89" s="16">
        <v>0.5</v>
      </c>
      <c r="O89" s="16">
        <v>0.5</v>
      </c>
      <c r="P89" s="17">
        <v>45085.0</v>
      </c>
      <c r="Q89" s="18">
        <v>1.775</v>
      </c>
      <c r="R89" s="15" t="s">
        <v>30</v>
      </c>
      <c r="S89" s="19">
        <f t="shared" si="1"/>
        <v>0.19375</v>
      </c>
      <c r="T89" s="19">
        <f t="shared" si="8"/>
        <v>6.181363333</v>
      </c>
      <c r="U89" s="144"/>
      <c r="V89" s="66">
        <v>45165.0</v>
      </c>
      <c r="W89" s="13">
        <f t="shared" si="2"/>
        <v>1.4353</v>
      </c>
      <c r="X89" s="141" t="b">
        <f t="shared" si="3"/>
        <v>0</v>
      </c>
      <c r="Y89" s="141" t="b">
        <f t="shared" si="4"/>
        <v>0</v>
      </c>
      <c r="Z89" s="141" t="b">
        <f t="shared" si="5"/>
        <v>0</v>
      </c>
      <c r="AA89" s="141" t="b">
        <f t="shared" si="6"/>
        <v>0</v>
      </c>
    </row>
    <row r="90">
      <c r="A90" s="8">
        <f t="shared" si="7"/>
        <v>89</v>
      </c>
      <c r="B90" s="8"/>
      <c r="C90" s="8"/>
      <c r="D90" s="8" t="s">
        <v>19</v>
      </c>
      <c r="E90" s="8" t="s">
        <v>2473</v>
      </c>
      <c r="F90" s="8"/>
      <c r="G90" s="8"/>
      <c r="H90" s="8"/>
      <c r="I90" s="8" t="s">
        <v>513</v>
      </c>
      <c r="J90" s="8" t="s">
        <v>22</v>
      </c>
      <c r="K90" s="8" t="s">
        <v>892</v>
      </c>
      <c r="L90" s="8" t="s">
        <v>2201</v>
      </c>
      <c r="M90" s="9">
        <v>0.0</v>
      </c>
      <c r="N90" s="9">
        <v>0.5</v>
      </c>
      <c r="O90" s="9">
        <v>0.5</v>
      </c>
      <c r="P90" s="10">
        <v>45085.0</v>
      </c>
      <c r="Q90" s="11">
        <v>1.95</v>
      </c>
      <c r="R90" s="8" t="s">
        <v>33</v>
      </c>
      <c r="S90" s="12">
        <f t="shared" si="1"/>
        <v>0.475</v>
      </c>
      <c r="T90" s="12">
        <f t="shared" si="8"/>
        <v>6.656363333</v>
      </c>
      <c r="U90" s="145"/>
      <c r="V90" s="66">
        <v>45166.0</v>
      </c>
      <c r="W90" s="13">
        <f t="shared" si="2"/>
        <v>0</v>
      </c>
      <c r="X90" s="141" t="b">
        <f t="shared" si="3"/>
        <v>0</v>
      </c>
      <c r="Y90" s="141" t="b">
        <f t="shared" si="4"/>
        <v>0</v>
      </c>
      <c r="Z90" s="141" t="b">
        <f t="shared" si="5"/>
        <v>0</v>
      </c>
      <c r="AA90" s="141" t="b">
        <f t="shared" si="6"/>
        <v>0</v>
      </c>
    </row>
    <row r="91">
      <c r="A91" s="15">
        <f t="shared" si="7"/>
        <v>90</v>
      </c>
      <c r="B91" s="15"/>
      <c r="C91" s="15"/>
      <c r="D91" s="15" t="s">
        <v>19</v>
      </c>
      <c r="E91" s="15" t="s">
        <v>2474</v>
      </c>
      <c r="F91" s="15"/>
      <c r="G91" s="15"/>
      <c r="H91" s="15"/>
      <c r="I91" s="15" t="s">
        <v>920</v>
      </c>
      <c r="J91" s="15" t="s">
        <v>22</v>
      </c>
      <c r="K91" s="15" t="s">
        <v>941</v>
      </c>
      <c r="L91" s="15" t="s">
        <v>2201</v>
      </c>
      <c r="M91" s="16">
        <v>0.0</v>
      </c>
      <c r="N91" s="16">
        <v>0.5</v>
      </c>
      <c r="O91" s="16">
        <v>0.5</v>
      </c>
      <c r="P91" s="17">
        <v>45085.0</v>
      </c>
      <c r="Q91" s="18">
        <v>2.2</v>
      </c>
      <c r="R91" s="15" t="s">
        <v>33</v>
      </c>
      <c r="S91" s="19">
        <f t="shared" si="1"/>
        <v>0.6</v>
      </c>
      <c r="T91" s="19">
        <f t="shared" si="8"/>
        <v>7.256363333</v>
      </c>
      <c r="U91" s="144"/>
      <c r="V91" s="66">
        <v>45167.0</v>
      </c>
      <c r="W91" s="13">
        <f t="shared" si="2"/>
        <v>0.2</v>
      </c>
      <c r="X91" s="141" t="b">
        <f t="shared" si="3"/>
        <v>0</v>
      </c>
      <c r="Y91" s="141" t="b">
        <f t="shared" si="4"/>
        <v>0</v>
      </c>
      <c r="Z91" s="141" t="str">
        <f t="shared" si="5"/>
        <v>Green-green</v>
      </c>
      <c r="AA91" s="141" t="b">
        <f t="shared" si="6"/>
        <v>0</v>
      </c>
    </row>
    <row r="92">
      <c r="A92" s="8">
        <f t="shared" si="7"/>
        <v>91</v>
      </c>
      <c r="B92" s="8"/>
      <c r="C92" s="8"/>
      <c r="D92" s="8" t="s">
        <v>19</v>
      </c>
      <c r="E92" s="8" t="s">
        <v>2475</v>
      </c>
      <c r="F92" s="8"/>
      <c r="G92" s="8"/>
      <c r="H92" s="8"/>
      <c r="I92" s="8" t="s">
        <v>2386</v>
      </c>
      <c r="J92" s="8" t="s">
        <v>22</v>
      </c>
      <c r="K92" s="8" t="s">
        <v>225</v>
      </c>
      <c r="L92" s="8" t="s">
        <v>2201</v>
      </c>
      <c r="M92" s="9">
        <v>0.5</v>
      </c>
      <c r="N92" s="9">
        <v>0.5</v>
      </c>
      <c r="O92" s="9">
        <v>0.5</v>
      </c>
      <c r="P92" s="10">
        <v>45085.0</v>
      </c>
      <c r="Q92" s="11">
        <v>1.85</v>
      </c>
      <c r="R92" s="8" t="s">
        <v>25</v>
      </c>
      <c r="S92" s="12">
        <f t="shared" si="1"/>
        <v>-0.5</v>
      </c>
      <c r="T92" s="12">
        <f t="shared" si="8"/>
        <v>6.756363333</v>
      </c>
      <c r="U92" s="145"/>
      <c r="V92" s="66">
        <v>45168.0</v>
      </c>
      <c r="W92" s="13">
        <f t="shared" si="2"/>
        <v>1.18593</v>
      </c>
      <c r="X92" s="141" t="b">
        <f t="shared" si="3"/>
        <v>0</v>
      </c>
      <c r="Y92" s="141" t="b">
        <f t="shared" si="4"/>
        <v>0</v>
      </c>
      <c r="Z92" s="141" t="str">
        <f t="shared" si="5"/>
        <v>Green-green</v>
      </c>
      <c r="AA92" s="141" t="b">
        <f t="shared" si="6"/>
        <v>0</v>
      </c>
    </row>
    <row r="93">
      <c r="A93" s="15">
        <f t="shared" si="7"/>
        <v>92</v>
      </c>
      <c r="B93" s="15"/>
      <c r="C93" s="15"/>
      <c r="D93" s="15" t="s">
        <v>19</v>
      </c>
      <c r="E93" s="15" t="s">
        <v>2476</v>
      </c>
      <c r="F93" s="15"/>
      <c r="G93" s="15"/>
      <c r="H93" s="15"/>
      <c r="I93" s="15" t="s">
        <v>2380</v>
      </c>
      <c r="J93" s="15" t="s">
        <v>22</v>
      </c>
      <c r="K93" s="15" t="s">
        <v>225</v>
      </c>
      <c r="L93" s="15" t="s">
        <v>24</v>
      </c>
      <c r="M93" s="16">
        <v>1.75</v>
      </c>
      <c r="N93" s="16">
        <v>0.5</v>
      </c>
      <c r="O93" s="16">
        <v>0.26</v>
      </c>
      <c r="P93" s="17">
        <v>45086.0</v>
      </c>
      <c r="Q93" s="18">
        <v>1.8</v>
      </c>
      <c r="R93" s="15" t="s">
        <v>79</v>
      </c>
      <c r="S93" s="19">
        <f t="shared" si="1"/>
        <v>-0.13</v>
      </c>
      <c r="T93" s="19">
        <f t="shared" si="8"/>
        <v>6.626363333</v>
      </c>
      <c r="U93" s="144"/>
      <c r="V93" s="66">
        <v>45169.0</v>
      </c>
      <c r="W93" s="13">
        <f t="shared" si="2"/>
        <v>0.375</v>
      </c>
      <c r="X93" s="141" t="b">
        <f t="shared" si="3"/>
        <v>0</v>
      </c>
      <c r="Y93" s="141" t="b">
        <f t="shared" si="4"/>
        <v>0</v>
      </c>
      <c r="Z93" s="141" t="str">
        <f t="shared" si="5"/>
        <v>Green-green</v>
      </c>
      <c r="AA93" s="141" t="b">
        <f t="shared" si="6"/>
        <v>0</v>
      </c>
    </row>
    <row r="94">
      <c r="A94" s="8">
        <f t="shared" si="7"/>
        <v>93</v>
      </c>
      <c r="B94" s="8"/>
      <c r="C94" s="8"/>
      <c r="D94" s="8" t="s">
        <v>19</v>
      </c>
      <c r="E94" s="8" t="s">
        <v>2477</v>
      </c>
      <c r="F94" s="8"/>
      <c r="G94" s="8"/>
      <c r="H94" s="8"/>
      <c r="I94" s="8" t="s">
        <v>2380</v>
      </c>
      <c r="J94" s="8" t="s">
        <v>22</v>
      </c>
      <c r="K94" s="8" t="s">
        <v>225</v>
      </c>
      <c r="L94" s="8" t="s">
        <v>24</v>
      </c>
      <c r="M94" s="9">
        <v>1.5</v>
      </c>
      <c r="N94" s="9">
        <v>0.24</v>
      </c>
      <c r="O94" s="9">
        <v>0.24</v>
      </c>
      <c r="P94" s="10">
        <v>45086.0</v>
      </c>
      <c r="Q94" s="11">
        <v>1.95</v>
      </c>
      <c r="R94" s="8" t="s">
        <v>25</v>
      </c>
      <c r="S94" s="12">
        <f t="shared" si="1"/>
        <v>-0.24</v>
      </c>
      <c r="T94" s="12">
        <f t="shared" si="8"/>
        <v>6.386363333</v>
      </c>
      <c r="U94" s="145"/>
      <c r="V94" s="66">
        <v>45170.0</v>
      </c>
      <c r="W94" s="13">
        <f t="shared" si="2"/>
        <v>1.57675</v>
      </c>
      <c r="X94" s="141" t="b">
        <f t="shared" si="3"/>
        <v>0</v>
      </c>
      <c r="Y94" s="141" t="str">
        <f t="shared" si="4"/>
        <v>Green-red</v>
      </c>
      <c r="Z94" s="141" t="b">
        <f t="shared" si="5"/>
        <v>0</v>
      </c>
      <c r="AA94" s="141" t="str">
        <f t="shared" si="6"/>
        <v>Red-green</v>
      </c>
    </row>
    <row r="95">
      <c r="A95" s="15">
        <f t="shared" si="7"/>
        <v>94</v>
      </c>
      <c r="B95" s="15"/>
      <c r="C95" s="15"/>
      <c r="D95" s="15" t="s">
        <v>19</v>
      </c>
      <c r="E95" s="15" t="s">
        <v>2478</v>
      </c>
      <c r="F95" s="15"/>
      <c r="G95" s="15"/>
      <c r="H95" s="15"/>
      <c r="I95" s="15" t="s">
        <v>2380</v>
      </c>
      <c r="J95" s="15" t="s">
        <v>22</v>
      </c>
      <c r="K95" s="15" t="s">
        <v>1165</v>
      </c>
      <c r="L95" s="15" t="s">
        <v>24</v>
      </c>
      <c r="M95" s="16"/>
      <c r="N95" s="16">
        <v>0.1</v>
      </c>
      <c r="O95" s="16">
        <v>0.1</v>
      </c>
      <c r="P95" s="17">
        <v>45086.0</v>
      </c>
      <c r="Q95" s="18">
        <v>6.5</v>
      </c>
      <c r="R95" s="15" t="s">
        <v>25</v>
      </c>
      <c r="S95" s="19">
        <f t="shared" si="1"/>
        <v>-0.1</v>
      </c>
      <c r="T95" s="19">
        <f t="shared" si="8"/>
        <v>6.286363333</v>
      </c>
      <c r="U95" s="144"/>
      <c r="V95" s="66">
        <v>45171.0</v>
      </c>
      <c r="W95" s="13">
        <f t="shared" si="2"/>
        <v>-3.8865</v>
      </c>
      <c r="X95" s="141" t="str">
        <f t="shared" si="3"/>
        <v>Red-red</v>
      </c>
      <c r="Y95" s="141" t="b">
        <f t="shared" si="4"/>
        <v>0</v>
      </c>
      <c r="Z95" s="141" t="b">
        <f t="shared" si="5"/>
        <v>0</v>
      </c>
      <c r="AA95" s="141" t="b">
        <f t="shared" si="6"/>
        <v>0</v>
      </c>
    </row>
    <row r="96">
      <c r="A96" s="8">
        <f t="shared" si="7"/>
        <v>95</v>
      </c>
      <c r="B96" s="8"/>
      <c r="C96" s="8"/>
      <c r="D96" s="8" t="s">
        <v>19</v>
      </c>
      <c r="E96" s="8" t="s">
        <v>2479</v>
      </c>
      <c r="F96" s="8"/>
      <c r="G96" s="8"/>
      <c r="H96" s="8"/>
      <c r="I96" s="8" t="s">
        <v>82</v>
      </c>
      <c r="J96" s="8" t="s">
        <v>22</v>
      </c>
      <c r="K96" s="8" t="s">
        <v>1847</v>
      </c>
      <c r="L96" s="8" t="s">
        <v>24</v>
      </c>
      <c r="M96" s="9">
        <v>-0.5</v>
      </c>
      <c r="N96" s="9">
        <v>0.5</v>
      </c>
      <c r="O96" s="9">
        <v>0.5</v>
      </c>
      <c r="P96" s="10">
        <v>45086.0</v>
      </c>
      <c r="Q96" s="11">
        <v>2.2</v>
      </c>
      <c r="R96" s="8" t="s">
        <v>25</v>
      </c>
      <c r="S96" s="12">
        <f t="shared" si="1"/>
        <v>-0.5</v>
      </c>
      <c r="T96" s="12">
        <f t="shared" si="8"/>
        <v>5.786363333</v>
      </c>
      <c r="U96" s="145"/>
      <c r="V96" s="66">
        <v>45172.0</v>
      </c>
      <c r="W96" s="13">
        <f t="shared" si="2"/>
        <v>-0.81325</v>
      </c>
      <c r="X96" s="141" t="b">
        <f t="shared" si="3"/>
        <v>0</v>
      </c>
      <c r="Y96" s="141" t="b">
        <f t="shared" si="4"/>
        <v>0</v>
      </c>
      <c r="Z96" s="141" t="b">
        <f t="shared" si="5"/>
        <v>0</v>
      </c>
      <c r="AA96" s="141" t="b">
        <f t="shared" si="6"/>
        <v>0</v>
      </c>
    </row>
    <row r="97">
      <c r="A97" s="15">
        <f t="shared" si="7"/>
        <v>96</v>
      </c>
      <c r="B97" s="15"/>
      <c r="C97" s="15"/>
      <c r="D97" s="15" t="s">
        <v>19</v>
      </c>
      <c r="E97" s="15" t="s">
        <v>2480</v>
      </c>
      <c r="F97" s="15"/>
      <c r="G97" s="15"/>
      <c r="H97" s="15"/>
      <c r="I97" s="15" t="s">
        <v>683</v>
      </c>
      <c r="J97" s="15" t="s">
        <v>22</v>
      </c>
      <c r="K97" s="15" t="s">
        <v>892</v>
      </c>
      <c r="L97" s="15" t="s">
        <v>24</v>
      </c>
      <c r="M97" s="16">
        <v>0.0</v>
      </c>
      <c r="N97" s="16">
        <v>1.0</v>
      </c>
      <c r="O97" s="16">
        <v>1.0</v>
      </c>
      <c r="P97" s="17">
        <v>45086.0</v>
      </c>
      <c r="Q97" s="18">
        <v>1.75</v>
      </c>
      <c r="R97" s="15" t="s">
        <v>33</v>
      </c>
      <c r="S97" s="19">
        <f t="shared" si="1"/>
        <v>0.75</v>
      </c>
      <c r="T97" s="19">
        <f t="shared" si="8"/>
        <v>6.536363333</v>
      </c>
      <c r="U97" s="144"/>
      <c r="V97" s="66">
        <v>45173.0</v>
      </c>
      <c r="W97" s="13">
        <f t="shared" si="2"/>
        <v>0</v>
      </c>
      <c r="X97" s="141" t="b">
        <f t="shared" si="3"/>
        <v>0</v>
      </c>
      <c r="Y97" s="141" t="b">
        <f t="shared" si="4"/>
        <v>0</v>
      </c>
      <c r="Z97" s="141" t="b">
        <f t="shared" si="5"/>
        <v>0</v>
      </c>
      <c r="AA97" s="141" t="b">
        <f t="shared" si="6"/>
        <v>0</v>
      </c>
    </row>
    <row r="98">
      <c r="A98" s="8">
        <f t="shared" si="7"/>
        <v>97</v>
      </c>
      <c r="B98" s="8"/>
      <c r="C98" s="8"/>
      <c r="D98" s="8" t="s">
        <v>19</v>
      </c>
      <c r="E98" s="8" t="s">
        <v>2481</v>
      </c>
      <c r="F98" s="8"/>
      <c r="G98" s="8"/>
      <c r="H98" s="8"/>
      <c r="I98" s="8" t="s">
        <v>923</v>
      </c>
      <c r="J98" s="8" t="s">
        <v>22</v>
      </c>
      <c r="K98" s="8" t="s">
        <v>892</v>
      </c>
      <c r="L98" s="8" t="s">
        <v>24</v>
      </c>
      <c r="M98" s="9">
        <v>0.0</v>
      </c>
      <c r="N98" s="9">
        <v>1.0</v>
      </c>
      <c r="O98" s="9">
        <v>0.68</v>
      </c>
      <c r="P98" s="10">
        <v>45086.0</v>
      </c>
      <c r="Q98" s="11">
        <v>1.75</v>
      </c>
      <c r="R98" s="8" t="s">
        <v>70</v>
      </c>
      <c r="S98" s="12">
        <f t="shared" si="1"/>
        <v>0</v>
      </c>
      <c r="T98" s="12">
        <f t="shared" si="8"/>
        <v>6.536363333</v>
      </c>
      <c r="U98" s="145"/>
      <c r="V98" s="66">
        <v>45174.0</v>
      </c>
      <c r="W98" s="13">
        <f t="shared" si="2"/>
        <v>0.40430625</v>
      </c>
      <c r="X98" s="141" t="b">
        <f t="shared" si="3"/>
        <v>0</v>
      </c>
      <c r="Y98" s="141" t="b">
        <f t="shared" si="4"/>
        <v>0</v>
      </c>
      <c r="Z98" s="141" t="str">
        <f t="shared" si="5"/>
        <v>Green-green</v>
      </c>
      <c r="AA98" s="141" t="b">
        <f t="shared" si="6"/>
        <v>0</v>
      </c>
    </row>
    <row r="99">
      <c r="A99" s="15">
        <f t="shared" si="7"/>
        <v>98</v>
      </c>
      <c r="B99" s="15"/>
      <c r="C99" s="15"/>
      <c r="D99" s="15" t="s">
        <v>19</v>
      </c>
      <c r="E99" s="15" t="s">
        <v>2482</v>
      </c>
      <c r="F99" s="15"/>
      <c r="G99" s="15"/>
      <c r="H99" s="15"/>
      <c r="I99" s="15" t="s">
        <v>794</v>
      </c>
      <c r="J99" s="15" t="s">
        <v>22</v>
      </c>
      <c r="K99" s="15" t="s">
        <v>894</v>
      </c>
      <c r="L99" s="15" t="s">
        <v>2201</v>
      </c>
      <c r="M99" s="16">
        <v>-0.5</v>
      </c>
      <c r="N99" s="16">
        <v>0.5</v>
      </c>
      <c r="O99" s="16">
        <v>0.5</v>
      </c>
      <c r="P99" s="17">
        <v>45086.0</v>
      </c>
      <c r="Q99" s="18">
        <v>1.925</v>
      </c>
      <c r="R99" s="15" t="s">
        <v>33</v>
      </c>
      <c r="S99" s="19">
        <f t="shared" si="1"/>
        <v>0.4625</v>
      </c>
      <c r="T99" s="19">
        <f t="shared" si="8"/>
        <v>6.998863333</v>
      </c>
      <c r="U99" s="144"/>
      <c r="V99" s="66">
        <v>45175.0</v>
      </c>
      <c r="W99" s="13">
        <f t="shared" si="2"/>
        <v>1.564</v>
      </c>
      <c r="X99" s="141" t="b">
        <f t="shared" si="3"/>
        <v>0</v>
      </c>
      <c r="Y99" s="141" t="b">
        <f t="shared" si="4"/>
        <v>0</v>
      </c>
      <c r="Z99" s="141" t="str">
        <f t="shared" si="5"/>
        <v>Green-green</v>
      </c>
      <c r="AA99" s="141" t="b">
        <f t="shared" si="6"/>
        <v>0</v>
      </c>
    </row>
    <row r="100">
      <c r="A100" s="8">
        <f t="shared" si="7"/>
        <v>99</v>
      </c>
      <c r="B100" s="8"/>
      <c r="C100" s="8"/>
      <c r="D100" s="8" t="s">
        <v>19</v>
      </c>
      <c r="E100" s="8" t="s">
        <v>2483</v>
      </c>
      <c r="F100" s="8"/>
      <c r="G100" s="8"/>
      <c r="H100" s="8"/>
      <c r="I100" s="8" t="s">
        <v>191</v>
      </c>
      <c r="J100" s="8" t="s">
        <v>22</v>
      </c>
      <c r="K100" s="8" t="s">
        <v>225</v>
      </c>
      <c r="L100" s="8" t="s">
        <v>39</v>
      </c>
      <c r="M100" s="9">
        <v>0.5</v>
      </c>
      <c r="N100" s="9">
        <v>1.0</v>
      </c>
      <c r="O100" s="9">
        <v>0.91</v>
      </c>
      <c r="P100" s="10">
        <v>45086.0</v>
      </c>
      <c r="Q100" s="11">
        <v>1.75</v>
      </c>
      <c r="R100" s="8" t="s">
        <v>33</v>
      </c>
      <c r="S100" s="12">
        <f t="shared" si="1"/>
        <v>0.6825</v>
      </c>
      <c r="T100" s="12">
        <f t="shared" si="8"/>
        <v>7.681363333</v>
      </c>
      <c r="U100" s="145"/>
      <c r="V100" s="66">
        <v>45176.0</v>
      </c>
      <c r="W100" s="13">
        <f t="shared" si="2"/>
        <v>0.05328</v>
      </c>
      <c r="X100" s="141" t="b">
        <f t="shared" si="3"/>
        <v>0</v>
      </c>
      <c r="Y100" s="141" t="b">
        <f t="shared" si="4"/>
        <v>0</v>
      </c>
      <c r="Z100" s="141" t="str">
        <f t="shared" si="5"/>
        <v>Green-green</v>
      </c>
      <c r="AA100" s="141" t="b">
        <f t="shared" si="6"/>
        <v>0</v>
      </c>
    </row>
    <row r="101">
      <c r="A101" s="15">
        <f t="shared" si="7"/>
        <v>100</v>
      </c>
      <c r="B101" s="15"/>
      <c r="C101" s="15"/>
      <c r="D101" s="15" t="s">
        <v>19</v>
      </c>
      <c r="E101" s="15" t="s">
        <v>2484</v>
      </c>
      <c r="F101" s="15"/>
      <c r="G101" s="15"/>
      <c r="H101" s="15"/>
      <c r="I101" s="15" t="s">
        <v>463</v>
      </c>
      <c r="J101" s="15" t="s">
        <v>22</v>
      </c>
      <c r="K101" s="15" t="s">
        <v>892</v>
      </c>
      <c r="L101" s="15" t="s">
        <v>2201</v>
      </c>
      <c r="M101" s="16">
        <v>0.0</v>
      </c>
      <c r="N101" s="16">
        <v>1.0</v>
      </c>
      <c r="O101" s="16">
        <v>1.0</v>
      </c>
      <c r="P101" s="17">
        <v>45086.0</v>
      </c>
      <c r="Q101" s="18">
        <v>1.9</v>
      </c>
      <c r="R101" s="15" t="s">
        <v>25</v>
      </c>
      <c r="S101" s="19">
        <f t="shared" si="1"/>
        <v>-1</v>
      </c>
      <c r="T101" s="19">
        <f t="shared" si="8"/>
        <v>6.681363333</v>
      </c>
      <c r="U101" s="144"/>
      <c r="V101" s="66">
        <v>45177.0</v>
      </c>
      <c r="W101" s="13">
        <f t="shared" si="2"/>
        <v>1.025</v>
      </c>
      <c r="X101" s="141" t="b">
        <f t="shared" si="3"/>
        <v>0</v>
      </c>
      <c r="Y101" s="141" t="b">
        <f t="shared" si="4"/>
        <v>0</v>
      </c>
      <c r="Z101" s="141" t="str">
        <f t="shared" si="5"/>
        <v>Green-green</v>
      </c>
      <c r="AA101" s="141" t="b">
        <f t="shared" si="6"/>
        <v>0</v>
      </c>
    </row>
    <row r="102">
      <c r="A102" s="8">
        <f t="shared" si="7"/>
        <v>101</v>
      </c>
      <c r="B102" s="8"/>
      <c r="C102" s="8"/>
      <c r="D102" s="8" t="s">
        <v>19</v>
      </c>
      <c r="E102" s="8" t="s">
        <v>2485</v>
      </c>
      <c r="F102" s="8"/>
      <c r="G102" s="8"/>
      <c r="H102" s="8"/>
      <c r="I102" s="8" t="s">
        <v>432</v>
      </c>
      <c r="J102" s="8" t="s">
        <v>22</v>
      </c>
      <c r="K102" s="8" t="s">
        <v>225</v>
      </c>
      <c r="L102" s="8" t="s">
        <v>1803</v>
      </c>
      <c r="M102" s="9">
        <v>0.5</v>
      </c>
      <c r="N102" s="9">
        <v>1.0</v>
      </c>
      <c r="O102" s="9">
        <v>1.0</v>
      </c>
      <c r="P102" s="10">
        <v>45086.0</v>
      </c>
      <c r="Q102" s="11">
        <v>1.95</v>
      </c>
      <c r="R102" s="8" t="s">
        <v>25</v>
      </c>
      <c r="S102" s="12">
        <f t="shared" si="1"/>
        <v>-1</v>
      </c>
      <c r="T102" s="12">
        <f t="shared" si="8"/>
        <v>5.681363333</v>
      </c>
      <c r="U102" s="145"/>
      <c r="V102" s="66">
        <v>45178.0</v>
      </c>
      <c r="W102" s="13">
        <f t="shared" si="2"/>
        <v>1.98686875</v>
      </c>
      <c r="X102" s="141" t="b">
        <f t="shared" si="3"/>
        <v>0</v>
      </c>
      <c r="Y102" s="141" t="b">
        <f t="shared" si="4"/>
        <v>0</v>
      </c>
      <c r="Z102" s="141" t="str">
        <f t="shared" si="5"/>
        <v>Green-green</v>
      </c>
      <c r="AA102" s="141" t="b">
        <f t="shared" si="6"/>
        <v>0</v>
      </c>
    </row>
    <row r="103">
      <c r="A103" s="15">
        <f t="shared" si="7"/>
        <v>102</v>
      </c>
      <c r="B103" s="15"/>
      <c r="C103" s="15"/>
      <c r="D103" s="15" t="s">
        <v>19</v>
      </c>
      <c r="E103" s="15" t="s">
        <v>2486</v>
      </c>
      <c r="F103" s="15"/>
      <c r="G103" s="15"/>
      <c r="H103" s="15"/>
      <c r="I103" s="15" t="s">
        <v>231</v>
      </c>
      <c r="J103" s="15" t="s">
        <v>22</v>
      </c>
      <c r="K103" s="15" t="s">
        <v>892</v>
      </c>
      <c r="L103" s="15" t="s">
        <v>24</v>
      </c>
      <c r="M103" s="16">
        <v>0.0</v>
      </c>
      <c r="N103" s="16">
        <v>1.0</v>
      </c>
      <c r="O103" s="16">
        <v>1.0</v>
      </c>
      <c r="P103" s="55">
        <v>45086.0</v>
      </c>
      <c r="Q103" s="18">
        <v>1.95</v>
      </c>
      <c r="R103" s="15" t="s">
        <v>33</v>
      </c>
      <c r="S103" s="19">
        <f t="shared" si="1"/>
        <v>0.95</v>
      </c>
      <c r="T103" s="19">
        <f t="shared" si="8"/>
        <v>6.631363333</v>
      </c>
      <c r="U103" s="144"/>
      <c r="V103" s="66">
        <v>45179.0</v>
      </c>
      <c r="W103" s="13">
        <f t="shared" si="2"/>
        <v>1.44625</v>
      </c>
      <c r="X103" s="141" t="b">
        <f t="shared" si="3"/>
        <v>0</v>
      </c>
      <c r="Y103" s="141" t="b">
        <f t="shared" si="4"/>
        <v>0</v>
      </c>
      <c r="Z103" s="141" t="b">
        <f t="shared" si="5"/>
        <v>0</v>
      </c>
      <c r="AA103" s="141" t="b">
        <f t="shared" si="6"/>
        <v>0</v>
      </c>
    </row>
    <row r="104">
      <c r="A104" s="8">
        <f t="shared" si="7"/>
        <v>103</v>
      </c>
      <c r="B104" s="8"/>
      <c r="C104" s="8"/>
      <c r="D104" s="8" t="s">
        <v>40</v>
      </c>
      <c r="E104" s="8" t="s">
        <v>2487</v>
      </c>
      <c r="F104" s="8"/>
      <c r="G104" s="8"/>
      <c r="H104" s="8"/>
      <c r="I104" s="8" t="s">
        <v>58</v>
      </c>
      <c r="J104" s="8" t="s">
        <v>22</v>
      </c>
      <c r="K104" s="8" t="s">
        <v>225</v>
      </c>
      <c r="L104" s="8" t="s">
        <v>24</v>
      </c>
      <c r="M104" s="9">
        <v>2.25</v>
      </c>
      <c r="N104" s="9">
        <v>0.5</v>
      </c>
      <c r="O104" s="9">
        <v>0.5</v>
      </c>
      <c r="P104" s="10">
        <v>45086.0</v>
      </c>
      <c r="Q104" s="11">
        <v>1.9</v>
      </c>
      <c r="R104" s="8" t="s">
        <v>33</v>
      </c>
      <c r="S104" s="12">
        <f t="shared" si="1"/>
        <v>0.45</v>
      </c>
      <c r="T104" s="12">
        <f t="shared" si="8"/>
        <v>7.081363333</v>
      </c>
      <c r="U104" s="145"/>
      <c r="V104" s="66">
        <v>45180.0</v>
      </c>
      <c r="W104" s="13">
        <f t="shared" si="2"/>
        <v>0</v>
      </c>
      <c r="X104" s="141" t="b">
        <f t="shared" si="3"/>
        <v>0</v>
      </c>
      <c r="Y104" s="141" t="b">
        <f t="shared" si="4"/>
        <v>0</v>
      </c>
      <c r="Z104" s="141" t="b">
        <f t="shared" si="5"/>
        <v>0</v>
      </c>
      <c r="AA104" s="141" t="b">
        <f t="shared" si="6"/>
        <v>0</v>
      </c>
    </row>
    <row r="105">
      <c r="A105" s="15">
        <f t="shared" si="7"/>
        <v>104</v>
      </c>
      <c r="B105" s="15"/>
      <c r="C105" s="15"/>
      <c r="D105" s="15" t="s">
        <v>19</v>
      </c>
      <c r="E105" s="15" t="s">
        <v>2488</v>
      </c>
      <c r="F105" s="15"/>
      <c r="G105" s="15"/>
      <c r="H105" s="15"/>
      <c r="I105" s="15" t="s">
        <v>513</v>
      </c>
      <c r="J105" s="15" t="s">
        <v>22</v>
      </c>
      <c r="K105" s="15" t="s">
        <v>894</v>
      </c>
      <c r="L105" s="15" t="s">
        <v>2201</v>
      </c>
      <c r="M105" s="16">
        <v>-0.25</v>
      </c>
      <c r="N105" s="16">
        <v>0.5</v>
      </c>
      <c r="O105" s="16">
        <v>0.5</v>
      </c>
      <c r="P105" s="17">
        <v>45086.0</v>
      </c>
      <c r="Q105" s="18">
        <v>1.75</v>
      </c>
      <c r="R105" s="15" t="s">
        <v>79</v>
      </c>
      <c r="S105" s="19">
        <f t="shared" si="1"/>
        <v>-0.25</v>
      </c>
      <c r="T105" s="19">
        <f t="shared" si="8"/>
        <v>6.831363333</v>
      </c>
      <c r="U105" s="144"/>
      <c r="V105" s="66">
        <v>45181.0</v>
      </c>
      <c r="W105" s="13">
        <f t="shared" si="2"/>
        <v>-0.005</v>
      </c>
      <c r="X105" s="141" t="str">
        <f t="shared" si="3"/>
        <v>Red-red</v>
      </c>
      <c r="Y105" s="141" t="b">
        <f t="shared" si="4"/>
        <v>0</v>
      </c>
      <c r="Z105" s="141" t="b">
        <f t="shared" si="5"/>
        <v>0</v>
      </c>
      <c r="AA105" s="141" t="b">
        <f t="shared" si="6"/>
        <v>0</v>
      </c>
    </row>
    <row r="106">
      <c r="A106" s="8">
        <f t="shared" si="7"/>
        <v>105</v>
      </c>
      <c r="B106" s="8"/>
      <c r="C106" s="8"/>
      <c r="D106" s="8" t="s">
        <v>40</v>
      </c>
      <c r="E106" s="8" t="s">
        <v>2489</v>
      </c>
      <c r="F106" s="8"/>
      <c r="G106" s="8"/>
      <c r="H106" s="8"/>
      <c r="I106" s="8" t="s">
        <v>683</v>
      </c>
      <c r="J106" s="8" t="s">
        <v>22</v>
      </c>
      <c r="K106" s="8" t="s">
        <v>225</v>
      </c>
      <c r="L106" s="8" t="s">
        <v>24</v>
      </c>
      <c r="M106" s="9">
        <v>2.75</v>
      </c>
      <c r="N106" s="9">
        <v>0.5</v>
      </c>
      <c r="O106" s="9">
        <v>0.5</v>
      </c>
      <c r="P106" s="10">
        <v>45086.0</v>
      </c>
      <c r="Q106" s="11">
        <f>285.02/250</f>
        <v>1.14008</v>
      </c>
      <c r="R106" s="8" t="s">
        <v>33</v>
      </c>
      <c r="S106" s="12">
        <f t="shared" si="1"/>
        <v>0.07004</v>
      </c>
      <c r="T106" s="12">
        <f t="shared" si="8"/>
        <v>6.901403333</v>
      </c>
      <c r="U106" s="145"/>
      <c r="V106" s="66">
        <v>45182.0</v>
      </c>
      <c r="W106" s="13">
        <f t="shared" si="2"/>
        <v>-0.167</v>
      </c>
      <c r="X106" s="141" t="b">
        <f t="shared" si="3"/>
        <v>0</v>
      </c>
      <c r="Y106" s="141" t="b">
        <f t="shared" si="4"/>
        <v>0</v>
      </c>
      <c r="Z106" s="141" t="b">
        <f t="shared" si="5"/>
        <v>0</v>
      </c>
      <c r="AA106" s="141" t="b">
        <f t="shared" si="6"/>
        <v>0</v>
      </c>
    </row>
    <row r="107">
      <c r="A107" s="15">
        <f t="shared" si="7"/>
        <v>106</v>
      </c>
      <c r="B107" s="15"/>
      <c r="C107" s="15"/>
      <c r="D107" s="15" t="s">
        <v>19</v>
      </c>
      <c r="E107" s="15" t="s">
        <v>2490</v>
      </c>
      <c r="F107" s="15"/>
      <c r="G107" s="15"/>
      <c r="H107" s="15"/>
      <c r="I107" s="15" t="s">
        <v>82</v>
      </c>
      <c r="J107" s="15" t="s">
        <v>22</v>
      </c>
      <c r="K107" s="15" t="s">
        <v>225</v>
      </c>
      <c r="L107" s="15" t="s">
        <v>2201</v>
      </c>
      <c r="M107" s="16">
        <v>0.25</v>
      </c>
      <c r="N107" s="16">
        <v>0.5</v>
      </c>
      <c r="O107" s="16">
        <v>0.5</v>
      </c>
      <c r="P107" s="17">
        <v>45086.0</v>
      </c>
      <c r="Q107" s="18">
        <v>1.775</v>
      </c>
      <c r="R107" s="15" t="s">
        <v>30</v>
      </c>
      <c r="S107" s="19">
        <f t="shared" si="1"/>
        <v>0.19375</v>
      </c>
      <c r="T107" s="19">
        <f t="shared" si="8"/>
        <v>7.095153333</v>
      </c>
      <c r="U107" s="144"/>
      <c r="V107" s="66">
        <v>45183.0</v>
      </c>
      <c r="W107" s="13">
        <f t="shared" si="2"/>
        <v>0.325</v>
      </c>
      <c r="X107" s="141" t="b">
        <f t="shared" si="3"/>
        <v>0</v>
      </c>
      <c r="Y107" s="141" t="b">
        <f t="shared" si="4"/>
        <v>0</v>
      </c>
      <c r="Z107" s="141" t="str">
        <f t="shared" si="5"/>
        <v>Green-green</v>
      </c>
      <c r="AA107" s="141" t="b">
        <f t="shared" si="6"/>
        <v>0</v>
      </c>
    </row>
    <row r="108">
      <c r="A108" s="8">
        <f t="shared" si="7"/>
        <v>107</v>
      </c>
      <c r="B108" s="8"/>
      <c r="C108" s="8"/>
      <c r="D108" s="8" t="s">
        <v>19</v>
      </c>
      <c r="E108" s="8" t="s">
        <v>2491</v>
      </c>
      <c r="F108" s="8"/>
      <c r="G108" s="8"/>
      <c r="H108" s="8"/>
      <c r="I108" s="8" t="s">
        <v>794</v>
      </c>
      <c r="J108" s="8" t="s">
        <v>22</v>
      </c>
      <c r="K108" s="8" t="s">
        <v>1847</v>
      </c>
      <c r="L108" s="8" t="s">
        <v>2201</v>
      </c>
      <c r="M108" s="9">
        <v>-0.5</v>
      </c>
      <c r="N108" s="9">
        <v>0.25</v>
      </c>
      <c r="O108" s="9">
        <v>0.25</v>
      </c>
      <c r="P108" s="10">
        <v>45086.0</v>
      </c>
      <c r="Q108" s="11">
        <v>1.72</v>
      </c>
      <c r="R108" s="8" t="s">
        <v>25</v>
      </c>
      <c r="S108" s="12">
        <f t="shared" si="1"/>
        <v>-0.25</v>
      </c>
      <c r="T108" s="12">
        <f t="shared" si="8"/>
        <v>6.845153333</v>
      </c>
      <c r="U108" s="145"/>
      <c r="V108" s="66">
        <v>45184.0</v>
      </c>
      <c r="W108" s="13">
        <f t="shared" si="2"/>
        <v>1.8187</v>
      </c>
      <c r="X108" s="141" t="b">
        <f t="shared" si="3"/>
        <v>0</v>
      </c>
      <c r="Y108" s="141" t="b">
        <f t="shared" si="4"/>
        <v>0</v>
      </c>
      <c r="Z108" s="141" t="str">
        <f t="shared" si="5"/>
        <v>Green-green</v>
      </c>
      <c r="AA108" s="141" t="b">
        <f t="shared" si="6"/>
        <v>0</v>
      </c>
    </row>
    <row r="109">
      <c r="A109" s="15">
        <f t="shared" si="7"/>
        <v>108</v>
      </c>
      <c r="B109" s="15"/>
      <c r="C109" s="15"/>
      <c r="D109" s="15" t="s">
        <v>19</v>
      </c>
      <c r="E109" s="15" t="s">
        <v>2492</v>
      </c>
      <c r="F109" s="15"/>
      <c r="G109" s="15"/>
      <c r="H109" s="15"/>
      <c r="I109" s="15" t="s">
        <v>82</v>
      </c>
      <c r="J109" s="15" t="s">
        <v>598</v>
      </c>
      <c r="K109" s="15" t="s">
        <v>892</v>
      </c>
      <c r="L109" s="15" t="s">
        <v>39</v>
      </c>
      <c r="M109" s="16">
        <v>0.0</v>
      </c>
      <c r="N109" s="16">
        <v>0.5</v>
      </c>
      <c r="O109" s="16">
        <v>0.5</v>
      </c>
      <c r="P109" s="17">
        <v>45087.0</v>
      </c>
      <c r="Q109" s="18">
        <v>1.825</v>
      </c>
      <c r="R109" s="15" t="s">
        <v>70</v>
      </c>
      <c r="S109" s="19">
        <f t="shared" si="1"/>
        <v>0</v>
      </c>
      <c r="T109" s="19">
        <f t="shared" si="8"/>
        <v>6.845153333</v>
      </c>
      <c r="U109" s="144"/>
      <c r="V109" s="66">
        <v>45185.0</v>
      </c>
      <c r="W109" s="13">
        <f t="shared" si="2"/>
        <v>2.6995</v>
      </c>
      <c r="X109" s="141" t="b">
        <f t="shared" si="3"/>
        <v>0</v>
      </c>
      <c r="Y109" s="141" t="b">
        <f t="shared" si="4"/>
        <v>0</v>
      </c>
      <c r="Z109" s="141" t="str">
        <f t="shared" si="5"/>
        <v>Green-green</v>
      </c>
      <c r="AA109" s="141" t="b">
        <f t="shared" si="6"/>
        <v>0</v>
      </c>
    </row>
    <row r="110">
      <c r="A110" s="8">
        <f t="shared" si="7"/>
        <v>109</v>
      </c>
      <c r="B110" s="8"/>
      <c r="C110" s="8"/>
      <c r="D110" s="8" t="s">
        <v>19</v>
      </c>
      <c r="E110" s="8" t="s">
        <v>2493</v>
      </c>
      <c r="F110" s="8"/>
      <c r="G110" s="8"/>
      <c r="H110" s="8"/>
      <c r="I110" s="8" t="s">
        <v>940</v>
      </c>
      <c r="J110" s="8" t="s">
        <v>22</v>
      </c>
      <c r="K110" s="8" t="s">
        <v>225</v>
      </c>
      <c r="L110" s="8" t="s">
        <v>39</v>
      </c>
      <c r="M110" s="9">
        <v>0.5</v>
      </c>
      <c r="N110" s="9">
        <v>0.5</v>
      </c>
      <c r="O110" s="9">
        <v>0.5</v>
      </c>
      <c r="P110" s="10">
        <v>45087.0</v>
      </c>
      <c r="Q110" s="11">
        <v>1.775</v>
      </c>
      <c r="R110" s="8" t="s">
        <v>25</v>
      </c>
      <c r="S110" s="12">
        <f t="shared" si="1"/>
        <v>-0.5</v>
      </c>
      <c r="T110" s="12">
        <f t="shared" si="8"/>
        <v>6.345153333</v>
      </c>
      <c r="U110" s="145"/>
      <c r="V110" s="66">
        <v>45186.0</v>
      </c>
      <c r="W110" s="13">
        <f t="shared" si="2"/>
        <v>1.29375</v>
      </c>
      <c r="X110" s="141" t="b">
        <f t="shared" si="3"/>
        <v>0</v>
      </c>
      <c r="Y110" s="141" t="b">
        <f t="shared" si="4"/>
        <v>0</v>
      </c>
      <c r="Z110" s="141" t="b">
        <f t="shared" si="5"/>
        <v>0</v>
      </c>
      <c r="AA110" s="141" t="b">
        <f t="shared" si="6"/>
        <v>0</v>
      </c>
    </row>
    <row r="111">
      <c r="A111" s="15">
        <f t="shared" si="7"/>
        <v>110</v>
      </c>
      <c r="B111" s="15"/>
      <c r="C111" s="15"/>
      <c r="D111" s="15" t="s">
        <v>40</v>
      </c>
      <c r="E111" s="15" t="s">
        <v>2494</v>
      </c>
      <c r="F111" s="15"/>
      <c r="G111" s="15"/>
      <c r="H111" s="15"/>
      <c r="I111" s="15" t="s">
        <v>463</v>
      </c>
      <c r="J111" s="15" t="s">
        <v>22</v>
      </c>
      <c r="K111" s="15" t="s">
        <v>225</v>
      </c>
      <c r="L111" s="15" t="s">
        <v>24</v>
      </c>
      <c r="M111" s="16">
        <v>0.5</v>
      </c>
      <c r="N111" s="16">
        <v>1.0</v>
      </c>
      <c r="O111" s="16">
        <v>0.09</v>
      </c>
      <c r="P111" s="17">
        <v>45087.0</v>
      </c>
      <c r="Q111" s="18">
        <v>1.95</v>
      </c>
      <c r="R111" s="15" t="s">
        <v>33</v>
      </c>
      <c r="S111" s="19">
        <f t="shared" si="1"/>
        <v>0.0855</v>
      </c>
      <c r="T111" s="19">
        <f t="shared" si="8"/>
        <v>6.430653333</v>
      </c>
      <c r="U111" s="144"/>
      <c r="V111" s="66">
        <v>45187.0</v>
      </c>
      <c r="W111" s="13">
        <f t="shared" si="2"/>
        <v>0</v>
      </c>
      <c r="X111" s="141" t="b">
        <f t="shared" si="3"/>
        <v>0</v>
      </c>
      <c r="Y111" s="141" t="b">
        <f t="shared" si="4"/>
        <v>0</v>
      </c>
      <c r="Z111" s="141" t="b">
        <f t="shared" si="5"/>
        <v>0</v>
      </c>
      <c r="AA111" s="141" t="b">
        <f t="shared" si="6"/>
        <v>0</v>
      </c>
    </row>
    <row r="112">
      <c r="A112" s="8">
        <f t="shared" si="7"/>
        <v>111</v>
      </c>
      <c r="B112" s="8"/>
      <c r="C112" s="8"/>
      <c r="D112" s="8" t="s">
        <v>19</v>
      </c>
      <c r="E112" s="8" t="s">
        <v>2495</v>
      </c>
      <c r="F112" s="8"/>
      <c r="G112" s="8"/>
      <c r="H112" s="8"/>
      <c r="I112" s="8" t="s">
        <v>940</v>
      </c>
      <c r="J112" s="8" t="s">
        <v>22</v>
      </c>
      <c r="K112" s="8" t="s">
        <v>225</v>
      </c>
      <c r="L112" s="8" t="s">
        <v>2201</v>
      </c>
      <c r="M112" s="9">
        <v>0.25</v>
      </c>
      <c r="N112" s="9">
        <v>1.0</v>
      </c>
      <c r="O112" s="9">
        <v>1.0</v>
      </c>
      <c r="P112" s="10">
        <v>45087.0</v>
      </c>
      <c r="Q112" s="11">
        <v>1.75</v>
      </c>
      <c r="R112" s="8" t="s">
        <v>25</v>
      </c>
      <c r="S112" s="12">
        <f t="shared" si="1"/>
        <v>-1</v>
      </c>
      <c r="T112" s="12">
        <f t="shared" si="8"/>
        <v>5.430653333</v>
      </c>
      <c r="U112" s="145"/>
      <c r="V112" s="66">
        <v>45188.0</v>
      </c>
      <c r="W112" s="13">
        <f t="shared" si="2"/>
        <v>1.285</v>
      </c>
      <c r="X112" s="141" t="b">
        <f t="shared" si="3"/>
        <v>0</v>
      </c>
      <c r="Y112" s="141" t="b">
        <f t="shared" si="4"/>
        <v>0</v>
      </c>
      <c r="Z112" s="141" t="str">
        <f t="shared" si="5"/>
        <v>Green-green</v>
      </c>
      <c r="AA112" s="141" t="b">
        <f t="shared" si="6"/>
        <v>0</v>
      </c>
    </row>
    <row r="113">
      <c r="A113" s="15">
        <f t="shared" si="7"/>
        <v>112</v>
      </c>
      <c r="B113" s="15"/>
      <c r="C113" s="15"/>
      <c r="D113" s="15" t="s">
        <v>40</v>
      </c>
      <c r="E113" s="15" t="s">
        <v>2496</v>
      </c>
      <c r="F113" s="15"/>
      <c r="G113" s="15"/>
      <c r="H113" s="15"/>
      <c r="I113" s="15" t="s">
        <v>513</v>
      </c>
      <c r="J113" s="15" t="s">
        <v>22</v>
      </c>
      <c r="K113" s="15" t="s">
        <v>225</v>
      </c>
      <c r="L113" s="15" t="s">
        <v>24</v>
      </c>
      <c r="M113" s="16">
        <v>0.25</v>
      </c>
      <c r="N113" s="16">
        <v>1.0</v>
      </c>
      <c r="O113" s="16">
        <v>1.0</v>
      </c>
      <c r="P113" s="17">
        <v>45087.0</v>
      </c>
      <c r="Q113" s="18">
        <v>1.8</v>
      </c>
      <c r="R113" s="15" t="s">
        <v>25</v>
      </c>
      <c r="S113" s="19">
        <f t="shared" si="1"/>
        <v>-1</v>
      </c>
      <c r="T113" s="19">
        <f t="shared" si="8"/>
        <v>4.430653333</v>
      </c>
      <c r="U113" s="144"/>
      <c r="V113" s="66">
        <v>45189.0</v>
      </c>
      <c r="W113" s="13">
        <f t="shared" si="2"/>
        <v>0.79</v>
      </c>
      <c r="X113" s="141" t="b">
        <f t="shared" si="3"/>
        <v>0</v>
      </c>
      <c r="Y113" s="141" t="b">
        <f t="shared" si="4"/>
        <v>0</v>
      </c>
      <c r="Z113" s="141" t="str">
        <f t="shared" si="5"/>
        <v>Green-green</v>
      </c>
      <c r="AA113" s="141" t="b">
        <f t="shared" si="6"/>
        <v>0</v>
      </c>
    </row>
    <row r="114">
      <c r="A114" s="8">
        <f t="shared" si="7"/>
        <v>113</v>
      </c>
      <c r="B114" s="8"/>
      <c r="C114" s="8"/>
      <c r="D114" s="8" t="s">
        <v>40</v>
      </c>
      <c r="E114" s="8" t="s">
        <v>2497</v>
      </c>
      <c r="F114" s="8"/>
      <c r="G114" s="8"/>
      <c r="H114" s="8"/>
      <c r="I114" s="8" t="s">
        <v>908</v>
      </c>
      <c r="J114" s="8" t="s">
        <v>22</v>
      </c>
      <c r="K114" s="8" t="s">
        <v>225</v>
      </c>
      <c r="L114" s="8" t="s">
        <v>2201</v>
      </c>
      <c r="M114" s="9">
        <v>0.5</v>
      </c>
      <c r="N114" s="9">
        <v>1.0</v>
      </c>
      <c r="O114" s="9">
        <v>1.0</v>
      </c>
      <c r="P114" s="10">
        <v>45087.0</v>
      </c>
      <c r="Q114" s="11">
        <v>1.775</v>
      </c>
      <c r="R114" s="8" t="s">
        <v>25</v>
      </c>
      <c r="S114" s="12">
        <f t="shared" si="1"/>
        <v>-1</v>
      </c>
      <c r="T114" s="12">
        <f t="shared" si="8"/>
        <v>3.430653333</v>
      </c>
      <c r="U114" s="145"/>
      <c r="V114" s="66">
        <v>45190.0</v>
      </c>
      <c r="W114" s="13">
        <f t="shared" si="2"/>
        <v>0.16914</v>
      </c>
      <c r="X114" s="141" t="b">
        <f t="shared" si="3"/>
        <v>0</v>
      </c>
      <c r="Y114" s="141" t="b">
        <f t="shared" si="4"/>
        <v>0</v>
      </c>
      <c r="Z114" s="141" t="b">
        <f t="shared" si="5"/>
        <v>0</v>
      </c>
      <c r="AA114" s="141" t="b">
        <f t="shared" si="6"/>
        <v>0</v>
      </c>
    </row>
    <row r="115">
      <c r="A115" s="15">
        <f t="shared" si="7"/>
        <v>114</v>
      </c>
      <c r="B115" s="15"/>
      <c r="C115" s="15"/>
      <c r="D115" s="15" t="s">
        <v>19</v>
      </c>
      <c r="E115" s="15" t="s">
        <v>2498</v>
      </c>
      <c r="F115" s="15"/>
      <c r="G115" s="15"/>
      <c r="H115" s="15"/>
      <c r="I115" s="15" t="s">
        <v>44</v>
      </c>
      <c r="J115" s="15" t="s">
        <v>22</v>
      </c>
      <c r="K115" s="15" t="s">
        <v>225</v>
      </c>
      <c r="L115" s="15" t="s">
        <v>2201</v>
      </c>
      <c r="M115" s="16">
        <v>0.5</v>
      </c>
      <c r="N115" s="16">
        <v>1.0</v>
      </c>
      <c r="O115" s="16">
        <v>0.71</v>
      </c>
      <c r="P115" s="17">
        <v>45087.0</v>
      </c>
      <c r="Q115" s="18">
        <v>1.775</v>
      </c>
      <c r="R115" s="15" t="s">
        <v>33</v>
      </c>
      <c r="S115" s="19">
        <f t="shared" si="1"/>
        <v>0.55025</v>
      </c>
      <c r="T115" s="19">
        <f t="shared" si="8"/>
        <v>3.980903333</v>
      </c>
      <c r="U115" s="144"/>
      <c r="V115" s="66">
        <v>45191.0</v>
      </c>
      <c r="W115" s="13">
        <f t="shared" si="2"/>
        <v>0</v>
      </c>
      <c r="X115" s="141" t="b">
        <f t="shared" si="3"/>
        <v>0</v>
      </c>
      <c r="Y115" s="141" t="b">
        <f t="shared" si="4"/>
        <v>0</v>
      </c>
      <c r="Z115" s="141" t="b">
        <f t="shared" si="5"/>
        <v>0</v>
      </c>
      <c r="AA115" s="141" t="b">
        <f t="shared" si="6"/>
        <v>0</v>
      </c>
    </row>
    <row r="116">
      <c r="A116" s="8">
        <f t="shared" si="7"/>
        <v>115</v>
      </c>
      <c r="B116" s="8"/>
      <c r="C116" s="8"/>
      <c r="D116" s="8" t="s">
        <v>19</v>
      </c>
      <c r="E116" s="8" t="s">
        <v>2499</v>
      </c>
      <c r="F116" s="8"/>
      <c r="G116" s="8"/>
      <c r="H116" s="8"/>
      <c r="I116" s="8" t="s">
        <v>463</v>
      </c>
      <c r="J116" s="8" t="s">
        <v>22</v>
      </c>
      <c r="K116" s="8" t="s">
        <v>225</v>
      </c>
      <c r="L116" s="8" t="s">
        <v>24</v>
      </c>
      <c r="M116" s="9">
        <v>0.5</v>
      </c>
      <c r="N116" s="9">
        <v>1.0</v>
      </c>
      <c r="O116" s="9">
        <v>1.0</v>
      </c>
      <c r="P116" s="10">
        <v>45087.0</v>
      </c>
      <c r="Q116" s="11">
        <v>1.05</v>
      </c>
      <c r="R116" s="8" t="s">
        <v>33</v>
      </c>
      <c r="S116" s="12">
        <f t="shared" si="1"/>
        <v>0.05</v>
      </c>
      <c r="T116" s="12">
        <f t="shared" si="8"/>
        <v>4.030903333</v>
      </c>
      <c r="U116" s="145"/>
      <c r="V116" s="66">
        <v>45192.0</v>
      </c>
      <c r="W116" s="13">
        <f t="shared" si="2"/>
        <v>1.891</v>
      </c>
      <c r="X116" s="141" t="b">
        <f t="shared" si="3"/>
        <v>0</v>
      </c>
      <c r="Y116" s="141" t="b">
        <f t="shared" si="4"/>
        <v>0</v>
      </c>
      <c r="Z116" s="141" t="str">
        <f t="shared" si="5"/>
        <v>Green-green</v>
      </c>
      <c r="AA116" s="141" t="b">
        <f t="shared" si="6"/>
        <v>0</v>
      </c>
    </row>
    <row r="117">
      <c r="A117" s="15">
        <f t="shared" si="7"/>
        <v>116</v>
      </c>
      <c r="B117" s="15"/>
      <c r="C117" s="15"/>
      <c r="D117" s="15" t="s">
        <v>19</v>
      </c>
      <c r="E117" s="15" t="s">
        <v>2500</v>
      </c>
      <c r="F117" s="15"/>
      <c r="G117" s="15"/>
      <c r="H117" s="15"/>
      <c r="I117" s="15" t="s">
        <v>463</v>
      </c>
      <c r="J117" s="15" t="s">
        <v>22</v>
      </c>
      <c r="K117" s="15" t="s">
        <v>225</v>
      </c>
      <c r="L117" s="15" t="s">
        <v>24</v>
      </c>
      <c r="M117" s="16">
        <v>0.5</v>
      </c>
      <c r="N117" s="16">
        <v>1.0</v>
      </c>
      <c r="O117" s="16">
        <v>1.0</v>
      </c>
      <c r="P117" s="17">
        <v>45087.0</v>
      </c>
      <c r="Q117" s="18">
        <v>1.9</v>
      </c>
      <c r="R117" s="15" t="s">
        <v>33</v>
      </c>
      <c r="S117" s="19">
        <f t="shared" si="1"/>
        <v>0.9</v>
      </c>
      <c r="T117" s="19">
        <f t="shared" si="8"/>
        <v>4.930903333</v>
      </c>
      <c r="U117" s="144"/>
      <c r="V117" s="66">
        <v>45193.0</v>
      </c>
      <c r="W117" s="13">
        <f t="shared" si="2"/>
        <v>1.1133</v>
      </c>
      <c r="X117" s="141" t="b">
        <f t="shared" si="3"/>
        <v>0</v>
      </c>
      <c r="Y117" s="141" t="str">
        <f t="shared" si="4"/>
        <v>Green-red</v>
      </c>
      <c r="Z117" s="141" t="b">
        <f t="shared" si="5"/>
        <v>0</v>
      </c>
      <c r="AA117" s="141" t="str">
        <f t="shared" si="6"/>
        <v>Red-green</v>
      </c>
    </row>
    <row r="118">
      <c r="A118" s="8">
        <f t="shared" si="7"/>
        <v>117</v>
      </c>
      <c r="B118" s="8"/>
      <c r="C118" s="8"/>
      <c r="D118" s="8" t="s">
        <v>19</v>
      </c>
      <c r="E118" s="8" t="s">
        <v>2501</v>
      </c>
      <c r="F118" s="8"/>
      <c r="G118" s="8"/>
      <c r="H118" s="8"/>
      <c r="I118" s="8" t="s">
        <v>1470</v>
      </c>
      <c r="J118" s="8" t="s">
        <v>22</v>
      </c>
      <c r="K118" s="8" t="s">
        <v>225</v>
      </c>
      <c r="L118" s="8" t="s">
        <v>24</v>
      </c>
      <c r="M118" s="9">
        <v>0.5</v>
      </c>
      <c r="N118" s="9">
        <v>1.0</v>
      </c>
      <c r="O118" s="9">
        <v>0.38</v>
      </c>
      <c r="P118" s="10">
        <v>45087.0</v>
      </c>
      <c r="Q118" s="11">
        <v>1.9</v>
      </c>
      <c r="R118" s="8" t="s">
        <v>25</v>
      </c>
      <c r="S118" s="12">
        <f t="shared" si="1"/>
        <v>-0.38</v>
      </c>
      <c r="T118" s="12">
        <f t="shared" si="8"/>
        <v>4.550903333</v>
      </c>
      <c r="U118" s="145"/>
      <c r="V118" s="66">
        <v>45194.0</v>
      </c>
      <c r="W118" s="13">
        <f t="shared" si="2"/>
        <v>-0.5</v>
      </c>
      <c r="X118" s="141" t="b">
        <f t="shared" si="3"/>
        <v>0</v>
      </c>
      <c r="Y118" s="141" t="b">
        <f t="shared" si="4"/>
        <v>0</v>
      </c>
      <c r="Z118" s="141" t="b">
        <f t="shared" si="5"/>
        <v>0</v>
      </c>
      <c r="AA118" s="141" t="b">
        <f t="shared" si="6"/>
        <v>0</v>
      </c>
    </row>
    <row r="119">
      <c r="A119" s="15">
        <f t="shared" si="7"/>
        <v>118</v>
      </c>
      <c r="B119" s="15"/>
      <c r="C119" s="15"/>
      <c r="D119" s="15" t="s">
        <v>19</v>
      </c>
      <c r="E119" s="15" t="s">
        <v>2502</v>
      </c>
      <c r="F119" s="15"/>
      <c r="G119" s="15"/>
      <c r="H119" s="15"/>
      <c r="I119" s="15" t="s">
        <v>193</v>
      </c>
      <c r="J119" s="15" t="s">
        <v>22</v>
      </c>
      <c r="K119" s="15" t="s">
        <v>225</v>
      </c>
      <c r="L119" s="15" t="s">
        <v>1803</v>
      </c>
      <c r="M119" s="16">
        <v>0.25</v>
      </c>
      <c r="N119" s="16">
        <v>1.0</v>
      </c>
      <c r="O119" s="16">
        <v>0.36</v>
      </c>
      <c r="P119" s="17">
        <v>45087.0</v>
      </c>
      <c r="Q119" s="18">
        <v>1.9</v>
      </c>
      <c r="R119" s="15" t="s">
        <v>30</v>
      </c>
      <c r="S119" s="19">
        <f t="shared" si="1"/>
        <v>0.162</v>
      </c>
      <c r="T119" s="19">
        <f t="shared" si="8"/>
        <v>4.712903333</v>
      </c>
      <c r="U119" s="144"/>
      <c r="V119" s="66">
        <v>45195.0</v>
      </c>
      <c r="W119" s="13">
        <f t="shared" si="2"/>
        <v>0.19975</v>
      </c>
      <c r="X119" s="141" t="b">
        <f t="shared" si="3"/>
        <v>0</v>
      </c>
      <c r="Y119" s="141" t="b">
        <f t="shared" si="4"/>
        <v>0</v>
      </c>
      <c r="Z119" s="141" t="str">
        <f t="shared" si="5"/>
        <v>Green-green</v>
      </c>
      <c r="AA119" s="141" t="b">
        <f t="shared" si="6"/>
        <v>0</v>
      </c>
    </row>
    <row r="120">
      <c r="A120" s="8">
        <f t="shared" si="7"/>
        <v>119</v>
      </c>
      <c r="B120" s="8"/>
      <c r="C120" s="8"/>
      <c r="D120" s="8" t="s">
        <v>19</v>
      </c>
      <c r="E120" s="8" t="s">
        <v>2503</v>
      </c>
      <c r="F120" s="8"/>
      <c r="G120" s="8"/>
      <c r="H120" s="8"/>
      <c r="I120" s="8" t="s">
        <v>923</v>
      </c>
      <c r="J120" s="8" t="s">
        <v>22</v>
      </c>
      <c r="K120" s="8" t="s">
        <v>225</v>
      </c>
      <c r="L120" s="8" t="s">
        <v>24</v>
      </c>
      <c r="M120" s="9">
        <v>0.5</v>
      </c>
      <c r="N120" s="9">
        <v>1.0</v>
      </c>
      <c r="O120" s="9">
        <v>1.0</v>
      </c>
      <c r="P120" s="10">
        <v>45087.0</v>
      </c>
      <c r="Q120" s="11">
        <v>1.85</v>
      </c>
      <c r="R120" s="8" t="s">
        <v>33</v>
      </c>
      <c r="S120" s="12">
        <f t="shared" si="1"/>
        <v>0.85</v>
      </c>
      <c r="T120" s="12">
        <f t="shared" si="8"/>
        <v>5.562903333</v>
      </c>
      <c r="U120" s="145"/>
      <c r="V120" s="66">
        <v>45196.0</v>
      </c>
      <c r="W120" s="13">
        <f t="shared" si="2"/>
        <v>1.4045</v>
      </c>
      <c r="X120" s="141" t="b">
        <f t="shared" si="3"/>
        <v>0</v>
      </c>
      <c r="Y120" s="141" t="b">
        <f t="shared" si="4"/>
        <v>0</v>
      </c>
      <c r="Z120" s="141" t="str">
        <f t="shared" si="5"/>
        <v>Green-green</v>
      </c>
      <c r="AA120" s="141" t="b">
        <f t="shared" si="6"/>
        <v>0</v>
      </c>
    </row>
    <row r="121">
      <c r="A121" s="15">
        <f t="shared" si="7"/>
        <v>120</v>
      </c>
      <c r="B121" s="15"/>
      <c r="C121" s="15"/>
      <c r="D121" s="15" t="s">
        <v>40</v>
      </c>
      <c r="E121" s="15" t="s">
        <v>2504</v>
      </c>
      <c r="F121" s="15"/>
      <c r="G121" s="15"/>
      <c r="H121" s="15"/>
      <c r="I121" s="15" t="s">
        <v>683</v>
      </c>
      <c r="J121" s="15" t="s">
        <v>22</v>
      </c>
      <c r="K121" s="15" t="s">
        <v>225</v>
      </c>
      <c r="L121" s="15" t="s">
        <v>24</v>
      </c>
      <c r="M121" s="16">
        <v>0.25</v>
      </c>
      <c r="N121" s="16">
        <v>1.0</v>
      </c>
      <c r="O121" s="16">
        <v>0.3</v>
      </c>
      <c r="P121" s="55">
        <v>45087.0</v>
      </c>
      <c r="Q121" s="18">
        <v>2.0</v>
      </c>
      <c r="R121" s="15" t="s">
        <v>33</v>
      </c>
      <c r="S121" s="19">
        <f t="shared" si="1"/>
        <v>0.3</v>
      </c>
      <c r="T121" s="19">
        <f t="shared" si="8"/>
        <v>5.862903333</v>
      </c>
      <c r="U121" s="144"/>
      <c r="V121" s="66">
        <v>45197.0</v>
      </c>
      <c r="W121" s="13">
        <f t="shared" si="2"/>
        <v>1.04664</v>
      </c>
      <c r="X121" s="141" t="b">
        <f t="shared" si="3"/>
        <v>0</v>
      </c>
      <c r="Y121" s="141" t="str">
        <f t="shared" si="4"/>
        <v>Green-red</v>
      </c>
      <c r="Z121" s="141" t="b">
        <f t="shared" si="5"/>
        <v>0</v>
      </c>
      <c r="AA121" s="141" t="str">
        <f t="shared" si="6"/>
        <v>Red-green</v>
      </c>
    </row>
    <row r="122">
      <c r="A122" s="8">
        <f t="shared" si="7"/>
        <v>121</v>
      </c>
      <c r="B122" s="8"/>
      <c r="C122" s="8"/>
      <c r="D122" s="8" t="s">
        <v>19</v>
      </c>
      <c r="E122" s="8" t="s">
        <v>2505</v>
      </c>
      <c r="F122" s="8"/>
      <c r="G122" s="8"/>
      <c r="H122" s="8"/>
      <c r="I122" s="8" t="s">
        <v>432</v>
      </c>
      <c r="J122" s="8" t="s">
        <v>22</v>
      </c>
      <c r="K122" s="8" t="s">
        <v>225</v>
      </c>
      <c r="L122" s="8" t="s">
        <v>1803</v>
      </c>
      <c r="M122" s="9">
        <v>0.5</v>
      </c>
      <c r="N122" s="9">
        <v>1.0</v>
      </c>
      <c r="O122" s="9">
        <v>1.0</v>
      </c>
      <c r="P122" s="10">
        <v>45087.0</v>
      </c>
      <c r="Q122" s="11">
        <v>1.8</v>
      </c>
      <c r="R122" s="8" t="s">
        <v>33</v>
      </c>
      <c r="S122" s="12">
        <f t="shared" si="1"/>
        <v>0.8</v>
      </c>
      <c r="T122" s="12">
        <f t="shared" si="8"/>
        <v>6.662903333</v>
      </c>
      <c r="U122" s="145"/>
      <c r="V122" s="66">
        <v>45198.0</v>
      </c>
      <c r="W122" s="13">
        <f t="shared" si="2"/>
        <v>-0.2088</v>
      </c>
      <c r="X122" s="141" t="b">
        <f t="shared" si="3"/>
        <v>0</v>
      </c>
      <c r="Y122" s="141" t="b">
        <f t="shared" si="4"/>
        <v>0</v>
      </c>
      <c r="Z122" s="141" t="b">
        <f t="shared" si="5"/>
        <v>0</v>
      </c>
      <c r="AA122" s="141" t="b">
        <f t="shared" si="6"/>
        <v>0</v>
      </c>
    </row>
    <row r="123">
      <c r="A123" s="15">
        <f t="shared" si="7"/>
        <v>122</v>
      </c>
      <c r="B123" s="15"/>
      <c r="C123" s="15"/>
      <c r="D123" s="15" t="s">
        <v>19</v>
      </c>
      <c r="E123" s="15" t="s">
        <v>2506</v>
      </c>
      <c r="F123" s="15"/>
      <c r="G123" s="15"/>
      <c r="H123" s="15"/>
      <c r="I123" s="15" t="s">
        <v>432</v>
      </c>
      <c r="J123" s="15" t="s">
        <v>22</v>
      </c>
      <c r="K123" s="15" t="s">
        <v>892</v>
      </c>
      <c r="L123" s="15" t="s">
        <v>1803</v>
      </c>
      <c r="M123" s="16">
        <v>0.0</v>
      </c>
      <c r="N123" s="16">
        <v>1.0</v>
      </c>
      <c r="O123" s="16">
        <v>1.0</v>
      </c>
      <c r="P123" s="17">
        <v>45087.0</v>
      </c>
      <c r="Q123" s="18">
        <v>1.725</v>
      </c>
      <c r="R123" s="15" t="s">
        <v>33</v>
      </c>
      <c r="S123" s="19">
        <f t="shared" si="1"/>
        <v>0.725</v>
      </c>
      <c r="T123" s="19">
        <f t="shared" si="8"/>
        <v>7.387903333</v>
      </c>
      <c r="U123" s="144"/>
      <c r="V123" s="66">
        <v>45199.0</v>
      </c>
      <c r="W123" s="13">
        <f t="shared" si="2"/>
        <v>0.77805</v>
      </c>
      <c r="X123" s="141" t="b">
        <f t="shared" si="3"/>
        <v>0</v>
      </c>
      <c r="Y123" s="141" t="b">
        <f t="shared" si="4"/>
        <v>0</v>
      </c>
      <c r="Z123" s="141" t="str">
        <f t="shared" si="5"/>
        <v>Green-green</v>
      </c>
      <c r="AA123" s="141" t="b">
        <f t="shared" si="6"/>
        <v>0</v>
      </c>
    </row>
    <row r="124">
      <c r="A124" s="8">
        <f t="shared" si="7"/>
        <v>123</v>
      </c>
      <c r="B124" s="8"/>
      <c r="C124" s="8"/>
      <c r="D124" s="8" t="s">
        <v>19</v>
      </c>
      <c r="E124" s="8" t="s">
        <v>2507</v>
      </c>
      <c r="F124" s="8"/>
      <c r="G124" s="8"/>
      <c r="H124" s="8"/>
      <c r="I124" s="8" t="s">
        <v>1961</v>
      </c>
      <c r="J124" s="8" t="s">
        <v>598</v>
      </c>
      <c r="K124" s="8" t="s">
        <v>2508</v>
      </c>
      <c r="L124" s="8" t="s">
        <v>39</v>
      </c>
      <c r="M124" s="9"/>
      <c r="N124" s="9">
        <v>0.25</v>
      </c>
      <c r="O124" s="9">
        <v>0.25</v>
      </c>
      <c r="P124" s="54">
        <v>45087.0</v>
      </c>
      <c r="Q124" s="11">
        <v>1.87</v>
      </c>
      <c r="R124" s="8" t="s">
        <v>33</v>
      </c>
      <c r="S124" s="12">
        <f t="shared" si="1"/>
        <v>0.2175</v>
      </c>
      <c r="T124" s="12">
        <f t="shared" si="8"/>
        <v>7.605403333</v>
      </c>
      <c r="U124" s="145"/>
      <c r="V124" s="66">
        <v>45200.0</v>
      </c>
      <c r="W124" s="13">
        <f t="shared" si="2"/>
        <v>2.45835</v>
      </c>
      <c r="X124" s="141" t="b">
        <f t="shared" si="3"/>
        <v>0</v>
      </c>
      <c r="Y124" s="141" t="b">
        <f t="shared" si="4"/>
        <v>0</v>
      </c>
      <c r="Z124" s="141" t="b">
        <f t="shared" si="5"/>
        <v>0</v>
      </c>
      <c r="AA124" s="141" t="b">
        <f t="shared" si="6"/>
        <v>0</v>
      </c>
    </row>
    <row r="125">
      <c r="A125" s="15">
        <f t="shared" si="7"/>
        <v>124</v>
      </c>
      <c r="B125" s="15"/>
      <c r="C125" s="15"/>
      <c r="D125" s="15" t="s">
        <v>40</v>
      </c>
      <c r="E125" s="15" t="s">
        <v>2509</v>
      </c>
      <c r="F125" s="15"/>
      <c r="G125" s="15"/>
      <c r="H125" s="15"/>
      <c r="I125" s="15" t="s">
        <v>683</v>
      </c>
      <c r="J125" s="15" t="s">
        <v>22</v>
      </c>
      <c r="K125" s="15" t="s">
        <v>225</v>
      </c>
      <c r="L125" s="15" t="s">
        <v>24</v>
      </c>
      <c r="M125" s="16">
        <v>0.25</v>
      </c>
      <c r="N125" s="16">
        <v>0.5</v>
      </c>
      <c r="O125" s="16">
        <v>0.5</v>
      </c>
      <c r="P125" s="17">
        <v>45088.0</v>
      </c>
      <c r="Q125" s="18">
        <v>1.85</v>
      </c>
      <c r="R125" s="15" t="s">
        <v>30</v>
      </c>
      <c r="S125" s="19">
        <f t="shared" si="1"/>
        <v>0.2125</v>
      </c>
      <c r="T125" s="19">
        <f t="shared" si="8"/>
        <v>7.817903333</v>
      </c>
      <c r="U125" s="144"/>
      <c r="V125" s="66">
        <v>45201.0</v>
      </c>
      <c r="W125" s="13">
        <f t="shared" si="2"/>
        <v>0</v>
      </c>
      <c r="X125" s="141" t="b">
        <f t="shared" si="3"/>
        <v>0</v>
      </c>
      <c r="Y125" s="141" t="b">
        <f t="shared" si="4"/>
        <v>0</v>
      </c>
      <c r="Z125" s="141" t="b">
        <f t="shared" si="5"/>
        <v>0</v>
      </c>
      <c r="AA125" s="141" t="b">
        <f t="shared" si="6"/>
        <v>0</v>
      </c>
    </row>
    <row r="126">
      <c r="A126" s="8">
        <f t="shared" si="7"/>
        <v>125</v>
      </c>
      <c r="B126" s="8"/>
      <c r="C126" s="8"/>
      <c r="D126" s="8" t="s">
        <v>40</v>
      </c>
      <c r="E126" s="8" t="s">
        <v>2510</v>
      </c>
      <c r="F126" s="8"/>
      <c r="G126" s="8"/>
      <c r="H126" s="8"/>
      <c r="I126" s="8" t="s">
        <v>683</v>
      </c>
      <c r="J126" s="8" t="s">
        <v>22</v>
      </c>
      <c r="K126" s="8" t="s">
        <v>892</v>
      </c>
      <c r="L126" s="8" t="s">
        <v>24</v>
      </c>
      <c r="M126" s="9">
        <v>0.0</v>
      </c>
      <c r="N126" s="9">
        <v>0.5</v>
      </c>
      <c r="O126" s="9">
        <v>0.5</v>
      </c>
      <c r="P126" s="10">
        <v>45088.0</v>
      </c>
      <c r="Q126" s="11">
        <v>1.75</v>
      </c>
      <c r="R126" s="8" t="s">
        <v>70</v>
      </c>
      <c r="S126" s="12">
        <f t="shared" si="1"/>
        <v>0</v>
      </c>
      <c r="T126" s="12">
        <f t="shared" si="8"/>
        <v>7.817903333</v>
      </c>
      <c r="U126" s="145"/>
      <c r="V126" s="66">
        <v>45202.0</v>
      </c>
      <c r="W126" s="13">
        <f t="shared" si="2"/>
        <v>-0.686</v>
      </c>
      <c r="X126" s="141" t="str">
        <f t="shared" si="3"/>
        <v>Red-red</v>
      </c>
      <c r="Y126" s="141" t="b">
        <f t="shared" si="4"/>
        <v>0</v>
      </c>
      <c r="Z126" s="141" t="b">
        <f t="shared" si="5"/>
        <v>0</v>
      </c>
      <c r="AA126" s="141" t="b">
        <f t="shared" si="6"/>
        <v>0</v>
      </c>
    </row>
    <row r="127">
      <c r="A127" s="15">
        <f t="shared" si="7"/>
        <v>126</v>
      </c>
      <c r="B127" s="15"/>
      <c r="C127" s="15"/>
      <c r="D127" s="15" t="s">
        <v>19</v>
      </c>
      <c r="E127" s="15" t="s">
        <v>2511</v>
      </c>
      <c r="F127" s="15"/>
      <c r="G127" s="15"/>
      <c r="H127" s="15"/>
      <c r="I127" s="15" t="s">
        <v>82</v>
      </c>
      <c r="J127" s="15" t="s">
        <v>598</v>
      </c>
      <c r="K127" s="15" t="s">
        <v>2512</v>
      </c>
      <c r="L127" s="15" t="s">
        <v>24</v>
      </c>
      <c r="M127" s="16">
        <v>-7.0</v>
      </c>
      <c r="N127" s="16">
        <v>0.25</v>
      </c>
      <c r="O127" s="16">
        <v>0.25</v>
      </c>
      <c r="P127" s="17">
        <v>45088.0</v>
      </c>
      <c r="Q127" s="18">
        <v>1.775</v>
      </c>
      <c r="R127" s="15" t="s">
        <v>33</v>
      </c>
      <c r="S127" s="19">
        <f t="shared" si="1"/>
        <v>0.19375</v>
      </c>
      <c r="T127" s="19">
        <f t="shared" si="8"/>
        <v>8.011653333</v>
      </c>
      <c r="U127" s="144"/>
      <c r="V127" s="66">
        <v>45203.0</v>
      </c>
      <c r="W127" s="13">
        <f t="shared" si="2"/>
        <v>-1.731</v>
      </c>
      <c r="X127" s="141" t="b">
        <f t="shared" si="3"/>
        <v>0</v>
      </c>
      <c r="Y127" s="141" t="b">
        <f t="shared" si="4"/>
        <v>0</v>
      </c>
      <c r="Z127" s="141" t="b">
        <f t="shared" si="5"/>
        <v>0</v>
      </c>
      <c r="AA127" s="141" t="b">
        <f t="shared" si="6"/>
        <v>0</v>
      </c>
    </row>
    <row r="128">
      <c r="A128" s="8">
        <f t="shared" si="7"/>
        <v>127</v>
      </c>
      <c r="B128" s="8"/>
      <c r="C128" s="8"/>
      <c r="D128" s="8" t="s">
        <v>19</v>
      </c>
      <c r="E128" s="8" t="s">
        <v>2513</v>
      </c>
      <c r="F128" s="8"/>
      <c r="G128" s="8"/>
      <c r="H128" s="8"/>
      <c r="I128" s="8" t="s">
        <v>1470</v>
      </c>
      <c r="J128" s="8" t="s">
        <v>22</v>
      </c>
      <c r="K128" s="8" t="s">
        <v>225</v>
      </c>
      <c r="L128" s="8" t="s">
        <v>24</v>
      </c>
      <c r="M128" s="9">
        <v>0.5</v>
      </c>
      <c r="N128" s="9">
        <v>1.0</v>
      </c>
      <c r="O128" s="9">
        <v>1.0</v>
      </c>
      <c r="P128" s="10">
        <v>45088.0</v>
      </c>
      <c r="Q128" s="11">
        <v>1.975</v>
      </c>
      <c r="R128" s="8" t="s">
        <v>25</v>
      </c>
      <c r="S128" s="12">
        <f t="shared" si="1"/>
        <v>-1</v>
      </c>
      <c r="T128" s="12">
        <f t="shared" si="8"/>
        <v>7.011653333</v>
      </c>
      <c r="U128" s="145"/>
      <c r="V128" s="66">
        <v>45204.0</v>
      </c>
      <c r="W128" s="13">
        <f t="shared" si="2"/>
        <v>1.197269231</v>
      </c>
      <c r="X128" s="141" t="b">
        <f t="shared" si="3"/>
        <v>0</v>
      </c>
      <c r="Y128" s="141" t="str">
        <f t="shared" si="4"/>
        <v>Green-red</v>
      </c>
      <c r="Z128" s="141" t="b">
        <f t="shared" si="5"/>
        <v>0</v>
      </c>
      <c r="AA128" s="141" t="str">
        <f t="shared" si="6"/>
        <v>Red-green</v>
      </c>
    </row>
    <row r="129">
      <c r="A129" s="15">
        <f t="shared" si="7"/>
        <v>128</v>
      </c>
      <c r="B129" s="15"/>
      <c r="C129" s="15"/>
      <c r="D129" s="15" t="s">
        <v>19</v>
      </c>
      <c r="E129" s="15" t="s">
        <v>2514</v>
      </c>
      <c r="F129" s="15"/>
      <c r="G129" s="15"/>
      <c r="H129" s="15"/>
      <c r="I129" s="15" t="s">
        <v>513</v>
      </c>
      <c r="J129" s="15" t="s">
        <v>22</v>
      </c>
      <c r="K129" s="15" t="s">
        <v>225</v>
      </c>
      <c r="L129" s="15" t="s">
        <v>24</v>
      </c>
      <c r="M129" s="16">
        <v>2.0</v>
      </c>
      <c r="N129" s="16">
        <v>0.5</v>
      </c>
      <c r="O129" s="16">
        <v>0.5</v>
      </c>
      <c r="P129" s="17">
        <v>45088.0</v>
      </c>
      <c r="Q129" s="18">
        <v>1.95</v>
      </c>
      <c r="R129" s="15" t="s">
        <v>33</v>
      </c>
      <c r="S129" s="19">
        <f t="shared" si="1"/>
        <v>0.475</v>
      </c>
      <c r="T129" s="19">
        <f t="shared" si="8"/>
        <v>7.486653333</v>
      </c>
      <c r="U129" s="144"/>
      <c r="V129" s="66">
        <v>45205.0</v>
      </c>
      <c r="W129" s="13">
        <f t="shared" si="2"/>
        <v>-0.06025</v>
      </c>
      <c r="X129" s="141" t="b">
        <f t="shared" si="3"/>
        <v>0</v>
      </c>
      <c r="Y129" s="141" t="b">
        <f t="shared" si="4"/>
        <v>0</v>
      </c>
      <c r="Z129" s="141" t="b">
        <f t="shared" si="5"/>
        <v>0</v>
      </c>
      <c r="AA129" s="141" t="b">
        <f t="shared" si="6"/>
        <v>0</v>
      </c>
    </row>
    <row r="130">
      <c r="A130" s="8">
        <f t="shared" si="7"/>
        <v>129</v>
      </c>
      <c r="B130" s="8"/>
      <c r="C130" s="8"/>
      <c r="D130" s="8" t="s">
        <v>19</v>
      </c>
      <c r="E130" s="8" t="s">
        <v>2515</v>
      </c>
      <c r="F130" s="8"/>
      <c r="G130" s="8"/>
      <c r="H130" s="8"/>
      <c r="I130" s="8" t="s">
        <v>2516</v>
      </c>
      <c r="J130" s="8" t="s">
        <v>22</v>
      </c>
      <c r="K130" s="8" t="s">
        <v>29</v>
      </c>
      <c r="L130" s="8" t="s">
        <v>24</v>
      </c>
      <c r="M130" s="9">
        <v>-4.0</v>
      </c>
      <c r="N130" s="9">
        <v>0.5</v>
      </c>
      <c r="O130" s="9">
        <v>0.5</v>
      </c>
      <c r="P130" s="10">
        <v>45088.0</v>
      </c>
      <c r="Q130" s="11">
        <v>1.95</v>
      </c>
      <c r="R130" s="8" t="s">
        <v>33</v>
      </c>
      <c r="S130" s="12">
        <f t="shared" si="1"/>
        <v>0.475</v>
      </c>
      <c r="T130" s="12">
        <f t="shared" si="8"/>
        <v>7.961653333</v>
      </c>
      <c r="U130" s="145"/>
      <c r="V130" s="66">
        <v>45206.0</v>
      </c>
      <c r="W130" s="13">
        <f t="shared" si="2"/>
        <v>0.836397619</v>
      </c>
      <c r="X130" s="141" t="b">
        <f t="shared" si="3"/>
        <v>0</v>
      </c>
      <c r="Y130" s="141" t="b">
        <f t="shared" si="4"/>
        <v>0</v>
      </c>
      <c r="Z130" s="141" t="str">
        <f t="shared" si="5"/>
        <v>Green-green</v>
      </c>
      <c r="AA130" s="141" t="b">
        <f t="shared" si="6"/>
        <v>0</v>
      </c>
    </row>
    <row r="131">
      <c r="A131" s="15">
        <f t="shared" si="7"/>
        <v>130</v>
      </c>
      <c r="B131" s="15"/>
      <c r="C131" s="15"/>
      <c r="D131" s="15" t="s">
        <v>19</v>
      </c>
      <c r="E131" s="15" t="s">
        <v>2517</v>
      </c>
      <c r="F131" s="15"/>
      <c r="G131" s="15"/>
      <c r="H131" s="15"/>
      <c r="I131" s="15" t="s">
        <v>44</v>
      </c>
      <c r="J131" s="15" t="s">
        <v>22</v>
      </c>
      <c r="K131" s="15" t="s">
        <v>29</v>
      </c>
      <c r="L131" s="15" t="s">
        <v>1803</v>
      </c>
      <c r="M131" s="16">
        <v>-4.5</v>
      </c>
      <c r="N131" s="16">
        <v>0.5</v>
      </c>
      <c r="O131" s="16">
        <v>0.44</v>
      </c>
      <c r="P131" s="17">
        <v>45088.0</v>
      </c>
      <c r="Q131" s="18">
        <v>1.727</v>
      </c>
      <c r="R131" s="15" t="s">
        <v>33</v>
      </c>
      <c r="S131" s="19">
        <f t="shared" si="1"/>
        <v>0.31988</v>
      </c>
      <c r="T131" s="19">
        <f t="shared" si="8"/>
        <v>8.281533333</v>
      </c>
      <c r="U131" s="144"/>
      <c r="V131" s="66">
        <v>45207.0</v>
      </c>
      <c r="W131" s="13">
        <f t="shared" si="2"/>
        <v>2.655915909</v>
      </c>
      <c r="X131" s="141" t="b">
        <f t="shared" si="3"/>
        <v>0</v>
      </c>
      <c r="Y131" s="141" t="b">
        <f t="shared" si="4"/>
        <v>0</v>
      </c>
      <c r="Z131" s="141" t="b">
        <f t="shared" si="5"/>
        <v>0</v>
      </c>
      <c r="AA131" s="141" t="b">
        <f t="shared" si="6"/>
        <v>0</v>
      </c>
    </row>
    <row r="132">
      <c r="A132" s="8">
        <f t="shared" si="7"/>
        <v>131</v>
      </c>
      <c r="B132" s="8"/>
      <c r="C132" s="8"/>
      <c r="D132" s="8" t="s">
        <v>19</v>
      </c>
      <c r="E132" s="8" t="s">
        <v>2518</v>
      </c>
      <c r="F132" s="8"/>
      <c r="G132" s="8"/>
      <c r="H132" s="8"/>
      <c r="I132" s="8" t="s">
        <v>1470</v>
      </c>
      <c r="J132" s="8" t="s">
        <v>22</v>
      </c>
      <c r="K132" s="8" t="s">
        <v>225</v>
      </c>
      <c r="L132" s="8" t="s">
        <v>24</v>
      </c>
      <c r="M132" s="9">
        <v>0.25</v>
      </c>
      <c r="N132" s="9">
        <v>1.0</v>
      </c>
      <c r="O132" s="9">
        <v>0.51</v>
      </c>
      <c r="P132" s="10">
        <v>45088.0</v>
      </c>
      <c r="Q132" s="11">
        <v>1.8</v>
      </c>
      <c r="R132" s="8" t="s">
        <v>25</v>
      </c>
      <c r="S132" s="12">
        <f t="shared" si="1"/>
        <v>-0.51</v>
      </c>
      <c r="T132" s="12">
        <f t="shared" si="8"/>
        <v>7.771533333</v>
      </c>
      <c r="U132" s="145"/>
      <c r="V132" s="66">
        <v>45208.0</v>
      </c>
      <c r="W132" s="13">
        <f t="shared" si="2"/>
        <v>0</v>
      </c>
      <c r="X132" s="141" t="b">
        <f t="shared" si="3"/>
        <v>0</v>
      </c>
      <c r="Y132" s="141" t="b">
        <f t="shared" si="4"/>
        <v>0</v>
      </c>
      <c r="Z132" s="141" t="b">
        <f t="shared" si="5"/>
        <v>0</v>
      </c>
      <c r="AA132" s="141" t="b">
        <f t="shared" si="6"/>
        <v>0</v>
      </c>
    </row>
    <row r="133">
      <c r="A133" s="15">
        <f t="shared" si="7"/>
        <v>132</v>
      </c>
      <c r="B133" s="15"/>
      <c r="C133" s="15"/>
      <c r="D133" s="15" t="s">
        <v>40</v>
      </c>
      <c r="E133" s="15" t="s">
        <v>2519</v>
      </c>
      <c r="F133" s="15"/>
      <c r="G133" s="15"/>
      <c r="H133" s="15"/>
      <c r="I133" s="15" t="s">
        <v>940</v>
      </c>
      <c r="J133" s="15" t="s">
        <v>22</v>
      </c>
      <c r="K133" s="15" t="s">
        <v>225</v>
      </c>
      <c r="L133" s="15" t="s">
        <v>24</v>
      </c>
      <c r="M133" s="16">
        <v>0.25</v>
      </c>
      <c r="N133" s="16">
        <v>1.0</v>
      </c>
      <c r="O133" s="16">
        <v>1.0</v>
      </c>
      <c r="P133" s="17">
        <v>45088.0</v>
      </c>
      <c r="Q133" s="18">
        <f>537/500</f>
        <v>1.074</v>
      </c>
      <c r="R133" s="15" t="s">
        <v>33</v>
      </c>
      <c r="S133" s="19">
        <f t="shared" si="1"/>
        <v>0.074</v>
      </c>
      <c r="T133" s="19">
        <f t="shared" si="8"/>
        <v>7.845533333</v>
      </c>
      <c r="U133" s="144"/>
      <c r="V133" s="66">
        <v>45209.0</v>
      </c>
      <c r="W133" s="13">
        <f t="shared" si="2"/>
        <v>0.039</v>
      </c>
      <c r="X133" s="141" t="b">
        <f t="shared" si="3"/>
        <v>0</v>
      </c>
      <c r="Y133" s="141" t="b">
        <f t="shared" si="4"/>
        <v>0</v>
      </c>
      <c r="Z133" s="141" t="str">
        <f t="shared" si="5"/>
        <v>Green-green</v>
      </c>
      <c r="AA133" s="141" t="b">
        <f t="shared" si="6"/>
        <v>0</v>
      </c>
    </row>
    <row r="134">
      <c r="A134" s="8">
        <f t="shared" si="7"/>
        <v>133</v>
      </c>
      <c r="B134" s="8"/>
      <c r="C134" s="8"/>
      <c r="D134" s="8" t="s">
        <v>19</v>
      </c>
      <c r="E134" s="8" t="s">
        <v>2520</v>
      </c>
      <c r="F134" s="8"/>
      <c r="G134" s="8"/>
      <c r="H134" s="8"/>
      <c r="I134" s="8" t="s">
        <v>513</v>
      </c>
      <c r="J134" s="8" t="s">
        <v>22</v>
      </c>
      <c r="K134" s="8" t="s">
        <v>892</v>
      </c>
      <c r="L134" s="8" t="s">
        <v>2201</v>
      </c>
      <c r="M134" s="9">
        <v>0.0</v>
      </c>
      <c r="N134" s="9">
        <v>0.5</v>
      </c>
      <c r="O134" s="9">
        <v>0.5</v>
      </c>
      <c r="P134" s="10">
        <v>45088.0</v>
      </c>
      <c r="Q134" s="11">
        <v>2.0</v>
      </c>
      <c r="R134" s="8" t="s">
        <v>25</v>
      </c>
      <c r="S134" s="12">
        <f t="shared" si="1"/>
        <v>-0.5</v>
      </c>
      <c r="T134" s="12">
        <f t="shared" si="8"/>
        <v>7.345533333</v>
      </c>
      <c r="U134" s="145"/>
      <c r="V134" s="66">
        <v>45210.0</v>
      </c>
      <c r="W134" s="13">
        <f t="shared" si="2"/>
        <v>1.53075</v>
      </c>
      <c r="X134" s="141" t="b">
        <f t="shared" si="3"/>
        <v>0</v>
      </c>
      <c r="Y134" s="141" t="str">
        <f t="shared" si="4"/>
        <v>Green-red</v>
      </c>
      <c r="Z134" s="141" t="b">
        <f t="shared" si="5"/>
        <v>0</v>
      </c>
      <c r="AA134" s="141" t="str">
        <f t="shared" si="6"/>
        <v>Red-green</v>
      </c>
    </row>
    <row r="135">
      <c r="A135" s="15">
        <f t="shared" si="7"/>
        <v>134</v>
      </c>
      <c r="B135" s="15"/>
      <c r="C135" s="15"/>
      <c r="D135" s="15" t="s">
        <v>19</v>
      </c>
      <c r="E135" s="15" t="s">
        <v>2521</v>
      </c>
      <c r="F135" s="15"/>
      <c r="G135" s="15"/>
      <c r="H135" s="15"/>
      <c r="I135" s="15" t="s">
        <v>82</v>
      </c>
      <c r="J135" s="15" t="s">
        <v>22</v>
      </c>
      <c r="K135" s="15" t="s">
        <v>23</v>
      </c>
      <c r="L135" s="15" t="s">
        <v>24</v>
      </c>
      <c r="M135" s="16">
        <v>-11.0</v>
      </c>
      <c r="N135" s="16">
        <v>1.0</v>
      </c>
      <c r="O135" s="16">
        <v>0.29</v>
      </c>
      <c r="P135" s="17">
        <v>45088.0</v>
      </c>
      <c r="Q135" s="18">
        <v>1.83</v>
      </c>
      <c r="R135" s="15" t="s">
        <v>33</v>
      </c>
      <c r="S135" s="19">
        <f t="shared" si="1"/>
        <v>0.2407</v>
      </c>
      <c r="T135" s="19">
        <f t="shared" si="8"/>
        <v>7.586233333</v>
      </c>
      <c r="U135" s="144"/>
      <c r="V135" s="66">
        <v>45211.0</v>
      </c>
      <c r="W135" s="13">
        <f t="shared" si="2"/>
        <v>-3.25</v>
      </c>
      <c r="X135" s="141" t="str">
        <f t="shared" si="3"/>
        <v>Red-red</v>
      </c>
      <c r="Y135" s="141" t="b">
        <f t="shared" si="4"/>
        <v>0</v>
      </c>
      <c r="Z135" s="141" t="b">
        <f t="shared" si="5"/>
        <v>0</v>
      </c>
      <c r="AA135" s="141" t="b">
        <f t="shared" si="6"/>
        <v>0</v>
      </c>
    </row>
    <row r="136">
      <c r="A136" s="8">
        <f t="shared" si="7"/>
        <v>135</v>
      </c>
      <c r="B136" s="8"/>
      <c r="C136" s="8"/>
      <c r="D136" s="8" t="s">
        <v>19</v>
      </c>
      <c r="E136" s="8" t="s">
        <v>2522</v>
      </c>
      <c r="F136" s="8"/>
      <c r="G136" s="8"/>
      <c r="H136" s="8"/>
      <c r="I136" s="8" t="s">
        <v>117</v>
      </c>
      <c r="J136" s="8" t="s">
        <v>22</v>
      </c>
      <c r="K136" s="8" t="s">
        <v>225</v>
      </c>
      <c r="L136" s="8" t="s">
        <v>39</v>
      </c>
      <c r="M136" s="9">
        <v>0.25</v>
      </c>
      <c r="N136" s="9">
        <v>1.0</v>
      </c>
      <c r="O136" s="9">
        <v>1.0</v>
      </c>
      <c r="P136" s="10">
        <v>45088.0</v>
      </c>
      <c r="Q136" s="11">
        <v>1.825</v>
      </c>
      <c r="R136" s="8" t="s">
        <v>33</v>
      </c>
      <c r="S136" s="12">
        <f t="shared" si="1"/>
        <v>0.825</v>
      </c>
      <c r="T136" s="12">
        <f t="shared" si="8"/>
        <v>8.411233333</v>
      </c>
      <c r="U136" s="145"/>
      <c r="V136" s="66">
        <v>45212.0</v>
      </c>
      <c r="W136" s="13">
        <f t="shared" si="2"/>
        <v>-1.5215</v>
      </c>
      <c r="X136" s="141" t="b">
        <f t="shared" si="3"/>
        <v>0</v>
      </c>
      <c r="Y136" s="141" t="b">
        <f t="shared" si="4"/>
        <v>0</v>
      </c>
      <c r="Z136" s="141" t="b">
        <f t="shared" si="5"/>
        <v>0</v>
      </c>
      <c r="AA136" s="141" t="b">
        <f t="shared" si="6"/>
        <v>0</v>
      </c>
    </row>
    <row r="137">
      <c r="A137" s="15">
        <f t="shared" si="7"/>
        <v>136</v>
      </c>
      <c r="B137" s="15"/>
      <c r="C137" s="15"/>
      <c r="D137" s="15" t="s">
        <v>19</v>
      </c>
      <c r="E137" s="15" t="s">
        <v>2523</v>
      </c>
      <c r="F137" s="15"/>
      <c r="G137" s="15"/>
      <c r="H137" s="15"/>
      <c r="I137" s="15" t="s">
        <v>513</v>
      </c>
      <c r="J137" s="15" t="s">
        <v>22</v>
      </c>
      <c r="K137" s="15" t="s">
        <v>894</v>
      </c>
      <c r="L137" s="15" t="s">
        <v>39</v>
      </c>
      <c r="M137" s="16">
        <v>-0.75</v>
      </c>
      <c r="N137" s="16">
        <v>1.0</v>
      </c>
      <c r="O137" s="16">
        <v>1.0</v>
      </c>
      <c r="P137" s="17">
        <v>45088.0</v>
      </c>
      <c r="Q137" s="18">
        <v>1.725</v>
      </c>
      <c r="R137" s="15" t="s">
        <v>30</v>
      </c>
      <c r="S137" s="19">
        <f t="shared" si="1"/>
        <v>0.3625</v>
      </c>
      <c r="T137" s="19">
        <f t="shared" si="8"/>
        <v>8.773733333</v>
      </c>
      <c r="U137" s="144"/>
      <c r="V137" s="66">
        <v>45213.0</v>
      </c>
      <c r="W137" s="13">
        <f t="shared" si="2"/>
        <v>2.62625</v>
      </c>
      <c r="X137" s="141" t="b">
        <f t="shared" si="3"/>
        <v>0</v>
      </c>
      <c r="Y137" s="141" t="str">
        <f t="shared" si="4"/>
        <v>Green-red</v>
      </c>
      <c r="Z137" s="141" t="b">
        <f t="shared" si="5"/>
        <v>0</v>
      </c>
      <c r="AA137" s="141" t="str">
        <f t="shared" si="6"/>
        <v>Red-green</v>
      </c>
    </row>
    <row r="138">
      <c r="A138" s="8">
        <f t="shared" si="7"/>
        <v>137</v>
      </c>
      <c r="B138" s="8"/>
      <c r="C138" s="8"/>
      <c r="D138" s="8" t="s">
        <v>40</v>
      </c>
      <c r="E138" s="8" t="s">
        <v>2524</v>
      </c>
      <c r="F138" s="8"/>
      <c r="G138" s="8"/>
      <c r="H138" s="8"/>
      <c r="I138" s="8" t="s">
        <v>372</v>
      </c>
      <c r="J138" s="8" t="s">
        <v>22</v>
      </c>
      <c r="K138" s="8" t="s">
        <v>225</v>
      </c>
      <c r="L138" s="8" t="s">
        <v>24</v>
      </c>
      <c r="M138" s="9">
        <v>0.25</v>
      </c>
      <c r="N138" s="9">
        <v>1.0</v>
      </c>
      <c r="O138" s="9">
        <v>1.0</v>
      </c>
      <c r="P138" s="10">
        <v>45088.0</v>
      </c>
      <c r="Q138" s="11">
        <v>1.975</v>
      </c>
      <c r="R138" s="8" t="s">
        <v>25</v>
      </c>
      <c r="S138" s="12">
        <f t="shared" si="1"/>
        <v>-1</v>
      </c>
      <c r="T138" s="12">
        <f t="shared" si="8"/>
        <v>7.773733333</v>
      </c>
      <c r="U138" s="145"/>
      <c r="V138" s="66">
        <v>45214.0</v>
      </c>
      <c r="W138" s="13">
        <f t="shared" si="2"/>
        <v>-0.2905</v>
      </c>
      <c r="X138" s="141" t="b">
        <f t="shared" si="3"/>
        <v>0</v>
      </c>
      <c r="Y138" s="141" t="b">
        <f t="shared" si="4"/>
        <v>0</v>
      </c>
      <c r="Z138" s="141" t="b">
        <f t="shared" si="5"/>
        <v>0</v>
      </c>
      <c r="AA138" s="141" t="b">
        <f t="shared" si="6"/>
        <v>0</v>
      </c>
    </row>
    <row r="139">
      <c r="A139" s="15">
        <f t="shared" si="7"/>
        <v>138</v>
      </c>
      <c r="B139" s="15"/>
      <c r="C139" s="15"/>
      <c r="D139" s="15" t="s">
        <v>19</v>
      </c>
      <c r="E139" s="15" t="s">
        <v>2525</v>
      </c>
      <c r="F139" s="15"/>
      <c r="G139" s="15"/>
      <c r="H139" s="15"/>
      <c r="I139" s="15" t="s">
        <v>93</v>
      </c>
      <c r="J139" s="15" t="s">
        <v>22</v>
      </c>
      <c r="K139" s="15" t="s">
        <v>225</v>
      </c>
      <c r="L139" s="15" t="s">
        <v>2201</v>
      </c>
      <c r="M139" s="16">
        <v>0.25</v>
      </c>
      <c r="N139" s="16">
        <v>1.0</v>
      </c>
      <c r="O139" s="16">
        <v>0.65</v>
      </c>
      <c r="P139" s="17">
        <v>45088.0</v>
      </c>
      <c r="Q139" s="18">
        <v>1.95</v>
      </c>
      <c r="R139" s="15" t="s">
        <v>25</v>
      </c>
      <c r="S139" s="19">
        <f t="shared" si="1"/>
        <v>-0.65</v>
      </c>
      <c r="T139" s="19">
        <f t="shared" si="8"/>
        <v>7.123733333</v>
      </c>
      <c r="U139" s="144"/>
      <c r="V139" s="66">
        <v>45215.0</v>
      </c>
      <c r="W139" s="13">
        <f t="shared" si="2"/>
        <v>0</v>
      </c>
      <c r="X139" s="141" t="b">
        <f t="shared" si="3"/>
        <v>0</v>
      </c>
      <c r="Y139" s="141" t="b">
        <f t="shared" si="4"/>
        <v>0</v>
      </c>
      <c r="Z139" s="141" t="b">
        <f t="shared" si="5"/>
        <v>0</v>
      </c>
      <c r="AA139" s="141" t="b">
        <f t="shared" si="6"/>
        <v>0</v>
      </c>
    </row>
    <row r="140">
      <c r="A140" s="8">
        <f t="shared" si="7"/>
        <v>139</v>
      </c>
      <c r="B140" s="8"/>
      <c r="C140" s="8"/>
      <c r="D140" s="8" t="s">
        <v>19</v>
      </c>
      <c r="E140" s="8" t="s">
        <v>2526</v>
      </c>
      <c r="F140" s="8"/>
      <c r="G140" s="8"/>
      <c r="H140" s="8"/>
      <c r="I140" s="8" t="s">
        <v>229</v>
      </c>
      <c r="J140" s="8" t="s">
        <v>22</v>
      </c>
      <c r="K140" s="8" t="s">
        <v>225</v>
      </c>
      <c r="L140" s="8" t="s">
        <v>39</v>
      </c>
      <c r="M140" s="9">
        <v>0.25</v>
      </c>
      <c r="N140" s="9">
        <v>1.0</v>
      </c>
      <c r="O140" s="9">
        <v>1.0</v>
      </c>
      <c r="P140" s="10">
        <v>45088.0</v>
      </c>
      <c r="Q140" s="11">
        <v>1.7</v>
      </c>
      <c r="R140" s="8" t="s">
        <v>25</v>
      </c>
      <c r="S140" s="12">
        <f t="shared" si="1"/>
        <v>-1</v>
      </c>
      <c r="T140" s="12">
        <f t="shared" si="8"/>
        <v>6.123733333</v>
      </c>
      <c r="U140" s="145"/>
      <c r="V140" s="66">
        <v>45216.0</v>
      </c>
      <c r="W140" s="13">
        <f t="shared" si="2"/>
        <v>0.86835</v>
      </c>
      <c r="X140" s="141" t="b">
        <f t="shared" si="3"/>
        <v>0</v>
      </c>
      <c r="Y140" s="141" t="b">
        <f t="shared" si="4"/>
        <v>0</v>
      </c>
      <c r="Z140" s="141" t="str">
        <f t="shared" si="5"/>
        <v>Green-green</v>
      </c>
      <c r="AA140" s="141" t="b">
        <f t="shared" si="6"/>
        <v>0</v>
      </c>
    </row>
    <row r="141">
      <c r="A141" s="15">
        <f t="shared" si="7"/>
        <v>140</v>
      </c>
      <c r="B141" s="15"/>
      <c r="C141" s="15"/>
      <c r="D141" s="15" t="s">
        <v>19</v>
      </c>
      <c r="E141" s="15" t="s">
        <v>2527</v>
      </c>
      <c r="F141" s="15"/>
      <c r="G141" s="15"/>
      <c r="H141" s="15"/>
      <c r="I141" s="15" t="s">
        <v>642</v>
      </c>
      <c r="J141" s="15" t="s">
        <v>22</v>
      </c>
      <c r="K141" s="15" t="s">
        <v>225</v>
      </c>
      <c r="L141" s="15" t="s">
        <v>2201</v>
      </c>
      <c r="M141" s="16">
        <v>0.25</v>
      </c>
      <c r="N141" s="16">
        <v>0.5</v>
      </c>
      <c r="O141" s="16">
        <v>0.5</v>
      </c>
      <c r="P141" s="17">
        <v>45090.0</v>
      </c>
      <c r="Q141" s="18">
        <v>1.975</v>
      </c>
      <c r="R141" s="15" t="s">
        <v>33</v>
      </c>
      <c r="S141" s="19">
        <f t="shared" si="1"/>
        <v>0.4875</v>
      </c>
      <c r="T141" s="19">
        <f t="shared" si="8"/>
        <v>6.611233333</v>
      </c>
      <c r="U141" s="144"/>
      <c r="V141" s="66">
        <v>45217.0</v>
      </c>
      <c r="W141" s="13">
        <f t="shared" si="2"/>
        <v>0.5715</v>
      </c>
      <c r="X141" s="141" t="b">
        <f t="shared" si="3"/>
        <v>0</v>
      </c>
      <c r="Y141" s="141" t="b">
        <f t="shared" si="4"/>
        <v>0</v>
      </c>
      <c r="Z141" s="141" t="str">
        <f t="shared" si="5"/>
        <v>Green-green</v>
      </c>
      <c r="AA141" s="141" t="b">
        <f t="shared" si="6"/>
        <v>0</v>
      </c>
    </row>
    <row r="142">
      <c r="A142" s="8">
        <f t="shared" si="7"/>
        <v>141</v>
      </c>
      <c r="B142" s="8"/>
      <c r="C142" s="8"/>
      <c r="D142" s="8" t="s">
        <v>40</v>
      </c>
      <c r="E142" s="8" t="s">
        <v>2528</v>
      </c>
      <c r="F142" s="8"/>
      <c r="G142" s="8"/>
      <c r="H142" s="8"/>
      <c r="I142" s="8" t="s">
        <v>78</v>
      </c>
      <c r="J142" s="8" t="s">
        <v>22</v>
      </c>
      <c r="K142" s="8" t="s">
        <v>894</v>
      </c>
      <c r="L142" s="8" t="s">
        <v>2201</v>
      </c>
      <c r="M142" s="9">
        <v>-0.5</v>
      </c>
      <c r="N142" s="9">
        <v>0.5</v>
      </c>
      <c r="O142" s="9">
        <v>0.5</v>
      </c>
      <c r="P142" s="10">
        <v>45090.0</v>
      </c>
      <c r="Q142" s="11">
        <v>1.85</v>
      </c>
      <c r="R142" s="8" t="s">
        <v>33</v>
      </c>
      <c r="S142" s="12">
        <f t="shared" si="1"/>
        <v>0.425</v>
      </c>
      <c r="T142" s="12">
        <f t="shared" si="8"/>
        <v>7.036233333</v>
      </c>
      <c r="U142" s="145"/>
      <c r="V142" s="66">
        <v>45218.0</v>
      </c>
      <c r="W142" s="13">
        <f t="shared" si="2"/>
        <v>0.99673</v>
      </c>
      <c r="X142" s="141" t="b">
        <f t="shared" si="3"/>
        <v>0</v>
      </c>
      <c r="Y142" s="141" t="b">
        <f t="shared" si="4"/>
        <v>0</v>
      </c>
      <c r="Z142" s="141" t="str">
        <f t="shared" si="5"/>
        <v>Green-green</v>
      </c>
      <c r="AA142" s="141" t="b">
        <f t="shared" si="6"/>
        <v>0</v>
      </c>
    </row>
    <row r="143">
      <c r="A143" s="15">
        <f t="shared" si="7"/>
        <v>142</v>
      </c>
      <c r="B143" s="15"/>
      <c r="C143" s="15"/>
      <c r="D143" s="15" t="s">
        <v>19</v>
      </c>
      <c r="E143" s="15" t="s">
        <v>2529</v>
      </c>
      <c r="F143" s="15"/>
      <c r="G143" s="15"/>
      <c r="H143" s="15"/>
      <c r="I143" s="15" t="s">
        <v>463</v>
      </c>
      <c r="J143" s="15" t="s">
        <v>22</v>
      </c>
      <c r="K143" s="15" t="s">
        <v>29</v>
      </c>
      <c r="L143" s="15" t="s">
        <v>1803</v>
      </c>
      <c r="M143" s="16">
        <v>-7.5</v>
      </c>
      <c r="N143" s="16">
        <v>0.5</v>
      </c>
      <c r="O143" s="16">
        <v>0.5</v>
      </c>
      <c r="P143" s="17">
        <v>45090.0</v>
      </c>
      <c r="Q143" s="18">
        <v>1.825</v>
      </c>
      <c r="R143" s="15" t="s">
        <v>25</v>
      </c>
      <c r="S143" s="19">
        <f t="shared" si="1"/>
        <v>-0.5</v>
      </c>
      <c r="T143" s="19">
        <f t="shared" si="8"/>
        <v>6.536233333</v>
      </c>
      <c r="U143" s="144"/>
      <c r="V143" s="66">
        <v>45219.0</v>
      </c>
      <c r="W143" s="13">
        <f t="shared" si="2"/>
        <v>0.3149</v>
      </c>
      <c r="X143" s="141" t="b">
        <f t="shared" si="3"/>
        <v>0</v>
      </c>
      <c r="Y143" s="141" t="b">
        <f t="shared" si="4"/>
        <v>0</v>
      </c>
      <c r="Z143" s="141" t="str">
        <f t="shared" si="5"/>
        <v>Green-green</v>
      </c>
      <c r="AA143" s="141" t="b">
        <f t="shared" si="6"/>
        <v>0</v>
      </c>
    </row>
    <row r="144">
      <c r="A144" s="8">
        <f t="shared" si="7"/>
        <v>143</v>
      </c>
      <c r="B144" s="8"/>
      <c r="C144" s="8"/>
      <c r="D144" s="8" t="s">
        <v>19</v>
      </c>
      <c r="E144" s="8" t="s">
        <v>2530</v>
      </c>
      <c r="F144" s="8"/>
      <c r="G144" s="8"/>
      <c r="H144" s="8"/>
      <c r="I144" s="8" t="s">
        <v>1961</v>
      </c>
      <c r="J144" s="8" t="s">
        <v>598</v>
      </c>
      <c r="K144" s="8" t="s">
        <v>1272</v>
      </c>
      <c r="L144" s="8" t="s">
        <v>2201</v>
      </c>
      <c r="M144" s="9"/>
      <c r="N144" s="9">
        <v>0.25</v>
      </c>
      <c r="O144" s="9">
        <v>0.25</v>
      </c>
      <c r="P144" s="10">
        <v>45091.0</v>
      </c>
      <c r="Q144" s="11">
        <v>3.78</v>
      </c>
      <c r="R144" s="8" t="s">
        <v>25</v>
      </c>
      <c r="S144" s="12">
        <f t="shared" si="1"/>
        <v>-0.25</v>
      </c>
      <c r="T144" s="12">
        <f t="shared" si="8"/>
        <v>6.286233333</v>
      </c>
      <c r="U144" s="145"/>
      <c r="V144" s="66">
        <v>45220.0</v>
      </c>
      <c r="W144" s="13">
        <f t="shared" si="2"/>
        <v>3.93089587</v>
      </c>
      <c r="X144" s="141" t="b">
        <f t="shared" si="3"/>
        <v>0</v>
      </c>
      <c r="Y144" s="141" t="b">
        <f t="shared" si="4"/>
        <v>0</v>
      </c>
      <c r="Z144" s="141" t="str">
        <f t="shared" si="5"/>
        <v>Green-green</v>
      </c>
      <c r="AA144" s="141" t="b">
        <f t="shared" si="6"/>
        <v>0</v>
      </c>
    </row>
    <row r="145">
      <c r="A145" s="15">
        <f t="shared" si="7"/>
        <v>144</v>
      </c>
      <c r="B145" s="15"/>
      <c r="C145" s="15"/>
      <c r="D145" s="15" t="s">
        <v>19</v>
      </c>
      <c r="E145" s="15" t="s">
        <v>2531</v>
      </c>
      <c r="F145" s="15"/>
      <c r="G145" s="15"/>
      <c r="H145" s="15"/>
      <c r="I145" s="15" t="s">
        <v>794</v>
      </c>
      <c r="J145" s="15" t="s">
        <v>22</v>
      </c>
      <c r="K145" s="15" t="s">
        <v>225</v>
      </c>
      <c r="L145" s="15" t="s">
        <v>2201</v>
      </c>
      <c r="M145" s="16">
        <v>0.25</v>
      </c>
      <c r="N145" s="16">
        <v>0.5</v>
      </c>
      <c r="O145" s="16">
        <v>0.5</v>
      </c>
      <c r="P145" s="17">
        <v>45091.0</v>
      </c>
      <c r="Q145" s="18">
        <v>1.9</v>
      </c>
      <c r="R145" s="15" t="s">
        <v>30</v>
      </c>
      <c r="S145" s="19">
        <f t="shared" si="1"/>
        <v>0.225</v>
      </c>
      <c r="T145" s="19">
        <f t="shared" si="8"/>
        <v>6.511233333</v>
      </c>
      <c r="U145" s="144"/>
      <c r="V145" s="66">
        <v>45221.0</v>
      </c>
      <c r="W145" s="13">
        <f t="shared" si="2"/>
        <v>0.135125</v>
      </c>
      <c r="X145" s="141" t="b">
        <f t="shared" si="3"/>
        <v>0</v>
      </c>
      <c r="Y145" s="141" t="b">
        <f t="shared" si="4"/>
        <v>0</v>
      </c>
      <c r="Z145" s="141" t="str">
        <f t="shared" si="5"/>
        <v>Green-green</v>
      </c>
      <c r="AA145" s="141" t="b">
        <f t="shared" si="6"/>
        <v>0</v>
      </c>
    </row>
    <row r="146">
      <c r="A146" s="8">
        <f t="shared" si="7"/>
        <v>145</v>
      </c>
      <c r="B146" s="8"/>
      <c r="C146" s="8"/>
      <c r="D146" s="8" t="s">
        <v>19</v>
      </c>
      <c r="E146" s="8" t="s">
        <v>2532</v>
      </c>
      <c r="F146" s="8"/>
      <c r="G146" s="8"/>
      <c r="H146" s="8"/>
      <c r="I146" s="8" t="s">
        <v>794</v>
      </c>
      <c r="J146" s="8" t="s">
        <v>22</v>
      </c>
      <c r="K146" s="8" t="s">
        <v>1847</v>
      </c>
      <c r="L146" s="8" t="s">
        <v>2201</v>
      </c>
      <c r="M146" s="9">
        <v>-0.5</v>
      </c>
      <c r="N146" s="9">
        <v>0.25</v>
      </c>
      <c r="O146" s="9">
        <v>0.25</v>
      </c>
      <c r="P146" s="10">
        <v>45091.0</v>
      </c>
      <c r="Q146" s="11">
        <v>1.833</v>
      </c>
      <c r="R146" s="8" t="s">
        <v>33</v>
      </c>
      <c r="S146" s="12">
        <f t="shared" si="1"/>
        <v>0.20825</v>
      </c>
      <c r="T146" s="12">
        <f t="shared" si="8"/>
        <v>6.719483333</v>
      </c>
      <c r="U146" s="145"/>
      <c r="V146" s="66">
        <v>45222.0</v>
      </c>
      <c r="W146" s="13">
        <f t="shared" si="2"/>
        <v>0.4625</v>
      </c>
      <c r="X146" s="141" t="b">
        <f t="shared" si="3"/>
        <v>0</v>
      </c>
      <c r="Y146" s="141" t="str">
        <f t="shared" si="4"/>
        <v>Green-red</v>
      </c>
      <c r="Z146" s="141" t="b">
        <f t="shared" si="5"/>
        <v>0</v>
      </c>
      <c r="AA146" s="141" t="str">
        <f t="shared" si="6"/>
        <v>Red-green</v>
      </c>
    </row>
    <row r="147">
      <c r="A147" s="15">
        <f t="shared" si="7"/>
        <v>146</v>
      </c>
      <c r="B147" s="15"/>
      <c r="C147" s="15"/>
      <c r="D147" s="15" t="s">
        <v>19</v>
      </c>
      <c r="E147" s="15" t="s">
        <v>2533</v>
      </c>
      <c r="F147" s="15"/>
      <c r="G147" s="15"/>
      <c r="H147" s="15"/>
      <c r="I147" s="15" t="s">
        <v>82</v>
      </c>
      <c r="J147" s="15" t="s">
        <v>22</v>
      </c>
      <c r="K147" s="15" t="s">
        <v>225</v>
      </c>
      <c r="L147" s="15" t="s">
        <v>24</v>
      </c>
      <c r="M147" s="16">
        <v>0.5</v>
      </c>
      <c r="N147" s="16">
        <v>0.5</v>
      </c>
      <c r="O147" s="16">
        <v>0.5</v>
      </c>
      <c r="P147" s="17">
        <v>45091.0</v>
      </c>
      <c r="Q147" s="18">
        <v>1.85</v>
      </c>
      <c r="R147" s="15" t="s">
        <v>25</v>
      </c>
      <c r="S147" s="19">
        <f t="shared" si="1"/>
        <v>-0.5</v>
      </c>
      <c r="T147" s="19">
        <f t="shared" si="8"/>
        <v>6.219483333</v>
      </c>
      <c r="U147" s="144"/>
      <c r="V147" s="66">
        <v>45223.0</v>
      </c>
      <c r="W147" s="13">
        <f t="shared" si="2"/>
        <v>-1.16475</v>
      </c>
      <c r="X147" s="141" t="b">
        <f t="shared" si="3"/>
        <v>0</v>
      </c>
      <c r="Y147" s="141" t="b">
        <f t="shared" si="4"/>
        <v>0</v>
      </c>
      <c r="Z147" s="141" t="b">
        <f t="shared" si="5"/>
        <v>0</v>
      </c>
      <c r="AA147" s="141" t="b">
        <f t="shared" si="6"/>
        <v>0</v>
      </c>
    </row>
    <row r="148">
      <c r="A148" s="8">
        <f t="shared" si="7"/>
        <v>147</v>
      </c>
      <c r="B148" s="8"/>
      <c r="C148" s="8"/>
      <c r="D148" s="8" t="s">
        <v>19</v>
      </c>
      <c r="E148" s="8" t="s">
        <v>2534</v>
      </c>
      <c r="F148" s="8"/>
      <c r="G148" s="8"/>
      <c r="H148" s="8"/>
      <c r="I148" s="8" t="s">
        <v>432</v>
      </c>
      <c r="J148" s="8" t="s">
        <v>22</v>
      </c>
      <c r="K148" s="8" t="s">
        <v>29</v>
      </c>
      <c r="L148" s="8" t="s">
        <v>1803</v>
      </c>
      <c r="M148" s="9">
        <v>-2.5</v>
      </c>
      <c r="N148" s="9">
        <v>0.5</v>
      </c>
      <c r="O148" s="9">
        <v>0.5</v>
      </c>
      <c r="P148" s="10">
        <v>45091.0</v>
      </c>
      <c r="Q148" s="11">
        <v>1.825</v>
      </c>
      <c r="R148" s="8" t="s">
        <v>25</v>
      </c>
      <c r="S148" s="12">
        <f t="shared" si="1"/>
        <v>-0.5</v>
      </c>
      <c r="T148" s="12">
        <f t="shared" si="8"/>
        <v>5.719483333</v>
      </c>
      <c r="U148" s="145"/>
      <c r="V148" s="66">
        <v>45224.0</v>
      </c>
      <c r="W148" s="13">
        <f t="shared" si="2"/>
        <v>0.5540929487</v>
      </c>
      <c r="X148" s="141" t="b">
        <f t="shared" si="3"/>
        <v>0</v>
      </c>
      <c r="Y148" s="141" t="str">
        <f t="shared" si="4"/>
        <v>Green-red</v>
      </c>
      <c r="Z148" s="141" t="b">
        <f t="shared" si="5"/>
        <v>0</v>
      </c>
      <c r="AA148" s="141" t="str">
        <f t="shared" si="6"/>
        <v>Red-green</v>
      </c>
    </row>
    <row r="149">
      <c r="A149" s="15">
        <f t="shared" si="7"/>
        <v>148</v>
      </c>
      <c r="B149" s="15"/>
      <c r="C149" s="15"/>
      <c r="D149" s="15" t="s">
        <v>19</v>
      </c>
      <c r="E149" s="15" t="s">
        <v>2535</v>
      </c>
      <c r="F149" s="15"/>
      <c r="G149" s="15"/>
      <c r="H149" s="15"/>
      <c r="I149" s="15" t="s">
        <v>794</v>
      </c>
      <c r="J149" s="15" t="s">
        <v>22</v>
      </c>
      <c r="K149" s="15" t="s">
        <v>225</v>
      </c>
      <c r="L149" s="15" t="s">
        <v>39</v>
      </c>
      <c r="M149" s="16">
        <v>0.25</v>
      </c>
      <c r="N149" s="16">
        <v>0.5</v>
      </c>
      <c r="O149" s="16">
        <v>0.5</v>
      </c>
      <c r="P149" s="17">
        <v>45091.0</v>
      </c>
      <c r="Q149" s="18">
        <v>1.775</v>
      </c>
      <c r="R149" s="15" t="s">
        <v>30</v>
      </c>
      <c r="S149" s="19">
        <f t="shared" si="1"/>
        <v>0.19375</v>
      </c>
      <c r="T149" s="19">
        <f t="shared" si="8"/>
        <v>5.913233333</v>
      </c>
      <c r="U149" s="144"/>
      <c r="V149" s="66">
        <v>45225.0</v>
      </c>
      <c r="W149" s="13">
        <f t="shared" si="2"/>
        <v>-0.00875</v>
      </c>
      <c r="X149" s="141" t="b">
        <f t="shared" si="3"/>
        <v>0</v>
      </c>
      <c r="Y149" s="141" t="b">
        <f t="shared" si="4"/>
        <v>0</v>
      </c>
      <c r="Z149" s="141" t="b">
        <f t="shared" si="5"/>
        <v>0</v>
      </c>
      <c r="AA149" s="141" t="b">
        <f t="shared" si="6"/>
        <v>0</v>
      </c>
    </row>
    <row r="150">
      <c r="A150" s="8">
        <f t="shared" si="7"/>
        <v>149</v>
      </c>
      <c r="B150" s="8"/>
      <c r="C150" s="8"/>
      <c r="D150" s="8" t="s">
        <v>40</v>
      </c>
      <c r="E150" s="8" t="s">
        <v>2536</v>
      </c>
      <c r="F150" s="8"/>
      <c r="G150" s="8"/>
      <c r="H150" s="8"/>
      <c r="I150" s="8" t="s">
        <v>1501</v>
      </c>
      <c r="J150" s="8" t="s">
        <v>22</v>
      </c>
      <c r="K150" s="8" t="s">
        <v>29</v>
      </c>
      <c r="L150" s="8" t="s">
        <v>24</v>
      </c>
      <c r="M150" s="9">
        <v>-3.5</v>
      </c>
      <c r="N150" s="9">
        <v>0.5</v>
      </c>
      <c r="O150" s="9">
        <v>0.5</v>
      </c>
      <c r="P150" s="10">
        <v>45091.0</v>
      </c>
      <c r="Q150" s="11">
        <v>1.825</v>
      </c>
      <c r="R150" s="8" t="s">
        <v>33</v>
      </c>
      <c r="S150" s="12">
        <f t="shared" si="1"/>
        <v>0.4125</v>
      </c>
      <c r="T150" s="12">
        <f t="shared" si="8"/>
        <v>6.325733333</v>
      </c>
      <c r="U150" s="145"/>
      <c r="V150" s="66">
        <v>45226.0</v>
      </c>
      <c r="W150" s="13">
        <f t="shared" si="2"/>
        <v>0.82875</v>
      </c>
      <c r="X150" s="141" t="b">
        <f t="shared" si="3"/>
        <v>0</v>
      </c>
      <c r="Y150" s="141" t="b">
        <f t="shared" si="4"/>
        <v>0</v>
      </c>
      <c r="Z150" s="141" t="str">
        <f t="shared" si="5"/>
        <v>Green-green</v>
      </c>
      <c r="AA150" s="141" t="b">
        <f t="shared" si="6"/>
        <v>0</v>
      </c>
    </row>
    <row r="151">
      <c r="A151" s="15">
        <f t="shared" si="7"/>
        <v>150</v>
      </c>
      <c r="B151" s="15"/>
      <c r="C151" s="15"/>
      <c r="D151" s="15" t="s">
        <v>19</v>
      </c>
      <c r="E151" s="15" t="s">
        <v>2537</v>
      </c>
      <c r="F151" s="15"/>
      <c r="G151" s="15"/>
      <c r="H151" s="15"/>
      <c r="I151" s="15" t="s">
        <v>794</v>
      </c>
      <c r="J151" s="15" t="s">
        <v>598</v>
      </c>
      <c r="K151" s="15" t="s">
        <v>23</v>
      </c>
      <c r="L151" s="15" t="s">
        <v>2201</v>
      </c>
      <c r="M151" s="16">
        <v>-9.0</v>
      </c>
      <c r="N151" s="16">
        <v>0.5</v>
      </c>
      <c r="O151" s="16">
        <v>0.5</v>
      </c>
      <c r="P151" s="17">
        <v>45091.0</v>
      </c>
      <c r="Q151" s="18">
        <v>2.025</v>
      </c>
      <c r="R151" s="15" t="s">
        <v>33</v>
      </c>
      <c r="S151" s="19">
        <f t="shared" si="1"/>
        <v>0.5125</v>
      </c>
      <c r="T151" s="19">
        <f t="shared" si="8"/>
        <v>6.838233333</v>
      </c>
      <c r="U151" s="144"/>
      <c r="V151" s="66">
        <v>45227.0</v>
      </c>
      <c r="W151" s="13">
        <f t="shared" si="2"/>
        <v>1.117199074</v>
      </c>
      <c r="X151" s="141" t="b">
        <f t="shared" si="3"/>
        <v>0</v>
      </c>
      <c r="Y151" s="141" t="b">
        <f t="shared" si="4"/>
        <v>0</v>
      </c>
      <c r="Z151" s="141" t="str">
        <f t="shared" si="5"/>
        <v>Green-green</v>
      </c>
      <c r="AA151" s="141" t="b">
        <f t="shared" si="6"/>
        <v>0</v>
      </c>
    </row>
    <row r="152">
      <c r="A152" s="8">
        <f t="shared" si="7"/>
        <v>151</v>
      </c>
      <c r="B152" s="8"/>
      <c r="C152" s="8"/>
      <c r="D152" s="8" t="s">
        <v>19</v>
      </c>
      <c r="E152" s="8" t="s">
        <v>2538</v>
      </c>
      <c r="F152" s="8"/>
      <c r="G152" s="8"/>
      <c r="H152" s="8"/>
      <c r="I152" s="8" t="s">
        <v>432</v>
      </c>
      <c r="J152" s="8" t="s">
        <v>22</v>
      </c>
      <c r="K152" s="8" t="s">
        <v>225</v>
      </c>
      <c r="L152" s="8" t="s">
        <v>24</v>
      </c>
      <c r="M152" s="9">
        <v>0.5</v>
      </c>
      <c r="N152" s="9">
        <v>0.5</v>
      </c>
      <c r="O152" s="9">
        <v>0.5</v>
      </c>
      <c r="P152" s="10">
        <v>45091.0</v>
      </c>
      <c r="Q152" s="11">
        <v>1.775</v>
      </c>
      <c r="R152" s="8" t="s">
        <v>25</v>
      </c>
      <c r="S152" s="12">
        <f t="shared" si="1"/>
        <v>-0.5</v>
      </c>
      <c r="T152" s="12">
        <f t="shared" si="8"/>
        <v>6.338233333</v>
      </c>
      <c r="U152" s="145"/>
      <c r="V152" s="66">
        <v>45228.0</v>
      </c>
      <c r="W152" s="13">
        <f t="shared" si="2"/>
        <v>1.157486842</v>
      </c>
      <c r="X152" s="141" t="b">
        <f t="shared" si="3"/>
        <v>0</v>
      </c>
      <c r="Y152" s="141" t="b">
        <f t="shared" si="4"/>
        <v>0</v>
      </c>
      <c r="Z152" s="141" t="b">
        <f t="shared" si="5"/>
        <v>0</v>
      </c>
      <c r="AA152" s="141" t="b">
        <f t="shared" si="6"/>
        <v>0</v>
      </c>
    </row>
    <row r="153">
      <c r="A153" s="15">
        <f t="shared" si="7"/>
        <v>152</v>
      </c>
      <c r="B153" s="15"/>
      <c r="C153" s="15"/>
      <c r="D153" s="15" t="s">
        <v>19</v>
      </c>
      <c r="E153" s="15" t="s">
        <v>2539</v>
      </c>
      <c r="F153" s="15"/>
      <c r="G153" s="15"/>
      <c r="H153" s="15"/>
      <c r="I153" s="15" t="s">
        <v>2540</v>
      </c>
      <c r="J153" s="15" t="s">
        <v>22</v>
      </c>
      <c r="K153" s="15" t="s">
        <v>2415</v>
      </c>
      <c r="L153" s="15" t="s">
        <v>24</v>
      </c>
      <c r="M153" s="16">
        <v>14.5</v>
      </c>
      <c r="N153" s="16">
        <v>0.25</v>
      </c>
      <c r="O153" s="16">
        <v>0.25</v>
      </c>
      <c r="P153" s="17">
        <v>45091.0</v>
      </c>
      <c r="Q153" s="18">
        <v>2.0</v>
      </c>
      <c r="R153" s="15" t="s">
        <v>25</v>
      </c>
      <c r="S153" s="19">
        <f t="shared" si="1"/>
        <v>-0.25</v>
      </c>
      <c r="T153" s="19">
        <f t="shared" si="8"/>
        <v>6.088233333</v>
      </c>
      <c r="U153" s="144"/>
      <c r="V153" s="66">
        <v>45229.0</v>
      </c>
      <c r="W153" s="13">
        <f t="shared" si="2"/>
        <v>0</v>
      </c>
      <c r="X153" s="141" t="b">
        <f t="shared" si="3"/>
        <v>0</v>
      </c>
      <c r="Y153" s="141" t="b">
        <f t="shared" si="4"/>
        <v>0</v>
      </c>
      <c r="Z153" s="141" t="b">
        <f t="shared" si="5"/>
        <v>0</v>
      </c>
      <c r="AA153" s="141" t="b">
        <f t="shared" si="6"/>
        <v>0</v>
      </c>
    </row>
    <row r="154">
      <c r="A154" s="8">
        <f t="shared" si="7"/>
        <v>153</v>
      </c>
      <c r="B154" s="8"/>
      <c r="C154" s="8"/>
      <c r="D154" s="8" t="s">
        <v>19</v>
      </c>
      <c r="E154" s="8" t="s">
        <v>2541</v>
      </c>
      <c r="F154" s="8"/>
      <c r="G154" s="8"/>
      <c r="H154" s="8"/>
      <c r="I154" s="8" t="s">
        <v>1961</v>
      </c>
      <c r="J154" s="8" t="s">
        <v>22</v>
      </c>
      <c r="K154" s="8" t="s">
        <v>225</v>
      </c>
      <c r="L154" s="8" t="s">
        <v>24</v>
      </c>
      <c r="M154" s="9">
        <v>0.5</v>
      </c>
      <c r="N154" s="9">
        <v>0.5</v>
      </c>
      <c r="O154" s="9">
        <v>0.5</v>
      </c>
      <c r="P154" s="10">
        <v>45091.0</v>
      </c>
      <c r="Q154" s="11">
        <v>1.825</v>
      </c>
      <c r="R154" s="8" t="s">
        <v>33</v>
      </c>
      <c r="S154" s="12">
        <f t="shared" si="1"/>
        <v>0.4125</v>
      </c>
      <c r="T154" s="12">
        <f t="shared" si="8"/>
        <v>6.500733333</v>
      </c>
      <c r="U154" s="145"/>
      <c r="V154" s="66">
        <v>45230.0</v>
      </c>
      <c r="W154" s="13">
        <f t="shared" si="2"/>
        <v>0.69775</v>
      </c>
      <c r="X154" s="141" t="b">
        <f t="shared" si="3"/>
        <v>0</v>
      </c>
      <c r="Y154" s="141" t="b">
        <f t="shared" si="4"/>
        <v>0</v>
      </c>
      <c r="Z154" s="141" t="b">
        <f t="shared" si="5"/>
        <v>0</v>
      </c>
      <c r="AA154" s="141" t="b">
        <f t="shared" si="6"/>
        <v>0</v>
      </c>
    </row>
    <row r="155">
      <c r="A155" s="15">
        <f t="shared" si="7"/>
        <v>154</v>
      </c>
      <c r="B155" s="15"/>
      <c r="C155" s="15"/>
      <c r="D155" s="15" t="s">
        <v>19</v>
      </c>
      <c r="E155" s="15" t="s">
        <v>2542</v>
      </c>
      <c r="F155" s="15"/>
      <c r="G155" s="15"/>
      <c r="H155" s="15"/>
      <c r="I155" s="15" t="s">
        <v>82</v>
      </c>
      <c r="J155" s="15" t="s">
        <v>22</v>
      </c>
      <c r="K155" s="15" t="s">
        <v>225</v>
      </c>
      <c r="L155" s="15" t="s">
        <v>39</v>
      </c>
      <c r="M155" s="16">
        <v>0.25</v>
      </c>
      <c r="N155" s="16">
        <v>0.5</v>
      </c>
      <c r="O155" s="16">
        <v>0.5</v>
      </c>
      <c r="P155" s="17">
        <v>45091.0</v>
      </c>
      <c r="Q155" s="18">
        <v>1.925</v>
      </c>
      <c r="R155" s="15" t="s">
        <v>25</v>
      </c>
      <c r="S155" s="19">
        <f t="shared" si="1"/>
        <v>-0.5</v>
      </c>
      <c r="T155" s="19">
        <f t="shared" si="8"/>
        <v>6.000733333</v>
      </c>
      <c r="U155" s="144"/>
      <c r="V155" s="66">
        <v>45231.0</v>
      </c>
      <c r="W155" s="13">
        <f t="shared" si="2"/>
        <v>0</v>
      </c>
      <c r="X155" s="141" t="b">
        <f t="shared" si="3"/>
        <v>0</v>
      </c>
      <c r="Y155" s="141" t="b">
        <f t="shared" si="4"/>
        <v>0</v>
      </c>
      <c r="Z155" s="141" t="b">
        <f t="shared" si="5"/>
        <v>0</v>
      </c>
      <c r="AA155" s="141" t="b">
        <f t="shared" si="6"/>
        <v>0</v>
      </c>
    </row>
    <row r="156">
      <c r="A156" s="8">
        <f t="shared" si="7"/>
        <v>155</v>
      </c>
      <c r="B156" s="8"/>
      <c r="C156" s="8"/>
      <c r="D156" s="8" t="s">
        <v>19</v>
      </c>
      <c r="E156" s="8" t="s">
        <v>2543</v>
      </c>
      <c r="F156" s="8"/>
      <c r="G156" s="8"/>
      <c r="H156" s="8"/>
      <c r="I156" s="8" t="s">
        <v>2456</v>
      </c>
      <c r="J156" s="8" t="s">
        <v>22</v>
      </c>
      <c r="K156" s="8" t="s">
        <v>892</v>
      </c>
      <c r="L156" s="8" t="s">
        <v>2201</v>
      </c>
      <c r="M156" s="9">
        <v>0.0</v>
      </c>
      <c r="N156" s="9">
        <v>0.5</v>
      </c>
      <c r="O156" s="9">
        <v>0.5</v>
      </c>
      <c r="P156" s="10">
        <v>45091.0</v>
      </c>
      <c r="Q156" s="11">
        <v>1.85</v>
      </c>
      <c r="R156" s="8" t="s">
        <v>25</v>
      </c>
      <c r="S156" s="12">
        <f t="shared" si="1"/>
        <v>-0.5</v>
      </c>
      <c r="T156" s="12">
        <f t="shared" si="8"/>
        <v>5.500733333</v>
      </c>
      <c r="U156" s="145"/>
      <c r="V156" s="66">
        <v>45232.0</v>
      </c>
      <c r="W156" s="13">
        <f t="shared" si="2"/>
        <v>0</v>
      </c>
      <c r="X156" s="141" t="b">
        <f t="shared" si="3"/>
        <v>0</v>
      </c>
      <c r="Y156" s="141" t="b">
        <f t="shared" si="4"/>
        <v>0</v>
      </c>
      <c r="Z156" s="141" t="b">
        <f t="shared" si="5"/>
        <v>0</v>
      </c>
      <c r="AA156" s="141" t="b">
        <f t="shared" si="6"/>
        <v>0</v>
      </c>
    </row>
    <row r="157">
      <c r="A157" s="15">
        <f t="shared" si="7"/>
        <v>156</v>
      </c>
      <c r="B157" s="15"/>
      <c r="C157" s="15"/>
      <c r="D157" s="15" t="s">
        <v>40</v>
      </c>
      <c r="E157" s="15" t="s">
        <v>2544</v>
      </c>
      <c r="F157" s="15"/>
      <c r="G157" s="15"/>
      <c r="H157" s="15"/>
      <c r="I157" s="15" t="s">
        <v>78</v>
      </c>
      <c r="J157" s="15" t="s">
        <v>22</v>
      </c>
      <c r="K157" s="15" t="s">
        <v>2545</v>
      </c>
      <c r="L157" s="15" t="s">
        <v>24</v>
      </c>
      <c r="M157" s="16">
        <v>7.0</v>
      </c>
      <c r="N157" s="16">
        <v>0.5</v>
      </c>
      <c r="O157" s="16">
        <v>0.5</v>
      </c>
      <c r="P157" s="17">
        <v>45091.0</v>
      </c>
      <c r="Q157" s="18">
        <v>1.8</v>
      </c>
      <c r="R157" s="15" t="s">
        <v>25</v>
      </c>
      <c r="S157" s="19">
        <f t="shared" si="1"/>
        <v>-0.5</v>
      </c>
      <c r="T157" s="19">
        <f t="shared" si="8"/>
        <v>5.000733333</v>
      </c>
      <c r="U157" s="144"/>
      <c r="V157" s="66">
        <v>45233.0</v>
      </c>
      <c r="W157" s="13">
        <f t="shared" si="2"/>
        <v>0</v>
      </c>
      <c r="X157" s="141" t="b">
        <f t="shared" si="3"/>
        <v>0</v>
      </c>
      <c r="Y157" s="141" t="b">
        <f t="shared" si="4"/>
        <v>0</v>
      </c>
      <c r="Z157" s="141" t="b">
        <f t="shared" si="5"/>
        <v>0</v>
      </c>
      <c r="AA157" s="141" t="b">
        <f t="shared" si="6"/>
        <v>0</v>
      </c>
    </row>
    <row r="158">
      <c r="A158" s="8">
        <f t="shared" si="7"/>
        <v>157</v>
      </c>
      <c r="B158" s="8"/>
      <c r="C158" s="8"/>
      <c r="D158" s="8" t="s">
        <v>19</v>
      </c>
      <c r="E158" s="8" t="s">
        <v>2546</v>
      </c>
      <c r="F158" s="8"/>
      <c r="G158" s="8"/>
      <c r="H158" s="8"/>
      <c r="I158" s="8" t="s">
        <v>78</v>
      </c>
      <c r="J158" s="8" t="s">
        <v>22</v>
      </c>
      <c r="K158" s="8" t="s">
        <v>892</v>
      </c>
      <c r="L158" s="8" t="s">
        <v>24</v>
      </c>
      <c r="M158" s="9">
        <v>0.0</v>
      </c>
      <c r="N158" s="9">
        <v>0.5</v>
      </c>
      <c r="O158" s="9">
        <v>0.5</v>
      </c>
      <c r="P158" s="10">
        <v>45091.0</v>
      </c>
      <c r="Q158" s="11">
        <f>368.08/250</f>
        <v>1.47232</v>
      </c>
      <c r="R158" s="8" t="s">
        <v>33</v>
      </c>
      <c r="S158" s="12">
        <f t="shared" si="1"/>
        <v>0.23616</v>
      </c>
      <c r="T158" s="12">
        <f t="shared" si="8"/>
        <v>5.236893333</v>
      </c>
      <c r="U158" s="145"/>
      <c r="V158" s="66">
        <v>45234.0</v>
      </c>
      <c r="W158" s="13">
        <f t="shared" si="2"/>
        <v>0</v>
      </c>
      <c r="X158" s="141" t="b">
        <f t="shared" si="3"/>
        <v>0</v>
      </c>
      <c r="Y158" s="141" t="b">
        <f t="shared" si="4"/>
        <v>0</v>
      </c>
      <c r="Z158" s="141" t="b">
        <f t="shared" si="5"/>
        <v>0</v>
      </c>
      <c r="AA158" s="141" t="b">
        <f t="shared" si="6"/>
        <v>0</v>
      </c>
    </row>
    <row r="159">
      <c r="A159" s="15">
        <f t="shared" si="7"/>
        <v>158</v>
      </c>
      <c r="B159" s="15"/>
      <c r="C159" s="15"/>
      <c r="D159" s="15" t="s">
        <v>19</v>
      </c>
      <c r="E159" s="15" t="s">
        <v>2547</v>
      </c>
      <c r="F159" s="15"/>
      <c r="G159" s="15"/>
      <c r="H159" s="15"/>
      <c r="I159" s="15" t="s">
        <v>82</v>
      </c>
      <c r="J159" s="15" t="s">
        <v>22</v>
      </c>
      <c r="K159" s="15" t="s">
        <v>1150</v>
      </c>
      <c r="L159" s="15" t="s">
        <v>24</v>
      </c>
      <c r="M159" s="16">
        <v>0.0</v>
      </c>
      <c r="N159" s="16">
        <v>0.5</v>
      </c>
      <c r="O159" s="16">
        <v>0.5</v>
      </c>
      <c r="P159" s="17">
        <v>45091.0</v>
      </c>
      <c r="Q159" s="18">
        <v>1.8</v>
      </c>
      <c r="R159" s="15" t="s">
        <v>70</v>
      </c>
      <c r="S159" s="19">
        <f t="shared" si="1"/>
        <v>0</v>
      </c>
      <c r="T159" s="19">
        <f t="shared" si="8"/>
        <v>5.236893333</v>
      </c>
      <c r="U159" s="144"/>
      <c r="V159" s="66">
        <v>45235.0</v>
      </c>
      <c r="W159" s="13">
        <f t="shared" si="2"/>
        <v>0</v>
      </c>
      <c r="X159" s="141" t="b">
        <f t="shared" si="3"/>
        <v>0</v>
      </c>
      <c r="Y159" s="141" t="b">
        <f t="shared" si="4"/>
        <v>0</v>
      </c>
      <c r="Z159" s="141" t="b">
        <f t="shared" si="5"/>
        <v>0</v>
      </c>
      <c r="AA159" s="141" t="b">
        <f t="shared" si="6"/>
        <v>0</v>
      </c>
    </row>
    <row r="160">
      <c r="A160" s="8">
        <f t="shared" si="7"/>
        <v>159</v>
      </c>
      <c r="B160" s="8"/>
      <c r="C160" s="8"/>
      <c r="D160" s="8" t="s">
        <v>40</v>
      </c>
      <c r="E160" s="8" t="s">
        <v>2548</v>
      </c>
      <c r="F160" s="8"/>
      <c r="G160" s="8"/>
      <c r="H160" s="8"/>
      <c r="I160" s="8" t="s">
        <v>78</v>
      </c>
      <c r="J160" s="8" t="s">
        <v>22</v>
      </c>
      <c r="K160" s="8" t="s">
        <v>440</v>
      </c>
      <c r="L160" s="8" t="s">
        <v>39</v>
      </c>
      <c r="M160" s="9">
        <v>1.75</v>
      </c>
      <c r="N160" s="9">
        <v>0.5</v>
      </c>
      <c r="O160" s="9">
        <v>0.3</v>
      </c>
      <c r="P160" s="10">
        <v>45091.0</v>
      </c>
      <c r="Q160" s="11">
        <v>1.975</v>
      </c>
      <c r="R160" s="8" t="s">
        <v>33</v>
      </c>
      <c r="S160" s="12">
        <f t="shared" si="1"/>
        <v>0.2925</v>
      </c>
      <c r="T160" s="12">
        <f t="shared" si="8"/>
        <v>5.529393333</v>
      </c>
      <c r="U160" s="145"/>
      <c r="V160" s="66">
        <v>45236.0</v>
      </c>
      <c r="W160" s="13">
        <f t="shared" si="2"/>
        <v>0</v>
      </c>
      <c r="X160" s="141" t="b">
        <f t="shared" si="3"/>
        <v>0</v>
      </c>
      <c r="Y160" s="141" t="b">
        <f t="shared" si="4"/>
        <v>0</v>
      </c>
      <c r="Z160" s="141" t="b">
        <f t="shared" si="5"/>
        <v>0</v>
      </c>
      <c r="AA160" s="141" t="b">
        <f t="shared" si="6"/>
        <v>0</v>
      </c>
    </row>
    <row r="161">
      <c r="A161" s="15">
        <f t="shared" si="7"/>
        <v>160</v>
      </c>
      <c r="B161" s="15"/>
      <c r="C161" s="15"/>
      <c r="D161" s="15" t="s">
        <v>19</v>
      </c>
      <c r="E161" s="15" t="s">
        <v>2549</v>
      </c>
      <c r="F161" s="15"/>
      <c r="G161" s="15"/>
      <c r="H161" s="15"/>
      <c r="I161" s="15" t="s">
        <v>82</v>
      </c>
      <c r="J161" s="15" t="s">
        <v>22</v>
      </c>
      <c r="K161" s="15" t="s">
        <v>892</v>
      </c>
      <c r="L161" s="15" t="s">
        <v>24</v>
      </c>
      <c r="M161" s="16">
        <v>0.0</v>
      </c>
      <c r="N161" s="16">
        <v>0.5</v>
      </c>
      <c r="O161" s="16">
        <v>0.5</v>
      </c>
      <c r="P161" s="17">
        <v>45091.0</v>
      </c>
      <c r="Q161" s="18">
        <v>1.9</v>
      </c>
      <c r="R161" s="15" t="s">
        <v>33</v>
      </c>
      <c r="S161" s="19">
        <f t="shared" si="1"/>
        <v>0.45</v>
      </c>
      <c r="T161" s="19">
        <f t="shared" si="8"/>
        <v>5.979393333</v>
      </c>
      <c r="U161" s="144"/>
      <c r="V161" s="66">
        <v>45237.0</v>
      </c>
      <c r="W161" s="13">
        <f t="shared" si="2"/>
        <v>0</v>
      </c>
      <c r="X161" s="141" t="b">
        <f t="shared" si="3"/>
        <v>0</v>
      </c>
      <c r="Y161" s="141" t="b">
        <f t="shared" si="4"/>
        <v>0</v>
      </c>
      <c r="Z161" s="141" t="b">
        <f t="shared" si="5"/>
        <v>0</v>
      </c>
      <c r="AA161" s="141" t="b">
        <f t="shared" si="6"/>
        <v>0</v>
      </c>
    </row>
    <row r="162">
      <c r="A162" s="8">
        <f t="shared" si="7"/>
        <v>161</v>
      </c>
      <c r="B162" s="8"/>
      <c r="C162" s="8"/>
      <c r="D162" s="8" t="s">
        <v>19</v>
      </c>
      <c r="E162" s="8" t="s">
        <v>2550</v>
      </c>
      <c r="F162" s="8"/>
      <c r="G162" s="8"/>
      <c r="H162" s="8"/>
      <c r="I162" s="8" t="s">
        <v>794</v>
      </c>
      <c r="J162" s="8" t="s">
        <v>22</v>
      </c>
      <c r="K162" s="8" t="s">
        <v>225</v>
      </c>
      <c r="L162" s="8" t="s">
        <v>39</v>
      </c>
      <c r="M162" s="9">
        <v>0.5</v>
      </c>
      <c r="N162" s="9">
        <v>0.5</v>
      </c>
      <c r="O162" s="9">
        <v>0.45</v>
      </c>
      <c r="P162" s="10">
        <v>45092.0</v>
      </c>
      <c r="Q162" s="11">
        <v>1.75</v>
      </c>
      <c r="R162" s="8" t="s">
        <v>25</v>
      </c>
      <c r="S162" s="12">
        <f t="shared" si="1"/>
        <v>-0.45</v>
      </c>
      <c r="T162" s="12">
        <f t="shared" si="8"/>
        <v>5.529393333</v>
      </c>
      <c r="U162" s="145"/>
      <c r="V162" s="66">
        <v>45238.0</v>
      </c>
      <c r="W162" s="13">
        <f t="shared" si="2"/>
        <v>0</v>
      </c>
      <c r="X162" s="141" t="b">
        <f t="shared" si="3"/>
        <v>0</v>
      </c>
      <c r="Y162" s="141" t="b">
        <f t="shared" si="4"/>
        <v>0</v>
      </c>
      <c r="Z162" s="141" t="b">
        <f t="shared" si="5"/>
        <v>0</v>
      </c>
      <c r="AA162" s="141" t="b">
        <f t="shared" si="6"/>
        <v>0</v>
      </c>
    </row>
    <row r="163">
      <c r="A163" s="15">
        <f t="shared" si="7"/>
        <v>162</v>
      </c>
      <c r="B163" s="15"/>
      <c r="C163" s="15"/>
      <c r="D163" s="15" t="s">
        <v>19</v>
      </c>
      <c r="E163" s="15" t="s">
        <v>2551</v>
      </c>
      <c r="F163" s="15"/>
      <c r="G163" s="15"/>
      <c r="H163" s="15"/>
      <c r="I163" s="15" t="s">
        <v>794</v>
      </c>
      <c r="J163" s="15" t="s">
        <v>598</v>
      </c>
      <c r="K163" s="15" t="s">
        <v>892</v>
      </c>
      <c r="L163" s="15" t="s">
        <v>2201</v>
      </c>
      <c r="M163" s="16">
        <v>0.0</v>
      </c>
      <c r="N163" s="16">
        <v>0.5</v>
      </c>
      <c r="O163" s="16">
        <v>0.5</v>
      </c>
      <c r="P163" s="17">
        <v>45092.0</v>
      </c>
      <c r="Q163" s="18">
        <v>1.75</v>
      </c>
      <c r="R163" s="15" t="s">
        <v>70</v>
      </c>
      <c r="S163" s="19">
        <f t="shared" si="1"/>
        <v>0</v>
      </c>
      <c r="T163" s="19">
        <f t="shared" si="8"/>
        <v>5.529393333</v>
      </c>
      <c r="U163" s="144"/>
      <c r="V163" s="66">
        <v>45239.0</v>
      </c>
      <c r="W163" s="13">
        <f t="shared" si="2"/>
        <v>0</v>
      </c>
      <c r="X163" s="141" t="b">
        <f t="shared" si="3"/>
        <v>0</v>
      </c>
      <c r="Y163" s="141" t="b">
        <f t="shared" si="4"/>
        <v>0</v>
      </c>
      <c r="Z163" s="141" t="b">
        <f t="shared" si="5"/>
        <v>0</v>
      </c>
      <c r="AA163" s="141" t="b">
        <f t="shared" si="6"/>
        <v>0</v>
      </c>
    </row>
    <row r="164">
      <c r="A164" s="8">
        <f t="shared" si="7"/>
        <v>163</v>
      </c>
      <c r="B164" s="8"/>
      <c r="C164" s="8"/>
      <c r="D164" s="8" t="s">
        <v>19</v>
      </c>
      <c r="E164" s="8" t="s">
        <v>2552</v>
      </c>
      <c r="F164" s="8"/>
      <c r="G164" s="8"/>
      <c r="H164" s="8"/>
      <c r="I164" s="8" t="s">
        <v>82</v>
      </c>
      <c r="J164" s="8" t="s">
        <v>22</v>
      </c>
      <c r="K164" s="8" t="s">
        <v>225</v>
      </c>
      <c r="L164" s="8" t="s">
        <v>39</v>
      </c>
      <c r="M164" s="9">
        <v>0.25</v>
      </c>
      <c r="N164" s="9">
        <v>0.5</v>
      </c>
      <c r="O164" s="9">
        <v>0.5</v>
      </c>
      <c r="P164" s="10">
        <v>45092.0</v>
      </c>
      <c r="Q164" s="11">
        <v>1.725</v>
      </c>
      <c r="R164" s="8" t="s">
        <v>30</v>
      </c>
      <c r="S164" s="12">
        <f t="shared" si="1"/>
        <v>0.18125</v>
      </c>
      <c r="T164" s="12">
        <f t="shared" si="8"/>
        <v>5.710643333</v>
      </c>
      <c r="U164" s="145"/>
      <c r="V164" s="66">
        <v>45240.0</v>
      </c>
      <c r="W164" s="13">
        <f t="shared" si="2"/>
        <v>-1</v>
      </c>
      <c r="X164" s="141" t="b">
        <f t="shared" si="3"/>
        <v>0</v>
      </c>
      <c r="Y164" s="141" t="b">
        <f t="shared" si="4"/>
        <v>0</v>
      </c>
      <c r="Z164" s="141" t="b">
        <f t="shared" si="5"/>
        <v>0</v>
      </c>
      <c r="AA164" s="141" t="b">
        <f t="shared" si="6"/>
        <v>0</v>
      </c>
    </row>
    <row r="165">
      <c r="A165" s="15">
        <f t="shared" si="7"/>
        <v>164</v>
      </c>
      <c r="B165" s="15"/>
      <c r="C165" s="15"/>
      <c r="D165" s="15" t="s">
        <v>19</v>
      </c>
      <c r="E165" s="15" t="s">
        <v>2553</v>
      </c>
      <c r="F165" s="15" t="s">
        <v>1479</v>
      </c>
      <c r="G165" s="15" t="s">
        <v>2554</v>
      </c>
      <c r="H165" s="15">
        <f>1</f>
        <v>1</v>
      </c>
      <c r="I165" s="15" t="s">
        <v>82</v>
      </c>
      <c r="J165" s="15" t="s">
        <v>22</v>
      </c>
      <c r="K165" s="15" t="s">
        <v>892</v>
      </c>
      <c r="L165" s="15" t="s">
        <v>39</v>
      </c>
      <c r="M165" s="16">
        <v>0.0</v>
      </c>
      <c r="N165" s="16">
        <v>0.5</v>
      </c>
      <c r="O165" s="16">
        <v>0.5</v>
      </c>
      <c r="P165" s="17">
        <v>45092.0</v>
      </c>
      <c r="Q165" s="18">
        <v>1.975</v>
      </c>
      <c r="R165" s="15" t="s">
        <v>33</v>
      </c>
      <c r="S165" s="19">
        <f t="shared" si="1"/>
        <v>0.4875</v>
      </c>
      <c r="T165" s="19">
        <f t="shared" si="8"/>
        <v>6.198143333</v>
      </c>
      <c r="U165" s="144"/>
      <c r="V165" s="66">
        <v>45241.0</v>
      </c>
      <c r="W165" s="13">
        <f t="shared" si="2"/>
        <v>0.28</v>
      </c>
      <c r="X165" s="141" t="b">
        <f t="shared" si="3"/>
        <v>0</v>
      </c>
      <c r="Y165" s="141" t="b">
        <f t="shared" si="4"/>
        <v>0</v>
      </c>
      <c r="Z165" s="141" t="str">
        <f t="shared" si="5"/>
        <v>Green-green</v>
      </c>
      <c r="AA165" s="141" t="b">
        <f t="shared" si="6"/>
        <v>0</v>
      </c>
    </row>
    <row r="166">
      <c r="A166" s="8">
        <f t="shared" si="7"/>
        <v>165</v>
      </c>
      <c r="B166" s="8"/>
      <c r="C166" s="8"/>
      <c r="D166" s="8" t="s">
        <v>19</v>
      </c>
      <c r="E166" s="8" t="s">
        <v>2555</v>
      </c>
      <c r="F166" s="8" t="s">
        <v>1473</v>
      </c>
      <c r="G166" s="8" t="s">
        <v>2556</v>
      </c>
      <c r="H166" s="8">
        <v>0.0</v>
      </c>
      <c r="I166" s="8" t="s">
        <v>78</v>
      </c>
      <c r="J166" s="8" t="s">
        <v>22</v>
      </c>
      <c r="K166" s="8" t="s">
        <v>225</v>
      </c>
      <c r="L166" s="8" t="s">
        <v>24</v>
      </c>
      <c r="M166" s="9">
        <v>0.25</v>
      </c>
      <c r="N166" s="9">
        <v>0.5</v>
      </c>
      <c r="O166" s="9">
        <v>0.5</v>
      </c>
      <c r="P166" s="10">
        <v>45092.0</v>
      </c>
      <c r="Q166" s="11">
        <v>1.875</v>
      </c>
      <c r="R166" s="8" t="s">
        <v>33</v>
      </c>
      <c r="S166" s="12">
        <f t="shared" si="1"/>
        <v>0.4375</v>
      </c>
      <c r="T166" s="12">
        <f t="shared" si="8"/>
        <v>6.635643333</v>
      </c>
      <c r="U166" s="145"/>
      <c r="V166" s="66">
        <v>45242.0</v>
      </c>
      <c r="W166" s="13">
        <f t="shared" si="2"/>
        <v>4.2125</v>
      </c>
      <c r="X166" s="141" t="b">
        <f t="shared" si="3"/>
        <v>0</v>
      </c>
      <c r="Y166" s="141" t="b">
        <f t="shared" si="4"/>
        <v>0</v>
      </c>
      <c r="Z166" s="141" t="b">
        <f t="shared" si="5"/>
        <v>0</v>
      </c>
      <c r="AA166" s="141" t="b">
        <f t="shared" si="6"/>
        <v>0</v>
      </c>
    </row>
    <row r="167">
      <c r="A167" s="15">
        <f t="shared" si="7"/>
        <v>166</v>
      </c>
      <c r="B167" s="15"/>
      <c r="C167" s="15"/>
      <c r="D167" s="15" t="s">
        <v>19</v>
      </c>
      <c r="E167" s="15" t="s">
        <v>2557</v>
      </c>
      <c r="F167" s="15" t="s">
        <v>1473</v>
      </c>
      <c r="G167" s="15" t="s">
        <v>2556</v>
      </c>
      <c r="H167" s="15">
        <f>1</f>
        <v>1</v>
      </c>
      <c r="I167" s="15" t="s">
        <v>513</v>
      </c>
      <c r="J167" s="15" t="s">
        <v>22</v>
      </c>
      <c r="K167" s="15" t="s">
        <v>225</v>
      </c>
      <c r="L167" s="15" t="s">
        <v>1803</v>
      </c>
      <c r="M167" s="16">
        <v>1.5</v>
      </c>
      <c r="N167" s="16">
        <v>0.5</v>
      </c>
      <c r="O167" s="16">
        <v>0.5</v>
      </c>
      <c r="P167" s="17">
        <v>45092.0</v>
      </c>
      <c r="Q167" s="18">
        <v>1.85</v>
      </c>
      <c r="R167" s="15" t="s">
        <v>25</v>
      </c>
      <c r="S167" s="19">
        <f t="shared" si="1"/>
        <v>-0.5</v>
      </c>
      <c r="T167" s="19">
        <f t="shared" si="8"/>
        <v>6.135643333</v>
      </c>
      <c r="U167" s="144"/>
      <c r="V167" s="66">
        <v>45243.0</v>
      </c>
      <c r="W167" s="13">
        <f t="shared" si="2"/>
        <v>0</v>
      </c>
      <c r="X167" s="141" t="b">
        <f t="shared" si="3"/>
        <v>0</v>
      </c>
      <c r="Y167" s="141" t="b">
        <f t="shared" si="4"/>
        <v>0</v>
      </c>
      <c r="Z167" s="141" t="b">
        <f t="shared" si="5"/>
        <v>0</v>
      </c>
      <c r="AA167" s="141" t="b">
        <f t="shared" si="6"/>
        <v>0</v>
      </c>
    </row>
    <row r="168">
      <c r="A168" s="8">
        <f t="shared" si="7"/>
        <v>167</v>
      </c>
      <c r="B168" s="8"/>
      <c r="C168" s="8"/>
      <c r="D168" s="8" t="s">
        <v>19</v>
      </c>
      <c r="E168" s="8" t="s">
        <v>2558</v>
      </c>
      <c r="F168" s="8" t="s">
        <v>1473</v>
      </c>
      <c r="G168" s="8" t="s">
        <v>2556</v>
      </c>
      <c r="H168" s="8">
        <v>0.0</v>
      </c>
      <c r="I168" s="8" t="s">
        <v>463</v>
      </c>
      <c r="J168" s="8" t="s">
        <v>22</v>
      </c>
      <c r="K168" s="8" t="s">
        <v>225</v>
      </c>
      <c r="L168" s="8" t="s">
        <v>24</v>
      </c>
      <c r="M168" s="9">
        <v>1.25</v>
      </c>
      <c r="N168" s="9">
        <v>0.5</v>
      </c>
      <c r="O168" s="9">
        <v>0.5</v>
      </c>
      <c r="P168" s="10">
        <v>45092.0</v>
      </c>
      <c r="Q168" s="11">
        <f>321.54/250</f>
        <v>1.28616</v>
      </c>
      <c r="R168" s="8" t="s">
        <v>33</v>
      </c>
      <c r="S168" s="12">
        <f t="shared" si="1"/>
        <v>0.14308</v>
      </c>
      <c r="T168" s="12">
        <f t="shared" si="8"/>
        <v>6.278723333</v>
      </c>
      <c r="U168" s="145"/>
      <c r="V168" s="66">
        <v>45244.0</v>
      </c>
      <c r="W168" s="13">
        <f t="shared" si="2"/>
        <v>0</v>
      </c>
      <c r="X168" s="141" t="b">
        <f t="shared" si="3"/>
        <v>0</v>
      </c>
      <c r="Y168" s="141" t="b">
        <f t="shared" si="4"/>
        <v>0</v>
      </c>
      <c r="Z168" s="141" t="b">
        <f t="shared" si="5"/>
        <v>0</v>
      </c>
      <c r="AA168" s="141" t="b">
        <f t="shared" si="6"/>
        <v>0</v>
      </c>
    </row>
    <row r="169">
      <c r="A169" s="15">
        <f t="shared" si="7"/>
        <v>168</v>
      </c>
      <c r="B169" s="15"/>
      <c r="C169" s="15"/>
      <c r="D169" s="15" t="s">
        <v>19</v>
      </c>
      <c r="E169" s="15" t="s">
        <v>2559</v>
      </c>
      <c r="F169" s="15" t="s">
        <v>1479</v>
      </c>
      <c r="G169" s="15" t="s">
        <v>2556</v>
      </c>
      <c r="H169" s="15">
        <v>-1.0</v>
      </c>
      <c r="I169" s="15" t="s">
        <v>513</v>
      </c>
      <c r="J169" s="15" t="s">
        <v>22</v>
      </c>
      <c r="K169" s="15" t="s">
        <v>225</v>
      </c>
      <c r="L169" s="15" t="s">
        <v>24</v>
      </c>
      <c r="M169" s="16">
        <v>0.5</v>
      </c>
      <c r="N169" s="16">
        <v>0.5</v>
      </c>
      <c r="O169" s="16">
        <v>0.5</v>
      </c>
      <c r="P169" s="17">
        <v>45092.0</v>
      </c>
      <c r="Q169" s="18">
        <v>2.0</v>
      </c>
      <c r="R169" s="15" t="s">
        <v>25</v>
      </c>
      <c r="S169" s="19">
        <f t="shared" si="1"/>
        <v>-0.5</v>
      </c>
      <c r="T169" s="19">
        <f t="shared" si="8"/>
        <v>5.778723333</v>
      </c>
      <c r="U169" s="144"/>
      <c r="V169" s="66">
        <v>45245.0</v>
      </c>
      <c r="W169" s="13">
        <f t="shared" si="2"/>
        <v>0.7025</v>
      </c>
      <c r="X169" s="141" t="b">
        <f t="shared" si="3"/>
        <v>0</v>
      </c>
      <c r="Y169" s="141" t="b">
        <f t="shared" si="4"/>
        <v>0</v>
      </c>
      <c r="Z169" s="141" t="str">
        <f t="shared" si="5"/>
        <v>Green-green</v>
      </c>
      <c r="AA169" s="141" t="b">
        <f t="shared" si="6"/>
        <v>0</v>
      </c>
    </row>
    <row r="170">
      <c r="A170" s="8">
        <f t="shared" si="7"/>
        <v>169</v>
      </c>
      <c r="B170" s="8"/>
      <c r="C170" s="8"/>
      <c r="D170" s="8" t="s">
        <v>19</v>
      </c>
      <c r="E170" s="8" t="s">
        <v>2560</v>
      </c>
      <c r="F170" s="8" t="s">
        <v>1473</v>
      </c>
      <c r="G170" s="8" t="s">
        <v>2556</v>
      </c>
      <c r="H170" s="8">
        <v>-1.0</v>
      </c>
      <c r="I170" s="8" t="s">
        <v>513</v>
      </c>
      <c r="J170" s="8" t="s">
        <v>22</v>
      </c>
      <c r="K170" s="8" t="s">
        <v>225</v>
      </c>
      <c r="L170" s="8" t="s">
        <v>24</v>
      </c>
      <c r="M170" s="9">
        <v>0.5</v>
      </c>
      <c r="N170" s="9">
        <v>0.5</v>
      </c>
      <c r="O170" s="9">
        <v>0.5</v>
      </c>
      <c r="P170" s="10">
        <v>45092.0</v>
      </c>
      <c r="Q170" s="11">
        <v>1.775</v>
      </c>
      <c r="R170" s="8" t="s">
        <v>25</v>
      </c>
      <c r="S170" s="12">
        <f t="shared" si="1"/>
        <v>-0.5</v>
      </c>
      <c r="T170" s="12">
        <f t="shared" si="8"/>
        <v>5.278723333</v>
      </c>
      <c r="U170" s="145"/>
      <c r="V170" s="66">
        <v>45246.0</v>
      </c>
      <c r="W170" s="13">
        <f t="shared" si="2"/>
        <v>0.6432142857</v>
      </c>
      <c r="X170" s="141" t="b">
        <f t="shared" si="3"/>
        <v>0</v>
      </c>
      <c r="Y170" s="141" t="str">
        <f t="shared" si="4"/>
        <v>Green-red</v>
      </c>
      <c r="Z170" s="141" t="b">
        <f t="shared" si="5"/>
        <v>0</v>
      </c>
      <c r="AA170" s="141" t="str">
        <f t="shared" si="6"/>
        <v>Red-green</v>
      </c>
    </row>
    <row r="171">
      <c r="A171" s="15">
        <f t="shared" si="7"/>
        <v>170</v>
      </c>
      <c r="B171" s="15"/>
      <c r="C171" s="15"/>
      <c r="D171" s="15" t="s">
        <v>19</v>
      </c>
      <c r="E171" s="15" t="s">
        <v>2561</v>
      </c>
      <c r="F171" s="15" t="s">
        <v>1473</v>
      </c>
      <c r="G171" s="15" t="s">
        <v>2556</v>
      </c>
      <c r="H171" s="15">
        <f>1</f>
        <v>1</v>
      </c>
      <c r="I171" s="15" t="s">
        <v>82</v>
      </c>
      <c r="J171" s="15" t="s">
        <v>22</v>
      </c>
      <c r="K171" s="15" t="s">
        <v>225</v>
      </c>
      <c r="L171" s="15" t="s">
        <v>39</v>
      </c>
      <c r="M171" s="16">
        <v>1.0</v>
      </c>
      <c r="N171" s="16">
        <v>0.5</v>
      </c>
      <c r="O171" s="16">
        <v>0.5</v>
      </c>
      <c r="P171" s="17">
        <v>45092.0</v>
      </c>
      <c r="Q171" s="18">
        <v>1.775</v>
      </c>
      <c r="R171" s="15" t="s">
        <v>33</v>
      </c>
      <c r="S171" s="19">
        <f t="shared" si="1"/>
        <v>0.3875</v>
      </c>
      <c r="T171" s="19">
        <f t="shared" si="8"/>
        <v>5.666223333</v>
      </c>
      <c r="U171" s="144"/>
      <c r="V171" s="66">
        <v>45247.0</v>
      </c>
      <c r="W171" s="13">
        <f t="shared" si="2"/>
        <v>-3.1913</v>
      </c>
      <c r="X171" s="141" t="b">
        <f t="shared" si="3"/>
        <v>0</v>
      </c>
      <c r="Y171" s="141" t="b">
        <f t="shared" si="4"/>
        <v>0</v>
      </c>
      <c r="Z171" s="141" t="b">
        <f t="shared" si="5"/>
        <v>0</v>
      </c>
      <c r="AA171" s="141" t="b">
        <f t="shared" si="6"/>
        <v>0</v>
      </c>
    </row>
    <row r="172">
      <c r="A172" s="8">
        <f t="shared" si="7"/>
        <v>171</v>
      </c>
      <c r="B172" s="8"/>
      <c r="C172" s="8"/>
      <c r="D172" s="8" t="s">
        <v>19</v>
      </c>
      <c r="E172" s="8" t="s">
        <v>2562</v>
      </c>
      <c r="F172" s="8" t="s">
        <v>1479</v>
      </c>
      <c r="G172" s="8" t="s">
        <v>2556</v>
      </c>
      <c r="H172" s="8">
        <v>0.0</v>
      </c>
      <c r="I172" s="8" t="s">
        <v>513</v>
      </c>
      <c r="J172" s="8" t="s">
        <v>22</v>
      </c>
      <c r="K172" s="8" t="s">
        <v>225</v>
      </c>
      <c r="L172" s="8" t="s">
        <v>24</v>
      </c>
      <c r="M172" s="9">
        <v>0.5</v>
      </c>
      <c r="N172" s="9">
        <v>0.5</v>
      </c>
      <c r="O172" s="9">
        <v>0.5</v>
      </c>
      <c r="P172" s="10">
        <v>45092.0</v>
      </c>
      <c r="Q172" s="11">
        <v>1.85</v>
      </c>
      <c r="R172" s="8" t="s">
        <v>25</v>
      </c>
      <c r="S172" s="12">
        <f t="shared" si="1"/>
        <v>-0.5</v>
      </c>
      <c r="T172" s="12">
        <f t="shared" si="8"/>
        <v>5.166223333</v>
      </c>
      <c r="U172" s="145"/>
      <c r="V172" s="66">
        <v>45248.0</v>
      </c>
      <c r="W172" s="13">
        <f t="shared" si="2"/>
        <v>2.273973793</v>
      </c>
      <c r="X172" s="141" t="b">
        <f t="shared" si="3"/>
        <v>0</v>
      </c>
      <c r="Y172" s="141" t="str">
        <f t="shared" si="4"/>
        <v>Green-red</v>
      </c>
      <c r="Z172" s="141" t="b">
        <f t="shared" si="5"/>
        <v>0</v>
      </c>
      <c r="AA172" s="141" t="str">
        <f t="shared" si="6"/>
        <v>Red-green</v>
      </c>
    </row>
    <row r="173">
      <c r="A173" s="15">
        <f t="shared" si="7"/>
        <v>172</v>
      </c>
      <c r="B173" s="15"/>
      <c r="C173" s="15"/>
      <c r="D173" s="15" t="s">
        <v>19</v>
      </c>
      <c r="E173" s="15" t="s">
        <v>2563</v>
      </c>
      <c r="F173" s="15" t="s">
        <v>1479</v>
      </c>
      <c r="G173" s="15" t="s">
        <v>2556</v>
      </c>
      <c r="H173" s="15">
        <v>-1.0</v>
      </c>
      <c r="I173" s="15" t="s">
        <v>82</v>
      </c>
      <c r="J173" s="15" t="s">
        <v>22</v>
      </c>
      <c r="K173" s="15" t="s">
        <v>225</v>
      </c>
      <c r="L173" s="15" t="s">
        <v>24</v>
      </c>
      <c r="M173" s="16">
        <v>0.25</v>
      </c>
      <c r="N173" s="16">
        <v>0.5</v>
      </c>
      <c r="O173" s="16">
        <v>0.5</v>
      </c>
      <c r="P173" s="17">
        <v>45092.0</v>
      </c>
      <c r="Q173" s="18">
        <v>1.8</v>
      </c>
      <c r="R173" s="15" t="s">
        <v>30</v>
      </c>
      <c r="S173" s="19">
        <f t="shared" si="1"/>
        <v>0.2</v>
      </c>
      <c r="T173" s="19">
        <f t="shared" si="8"/>
        <v>5.366223333</v>
      </c>
      <c r="U173" s="144"/>
      <c r="V173" s="66">
        <v>45249.0</v>
      </c>
      <c r="W173" s="13">
        <f t="shared" si="2"/>
        <v>-0.789</v>
      </c>
      <c r="X173" s="141" t="str">
        <f t="shared" si="3"/>
        <v>Red-red</v>
      </c>
      <c r="Y173" s="141" t="b">
        <f t="shared" si="4"/>
        <v>0</v>
      </c>
      <c r="Z173" s="141" t="b">
        <f t="shared" si="5"/>
        <v>0</v>
      </c>
      <c r="AA173" s="141" t="b">
        <f t="shared" si="6"/>
        <v>0</v>
      </c>
    </row>
    <row r="174">
      <c r="A174" s="8">
        <f t="shared" si="7"/>
        <v>173</v>
      </c>
      <c r="B174" s="8"/>
      <c r="C174" s="8"/>
      <c r="D174" s="8" t="s">
        <v>19</v>
      </c>
      <c r="E174" s="8" t="s">
        <v>2564</v>
      </c>
      <c r="F174" s="8"/>
      <c r="G174" s="8"/>
      <c r="H174" s="8"/>
      <c r="I174" s="8" t="s">
        <v>182</v>
      </c>
      <c r="J174" s="8" t="s">
        <v>22</v>
      </c>
      <c r="K174" s="8" t="s">
        <v>440</v>
      </c>
      <c r="L174" s="8" t="s">
        <v>39</v>
      </c>
      <c r="M174" s="9">
        <v>3.0</v>
      </c>
      <c r="N174" s="9">
        <v>0.25</v>
      </c>
      <c r="O174" s="9">
        <v>0.25</v>
      </c>
      <c r="P174" s="10">
        <v>45092.0</v>
      </c>
      <c r="Q174" s="11">
        <v>1.625</v>
      </c>
      <c r="R174" s="8" t="s">
        <v>70</v>
      </c>
      <c r="S174" s="12">
        <f t="shared" si="1"/>
        <v>0</v>
      </c>
      <c r="T174" s="12">
        <f t="shared" si="8"/>
        <v>5.366223333</v>
      </c>
      <c r="U174" s="145"/>
      <c r="V174" s="66">
        <v>45250.0</v>
      </c>
      <c r="W174" s="13">
        <f t="shared" si="2"/>
        <v>-0.4</v>
      </c>
      <c r="X174" s="141" t="b">
        <f t="shared" si="3"/>
        <v>0</v>
      </c>
      <c r="Y174" s="141" t="b">
        <f t="shared" si="4"/>
        <v>0</v>
      </c>
      <c r="Z174" s="141" t="b">
        <f t="shared" si="5"/>
        <v>0</v>
      </c>
      <c r="AA174" s="141" t="b">
        <f t="shared" si="6"/>
        <v>0</v>
      </c>
    </row>
    <row r="175">
      <c r="A175" s="15">
        <f t="shared" si="7"/>
        <v>174</v>
      </c>
      <c r="B175" s="15"/>
      <c r="C175" s="15"/>
      <c r="D175" s="15" t="s">
        <v>40</v>
      </c>
      <c r="E175" s="15" t="s">
        <v>2565</v>
      </c>
      <c r="F175" s="15" t="s">
        <v>1473</v>
      </c>
      <c r="G175" s="15" t="s">
        <v>2556</v>
      </c>
      <c r="H175" s="15">
        <v>2</v>
      </c>
      <c r="I175" s="15" t="s">
        <v>157</v>
      </c>
      <c r="J175" s="15" t="s">
        <v>22</v>
      </c>
      <c r="K175" s="15" t="s">
        <v>225</v>
      </c>
      <c r="L175" s="15" t="s">
        <v>24</v>
      </c>
      <c r="M175" s="16">
        <v>0.5</v>
      </c>
      <c r="N175" s="16">
        <v>1.0</v>
      </c>
      <c r="O175" s="16">
        <v>0.31</v>
      </c>
      <c r="P175" s="17">
        <v>45093.0</v>
      </c>
      <c r="Q175" s="18">
        <v>1.8</v>
      </c>
      <c r="R175" s="15" t="s">
        <v>25</v>
      </c>
      <c r="S175" s="19">
        <f t="shared" si="1"/>
        <v>-0.31</v>
      </c>
      <c r="T175" s="19">
        <f t="shared" si="8"/>
        <v>5.056223333</v>
      </c>
      <c r="U175" s="144"/>
      <c r="V175" s="66">
        <v>45251.0</v>
      </c>
      <c r="W175" s="13">
        <f t="shared" si="2"/>
        <v>0.045</v>
      </c>
      <c r="X175" s="141" t="b">
        <f t="shared" si="3"/>
        <v>0</v>
      </c>
      <c r="Y175" s="141" t="str">
        <f t="shared" si="4"/>
        <v>Green-red</v>
      </c>
      <c r="Z175" s="141" t="b">
        <f t="shared" si="5"/>
        <v>0</v>
      </c>
      <c r="AA175" s="141" t="str">
        <f t="shared" si="6"/>
        <v>Red-green</v>
      </c>
    </row>
    <row r="176">
      <c r="A176" s="8">
        <f t="shared" si="7"/>
        <v>175</v>
      </c>
      <c r="B176" s="8"/>
      <c r="C176" s="8"/>
      <c r="D176" s="8" t="s">
        <v>19</v>
      </c>
      <c r="E176" s="8" t="s">
        <v>2566</v>
      </c>
      <c r="F176" s="8"/>
      <c r="G176" s="8"/>
      <c r="H176" s="8" t="s">
        <v>2567</v>
      </c>
      <c r="I176" s="8" t="s">
        <v>82</v>
      </c>
      <c r="J176" s="8" t="s">
        <v>22</v>
      </c>
      <c r="K176" s="8" t="s">
        <v>29</v>
      </c>
      <c r="L176" s="8" t="s">
        <v>1522</v>
      </c>
      <c r="M176" s="9">
        <v>-3.25</v>
      </c>
      <c r="N176" s="9">
        <v>1.0</v>
      </c>
      <c r="O176" s="9">
        <v>0.61</v>
      </c>
      <c r="P176" s="10">
        <v>45093.0</v>
      </c>
      <c r="Q176" s="11">
        <v>1.8</v>
      </c>
      <c r="R176" s="8" t="s">
        <v>33</v>
      </c>
      <c r="S176" s="12">
        <f t="shared" si="1"/>
        <v>0.488</v>
      </c>
      <c r="T176" s="12">
        <f t="shared" si="8"/>
        <v>5.544223333</v>
      </c>
      <c r="U176" s="145"/>
      <c r="V176" s="66">
        <v>45252.0</v>
      </c>
      <c r="W176" s="13">
        <f t="shared" si="2"/>
        <v>-3.3</v>
      </c>
      <c r="X176" s="141" t="b">
        <f t="shared" si="3"/>
        <v>0</v>
      </c>
      <c r="Y176" s="141" t="b">
        <f t="shared" si="4"/>
        <v>0</v>
      </c>
      <c r="Z176" s="141" t="b">
        <f t="shared" si="5"/>
        <v>0</v>
      </c>
      <c r="AA176" s="141" t="b">
        <f t="shared" si="6"/>
        <v>0</v>
      </c>
    </row>
    <row r="177">
      <c r="A177" s="15">
        <f t="shared" si="7"/>
        <v>176</v>
      </c>
      <c r="B177" s="15"/>
      <c r="C177" s="15"/>
      <c r="D177" s="15" t="s">
        <v>19</v>
      </c>
      <c r="E177" s="15" t="s">
        <v>2568</v>
      </c>
      <c r="F177" s="15"/>
      <c r="G177" s="15"/>
      <c r="H177" s="15" t="s">
        <v>2567</v>
      </c>
      <c r="I177" s="15" t="s">
        <v>82</v>
      </c>
      <c r="J177" s="15" t="s">
        <v>22</v>
      </c>
      <c r="K177" s="15" t="s">
        <v>29</v>
      </c>
      <c r="L177" s="15" t="s">
        <v>1522</v>
      </c>
      <c r="M177" s="16">
        <v>-3.0</v>
      </c>
      <c r="N177" s="16">
        <v>1.0</v>
      </c>
      <c r="O177" s="16">
        <v>0.23</v>
      </c>
      <c r="P177" s="17">
        <v>45093.0</v>
      </c>
      <c r="Q177" s="18">
        <v>1.85</v>
      </c>
      <c r="R177" s="15" t="s">
        <v>33</v>
      </c>
      <c r="S177" s="19">
        <f t="shared" si="1"/>
        <v>0.1955</v>
      </c>
      <c r="T177" s="19">
        <f t="shared" si="8"/>
        <v>5.739723333</v>
      </c>
      <c r="U177" s="144"/>
      <c r="V177" s="66">
        <v>45253.0</v>
      </c>
      <c r="W177" s="13">
        <f t="shared" si="2"/>
        <v>0.165</v>
      </c>
      <c r="X177" s="141" t="b">
        <f t="shared" si="3"/>
        <v>0</v>
      </c>
      <c r="Y177" s="141" t="b">
        <f t="shared" si="4"/>
        <v>0</v>
      </c>
      <c r="Z177" s="141" t="str">
        <f t="shared" si="5"/>
        <v>Green-green</v>
      </c>
      <c r="AA177" s="141" t="b">
        <f t="shared" si="6"/>
        <v>0</v>
      </c>
    </row>
    <row r="178">
      <c r="A178" s="8">
        <f t="shared" si="7"/>
        <v>177</v>
      </c>
      <c r="B178" s="8"/>
      <c r="C178" s="8"/>
      <c r="D178" s="8" t="s">
        <v>19</v>
      </c>
      <c r="E178" s="8" t="s">
        <v>2569</v>
      </c>
      <c r="F178" s="8" t="s">
        <v>1479</v>
      </c>
      <c r="G178" s="8" t="s">
        <v>2554</v>
      </c>
      <c r="H178" s="8">
        <v>0.0</v>
      </c>
      <c r="I178" s="8" t="s">
        <v>794</v>
      </c>
      <c r="J178" s="8" t="s">
        <v>22</v>
      </c>
      <c r="K178" s="8" t="s">
        <v>892</v>
      </c>
      <c r="L178" s="8" t="s">
        <v>1803</v>
      </c>
      <c r="M178" s="9">
        <v>0.0</v>
      </c>
      <c r="N178" s="9">
        <v>0.5</v>
      </c>
      <c r="O178" s="9">
        <v>0.5</v>
      </c>
      <c r="P178" s="10">
        <v>45093.0</v>
      </c>
      <c r="Q178" s="11">
        <v>1.8</v>
      </c>
      <c r="R178" s="8" t="s">
        <v>33</v>
      </c>
      <c r="S178" s="12">
        <f t="shared" si="1"/>
        <v>0.4</v>
      </c>
      <c r="T178" s="12">
        <f t="shared" si="8"/>
        <v>6.139723333</v>
      </c>
      <c r="U178" s="145"/>
      <c r="V178" s="66">
        <v>45254.0</v>
      </c>
      <c r="W178" s="13">
        <f t="shared" si="2"/>
        <v>0.8575</v>
      </c>
      <c r="X178" s="141" t="b">
        <f t="shared" si="3"/>
        <v>0</v>
      </c>
      <c r="Y178" s="141" t="b">
        <f t="shared" si="4"/>
        <v>0</v>
      </c>
      <c r="Z178" s="141" t="str">
        <f t="shared" si="5"/>
        <v>Green-green</v>
      </c>
      <c r="AA178" s="141" t="b">
        <f t="shared" si="6"/>
        <v>0</v>
      </c>
    </row>
    <row r="179">
      <c r="A179" s="15">
        <f t="shared" si="7"/>
        <v>178</v>
      </c>
      <c r="B179" s="15"/>
      <c r="C179" s="15"/>
      <c r="D179" s="15" t="s">
        <v>19</v>
      </c>
      <c r="E179" s="15" t="s">
        <v>2570</v>
      </c>
      <c r="F179" s="15"/>
      <c r="G179" s="15"/>
      <c r="H179" s="15"/>
      <c r="I179" s="15" t="s">
        <v>794</v>
      </c>
      <c r="J179" s="15" t="s">
        <v>598</v>
      </c>
      <c r="K179" s="15" t="s">
        <v>2508</v>
      </c>
      <c r="L179" s="15" t="s">
        <v>24</v>
      </c>
      <c r="M179" s="16"/>
      <c r="N179" s="16">
        <v>1.0</v>
      </c>
      <c r="O179" s="16">
        <v>1.0</v>
      </c>
      <c r="P179" s="17">
        <v>45093.0</v>
      </c>
      <c r="Q179" s="18">
        <v>1.8</v>
      </c>
      <c r="R179" s="15" t="s">
        <v>25</v>
      </c>
      <c r="S179" s="19">
        <f t="shared" si="1"/>
        <v>-1</v>
      </c>
      <c r="T179" s="19">
        <f t="shared" si="8"/>
        <v>5.139723333</v>
      </c>
      <c r="U179" s="144"/>
      <c r="V179" s="66">
        <v>45255.0</v>
      </c>
      <c r="W179" s="13">
        <f t="shared" si="2"/>
        <v>0.1088</v>
      </c>
      <c r="X179" s="141" t="b">
        <f t="shared" si="3"/>
        <v>0</v>
      </c>
      <c r="Y179" s="141" t="b">
        <f t="shared" si="4"/>
        <v>0</v>
      </c>
      <c r="Z179" s="141" t="str">
        <f t="shared" si="5"/>
        <v>Green-green</v>
      </c>
      <c r="AA179" s="141" t="b">
        <f t="shared" si="6"/>
        <v>0</v>
      </c>
    </row>
    <row r="180">
      <c r="A180" s="8">
        <f t="shared" si="7"/>
        <v>179</v>
      </c>
      <c r="B180" s="8"/>
      <c r="C180" s="8"/>
      <c r="D180" s="8" t="s">
        <v>19</v>
      </c>
      <c r="E180" s="8" t="s">
        <v>2571</v>
      </c>
      <c r="F180" s="8" t="s">
        <v>1473</v>
      </c>
      <c r="G180" s="8" t="s">
        <v>2556</v>
      </c>
      <c r="H180" s="8">
        <v>2</v>
      </c>
      <c r="I180" s="8" t="s">
        <v>463</v>
      </c>
      <c r="J180" s="8" t="s">
        <v>22</v>
      </c>
      <c r="K180" s="8" t="s">
        <v>225</v>
      </c>
      <c r="L180" s="8" t="s">
        <v>39</v>
      </c>
      <c r="M180" s="9">
        <v>0.5</v>
      </c>
      <c r="N180" s="9">
        <v>0.46</v>
      </c>
      <c r="O180" s="9">
        <v>0.46</v>
      </c>
      <c r="P180" s="10">
        <v>45093.0</v>
      </c>
      <c r="Q180" s="11">
        <v>1.975</v>
      </c>
      <c r="R180" s="8" t="s">
        <v>25</v>
      </c>
      <c r="S180" s="12">
        <f t="shared" si="1"/>
        <v>-0.46</v>
      </c>
      <c r="T180" s="12">
        <f t="shared" si="8"/>
        <v>4.679723333</v>
      </c>
      <c r="U180" s="145"/>
      <c r="V180" s="66">
        <v>45256.0</v>
      </c>
      <c r="W180" s="13">
        <f t="shared" si="2"/>
        <v>1.3412</v>
      </c>
      <c r="X180" s="141" t="b">
        <f t="shared" si="3"/>
        <v>0</v>
      </c>
      <c r="Y180" s="141" t="b">
        <f t="shared" si="4"/>
        <v>0</v>
      </c>
      <c r="Z180" s="141" t="b">
        <f t="shared" si="5"/>
        <v>0</v>
      </c>
      <c r="AA180" s="141" t="b">
        <f t="shared" si="6"/>
        <v>0</v>
      </c>
    </row>
    <row r="181">
      <c r="A181" s="15">
        <f t="shared" si="7"/>
        <v>180</v>
      </c>
      <c r="B181" s="15"/>
      <c r="C181" s="15"/>
      <c r="D181" s="15" t="s">
        <v>19</v>
      </c>
      <c r="E181" s="15" t="s">
        <v>2572</v>
      </c>
      <c r="F181" s="15" t="s">
        <v>1479</v>
      </c>
      <c r="G181" s="15" t="s">
        <v>2573</v>
      </c>
      <c r="H181" s="15">
        <v>2</v>
      </c>
      <c r="I181" s="15" t="s">
        <v>513</v>
      </c>
      <c r="J181" s="15" t="s">
        <v>22</v>
      </c>
      <c r="K181" s="15" t="s">
        <v>894</v>
      </c>
      <c r="L181" s="15" t="s">
        <v>1522</v>
      </c>
      <c r="M181" s="16">
        <v>-0.75</v>
      </c>
      <c r="N181" s="16">
        <v>0.5</v>
      </c>
      <c r="O181" s="16">
        <v>0.5</v>
      </c>
      <c r="P181" s="17">
        <v>45093.0</v>
      </c>
      <c r="Q181" s="18">
        <v>1.825</v>
      </c>
      <c r="R181" s="15" t="s">
        <v>33</v>
      </c>
      <c r="S181" s="19">
        <f t="shared" si="1"/>
        <v>0.4125</v>
      </c>
      <c r="T181" s="19">
        <f t="shared" si="8"/>
        <v>5.092223333</v>
      </c>
      <c r="U181" s="144"/>
      <c r="V181" s="66">
        <v>45257.0</v>
      </c>
      <c r="W181" s="13">
        <f t="shared" si="2"/>
        <v>0</v>
      </c>
      <c r="X181" s="141" t="b">
        <f t="shared" si="3"/>
        <v>0</v>
      </c>
      <c r="Y181" s="141" t="b">
        <f t="shared" si="4"/>
        <v>0</v>
      </c>
      <c r="Z181" s="141" t="b">
        <f t="shared" si="5"/>
        <v>0</v>
      </c>
      <c r="AA181" s="141" t="b">
        <f t="shared" si="6"/>
        <v>0</v>
      </c>
    </row>
    <row r="182">
      <c r="A182" s="8">
        <f t="shared" si="7"/>
        <v>181</v>
      </c>
      <c r="B182" s="8"/>
      <c r="C182" s="8"/>
      <c r="D182" s="8" t="s">
        <v>19</v>
      </c>
      <c r="E182" s="8" t="s">
        <v>2574</v>
      </c>
      <c r="F182" s="8" t="s">
        <v>1479</v>
      </c>
      <c r="G182" s="8" t="s">
        <v>2573</v>
      </c>
      <c r="H182" s="8">
        <v>-1.0</v>
      </c>
      <c r="I182" s="8" t="s">
        <v>182</v>
      </c>
      <c r="J182" s="8" t="s">
        <v>22</v>
      </c>
      <c r="K182" s="8" t="s">
        <v>2415</v>
      </c>
      <c r="L182" s="8" t="s">
        <v>2575</v>
      </c>
      <c r="M182" s="9">
        <v>10.0</v>
      </c>
      <c r="N182" s="9">
        <v>0.25</v>
      </c>
      <c r="O182" s="9">
        <v>0.25</v>
      </c>
      <c r="P182" s="10">
        <v>45093.0</v>
      </c>
      <c r="Q182" s="11">
        <v>1.85</v>
      </c>
      <c r="R182" s="8" t="s">
        <v>70</v>
      </c>
      <c r="S182" s="12">
        <f t="shared" si="1"/>
        <v>0</v>
      </c>
      <c r="T182" s="12">
        <f t="shared" si="8"/>
        <v>5.092223333</v>
      </c>
      <c r="U182" s="145"/>
      <c r="V182" s="66">
        <v>45258.0</v>
      </c>
      <c r="W182" s="13">
        <f t="shared" si="2"/>
        <v>0.28</v>
      </c>
      <c r="X182" s="141" t="b">
        <f t="shared" si="3"/>
        <v>0</v>
      </c>
      <c r="Y182" s="141" t="b">
        <f t="shared" si="4"/>
        <v>0</v>
      </c>
      <c r="Z182" s="141" t="str">
        <f t="shared" si="5"/>
        <v>Green-green</v>
      </c>
      <c r="AA182" s="141" t="b">
        <f t="shared" si="6"/>
        <v>0</v>
      </c>
    </row>
    <row r="183">
      <c r="A183" s="15">
        <f t="shared" si="7"/>
        <v>182</v>
      </c>
      <c r="B183" s="15"/>
      <c r="C183" s="15"/>
      <c r="D183" s="15" t="s">
        <v>19</v>
      </c>
      <c r="E183" s="15" t="s">
        <v>2576</v>
      </c>
      <c r="F183" s="15"/>
      <c r="G183" s="15"/>
      <c r="H183" s="15"/>
      <c r="I183" s="15" t="s">
        <v>182</v>
      </c>
      <c r="J183" s="15" t="s">
        <v>598</v>
      </c>
      <c r="K183" s="15" t="s">
        <v>1272</v>
      </c>
      <c r="L183" s="15" t="s">
        <v>1522</v>
      </c>
      <c r="M183" s="16"/>
      <c r="N183" s="16">
        <v>0.25</v>
      </c>
      <c r="O183" s="16">
        <v>0.25</v>
      </c>
      <c r="P183" s="17">
        <v>45093.0</v>
      </c>
      <c r="Q183" s="18">
        <v>3.89</v>
      </c>
      <c r="R183" s="15" t="s">
        <v>33</v>
      </c>
      <c r="S183" s="19">
        <f t="shared" si="1"/>
        <v>0.7225</v>
      </c>
      <c r="T183" s="19">
        <f t="shared" si="8"/>
        <v>5.814723333</v>
      </c>
      <c r="U183" s="144"/>
      <c r="V183" s="66">
        <v>45259.0</v>
      </c>
      <c r="W183" s="13">
        <f t="shared" si="2"/>
        <v>0.4721</v>
      </c>
      <c r="X183" s="141" t="b">
        <f t="shared" si="3"/>
        <v>0</v>
      </c>
      <c r="Y183" s="141" t="b">
        <f t="shared" si="4"/>
        <v>0</v>
      </c>
      <c r="Z183" s="141" t="str">
        <f t="shared" si="5"/>
        <v>Green-green</v>
      </c>
      <c r="AA183" s="141" t="b">
        <f t="shared" si="6"/>
        <v>0</v>
      </c>
    </row>
    <row r="184">
      <c r="A184" s="8">
        <f t="shared" si="7"/>
        <v>183</v>
      </c>
      <c r="B184" s="8"/>
      <c r="C184" s="8"/>
      <c r="D184" s="8" t="s">
        <v>19</v>
      </c>
      <c r="E184" s="8" t="s">
        <v>2577</v>
      </c>
      <c r="F184" s="8" t="s">
        <v>1473</v>
      </c>
      <c r="G184" s="8" t="s">
        <v>2556</v>
      </c>
      <c r="H184" s="8">
        <v>0.0</v>
      </c>
      <c r="I184" s="8" t="s">
        <v>1085</v>
      </c>
      <c r="J184" s="8" t="s">
        <v>22</v>
      </c>
      <c r="K184" s="8" t="s">
        <v>225</v>
      </c>
      <c r="L184" s="8" t="s">
        <v>2201</v>
      </c>
      <c r="M184" s="9">
        <v>1.0</v>
      </c>
      <c r="N184" s="9">
        <v>0.5</v>
      </c>
      <c r="O184" s="9">
        <v>0.5</v>
      </c>
      <c r="P184" s="10">
        <v>45093.0</v>
      </c>
      <c r="Q184" s="11">
        <v>1.85</v>
      </c>
      <c r="R184" s="8" t="s">
        <v>70</v>
      </c>
      <c r="S184" s="12">
        <f t="shared" si="1"/>
        <v>0</v>
      </c>
      <c r="T184" s="12">
        <f t="shared" si="8"/>
        <v>5.814723333</v>
      </c>
      <c r="U184" s="145"/>
      <c r="V184" s="66">
        <v>45260.0</v>
      </c>
      <c r="W184" s="13">
        <f t="shared" si="2"/>
        <v>0.26375</v>
      </c>
      <c r="X184" s="141" t="b">
        <f t="shared" si="3"/>
        <v>0</v>
      </c>
      <c r="Y184" s="141" t="b">
        <f t="shared" si="4"/>
        <v>0</v>
      </c>
      <c r="Z184" s="141" t="str">
        <f t="shared" si="5"/>
        <v>Green-green</v>
      </c>
      <c r="AA184" s="141" t="b">
        <f t="shared" si="6"/>
        <v>0</v>
      </c>
    </row>
    <row r="185">
      <c r="A185" s="15">
        <f t="shared" si="7"/>
        <v>184</v>
      </c>
      <c r="B185" s="15"/>
      <c r="C185" s="15"/>
      <c r="D185" s="15" t="s">
        <v>19</v>
      </c>
      <c r="E185" s="15" t="s">
        <v>2578</v>
      </c>
      <c r="F185" s="15" t="s">
        <v>1473</v>
      </c>
      <c r="G185" s="15" t="s">
        <v>2556</v>
      </c>
      <c r="H185" s="15">
        <v>0.0</v>
      </c>
      <c r="I185" s="15" t="s">
        <v>463</v>
      </c>
      <c r="J185" s="15" t="s">
        <v>22</v>
      </c>
      <c r="K185" s="15" t="s">
        <v>225</v>
      </c>
      <c r="L185" s="15" t="s">
        <v>1522</v>
      </c>
      <c r="M185" s="16">
        <v>1.25</v>
      </c>
      <c r="N185" s="16">
        <v>0.5</v>
      </c>
      <c r="O185" s="16">
        <v>0.5</v>
      </c>
      <c r="P185" s="17">
        <v>45093.0</v>
      </c>
      <c r="Q185" s="18">
        <v>1.9</v>
      </c>
      <c r="R185" s="15" t="s">
        <v>25</v>
      </c>
      <c r="S185" s="19">
        <f t="shared" si="1"/>
        <v>-0.5</v>
      </c>
      <c r="T185" s="19">
        <f t="shared" si="8"/>
        <v>5.314723333</v>
      </c>
      <c r="U185" s="144"/>
      <c r="V185" s="66">
        <v>45261.0</v>
      </c>
      <c r="W185" s="13">
        <f t="shared" si="2"/>
        <v>0.5267</v>
      </c>
      <c r="X185" s="141" t="b">
        <f t="shared" si="3"/>
        <v>0</v>
      </c>
      <c r="Y185" s="141" t="str">
        <f t="shared" si="4"/>
        <v>Green-red</v>
      </c>
      <c r="Z185" s="141" t="b">
        <f t="shared" si="5"/>
        <v>0</v>
      </c>
      <c r="AA185" s="141" t="str">
        <f t="shared" si="6"/>
        <v>Red-green</v>
      </c>
    </row>
    <row r="186">
      <c r="A186" s="8">
        <f t="shared" si="7"/>
        <v>185</v>
      </c>
      <c r="B186" s="8"/>
      <c r="C186" s="8"/>
      <c r="D186" s="8" t="s">
        <v>19</v>
      </c>
      <c r="E186" s="8" t="s">
        <v>2579</v>
      </c>
      <c r="F186" s="8" t="s">
        <v>1479</v>
      </c>
      <c r="G186" s="8" t="s">
        <v>2556</v>
      </c>
      <c r="H186" s="8">
        <f t="shared" ref="H186:H187" si="9">1</f>
        <v>1</v>
      </c>
      <c r="I186" s="8" t="s">
        <v>182</v>
      </c>
      <c r="J186" s="8" t="s">
        <v>22</v>
      </c>
      <c r="K186" s="8" t="s">
        <v>225</v>
      </c>
      <c r="L186" s="8" t="s">
        <v>39</v>
      </c>
      <c r="M186" s="9">
        <v>0.25</v>
      </c>
      <c r="N186" s="9">
        <v>0.25</v>
      </c>
      <c r="O186" s="9">
        <v>0.25</v>
      </c>
      <c r="P186" s="10">
        <v>45093.0</v>
      </c>
      <c r="Q186" s="11">
        <v>1.825</v>
      </c>
      <c r="R186" s="8" t="s">
        <v>25</v>
      </c>
      <c r="S186" s="12">
        <f t="shared" si="1"/>
        <v>-0.25</v>
      </c>
      <c r="T186" s="12">
        <f t="shared" si="8"/>
        <v>5.064723333</v>
      </c>
      <c r="U186" s="145"/>
      <c r="V186" s="66">
        <v>45262.0</v>
      </c>
      <c r="W186" s="13">
        <f t="shared" si="2"/>
        <v>-1.28</v>
      </c>
      <c r="X186" s="141" t="b">
        <f t="shared" si="3"/>
        <v>0</v>
      </c>
      <c r="Y186" s="141" t="b">
        <f t="shared" si="4"/>
        <v>0</v>
      </c>
      <c r="Z186" s="141" t="b">
        <f t="shared" si="5"/>
        <v>0</v>
      </c>
      <c r="AA186" s="141" t="b">
        <f t="shared" si="6"/>
        <v>0</v>
      </c>
    </row>
    <row r="187">
      <c r="A187" s="15">
        <f t="shared" si="7"/>
        <v>186</v>
      </c>
      <c r="B187" s="15"/>
      <c r="C187" s="15"/>
      <c r="D187" s="15" t="s">
        <v>40</v>
      </c>
      <c r="E187" s="15" t="s">
        <v>2580</v>
      </c>
      <c r="F187" s="15" t="s">
        <v>1473</v>
      </c>
      <c r="G187" s="15" t="s">
        <v>2554</v>
      </c>
      <c r="H187" s="15">
        <f t="shared" si="9"/>
        <v>1</v>
      </c>
      <c r="I187" s="15" t="s">
        <v>683</v>
      </c>
      <c r="J187" s="15" t="s">
        <v>22</v>
      </c>
      <c r="K187" s="15" t="s">
        <v>892</v>
      </c>
      <c r="L187" s="15" t="s">
        <v>24</v>
      </c>
      <c r="M187" s="16">
        <v>0.0</v>
      </c>
      <c r="N187" s="16">
        <v>1.0</v>
      </c>
      <c r="O187" s="16">
        <v>0.27</v>
      </c>
      <c r="P187" s="17">
        <v>45094.0</v>
      </c>
      <c r="Q187" s="18">
        <v>2.0</v>
      </c>
      <c r="R187" s="15" t="s">
        <v>70</v>
      </c>
      <c r="S187" s="19">
        <f t="shared" si="1"/>
        <v>0</v>
      </c>
      <c r="T187" s="19">
        <f t="shared" si="8"/>
        <v>5.064723333</v>
      </c>
      <c r="U187" s="144"/>
      <c r="V187" s="66">
        <v>45263.0</v>
      </c>
      <c r="W187" s="13">
        <f t="shared" si="2"/>
        <v>1.872</v>
      </c>
      <c r="X187" s="141" t="b">
        <f t="shared" si="3"/>
        <v>0</v>
      </c>
      <c r="Y187" s="141" t="b">
        <f t="shared" si="4"/>
        <v>0</v>
      </c>
      <c r="Z187" s="141" t="b">
        <f t="shared" si="5"/>
        <v>0</v>
      </c>
      <c r="AA187" s="141" t="b">
        <f t="shared" si="6"/>
        <v>0</v>
      </c>
    </row>
    <row r="188">
      <c r="A188" s="8">
        <f t="shared" si="7"/>
        <v>187</v>
      </c>
      <c r="B188" s="8"/>
      <c r="C188" s="8"/>
      <c r="D188" s="8" t="s">
        <v>40</v>
      </c>
      <c r="E188" s="8" t="s">
        <v>2581</v>
      </c>
      <c r="F188" s="8"/>
      <c r="G188" s="8"/>
      <c r="H188" s="8" t="s">
        <v>2567</v>
      </c>
      <c r="I188" s="8" t="s">
        <v>683</v>
      </c>
      <c r="J188" s="8" t="s">
        <v>22</v>
      </c>
      <c r="K188" s="8" t="s">
        <v>29</v>
      </c>
      <c r="L188" s="8" t="s">
        <v>24</v>
      </c>
      <c r="M188" s="9">
        <v>-3.5</v>
      </c>
      <c r="N188" s="9">
        <v>1.0</v>
      </c>
      <c r="O188" s="9">
        <v>0.22</v>
      </c>
      <c r="P188" s="10">
        <v>45094.0</v>
      </c>
      <c r="Q188" s="11">
        <v>1.825</v>
      </c>
      <c r="R188" s="8" t="s">
        <v>25</v>
      </c>
      <c r="S188" s="12">
        <f t="shared" si="1"/>
        <v>-0.22</v>
      </c>
      <c r="T188" s="12">
        <f t="shared" si="8"/>
        <v>4.844723333</v>
      </c>
      <c r="U188" s="145"/>
      <c r="V188" s="66">
        <v>45264.0</v>
      </c>
      <c r="W188" s="13">
        <f t="shared" si="2"/>
        <v>0</v>
      </c>
      <c r="X188" s="141" t="b">
        <f t="shared" si="3"/>
        <v>0</v>
      </c>
      <c r="Y188" s="141" t="b">
        <f t="shared" si="4"/>
        <v>0</v>
      </c>
      <c r="Z188" s="141" t="b">
        <f t="shared" si="5"/>
        <v>0</v>
      </c>
      <c r="AA188" s="141" t="b">
        <f t="shared" si="6"/>
        <v>0</v>
      </c>
    </row>
    <row r="189">
      <c r="A189" s="15">
        <f t="shared" si="7"/>
        <v>188</v>
      </c>
      <c r="B189" s="15"/>
      <c r="C189" s="15"/>
      <c r="D189" s="15" t="s">
        <v>19</v>
      </c>
      <c r="E189" s="15" t="s">
        <v>2582</v>
      </c>
      <c r="F189" s="15"/>
      <c r="G189" s="15"/>
      <c r="H189" s="15" t="s">
        <v>2583</v>
      </c>
      <c r="I189" s="15" t="s">
        <v>794</v>
      </c>
      <c r="J189" s="15" t="s">
        <v>598</v>
      </c>
      <c r="K189" s="15" t="s">
        <v>1272</v>
      </c>
      <c r="L189" s="15" t="s">
        <v>1522</v>
      </c>
      <c r="M189" s="16"/>
      <c r="N189" s="16">
        <v>0.25</v>
      </c>
      <c r="O189" s="16">
        <v>0.25</v>
      </c>
      <c r="P189" s="17">
        <v>45094.0</v>
      </c>
      <c r="Q189" s="18">
        <v>3.7</v>
      </c>
      <c r="R189" s="15" t="s">
        <v>25</v>
      </c>
      <c r="S189" s="19">
        <f t="shared" si="1"/>
        <v>-0.25</v>
      </c>
      <c r="T189" s="19">
        <f t="shared" si="8"/>
        <v>4.594723333</v>
      </c>
      <c r="U189" s="144"/>
      <c r="V189" s="66">
        <v>45265.0</v>
      </c>
      <c r="W189" s="13">
        <f t="shared" si="2"/>
        <v>0.9335</v>
      </c>
      <c r="X189" s="141" t="b">
        <f t="shared" si="3"/>
        <v>0</v>
      </c>
      <c r="Y189" s="141" t="b">
        <f t="shared" si="4"/>
        <v>0</v>
      </c>
      <c r="Z189" s="141" t="str">
        <f t="shared" si="5"/>
        <v>Green-green</v>
      </c>
      <c r="AA189" s="141" t="b">
        <f t="shared" si="6"/>
        <v>0</v>
      </c>
    </row>
    <row r="190">
      <c r="A190" s="8">
        <f t="shared" si="7"/>
        <v>189</v>
      </c>
      <c r="B190" s="8"/>
      <c r="C190" s="8"/>
      <c r="D190" s="8" t="s">
        <v>19</v>
      </c>
      <c r="E190" s="8" t="s">
        <v>2584</v>
      </c>
      <c r="F190" s="8" t="s">
        <v>1479</v>
      </c>
      <c r="G190" s="8" t="s">
        <v>2556</v>
      </c>
      <c r="H190" s="8">
        <v>-1.0</v>
      </c>
      <c r="I190" s="8" t="s">
        <v>182</v>
      </c>
      <c r="J190" s="8" t="s">
        <v>22</v>
      </c>
      <c r="K190" s="8" t="s">
        <v>225</v>
      </c>
      <c r="L190" s="8" t="s">
        <v>1522</v>
      </c>
      <c r="M190" s="9">
        <v>1.0</v>
      </c>
      <c r="N190" s="9">
        <v>1.0</v>
      </c>
      <c r="O190" s="9">
        <v>0.24</v>
      </c>
      <c r="P190" s="10">
        <v>45094.0</v>
      </c>
      <c r="Q190" s="11">
        <v>2.025</v>
      </c>
      <c r="R190" s="8" t="s">
        <v>25</v>
      </c>
      <c r="S190" s="12">
        <f t="shared" si="1"/>
        <v>-0.24</v>
      </c>
      <c r="T190" s="12">
        <f t="shared" si="8"/>
        <v>4.354723333</v>
      </c>
      <c r="U190" s="145"/>
      <c r="V190" s="66">
        <v>45266.0</v>
      </c>
      <c r="W190" s="13">
        <f t="shared" si="2"/>
        <v>1.0775</v>
      </c>
      <c r="X190" s="141" t="b">
        <f t="shared" si="3"/>
        <v>0</v>
      </c>
      <c r="Y190" s="141" t="b">
        <f t="shared" si="4"/>
        <v>0</v>
      </c>
      <c r="Z190" s="141" t="str">
        <f t="shared" si="5"/>
        <v>Green-green</v>
      </c>
      <c r="AA190" s="141" t="b">
        <f t="shared" si="6"/>
        <v>0</v>
      </c>
    </row>
    <row r="191">
      <c r="A191" s="15">
        <f t="shared" si="7"/>
        <v>190</v>
      </c>
      <c r="B191" s="15"/>
      <c r="C191" s="15"/>
      <c r="D191" s="15" t="s">
        <v>19</v>
      </c>
      <c r="E191" s="15" t="s">
        <v>2585</v>
      </c>
      <c r="F191" s="15" t="s">
        <v>1479</v>
      </c>
      <c r="G191" s="15" t="s">
        <v>2573</v>
      </c>
      <c r="H191" s="15">
        <f>1</f>
        <v>1</v>
      </c>
      <c r="I191" s="15" t="s">
        <v>908</v>
      </c>
      <c r="J191" s="15" t="s">
        <v>22</v>
      </c>
      <c r="K191" s="15" t="s">
        <v>894</v>
      </c>
      <c r="L191" s="15" t="s">
        <v>1803</v>
      </c>
      <c r="M191" s="16">
        <v>-0.5</v>
      </c>
      <c r="N191" s="16">
        <v>1.0</v>
      </c>
      <c r="O191" s="16">
        <v>1.0</v>
      </c>
      <c r="P191" s="17">
        <v>45094.0</v>
      </c>
      <c r="Q191" s="18">
        <v>1.775</v>
      </c>
      <c r="R191" s="15" t="s">
        <v>25</v>
      </c>
      <c r="S191" s="19">
        <f t="shared" si="1"/>
        <v>-1</v>
      </c>
      <c r="T191" s="19">
        <f t="shared" si="8"/>
        <v>3.354723333</v>
      </c>
      <c r="U191" s="144"/>
      <c r="V191" s="66">
        <v>45267.0</v>
      </c>
      <c r="W191" s="13">
        <f t="shared" si="2"/>
        <v>0.1345</v>
      </c>
      <c r="X191" s="141" t="b">
        <f t="shared" si="3"/>
        <v>0</v>
      </c>
      <c r="Y191" s="141" t="b">
        <f t="shared" si="4"/>
        <v>0</v>
      </c>
      <c r="Z191" s="141" t="str">
        <f t="shared" si="5"/>
        <v>Green-green</v>
      </c>
      <c r="AA191" s="141" t="b">
        <f t="shared" si="6"/>
        <v>0</v>
      </c>
    </row>
    <row r="192">
      <c r="A192" s="8">
        <f t="shared" si="7"/>
        <v>191</v>
      </c>
      <c r="B192" s="8"/>
      <c r="C192" s="8"/>
      <c r="D192" s="8" t="s">
        <v>19</v>
      </c>
      <c r="E192" s="8" t="s">
        <v>2586</v>
      </c>
      <c r="F192" s="8" t="s">
        <v>1479</v>
      </c>
      <c r="G192" s="8" t="s">
        <v>2554</v>
      </c>
      <c r="H192" s="8">
        <v>0.0</v>
      </c>
      <c r="I192" s="8" t="s">
        <v>463</v>
      </c>
      <c r="J192" s="8" t="s">
        <v>22</v>
      </c>
      <c r="K192" s="8" t="s">
        <v>892</v>
      </c>
      <c r="L192" s="8" t="s">
        <v>2201</v>
      </c>
      <c r="M192" s="9">
        <v>0.0</v>
      </c>
      <c r="N192" s="9">
        <v>1.0</v>
      </c>
      <c r="O192" s="9">
        <v>0.24</v>
      </c>
      <c r="P192" s="10">
        <v>45094.0</v>
      </c>
      <c r="Q192" s="11">
        <v>1.775</v>
      </c>
      <c r="R192" s="8" t="s">
        <v>25</v>
      </c>
      <c r="S192" s="12">
        <f t="shared" si="1"/>
        <v>-0.24</v>
      </c>
      <c r="T192" s="12">
        <f t="shared" si="8"/>
        <v>3.114723333</v>
      </c>
      <c r="U192" s="145"/>
      <c r="V192" s="66">
        <v>45268.0</v>
      </c>
      <c r="W192" s="13">
        <f t="shared" si="2"/>
        <v>0.37</v>
      </c>
      <c r="X192" s="141" t="b">
        <f t="shared" si="3"/>
        <v>0</v>
      </c>
      <c r="Y192" s="141" t="b">
        <f t="shared" si="4"/>
        <v>0</v>
      </c>
      <c r="Z192" s="141" t="str">
        <f t="shared" si="5"/>
        <v>Green-green</v>
      </c>
      <c r="AA192" s="141" t="b">
        <f t="shared" si="6"/>
        <v>0</v>
      </c>
    </row>
    <row r="193">
      <c r="A193" s="15">
        <f t="shared" si="7"/>
        <v>192</v>
      </c>
      <c r="B193" s="15"/>
      <c r="C193" s="15"/>
      <c r="D193" s="15" t="s">
        <v>19</v>
      </c>
      <c r="E193" s="15" t="s">
        <v>2587</v>
      </c>
      <c r="F193" s="15" t="s">
        <v>1479</v>
      </c>
      <c r="G193" s="15" t="s">
        <v>2556</v>
      </c>
      <c r="H193" s="15">
        <v>-2.0</v>
      </c>
      <c r="I193" s="15" t="s">
        <v>513</v>
      </c>
      <c r="J193" s="15" t="s">
        <v>22</v>
      </c>
      <c r="K193" s="15" t="s">
        <v>225</v>
      </c>
      <c r="L193" s="15" t="s">
        <v>2201</v>
      </c>
      <c r="M193" s="16">
        <v>0.5</v>
      </c>
      <c r="N193" s="16">
        <v>1.0</v>
      </c>
      <c r="O193" s="16">
        <v>0.29</v>
      </c>
      <c r="P193" s="17">
        <v>45094.0</v>
      </c>
      <c r="Q193" s="18">
        <v>1.725</v>
      </c>
      <c r="R193" s="15" t="s">
        <v>33</v>
      </c>
      <c r="S193" s="19">
        <f t="shared" si="1"/>
        <v>0.21025</v>
      </c>
      <c r="T193" s="19">
        <f t="shared" si="8"/>
        <v>3.324973333</v>
      </c>
      <c r="U193" s="144"/>
      <c r="V193" s="66">
        <v>45269.0</v>
      </c>
      <c r="W193" s="13">
        <f t="shared" si="2"/>
        <v>1.604</v>
      </c>
      <c r="X193" s="141" t="b">
        <f t="shared" si="3"/>
        <v>0</v>
      </c>
      <c r="Y193" s="141" t="b">
        <f t="shared" si="4"/>
        <v>0</v>
      </c>
      <c r="Z193" s="141" t="str">
        <f t="shared" si="5"/>
        <v>Green-green</v>
      </c>
      <c r="AA193" s="141" t="b">
        <f t="shared" si="6"/>
        <v>0</v>
      </c>
    </row>
    <row r="194">
      <c r="A194" s="8">
        <f t="shared" si="7"/>
        <v>193</v>
      </c>
      <c r="B194" s="8"/>
      <c r="C194" s="8"/>
      <c r="D194" s="8" t="s">
        <v>19</v>
      </c>
      <c r="E194" s="8" t="s">
        <v>2588</v>
      </c>
      <c r="F194" s="8" t="s">
        <v>1479</v>
      </c>
      <c r="G194" s="8" t="s">
        <v>2556</v>
      </c>
      <c r="H194" s="8">
        <v>-1.0</v>
      </c>
      <c r="I194" s="8" t="s">
        <v>642</v>
      </c>
      <c r="J194" s="8" t="s">
        <v>22</v>
      </c>
      <c r="K194" s="8" t="s">
        <v>225</v>
      </c>
      <c r="L194" s="8" t="s">
        <v>1522</v>
      </c>
      <c r="M194" s="9">
        <v>0.5</v>
      </c>
      <c r="N194" s="9">
        <v>1.0</v>
      </c>
      <c r="O194" s="9">
        <v>0.85</v>
      </c>
      <c r="P194" s="10">
        <v>45094.0</v>
      </c>
      <c r="Q194" s="11">
        <v>1.75</v>
      </c>
      <c r="R194" s="8" t="s">
        <v>33</v>
      </c>
      <c r="S194" s="12">
        <f t="shared" si="1"/>
        <v>0.6375</v>
      </c>
      <c r="T194" s="12">
        <f t="shared" si="8"/>
        <v>3.962473333</v>
      </c>
      <c r="U194" s="145"/>
      <c r="V194" s="66">
        <v>45270.0</v>
      </c>
      <c r="W194" s="13">
        <f t="shared" si="2"/>
        <v>0.20615</v>
      </c>
      <c r="X194" s="141" t="b">
        <f t="shared" si="3"/>
        <v>0</v>
      </c>
      <c r="Y194" s="141" t="b">
        <f t="shared" si="4"/>
        <v>0</v>
      </c>
      <c r="Z194" s="141" t="b">
        <f t="shared" si="5"/>
        <v>0</v>
      </c>
      <c r="AA194" s="141" t="b">
        <f t="shared" si="6"/>
        <v>0</v>
      </c>
    </row>
    <row r="195">
      <c r="A195" s="15">
        <f t="shared" si="7"/>
        <v>194</v>
      </c>
      <c r="B195" s="15"/>
      <c r="C195" s="15"/>
      <c r="D195" s="15" t="s">
        <v>19</v>
      </c>
      <c r="E195" s="15" t="s">
        <v>2589</v>
      </c>
      <c r="F195" s="15" t="s">
        <v>1473</v>
      </c>
      <c r="G195" s="15" t="s">
        <v>2556</v>
      </c>
      <c r="H195" s="15">
        <v>0.0</v>
      </c>
      <c r="I195" s="15" t="s">
        <v>2590</v>
      </c>
      <c r="J195" s="15" t="s">
        <v>22</v>
      </c>
      <c r="K195" s="15" t="s">
        <v>225</v>
      </c>
      <c r="L195" s="15" t="s">
        <v>1803</v>
      </c>
      <c r="M195" s="16">
        <v>0.25</v>
      </c>
      <c r="N195" s="16">
        <v>1.0</v>
      </c>
      <c r="O195" s="16">
        <v>1.0</v>
      </c>
      <c r="P195" s="17">
        <v>45094.0</v>
      </c>
      <c r="Q195" s="18">
        <v>1.8</v>
      </c>
      <c r="R195" s="15" t="s">
        <v>25</v>
      </c>
      <c r="S195" s="19">
        <f t="shared" si="1"/>
        <v>-1</v>
      </c>
      <c r="T195" s="19">
        <f t="shared" si="8"/>
        <v>2.962473333</v>
      </c>
      <c r="U195" s="144"/>
      <c r="V195" s="66">
        <v>45271.0</v>
      </c>
      <c r="W195" s="13">
        <f t="shared" si="2"/>
        <v>0</v>
      </c>
      <c r="X195" s="141" t="b">
        <f t="shared" si="3"/>
        <v>0</v>
      </c>
      <c r="Y195" s="141" t="b">
        <f t="shared" si="4"/>
        <v>0</v>
      </c>
      <c r="Z195" s="141" t="b">
        <f t="shared" si="5"/>
        <v>0</v>
      </c>
      <c r="AA195" s="141" t="b">
        <f t="shared" si="6"/>
        <v>0</v>
      </c>
    </row>
    <row r="196">
      <c r="A196" s="8">
        <f t="shared" si="7"/>
        <v>195</v>
      </c>
      <c r="B196" s="8"/>
      <c r="C196" s="8"/>
      <c r="D196" s="8" t="s">
        <v>19</v>
      </c>
      <c r="E196" s="8" t="s">
        <v>2591</v>
      </c>
      <c r="F196" s="8" t="s">
        <v>1479</v>
      </c>
      <c r="G196" s="8" t="s">
        <v>2556</v>
      </c>
      <c r="H196" s="8">
        <v>-1.0</v>
      </c>
      <c r="I196" s="8" t="s">
        <v>432</v>
      </c>
      <c r="J196" s="8" t="s">
        <v>22</v>
      </c>
      <c r="K196" s="8" t="s">
        <v>225</v>
      </c>
      <c r="L196" s="8" t="s">
        <v>1803</v>
      </c>
      <c r="M196" s="9">
        <v>0.5</v>
      </c>
      <c r="N196" s="9">
        <v>1.0</v>
      </c>
      <c r="O196" s="9">
        <v>1.0</v>
      </c>
      <c r="P196" s="10">
        <v>45094.0</v>
      </c>
      <c r="Q196" s="11">
        <v>1.875</v>
      </c>
      <c r="R196" s="8" t="s">
        <v>25</v>
      </c>
      <c r="S196" s="12">
        <f t="shared" si="1"/>
        <v>-1</v>
      </c>
      <c r="T196" s="12">
        <f t="shared" si="8"/>
        <v>1.962473333</v>
      </c>
      <c r="U196" s="145"/>
      <c r="V196" s="66">
        <v>45272.0</v>
      </c>
      <c r="W196" s="13">
        <f t="shared" si="2"/>
        <v>-1.15</v>
      </c>
      <c r="X196" s="141" t="b">
        <f t="shared" si="3"/>
        <v>0</v>
      </c>
      <c r="Y196" s="141" t="b">
        <f t="shared" si="4"/>
        <v>0</v>
      </c>
      <c r="Z196" s="141" t="b">
        <f t="shared" si="5"/>
        <v>0</v>
      </c>
      <c r="AA196" s="141" t="b">
        <f t="shared" si="6"/>
        <v>0</v>
      </c>
    </row>
    <row r="197">
      <c r="A197" s="15">
        <f t="shared" si="7"/>
        <v>196</v>
      </c>
      <c r="B197" s="15"/>
      <c r="C197" s="15"/>
      <c r="D197" s="15" t="s">
        <v>19</v>
      </c>
      <c r="E197" s="15" t="s">
        <v>2592</v>
      </c>
      <c r="F197" s="15" t="s">
        <v>2593</v>
      </c>
      <c r="G197" s="15"/>
      <c r="H197" s="15" t="s">
        <v>2594</v>
      </c>
      <c r="I197" s="15" t="s">
        <v>583</v>
      </c>
      <c r="J197" s="15" t="s">
        <v>22</v>
      </c>
      <c r="K197" s="15" t="s">
        <v>29</v>
      </c>
      <c r="L197" s="15" t="s">
        <v>24</v>
      </c>
      <c r="M197" s="16">
        <v>-4.0</v>
      </c>
      <c r="N197" s="16">
        <v>0.5</v>
      </c>
      <c r="O197" s="16">
        <v>0.5</v>
      </c>
      <c r="P197" s="17">
        <v>45094.0</v>
      </c>
      <c r="Q197" s="18">
        <v>1.775</v>
      </c>
      <c r="R197" s="15" t="s">
        <v>70</v>
      </c>
      <c r="S197" s="19">
        <f t="shared" si="1"/>
        <v>0</v>
      </c>
      <c r="T197" s="19">
        <f t="shared" si="8"/>
        <v>1.962473333</v>
      </c>
      <c r="U197" s="144"/>
      <c r="V197" s="66">
        <v>45273.0</v>
      </c>
      <c r="W197" s="13">
        <f t="shared" si="2"/>
        <v>1.8875</v>
      </c>
      <c r="X197" s="141" t="b">
        <f t="shared" si="3"/>
        <v>0</v>
      </c>
      <c r="Y197" s="141" t="b">
        <f t="shared" si="4"/>
        <v>0</v>
      </c>
      <c r="Z197" s="141" t="str">
        <f t="shared" si="5"/>
        <v>Green-green</v>
      </c>
      <c r="AA197" s="141" t="b">
        <f t="shared" si="6"/>
        <v>0</v>
      </c>
    </row>
    <row r="198">
      <c r="A198" s="8">
        <f t="shared" si="7"/>
        <v>197</v>
      </c>
      <c r="B198" s="8"/>
      <c r="C198" s="8"/>
      <c r="D198" s="8" t="s">
        <v>19</v>
      </c>
      <c r="E198" s="8" t="s">
        <v>2595</v>
      </c>
      <c r="F198" s="8" t="s">
        <v>1473</v>
      </c>
      <c r="G198" s="8" t="s">
        <v>2556</v>
      </c>
      <c r="H198" s="8">
        <v>0.0</v>
      </c>
      <c r="I198" s="8" t="s">
        <v>182</v>
      </c>
      <c r="J198" s="8" t="s">
        <v>22</v>
      </c>
      <c r="K198" s="8" t="s">
        <v>892</v>
      </c>
      <c r="L198" s="8" t="s">
        <v>2201</v>
      </c>
      <c r="M198" s="9">
        <v>0.0</v>
      </c>
      <c r="N198" s="9">
        <v>1.0</v>
      </c>
      <c r="O198" s="9">
        <v>1.0</v>
      </c>
      <c r="P198" s="10">
        <v>45094.0</v>
      </c>
      <c r="Q198" s="11">
        <v>2.1</v>
      </c>
      <c r="R198" s="8" t="s">
        <v>70</v>
      </c>
      <c r="S198" s="12">
        <f t="shared" si="1"/>
        <v>0</v>
      </c>
      <c r="T198" s="12">
        <f t="shared" si="8"/>
        <v>1.962473333</v>
      </c>
      <c r="U198" s="145"/>
      <c r="V198" s="66">
        <v>45274.0</v>
      </c>
      <c r="W198" s="13">
        <f t="shared" si="2"/>
        <v>0.0305</v>
      </c>
      <c r="X198" s="141" t="b">
        <f t="shared" si="3"/>
        <v>0</v>
      </c>
      <c r="Y198" s="141" t="b">
        <f t="shared" si="4"/>
        <v>0</v>
      </c>
      <c r="Z198" s="141" t="str">
        <f t="shared" si="5"/>
        <v>Green-green</v>
      </c>
      <c r="AA198" s="141" t="b">
        <f t="shared" si="6"/>
        <v>0</v>
      </c>
    </row>
    <row r="199">
      <c r="A199" s="15">
        <f t="shared" si="7"/>
        <v>198</v>
      </c>
      <c r="B199" s="15"/>
      <c r="C199" s="15"/>
      <c r="D199" s="15" t="s">
        <v>19</v>
      </c>
      <c r="E199" s="15" t="s">
        <v>2596</v>
      </c>
      <c r="F199" s="15" t="s">
        <v>1479</v>
      </c>
      <c r="G199" s="15" t="s">
        <v>2573</v>
      </c>
      <c r="H199" s="15">
        <v>0.0</v>
      </c>
      <c r="I199" s="15" t="s">
        <v>583</v>
      </c>
      <c r="J199" s="15" t="s">
        <v>22</v>
      </c>
      <c r="K199" s="15" t="s">
        <v>894</v>
      </c>
      <c r="L199" s="15" t="s">
        <v>24</v>
      </c>
      <c r="M199" s="16">
        <v>-0.75</v>
      </c>
      <c r="N199" s="16">
        <v>1.0</v>
      </c>
      <c r="O199" s="16">
        <v>0.23</v>
      </c>
      <c r="P199" s="17">
        <v>45094.0</v>
      </c>
      <c r="Q199" s="18">
        <v>1.9</v>
      </c>
      <c r="R199" s="15" t="s">
        <v>25</v>
      </c>
      <c r="S199" s="19">
        <f t="shared" si="1"/>
        <v>-0.23</v>
      </c>
      <c r="T199" s="19">
        <f t="shared" si="8"/>
        <v>1.732473333</v>
      </c>
      <c r="U199" s="144"/>
      <c r="V199" s="66">
        <v>45275.0</v>
      </c>
      <c r="W199" s="13">
        <f t="shared" si="2"/>
        <v>1.187</v>
      </c>
      <c r="X199" s="141" t="b">
        <f t="shared" si="3"/>
        <v>0</v>
      </c>
      <c r="Y199" s="141" t="b">
        <f t="shared" si="4"/>
        <v>0</v>
      </c>
      <c r="Z199" s="141" t="str">
        <f t="shared" si="5"/>
        <v>Green-green</v>
      </c>
      <c r="AA199" s="141" t="b">
        <f t="shared" si="6"/>
        <v>0</v>
      </c>
    </row>
    <row r="200">
      <c r="A200" s="8">
        <f t="shared" si="7"/>
        <v>199</v>
      </c>
      <c r="B200" s="8"/>
      <c r="C200" s="8"/>
      <c r="D200" s="8" t="s">
        <v>40</v>
      </c>
      <c r="E200" s="8" t="s">
        <v>2597</v>
      </c>
      <c r="F200" s="8" t="s">
        <v>1479</v>
      </c>
      <c r="G200" s="8" t="s">
        <v>2556</v>
      </c>
      <c r="H200" s="8">
        <v>2</v>
      </c>
      <c r="I200" s="8" t="s">
        <v>28</v>
      </c>
      <c r="J200" s="8" t="s">
        <v>22</v>
      </c>
      <c r="K200" s="8" t="s">
        <v>225</v>
      </c>
      <c r="L200" s="8" t="s">
        <v>24</v>
      </c>
      <c r="M200" s="9">
        <v>0.5</v>
      </c>
      <c r="N200" s="9">
        <v>1.0</v>
      </c>
      <c r="O200" s="9">
        <v>0.5</v>
      </c>
      <c r="P200" s="10">
        <v>45094.0</v>
      </c>
      <c r="Q200" s="11">
        <v>1.975</v>
      </c>
      <c r="R200" s="8" t="s">
        <v>25</v>
      </c>
      <c r="S200" s="12">
        <f t="shared" si="1"/>
        <v>-0.5</v>
      </c>
      <c r="T200" s="12">
        <f t="shared" si="8"/>
        <v>1.232473333</v>
      </c>
      <c r="U200" s="145"/>
      <c r="V200" s="66">
        <v>45276.0</v>
      </c>
      <c r="W200" s="13">
        <f t="shared" si="2"/>
        <v>0.342</v>
      </c>
      <c r="X200" s="141" t="b">
        <f t="shared" si="3"/>
        <v>0</v>
      </c>
      <c r="Y200" s="141" t="b">
        <f t="shared" si="4"/>
        <v>0</v>
      </c>
      <c r="Z200" s="141" t="str">
        <f t="shared" si="5"/>
        <v>Green-green</v>
      </c>
      <c r="AA200" s="141" t="b">
        <f t="shared" si="6"/>
        <v>0</v>
      </c>
    </row>
    <row r="201">
      <c r="A201" s="15">
        <f t="shared" si="7"/>
        <v>200</v>
      </c>
      <c r="B201" s="15"/>
      <c r="C201" s="15"/>
      <c r="D201" s="15" t="s">
        <v>40</v>
      </c>
      <c r="E201" s="15" t="s">
        <v>2598</v>
      </c>
      <c r="F201" s="15" t="s">
        <v>1473</v>
      </c>
      <c r="G201" s="15" t="s">
        <v>2573</v>
      </c>
      <c r="H201" s="15">
        <v>4</v>
      </c>
      <c r="I201" s="15" t="s">
        <v>1085</v>
      </c>
      <c r="J201" s="15" t="s">
        <v>22</v>
      </c>
      <c r="K201" s="15" t="s">
        <v>894</v>
      </c>
      <c r="L201" s="15" t="s">
        <v>24</v>
      </c>
      <c r="M201" s="16">
        <v>-0.75</v>
      </c>
      <c r="N201" s="16">
        <v>0.5</v>
      </c>
      <c r="O201" s="16">
        <v>0.3</v>
      </c>
      <c r="P201" s="17">
        <v>45094.0</v>
      </c>
      <c r="Q201" s="18">
        <v>1.8</v>
      </c>
      <c r="R201" s="15" t="s">
        <v>30</v>
      </c>
      <c r="S201" s="19">
        <f t="shared" si="1"/>
        <v>0.12</v>
      </c>
      <c r="T201" s="19">
        <f t="shared" si="8"/>
        <v>1.352473333</v>
      </c>
      <c r="U201" s="144"/>
      <c r="V201" s="66">
        <v>45277.0</v>
      </c>
      <c r="W201" s="13">
        <f t="shared" si="2"/>
        <v>2.29575</v>
      </c>
      <c r="X201" s="141" t="b">
        <f t="shared" si="3"/>
        <v>0</v>
      </c>
      <c r="Y201" s="141" t="b">
        <f t="shared" si="4"/>
        <v>0</v>
      </c>
      <c r="Z201" s="141" t="b">
        <f t="shared" si="5"/>
        <v>0</v>
      </c>
      <c r="AA201" s="141" t="b">
        <f t="shared" si="6"/>
        <v>0</v>
      </c>
    </row>
    <row r="202">
      <c r="A202" s="8">
        <f t="shared" si="7"/>
        <v>201</v>
      </c>
      <c r="B202" s="8"/>
      <c r="C202" s="8"/>
      <c r="D202" s="8" t="s">
        <v>40</v>
      </c>
      <c r="E202" s="8" t="s">
        <v>2599</v>
      </c>
      <c r="F202" s="8" t="s">
        <v>1479</v>
      </c>
      <c r="G202" s="8" t="s">
        <v>2556</v>
      </c>
      <c r="H202" s="8">
        <v>-2.0</v>
      </c>
      <c r="I202" s="8" t="s">
        <v>28</v>
      </c>
      <c r="J202" s="8" t="s">
        <v>22</v>
      </c>
      <c r="K202" s="8" t="s">
        <v>225</v>
      </c>
      <c r="L202" s="8" t="s">
        <v>2201</v>
      </c>
      <c r="M202" s="9">
        <v>0.5</v>
      </c>
      <c r="N202" s="9">
        <v>1.0</v>
      </c>
      <c r="O202" s="9">
        <v>0.65</v>
      </c>
      <c r="P202" s="10">
        <v>45094.0</v>
      </c>
      <c r="Q202" s="11">
        <v>1.9</v>
      </c>
      <c r="R202" s="8" t="s">
        <v>33</v>
      </c>
      <c r="S202" s="12">
        <f t="shared" si="1"/>
        <v>0.585</v>
      </c>
      <c r="T202" s="12">
        <f t="shared" si="8"/>
        <v>1.937473333</v>
      </c>
      <c r="U202" s="145"/>
      <c r="V202" s="66">
        <v>45278.0</v>
      </c>
      <c r="W202" s="13">
        <f t="shared" si="2"/>
        <v>0</v>
      </c>
      <c r="X202" s="141" t="b">
        <f t="shared" si="3"/>
        <v>0</v>
      </c>
      <c r="Y202" s="141" t="b">
        <f t="shared" si="4"/>
        <v>0</v>
      </c>
      <c r="Z202" s="141" t="b">
        <f t="shared" si="5"/>
        <v>0</v>
      </c>
      <c r="AA202" s="141" t="b">
        <f t="shared" si="6"/>
        <v>0</v>
      </c>
    </row>
    <row r="203">
      <c r="A203" s="15">
        <f t="shared" si="7"/>
        <v>202</v>
      </c>
      <c r="B203" s="15"/>
      <c r="C203" s="15"/>
      <c r="D203" s="15" t="s">
        <v>19</v>
      </c>
      <c r="E203" s="15" t="s">
        <v>2600</v>
      </c>
      <c r="F203" s="15" t="s">
        <v>1473</v>
      </c>
      <c r="G203" s="15" t="s">
        <v>2601</v>
      </c>
      <c r="H203" s="15">
        <v>-2.0</v>
      </c>
      <c r="I203" s="15" t="s">
        <v>68</v>
      </c>
      <c r="J203" s="15" t="s">
        <v>22</v>
      </c>
      <c r="K203" s="15" t="s">
        <v>892</v>
      </c>
      <c r="L203" s="15" t="s">
        <v>24</v>
      </c>
      <c r="M203" s="16">
        <v>0.0</v>
      </c>
      <c r="N203" s="16">
        <v>1.0</v>
      </c>
      <c r="O203" s="16">
        <v>0.84</v>
      </c>
      <c r="P203" s="17">
        <v>45094.0</v>
      </c>
      <c r="Q203" s="18">
        <v>1.975</v>
      </c>
      <c r="R203" s="15" t="s">
        <v>70</v>
      </c>
      <c r="S203" s="19">
        <f t="shared" si="1"/>
        <v>0</v>
      </c>
      <c r="T203" s="19">
        <f t="shared" si="8"/>
        <v>1.937473333</v>
      </c>
      <c r="U203" s="144"/>
      <c r="V203" s="66">
        <v>45279.0</v>
      </c>
      <c r="W203" s="13">
        <f t="shared" si="2"/>
        <v>0.061</v>
      </c>
      <c r="X203" s="141" t="b">
        <f t="shared" si="3"/>
        <v>0</v>
      </c>
      <c r="Y203" s="141" t="b">
        <f t="shared" si="4"/>
        <v>0</v>
      </c>
      <c r="Z203" s="141" t="str">
        <f t="shared" si="5"/>
        <v>Green-green</v>
      </c>
      <c r="AA203" s="141" t="b">
        <f t="shared" si="6"/>
        <v>0</v>
      </c>
    </row>
    <row r="204">
      <c r="A204" s="8">
        <f t="shared" si="7"/>
        <v>203</v>
      </c>
      <c r="B204" s="8"/>
      <c r="C204" s="8"/>
      <c r="D204" s="8" t="s">
        <v>19</v>
      </c>
      <c r="E204" s="8" t="s">
        <v>2602</v>
      </c>
      <c r="F204" s="8" t="s">
        <v>1473</v>
      </c>
      <c r="G204" s="8" t="s">
        <v>2556</v>
      </c>
      <c r="H204" s="8">
        <v>0.0</v>
      </c>
      <c r="I204" s="8" t="s">
        <v>82</v>
      </c>
      <c r="J204" s="8" t="s">
        <v>22</v>
      </c>
      <c r="K204" s="8" t="s">
        <v>225</v>
      </c>
      <c r="L204" s="8" t="s">
        <v>39</v>
      </c>
      <c r="M204" s="9">
        <v>0.25</v>
      </c>
      <c r="N204" s="9">
        <v>1.0</v>
      </c>
      <c r="O204" s="9">
        <v>1.0</v>
      </c>
      <c r="P204" s="10">
        <v>45094.0</v>
      </c>
      <c r="Q204" s="11">
        <v>1.8</v>
      </c>
      <c r="R204" s="8" t="s">
        <v>25</v>
      </c>
      <c r="S204" s="12">
        <f t="shared" si="1"/>
        <v>-1</v>
      </c>
      <c r="T204" s="12">
        <f t="shared" si="8"/>
        <v>0.9374733333</v>
      </c>
      <c r="U204" s="145"/>
      <c r="V204" s="66">
        <v>45280.0</v>
      </c>
      <c r="W204" s="13">
        <f t="shared" si="2"/>
        <v>1.1665</v>
      </c>
      <c r="X204" s="141" t="b">
        <f t="shared" si="3"/>
        <v>0</v>
      </c>
      <c r="Y204" s="141" t="b">
        <f t="shared" si="4"/>
        <v>0</v>
      </c>
      <c r="Z204" s="141" t="b">
        <f t="shared" si="5"/>
        <v>0</v>
      </c>
      <c r="AA204" s="141" t="b">
        <f t="shared" si="6"/>
        <v>0</v>
      </c>
    </row>
    <row r="205">
      <c r="A205" s="15">
        <f t="shared" si="7"/>
        <v>204</v>
      </c>
      <c r="B205" s="15"/>
      <c r="C205" s="15"/>
      <c r="D205" s="15" t="s">
        <v>19</v>
      </c>
      <c r="E205" s="15" t="s">
        <v>2603</v>
      </c>
      <c r="F205" s="15" t="s">
        <v>1473</v>
      </c>
      <c r="G205" s="15" t="s">
        <v>2556</v>
      </c>
      <c r="H205" s="15">
        <v>0.0</v>
      </c>
      <c r="I205" s="15" t="s">
        <v>82</v>
      </c>
      <c r="J205" s="15" t="s">
        <v>22</v>
      </c>
      <c r="K205" s="15" t="s">
        <v>225</v>
      </c>
      <c r="L205" s="15" t="s">
        <v>2201</v>
      </c>
      <c r="M205" s="16">
        <v>0.5</v>
      </c>
      <c r="N205" s="16">
        <v>1.0</v>
      </c>
      <c r="O205" s="16">
        <v>0.59</v>
      </c>
      <c r="P205" s="17">
        <v>45094.0</v>
      </c>
      <c r="Q205" s="18">
        <v>1.75</v>
      </c>
      <c r="R205" s="15" t="s">
        <v>25</v>
      </c>
      <c r="S205" s="19">
        <f t="shared" si="1"/>
        <v>-0.59</v>
      </c>
      <c r="T205" s="19">
        <f t="shared" si="8"/>
        <v>0.3474733333</v>
      </c>
      <c r="U205" s="144"/>
      <c r="V205" s="66">
        <v>45281.0</v>
      </c>
      <c r="W205" s="13">
        <f t="shared" si="2"/>
        <v>0</v>
      </c>
      <c r="X205" s="141" t="b">
        <f t="shared" si="3"/>
        <v>0</v>
      </c>
      <c r="Y205" s="141" t="b">
        <f t="shared" si="4"/>
        <v>0</v>
      </c>
      <c r="Z205" s="141" t="b">
        <f t="shared" si="5"/>
        <v>0</v>
      </c>
      <c r="AA205" s="141" t="b">
        <f t="shared" si="6"/>
        <v>0</v>
      </c>
    </row>
    <row r="206">
      <c r="A206" s="8">
        <f t="shared" si="7"/>
        <v>205</v>
      </c>
      <c r="B206" s="8"/>
      <c r="C206" s="8"/>
      <c r="D206" s="8" t="s">
        <v>19</v>
      </c>
      <c r="E206" s="8" t="s">
        <v>2604</v>
      </c>
      <c r="F206" s="8" t="s">
        <v>1473</v>
      </c>
      <c r="G206" s="8" t="s">
        <v>2556</v>
      </c>
      <c r="H206" s="8">
        <v>0.0</v>
      </c>
      <c r="I206" s="8" t="s">
        <v>82</v>
      </c>
      <c r="J206" s="8" t="s">
        <v>22</v>
      </c>
      <c r="K206" s="8" t="s">
        <v>225</v>
      </c>
      <c r="L206" s="8" t="s">
        <v>2201</v>
      </c>
      <c r="M206" s="9">
        <v>0.25</v>
      </c>
      <c r="N206" s="9">
        <v>1.0</v>
      </c>
      <c r="O206" s="9">
        <v>1.0</v>
      </c>
      <c r="P206" s="10">
        <v>45094.0</v>
      </c>
      <c r="Q206" s="11">
        <v>1.975</v>
      </c>
      <c r="R206" s="8" t="s">
        <v>30</v>
      </c>
      <c r="S206" s="12">
        <f t="shared" si="1"/>
        <v>0.4875</v>
      </c>
      <c r="T206" s="12">
        <f t="shared" si="8"/>
        <v>0.8349733333</v>
      </c>
      <c r="U206" s="145"/>
      <c r="V206" s="66">
        <v>45282.0</v>
      </c>
      <c r="W206" s="13">
        <f t="shared" si="2"/>
        <v>0.4</v>
      </c>
      <c r="X206" s="141" t="b">
        <f t="shared" si="3"/>
        <v>0</v>
      </c>
      <c r="Y206" s="141" t="b">
        <f t="shared" si="4"/>
        <v>0</v>
      </c>
      <c r="Z206" s="141" t="b">
        <f t="shared" si="5"/>
        <v>0</v>
      </c>
      <c r="AA206" s="141" t="b">
        <f t="shared" si="6"/>
        <v>0</v>
      </c>
    </row>
    <row r="207">
      <c r="A207" s="15">
        <f t="shared" si="7"/>
        <v>206</v>
      </c>
      <c r="B207" s="15"/>
      <c r="C207" s="15"/>
      <c r="D207" s="15" t="s">
        <v>19</v>
      </c>
      <c r="E207" s="15" t="s">
        <v>2605</v>
      </c>
      <c r="F207" s="15" t="s">
        <v>1473</v>
      </c>
      <c r="G207" s="15" t="s">
        <v>2556</v>
      </c>
      <c r="H207" s="15">
        <v>0.0</v>
      </c>
      <c r="I207" s="15" t="s">
        <v>245</v>
      </c>
      <c r="J207" s="15" t="s">
        <v>22</v>
      </c>
      <c r="K207" s="15" t="s">
        <v>225</v>
      </c>
      <c r="L207" s="15" t="s">
        <v>1522</v>
      </c>
      <c r="M207" s="16">
        <v>0.5</v>
      </c>
      <c r="N207" s="16">
        <v>1.0</v>
      </c>
      <c r="O207" s="16">
        <v>0.47</v>
      </c>
      <c r="P207" s="17">
        <v>45094.0</v>
      </c>
      <c r="Q207" s="18">
        <v>1.85</v>
      </c>
      <c r="R207" s="15" t="s">
        <v>25</v>
      </c>
      <c r="S207" s="19">
        <f t="shared" si="1"/>
        <v>-0.47</v>
      </c>
      <c r="T207" s="19">
        <f t="shared" si="8"/>
        <v>0.3649733333</v>
      </c>
      <c r="U207" s="144"/>
      <c r="V207" s="66">
        <v>45283.0</v>
      </c>
      <c r="W207" s="13">
        <f t="shared" si="2"/>
        <v>0</v>
      </c>
      <c r="X207" s="141" t="b">
        <f t="shared" si="3"/>
        <v>0</v>
      </c>
      <c r="Y207" s="141" t="b">
        <f t="shared" si="4"/>
        <v>0</v>
      </c>
      <c r="Z207" s="141" t="b">
        <f t="shared" si="5"/>
        <v>0</v>
      </c>
      <c r="AA207" s="141" t="b">
        <f t="shared" si="6"/>
        <v>0</v>
      </c>
    </row>
    <row r="208">
      <c r="A208" s="8">
        <f t="shared" si="7"/>
        <v>207</v>
      </c>
      <c r="B208" s="8"/>
      <c r="C208" s="8"/>
      <c r="D208" s="8" t="s">
        <v>19</v>
      </c>
      <c r="E208" s="8" t="s">
        <v>2606</v>
      </c>
      <c r="F208" s="8"/>
      <c r="G208" s="8"/>
      <c r="H208" s="8" t="s">
        <v>2567</v>
      </c>
      <c r="I208" s="8" t="s">
        <v>82</v>
      </c>
      <c r="J208" s="8" t="s">
        <v>22</v>
      </c>
      <c r="K208" s="8" t="s">
        <v>29</v>
      </c>
      <c r="L208" s="8" t="s">
        <v>24</v>
      </c>
      <c r="M208" s="9">
        <v>-1.5</v>
      </c>
      <c r="N208" s="9">
        <v>0.5</v>
      </c>
      <c r="O208" s="9">
        <v>0.45</v>
      </c>
      <c r="P208" s="10">
        <v>45094.0</v>
      </c>
      <c r="Q208" s="11">
        <v>1.75</v>
      </c>
      <c r="R208" s="8" t="s">
        <v>33</v>
      </c>
      <c r="S208" s="12">
        <f t="shared" si="1"/>
        <v>0.3375</v>
      </c>
      <c r="T208" s="12">
        <f t="shared" si="8"/>
        <v>0.7024733333</v>
      </c>
      <c r="U208" s="145"/>
      <c r="V208" s="66">
        <v>45284.0</v>
      </c>
      <c r="W208" s="13">
        <f t="shared" si="2"/>
        <v>0</v>
      </c>
      <c r="X208" s="141" t="b">
        <f t="shared" si="3"/>
        <v>0</v>
      </c>
      <c r="Y208" s="141" t="b">
        <f t="shared" si="4"/>
        <v>0</v>
      </c>
      <c r="Z208" s="141" t="b">
        <f t="shared" si="5"/>
        <v>0</v>
      </c>
      <c r="AA208" s="141" t="b">
        <f t="shared" si="6"/>
        <v>0</v>
      </c>
    </row>
    <row r="209">
      <c r="A209" s="15">
        <f t="shared" si="7"/>
        <v>208</v>
      </c>
      <c r="B209" s="15"/>
      <c r="C209" s="15"/>
      <c r="D209" s="15" t="s">
        <v>40</v>
      </c>
      <c r="E209" s="15" t="s">
        <v>2607</v>
      </c>
      <c r="F209" s="15"/>
      <c r="G209" s="15"/>
      <c r="H209" s="15" t="s">
        <v>2608</v>
      </c>
      <c r="I209" s="15" t="s">
        <v>78</v>
      </c>
      <c r="J209" s="15" t="s">
        <v>22</v>
      </c>
      <c r="K209" s="15" t="s">
        <v>440</v>
      </c>
      <c r="L209" s="15" t="s">
        <v>39</v>
      </c>
      <c r="M209" s="16">
        <v>1.0</v>
      </c>
      <c r="N209" s="16">
        <v>1.0</v>
      </c>
      <c r="O209" s="16">
        <v>1.0</v>
      </c>
      <c r="P209" s="17">
        <v>45094.0</v>
      </c>
      <c r="Q209" s="18">
        <v>1.9</v>
      </c>
      <c r="R209" s="15" t="s">
        <v>33</v>
      </c>
      <c r="S209" s="19">
        <f t="shared" si="1"/>
        <v>0.9</v>
      </c>
      <c r="T209" s="19">
        <f t="shared" si="8"/>
        <v>1.602473333</v>
      </c>
      <c r="U209" s="144"/>
      <c r="V209" s="66">
        <v>45285.0</v>
      </c>
      <c r="W209" s="13">
        <f t="shared" si="2"/>
        <v>0</v>
      </c>
      <c r="X209" s="141" t="b">
        <f t="shared" si="3"/>
        <v>0</v>
      </c>
      <c r="Y209" s="141" t="b">
        <f t="shared" si="4"/>
        <v>0</v>
      </c>
      <c r="Z209" s="141" t="b">
        <f t="shared" si="5"/>
        <v>0</v>
      </c>
      <c r="AA209" s="141" t="b">
        <f t="shared" si="6"/>
        <v>0</v>
      </c>
    </row>
    <row r="210">
      <c r="A210" s="8">
        <f t="shared" si="7"/>
        <v>209</v>
      </c>
      <c r="B210" s="8"/>
      <c r="C210" s="8"/>
      <c r="D210" s="8" t="s">
        <v>40</v>
      </c>
      <c r="E210" s="8" t="s">
        <v>2609</v>
      </c>
      <c r="F210" s="8" t="s">
        <v>1473</v>
      </c>
      <c r="G210" s="8" t="s">
        <v>2556</v>
      </c>
      <c r="H210" s="8">
        <v>2</v>
      </c>
      <c r="I210" s="8" t="s">
        <v>768</v>
      </c>
      <c r="J210" s="8" t="s">
        <v>22</v>
      </c>
      <c r="K210" s="8" t="s">
        <v>225</v>
      </c>
      <c r="L210" s="8" t="s">
        <v>24</v>
      </c>
      <c r="M210" s="9">
        <v>0.5</v>
      </c>
      <c r="N210" s="9">
        <v>1.0</v>
      </c>
      <c r="O210" s="9">
        <v>0.8</v>
      </c>
      <c r="P210" s="10">
        <v>45094.0</v>
      </c>
      <c r="Q210" s="11">
        <v>1.975</v>
      </c>
      <c r="R210" s="8" t="s">
        <v>33</v>
      </c>
      <c r="S210" s="12">
        <f t="shared" si="1"/>
        <v>0.78</v>
      </c>
      <c r="T210" s="12">
        <f t="shared" si="8"/>
        <v>2.382473333</v>
      </c>
      <c r="U210" s="145"/>
      <c r="V210" s="66">
        <v>45286.0</v>
      </c>
      <c r="W210" s="13">
        <f t="shared" si="2"/>
        <v>0</v>
      </c>
      <c r="X210" s="141" t="b">
        <f t="shared" si="3"/>
        <v>0</v>
      </c>
      <c r="Y210" s="141" t="b">
        <f t="shared" si="4"/>
        <v>0</v>
      </c>
      <c r="Z210" s="141" t="b">
        <f t="shared" si="5"/>
        <v>0</v>
      </c>
      <c r="AA210" s="141" t="b">
        <f t="shared" si="6"/>
        <v>0</v>
      </c>
    </row>
    <row r="211">
      <c r="A211" s="15">
        <f t="shared" si="7"/>
        <v>210</v>
      </c>
      <c r="B211" s="15"/>
      <c r="C211" s="15"/>
      <c r="D211" s="15" t="s">
        <v>40</v>
      </c>
      <c r="E211" s="15" t="s">
        <v>2610</v>
      </c>
      <c r="F211" s="15" t="s">
        <v>2611</v>
      </c>
      <c r="G211" s="15" t="s">
        <v>2573</v>
      </c>
      <c r="H211" s="15">
        <v>0.0</v>
      </c>
      <c r="I211" s="15" t="s">
        <v>78</v>
      </c>
      <c r="J211" s="15" t="s">
        <v>22</v>
      </c>
      <c r="K211" s="15" t="s">
        <v>892</v>
      </c>
      <c r="L211" s="15" t="s">
        <v>1522</v>
      </c>
      <c r="M211" s="16">
        <v>0.0</v>
      </c>
      <c r="N211" s="16">
        <v>1.0</v>
      </c>
      <c r="O211" s="16">
        <v>1.0</v>
      </c>
      <c r="P211" s="17">
        <v>45094.0</v>
      </c>
      <c r="Q211" s="18">
        <v>1.9</v>
      </c>
      <c r="R211" s="15" t="s">
        <v>33</v>
      </c>
      <c r="S211" s="19">
        <f t="shared" si="1"/>
        <v>0.9</v>
      </c>
      <c r="T211" s="19">
        <f t="shared" si="8"/>
        <v>3.282473333</v>
      </c>
      <c r="U211" s="144"/>
      <c r="V211" s="66">
        <v>45287.0</v>
      </c>
      <c r="W211" s="13">
        <f t="shared" si="2"/>
        <v>0</v>
      </c>
      <c r="X211" s="141" t="b">
        <f t="shared" si="3"/>
        <v>0</v>
      </c>
      <c r="Y211" s="141" t="b">
        <f t="shared" si="4"/>
        <v>0</v>
      </c>
      <c r="Z211" s="141" t="b">
        <f t="shared" si="5"/>
        <v>0</v>
      </c>
      <c r="AA211" s="141" t="b">
        <f t="shared" si="6"/>
        <v>0</v>
      </c>
    </row>
    <row r="212">
      <c r="A212" s="8">
        <f t="shared" si="7"/>
        <v>211</v>
      </c>
      <c r="B212" s="8"/>
      <c r="C212" s="8"/>
      <c r="D212" s="8" t="s">
        <v>19</v>
      </c>
      <c r="E212" s="8" t="s">
        <v>2612</v>
      </c>
      <c r="F212" s="8"/>
      <c r="G212" s="8"/>
      <c r="H212" s="8" t="s">
        <v>2613</v>
      </c>
      <c r="I212" s="8" t="s">
        <v>1961</v>
      </c>
      <c r="J212" s="8" t="s">
        <v>598</v>
      </c>
      <c r="K212" s="8" t="s">
        <v>1272</v>
      </c>
      <c r="L212" s="8" t="s">
        <v>1522</v>
      </c>
      <c r="M212" s="9"/>
      <c r="N212" s="9">
        <v>0.25</v>
      </c>
      <c r="O212" s="9">
        <v>0.25</v>
      </c>
      <c r="P212" s="10">
        <v>45095.0</v>
      </c>
      <c r="Q212" s="11">
        <v>3.75</v>
      </c>
      <c r="R212" s="8" t="s">
        <v>25</v>
      </c>
      <c r="S212" s="12">
        <f t="shared" si="1"/>
        <v>-0.25</v>
      </c>
      <c r="T212" s="12">
        <f t="shared" si="8"/>
        <v>3.032473333</v>
      </c>
      <c r="U212" s="145"/>
      <c r="V212" s="66">
        <v>45288.0</v>
      </c>
      <c r="W212" s="13">
        <f t="shared" si="2"/>
        <v>0</v>
      </c>
      <c r="X212" s="141" t="b">
        <f t="shared" si="3"/>
        <v>0</v>
      </c>
      <c r="Y212" s="141" t="b">
        <f t="shared" si="4"/>
        <v>0</v>
      </c>
      <c r="Z212" s="141" t="b">
        <f t="shared" si="5"/>
        <v>0</v>
      </c>
      <c r="AA212" s="141" t="b">
        <f t="shared" si="6"/>
        <v>0</v>
      </c>
    </row>
    <row r="213">
      <c r="A213" s="15">
        <f t="shared" si="7"/>
        <v>212</v>
      </c>
      <c r="B213" s="15"/>
      <c r="C213" s="15"/>
      <c r="D213" s="15" t="s">
        <v>40</v>
      </c>
      <c r="E213" s="15" t="s">
        <v>2614</v>
      </c>
      <c r="F213" s="15"/>
      <c r="G213" s="15"/>
      <c r="H213" s="15" t="s">
        <v>2615</v>
      </c>
      <c r="I213" s="15" t="s">
        <v>875</v>
      </c>
      <c r="J213" s="15" t="s">
        <v>22</v>
      </c>
      <c r="K213" s="15" t="s">
        <v>29</v>
      </c>
      <c r="L213" s="15" t="s">
        <v>24</v>
      </c>
      <c r="M213" s="16">
        <v>-4.5</v>
      </c>
      <c r="N213" s="16">
        <v>0.5</v>
      </c>
      <c r="O213" s="16">
        <v>0.17</v>
      </c>
      <c r="P213" s="17">
        <v>45095.0</v>
      </c>
      <c r="Q213" s="18">
        <v>1.72</v>
      </c>
      <c r="R213" s="15" t="s">
        <v>25</v>
      </c>
      <c r="S213" s="19">
        <f t="shared" si="1"/>
        <v>-0.17</v>
      </c>
      <c r="T213" s="19">
        <f t="shared" si="8"/>
        <v>2.862473333</v>
      </c>
      <c r="U213" s="144"/>
      <c r="V213" s="66">
        <v>45289.0</v>
      </c>
      <c r="W213" s="13">
        <f t="shared" si="2"/>
        <v>0</v>
      </c>
      <c r="X213" s="141" t="b">
        <f t="shared" si="3"/>
        <v>0</v>
      </c>
      <c r="Y213" s="141" t="b">
        <f t="shared" si="4"/>
        <v>0</v>
      </c>
      <c r="Z213" s="141" t="b">
        <f t="shared" si="5"/>
        <v>0</v>
      </c>
      <c r="AA213" s="141" t="b">
        <f t="shared" si="6"/>
        <v>0</v>
      </c>
    </row>
    <row r="214">
      <c r="A214" s="8">
        <f t="shared" si="7"/>
        <v>213</v>
      </c>
      <c r="B214" s="8"/>
      <c r="C214" s="8"/>
      <c r="D214" s="8" t="s">
        <v>40</v>
      </c>
      <c r="E214" s="8" t="s">
        <v>2616</v>
      </c>
      <c r="F214" s="8"/>
      <c r="G214" s="8"/>
      <c r="H214" s="8" t="s">
        <v>2615</v>
      </c>
      <c r="I214" s="8" t="s">
        <v>875</v>
      </c>
      <c r="J214" s="8" t="s">
        <v>22</v>
      </c>
      <c r="K214" s="8" t="s">
        <v>29</v>
      </c>
      <c r="L214" s="8" t="s">
        <v>24</v>
      </c>
      <c r="M214" s="9">
        <v>-4.25</v>
      </c>
      <c r="N214" s="9">
        <v>0.5</v>
      </c>
      <c r="O214" s="9">
        <v>0.17</v>
      </c>
      <c r="P214" s="10">
        <v>45095.0</v>
      </c>
      <c r="Q214" s="11">
        <v>1.95</v>
      </c>
      <c r="R214" s="8" t="s">
        <v>25</v>
      </c>
      <c r="S214" s="12">
        <f t="shared" si="1"/>
        <v>-0.17</v>
      </c>
      <c r="T214" s="12">
        <f t="shared" si="8"/>
        <v>2.692473333</v>
      </c>
      <c r="U214" s="145"/>
      <c r="V214" s="66">
        <v>45290.0</v>
      </c>
      <c r="W214" s="13">
        <f t="shared" si="2"/>
        <v>0</v>
      </c>
      <c r="X214" s="141" t="b">
        <f t="shared" si="3"/>
        <v>0</v>
      </c>
      <c r="Y214" s="141" t="b">
        <f t="shared" si="4"/>
        <v>0</v>
      </c>
      <c r="Z214" s="141" t="b">
        <f t="shared" si="5"/>
        <v>0</v>
      </c>
      <c r="AA214" s="141" t="b">
        <f t="shared" si="6"/>
        <v>0</v>
      </c>
    </row>
    <row r="215">
      <c r="A215" s="15">
        <f t="shared" si="7"/>
        <v>214</v>
      </c>
      <c r="B215" s="15"/>
      <c r="C215" s="15"/>
      <c r="D215" s="15" t="s">
        <v>40</v>
      </c>
      <c r="E215" s="15" t="s">
        <v>2617</v>
      </c>
      <c r="F215" s="15"/>
      <c r="G215" s="15"/>
      <c r="H215" s="15" t="s">
        <v>2618</v>
      </c>
      <c r="I215" s="15" t="s">
        <v>940</v>
      </c>
      <c r="J215" s="15" t="s">
        <v>22</v>
      </c>
      <c r="K215" s="15" t="s">
        <v>440</v>
      </c>
      <c r="L215" s="15" t="s">
        <v>39</v>
      </c>
      <c r="M215" s="16">
        <v>2.5</v>
      </c>
      <c r="N215" s="16">
        <v>0.5</v>
      </c>
      <c r="O215" s="16">
        <v>0.5</v>
      </c>
      <c r="P215" s="17">
        <v>45095.0</v>
      </c>
      <c r="Q215" s="18">
        <v>1.9</v>
      </c>
      <c r="R215" s="15" t="s">
        <v>33</v>
      </c>
      <c r="S215" s="19">
        <f t="shared" si="1"/>
        <v>0.45</v>
      </c>
      <c r="T215" s="19">
        <f t="shared" si="8"/>
        <v>3.142473333</v>
      </c>
      <c r="U215" s="144"/>
      <c r="V215" s="66">
        <v>45291.0</v>
      </c>
      <c r="W215" s="13">
        <f t="shared" si="2"/>
        <v>0</v>
      </c>
      <c r="X215" s="141" t="b">
        <f t="shared" si="3"/>
        <v>0</v>
      </c>
      <c r="Y215" s="141" t="b">
        <f t="shared" si="4"/>
        <v>0</v>
      </c>
      <c r="Z215" s="141" t="b">
        <f t="shared" si="5"/>
        <v>0</v>
      </c>
      <c r="AA215" s="141" t="b">
        <f t="shared" si="6"/>
        <v>0</v>
      </c>
    </row>
    <row r="216">
      <c r="A216" s="8">
        <f t="shared" si="7"/>
        <v>215</v>
      </c>
      <c r="B216" s="8"/>
      <c r="C216" s="8"/>
      <c r="D216" s="8" t="s">
        <v>40</v>
      </c>
      <c r="E216" s="8" t="s">
        <v>2619</v>
      </c>
      <c r="F216" s="8"/>
      <c r="G216" s="8"/>
      <c r="H216" s="8" t="s">
        <v>2618</v>
      </c>
      <c r="I216" s="8" t="s">
        <v>940</v>
      </c>
      <c r="J216" s="8" t="s">
        <v>22</v>
      </c>
      <c r="K216" s="8" t="s">
        <v>440</v>
      </c>
      <c r="L216" s="8" t="s">
        <v>1522</v>
      </c>
      <c r="M216" s="9">
        <v>1.5</v>
      </c>
      <c r="N216" s="9">
        <v>0.25</v>
      </c>
      <c r="O216" s="9">
        <v>0.25</v>
      </c>
      <c r="P216" s="10">
        <v>45095.0</v>
      </c>
      <c r="Q216" s="11">
        <v>1.825</v>
      </c>
      <c r="R216" s="8" t="s">
        <v>33</v>
      </c>
      <c r="S216" s="12">
        <f t="shared" si="1"/>
        <v>0.20625</v>
      </c>
      <c r="T216" s="12">
        <f t="shared" si="8"/>
        <v>3.348723333</v>
      </c>
      <c r="U216" s="145"/>
      <c r="V216" s="66">
        <v>45292.0</v>
      </c>
      <c r="W216" s="13">
        <f t="shared" si="2"/>
        <v>0</v>
      </c>
      <c r="X216" s="141" t="b">
        <f t="shared" si="3"/>
        <v>0</v>
      </c>
      <c r="Y216" s="141" t="b">
        <f t="shared" si="4"/>
        <v>0</v>
      </c>
      <c r="Z216" s="141" t="b">
        <f t="shared" si="5"/>
        <v>0</v>
      </c>
      <c r="AA216" s="141" t="b">
        <f t="shared" si="6"/>
        <v>0</v>
      </c>
    </row>
    <row r="217">
      <c r="A217" s="15">
        <f t="shared" si="7"/>
        <v>216</v>
      </c>
      <c r="B217" s="15"/>
      <c r="C217" s="15"/>
      <c r="D217" s="15" t="s">
        <v>19</v>
      </c>
      <c r="E217" s="15" t="s">
        <v>2620</v>
      </c>
      <c r="F217" s="15" t="s">
        <v>1473</v>
      </c>
      <c r="G217" s="15" t="s">
        <v>2556</v>
      </c>
      <c r="H217" s="15">
        <f>1</f>
        <v>1</v>
      </c>
      <c r="I217" s="15" t="s">
        <v>1961</v>
      </c>
      <c r="J217" s="15" t="s">
        <v>22</v>
      </c>
      <c r="K217" s="15" t="s">
        <v>225</v>
      </c>
      <c r="L217" s="15" t="s">
        <v>39</v>
      </c>
      <c r="M217" s="16">
        <v>0.5</v>
      </c>
      <c r="N217" s="16">
        <v>0.25</v>
      </c>
      <c r="O217" s="16">
        <v>0.25</v>
      </c>
      <c r="P217" s="17">
        <v>45095.0</v>
      </c>
      <c r="Q217" s="18">
        <f>189.27/125</f>
        <v>1.51416</v>
      </c>
      <c r="R217" s="15" t="s">
        <v>33</v>
      </c>
      <c r="S217" s="19">
        <f t="shared" si="1"/>
        <v>0.12854</v>
      </c>
      <c r="T217" s="19">
        <f t="shared" si="8"/>
        <v>3.477263333</v>
      </c>
      <c r="U217" s="144"/>
      <c r="V217" s="66">
        <v>45293.0</v>
      </c>
      <c r="W217" s="13">
        <f t="shared" si="2"/>
        <v>0</v>
      </c>
      <c r="X217" s="141" t="b">
        <f t="shared" si="3"/>
        <v>0</v>
      </c>
      <c r="Y217" s="141" t="b">
        <f t="shared" si="4"/>
        <v>0</v>
      </c>
      <c r="Z217" s="141" t="b">
        <f t="shared" si="5"/>
        <v>0</v>
      </c>
      <c r="AA217" s="141" t="b">
        <f t="shared" si="6"/>
        <v>0</v>
      </c>
    </row>
    <row r="218">
      <c r="A218" s="8">
        <f t="shared" si="7"/>
        <v>217</v>
      </c>
      <c r="B218" s="8"/>
      <c r="C218" s="8"/>
      <c r="D218" s="8" t="s">
        <v>19</v>
      </c>
      <c r="E218" s="8" t="s">
        <v>2621</v>
      </c>
      <c r="F218" s="8" t="s">
        <v>1473</v>
      </c>
      <c r="G218" s="8" t="s">
        <v>2556</v>
      </c>
      <c r="H218" s="8">
        <v>0.0</v>
      </c>
      <c r="I218" s="8" t="s">
        <v>82</v>
      </c>
      <c r="J218" s="8" t="s">
        <v>22</v>
      </c>
      <c r="K218" s="8" t="s">
        <v>225</v>
      </c>
      <c r="L218" s="8" t="s">
        <v>24</v>
      </c>
      <c r="M218" s="9">
        <v>0.5</v>
      </c>
      <c r="N218" s="9">
        <v>1.0</v>
      </c>
      <c r="O218" s="9">
        <v>0.88</v>
      </c>
      <c r="P218" s="10">
        <v>45095.0</v>
      </c>
      <c r="Q218" s="11">
        <f>631.74/500</f>
        <v>1.26348</v>
      </c>
      <c r="R218" s="8" t="s">
        <v>33</v>
      </c>
      <c r="S218" s="12">
        <f t="shared" si="1"/>
        <v>0.2318624</v>
      </c>
      <c r="T218" s="12">
        <f t="shared" si="8"/>
        <v>3.709125733</v>
      </c>
      <c r="U218" s="145"/>
      <c r="V218" s="66">
        <v>45294.0</v>
      </c>
      <c r="W218" s="13">
        <f t="shared" si="2"/>
        <v>0</v>
      </c>
      <c r="X218" s="141" t="b">
        <f t="shared" si="3"/>
        <v>0</v>
      </c>
      <c r="Y218" s="141" t="b">
        <f t="shared" si="4"/>
        <v>0</v>
      </c>
      <c r="Z218" s="141" t="b">
        <f t="shared" si="5"/>
        <v>0</v>
      </c>
      <c r="AA218" s="141" t="b">
        <f t="shared" si="6"/>
        <v>0</v>
      </c>
    </row>
    <row r="219">
      <c r="A219" s="15">
        <f t="shared" si="7"/>
        <v>218</v>
      </c>
      <c r="B219" s="15"/>
      <c r="C219" s="15"/>
      <c r="D219" s="15" t="s">
        <v>40</v>
      </c>
      <c r="E219" s="15" t="s">
        <v>2622</v>
      </c>
      <c r="F219" s="15" t="s">
        <v>1473</v>
      </c>
      <c r="G219" s="15" t="s">
        <v>2556</v>
      </c>
      <c r="H219" s="15">
        <v>0.0</v>
      </c>
      <c r="I219" s="15" t="s">
        <v>82</v>
      </c>
      <c r="J219" s="15" t="s">
        <v>22</v>
      </c>
      <c r="K219" s="15" t="s">
        <v>225</v>
      </c>
      <c r="L219" s="15" t="s">
        <v>1851</v>
      </c>
      <c r="M219" s="16">
        <v>0.25</v>
      </c>
      <c r="N219" s="16">
        <v>1.0</v>
      </c>
      <c r="O219" s="16">
        <v>1.0</v>
      </c>
      <c r="P219" s="17">
        <v>45095.0</v>
      </c>
      <c r="Q219" s="18">
        <v>1.8</v>
      </c>
      <c r="R219" s="15" t="s">
        <v>70</v>
      </c>
      <c r="S219" s="19">
        <f t="shared" si="1"/>
        <v>0</v>
      </c>
      <c r="T219" s="19">
        <f t="shared" si="8"/>
        <v>3.709125733</v>
      </c>
      <c r="U219" s="144"/>
      <c r="V219" s="66">
        <v>45295.0</v>
      </c>
      <c r="W219" s="13">
        <f t="shared" si="2"/>
        <v>0</v>
      </c>
      <c r="X219" s="141" t="b">
        <f t="shared" si="3"/>
        <v>0</v>
      </c>
      <c r="Y219" s="141" t="b">
        <f t="shared" si="4"/>
        <v>0</v>
      </c>
      <c r="Z219" s="141" t="b">
        <f t="shared" si="5"/>
        <v>0</v>
      </c>
      <c r="AA219" s="141" t="b">
        <f t="shared" si="6"/>
        <v>0</v>
      </c>
    </row>
    <row r="220">
      <c r="A220" s="8">
        <f t="shared" si="7"/>
        <v>219</v>
      </c>
      <c r="B220" s="8"/>
      <c r="C220" s="8"/>
      <c r="D220" s="8" t="s">
        <v>19</v>
      </c>
      <c r="E220" s="8" t="s">
        <v>2623</v>
      </c>
      <c r="F220" s="8" t="s">
        <v>1473</v>
      </c>
      <c r="G220" s="8" t="s">
        <v>2556</v>
      </c>
      <c r="H220" s="8">
        <v>-1.0</v>
      </c>
      <c r="I220" s="8" t="s">
        <v>940</v>
      </c>
      <c r="J220" s="8" t="s">
        <v>22</v>
      </c>
      <c r="K220" s="8" t="s">
        <v>225</v>
      </c>
      <c r="L220" s="8" t="s">
        <v>1522</v>
      </c>
      <c r="M220" s="9">
        <v>0.5</v>
      </c>
      <c r="N220" s="9">
        <v>0.5</v>
      </c>
      <c r="O220" s="9">
        <v>0.081</v>
      </c>
      <c r="P220" s="10">
        <v>45095.0</v>
      </c>
      <c r="Q220" s="11">
        <v>1.825</v>
      </c>
      <c r="R220" s="8" t="s">
        <v>33</v>
      </c>
      <c r="S220" s="12">
        <f t="shared" si="1"/>
        <v>0.066825</v>
      </c>
      <c r="T220" s="12">
        <f t="shared" si="8"/>
        <v>3.775950733</v>
      </c>
      <c r="U220" s="145"/>
      <c r="V220" s="66">
        <v>45296.0</v>
      </c>
      <c r="W220" s="13">
        <f t="shared" si="2"/>
        <v>0</v>
      </c>
      <c r="X220" s="141" t="b">
        <f t="shared" si="3"/>
        <v>0</v>
      </c>
      <c r="Y220" s="141" t="b">
        <f t="shared" si="4"/>
        <v>0</v>
      </c>
      <c r="Z220" s="141" t="b">
        <f t="shared" si="5"/>
        <v>0</v>
      </c>
      <c r="AA220" s="141" t="b">
        <f t="shared" si="6"/>
        <v>0</v>
      </c>
    </row>
    <row r="221">
      <c r="A221" s="15">
        <f t="shared" si="7"/>
        <v>220</v>
      </c>
      <c r="B221" s="15"/>
      <c r="C221" s="15"/>
      <c r="D221" s="15" t="s">
        <v>40</v>
      </c>
      <c r="E221" s="15" t="s">
        <v>2624</v>
      </c>
      <c r="F221" s="15"/>
      <c r="G221" s="15"/>
      <c r="H221" s="15" t="s">
        <v>2618</v>
      </c>
      <c r="I221" s="15" t="s">
        <v>463</v>
      </c>
      <c r="J221" s="15" t="s">
        <v>22</v>
      </c>
      <c r="K221" s="15" t="s">
        <v>440</v>
      </c>
      <c r="L221" s="15" t="s">
        <v>39</v>
      </c>
      <c r="M221" s="16">
        <v>1.0</v>
      </c>
      <c r="N221" s="16">
        <v>0.5</v>
      </c>
      <c r="O221" s="16">
        <v>0.5</v>
      </c>
      <c r="P221" s="17">
        <v>45095.0</v>
      </c>
      <c r="Q221" s="18">
        <v>1.75</v>
      </c>
      <c r="R221" s="15" t="s">
        <v>33</v>
      </c>
      <c r="S221" s="19">
        <f t="shared" si="1"/>
        <v>0.375</v>
      </c>
      <c r="T221" s="19">
        <f t="shared" si="8"/>
        <v>4.150950733</v>
      </c>
      <c r="U221" s="144"/>
      <c r="V221" s="66">
        <v>45297.0</v>
      </c>
      <c r="W221" s="13">
        <f t="shared" si="2"/>
        <v>2.0275</v>
      </c>
      <c r="X221" s="141" t="b">
        <f t="shared" si="3"/>
        <v>0</v>
      </c>
      <c r="Y221" s="141" t="b">
        <f t="shared" si="4"/>
        <v>0</v>
      </c>
      <c r="Z221" s="141" t="str">
        <f t="shared" si="5"/>
        <v>Green-green</v>
      </c>
      <c r="AA221" s="141" t="b">
        <f t="shared" si="6"/>
        <v>0</v>
      </c>
    </row>
    <row r="222">
      <c r="A222" s="8">
        <f t="shared" si="7"/>
        <v>221</v>
      </c>
      <c r="B222" s="8"/>
      <c r="C222" s="8"/>
      <c r="D222" s="8" t="s">
        <v>40</v>
      </c>
      <c r="E222" s="8" t="s">
        <v>2625</v>
      </c>
      <c r="F222" s="8"/>
      <c r="G222" s="8"/>
      <c r="H222" s="8" t="s">
        <v>2618</v>
      </c>
      <c r="I222" s="8" t="s">
        <v>82</v>
      </c>
      <c r="J222" s="8" t="s">
        <v>22</v>
      </c>
      <c r="K222" s="8" t="s">
        <v>440</v>
      </c>
      <c r="L222" s="8" t="s">
        <v>39</v>
      </c>
      <c r="M222" s="9">
        <v>0.5</v>
      </c>
      <c r="N222" s="9">
        <v>0.5</v>
      </c>
      <c r="O222" s="9">
        <v>0.5</v>
      </c>
      <c r="P222" s="10">
        <v>45095.0</v>
      </c>
      <c r="Q222" s="11">
        <v>1.8</v>
      </c>
      <c r="R222" s="8" t="s">
        <v>33</v>
      </c>
      <c r="S222" s="12">
        <f t="shared" si="1"/>
        <v>0.4</v>
      </c>
      <c r="T222" s="12">
        <f t="shared" si="8"/>
        <v>4.550950733</v>
      </c>
      <c r="U222" s="145"/>
      <c r="V222" s="66">
        <v>45298.0</v>
      </c>
      <c r="W222" s="13">
        <f t="shared" si="2"/>
        <v>1.8432</v>
      </c>
      <c r="X222" s="141" t="b">
        <f t="shared" si="3"/>
        <v>0</v>
      </c>
      <c r="Y222" s="141" t="b">
        <f t="shared" si="4"/>
        <v>0</v>
      </c>
      <c r="Z222" s="141" t="b">
        <f t="shared" si="5"/>
        <v>0</v>
      </c>
      <c r="AA222" s="141" t="b">
        <f t="shared" si="6"/>
        <v>0</v>
      </c>
    </row>
    <row r="223">
      <c r="A223" s="15">
        <f t="shared" si="7"/>
        <v>222</v>
      </c>
      <c r="B223" s="15"/>
      <c r="C223" s="15"/>
      <c r="D223" s="15" t="s">
        <v>40</v>
      </c>
      <c r="E223" s="15" t="s">
        <v>2626</v>
      </c>
      <c r="F223" s="15" t="s">
        <v>1473</v>
      </c>
      <c r="G223" s="15" t="s">
        <v>2556</v>
      </c>
      <c r="H223" s="15">
        <f>1</f>
        <v>1</v>
      </c>
      <c r="I223" s="15" t="s">
        <v>117</v>
      </c>
      <c r="J223" s="15" t="s">
        <v>22</v>
      </c>
      <c r="K223" s="15" t="s">
        <v>225</v>
      </c>
      <c r="L223" s="15" t="s">
        <v>24</v>
      </c>
      <c r="M223" s="16">
        <v>0.25</v>
      </c>
      <c r="N223" s="16">
        <v>0.5</v>
      </c>
      <c r="O223" s="16">
        <v>0.27</v>
      </c>
      <c r="P223" s="17">
        <v>45095.0</v>
      </c>
      <c r="Q223" s="18">
        <v>1.725</v>
      </c>
      <c r="R223" s="15" t="s">
        <v>25</v>
      </c>
      <c r="S223" s="19">
        <f t="shared" si="1"/>
        <v>-0.27</v>
      </c>
      <c r="T223" s="19">
        <f t="shared" si="8"/>
        <v>4.280950733</v>
      </c>
      <c r="U223" s="144"/>
      <c r="V223" s="66">
        <v>45299.0</v>
      </c>
      <c r="W223" s="13">
        <f t="shared" si="2"/>
        <v>0</v>
      </c>
      <c r="X223" s="141" t="b">
        <f t="shared" si="3"/>
        <v>0</v>
      </c>
      <c r="Y223" s="141" t="b">
        <f t="shared" si="4"/>
        <v>0</v>
      </c>
      <c r="Z223" s="141" t="b">
        <f t="shared" si="5"/>
        <v>0</v>
      </c>
      <c r="AA223" s="141" t="b">
        <f t="shared" si="6"/>
        <v>0</v>
      </c>
    </row>
    <row r="224">
      <c r="A224" s="8">
        <f t="shared" si="7"/>
        <v>223</v>
      </c>
      <c r="B224" s="8"/>
      <c r="C224" s="8"/>
      <c r="D224" s="8" t="s">
        <v>19</v>
      </c>
      <c r="E224" s="8" t="s">
        <v>2627</v>
      </c>
      <c r="F224" s="8" t="s">
        <v>1479</v>
      </c>
      <c r="G224" s="8" t="s">
        <v>2556</v>
      </c>
      <c r="H224" s="8">
        <v>0.0</v>
      </c>
      <c r="I224" s="8" t="s">
        <v>2456</v>
      </c>
      <c r="J224" s="8" t="s">
        <v>22</v>
      </c>
      <c r="K224" s="8" t="s">
        <v>225</v>
      </c>
      <c r="L224" s="8" t="s">
        <v>39</v>
      </c>
      <c r="M224" s="9">
        <v>0.5</v>
      </c>
      <c r="N224" s="9">
        <v>0.5</v>
      </c>
      <c r="O224" s="9">
        <v>0.5</v>
      </c>
      <c r="P224" s="10">
        <v>45095.0</v>
      </c>
      <c r="Q224" s="11">
        <v>1.775</v>
      </c>
      <c r="R224" s="8" t="s">
        <v>25</v>
      </c>
      <c r="S224" s="12">
        <f t="shared" si="1"/>
        <v>-0.5</v>
      </c>
      <c r="T224" s="12">
        <f t="shared" si="8"/>
        <v>3.780950733</v>
      </c>
      <c r="U224" s="145"/>
      <c r="V224" s="66">
        <v>45300.0</v>
      </c>
      <c r="W224" s="13">
        <f t="shared" si="2"/>
        <v>0</v>
      </c>
      <c r="X224" s="141" t="b">
        <f t="shared" si="3"/>
        <v>0</v>
      </c>
      <c r="Y224" s="141" t="b">
        <f t="shared" si="4"/>
        <v>0</v>
      </c>
      <c r="Z224" s="141" t="b">
        <f t="shared" si="5"/>
        <v>0</v>
      </c>
      <c r="AA224" s="141" t="b">
        <f t="shared" si="6"/>
        <v>0</v>
      </c>
    </row>
    <row r="225">
      <c r="A225" s="15">
        <f t="shared" si="7"/>
        <v>224</v>
      </c>
      <c r="B225" s="15"/>
      <c r="C225" s="15"/>
      <c r="D225" s="15" t="s">
        <v>40</v>
      </c>
      <c r="E225" s="15" t="s">
        <v>2628</v>
      </c>
      <c r="F225" s="15" t="s">
        <v>1479</v>
      </c>
      <c r="G225" s="15" t="s">
        <v>2573</v>
      </c>
      <c r="H225" s="15">
        <v>5</v>
      </c>
      <c r="I225" s="15" t="s">
        <v>117</v>
      </c>
      <c r="J225" s="15" t="s">
        <v>22</v>
      </c>
      <c r="K225" s="15" t="s">
        <v>894</v>
      </c>
      <c r="L225" s="15" t="s">
        <v>24</v>
      </c>
      <c r="M225" s="16">
        <v>-0.25</v>
      </c>
      <c r="N225" s="16">
        <v>0.5</v>
      </c>
      <c r="O225" s="16">
        <v>0.5</v>
      </c>
      <c r="P225" s="17">
        <v>45095.0</v>
      </c>
      <c r="Q225" s="18">
        <v>2.15</v>
      </c>
      <c r="R225" s="15" t="s">
        <v>33</v>
      </c>
      <c r="S225" s="19">
        <f t="shared" si="1"/>
        <v>0.575</v>
      </c>
      <c r="T225" s="19">
        <f t="shared" si="8"/>
        <v>4.355950733</v>
      </c>
      <c r="U225" s="144"/>
      <c r="V225" s="66">
        <v>45301.0</v>
      </c>
      <c r="W225" s="13">
        <f t="shared" si="2"/>
        <v>1.48</v>
      </c>
      <c r="X225" s="141" t="b">
        <f t="shared" si="3"/>
        <v>0</v>
      </c>
      <c r="Y225" s="141" t="str">
        <f t="shared" si="4"/>
        <v>Green-red</v>
      </c>
      <c r="Z225" s="141" t="b">
        <f t="shared" si="5"/>
        <v>0</v>
      </c>
      <c r="AA225" s="141" t="str">
        <f t="shared" si="6"/>
        <v>Red-green</v>
      </c>
    </row>
    <row r="226">
      <c r="A226" s="8">
        <f t="shared" si="7"/>
        <v>225</v>
      </c>
      <c r="B226" s="8"/>
      <c r="C226" s="8"/>
      <c r="D226" s="8"/>
      <c r="E226" s="8" t="s">
        <v>2629</v>
      </c>
      <c r="F226" s="8"/>
      <c r="G226" s="8"/>
      <c r="H226" s="8" t="s">
        <v>2613</v>
      </c>
      <c r="I226" s="8" t="s">
        <v>1272</v>
      </c>
      <c r="J226" s="8" t="s">
        <v>22</v>
      </c>
      <c r="K226" s="8" t="s">
        <v>1272</v>
      </c>
      <c r="L226" s="8" t="s">
        <v>39</v>
      </c>
      <c r="M226" s="9"/>
      <c r="N226" s="9">
        <v>0.25</v>
      </c>
      <c r="O226" s="9">
        <f>0.25*0.14</f>
        <v>0.035</v>
      </c>
      <c r="P226" s="10">
        <v>45095.0</v>
      </c>
      <c r="Q226" s="11">
        <f>1.975*2.15</f>
        <v>4.24625</v>
      </c>
      <c r="R226" s="8" t="s">
        <v>33</v>
      </c>
      <c r="S226" s="12">
        <f t="shared" si="1"/>
        <v>0.11361875</v>
      </c>
      <c r="T226" s="12">
        <f t="shared" si="8"/>
        <v>4.469569483</v>
      </c>
      <c r="U226" s="145"/>
      <c r="V226" s="66">
        <v>45302.0</v>
      </c>
      <c r="W226" s="13">
        <f t="shared" si="2"/>
        <v>-0.575</v>
      </c>
      <c r="X226" s="141" t="b">
        <f t="shared" si="3"/>
        <v>0</v>
      </c>
      <c r="Y226" s="141" t="b">
        <f t="shared" si="4"/>
        <v>0</v>
      </c>
      <c r="Z226" s="141" t="b">
        <f t="shared" si="5"/>
        <v>0</v>
      </c>
      <c r="AA226" s="141" t="b">
        <f t="shared" si="6"/>
        <v>0</v>
      </c>
    </row>
    <row r="227">
      <c r="A227" s="15">
        <f t="shared" si="7"/>
        <v>226</v>
      </c>
      <c r="B227" s="15"/>
      <c r="C227" s="15"/>
      <c r="D227" s="15" t="s">
        <v>40</v>
      </c>
      <c r="E227" s="15" t="s">
        <v>2630</v>
      </c>
      <c r="F227" s="15"/>
      <c r="G227" s="15"/>
      <c r="H227" s="15" t="s">
        <v>2618</v>
      </c>
      <c r="I227" s="15" t="s">
        <v>86</v>
      </c>
      <c r="J227" s="15" t="s">
        <v>22</v>
      </c>
      <c r="K227" s="15" t="s">
        <v>440</v>
      </c>
      <c r="L227" s="15" t="s">
        <v>24</v>
      </c>
      <c r="M227" s="16">
        <v>4.5</v>
      </c>
      <c r="N227" s="16">
        <v>0.25</v>
      </c>
      <c r="O227" s="16">
        <v>0.25</v>
      </c>
      <c r="P227" s="17">
        <v>45095.0</v>
      </c>
      <c r="Q227" s="18">
        <v>1.8</v>
      </c>
      <c r="R227" s="15" t="s">
        <v>25</v>
      </c>
      <c r="S227" s="19">
        <f t="shared" si="1"/>
        <v>-0.25</v>
      </c>
      <c r="T227" s="19">
        <f t="shared" si="8"/>
        <v>4.219569483</v>
      </c>
      <c r="U227" s="144"/>
      <c r="V227" s="66">
        <v>45303.0</v>
      </c>
      <c r="W227" s="13">
        <f t="shared" si="2"/>
        <v>1.3225</v>
      </c>
      <c r="X227" s="141" t="b">
        <f t="shared" si="3"/>
        <v>0</v>
      </c>
      <c r="Y227" s="141" t="b">
        <f t="shared" si="4"/>
        <v>0</v>
      </c>
      <c r="Z227" s="141" t="str">
        <f t="shared" si="5"/>
        <v>Green-green</v>
      </c>
      <c r="AA227" s="141" t="b">
        <f t="shared" si="6"/>
        <v>0</v>
      </c>
    </row>
    <row r="228">
      <c r="A228" s="8">
        <f t="shared" si="7"/>
        <v>227</v>
      </c>
      <c r="B228" s="8"/>
      <c r="C228" s="8"/>
      <c r="D228" s="8" t="s">
        <v>19</v>
      </c>
      <c r="E228" s="8" t="s">
        <v>2631</v>
      </c>
      <c r="F228" s="8" t="s">
        <v>1473</v>
      </c>
      <c r="G228" s="8" t="s">
        <v>2556</v>
      </c>
      <c r="H228" s="8">
        <f>1</f>
        <v>1</v>
      </c>
      <c r="I228" s="8" t="s">
        <v>372</v>
      </c>
      <c r="J228" s="8" t="s">
        <v>22</v>
      </c>
      <c r="K228" s="8" t="s">
        <v>892</v>
      </c>
      <c r="L228" s="8" t="s">
        <v>1851</v>
      </c>
      <c r="M228" s="9">
        <v>0.0</v>
      </c>
      <c r="N228" s="9">
        <v>1.0</v>
      </c>
      <c r="O228" s="9">
        <v>1.0</v>
      </c>
      <c r="P228" s="10">
        <v>45095.0</v>
      </c>
      <c r="Q228" s="11">
        <v>2.1</v>
      </c>
      <c r="R228" s="8" t="s">
        <v>70</v>
      </c>
      <c r="S228" s="12">
        <f t="shared" si="1"/>
        <v>0</v>
      </c>
      <c r="T228" s="12">
        <f t="shared" si="8"/>
        <v>4.219569483</v>
      </c>
      <c r="U228" s="145"/>
      <c r="V228" s="66">
        <v>45304.0</v>
      </c>
      <c r="W228" s="13">
        <f t="shared" si="2"/>
        <v>2.1335</v>
      </c>
      <c r="X228" s="141" t="b">
        <f t="shared" si="3"/>
        <v>0</v>
      </c>
      <c r="Y228" s="141" t="str">
        <f t="shared" si="4"/>
        <v>Green-red</v>
      </c>
      <c r="Z228" s="141" t="b">
        <f t="shared" si="5"/>
        <v>0</v>
      </c>
      <c r="AA228" s="141" t="str">
        <f t="shared" si="6"/>
        <v>Red-green</v>
      </c>
    </row>
    <row r="229">
      <c r="A229" s="15">
        <f t="shared" si="7"/>
        <v>228</v>
      </c>
      <c r="B229" s="15"/>
      <c r="C229" s="15"/>
      <c r="D229" s="15" t="s">
        <v>19</v>
      </c>
      <c r="E229" s="15" t="s">
        <v>2632</v>
      </c>
      <c r="F229" s="15" t="s">
        <v>1473</v>
      </c>
      <c r="G229" s="15" t="s">
        <v>2556</v>
      </c>
      <c r="H229" s="15">
        <v>-1.0</v>
      </c>
      <c r="I229" s="15" t="s">
        <v>82</v>
      </c>
      <c r="J229" s="15" t="s">
        <v>22</v>
      </c>
      <c r="K229" s="15" t="s">
        <v>225</v>
      </c>
      <c r="L229" s="15" t="s">
        <v>1522</v>
      </c>
      <c r="M229" s="16">
        <v>0.75</v>
      </c>
      <c r="N229" s="16">
        <v>1.0</v>
      </c>
      <c r="O229" s="16">
        <v>0.44</v>
      </c>
      <c r="P229" s="17">
        <v>45095.0</v>
      </c>
      <c r="Q229" s="18">
        <v>1.8</v>
      </c>
      <c r="R229" s="15" t="s">
        <v>79</v>
      </c>
      <c r="S229" s="19">
        <f t="shared" si="1"/>
        <v>-0.22</v>
      </c>
      <c r="T229" s="19">
        <f t="shared" si="8"/>
        <v>3.999569483</v>
      </c>
      <c r="U229" s="144"/>
      <c r="V229" s="66">
        <v>45305.0</v>
      </c>
      <c r="W229" s="13">
        <f t="shared" si="2"/>
        <v>-0.9511</v>
      </c>
      <c r="X229" s="141" t="str">
        <f t="shared" si="3"/>
        <v>Red-red</v>
      </c>
      <c r="Y229" s="141" t="b">
        <f t="shared" si="4"/>
        <v>0</v>
      </c>
      <c r="Z229" s="141" t="b">
        <f t="shared" si="5"/>
        <v>0</v>
      </c>
      <c r="AA229" s="141" t="b">
        <f t="shared" si="6"/>
        <v>0</v>
      </c>
    </row>
    <row r="230">
      <c r="A230" s="8">
        <f t="shared" si="7"/>
        <v>229</v>
      </c>
      <c r="B230" s="8"/>
      <c r="C230" s="8"/>
      <c r="D230" s="8" t="s">
        <v>19</v>
      </c>
      <c r="E230" s="8" t="s">
        <v>2633</v>
      </c>
      <c r="F230" s="8" t="s">
        <v>1473</v>
      </c>
      <c r="G230" s="8" t="s">
        <v>2556</v>
      </c>
      <c r="H230" s="8">
        <v>-1.0</v>
      </c>
      <c r="I230" s="8" t="s">
        <v>68</v>
      </c>
      <c r="J230" s="8" t="s">
        <v>22</v>
      </c>
      <c r="K230" s="8" t="s">
        <v>2634</v>
      </c>
      <c r="L230" s="8" t="s">
        <v>24</v>
      </c>
      <c r="M230" s="9"/>
      <c r="N230" s="9">
        <v>0.5</v>
      </c>
      <c r="O230" s="9">
        <v>0.5</v>
      </c>
      <c r="P230" s="10">
        <v>45095.0</v>
      </c>
      <c r="Q230" s="11">
        <v>2.62</v>
      </c>
      <c r="R230" s="8" t="s">
        <v>25</v>
      </c>
      <c r="S230" s="12">
        <f t="shared" si="1"/>
        <v>-0.5</v>
      </c>
      <c r="T230" s="12">
        <f t="shared" si="8"/>
        <v>3.499569483</v>
      </c>
      <c r="U230" s="145"/>
      <c r="V230" s="66">
        <v>45306.0</v>
      </c>
      <c r="W230" s="13">
        <f t="shared" si="2"/>
        <v>-0.35</v>
      </c>
      <c r="X230" s="141" t="b">
        <f t="shared" si="3"/>
        <v>0</v>
      </c>
      <c r="Y230" s="141" t="b">
        <f t="shared" si="4"/>
        <v>0</v>
      </c>
      <c r="Z230" s="141" t="b">
        <f t="shared" si="5"/>
        <v>0</v>
      </c>
      <c r="AA230" s="141" t="b">
        <f t="shared" si="6"/>
        <v>0</v>
      </c>
    </row>
    <row r="231">
      <c r="A231" s="15">
        <f t="shared" si="7"/>
        <v>230</v>
      </c>
      <c r="B231" s="15"/>
      <c r="C231" s="15"/>
      <c r="D231" s="15" t="s">
        <v>19</v>
      </c>
      <c r="E231" s="15" t="s">
        <v>2635</v>
      </c>
      <c r="F231" s="15" t="s">
        <v>1473</v>
      </c>
      <c r="G231" s="15" t="s">
        <v>2556</v>
      </c>
      <c r="H231" s="15">
        <v>0.0</v>
      </c>
      <c r="I231" s="15" t="s">
        <v>82</v>
      </c>
      <c r="J231" s="15" t="s">
        <v>22</v>
      </c>
      <c r="K231" s="15" t="s">
        <v>225</v>
      </c>
      <c r="L231" s="15" t="s">
        <v>39</v>
      </c>
      <c r="M231" s="16">
        <v>0.25</v>
      </c>
      <c r="N231" s="16">
        <v>1.0</v>
      </c>
      <c r="O231" s="16">
        <v>1.0</v>
      </c>
      <c r="P231" s="17">
        <v>45095.0</v>
      </c>
      <c r="Q231" s="18">
        <v>1.925</v>
      </c>
      <c r="R231" s="15" t="s">
        <v>25</v>
      </c>
      <c r="S231" s="19">
        <f t="shared" si="1"/>
        <v>-1</v>
      </c>
      <c r="T231" s="19">
        <f t="shared" si="8"/>
        <v>2.499569483</v>
      </c>
      <c r="U231" s="144"/>
      <c r="V231" s="66">
        <v>45307.0</v>
      </c>
      <c r="W231" s="13">
        <f t="shared" si="2"/>
        <v>0.1147</v>
      </c>
      <c r="X231" s="141" t="b">
        <f t="shared" si="3"/>
        <v>0</v>
      </c>
      <c r="Y231" s="141" t="b">
        <f t="shared" si="4"/>
        <v>0</v>
      </c>
      <c r="Z231" s="141" t="str">
        <f t="shared" si="5"/>
        <v>Green-green</v>
      </c>
      <c r="AA231" s="141" t="b">
        <f t="shared" si="6"/>
        <v>0</v>
      </c>
    </row>
    <row r="232">
      <c r="A232" s="8">
        <f t="shared" si="7"/>
        <v>231</v>
      </c>
      <c r="B232" s="8"/>
      <c r="C232" s="8"/>
      <c r="D232" s="8" t="s">
        <v>19</v>
      </c>
      <c r="E232" s="8" t="s">
        <v>2636</v>
      </c>
      <c r="F232" s="8" t="s">
        <v>1473</v>
      </c>
      <c r="G232" s="8" t="s">
        <v>2556</v>
      </c>
      <c r="H232" s="8">
        <v>0.0</v>
      </c>
      <c r="I232" s="8" t="s">
        <v>372</v>
      </c>
      <c r="J232" s="8" t="s">
        <v>22</v>
      </c>
      <c r="K232" s="8" t="s">
        <v>892</v>
      </c>
      <c r="L232" s="8" t="s">
        <v>24</v>
      </c>
      <c r="M232" s="9">
        <v>0.0</v>
      </c>
      <c r="N232" s="9">
        <v>1.0</v>
      </c>
      <c r="O232" s="9">
        <v>1.0</v>
      </c>
      <c r="P232" s="10">
        <v>45095.0</v>
      </c>
      <c r="Q232" s="11">
        <v>2.15</v>
      </c>
      <c r="R232" s="8" t="s">
        <v>70</v>
      </c>
      <c r="S232" s="12">
        <f t="shared" si="1"/>
        <v>0</v>
      </c>
      <c r="T232" s="12">
        <f t="shared" si="8"/>
        <v>2.499569483</v>
      </c>
      <c r="U232" s="145"/>
      <c r="V232" s="66">
        <v>45308.0</v>
      </c>
      <c r="W232" s="13">
        <f t="shared" si="2"/>
        <v>0.2725</v>
      </c>
      <c r="X232" s="141" t="b">
        <f t="shared" si="3"/>
        <v>0</v>
      </c>
      <c r="Y232" s="141" t="str">
        <f t="shared" si="4"/>
        <v>Green-red</v>
      </c>
      <c r="Z232" s="141" t="b">
        <f t="shared" si="5"/>
        <v>0</v>
      </c>
      <c r="AA232" s="141" t="str">
        <f t="shared" si="6"/>
        <v>Red-green</v>
      </c>
    </row>
    <row r="233">
      <c r="A233" s="15">
        <f t="shared" si="7"/>
        <v>232</v>
      </c>
      <c r="B233" s="15"/>
      <c r="C233" s="15"/>
      <c r="D233" s="15" t="s">
        <v>19</v>
      </c>
      <c r="E233" s="15" t="s">
        <v>2637</v>
      </c>
      <c r="F233" s="15" t="s">
        <v>1479</v>
      </c>
      <c r="G233" s="15" t="s">
        <v>2556</v>
      </c>
      <c r="H233" s="15">
        <v>0.0</v>
      </c>
      <c r="I233" s="15" t="s">
        <v>635</v>
      </c>
      <c r="J233" s="15" t="s">
        <v>22</v>
      </c>
      <c r="K233" s="15" t="s">
        <v>225</v>
      </c>
      <c r="L233" s="15" t="s">
        <v>24</v>
      </c>
      <c r="M233" s="16">
        <v>0.5</v>
      </c>
      <c r="N233" s="16">
        <v>1.0</v>
      </c>
      <c r="O233" s="16">
        <v>0.61</v>
      </c>
      <c r="P233" s="17">
        <v>45095.0</v>
      </c>
      <c r="Q233" s="18">
        <v>1.9</v>
      </c>
      <c r="R233" s="15" t="s">
        <v>25</v>
      </c>
      <c r="S233" s="19">
        <f t="shared" si="1"/>
        <v>-0.61</v>
      </c>
      <c r="T233" s="19">
        <f t="shared" si="8"/>
        <v>1.889569483</v>
      </c>
      <c r="U233" s="144"/>
      <c r="V233" s="66">
        <v>45309.0</v>
      </c>
      <c r="W233" s="13">
        <f t="shared" si="2"/>
        <v>-0.115</v>
      </c>
      <c r="X233" s="141" t="str">
        <f t="shared" si="3"/>
        <v>Red-red</v>
      </c>
      <c r="Y233" s="141" t="b">
        <f t="shared" si="4"/>
        <v>0</v>
      </c>
      <c r="Z233" s="141" t="b">
        <f t="shared" si="5"/>
        <v>0</v>
      </c>
      <c r="AA233" s="141" t="b">
        <f t="shared" si="6"/>
        <v>0</v>
      </c>
    </row>
    <row r="234">
      <c r="A234" s="8">
        <f t="shared" si="7"/>
        <v>233</v>
      </c>
      <c r="B234" s="8"/>
      <c r="C234" s="8"/>
      <c r="D234" s="8" t="s">
        <v>19</v>
      </c>
      <c r="E234" s="8" t="s">
        <v>2638</v>
      </c>
      <c r="F234" s="8" t="s">
        <v>1479</v>
      </c>
      <c r="G234" s="8" t="s">
        <v>2556</v>
      </c>
      <c r="H234" s="8">
        <v>3</v>
      </c>
      <c r="I234" s="8" t="s">
        <v>2456</v>
      </c>
      <c r="J234" s="8" t="s">
        <v>22</v>
      </c>
      <c r="K234" s="8" t="s">
        <v>225</v>
      </c>
      <c r="L234" s="8" t="s">
        <v>24</v>
      </c>
      <c r="M234" s="9">
        <v>0.25</v>
      </c>
      <c r="N234" s="9">
        <v>0.5</v>
      </c>
      <c r="O234" s="9">
        <v>0.5</v>
      </c>
      <c r="P234" s="10">
        <v>45097.0</v>
      </c>
      <c r="Q234" s="11">
        <v>1.775</v>
      </c>
      <c r="R234" s="8" t="s">
        <v>25</v>
      </c>
      <c r="S234" s="12">
        <f t="shared" si="1"/>
        <v>-0.5</v>
      </c>
      <c r="T234" s="12">
        <f t="shared" si="8"/>
        <v>1.389569483</v>
      </c>
      <c r="U234" s="145"/>
      <c r="V234" s="66">
        <v>45310.0</v>
      </c>
      <c r="W234" s="13">
        <f t="shared" si="2"/>
        <v>-0.85</v>
      </c>
      <c r="X234" s="141" t="b">
        <f t="shared" si="3"/>
        <v>0</v>
      </c>
      <c r="Y234" s="141" t="b">
        <f t="shared" si="4"/>
        <v>0</v>
      </c>
      <c r="Z234" s="141" t="b">
        <f t="shared" si="5"/>
        <v>0</v>
      </c>
      <c r="AA234" s="141" t="b">
        <f t="shared" si="6"/>
        <v>0</v>
      </c>
    </row>
    <row r="235">
      <c r="A235" s="15">
        <f t="shared" si="7"/>
        <v>234</v>
      </c>
      <c r="B235" s="15"/>
      <c r="C235" s="15"/>
      <c r="D235" s="15" t="s">
        <v>19</v>
      </c>
      <c r="E235" s="15" t="s">
        <v>2639</v>
      </c>
      <c r="F235" s="15"/>
      <c r="G235" s="15"/>
      <c r="H235" s="15" t="s">
        <v>2640</v>
      </c>
      <c r="I235" s="15" t="s">
        <v>82</v>
      </c>
      <c r="J235" s="15" t="s">
        <v>22</v>
      </c>
      <c r="K235" s="15" t="s">
        <v>440</v>
      </c>
      <c r="L235" s="15" t="s">
        <v>24</v>
      </c>
      <c r="M235" s="16">
        <v>1.0</v>
      </c>
      <c r="N235" s="16">
        <v>0.5</v>
      </c>
      <c r="O235" s="16">
        <v>0.5</v>
      </c>
      <c r="P235" s="17">
        <v>45097.0</v>
      </c>
      <c r="Q235" s="18">
        <v>1.85</v>
      </c>
      <c r="R235" s="15" t="s">
        <v>70</v>
      </c>
      <c r="S235" s="19">
        <f t="shared" si="1"/>
        <v>0</v>
      </c>
      <c r="T235" s="19">
        <f t="shared" si="8"/>
        <v>1.389569483</v>
      </c>
      <c r="U235" s="144"/>
      <c r="V235" s="66">
        <v>45311.0</v>
      </c>
      <c r="W235" s="13">
        <f t="shared" si="2"/>
        <v>0.33</v>
      </c>
      <c r="X235" s="141" t="b">
        <f t="shared" si="3"/>
        <v>0</v>
      </c>
      <c r="Y235" s="141" t="str">
        <f t="shared" si="4"/>
        <v>Green-red</v>
      </c>
      <c r="Z235" s="141" t="b">
        <f t="shared" si="5"/>
        <v>0</v>
      </c>
      <c r="AA235" s="141" t="str">
        <f t="shared" si="6"/>
        <v>Red-green</v>
      </c>
    </row>
    <row r="236">
      <c r="A236" s="8">
        <f t="shared" si="7"/>
        <v>235</v>
      </c>
      <c r="B236" s="8"/>
      <c r="C236" s="8"/>
      <c r="D236" s="8" t="s">
        <v>19</v>
      </c>
      <c r="E236" s="8" t="s">
        <v>2641</v>
      </c>
      <c r="F236" s="8"/>
      <c r="G236" s="8"/>
      <c r="H236" s="8" t="s">
        <v>2613</v>
      </c>
      <c r="I236" s="8" t="s">
        <v>794</v>
      </c>
      <c r="J236" s="8" t="s">
        <v>598</v>
      </c>
      <c r="K236" s="8" t="s">
        <v>2415</v>
      </c>
      <c r="L236" s="8" t="s">
        <v>39</v>
      </c>
      <c r="M236" s="9">
        <v>3.0</v>
      </c>
      <c r="N236" s="9">
        <v>0.5</v>
      </c>
      <c r="O236" s="9">
        <v>0.5</v>
      </c>
      <c r="P236" s="10">
        <v>45097.0</v>
      </c>
      <c r="Q236" s="11">
        <v>1.8</v>
      </c>
      <c r="R236" s="8" t="s">
        <v>33</v>
      </c>
      <c r="S236" s="12">
        <f t="shared" si="1"/>
        <v>0.4</v>
      </c>
      <c r="T236" s="12">
        <f t="shared" si="8"/>
        <v>1.789569483</v>
      </c>
      <c r="U236" s="145"/>
      <c r="V236" s="66">
        <v>45312.0</v>
      </c>
      <c r="W236" s="13">
        <f t="shared" si="2"/>
        <v>-1.6735</v>
      </c>
      <c r="X236" s="141" t="b">
        <f t="shared" si="3"/>
        <v>0</v>
      </c>
      <c r="Y236" s="141" t="b">
        <f t="shared" si="4"/>
        <v>0</v>
      </c>
      <c r="Z236" s="141" t="b">
        <f t="shared" si="5"/>
        <v>0</v>
      </c>
      <c r="AA236" s="141" t="b">
        <f t="shared" si="6"/>
        <v>0</v>
      </c>
    </row>
    <row r="237">
      <c r="A237" s="15">
        <f t="shared" si="7"/>
        <v>236</v>
      </c>
      <c r="B237" s="15"/>
      <c r="C237" s="15"/>
      <c r="D237" s="15" t="s">
        <v>19</v>
      </c>
      <c r="E237" s="15" t="s">
        <v>2642</v>
      </c>
      <c r="F237" s="15"/>
      <c r="G237" s="15"/>
      <c r="H237" s="15" t="s">
        <v>2613</v>
      </c>
      <c r="I237" s="15" t="s">
        <v>794</v>
      </c>
      <c r="J237" s="15" t="s">
        <v>598</v>
      </c>
      <c r="K237" s="15" t="s">
        <v>894</v>
      </c>
      <c r="L237" s="15" t="s">
        <v>1851</v>
      </c>
      <c r="M237" s="16">
        <v>-0.75</v>
      </c>
      <c r="N237" s="16">
        <v>0.5</v>
      </c>
      <c r="O237" s="16">
        <v>0.5</v>
      </c>
      <c r="P237" s="17">
        <v>45097.0</v>
      </c>
      <c r="Q237" s="18">
        <v>1.7</v>
      </c>
      <c r="R237" s="15" t="s">
        <v>25</v>
      </c>
      <c r="S237" s="19">
        <f t="shared" si="1"/>
        <v>-0.5</v>
      </c>
      <c r="T237" s="19">
        <f t="shared" si="8"/>
        <v>1.289569483</v>
      </c>
      <c r="U237" s="144"/>
      <c r="V237" s="66">
        <v>45313.0</v>
      </c>
      <c r="W237" s="13">
        <f t="shared" si="2"/>
        <v>0</v>
      </c>
      <c r="X237" s="141" t="b">
        <f t="shared" si="3"/>
        <v>0</v>
      </c>
      <c r="Y237" s="141" t="b">
        <f t="shared" si="4"/>
        <v>0</v>
      </c>
      <c r="Z237" s="141" t="b">
        <f t="shared" si="5"/>
        <v>0</v>
      </c>
      <c r="AA237" s="141" t="b">
        <f t="shared" si="6"/>
        <v>0</v>
      </c>
    </row>
    <row r="238">
      <c r="A238" s="8">
        <f t="shared" si="7"/>
        <v>237</v>
      </c>
      <c r="B238" s="8"/>
      <c r="C238" s="8"/>
      <c r="D238" s="8" t="s">
        <v>19</v>
      </c>
      <c r="E238" s="8" t="s">
        <v>2643</v>
      </c>
      <c r="F238" s="8"/>
      <c r="G238" s="8"/>
      <c r="H238" s="8" t="s">
        <v>2613</v>
      </c>
      <c r="I238" s="8" t="s">
        <v>182</v>
      </c>
      <c r="J238" s="8" t="s">
        <v>598</v>
      </c>
      <c r="K238" s="8" t="s">
        <v>2415</v>
      </c>
      <c r="L238" s="8" t="s">
        <v>1522</v>
      </c>
      <c r="M238" s="9">
        <v>8.5</v>
      </c>
      <c r="N238" s="9">
        <v>0.5</v>
      </c>
      <c r="O238" s="9">
        <v>0.5</v>
      </c>
      <c r="P238" s="10">
        <v>45097.0</v>
      </c>
      <c r="Q238" s="11">
        <v>1.825</v>
      </c>
      <c r="R238" s="8" t="s">
        <v>33</v>
      </c>
      <c r="S238" s="12">
        <f t="shared" si="1"/>
        <v>0.4125</v>
      </c>
      <c r="T238" s="12">
        <f t="shared" si="8"/>
        <v>1.702069483</v>
      </c>
      <c r="U238" s="145"/>
      <c r="V238" s="66">
        <v>45314.0</v>
      </c>
      <c r="W238" s="13">
        <f t="shared" si="2"/>
        <v>0.695</v>
      </c>
      <c r="X238" s="141" t="b">
        <f t="shared" si="3"/>
        <v>0</v>
      </c>
      <c r="Y238" s="141" t="str">
        <f t="shared" si="4"/>
        <v>Green-red</v>
      </c>
      <c r="Z238" s="141" t="b">
        <f t="shared" si="5"/>
        <v>0</v>
      </c>
      <c r="AA238" s="141" t="str">
        <f t="shared" si="6"/>
        <v>Red-green</v>
      </c>
    </row>
    <row r="239">
      <c r="A239" s="15">
        <f t="shared" si="7"/>
        <v>238</v>
      </c>
      <c r="B239" s="15"/>
      <c r="C239" s="15"/>
      <c r="D239" s="15" t="s">
        <v>19</v>
      </c>
      <c r="E239" s="15" t="s">
        <v>2644</v>
      </c>
      <c r="F239" s="15"/>
      <c r="G239" s="15"/>
      <c r="H239" s="15" t="s">
        <v>2613</v>
      </c>
      <c r="I239" s="15" t="s">
        <v>794</v>
      </c>
      <c r="J239" s="15" t="s">
        <v>598</v>
      </c>
      <c r="K239" s="15" t="s">
        <v>23</v>
      </c>
      <c r="L239" s="15" t="s">
        <v>1522</v>
      </c>
      <c r="M239" s="16">
        <v>-4.0</v>
      </c>
      <c r="N239" s="16">
        <v>0.5</v>
      </c>
      <c r="O239" s="16">
        <v>0.5</v>
      </c>
      <c r="P239" s="17">
        <v>45097.0</v>
      </c>
      <c r="Q239" s="18">
        <v>1.95</v>
      </c>
      <c r="R239" s="15" t="s">
        <v>33</v>
      </c>
      <c r="S239" s="19">
        <f t="shared" si="1"/>
        <v>0.475</v>
      </c>
      <c r="T239" s="19">
        <f t="shared" si="8"/>
        <v>2.177069483</v>
      </c>
      <c r="U239" s="144"/>
      <c r="V239" s="66">
        <v>45315.0</v>
      </c>
      <c r="W239" s="13">
        <f t="shared" si="2"/>
        <v>-1.089</v>
      </c>
      <c r="X239" s="141" t="str">
        <f t="shared" si="3"/>
        <v>Red-red</v>
      </c>
      <c r="Y239" s="141" t="b">
        <f t="shared" si="4"/>
        <v>0</v>
      </c>
      <c r="Z239" s="141" t="b">
        <f t="shared" si="5"/>
        <v>0</v>
      </c>
      <c r="AA239" s="141" t="b">
        <f t="shared" si="6"/>
        <v>0</v>
      </c>
    </row>
    <row r="240">
      <c r="A240" s="8">
        <f t="shared" si="7"/>
        <v>239</v>
      </c>
      <c r="B240" s="8"/>
      <c r="C240" s="8"/>
      <c r="D240" s="8" t="s">
        <v>19</v>
      </c>
      <c r="E240" s="8" t="s">
        <v>2645</v>
      </c>
      <c r="F240" s="8"/>
      <c r="G240" s="8"/>
      <c r="H240" s="8" t="s">
        <v>2613</v>
      </c>
      <c r="I240" s="8" t="s">
        <v>182</v>
      </c>
      <c r="J240" s="8" t="s">
        <v>598</v>
      </c>
      <c r="K240" s="8" t="s">
        <v>23</v>
      </c>
      <c r="L240" s="8" t="s">
        <v>1522</v>
      </c>
      <c r="M240" s="9">
        <v>-1.5</v>
      </c>
      <c r="N240" s="9">
        <v>0.5</v>
      </c>
      <c r="O240" s="9">
        <v>0.5</v>
      </c>
      <c r="P240" s="10">
        <v>45097.0</v>
      </c>
      <c r="Q240" s="11">
        <v>1.825</v>
      </c>
      <c r="R240" s="8" t="s">
        <v>25</v>
      </c>
      <c r="S240" s="12">
        <f t="shared" si="1"/>
        <v>-0.5</v>
      </c>
      <c r="T240" s="12">
        <f t="shared" si="8"/>
        <v>1.677069483</v>
      </c>
      <c r="U240" s="145"/>
      <c r="V240" s="66">
        <v>45316.0</v>
      </c>
      <c r="W240" s="13">
        <f t="shared" si="2"/>
        <v>-0.27</v>
      </c>
      <c r="X240" s="141" t="b">
        <f t="shared" si="3"/>
        <v>0</v>
      </c>
      <c r="Y240" s="141" t="b">
        <f t="shared" si="4"/>
        <v>0</v>
      </c>
      <c r="Z240" s="141" t="b">
        <f t="shared" si="5"/>
        <v>0</v>
      </c>
      <c r="AA240" s="141" t="b">
        <f t="shared" si="6"/>
        <v>0</v>
      </c>
    </row>
    <row r="241">
      <c r="A241" s="15">
        <f t="shared" si="7"/>
        <v>240</v>
      </c>
      <c r="B241" s="15"/>
      <c r="C241" s="15"/>
      <c r="D241" s="15" t="s">
        <v>19</v>
      </c>
      <c r="E241" s="15" t="s">
        <v>2646</v>
      </c>
      <c r="F241" s="15"/>
      <c r="G241" s="15"/>
      <c r="H241" s="15" t="s">
        <v>2613</v>
      </c>
      <c r="I241" s="15" t="s">
        <v>82</v>
      </c>
      <c r="J241" s="15" t="s">
        <v>598</v>
      </c>
      <c r="K241" s="15" t="s">
        <v>440</v>
      </c>
      <c r="L241" s="15" t="s">
        <v>39</v>
      </c>
      <c r="M241" s="16">
        <v>2.5</v>
      </c>
      <c r="N241" s="16">
        <v>0.25</v>
      </c>
      <c r="O241" s="16">
        <v>0.25</v>
      </c>
      <c r="P241" s="17">
        <v>45099.0</v>
      </c>
      <c r="Q241" s="18">
        <v>1.875</v>
      </c>
      <c r="R241" s="15" t="s">
        <v>33</v>
      </c>
      <c r="S241" s="19">
        <f t="shared" si="1"/>
        <v>0.21875</v>
      </c>
      <c r="T241" s="19">
        <f t="shared" si="8"/>
        <v>1.895819483</v>
      </c>
      <c r="U241" s="144"/>
      <c r="V241" s="66">
        <v>45317.0</v>
      </c>
      <c r="W241" s="13">
        <f t="shared" si="2"/>
        <v>0.55136</v>
      </c>
      <c r="X241" s="141" t="b">
        <f t="shared" si="3"/>
        <v>0</v>
      </c>
      <c r="Y241" s="141" t="b">
        <f t="shared" si="4"/>
        <v>0</v>
      </c>
      <c r="Z241" s="141" t="str">
        <f t="shared" si="5"/>
        <v>Green-green</v>
      </c>
      <c r="AA241" s="141" t="b">
        <f t="shared" si="6"/>
        <v>0</v>
      </c>
    </row>
    <row r="242">
      <c r="A242" s="8">
        <f t="shared" si="7"/>
        <v>241</v>
      </c>
      <c r="B242" s="8"/>
      <c r="C242" s="8"/>
      <c r="D242" s="8" t="s">
        <v>40</v>
      </c>
      <c r="E242" s="8" t="s">
        <v>2647</v>
      </c>
      <c r="F242" s="8"/>
      <c r="G242" s="8"/>
      <c r="H242" s="8" t="s">
        <v>2618</v>
      </c>
      <c r="I242" s="8" t="s">
        <v>78</v>
      </c>
      <c r="J242" s="8" t="s">
        <v>22</v>
      </c>
      <c r="K242" s="8" t="s">
        <v>440</v>
      </c>
      <c r="L242" s="8" t="s">
        <v>39</v>
      </c>
      <c r="M242" s="9">
        <v>1.0</v>
      </c>
      <c r="N242" s="9">
        <v>0.5</v>
      </c>
      <c r="O242" s="9">
        <v>0.5</v>
      </c>
      <c r="P242" s="10">
        <v>45097.0</v>
      </c>
      <c r="Q242" s="11">
        <v>1.825</v>
      </c>
      <c r="R242" s="8" t="s">
        <v>25</v>
      </c>
      <c r="S242" s="12">
        <f t="shared" si="1"/>
        <v>-0.5</v>
      </c>
      <c r="T242" s="12">
        <f t="shared" si="8"/>
        <v>1.395819483</v>
      </c>
      <c r="U242" s="145"/>
      <c r="V242" s="66">
        <v>45318.0</v>
      </c>
      <c r="W242" s="13">
        <f t="shared" si="2"/>
        <v>0.84894</v>
      </c>
      <c r="X242" s="141" t="b">
        <f t="shared" si="3"/>
        <v>0</v>
      </c>
      <c r="Y242" s="141" t="b">
        <f t="shared" si="4"/>
        <v>0</v>
      </c>
      <c r="Z242" s="141" t="str">
        <f t="shared" si="5"/>
        <v>Green-green</v>
      </c>
      <c r="AA242" s="141" t="b">
        <f t="shared" si="6"/>
        <v>0</v>
      </c>
    </row>
    <row r="243">
      <c r="A243" s="15">
        <f t="shared" si="7"/>
        <v>242</v>
      </c>
      <c r="B243" s="15"/>
      <c r="C243" s="15"/>
      <c r="D243" s="15" t="s">
        <v>40</v>
      </c>
      <c r="E243" s="15" t="s">
        <v>2648</v>
      </c>
      <c r="F243" s="15" t="s">
        <v>1479</v>
      </c>
      <c r="G243" s="15" t="s">
        <v>2573</v>
      </c>
      <c r="H243" s="15">
        <v>0.0</v>
      </c>
      <c r="I243" s="15" t="s">
        <v>82</v>
      </c>
      <c r="J243" s="15" t="s">
        <v>22</v>
      </c>
      <c r="K243" s="15" t="s">
        <v>894</v>
      </c>
      <c r="L243" s="15" t="s">
        <v>1522</v>
      </c>
      <c r="M243" s="16">
        <v>-1.25</v>
      </c>
      <c r="N243" s="16">
        <v>1.0</v>
      </c>
      <c r="O243" s="16">
        <v>1.0</v>
      </c>
      <c r="P243" s="17">
        <v>45098.0</v>
      </c>
      <c r="Q243" s="18">
        <v>2.0</v>
      </c>
      <c r="R243" s="15" t="s">
        <v>79</v>
      </c>
      <c r="S243" s="19">
        <f t="shared" si="1"/>
        <v>-0.5</v>
      </c>
      <c r="T243" s="19">
        <f t="shared" si="8"/>
        <v>0.8958194833</v>
      </c>
      <c r="U243" s="144"/>
      <c r="V243" s="66">
        <v>45319.0</v>
      </c>
      <c r="W243" s="13">
        <f t="shared" si="2"/>
        <v>1.98828</v>
      </c>
      <c r="X243" s="141" t="b">
        <f t="shared" si="3"/>
        <v>0</v>
      </c>
      <c r="Y243" s="141" t="b">
        <f t="shared" si="4"/>
        <v>0</v>
      </c>
      <c r="Z243" s="141" t="b">
        <f t="shared" si="5"/>
        <v>0</v>
      </c>
      <c r="AA243" s="141" t="b">
        <f t="shared" si="6"/>
        <v>0</v>
      </c>
    </row>
    <row r="244">
      <c r="A244" s="8">
        <f t="shared" si="7"/>
        <v>243</v>
      </c>
      <c r="B244" s="8"/>
      <c r="C244" s="8"/>
      <c r="D244" s="8" t="s">
        <v>19</v>
      </c>
      <c r="E244" s="8" t="s">
        <v>2649</v>
      </c>
      <c r="F244" s="8" t="s">
        <v>1473</v>
      </c>
      <c r="G244" s="8" t="s">
        <v>2556</v>
      </c>
      <c r="H244" s="8">
        <v>-1.0</v>
      </c>
      <c r="I244" s="8" t="s">
        <v>68</v>
      </c>
      <c r="J244" s="8" t="s">
        <v>22</v>
      </c>
      <c r="K244" s="8" t="s">
        <v>225</v>
      </c>
      <c r="L244" s="8" t="s">
        <v>24</v>
      </c>
      <c r="M244" s="9">
        <v>0.5</v>
      </c>
      <c r="N244" s="9">
        <v>1.0</v>
      </c>
      <c r="O244" s="9">
        <v>0.7</v>
      </c>
      <c r="P244" s="10">
        <v>45098.0</v>
      </c>
      <c r="Q244" s="11">
        <v>1.8</v>
      </c>
      <c r="R244" s="8" t="s">
        <v>25</v>
      </c>
      <c r="S244" s="12">
        <f t="shared" si="1"/>
        <v>-0.7</v>
      </c>
      <c r="T244" s="12">
        <f t="shared" si="8"/>
        <v>0.1958194833</v>
      </c>
      <c r="U244" s="145"/>
      <c r="V244" s="66">
        <v>45320.0</v>
      </c>
      <c r="W244" s="13">
        <f t="shared" si="2"/>
        <v>0</v>
      </c>
      <c r="X244" s="141" t="b">
        <f t="shared" si="3"/>
        <v>0</v>
      </c>
      <c r="Y244" s="141" t="b">
        <f t="shared" si="4"/>
        <v>0</v>
      </c>
      <c r="Z244" s="141" t="b">
        <f t="shared" si="5"/>
        <v>0</v>
      </c>
      <c r="AA244" s="141" t="b">
        <f t="shared" si="6"/>
        <v>0</v>
      </c>
    </row>
    <row r="245">
      <c r="A245" s="15">
        <f t="shared" si="7"/>
        <v>244</v>
      </c>
      <c r="B245" s="15"/>
      <c r="C245" s="15"/>
      <c r="D245" s="15" t="s">
        <v>19</v>
      </c>
      <c r="E245" s="15" t="s">
        <v>2650</v>
      </c>
      <c r="F245" s="15" t="s">
        <v>1473</v>
      </c>
      <c r="G245" s="15" t="s">
        <v>2556</v>
      </c>
      <c r="H245" s="15">
        <v>-1.0</v>
      </c>
      <c r="I245" s="15" t="s">
        <v>68</v>
      </c>
      <c r="J245" s="15" t="s">
        <v>22</v>
      </c>
      <c r="K245" s="15" t="s">
        <v>225</v>
      </c>
      <c r="L245" s="15" t="s">
        <v>24</v>
      </c>
      <c r="M245" s="16">
        <v>0.25</v>
      </c>
      <c r="N245" s="16">
        <v>0.5</v>
      </c>
      <c r="O245" s="16">
        <v>0.15</v>
      </c>
      <c r="P245" s="17">
        <v>45098.0</v>
      </c>
      <c r="Q245" s="18">
        <v>1.775</v>
      </c>
      <c r="R245" s="15" t="s">
        <v>25</v>
      </c>
      <c r="S245" s="19">
        <f t="shared" si="1"/>
        <v>-0.15</v>
      </c>
      <c r="T245" s="19">
        <f t="shared" si="8"/>
        <v>0.04581948333</v>
      </c>
      <c r="U245" s="144"/>
      <c r="V245" s="66">
        <v>45321.0</v>
      </c>
      <c r="W245" s="13">
        <f t="shared" si="2"/>
        <v>0.474343</v>
      </c>
      <c r="X245" s="141" t="b">
        <f t="shared" si="3"/>
        <v>0</v>
      </c>
      <c r="Y245" s="141" t="b">
        <f t="shared" si="4"/>
        <v>0</v>
      </c>
      <c r="Z245" s="141" t="str">
        <f t="shared" si="5"/>
        <v>Green-green</v>
      </c>
      <c r="AA245" s="141" t="b">
        <f t="shared" si="6"/>
        <v>0</v>
      </c>
    </row>
    <row r="246">
      <c r="A246" s="8">
        <f t="shared" si="7"/>
        <v>245</v>
      </c>
      <c r="B246" s="8"/>
      <c r="C246" s="8"/>
      <c r="D246" s="8" t="s">
        <v>40</v>
      </c>
      <c r="E246" s="8" t="s">
        <v>2651</v>
      </c>
      <c r="F246" s="8" t="s">
        <v>1473</v>
      </c>
      <c r="G246" s="8" t="s">
        <v>2573</v>
      </c>
      <c r="H246" s="8">
        <v>3</v>
      </c>
      <c r="I246" s="8" t="s">
        <v>513</v>
      </c>
      <c r="J246" s="8" t="s">
        <v>22</v>
      </c>
      <c r="K246" s="8" t="s">
        <v>894</v>
      </c>
      <c r="L246" s="8" t="s">
        <v>24</v>
      </c>
      <c r="M246" s="9">
        <v>-0.25</v>
      </c>
      <c r="N246" s="9">
        <v>1.0</v>
      </c>
      <c r="O246" s="9">
        <v>0.44</v>
      </c>
      <c r="P246" s="10">
        <v>45098.0</v>
      </c>
      <c r="Q246" s="11">
        <v>1.775</v>
      </c>
      <c r="R246" s="8" t="s">
        <v>33</v>
      </c>
      <c r="S246" s="12">
        <f t="shared" si="1"/>
        <v>0.341</v>
      </c>
      <c r="T246" s="12">
        <f t="shared" si="8"/>
        <v>0.3868194833</v>
      </c>
      <c r="U246" s="145"/>
      <c r="V246" s="66">
        <v>45322.0</v>
      </c>
      <c r="W246" s="13">
        <f t="shared" si="2"/>
        <v>0.6767</v>
      </c>
      <c r="X246" s="141" t="b">
        <f t="shared" si="3"/>
        <v>0</v>
      </c>
      <c r="Y246" s="141" t="str">
        <f t="shared" si="4"/>
        <v>Green-red</v>
      </c>
      <c r="Z246" s="141" t="b">
        <f t="shared" si="5"/>
        <v>0</v>
      </c>
      <c r="AA246" s="141" t="str">
        <f t="shared" si="6"/>
        <v>Red-green</v>
      </c>
    </row>
    <row r="247">
      <c r="A247" s="15">
        <f t="shared" si="7"/>
        <v>246</v>
      </c>
      <c r="B247" s="15"/>
      <c r="C247" s="15"/>
      <c r="D247" s="15" t="s">
        <v>19</v>
      </c>
      <c r="E247" s="15" t="s">
        <v>2652</v>
      </c>
      <c r="F247" s="15" t="s">
        <v>1479</v>
      </c>
      <c r="G247" s="15" t="s">
        <v>2556</v>
      </c>
      <c r="H247" s="15">
        <v>0.0</v>
      </c>
      <c r="I247" s="15" t="s">
        <v>182</v>
      </c>
      <c r="J247" s="15" t="s">
        <v>22</v>
      </c>
      <c r="K247" s="15" t="s">
        <v>225</v>
      </c>
      <c r="L247" s="15" t="s">
        <v>39</v>
      </c>
      <c r="M247" s="16">
        <v>0.5</v>
      </c>
      <c r="N247" s="16">
        <v>1.0</v>
      </c>
      <c r="O247" s="16">
        <v>1.0</v>
      </c>
      <c r="P247" s="17">
        <v>45098.0</v>
      </c>
      <c r="Q247" s="18">
        <v>1.2</v>
      </c>
      <c r="R247" s="15" t="s">
        <v>33</v>
      </c>
      <c r="S247" s="19">
        <f t="shared" si="1"/>
        <v>0.2</v>
      </c>
      <c r="T247" s="19">
        <f t="shared" si="8"/>
        <v>0.5868194833</v>
      </c>
      <c r="U247" s="144"/>
      <c r="V247" s="66">
        <v>45323.0</v>
      </c>
      <c r="W247" s="13">
        <f t="shared" si="2"/>
        <v>-0.46755</v>
      </c>
      <c r="X247" s="141" t="b">
        <f t="shared" si="3"/>
        <v>0</v>
      </c>
      <c r="Y247" s="141" t="b">
        <f t="shared" si="4"/>
        <v>0</v>
      </c>
      <c r="Z247" s="141" t="b">
        <f t="shared" si="5"/>
        <v>0</v>
      </c>
      <c r="AA247" s="141" t="b">
        <f t="shared" si="6"/>
        <v>0</v>
      </c>
    </row>
    <row r="248">
      <c r="A248" s="8">
        <f t="shared" si="7"/>
        <v>247</v>
      </c>
      <c r="B248" s="8"/>
      <c r="C248" s="8"/>
      <c r="D248" s="8" t="s">
        <v>19</v>
      </c>
      <c r="E248" s="8" t="s">
        <v>2653</v>
      </c>
      <c r="F248" s="8" t="s">
        <v>1473</v>
      </c>
      <c r="G248" s="8" t="s">
        <v>2556</v>
      </c>
      <c r="H248" s="8">
        <v>0.0</v>
      </c>
      <c r="I248" s="8" t="s">
        <v>68</v>
      </c>
      <c r="J248" s="8" t="s">
        <v>22</v>
      </c>
      <c r="K248" s="8" t="s">
        <v>225</v>
      </c>
      <c r="L248" s="8" t="s">
        <v>24</v>
      </c>
      <c r="M248" s="9">
        <v>0.25</v>
      </c>
      <c r="N248" s="9">
        <v>1.0</v>
      </c>
      <c r="O248" s="9">
        <v>0.63</v>
      </c>
      <c r="P248" s="10">
        <v>45098.0</v>
      </c>
      <c r="Q248" s="11">
        <v>1.925</v>
      </c>
      <c r="R248" s="8" t="s">
        <v>25</v>
      </c>
      <c r="S248" s="12">
        <f t="shared" si="1"/>
        <v>-0.63</v>
      </c>
      <c r="T248" s="12">
        <f t="shared" si="8"/>
        <v>-0.04318051667</v>
      </c>
      <c r="U248" s="145"/>
      <c r="V248" s="66">
        <v>45324.0</v>
      </c>
      <c r="W248" s="13">
        <f t="shared" si="2"/>
        <v>1.90272</v>
      </c>
      <c r="X248" s="141" t="b">
        <f t="shared" si="3"/>
        <v>0</v>
      </c>
      <c r="Y248" s="141" t="b">
        <f t="shared" si="4"/>
        <v>0</v>
      </c>
      <c r="Z248" s="141" t="str">
        <f t="shared" si="5"/>
        <v>Green-green</v>
      </c>
      <c r="AA248" s="141" t="b">
        <f t="shared" si="6"/>
        <v>0</v>
      </c>
    </row>
    <row r="249">
      <c r="A249" s="15">
        <f t="shared" si="7"/>
        <v>248</v>
      </c>
      <c r="B249" s="15"/>
      <c r="C249" s="15"/>
      <c r="D249" s="15" t="s">
        <v>40</v>
      </c>
      <c r="E249" s="15" t="s">
        <v>2654</v>
      </c>
      <c r="F249" s="15" t="s">
        <v>1479</v>
      </c>
      <c r="G249" s="15" t="s">
        <v>2573</v>
      </c>
      <c r="H249" s="15">
        <v>-1.0</v>
      </c>
      <c r="I249" s="15" t="s">
        <v>463</v>
      </c>
      <c r="J249" s="15" t="s">
        <v>22</v>
      </c>
      <c r="K249" s="15" t="s">
        <v>894</v>
      </c>
      <c r="L249" s="15" t="s">
        <v>1522</v>
      </c>
      <c r="M249" s="16">
        <v>-0.5</v>
      </c>
      <c r="N249" s="16">
        <v>0.5</v>
      </c>
      <c r="O249" s="16">
        <v>0.5</v>
      </c>
      <c r="P249" s="17">
        <v>45098.0</v>
      </c>
      <c r="Q249" s="18">
        <v>1.7</v>
      </c>
      <c r="R249" s="15" t="s">
        <v>33</v>
      </c>
      <c r="S249" s="19">
        <f t="shared" si="1"/>
        <v>0.35</v>
      </c>
      <c r="T249" s="19">
        <f t="shared" si="8"/>
        <v>0.3068194833</v>
      </c>
      <c r="U249" s="144"/>
      <c r="V249" s="66">
        <v>45325.0</v>
      </c>
      <c r="W249" s="13">
        <f t="shared" si="2"/>
        <v>1.01175</v>
      </c>
      <c r="X249" s="141" t="b">
        <f t="shared" si="3"/>
        <v>0</v>
      </c>
      <c r="Y249" s="141" t="b">
        <f t="shared" si="4"/>
        <v>0</v>
      </c>
      <c r="Z249" s="141" t="str">
        <f t="shared" si="5"/>
        <v>Green-green</v>
      </c>
      <c r="AA249" s="141" t="b">
        <f t="shared" si="6"/>
        <v>0</v>
      </c>
    </row>
    <row r="250">
      <c r="A250" s="8">
        <f t="shared" si="7"/>
        <v>249</v>
      </c>
      <c r="B250" s="8"/>
      <c r="C250" s="8"/>
      <c r="D250" s="8" t="s">
        <v>19</v>
      </c>
      <c r="E250" s="8" t="s">
        <v>2655</v>
      </c>
      <c r="F250" s="8" t="s">
        <v>1473</v>
      </c>
      <c r="G250" s="8" t="s">
        <v>2556</v>
      </c>
      <c r="H250" s="8">
        <f>1</f>
        <v>1</v>
      </c>
      <c r="I250" s="8" t="s">
        <v>82</v>
      </c>
      <c r="J250" s="8" t="s">
        <v>22</v>
      </c>
      <c r="K250" s="8" t="s">
        <v>225</v>
      </c>
      <c r="L250" s="8" t="s">
        <v>24</v>
      </c>
      <c r="M250" s="9">
        <v>0.75</v>
      </c>
      <c r="N250" s="9">
        <v>1.0</v>
      </c>
      <c r="O250" s="9">
        <v>0.77</v>
      </c>
      <c r="P250" s="10">
        <v>45098.0</v>
      </c>
      <c r="Q250" s="11">
        <v>1.85</v>
      </c>
      <c r="R250" s="8" t="s">
        <v>79</v>
      </c>
      <c r="S250" s="12">
        <f t="shared" si="1"/>
        <v>-0.385</v>
      </c>
      <c r="T250" s="12">
        <f t="shared" si="8"/>
        <v>-0.07818051667</v>
      </c>
      <c r="U250" s="145"/>
      <c r="V250" s="66">
        <v>45326.0</v>
      </c>
      <c r="W250" s="13">
        <f t="shared" si="2"/>
        <v>1.4583</v>
      </c>
      <c r="X250" s="141" t="b">
        <f t="shared" si="3"/>
        <v>0</v>
      </c>
      <c r="Y250" s="141" t="b">
        <f t="shared" si="4"/>
        <v>0</v>
      </c>
      <c r="Z250" s="141" t="b">
        <f t="shared" si="5"/>
        <v>0</v>
      </c>
      <c r="AA250" s="141" t="b">
        <f t="shared" si="6"/>
        <v>0</v>
      </c>
    </row>
    <row r="251">
      <c r="A251" s="15">
        <f t="shared" si="7"/>
        <v>250</v>
      </c>
      <c r="B251" s="15"/>
      <c r="C251" s="15"/>
      <c r="D251" s="15" t="s">
        <v>19</v>
      </c>
      <c r="E251" s="15" t="s">
        <v>2656</v>
      </c>
      <c r="F251" s="15" t="s">
        <v>1479</v>
      </c>
      <c r="G251" s="15" t="s">
        <v>2556</v>
      </c>
      <c r="H251" s="15">
        <v>2</v>
      </c>
      <c r="I251" s="15" t="s">
        <v>940</v>
      </c>
      <c r="J251" s="15" t="s">
        <v>22</v>
      </c>
      <c r="K251" s="15" t="s">
        <v>225</v>
      </c>
      <c r="L251" s="15" t="s">
        <v>24</v>
      </c>
      <c r="M251" s="16">
        <v>0.75</v>
      </c>
      <c r="N251" s="16">
        <v>1.0</v>
      </c>
      <c r="O251" s="16">
        <v>0.4</v>
      </c>
      <c r="P251" s="17">
        <v>45098.0</v>
      </c>
      <c r="Q251" s="18">
        <v>1.85</v>
      </c>
      <c r="R251" s="15" t="s">
        <v>79</v>
      </c>
      <c r="S251" s="19">
        <f t="shared" si="1"/>
        <v>-0.2</v>
      </c>
      <c r="T251" s="19">
        <f t="shared" si="8"/>
        <v>-0.2781805167</v>
      </c>
      <c r="U251" s="144"/>
      <c r="V251" s="66">
        <v>45327.0</v>
      </c>
      <c r="W251" s="13">
        <f t="shared" si="2"/>
        <v>0</v>
      </c>
      <c r="X251" s="141" t="b">
        <f t="shared" si="3"/>
        <v>0</v>
      </c>
      <c r="Y251" s="141" t="b">
        <f t="shared" si="4"/>
        <v>0</v>
      </c>
      <c r="Z251" s="141" t="b">
        <f t="shared" si="5"/>
        <v>0</v>
      </c>
      <c r="AA251" s="141" t="b">
        <f t="shared" si="6"/>
        <v>0</v>
      </c>
    </row>
    <row r="252">
      <c r="A252" s="8">
        <f t="shared" si="7"/>
        <v>251</v>
      </c>
      <c r="B252" s="8"/>
      <c r="C252" s="8"/>
      <c r="D252" s="8" t="s">
        <v>40</v>
      </c>
      <c r="E252" s="8" t="s">
        <v>2657</v>
      </c>
      <c r="F252" s="8" t="s">
        <v>1473</v>
      </c>
      <c r="G252" s="8" t="s">
        <v>2573</v>
      </c>
      <c r="H252" s="8">
        <v>4</v>
      </c>
      <c r="I252" s="8" t="s">
        <v>82</v>
      </c>
      <c r="J252" s="8" t="s">
        <v>22</v>
      </c>
      <c r="K252" s="8" t="s">
        <v>894</v>
      </c>
      <c r="L252" s="8" t="s">
        <v>24</v>
      </c>
      <c r="M252" s="9">
        <v>-1.5</v>
      </c>
      <c r="N252" s="9">
        <v>1.0</v>
      </c>
      <c r="O252" s="9">
        <v>1.0</v>
      </c>
      <c r="P252" s="10">
        <v>45098.0</v>
      </c>
      <c r="Q252" s="11">
        <v>1.975</v>
      </c>
      <c r="R252" s="8" t="s">
        <v>25</v>
      </c>
      <c r="S252" s="12">
        <f t="shared" si="1"/>
        <v>-1</v>
      </c>
      <c r="T252" s="12">
        <f t="shared" si="8"/>
        <v>-1.278180517</v>
      </c>
      <c r="U252" s="145"/>
      <c r="V252" s="66">
        <v>45328.0</v>
      </c>
      <c r="W252" s="13">
        <f t="shared" si="2"/>
        <v>1.12475</v>
      </c>
      <c r="X252" s="141" t="b">
        <f t="shared" si="3"/>
        <v>0</v>
      </c>
      <c r="Y252" s="141" t="b">
        <f t="shared" si="4"/>
        <v>0</v>
      </c>
      <c r="Z252" s="141" t="str">
        <f t="shared" si="5"/>
        <v>Green-green</v>
      </c>
      <c r="AA252" s="141" t="b">
        <f t="shared" si="6"/>
        <v>0</v>
      </c>
    </row>
    <row r="253">
      <c r="A253" s="15">
        <f t="shared" si="7"/>
        <v>252</v>
      </c>
      <c r="B253" s="15"/>
      <c r="C253" s="15"/>
      <c r="D253" s="15" t="s">
        <v>19</v>
      </c>
      <c r="E253" s="15" t="s">
        <v>2658</v>
      </c>
      <c r="F253" s="15" t="s">
        <v>1479</v>
      </c>
      <c r="G253" s="15" t="s">
        <v>2556</v>
      </c>
      <c r="H253" s="15">
        <v>0.0</v>
      </c>
      <c r="I253" s="15" t="s">
        <v>463</v>
      </c>
      <c r="J253" s="15" t="s">
        <v>22</v>
      </c>
      <c r="K253" s="15" t="s">
        <v>225</v>
      </c>
      <c r="L253" s="15" t="s">
        <v>24</v>
      </c>
      <c r="M253" s="16">
        <v>0.5</v>
      </c>
      <c r="N253" s="16">
        <v>1.0</v>
      </c>
      <c r="O253" s="16">
        <v>1.0</v>
      </c>
      <c r="P253" s="17">
        <v>45098.0</v>
      </c>
      <c r="Q253" s="18">
        <v>2.0</v>
      </c>
      <c r="R253" s="15" t="s">
        <v>25</v>
      </c>
      <c r="S253" s="19">
        <f t="shared" si="1"/>
        <v>-1</v>
      </c>
      <c r="T253" s="19">
        <f t="shared" si="8"/>
        <v>-2.278180517</v>
      </c>
      <c r="U253" s="144"/>
      <c r="V253" s="66">
        <v>45329.0</v>
      </c>
      <c r="W253" s="13">
        <f t="shared" si="2"/>
        <v>0.495</v>
      </c>
      <c r="X253" s="141" t="b">
        <f t="shared" si="3"/>
        <v>0</v>
      </c>
      <c r="Y253" s="141" t="str">
        <f t="shared" si="4"/>
        <v>Green-red</v>
      </c>
      <c r="Z253" s="141" t="b">
        <f t="shared" si="5"/>
        <v>0</v>
      </c>
      <c r="AA253" s="141" t="str">
        <f t="shared" si="6"/>
        <v>Red-green</v>
      </c>
    </row>
    <row r="254">
      <c r="A254" s="8">
        <f t="shared" si="7"/>
        <v>253</v>
      </c>
      <c r="B254" s="8"/>
      <c r="C254" s="8"/>
      <c r="D254" s="8" t="s">
        <v>19</v>
      </c>
      <c r="E254" s="8" t="s">
        <v>2659</v>
      </c>
      <c r="F254" s="8" t="s">
        <v>1479</v>
      </c>
      <c r="G254" s="8" t="s">
        <v>2660</v>
      </c>
      <c r="H254" s="8">
        <v>2</v>
      </c>
      <c r="I254" s="8" t="s">
        <v>82</v>
      </c>
      <c r="J254" s="8" t="s">
        <v>22</v>
      </c>
      <c r="K254" s="8" t="s">
        <v>892</v>
      </c>
      <c r="L254" s="8" t="s">
        <v>24</v>
      </c>
      <c r="M254" s="9">
        <v>0.0</v>
      </c>
      <c r="N254" s="9">
        <v>1.0</v>
      </c>
      <c r="O254" s="9">
        <v>0.61</v>
      </c>
      <c r="P254" s="10">
        <v>45098.0</v>
      </c>
      <c r="Q254" s="11">
        <v>1.9</v>
      </c>
      <c r="R254" s="8" t="s">
        <v>25</v>
      </c>
      <c r="S254" s="12">
        <f t="shared" si="1"/>
        <v>-0.61</v>
      </c>
      <c r="T254" s="12">
        <f t="shared" si="8"/>
        <v>-2.888180517</v>
      </c>
      <c r="U254" s="145"/>
      <c r="V254" s="66">
        <v>45330.0</v>
      </c>
      <c r="W254" s="13">
        <f t="shared" si="2"/>
        <v>-1.47275</v>
      </c>
      <c r="X254" s="141" t="str">
        <f t="shared" si="3"/>
        <v>Red-red</v>
      </c>
      <c r="Y254" s="141" t="b">
        <f t="shared" si="4"/>
        <v>0</v>
      </c>
      <c r="Z254" s="141" t="b">
        <f t="shared" si="5"/>
        <v>0</v>
      </c>
      <c r="AA254" s="141" t="b">
        <f t="shared" si="6"/>
        <v>0</v>
      </c>
    </row>
    <row r="255">
      <c r="A255" s="15">
        <f t="shared" si="7"/>
        <v>254</v>
      </c>
      <c r="B255" s="15"/>
      <c r="C255" s="15"/>
      <c r="D255" s="15" t="s">
        <v>40</v>
      </c>
      <c r="E255" s="15" t="s">
        <v>2661</v>
      </c>
      <c r="F255" s="15" t="s">
        <v>1473</v>
      </c>
      <c r="G255" s="15" t="s">
        <v>2660</v>
      </c>
      <c r="H255" s="15">
        <v>0.0</v>
      </c>
      <c r="I255" s="15" t="s">
        <v>169</v>
      </c>
      <c r="J255" s="15" t="s">
        <v>22</v>
      </c>
      <c r="K255" s="15" t="s">
        <v>892</v>
      </c>
      <c r="L255" s="15" t="s">
        <v>24</v>
      </c>
      <c r="M255" s="16">
        <v>0.0</v>
      </c>
      <c r="N255" s="16">
        <v>1.0</v>
      </c>
      <c r="O255" s="16">
        <v>1.0</v>
      </c>
      <c r="P255" s="17">
        <v>45098.0</v>
      </c>
      <c r="Q255" s="18">
        <v>2.0</v>
      </c>
      <c r="R255" s="15" t="s">
        <v>33</v>
      </c>
      <c r="S255" s="19">
        <f t="shared" si="1"/>
        <v>1</v>
      </c>
      <c r="T255" s="19">
        <f t="shared" si="8"/>
        <v>-1.888180517</v>
      </c>
      <c r="U255" s="144"/>
      <c r="V255" s="66">
        <v>45331.0</v>
      </c>
      <c r="W255" s="13">
        <f t="shared" si="2"/>
        <v>-0.951475</v>
      </c>
      <c r="X255" s="141" t="b">
        <f t="shared" si="3"/>
        <v>0</v>
      </c>
      <c r="Y255" s="141" t="b">
        <f t="shared" si="4"/>
        <v>0</v>
      </c>
      <c r="Z255" s="141" t="b">
        <f t="shared" si="5"/>
        <v>0</v>
      </c>
      <c r="AA255" s="141" t="b">
        <f t="shared" si="6"/>
        <v>0</v>
      </c>
    </row>
    <row r="256">
      <c r="A256" s="8">
        <f t="shared" si="7"/>
        <v>255</v>
      </c>
      <c r="B256" s="8"/>
      <c r="C256" s="8"/>
      <c r="D256" s="8" t="s">
        <v>19</v>
      </c>
      <c r="E256" s="8" t="s">
        <v>2662</v>
      </c>
      <c r="F256" s="8"/>
      <c r="G256" s="8"/>
      <c r="H256" s="8" t="s">
        <v>2663</v>
      </c>
      <c r="I256" s="8" t="s">
        <v>82</v>
      </c>
      <c r="J256" s="8" t="s">
        <v>598</v>
      </c>
      <c r="K256" s="8" t="s">
        <v>894</v>
      </c>
      <c r="L256" s="8" t="s">
        <v>39</v>
      </c>
      <c r="M256" s="9">
        <v>-0.5</v>
      </c>
      <c r="N256" s="9">
        <v>0.5</v>
      </c>
      <c r="O256" s="9">
        <v>0.5</v>
      </c>
      <c r="P256" s="10">
        <v>45101.0</v>
      </c>
      <c r="Q256" s="11">
        <v>1.725</v>
      </c>
      <c r="R256" s="8" t="s">
        <v>33</v>
      </c>
      <c r="S256" s="12">
        <f t="shared" si="1"/>
        <v>0.3625</v>
      </c>
      <c r="T256" s="12">
        <f t="shared" si="8"/>
        <v>-1.525680517</v>
      </c>
      <c r="U256" s="145"/>
      <c r="V256" s="66">
        <v>45332.0</v>
      </c>
      <c r="W256" s="13">
        <f t="shared" si="2"/>
        <v>2.22295</v>
      </c>
      <c r="X256" s="141" t="b">
        <f t="shared" si="3"/>
        <v>0</v>
      </c>
      <c r="Y256" s="141" t="str">
        <f t="shared" si="4"/>
        <v>Green-red</v>
      </c>
      <c r="Z256" s="141" t="b">
        <f t="shared" si="5"/>
        <v>0</v>
      </c>
      <c r="AA256" s="141" t="str">
        <f t="shared" si="6"/>
        <v>Red-green</v>
      </c>
    </row>
    <row r="257">
      <c r="A257" s="15">
        <f t="shared" si="7"/>
        <v>256</v>
      </c>
      <c r="B257" s="15"/>
      <c r="C257" s="15"/>
      <c r="D257" s="15" t="s">
        <v>19</v>
      </c>
      <c r="E257" s="15" t="s">
        <v>2664</v>
      </c>
      <c r="F257" s="15"/>
      <c r="G257" s="15"/>
      <c r="H257" s="15" t="s">
        <v>2567</v>
      </c>
      <c r="I257" s="15" t="s">
        <v>82</v>
      </c>
      <c r="J257" s="15" t="s">
        <v>22</v>
      </c>
      <c r="K257" s="15" t="s">
        <v>29</v>
      </c>
      <c r="L257" s="15" t="s">
        <v>39</v>
      </c>
      <c r="M257" s="16">
        <v>-1.5</v>
      </c>
      <c r="N257" s="16">
        <v>0.5</v>
      </c>
      <c r="O257" s="16">
        <v>0.5</v>
      </c>
      <c r="P257" s="17">
        <v>45100.0</v>
      </c>
      <c r="Q257" s="18">
        <v>1.975</v>
      </c>
      <c r="R257" s="15" t="s">
        <v>33</v>
      </c>
      <c r="S257" s="19">
        <f t="shared" si="1"/>
        <v>0.4875</v>
      </c>
      <c r="T257" s="19">
        <f t="shared" si="8"/>
        <v>-1.038180517</v>
      </c>
      <c r="U257" s="144"/>
      <c r="V257" s="66">
        <v>45333.0</v>
      </c>
      <c r="W257" s="13">
        <f t="shared" si="2"/>
        <v>-0.204</v>
      </c>
      <c r="X257" s="141" t="b">
        <f t="shared" si="3"/>
        <v>0</v>
      </c>
      <c r="Y257" s="141" t="b">
        <f t="shared" si="4"/>
        <v>0</v>
      </c>
      <c r="Z257" s="141" t="b">
        <f t="shared" si="5"/>
        <v>0</v>
      </c>
      <c r="AA257" s="141" t="b">
        <f t="shared" si="6"/>
        <v>0</v>
      </c>
    </row>
    <row r="258">
      <c r="A258" s="8">
        <f t="shared" si="7"/>
        <v>257</v>
      </c>
      <c r="B258" s="8"/>
      <c r="C258" s="8"/>
      <c r="D258" s="8" t="s">
        <v>19</v>
      </c>
      <c r="E258" s="8" t="s">
        <v>2665</v>
      </c>
      <c r="F258" s="8" t="s">
        <v>1473</v>
      </c>
      <c r="G258" s="8" t="s">
        <v>2556</v>
      </c>
      <c r="H258" s="8">
        <v>-1.0</v>
      </c>
      <c r="I258" s="8" t="s">
        <v>78</v>
      </c>
      <c r="J258" s="8" t="s">
        <v>22</v>
      </c>
      <c r="K258" s="8" t="s">
        <v>892</v>
      </c>
      <c r="L258" s="8" t="s">
        <v>24</v>
      </c>
      <c r="M258" s="9">
        <v>0.0</v>
      </c>
      <c r="N258" s="9">
        <v>0.5</v>
      </c>
      <c r="O258" s="9">
        <v>0.5</v>
      </c>
      <c r="P258" s="10">
        <v>45100.0</v>
      </c>
      <c r="Q258" s="11">
        <v>1.825</v>
      </c>
      <c r="R258" s="8" t="s">
        <v>33</v>
      </c>
      <c r="S258" s="12">
        <f t="shared" si="1"/>
        <v>0.4125</v>
      </c>
      <c r="T258" s="12">
        <f t="shared" si="8"/>
        <v>-0.6256805167</v>
      </c>
      <c r="U258" s="145"/>
      <c r="V258" s="66">
        <v>45334.0</v>
      </c>
      <c r="W258" s="13">
        <f t="shared" si="2"/>
        <v>0</v>
      </c>
      <c r="X258" s="141" t="b">
        <f t="shared" si="3"/>
        <v>0</v>
      </c>
      <c r="Y258" s="141" t="b">
        <f t="shared" si="4"/>
        <v>0</v>
      </c>
      <c r="Z258" s="141" t="b">
        <f t="shared" si="5"/>
        <v>0</v>
      </c>
      <c r="AA258" s="141" t="b">
        <f t="shared" si="6"/>
        <v>0</v>
      </c>
    </row>
    <row r="259">
      <c r="A259" s="15">
        <f t="shared" si="7"/>
        <v>258</v>
      </c>
      <c r="B259" s="15"/>
      <c r="C259" s="15"/>
      <c r="D259" s="15" t="s">
        <v>19</v>
      </c>
      <c r="E259" s="15" t="s">
        <v>2666</v>
      </c>
      <c r="F259" s="15" t="s">
        <v>1473</v>
      </c>
      <c r="G259" s="15" t="s">
        <v>2556</v>
      </c>
      <c r="H259" s="15">
        <f>1</f>
        <v>1</v>
      </c>
      <c r="I259" s="15" t="s">
        <v>2667</v>
      </c>
      <c r="J259" s="15" t="s">
        <v>22</v>
      </c>
      <c r="K259" s="15" t="s">
        <v>225</v>
      </c>
      <c r="L259" s="15" t="s">
        <v>24</v>
      </c>
      <c r="M259" s="16">
        <v>0.25</v>
      </c>
      <c r="N259" s="16">
        <v>0.5</v>
      </c>
      <c r="O259" s="16">
        <v>0.5</v>
      </c>
      <c r="P259" s="17">
        <v>45101.0</v>
      </c>
      <c r="Q259" s="18">
        <v>1.8</v>
      </c>
      <c r="R259" s="15" t="s">
        <v>33</v>
      </c>
      <c r="S259" s="19">
        <f t="shared" si="1"/>
        <v>0.4</v>
      </c>
      <c r="T259" s="19">
        <f t="shared" si="8"/>
        <v>-0.2256805167</v>
      </c>
      <c r="U259" s="144"/>
      <c r="V259" s="66">
        <v>45335.0</v>
      </c>
      <c r="W259" s="13">
        <f t="shared" si="2"/>
        <v>0</v>
      </c>
      <c r="X259" s="141" t="b">
        <f t="shared" si="3"/>
        <v>0</v>
      </c>
      <c r="Y259" s="141" t="b">
        <f t="shared" si="4"/>
        <v>0</v>
      </c>
      <c r="Z259" s="141" t="b">
        <f t="shared" si="5"/>
        <v>0</v>
      </c>
      <c r="AA259" s="141" t="b">
        <f t="shared" si="6"/>
        <v>0</v>
      </c>
    </row>
    <row r="260">
      <c r="A260" s="8">
        <f t="shared" si="7"/>
        <v>259</v>
      </c>
      <c r="B260" s="8"/>
      <c r="C260" s="8"/>
      <c r="D260" s="8" t="s">
        <v>19</v>
      </c>
      <c r="E260" s="8" t="s">
        <v>2668</v>
      </c>
      <c r="F260" s="8" t="s">
        <v>1473</v>
      </c>
      <c r="G260" s="8" t="s">
        <v>2556</v>
      </c>
      <c r="H260" s="8">
        <v>0.0</v>
      </c>
      <c r="I260" s="8" t="s">
        <v>78</v>
      </c>
      <c r="J260" s="8" t="s">
        <v>22</v>
      </c>
      <c r="K260" s="8" t="s">
        <v>225</v>
      </c>
      <c r="L260" s="8" t="s">
        <v>1522</v>
      </c>
      <c r="M260" s="9">
        <v>0.25</v>
      </c>
      <c r="N260" s="9">
        <v>0.5</v>
      </c>
      <c r="O260" s="9">
        <f>0.763*0.5</f>
        <v>0.3815</v>
      </c>
      <c r="P260" s="10">
        <v>45101.0</v>
      </c>
      <c r="Q260" s="11">
        <v>1.8</v>
      </c>
      <c r="R260" s="8" t="s">
        <v>33</v>
      </c>
      <c r="S260" s="12">
        <f t="shared" si="1"/>
        <v>0.3052</v>
      </c>
      <c r="T260" s="12">
        <f t="shared" si="8"/>
        <v>0.07951948333</v>
      </c>
      <c r="U260" s="145"/>
      <c r="V260" s="66">
        <v>45336.0</v>
      </c>
      <c r="W260" s="13">
        <f t="shared" si="2"/>
        <v>0.69285</v>
      </c>
      <c r="X260" s="141" t="b">
        <f t="shared" si="3"/>
        <v>0</v>
      </c>
      <c r="Y260" s="141" t="b">
        <f t="shared" si="4"/>
        <v>0</v>
      </c>
      <c r="Z260" s="141" t="str">
        <f t="shared" si="5"/>
        <v>Green-green</v>
      </c>
      <c r="AA260" s="141" t="b">
        <f t="shared" si="6"/>
        <v>0</v>
      </c>
    </row>
    <row r="261">
      <c r="A261" s="15">
        <f t="shared" si="7"/>
        <v>260</v>
      </c>
      <c r="B261" s="15"/>
      <c r="C261" s="15"/>
      <c r="D261" s="15" t="s">
        <v>19</v>
      </c>
      <c r="E261" s="15" t="s">
        <v>2669</v>
      </c>
      <c r="F261" s="15"/>
      <c r="G261" s="15"/>
      <c r="H261" s="15" t="s">
        <v>2615</v>
      </c>
      <c r="I261" s="15" t="s">
        <v>82</v>
      </c>
      <c r="J261" s="15" t="s">
        <v>22</v>
      </c>
      <c r="K261" s="15" t="s">
        <v>29</v>
      </c>
      <c r="L261" s="15" t="s">
        <v>24</v>
      </c>
      <c r="M261" s="16">
        <v>-4.75</v>
      </c>
      <c r="N261" s="16">
        <v>0.5</v>
      </c>
      <c r="O261" s="16">
        <f>0.184*0.5</f>
        <v>0.092</v>
      </c>
      <c r="P261" s="17">
        <v>45101.0</v>
      </c>
      <c r="Q261" s="18">
        <f>315.06/250</f>
        <v>1.26024</v>
      </c>
      <c r="R261" s="15" t="s">
        <v>33</v>
      </c>
      <c r="S261" s="19">
        <f t="shared" si="1"/>
        <v>0.02394208</v>
      </c>
      <c r="T261" s="19">
        <f t="shared" si="8"/>
        <v>0.1034615633</v>
      </c>
      <c r="U261" s="144"/>
      <c r="V261" s="66">
        <v>45337.0</v>
      </c>
      <c r="W261" s="13">
        <f t="shared" si="2"/>
        <v>0.859</v>
      </c>
      <c r="X261" s="141" t="b">
        <f t="shared" si="3"/>
        <v>0</v>
      </c>
      <c r="Y261" s="141" t="str">
        <f t="shared" si="4"/>
        <v>Green-red</v>
      </c>
      <c r="Z261" s="141" t="b">
        <f t="shared" si="5"/>
        <v>0</v>
      </c>
      <c r="AA261" s="141" t="str">
        <f t="shared" si="6"/>
        <v>Red-green</v>
      </c>
    </row>
    <row r="262">
      <c r="A262" s="8">
        <f t="shared" si="7"/>
        <v>261</v>
      </c>
      <c r="B262" s="8"/>
      <c r="C262" s="8"/>
      <c r="D262" s="8" t="s">
        <v>19</v>
      </c>
      <c r="E262" s="8" t="s">
        <v>2670</v>
      </c>
      <c r="F262" s="8"/>
      <c r="G262" s="8"/>
      <c r="H262" s="8" t="s">
        <v>2615</v>
      </c>
      <c r="I262" s="8" t="s">
        <v>82</v>
      </c>
      <c r="J262" s="8" t="s">
        <v>22</v>
      </c>
      <c r="K262" s="8" t="s">
        <v>29</v>
      </c>
      <c r="L262" s="8" t="s">
        <v>24</v>
      </c>
      <c r="M262" s="9">
        <v>-4.5</v>
      </c>
      <c r="N262" s="9">
        <v>0.5</v>
      </c>
      <c r="O262" s="9">
        <f>0.684*0.5</f>
        <v>0.342</v>
      </c>
      <c r="P262" s="10">
        <v>45101.0</v>
      </c>
      <c r="Q262" s="11">
        <f>286.31/250</f>
        <v>1.14524</v>
      </c>
      <c r="R262" s="8" t="s">
        <v>33</v>
      </c>
      <c r="S262" s="12">
        <f t="shared" si="1"/>
        <v>0.04967208</v>
      </c>
      <c r="T262" s="12">
        <f t="shared" si="8"/>
        <v>0.1531336433</v>
      </c>
      <c r="U262" s="145"/>
      <c r="V262" s="66">
        <v>45338.0</v>
      </c>
      <c r="W262" s="13">
        <f t="shared" si="2"/>
        <v>-0.28</v>
      </c>
      <c r="X262" s="141" t="str">
        <f t="shared" si="3"/>
        <v>Red-red</v>
      </c>
      <c r="Y262" s="141" t="b">
        <f t="shared" si="4"/>
        <v>0</v>
      </c>
      <c r="Z262" s="141" t="b">
        <f t="shared" si="5"/>
        <v>0</v>
      </c>
      <c r="AA262" s="141" t="b">
        <f t="shared" si="6"/>
        <v>0</v>
      </c>
    </row>
    <row r="263">
      <c r="A263" s="15">
        <f t="shared" si="7"/>
        <v>262</v>
      </c>
      <c r="B263" s="15"/>
      <c r="C263" s="15"/>
      <c r="D263" s="15" t="s">
        <v>40</v>
      </c>
      <c r="E263" s="15" t="s">
        <v>2671</v>
      </c>
      <c r="F263" s="15" t="s">
        <v>1473</v>
      </c>
      <c r="G263" s="15" t="s">
        <v>2556</v>
      </c>
      <c r="H263" s="15">
        <f t="shared" ref="H263:H264" si="10">1</f>
        <v>1</v>
      </c>
      <c r="I263" s="15" t="s">
        <v>28</v>
      </c>
      <c r="J263" s="15" t="s">
        <v>22</v>
      </c>
      <c r="K263" s="15" t="s">
        <v>225</v>
      </c>
      <c r="L263" s="15" t="s">
        <v>39</v>
      </c>
      <c r="M263" s="16">
        <v>1.75</v>
      </c>
      <c r="N263" s="16">
        <v>0.5</v>
      </c>
      <c r="O263" s="16">
        <f>0.842*0.5</f>
        <v>0.421</v>
      </c>
      <c r="P263" s="17">
        <v>45101.0</v>
      </c>
      <c r="Q263" s="18">
        <f>543/375</f>
        <v>1.448</v>
      </c>
      <c r="R263" s="15" t="s">
        <v>33</v>
      </c>
      <c r="S263" s="19">
        <f t="shared" si="1"/>
        <v>0.188608</v>
      </c>
      <c r="T263" s="19">
        <f t="shared" si="8"/>
        <v>0.3417416433</v>
      </c>
      <c r="U263" s="144"/>
      <c r="V263" s="66">
        <v>45339.0</v>
      </c>
      <c r="W263" s="13">
        <f t="shared" si="2"/>
        <v>-0.1055</v>
      </c>
      <c r="X263" s="141" t="b">
        <f t="shared" si="3"/>
        <v>0</v>
      </c>
      <c r="Y263" s="141" t="b">
        <f t="shared" si="4"/>
        <v>0</v>
      </c>
      <c r="Z263" s="141" t="b">
        <f t="shared" si="5"/>
        <v>0</v>
      </c>
      <c r="AA263" s="141" t="b">
        <f t="shared" si="6"/>
        <v>0</v>
      </c>
    </row>
    <row r="264">
      <c r="A264" s="8">
        <f t="shared" si="7"/>
        <v>263</v>
      </c>
      <c r="B264" s="8"/>
      <c r="C264" s="8"/>
      <c r="D264" s="8" t="s">
        <v>40</v>
      </c>
      <c r="E264" s="8" t="s">
        <v>2672</v>
      </c>
      <c r="F264" s="8" t="s">
        <v>1473</v>
      </c>
      <c r="G264" s="8" t="s">
        <v>2556</v>
      </c>
      <c r="H264" s="8">
        <f t="shared" si="10"/>
        <v>1</v>
      </c>
      <c r="I264" s="8" t="s">
        <v>28</v>
      </c>
      <c r="J264" s="8" t="s">
        <v>22</v>
      </c>
      <c r="K264" s="8" t="s">
        <v>225</v>
      </c>
      <c r="L264" s="8" t="s">
        <v>39</v>
      </c>
      <c r="M264" s="9">
        <v>2.0</v>
      </c>
      <c r="N264" s="9">
        <f t="shared" ref="N264:O264" si="11">0.158*0.5</f>
        <v>0.079</v>
      </c>
      <c r="O264" s="9">
        <f t="shared" si="11"/>
        <v>0.079</v>
      </c>
      <c r="P264" s="10">
        <v>45101.0</v>
      </c>
      <c r="Q264" s="11">
        <f>359.42/250</f>
        <v>1.43768</v>
      </c>
      <c r="R264" s="8" t="s">
        <v>33</v>
      </c>
      <c r="S264" s="12">
        <f t="shared" si="1"/>
        <v>0.03457672</v>
      </c>
      <c r="T264" s="12">
        <f t="shared" si="8"/>
        <v>0.3763183633</v>
      </c>
      <c r="U264" s="145"/>
      <c r="V264" s="66">
        <v>45340.0</v>
      </c>
      <c r="W264" s="13">
        <f t="shared" si="2"/>
        <v>1.06006</v>
      </c>
      <c r="X264" s="141" t="b">
        <f t="shared" si="3"/>
        <v>0</v>
      </c>
      <c r="Y264" s="141" t="b">
        <f t="shared" si="4"/>
        <v>0</v>
      </c>
      <c r="Z264" s="141" t="str">
        <f t="shared" si="5"/>
        <v>Green-green</v>
      </c>
      <c r="AA264" s="141" t="b">
        <f t="shared" si="6"/>
        <v>0</v>
      </c>
    </row>
    <row r="265">
      <c r="A265" s="15">
        <f t="shared" si="7"/>
        <v>264</v>
      </c>
      <c r="B265" s="15"/>
      <c r="C265" s="15"/>
      <c r="D265" s="15" t="s">
        <v>19</v>
      </c>
      <c r="E265" s="15" t="s">
        <v>2673</v>
      </c>
      <c r="F265" s="15" t="s">
        <v>1479</v>
      </c>
      <c r="G265" s="15" t="s">
        <v>2556</v>
      </c>
      <c r="H265" s="15">
        <v>0.0</v>
      </c>
      <c r="I265" s="15" t="s">
        <v>2674</v>
      </c>
      <c r="J265" s="15" t="s">
        <v>22</v>
      </c>
      <c r="K265" s="15" t="s">
        <v>225</v>
      </c>
      <c r="L265" s="15" t="s">
        <v>24</v>
      </c>
      <c r="M265" s="16">
        <v>0.5</v>
      </c>
      <c r="N265" s="16">
        <v>0.5</v>
      </c>
      <c r="O265" s="16">
        <v>0.5</v>
      </c>
      <c r="P265" s="17">
        <v>45101.0</v>
      </c>
      <c r="Q265" s="18">
        <v>1.7</v>
      </c>
      <c r="R265" s="15" t="s">
        <v>33</v>
      </c>
      <c r="S265" s="19">
        <f t="shared" si="1"/>
        <v>0.35</v>
      </c>
      <c r="T265" s="19">
        <f t="shared" si="8"/>
        <v>0.7263183633</v>
      </c>
      <c r="U265" s="144"/>
      <c r="V265" s="66">
        <v>45341.0</v>
      </c>
      <c r="W265" s="13">
        <f t="shared" si="2"/>
        <v>0.2175</v>
      </c>
      <c r="X265" s="141" t="b">
        <f t="shared" si="3"/>
        <v>0</v>
      </c>
      <c r="Y265" s="141" t="b">
        <f t="shared" si="4"/>
        <v>0</v>
      </c>
      <c r="Z265" s="141" t="str">
        <f t="shared" si="5"/>
        <v>Green-green</v>
      </c>
      <c r="AA265" s="141" t="b">
        <f t="shared" si="6"/>
        <v>0</v>
      </c>
    </row>
    <row r="266">
      <c r="A266" s="8">
        <f t="shared" si="7"/>
        <v>265</v>
      </c>
      <c r="B266" s="8"/>
      <c r="C266" s="8"/>
      <c r="D266" s="8" t="s">
        <v>40</v>
      </c>
      <c r="E266" s="8" t="s">
        <v>2675</v>
      </c>
      <c r="F266" s="8"/>
      <c r="G266" s="8"/>
      <c r="H266" s="8" t="s">
        <v>2618</v>
      </c>
      <c r="I266" s="8" t="s">
        <v>78</v>
      </c>
      <c r="J266" s="8" t="s">
        <v>22</v>
      </c>
      <c r="K266" s="8" t="s">
        <v>440</v>
      </c>
      <c r="L266" s="8" t="s">
        <v>39</v>
      </c>
      <c r="M266" s="9">
        <v>2.0</v>
      </c>
      <c r="N266" s="9">
        <v>0.5</v>
      </c>
      <c r="O266" s="9">
        <v>0.5</v>
      </c>
      <c r="P266" s="10">
        <v>45101.0</v>
      </c>
      <c r="Q266" s="11">
        <v>1.8</v>
      </c>
      <c r="R266" s="8" t="s">
        <v>25</v>
      </c>
      <c r="S266" s="12">
        <f t="shared" si="1"/>
        <v>-0.5</v>
      </c>
      <c r="T266" s="12">
        <f t="shared" si="8"/>
        <v>0.2263183633</v>
      </c>
      <c r="U266" s="145"/>
      <c r="V266" s="66">
        <v>45342.0</v>
      </c>
      <c r="W266" s="13">
        <f t="shared" si="2"/>
        <v>1.0075</v>
      </c>
      <c r="X266" s="141" t="b">
        <f t="shared" si="3"/>
        <v>0</v>
      </c>
      <c r="Y266" s="141" t="str">
        <f t="shared" si="4"/>
        <v>Green-red</v>
      </c>
      <c r="Z266" s="141" t="b">
        <f t="shared" si="5"/>
        <v>0</v>
      </c>
      <c r="AA266" s="141" t="str">
        <f t="shared" si="6"/>
        <v>Red-green</v>
      </c>
    </row>
    <row r="267">
      <c r="A267" s="15">
        <f t="shared" si="7"/>
        <v>266</v>
      </c>
      <c r="B267" s="15"/>
      <c r="C267" s="15"/>
      <c r="D267" s="15" t="s">
        <v>19</v>
      </c>
      <c r="E267" s="15" t="s">
        <v>2676</v>
      </c>
      <c r="F267" s="15" t="s">
        <v>1473</v>
      </c>
      <c r="G267" s="15" t="s">
        <v>2573</v>
      </c>
      <c r="H267" s="15">
        <v>0.0</v>
      </c>
      <c r="I267" s="15" t="s">
        <v>2677</v>
      </c>
      <c r="J267" s="15" t="s">
        <v>22</v>
      </c>
      <c r="K267" s="15" t="s">
        <v>894</v>
      </c>
      <c r="L267" s="15" t="s">
        <v>39</v>
      </c>
      <c r="M267" s="16">
        <v>-0.25</v>
      </c>
      <c r="N267" s="16">
        <v>0.5</v>
      </c>
      <c r="O267" s="16">
        <v>0.5</v>
      </c>
      <c r="P267" s="17">
        <v>45102.0</v>
      </c>
      <c r="Q267" s="15">
        <v>1.875</v>
      </c>
      <c r="R267" s="15" t="s">
        <v>79</v>
      </c>
      <c r="S267" s="19">
        <f t="shared" si="1"/>
        <v>-0.25</v>
      </c>
      <c r="T267" s="19">
        <f t="shared" si="8"/>
        <v>-0.02368163667</v>
      </c>
      <c r="U267" s="144"/>
      <c r="V267" s="66">
        <v>45343.0</v>
      </c>
      <c r="W267" s="13">
        <f t="shared" si="2"/>
        <v>-0.9378571429</v>
      </c>
      <c r="X267" s="141" t="b">
        <f t="shared" si="3"/>
        <v>0</v>
      </c>
      <c r="Y267" s="141" t="b">
        <f t="shared" si="4"/>
        <v>0</v>
      </c>
      <c r="Z267" s="141" t="b">
        <f t="shared" si="5"/>
        <v>0</v>
      </c>
      <c r="AA267" s="141" t="b">
        <f t="shared" si="6"/>
        <v>0</v>
      </c>
    </row>
    <row r="268">
      <c r="A268" s="8">
        <f t="shared" si="7"/>
        <v>267</v>
      </c>
      <c r="B268" s="8"/>
      <c r="C268" s="8"/>
      <c r="D268" s="8" t="s">
        <v>19</v>
      </c>
      <c r="E268" s="8" t="s">
        <v>2678</v>
      </c>
      <c r="F268" s="8" t="s">
        <v>1473</v>
      </c>
      <c r="G268" s="8" t="s">
        <v>2556</v>
      </c>
      <c r="H268" s="8">
        <f>1</f>
        <v>1</v>
      </c>
      <c r="I268" s="8" t="s">
        <v>1470</v>
      </c>
      <c r="J268" s="8" t="s">
        <v>22</v>
      </c>
      <c r="K268" s="8" t="s">
        <v>225</v>
      </c>
      <c r="L268" s="8" t="s">
        <v>24</v>
      </c>
      <c r="M268" s="9">
        <v>0.25</v>
      </c>
      <c r="N268" s="9">
        <v>1.0</v>
      </c>
      <c r="O268" s="9">
        <v>0.342</v>
      </c>
      <c r="P268" s="10">
        <v>45102.0</v>
      </c>
      <c r="Q268" s="11">
        <v>1.8</v>
      </c>
      <c r="R268" s="8" t="s">
        <v>30</v>
      </c>
      <c r="S268" s="12">
        <f t="shared" si="1"/>
        <v>0.1368</v>
      </c>
      <c r="T268" s="12">
        <f t="shared" si="8"/>
        <v>0.1131183633</v>
      </c>
      <c r="U268" s="145"/>
      <c r="V268" s="66">
        <v>45344.0</v>
      </c>
      <c r="W268" s="13">
        <f t="shared" si="2"/>
        <v>1.8075</v>
      </c>
      <c r="X268" s="141" t="b">
        <f t="shared" si="3"/>
        <v>0</v>
      </c>
      <c r="Y268" s="141" t="b">
        <f t="shared" si="4"/>
        <v>0</v>
      </c>
      <c r="Z268" s="141" t="str">
        <f t="shared" si="5"/>
        <v>Green-green</v>
      </c>
      <c r="AA268" s="141" t="b">
        <f t="shared" si="6"/>
        <v>0</v>
      </c>
    </row>
    <row r="269">
      <c r="A269" s="15">
        <f t="shared" si="7"/>
        <v>268</v>
      </c>
      <c r="B269" s="15"/>
      <c r="C269" s="15"/>
      <c r="D269" s="15" t="s">
        <v>19</v>
      </c>
      <c r="E269" s="15" t="s">
        <v>2679</v>
      </c>
      <c r="F269" s="15" t="s">
        <v>1473</v>
      </c>
      <c r="G269" s="15" t="s">
        <v>2556</v>
      </c>
      <c r="H269" s="15">
        <v>0.0</v>
      </c>
      <c r="I269" s="15" t="s">
        <v>78</v>
      </c>
      <c r="J269" s="15" t="s">
        <v>22</v>
      </c>
      <c r="K269" s="15" t="s">
        <v>225</v>
      </c>
      <c r="L269" s="15" t="s">
        <v>24</v>
      </c>
      <c r="M269" s="16">
        <v>0.5</v>
      </c>
      <c r="N269" s="16">
        <v>0.5</v>
      </c>
      <c r="O269" s="16">
        <v>0.5</v>
      </c>
      <c r="P269" s="17">
        <v>45102.0</v>
      </c>
      <c r="Q269" s="18">
        <v>1.8</v>
      </c>
      <c r="R269" s="15" t="s">
        <v>25</v>
      </c>
      <c r="S269" s="19">
        <f t="shared" si="1"/>
        <v>-0.5</v>
      </c>
      <c r="T269" s="19">
        <f t="shared" si="8"/>
        <v>-0.3868816367</v>
      </c>
      <c r="U269" s="144"/>
      <c r="V269" s="66">
        <v>45345.0</v>
      </c>
      <c r="W269" s="13">
        <f t="shared" si="2"/>
        <v>0.9375</v>
      </c>
      <c r="X269" s="141" t="b">
        <f t="shared" si="3"/>
        <v>0</v>
      </c>
      <c r="Y269" s="141" t="b">
        <f t="shared" si="4"/>
        <v>0</v>
      </c>
      <c r="Z269" s="141" t="str">
        <f t="shared" si="5"/>
        <v>Green-green</v>
      </c>
      <c r="AA269" s="141" t="b">
        <f t="shared" si="6"/>
        <v>0</v>
      </c>
    </row>
    <row r="270">
      <c r="A270" s="8">
        <f t="shared" si="7"/>
        <v>269</v>
      </c>
      <c r="B270" s="8"/>
      <c r="C270" s="8"/>
      <c r="D270" s="8" t="s">
        <v>40</v>
      </c>
      <c r="E270" s="8" t="s">
        <v>2680</v>
      </c>
      <c r="F270" s="8" t="s">
        <v>1479</v>
      </c>
      <c r="G270" s="8" t="s">
        <v>2556</v>
      </c>
      <c r="H270" s="8">
        <v>0.0</v>
      </c>
      <c r="I270" s="8" t="s">
        <v>683</v>
      </c>
      <c r="J270" s="8" t="s">
        <v>22</v>
      </c>
      <c r="K270" s="8" t="s">
        <v>225</v>
      </c>
      <c r="L270" s="8" t="s">
        <v>24</v>
      </c>
      <c r="M270" s="9">
        <v>0.75</v>
      </c>
      <c r="N270" s="9">
        <v>0.49</v>
      </c>
      <c r="O270" s="9">
        <v>0.49</v>
      </c>
      <c r="P270" s="10">
        <v>45102.0</v>
      </c>
      <c r="Q270" s="8">
        <v>2.025</v>
      </c>
      <c r="R270" s="8" t="s">
        <v>79</v>
      </c>
      <c r="S270" s="12">
        <f t="shared" si="1"/>
        <v>-0.245</v>
      </c>
      <c r="T270" s="12">
        <f t="shared" si="8"/>
        <v>-0.6318816367</v>
      </c>
      <c r="U270" s="145"/>
      <c r="V270" s="66">
        <v>45346.0</v>
      </c>
      <c r="W270" s="13">
        <f t="shared" si="2"/>
        <v>2.8075</v>
      </c>
      <c r="X270" s="141" t="b">
        <f t="shared" si="3"/>
        <v>0</v>
      </c>
      <c r="Y270" s="141" t="str">
        <f t="shared" si="4"/>
        <v>Green-red</v>
      </c>
      <c r="Z270" s="141" t="b">
        <f t="shared" si="5"/>
        <v>0</v>
      </c>
      <c r="AA270" s="141" t="str">
        <f t="shared" si="6"/>
        <v>Red-green</v>
      </c>
    </row>
    <row r="271">
      <c r="A271" s="15">
        <f t="shared" si="7"/>
        <v>270</v>
      </c>
      <c r="B271" s="15"/>
      <c r="C271" s="15"/>
      <c r="D271" s="15" t="s">
        <v>19</v>
      </c>
      <c r="E271" s="15" t="s">
        <v>2681</v>
      </c>
      <c r="F271" s="15" t="s">
        <v>1473</v>
      </c>
      <c r="G271" s="15" t="s">
        <v>2556</v>
      </c>
      <c r="H271" s="15">
        <v>-1.0</v>
      </c>
      <c r="I271" s="15" t="s">
        <v>78</v>
      </c>
      <c r="J271" s="15" t="s">
        <v>22</v>
      </c>
      <c r="K271" s="15" t="s">
        <v>225</v>
      </c>
      <c r="L271" s="15" t="s">
        <v>24</v>
      </c>
      <c r="M271" s="16">
        <v>0.25</v>
      </c>
      <c r="N271" s="16">
        <v>0.5</v>
      </c>
      <c r="O271" s="16">
        <v>0.5</v>
      </c>
      <c r="P271" s="17">
        <v>45102.0</v>
      </c>
      <c r="Q271" s="15">
        <v>1.875</v>
      </c>
      <c r="R271" s="15" t="s">
        <v>30</v>
      </c>
      <c r="S271" s="19">
        <f t="shared" si="1"/>
        <v>0.21875</v>
      </c>
      <c r="T271" s="19">
        <f t="shared" si="8"/>
        <v>-0.4131316367</v>
      </c>
      <c r="U271" s="144"/>
      <c r="V271" s="66">
        <v>45347.0</v>
      </c>
      <c r="W271" s="13">
        <f t="shared" si="2"/>
        <v>-0.09375</v>
      </c>
      <c r="X271" s="141" t="b">
        <f t="shared" si="3"/>
        <v>0</v>
      </c>
      <c r="Y271" s="141" t="b">
        <f t="shared" si="4"/>
        <v>0</v>
      </c>
      <c r="Z271" s="141" t="b">
        <f t="shared" si="5"/>
        <v>0</v>
      </c>
      <c r="AA271" s="141" t="b">
        <f t="shared" si="6"/>
        <v>0</v>
      </c>
    </row>
    <row r="272">
      <c r="A272" s="8">
        <f t="shared" si="7"/>
        <v>271</v>
      </c>
      <c r="B272" s="8"/>
      <c r="C272" s="8"/>
      <c r="D272" s="8" t="s">
        <v>19</v>
      </c>
      <c r="E272" s="8" t="s">
        <v>2682</v>
      </c>
      <c r="F272" s="8"/>
      <c r="G272" s="8"/>
      <c r="H272" s="8" t="s">
        <v>2613</v>
      </c>
      <c r="I272" s="8" t="s">
        <v>2453</v>
      </c>
      <c r="J272" s="8" t="s">
        <v>598</v>
      </c>
      <c r="K272" s="8" t="s">
        <v>2415</v>
      </c>
      <c r="L272" s="8" t="s">
        <v>39</v>
      </c>
      <c r="M272" s="9">
        <v>9.5</v>
      </c>
      <c r="N272" s="9">
        <v>0.6</v>
      </c>
      <c r="O272" s="9">
        <v>0.6</v>
      </c>
      <c r="P272" s="10">
        <v>45104.0</v>
      </c>
      <c r="Q272" s="11">
        <v>1.85</v>
      </c>
      <c r="R272" s="8" t="s">
        <v>33</v>
      </c>
      <c r="S272" s="12">
        <f t="shared" si="1"/>
        <v>0.51</v>
      </c>
      <c r="T272" s="12">
        <f t="shared" si="8"/>
        <v>0.09686836333</v>
      </c>
      <c r="U272" s="145"/>
      <c r="V272" s="66">
        <v>45348.0</v>
      </c>
      <c r="W272" s="13">
        <f t="shared" si="2"/>
        <v>0</v>
      </c>
      <c r="X272" s="141" t="b">
        <f t="shared" si="3"/>
        <v>0</v>
      </c>
      <c r="Y272" s="141" t="b">
        <f t="shared" si="4"/>
        <v>0</v>
      </c>
      <c r="Z272" s="141" t="b">
        <f t="shared" si="5"/>
        <v>0</v>
      </c>
      <c r="AA272" s="141" t="b">
        <f t="shared" si="6"/>
        <v>0</v>
      </c>
    </row>
    <row r="273">
      <c r="A273" s="15">
        <f t="shared" si="7"/>
        <v>272</v>
      </c>
      <c r="B273" s="15"/>
      <c r="C273" s="15"/>
      <c r="D273" s="15" t="s">
        <v>19</v>
      </c>
      <c r="E273" s="15" t="s">
        <v>2683</v>
      </c>
      <c r="F273" s="15"/>
      <c r="G273" s="15"/>
      <c r="H273" s="15" t="s">
        <v>2684</v>
      </c>
      <c r="I273" s="15" t="s">
        <v>463</v>
      </c>
      <c r="J273" s="15" t="s">
        <v>22</v>
      </c>
      <c r="K273" s="15" t="s">
        <v>892</v>
      </c>
      <c r="L273" s="15" t="s">
        <v>1851</v>
      </c>
      <c r="M273" s="16">
        <v>0.0</v>
      </c>
      <c r="N273" s="16">
        <v>0.06</v>
      </c>
      <c r="O273" s="16">
        <v>0.06</v>
      </c>
      <c r="P273" s="17">
        <v>45104.0</v>
      </c>
      <c r="Q273" s="15">
        <v>1.825</v>
      </c>
      <c r="R273" s="15" t="s">
        <v>25</v>
      </c>
      <c r="S273" s="19">
        <f t="shared" si="1"/>
        <v>-0.06</v>
      </c>
      <c r="T273" s="19">
        <f t="shared" si="8"/>
        <v>0.03686836333</v>
      </c>
      <c r="U273" s="144"/>
      <c r="V273" s="66">
        <v>45349.0</v>
      </c>
      <c r="W273" s="13">
        <f t="shared" si="2"/>
        <v>-0.68875</v>
      </c>
      <c r="X273" s="141" t="b">
        <f t="shared" si="3"/>
        <v>0</v>
      </c>
      <c r="Y273" s="141" t="b">
        <f t="shared" si="4"/>
        <v>0</v>
      </c>
      <c r="Z273" s="141" t="b">
        <f t="shared" si="5"/>
        <v>0</v>
      </c>
      <c r="AA273" s="141" t="b">
        <f t="shared" si="6"/>
        <v>0</v>
      </c>
    </row>
    <row r="274">
      <c r="A274" s="8">
        <f t="shared" si="7"/>
        <v>273</v>
      </c>
      <c r="B274" s="8"/>
      <c r="C274" s="8"/>
      <c r="D274" s="8" t="s">
        <v>19</v>
      </c>
      <c r="E274" s="8" t="s">
        <v>2685</v>
      </c>
      <c r="F274" s="8" t="s">
        <v>1479</v>
      </c>
      <c r="G274" s="8" t="s">
        <v>2573</v>
      </c>
      <c r="H274" s="8">
        <f>1</f>
        <v>1</v>
      </c>
      <c r="I274" s="8" t="s">
        <v>82</v>
      </c>
      <c r="J274" s="8" t="s">
        <v>22</v>
      </c>
      <c r="K274" s="8" t="s">
        <v>892</v>
      </c>
      <c r="L274" s="8" t="s">
        <v>24</v>
      </c>
      <c r="M274" s="9">
        <v>0.0</v>
      </c>
      <c r="N274" s="9">
        <v>0.6</v>
      </c>
      <c r="O274" s="9">
        <f>0.615*0.6</f>
        <v>0.369</v>
      </c>
      <c r="P274" s="10">
        <v>45104.0</v>
      </c>
      <c r="Q274" s="11">
        <v>1.8</v>
      </c>
      <c r="R274" s="8" t="s">
        <v>33</v>
      </c>
      <c r="S274" s="12">
        <f t="shared" si="1"/>
        <v>0.2952</v>
      </c>
      <c r="T274" s="12">
        <f t="shared" si="8"/>
        <v>0.3320683633</v>
      </c>
      <c r="U274" s="145"/>
      <c r="V274" s="66">
        <v>45350.0</v>
      </c>
      <c r="W274" s="13">
        <f t="shared" si="2"/>
        <v>1.405275</v>
      </c>
      <c r="X274" s="141" t="b">
        <f t="shared" si="3"/>
        <v>0</v>
      </c>
      <c r="Y274" s="141" t="b">
        <f t="shared" si="4"/>
        <v>0</v>
      </c>
      <c r="Z274" s="141" t="str">
        <f t="shared" si="5"/>
        <v>Green-green</v>
      </c>
      <c r="AA274" s="141" t="b">
        <f t="shared" si="6"/>
        <v>0</v>
      </c>
    </row>
    <row r="275">
      <c r="A275" s="15">
        <f t="shared" si="7"/>
        <v>274</v>
      </c>
      <c r="B275" s="15"/>
      <c r="C275" s="15"/>
      <c r="D275" s="15" t="s">
        <v>19</v>
      </c>
      <c r="E275" s="15" t="s">
        <v>2686</v>
      </c>
      <c r="F275" s="15"/>
      <c r="G275" s="15"/>
      <c r="H275" s="15" t="s">
        <v>2608</v>
      </c>
      <c r="I275" s="15" t="s">
        <v>2380</v>
      </c>
      <c r="J275" s="15" t="s">
        <v>22</v>
      </c>
      <c r="K275" s="15" t="s">
        <v>440</v>
      </c>
      <c r="L275" s="15" t="s">
        <v>39</v>
      </c>
      <c r="M275" s="16">
        <v>0.75</v>
      </c>
      <c r="N275" s="16">
        <v>0.7</v>
      </c>
      <c r="O275" s="16">
        <v>0.7</v>
      </c>
      <c r="P275" s="17">
        <v>45105.0</v>
      </c>
      <c r="Q275" s="15">
        <v>1.725</v>
      </c>
      <c r="R275" s="15" t="s">
        <v>30</v>
      </c>
      <c r="S275" s="19">
        <f t="shared" si="1"/>
        <v>0.25375</v>
      </c>
      <c r="T275" s="19">
        <f t="shared" si="8"/>
        <v>0.5858183633</v>
      </c>
      <c r="U275" s="144"/>
      <c r="V275" s="66">
        <v>45351.0</v>
      </c>
      <c r="W275" s="13">
        <f t="shared" si="2"/>
        <v>0.2987</v>
      </c>
      <c r="X275" s="141" t="b">
        <f t="shared" si="3"/>
        <v>0</v>
      </c>
      <c r="Y275" s="141" t="str">
        <f t="shared" si="4"/>
        <v>Green-red</v>
      </c>
      <c r="Z275" s="141" t="b">
        <f t="shared" si="5"/>
        <v>0</v>
      </c>
      <c r="AA275" s="141" t="str">
        <f t="shared" si="6"/>
        <v>Red-green</v>
      </c>
    </row>
    <row r="276">
      <c r="A276" s="8">
        <f t="shared" si="7"/>
        <v>275</v>
      </c>
      <c r="B276" s="8"/>
      <c r="C276" s="8"/>
      <c r="D276" s="8" t="s">
        <v>19</v>
      </c>
      <c r="E276" s="8" t="s">
        <v>2687</v>
      </c>
      <c r="F276" s="8" t="s">
        <v>1473</v>
      </c>
      <c r="G276" s="8" t="s">
        <v>2660</v>
      </c>
      <c r="H276" s="8">
        <v>0.0</v>
      </c>
      <c r="I276" s="8" t="s">
        <v>28</v>
      </c>
      <c r="J276" s="8" t="s">
        <v>22</v>
      </c>
      <c r="K276" s="8" t="s">
        <v>892</v>
      </c>
      <c r="L276" s="8" t="s">
        <v>2688</v>
      </c>
      <c r="M276" s="9">
        <v>0.0</v>
      </c>
      <c r="N276" s="9">
        <v>0.7</v>
      </c>
      <c r="O276" s="9">
        <f>0.385*0.7</f>
        <v>0.2695</v>
      </c>
      <c r="P276" s="10">
        <v>45105.0</v>
      </c>
      <c r="Q276" s="11">
        <v>1.95</v>
      </c>
      <c r="R276" s="8" t="s">
        <v>25</v>
      </c>
      <c r="S276" s="12">
        <f t="shared" si="1"/>
        <v>-0.2695</v>
      </c>
      <c r="T276" s="12">
        <f t="shared" si="8"/>
        <v>0.3163183633</v>
      </c>
      <c r="U276" s="145"/>
      <c r="V276" s="66">
        <v>45352.0</v>
      </c>
      <c r="W276" s="13">
        <f t="shared" si="2"/>
        <v>-2.5853</v>
      </c>
      <c r="X276" s="141" t="str">
        <f t="shared" si="3"/>
        <v>Red-red</v>
      </c>
      <c r="Y276" s="141" t="b">
        <f t="shared" si="4"/>
        <v>0</v>
      </c>
      <c r="Z276" s="141" t="b">
        <f t="shared" si="5"/>
        <v>0</v>
      </c>
      <c r="AA276" s="141" t="b">
        <f t="shared" si="6"/>
        <v>0</v>
      </c>
    </row>
    <row r="277">
      <c r="A277" s="15">
        <f t="shared" si="7"/>
        <v>276</v>
      </c>
      <c r="B277" s="15"/>
      <c r="C277" s="15"/>
      <c r="D277" s="15" t="s">
        <v>19</v>
      </c>
      <c r="E277" s="15" t="s">
        <v>2689</v>
      </c>
      <c r="F277" s="15" t="s">
        <v>1479</v>
      </c>
      <c r="G277" s="15" t="s">
        <v>2660</v>
      </c>
      <c r="H277" s="15">
        <v>-1.0</v>
      </c>
      <c r="I277" s="15" t="s">
        <v>28</v>
      </c>
      <c r="J277" s="15" t="s">
        <v>22</v>
      </c>
      <c r="K277" s="15" t="s">
        <v>892</v>
      </c>
      <c r="L277" s="15" t="s">
        <v>24</v>
      </c>
      <c r="M277" s="16">
        <v>0.0</v>
      </c>
      <c r="N277" s="16">
        <v>0.7</v>
      </c>
      <c r="O277" s="16">
        <v>0.7</v>
      </c>
      <c r="P277" s="17">
        <v>45105.0</v>
      </c>
      <c r="Q277" s="15">
        <v>1.725</v>
      </c>
      <c r="R277" s="15" t="s">
        <v>25</v>
      </c>
      <c r="S277" s="19">
        <f t="shared" si="1"/>
        <v>-0.7</v>
      </c>
      <c r="T277" s="19">
        <f t="shared" si="8"/>
        <v>-0.3836816367</v>
      </c>
      <c r="U277" s="144"/>
      <c r="V277" s="66">
        <v>45353.0</v>
      </c>
      <c r="W277" s="13">
        <f t="shared" si="2"/>
        <v>-0.30925</v>
      </c>
      <c r="X277" s="141" t="str">
        <f t="shared" si="3"/>
        <v>Red-red</v>
      </c>
      <c r="Y277" s="141" t="b">
        <f t="shared" si="4"/>
        <v>0</v>
      </c>
      <c r="Z277" s="141" t="b">
        <f t="shared" si="5"/>
        <v>0</v>
      </c>
      <c r="AA277" s="141" t="b">
        <f t="shared" si="6"/>
        <v>0</v>
      </c>
    </row>
    <row r="278">
      <c r="A278" s="8">
        <f t="shared" si="7"/>
        <v>277</v>
      </c>
      <c r="B278" s="8"/>
      <c r="C278" s="8"/>
      <c r="D278" s="8" t="s">
        <v>19</v>
      </c>
      <c r="E278" s="8" t="s">
        <v>2690</v>
      </c>
      <c r="F278" s="8"/>
      <c r="G278" s="8"/>
      <c r="H278" s="8" t="s">
        <v>2615</v>
      </c>
      <c r="I278" s="8" t="s">
        <v>463</v>
      </c>
      <c r="J278" s="8" t="s">
        <v>22</v>
      </c>
      <c r="K278" s="8" t="s">
        <v>29</v>
      </c>
      <c r="L278" s="8" t="s">
        <v>24</v>
      </c>
      <c r="M278" s="9">
        <v>-5.25</v>
      </c>
      <c r="N278" s="9">
        <v>0.7</v>
      </c>
      <c r="O278" s="9">
        <f>0.179*0.7</f>
        <v>0.1253</v>
      </c>
      <c r="P278" s="10">
        <v>45105.0</v>
      </c>
      <c r="Q278" s="11">
        <v>1.8</v>
      </c>
      <c r="R278" s="8" t="s">
        <v>33</v>
      </c>
      <c r="S278" s="12">
        <f t="shared" si="1"/>
        <v>0.10024</v>
      </c>
      <c r="T278" s="12">
        <f t="shared" si="8"/>
        <v>-0.2834416367</v>
      </c>
      <c r="U278" s="145"/>
      <c r="V278" s="66">
        <v>45354.0</v>
      </c>
      <c r="W278" s="13">
        <f t="shared" si="2"/>
        <v>-2.027</v>
      </c>
      <c r="X278" s="141" t="b">
        <f t="shared" si="3"/>
        <v>0</v>
      </c>
      <c r="Y278" s="141" t="b">
        <f t="shared" si="4"/>
        <v>0</v>
      </c>
      <c r="Z278" s="141" t="b">
        <f t="shared" si="5"/>
        <v>0</v>
      </c>
      <c r="AA278" s="141" t="b">
        <f t="shared" si="6"/>
        <v>0</v>
      </c>
    </row>
    <row r="279">
      <c r="A279" s="15">
        <f t="shared" si="7"/>
        <v>278</v>
      </c>
      <c r="B279" s="15"/>
      <c r="C279" s="15"/>
      <c r="D279" s="15" t="s">
        <v>19</v>
      </c>
      <c r="E279" s="96" t="s">
        <v>2691</v>
      </c>
      <c r="F279" s="139"/>
      <c r="G279" s="139"/>
      <c r="H279" s="139" t="s">
        <v>2615</v>
      </c>
      <c r="I279" s="15" t="s">
        <v>463</v>
      </c>
      <c r="J279" s="15" t="s">
        <v>22</v>
      </c>
      <c r="K279" s="15" t="s">
        <v>29</v>
      </c>
      <c r="L279" s="15" t="s">
        <v>24</v>
      </c>
      <c r="M279" s="16">
        <v>-5.0</v>
      </c>
      <c r="N279" s="16">
        <v>0.7</v>
      </c>
      <c r="O279" s="16">
        <f>0.154*0.7</f>
        <v>0.1078</v>
      </c>
      <c r="P279" s="17">
        <v>45105.0</v>
      </c>
      <c r="Q279" s="18">
        <v>2.0</v>
      </c>
      <c r="R279" s="15" t="s">
        <v>33</v>
      </c>
      <c r="S279" s="19">
        <f t="shared" si="1"/>
        <v>0.1078</v>
      </c>
      <c r="T279" s="19">
        <f t="shared" si="8"/>
        <v>-0.1756416367</v>
      </c>
      <c r="U279" s="144"/>
      <c r="V279" s="66">
        <v>45355.0</v>
      </c>
      <c r="W279" s="13">
        <f t="shared" si="2"/>
        <v>0.225</v>
      </c>
      <c r="X279" s="141" t="b">
        <f t="shared" si="3"/>
        <v>0</v>
      </c>
      <c r="Y279" s="141" t="b">
        <f t="shared" si="4"/>
        <v>0</v>
      </c>
      <c r="Z279" s="141" t="str">
        <f t="shared" si="5"/>
        <v>Green-green</v>
      </c>
      <c r="AA279" s="141" t="b">
        <f t="shared" si="6"/>
        <v>0</v>
      </c>
    </row>
    <row r="280">
      <c r="A280" s="8">
        <f t="shared" si="7"/>
        <v>279</v>
      </c>
      <c r="B280" s="8"/>
      <c r="C280" s="8"/>
      <c r="D280" s="8" t="s">
        <v>19</v>
      </c>
      <c r="E280" s="8" t="s">
        <v>2692</v>
      </c>
      <c r="F280" s="8" t="s">
        <v>1479</v>
      </c>
      <c r="G280" s="8" t="s">
        <v>2554</v>
      </c>
      <c r="H280" s="8">
        <v>0.0</v>
      </c>
      <c r="I280" s="8" t="s">
        <v>82</v>
      </c>
      <c r="J280" s="8" t="s">
        <v>22</v>
      </c>
      <c r="K280" s="8" t="s">
        <v>892</v>
      </c>
      <c r="L280" s="8" t="s">
        <v>1851</v>
      </c>
      <c r="M280" s="9">
        <v>0.0</v>
      </c>
      <c r="N280" s="9">
        <v>0.7</v>
      </c>
      <c r="O280" s="9">
        <f>0.641*0.7</f>
        <v>0.4487</v>
      </c>
      <c r="P280" s="10">
        <v>45105.0</v>
      </c>
      <c r="Q280" s="11">
        <f>560/350</f>
        <v>1.6</v>
      </c>
      <c r="R280" s="8" t="s">
        <v>33</v>
      </c>
      <c r="S280" s="12">
        <f t="shared" si="1"/>
        <v>0.26922</v>
      </c>
      <c r="T280" s="12">
        <f t="shared" si="8"/>
        <v>0.09357836333</v>
      </c>
      <c r="U280" s="145"/>
      <c r="V280" s="66">
        <v>45356.0</v>
      </c>
      <c r="W280" s="13">
        <f t="shared" si="2"/>
        <v>0.1775</v>
      </c>
      <c r="X280" s="141" t="b">
        <f t="shared" si="3"/>
        <v>0</v>
      </c>
      <c r="Y280" s="141" t="b">
        <f t="shared" si="4"/>
        <v>0</v>
      </c>
      <c r="Z280" s="141" t="str">
        <f t="shared" si="5"/>
        <v>Green-green</v>
      </c>
      <c r="AA280" s="141" t="b">
        <f t="shared" si="6"/>
        <v>0</v>
      </c>
    </row>
    <row r="281">
      <c r="A281" s="15">
        <f t="shared" si="7"/>
        <v>280</v>
      </c>
      <c r="B281" s="15"/>
      <c r="C281" s="15"/>
      <c r="D281" s="15" t="s">
        <v>40</v>
      </c>
      <c r="E281" s="15" t="s">
        <v>2693</v>
      </c>
      <c r="F281" s="15"/>
      <c r="G281" s="15"/>
      <c r="H281" s="15" t="s">
        <v>2618</v>
      </c>
      <c r="I281" s="15" t="s">
        <v>82</v>
      </c>
      <c r="J281" s="15" t="s">
        <v>22</v>
      </c>
      <c r="K281" s="15" t="s">
        <v>440</v>
      </c>
      <c r="L281" s="15" t="s">
        <v>39</v>
      </c>
      <c r="M281" s="16">
        <v>4.75</v>
      </c>
      <c r="N281" s="16">
        <v>0.7</v>
      </c>
      <c r="O281" s="16">
        <v>0.7</v>
      </c>
      <c r="P281" s="17">
        <v>45105.0</v>
      </c>
      <c r="Q281" s="15">
        <v>1.775</v>
      </c>
      <c r="R281" s="15" t="s">
        <v>30</v>
      </c>
      <c r="S281" s="19">
        <f t="shared" si="1"/>
        <v>0.27125</v>
      </c>
      <c r="T281" s="19">
        <f t="shared" si="8"/>
        <v>0.3648283633</v>
      </c>
      <c r="U281" s="144"/>
      <c r="V281" s="66">
        <v>45357.0</v>
      </c>
      <c r="W281" s="13">
        <f t="shared" si="2"/>
        <v>0.492</v>
      </c>
      <c r="X281" s="141" t="b">
        <f t="shared" si="3"/>
        <v>0</v>
      </c>
      <c r="Y281" s="141" t="b">
        <f t="shared" si="4"/>
        <v>0</v>
      </c>
      <c r="Z281" s="141" t="str">
        <f t="shared" si="5"/>
        <v>Green-green</v>
      </c>
      <c r="AA281" s="141" t="b">
        <f t="shared" si="6"/>
        <v>0</v>
      </c>
    </row>
    <row r="282">
      <c r="A282" s="8">
        <f t="shared" si="7"/>
        <v>281</v>
      </c>
      <c r="B282" s="8"/>
      <c r="C282" s="8"/>
      <c r="D282" s="8" t="s">
        <v>19</v>
      </c>
      <c r="E282" s="8" t="s">
        <v>2694</v>
      </c>
      <c r="F282" s="8" t="s">
        <v>1479</v>
      </c>
      <c r="G282" s="8" t="s">
        <v>2556</v>
      </c>
      <c r="H282" s="8">
        <v>0.0</v>
      </c>
      <c r="I282" s="8" t="s">
        <v>82</v>
      </c>
      <c r="J282" s="8" t="s">
        <v>22</v>
      </c>
      <c r="K282" s="8" t="s">
        <v>225</v>
      </c>
      <c r="L282" s="8" t="s">
        <v>24</v>
      </c>
      <c r="M282" s="9">
        <v>0.75</v>
      </c>
      <c r="N282" s="9">
        <v>0.8</v>
      </c>
      <c r="O282" s="9">
        <v>0.8</v>
      </c>
      <c r="P282" s="10">
        <v>45106.0</v>
      </c>
      <c r="Q282" s="11">
        <v>1.8</v>
      </c>
      <c r="R282" s="8" t="s">
        <v>79</v>
      </c>
      <c r="S282" s="12">
        <f t="shared" si="1"/>
        <v>-0.4</v>
      </c>
      <c r="T282" s="12">
        <f t="shared" si="8"/>
        <v>-0.03517163667</v>
      </c>
      <c r="U282" s="145"/>
      <c r="V282" s="66">
        <v>45358.0</v>
      </c>
      <c r="W282" s="13">
        <f t="shared" si="2"/>
        <v>1.703</v>
      </c>
      <c r="X282" s="141" t="b">
        <f t="shared" si="3"/>
        <v>0</v>
      </c>
      <c r="Y282" s="141" t="str">
        <f t="shared" si="4"/>
        <v>Green-red</v>
      </c>
      <c r="Z282" s="141" t="b">
        <f t="shared" si="5"/>
        <v>0</v>
      </c>
      <c r="AA282" s="141" t="str">
        <f t="shared" si="6"/>
        <v>Red-green</v>
      </c>
    </row>
    <row r="283">
      <c r="A283" s="15">
        <f t="shared" si="7"/>
        <v>282</v>
      </c>
      <c r="B283" s="15"/>
      <c r="C283" s="15"/>
      <c r="D283" s="15" t="s">
        <v>40</v>
      </c>
      <c r="E283" s="15" t="s">
        <v>2695</v>
      </c>
      <c r="F283" s="15"/>
      <c r="G283" s="15"/>
      <c r="H283" s="15" t="s">
        <v>2618</v>
      </c>
      <c r="I283" s="15" t="s">
        <v>82</v>
      </c>
      <c r="J283" s="15" t="s">
        <v>22</v>
      </c>
      <c r="K283" s="15" t="s">
        <v>440</v>
      </c>
      <c r="L283" s="15" t="s">
        <v>39</v>
      </c>
      <c r="M283" s="16">
        <v>2.0</v>
      </c>
      <c r="N283" s="16">
        <v>0.8</v>
      </c>
      <c r="O283" s="16">
        <f>(1-0.231)*0.8</f>
        <v>0.6152</v>
      </c>
      <c r="P283" s="17">
        <v>45106.0</v>
      </c>
      <c r="Q283" s="15">
        <v>2.025</v>
      </c>
      <c r="R283" s="15" t="s">
        <v>25</v>
      </c>
      <c r="S283" s="19">
        <f t="shared" si="1"/>
        <v>-0.6152</v>
      </c>
      <c r="T283" s="19">
        <f t="shared" si="8"/>
        <v>-0.6503716367</v>
      </c>
      <c r="U283" s="144"/>
      <c r="V283" s="66">
        <v>45359.0</v>
      </c>
      <c r="W283" s="13">
        <f t="shared" si="2"/>
        <v>-0.147</v>
      </c>
      <c r="X283" s="141" t="b">
        <f t="shared" si="3"/>
        <v>0</v>
      </c>
      <c r="Y283" s="141" t="b">
        <f t="shared" si="4"/>
        <v>0</v>
      </c>
      <c r="Z283" s="141" t="b">
        <f t="shared" si="5"/>
        <v>0</v>
      </c>
      <c r="AA283" s="141" t="b">
        <f t="shared" si="6"/>
        <v>0</v>
      </c>
    </row>
    <row r="284">
      <c r="A284" s="8">
        <f t="shared" si="7"/>
        <v>283</v>
      </c>
      <c r="B284" s="8"/>
      <c r="C284" s="8"/>
      <c r="D284" s="8" t="s">
        <v>40</v>
      </c>
      <c r="E284" s="8" t="s">
        <v>2696</v>
      </c>
      <c r="F284" s="8"/>
      <c r="G284" s="8"/>
      <c r="H284" s="8" t="s">
        <v>2618</v>
      </c>
      <c r="I284" s="8" t="s">
        <v>82</v>
      </c>
      <c r="J284" s="8" t="s">
        <v>22</v>
      </c>
      <c r="K284" s="8" t="s">
        <v>440</v>
      </c>
      <c r="L284" s="8" t="s">
        <v>39</v>
      </c>
      <c r="M284" s="9">
        <v>1.75</v>
      </c>
      <c r="N284" s="9">
        <v>0.8</v>
      </c>
      <c r="O284" s="9">
        <f>0.231*0.8</f>
        <v>0.1848</v>
      </c>
      <c r="P284" s="10">
        <v>45106.0</v>
      </c>
      <c r="Q284" s="8">
        <v>1.725</v>
      </c>
      <c r="R284" s="8" t="s">
        <v>25</v>
      </c>
      <c r="S284" s="12">
        <f t="shared" si="1"/>
        <v>-0.1848</v>
      </c>
      <c r="T284" s="12">
        <f t="shared" si="8"/>
        <v>-0.8351716367</v>
      </c>
      <c r="U284" s="145"/>
      <c r="V284" s="66">
        <v>45360.0</v>
      </c>
      <c r="W284" s="13">
        <f t="shared" si="2"/>
        <v>3.048997273</v>
      </c>
      <c r="X284" s="141" t="b">
        <f t="shared" si="3"/>
        <v>0</v>
      </c>
      <c r="Y284" s="141" t="str">
        <f t="shared" si="4"/>
        <v>Green-red</v>
      </c>
      <c r="Z284" s="141" t="b">
        <f t="shared" si="5"/>
        <v>0</v>
      </c>
      <c r="AA284" s="141" t="str">
        <f t="shared" si="6"/>
        <v>Red-green</v>
      </c>
    </row>
    <row r="285">
      <c r="A285" s="15">
        <f t="shared" si="7"/>
        <v>284</v>
      </c>
      <c r="B285" s="15"/>
      <c r="C285" s="15"/>
      <c r="D285" s="15" t="s">
        <v>19</v>
      </c>
      <c r="E285" s="15" t="s">
        <v>2697</v>
      </c>
      <c r="F285" s="15" t="s">
        <v>1473</v>
      </c>
      <c r="G285" s="15" t="s">
        <v>2660</v>
      </c>
      <c r="H285" s="15">
        <v>-1.0</v>
      </c>
      <c r="I285" s="15" t="s">
        <v>78</v>
      </c>
      <c r="J285" s="15" t="s">
        <v>22</v>
      </c>
      <c r="K285" s="15" t="s">
        <v>892</v>
      </c>
      <c r="L285" s="15" t="s">
        <v>24</v>
      </c>
      <c r="M285" s="16">
        <v>0.0</v>
      </c>
      <c r="N285" s="16">
        <v>0.8</v>
      </c>
      <c r="O285" s="16">
        <v>0.8</v>
      </c>
      <c r="P285" s="17">
        <v>45106.0</v>
      </c>
      <c r="Q285" s="18">
        <v>2.1</v>
      </c>
      <c r="R285" s="15" t="s">
        <v>25</v>
      </c>
      <c r="S285" s="19">
        <f t="shared" si="1"/>
        <v>-0.8</v>
      </c>
      <c r="T285" s="19">
        <f t="shared" si="8"/>
        <v>-1.635171637</v>
      </c>
      <c r="U285" s="144"/>
      <c r="V285" s="66">
        <v>45361.0</v>
      </c>
      <c r="W285" s="13">
        <f t="shared" si="2"/>
        <v>-0.96053125</v>
      </c>
      <c r="X285" s="141" t="b">
        <f t="shared" si="3"/>
        <v>0</v>
      </c>
      <c r="Y285" s="141" t="b">
        <f t="shared" si="4"/>
        <v>0</v>
      </c>
      <c r="Z285" s="141" t="b">
        <f t="shared" si="5"/>
        <v>0</v>
      </c>
      <c r="AA285" s="141" t="b">
        <f t="shared" si="6"/>
        <v>0</v>
      </c>
    </row>
    <row r="286">
      <c r="A286" s="8">
        <f t="shared" si="7"/>
        <v>285</v>
      </c>
      <c r="B286" s="8"/>
      <c r="C286" s="8"/>
      <c r="D286" s="8" t="s">
        <v>19</v>
      </c>
      <c r="E286" s="8" t="s">
        <v>2698</v>
      </c>
      <c r="F286" s="8" t="s">
        <v>1473</v>
      </c>
      <c r="G286" s="8" t="s">
        <v>2660</v>
      </c>
      <c r="H286" s="8">
        <v>0.0</v>
      </c>
      <c r="I286" s="8" t="s">
        <v>319</v>
      </c>
      <c r="J286" s="8" t="s">
        <v>22</v>
      </c>
      <c r="K286" s="8" t="s">
        <v>892</v>
      </c>
      <c r="L286" s="8" t="s">
        <v>24</v>
      </c>
      <c r="M286" s="9">
        <v>0.0</v>
      </c>
      <c r="N286" s="9">
        <v>0.8</v>
      </c>
      <c r="O286" s="9">
        <v>0.8</v>
      </c>
      <c r="P286" s="10">
        <v>45106.0</v>
      </c>
      <c r="Q286" s="11">
        <v>1.9</v>
      </c>
      <c r="R286" s="8" t="s">
        <v>25</v>
      </c>
      <c r="S286" s="12">
        <f t="shared" si="1"/>
        <v>-0.8</v>
      </c>
      <c r="T286" s="12">
        <f t="shared" si="8"/>
        <v>-2.435171637</v>
      </c>
      <c r="U286" s="145"/>
      <c r="V286" s="66">
        <v>45362.0</v>
      </c>
      <c r="W286" s="13">
        <f t="shared" si="2"/>
        <v>0</v>
      </c>
      <c r="X286" s="141" t="b">
        <f t="shared" si="3"/>
        <v>0</v>
      </c>
      <c r="Y286" s="141" t="b">
        <f t="shared" si="4"/>
        <v>0</v>
      </c>
      <c r="Z286" s="141" t="b">
        <f t="shared" si="5"/>
        <v>0</v>
      </c>
      <c r="AA286" s="141" t="b">
        <f t="shared" si="6"/>
        <v>0</v>
      </c>
    </row>
    <row r="287">
      <c r="A287" s="15">
        <f t="shared" si="7"/>
        <v>286</v>
      </c>
      <c r="B287" s="15"/>
      <c r="C287" s="15"/>
      <c r="D287" s="15" t="s">
        <v>40</v>
      </c>
      <c r="E287" s="15" t="s">
        <v>2699</v>
      </c>
      <c r="F287" s="15"/>
      <c r="G287" s="15"/>
      <c r="H287" s="15" t="s">
        <v>598</v>
      </c>
      <c r="I287" s="15" t="s">
        <v>82</v>
      </c>
      <c r="J287" s="15" t="s">
        <v>598</v>
      </c>
      <c r="K287" s="15" t="s">
        <v>29</v>
      </c>
      <c r="L287" s="15" t="s">
        <v>1522</v>
      </c>
      <c r="M287" s="16">
        <v>-3.0</v>
      </c>
      <c r="N287" s="16">
        <v>0.8</v>
      </c>
      <c r="O287" s="16">
        <v>0.12</v>
      </c>
      <c r="P287" s="17">
        <v>45106.0</v>
      </c>
      <c r="Q287" s="18">
        <v>1.9</v>
      </c>
      <c r="R287" s="15" t="s">
        <v>25</v>
      </c>
      <c r="S287" s="19">
        <f t="shared" si="1"/>
        <v>-0.12</v>
      </c>
      <c r="T287" s="19">
        <f t="shared" si="8"/>
        <v>-2.555171637</v>
      </c>
      <c r="U287" s="144"/>
      <c r="V287" s="66">
        <v>45363.0</v>
      </c>
      <c r="W287" s="13">
        <f t="shared" si="2"/>
        <v>-0.55464</v>
      </c>
      <c r="X287" s="141" t="str">
        <f t="shared" si="3"/>
        <v>Red-red</v>
      </c>
      <c r="Y287" s="141" t="b">
        <f t="shared" si="4"/>
        <v>0</v>
      </c>
      <c r="Z287" s="141" t="b">
        <f t="shared" si="5"/>
        <v>0</v>
      </c>
      <c r="AA287" s="141" t="b">
        <f t="shared" si="6"/>
        <v>0</v>
      </c>
    </row>
    <row r="288">
      <c r="A288" s="8">
        <f t="shared" si="7"/>
        <v>287</v>
      </c>
      <c r="B288" s="8"/>
      <c r="C288" s="8"/>
      <c r="D288" s="8" t="s">
        <v>40</v>
      </c>
      <c r="E288" s="8" t="s">
        <v>2700</v>
      </c>
      <c r="F288" s="8" t="s">
        <v>1473</v>
      </c>
      <c r="G288" s="8" t="s">
        <v>2556</v>
      </c>
      <c r="H288" s="8">
        <v>0.0</v>
      </c>
      <c r="I288" s="8" t="s">
        <v>794</v>
      </c>
      <c r="J288" s="8" t="s">
        <v>22</v>
      </c>
      <c r="K288" s="8" t="s">
        <v>225</v>
      </c>
      <c r="L288" s="8" t="s">
        <v>24</v>
      </c>
      <c r="M288" s="9">
        <v>0.25</v>
      </c>
      <c r="N288" s="9">
        <v>0.9</v>
      </c>
      <c r="O288" s="9">
        <f>0.268*0.9</f>
        <v>0.2412</v>
      </c>
      <c r="P288" s="10">
        <v>45107.0</v>
      </c>
      <c r="Q288" s="8">
        <f>774/450</f>
        <v>1.72</v>
      </c>
      <c r="R288" s="8" t="s">
        <v>33</v>
      </c>
      <c r="S288" s="12">
        <f t="shared" si="1"/>
        <v>0.173664</v>
      </c>
      <c r="T288" s="12">
        <f t="shared" si="8"/>
        <v>-2.381507637</v>
      </c>
      <c r="U288" s="145"/>
      <c r="V288" s="66">
        <v>45364.0</v>
      </c>
      <c r="W288" s="13">
        <f t="shared" si="2"/>
        <v>-0.875</v>
      </c>
      <c r="X288" s="141" t="b">
        <f t="shared" si="3"/>
        <v>0</v>
      </c>
      <c r="Y288" s="141" t="b">
        <f t="shared" si="4"/>
        <v>0</v>
      </c>
      <c r="Z288" s="141" t="b">
        <f t="shared" si="5"/>
        <v>0</v>
      </c>
      <c r="AA288" s="141" t="b">
        <f t="shared" si="6"/>
        <v>0</v>
      </c>
    </row>
    <row r="289">
      <c r="A289" s="15">
        <f t="shared" si="7"/>
        <v>288</v>
      </c>
      <c r="B289" s="15"/>
      <c r="C289" s="15"/>
      <c r="D289" s="15" t="s">
        <v>40</v>
      </c>
      <c r="E289" s="15" t="s">
        <v>2701</v>
      </c>
      <c r="F289" s="15" t="s">
        <v>1473</v>
      </c>
      <c r="G289" s="15" t="s">
        <v>2702</v>
      </c>
      <c r="H289" s="15">
        <f t="shared" ref="H289:H291" si="12">1</f>
        <v>1</v>
      </c>
      <c r="I289" s="15" t="s">
        <v>794</v>
      </c>
      <c r="J289" s="15" t="s">
        <v>22</v>
      </c>
      <c r="K289" s="15" t="s">
        <v>892</v>
      </c>
      <c r="L289" s="15" t="s">
        <v>24</v>
      </c>
      <c r="M289" s="16">
        <v>0.0</v>
      </c>
      <c r="N289" s="16">
        <v>0.9</v>
      </c>
      <c r="O289" s="16">
        <f>0.146*0.9</f>
        <v>0.1314</v>
      </c>
      <c r="P289" s="17">
        <v>45107.0</v>
      </c>
      <c r="Q289" s="15">
        <v>1.825</v>
      </c>
      <c r="R289" s="15" t="s">
        <v>70</v>
      </c>
      <c r="S289" s="19">
        <f t="shared" si="1"/>
        <v>0</v>
      </c>
      <c r="T289" s="19">
        <f t="shared" si="8"/>
        <v>-2.381507637</v>
      </c>
      <c r="U289" s="144"/>
      <c r="V289" s="66">
        <v>45365.0</v>
      </c>
      <c r="W289" s="13">
        <f t="shared" si="2"/>
        <v>0.7975</v>
      </c>
      <c r="X289" s="141" t="b">
        <f t="shared" si="3"/>
        <v>0</v>
      </c>
      <c r="Y289" s="141" t="b">
        <f t="shared" si="4"/>
        <v>0</v>
      </c>
      <c r="Z289" s="141" t="str">
        <f t="shared" si="5"/>
        <v>Green-green</v>
      </c>
      <c r="AA289" s="141" t="b">
        <f t="shared" si="6"/>
        <v>0</v>
      </c>
    </row>
    <row r="290">
      <c r="A290" s="8">
        <f t="shared" si="7"/>
        <v>289</v>
      </c>
      <c r="B290" s="8"/>
      <c r="C290" s="8"/>
      <c r="D290" s="8" t="s">
        <v>40</v>
      </c>
      <c r="E290" s="8" t="s">
        <v>2703</v>
      </c>
      <c r="F290" s="8" t="s">
        <v>1473</v>
      </c>
      <c r="G290" s="8" t="s">
        <v>2702</v>
      </c>
      <c r="H290" s="8">
        <f t="shared" si="12"/>
        <v>1</v>
      </c>
      <c r="I290" s="8" t="s">
        <v>794</v>
      </c>
      <c r="J290" s="8" t="s">
        <v>22</v>
      </c>
      <c r="K290" s="8" t="s">
        <v>1150</v>
      </c>
      <c r="L290" s="8" t="s">
        <v>24</v>
      </c>
      <c r="M290" s="9">
        <v>0.0</v>
      </c>
      <c r="N290" s="9">
        <v>0.9</v>
      </c>
      <c r="O290" s="9">
        <f>0.585*0.9</f>
        <v>0.5265</v>
      </c>
      <c r="P290" s="10">
        <v>45107.0</v>
      </c>
      <c r="Q290" s="11">
        <v>1.7</v>
      </c>
      <c r="R290" s="8" t="s">
        <v>70</v>
      </c>
      <c r="S290" s="12">
        <f t="shared" si="1"/>
        <v>0</v>
      </c>
      <c r="T290" s="12">
        <f t="shared" si="8"/>
        <v>-2.381507637</v>
      </c>
      <c r="U290" s="145"/>
      <c r="V290" s="66">
        <v>45366.0</v>
      </c>
      <c r="W290" s="13">
        <f t="shared" si="2"/>
        <v>1.0028</v>
      </c>
      <c r="X290" s="141" t="b">
        <f t="shared" si="3"/>
        <v>0</v>
      </c>
      <c r="Y290" s="141" t="b">
        <f t="shared" si="4"/>
        <v>0</v>
      </c>
      <c r="Z290" s="141" t="str">
        <f t="shared" si="5"/>
        <v>Green-green</v>
      </c>
      <c r="AA290" s="141" t="b">
        <f t="shared" si="6"/>
        <v>0</v>
      </c>
    </row>
    <row r="291">
      <c r="A291" s="15">
        <f t="shared" si="7"/>
        <v>290</v>
      </c>
      <c r="B291" s="15"/>
      <c r="C291" s="15"/>
      <c r="D291" s="15" t="s">
        <v>40</v>
      </c>
      <c r="E291" s="15" t="s">
        <v>2704</v>
      </c>
      <c r="F291" s="15" t="s">
        <v>1473</v>
      </c>
      <c r="G291" s="15" t="s">
        <v>2556</v>
      </c>
      <c r="H291" s="15">
        <f t="shared" si="12"/>
        <v>1</v>
      </c>
      <c r="I291" s="15" t="s">
        <v>794</v>
      </c>
      <c r="J291" s="15" t="s">
        <v>22</v>
      </c>
      <c r="K291" s="15" t="s">
        <v>225</v>
      </c>
      <c r="L291" s="15" t="s">
        <v>2705</v>
      </c>
      <c r="M291" s="16">
        <v>1.25</v>
      </c>
      <c r="N291" s="16">
        <v>0.9</v>
      </c>
      <c r="O291" s="16">
        <v>0.9</v>
      </c>
      <c r="P291" s="17">
        <v>45107.0</v>
      </c>
      <c r="Q291" s="18">
        <v>1.4385</v>
      </c>
      <c r="R291" s="15" t="s">
        <v>33</v>
      </c>
      <c r="S291" s="19">
        <f t="shared" si="1"/>
        <v>0.39465</v>
      </c>
      <c r="T291" s="19">
        <f t="shared" si="8"/>
        <v>-1.986857637</v>
      </c>
      <c r="U291" s="144"/>
      <c r="V291" s="66">
        <v>45367.0</v>
      </c>
      <c r="W291" s="13">
        <f t="shared" si="2"/>
        <v>1.6928375</v>
      </c>
      <c r="X291" s="141" t="b">
        <f t="shared" si="3"/>
        <v>0</v>
      </c>
      <c r="Y291" s="141" t="b">
        <f t="shared" si="4"/>
        <v>0</v>
      </c>
      <c r="Z291" s="141" t="str">
        <f t="shared" si="5"/>
        <v>Green-green</v>
      </c>
      <c r="AA291" s="141" t="b">
        <f t="shared" si="6"/>
        <v>0</v>
      </c>
    </row>
    <row r="292">
      <c r="A292" s="8">
        <f t="shared" si="7"/>
        <v>291</v>
      </c>
      <c r="B292" s="8"/>
      <c r="C292" s="8"/>
      <c r="D292" s="8" t="s">
        <v>19</v>
      </c>
      <c r="E292" s="8" t="s">
        <v>2706</v>
      </c>
      <c r="F292" s="8" t="s">
        <v>1479</v>
      </c>
      <c r="G292" s="8" t="s">
        <v>2556</v>
      </c>
      <c r="H292" s="8">
        <v>0.0</v>
      </c>
      <c r="I292" s="8" t="s">
        <v>82</v>
      </c>
      <c r="J292" s="8" t="s">
        <v>22</v>
      </c>
      <c r="K292" s="8" t="s">
        <v>225</v>
      </c>
      <c r="L292" s="8" t="s">
        <v>1522</v>
      </c>
      <c r="M292" s="9">
        <v>0.75</v>
      </c>
      <c r="N292" s="9">
        <v>0.9</v>
      </c>
      <c r="O292" s="9">
        <f>0.22*0.9</f>
        <v>0.198</v>
      </c>
      <c r="P292" s="10">
        <v>45107.0</v>
      </c>
      <c r="Q292" s="11">
        <v>1.8</v>
      </c>
      <c r="R292" s="8" t="s">
        <v>25</v>
      </c>
      <c r="S292" s="12">
        <f t="shared" si="1"/>
        <v>-0.198</v>
      </c>
      <c r="T292" s="12">
        <f t="shared" si="8"/>
        <v>-2.184857637</v>
      </c>
      <c r="U292" s="145"/>
      <c r="V292" s="66">
        <v>45368.0</v>
      </c>
      <c r="W292" s="13">
        <f t="shared" si="2"/>
        <v>0.32515</v>
      </c>
      <c r="X292" s="141" t="b">
        <f t="shared" si="3"/>
        <v>0</v>
      </c>
      <c r="Y292" s="141" t="b">
        <f t="shared" si="4"/>
        <v>0</v>
      </c>
      <c r="Z292" s="141" t="b">
        <f t="shared" si="5"/>
        <v>0</v>
      </c>
      <c r="AA292" s="141" t="b">
        <f t="shared" si="6"/>
        <v>0</v>
      </c>
    </row>
    <row r="293">
      <c r="A293" s="15">
        <f t="shared" si="7"/>
        <v>292</v>
      </c>
      <c r="B293" s="15"/>
      <c r="C293" s="15"/>
      <c r="D293" s="15" t="s">
        <v>19</v>
      </c>
      <c r="E293" s="15" t="s">
        <v>2707</v>
      </c>
      <c r="F293" s="15" t="s">
        <v>1473</v>
      </c>
      <c r="G293" s="15" t="s">
        <v>2556</v>
      </c>
      <c r="H293" s="15">
        <v>-2.0</v>
      </c>
      <c r="I293" s="15" t="s">
        <v>372</v>
      </c>
      <c r="J293" s="15" t="s">
        <v>22</v>
      </c>
      <c r="K293" s="15" t="s">
        <v>225</v>
      </c>
      <c r="L293" s="15" t="s">
        <v>1803</v>
      </c>
      <c r="M293" s="16">
        <v>0.25</v>
      </c>
      <c r="N293" s="16">
        <v>0.9</v>
      </c>
      <c r="O293" s="16">
        <v>0.9</v>
      </c>
      <c r="P293" s="17">
        <v>45107.0</v>
      </c>
      <c r="Q293" s="18">
        <v>1.85</v>
      </c>
      <c r="R293" s="15" t="s">
        <v>25</v>
      </c>
      <c r="S293" s="19">
        <f t="shared" si="1"/>
        <v>-0.9</v>
      </c>
      <c r="T293" s="19">
        <f t="shared" si="8"/>
        <v>-3.084857637</v>
      </c>
      <c r="U293" s="144"/>
      <c r="V293" s="66">
        <v>45369.0</v>
      </c>
      <c r="W293" s="13">
        <f t="shared" si="2"/>
        <v>0</v>
      </c>
      <c r="X293" s="141" t="b">
        <f t="shared" si="3"/>
        <v>0</v>
      </c>
      <c r="Y293" s="141" t="b">
        <f t="shared" si="4"/>
        <v>0</v>
      </c>
      <c r="Z293" s="141" t="b">
        <f t="shared" si="5"/>
        <v>0</v>
      </c>
      <c r="AA293" s="141" t="b">
        <f t="shared" si="6"/>
        <v>0</v>
      </c>
    </row>
    <row r="294">
      <c r="A294" s="8">
        <f t="shared" si="7"/>
        <v>293</v>
      </c>
      <c r="B294" s="8"/>
      <c r="C294" s="8"/>
      <c r="D294" s="8" t="s">
        <v>19</v>
      </c>
      <c r="E294" s="8" t="s">
        <v>2708</v>
      </c>
      <c r="F294" s="8" t="s">
        <v>1473</v>
      </c>
      <c r="G294" s="8" t="s">
        <v>2573</v>
      </c>
      <c r="H294" s="8">
        <v>0.0</v>
      </c>
      <c r="I294" s="8" t="s">
        <v>82</v>
      </c>
      <c r="J294" s="8" t="s">
        <v>22</v>
      </c>
      <c r="K294" s="8" t="s">
        <v>894</v>
      </c>
      <c r="L294" s="8" t="s">
        <v>1522</v>
      </c>
      <c r="M294" s="9">
        <v>-0.25</v>
      </c>
      <c r="N294" s="9">
        <v>0.9</v>
      </c>
      <c r="O294" s="9">
        <v>0.83</v>
      </c>
      <c r="P294" s="10">
        <v>45107.0</v>
      </c>
      <c r="Q294" s="8">
        <v>1.85</v>
      </c>
      <c r="R294" s="8" t="s">
        <v>79</v>
      </c>
      <c r="S294" s="12">
        <f t="shared" si="1"/>
        <v>-0.415</v>
      </c>
      <c r="T294" s="12">
        <f t="shared" si="8"/>
        <v>-3.499857637</v>
      </c>
      <c r="U294" s="145"/>
      <c r="V294" s="66">
        <v>45370.0</v>
      </c>
      <c r="W294" s="13">
        <f t="shared" si="2"/>
        <v>0.20592125</v>
      </c>
      <c r="X294" s="141" t="b">
        <f t="shared" si="3"/>
        <v>0</v>
      </c>
      <c r="Y294" s="141" t="b">
        <f t="shared" si="4"/>
        <v>0</v>
      </c>
      <c r="Z294" s="141" t="str">
        <f t="shared" si="5"/>
        <v>Green-green</v>
      </c>
      <c r="AA294" s="141" t="b">
        <f t="shared" si="6"/>
        <v>0</v>
      </c>
    </row>
    <row r="295">
      <c r="A295" s="15">
        <f t="shared" si="7"/>
        <v>294</v>
      </c>
      <c r="B295" s="15"/>
      <c r="C295" s="15"/>
      <c r="D295" s="15" t="s">
        <v>19</v>
      </c>
      <c r="E295" s="15" t="s">
        <v>2709</v>
      </c>
      <c r="F295" s="15"/>
      <c r="G295" s="15"/>
      <c r="H295" s="15" t="s">
        <v>2710</v>
      </c>
      <c r="I295" s="15" t="s">
        <v>82</v>
      </c>
      <c r="J295" s="15" t="s">
        <v>598</v>
      </c>
      <c r="K295" s="15" t="s">
        <v>941</v>
      </c>
      <c r="L295" s="15" t="s">
        <v>39</v>
      </c>
      <c r="M295" s="16">
        <v>0.0</v>
      </c>
      <c r="N295" s="16">
        <v>0.5</v>
      </c>
      <c r="O295" s="16">
        <v>0.5</v>
      </c>
      <c r="P295" s="17">
        <v>45108.0</v>
      </c>
      <c r="Q295" s="18">
        <v>1.8</v>
      </c>
      <c r="R295" s="15" t="s">
        <v>25</v>
      </c>
      <c r="S295" s="19">
        <f t="shared" si="1"/>
        <v>-0.5</v>
      </c>
      <c r="T295" s="19">
        <f t="shared" si="8"/>
        <v>-3.999857637</v>
      </c>
      <c r="U295" s="144"/>
      <c r="V295" s="66">
        <v>45371.0</v>
      </c>
      <c r="W295" s="13">
        <f t="shared" si="2"/>
        <v>1.59</v>
      </c>
      <c r="X295" s="141" t="b">
        <f t="shared" si="3"/>
        <v>0</v>
      </c>
      <c r="Y295" s="141" t="b">
        <f t="shared" si="4"/>
        <v>0</v>
      </c>
      <c r="Z295" s="141" t="str">
        <f t="shared" si="5"/>
        <v>Green-green</v>
      </c>
      <c r="AA295" s="141" t="b">
        <f t="shared" si="6"/>
        <v>0</v>
      </c>
    </row>
    <row r="296">
      <c r="A296" s="8">
        <f t="shared" si="7"/>
        <v>295</v>
      </c>
      <c r="B296" s="8"/>
      <c r="C296" s="8"/>
      <c r="D296" s="8" t="s">
        <v>40</v>
      </c>
      <c r="E296" s="8" t="s">
        <v>2711</v>
      </c>
      <c r="F296" s="8" t="s">
        <v>1473</v>
      </c>
      <c r="G296" s="8" t="s">
        <v>2556</v>
      </c>
      <c r="H296" s="8">
        <v>0.0</v>
      </c>
      <c r="I296" s="8" t="s">
        <v>940</v>
      </c>
      <c r="J296" s="8" t="s">
        <v>22</v>
      </c>
      <c r="K296" s="8" t="s">
        <v>225</v>
      </c>
      <c r="L296" s="8" t="s">
        <v>1851</v>
      </c>
      <c r="M296" s="9">
        <v>0.5</v>
      </c>
      <c r="N296" s="9">
        <v>0.9</v>
      </c>
      <c r="O296" s="9">
        <f>0.39*0.9</f>
        <v>0.351</v>
      </c>
      <c r="P296" s="10">
        <v>45108.0</v>
      </c>
      <c r="Q296" s="11">
        <v>1.75</v>
      </c>
      <c r="R296" s="8" t="s">
        <v>33</v>
      </c>
      <c r="S296" s="12">
        <f t="shared" si="1"/>
        <v>0.26325</v>
      </c>
      <c r="T296" s="12">
        <f t="shared" si="8"/>
        <v>-3.736607637</v>
      </c>
      <c r="U296" s="145"/>
      <c r="V296" s="66">
        <v>45372.0</v>
      </c>
      <c r="W296" s="13">
        <f t="shared" si="2"/>
        <v>0.72546</v>
      </c>
      <c r="X296" s="141" t="b">
        <f t="shared" si="3"/>
        <v>0</v>
      </c>
      <c r="Y296" s="141" t="b">
        <f t="shared" si="4"/>
        <v>0</v>
      </c>
      <c r="Z296" s="141" t="str">
        <f t="shared" si="5"/>
        <v>Green-green</v>
      </c>
      <c r="AA296" s="141" t="b">
        <f t="shared" si="6"/>
        <v>0</v>
      </c>
    </row>
    <row r="297">
      <c r="A297" s="15">
        <f t="shared" si="7"/>
        <v>296</v>
      </c>
      <c r="B297" s="15"/>
      <c r="C297" s="15"/>
      <c r="D297" s="15" t="s">
        <v>19</v>
      </c>
      <c r="E297" s="15" t="s">
        <v>2712</v>
      </c>
      <c r="F297" s="15" t="s">
        <v>2713</v>
      </c>
      <c r="G297" s="15" t="s">
        <v>2556</v>
      </c>
      <c r="H297" s="15" t="s">
        <v>2714</v>
      </c>
      <c r="I297" s="15" t="s">
        <v>157</v>
      </c>
      <c r="J297" s="15" t="s">
        <v>22</v>
      </c>
      <c r="K297" s="15" t="s">
        <v>225</v>
      </c>
      <c r="L297" s="15" t="s">
        <v>1522</v>
      </c>
      <c r="M297" s="16">
        <v>0.25</v>
      </c>
      <c r="N297" s="16">
        <v>0.9</v>
      </c>
      <c r="O297" s="16">
        <v>0.15</v>
      </c>
      <c r="P297" s="17">
        <v>45108.0</v>
      </c>
      <c r="Q297" s="18">
        <v>1.8</v>
      </c>
      <c r="R297" s="15" t="s">
        <v>30</v>
      </c>
      <c r="S297" s="19">
        <f t="shared" si="1"/>
        <v>0.06</v>
      </c>
      <c r="T297" s="19">
        <f t="shared" si="8"/>
        <v>-3.676607637</v>
      </c>
      <c r="U297" s="144"/>
      <c r="V297" s="66">
        <v>45373.0</v>
      </c>
      <c r="W297" s="13">
        <f t="shared" si="2"/>
        <v>0.36412775</v>
      </c>
      <c r="X297" s="141" t="b">
        <f t="shared" si="3"/>
        <v>0</v>
      </c>
      <c r="Y297" s="141" t="b">
        <f t="shared" si="4"/>
        <v>0</v>
      </c>
      <c r="Z297" s="141" t="str">
        <f t="shared" si="5"/>
        <v>Green-green</v>
      </c>
      <c r="AA297" s="141" t="b">
        <f t="shared" si="6"/>
        <v>0</v>
      </c>
    </row>
    <row r="298">
      <c r="A298" s="8">
        <f t="shared" si="7"/>
        <v>297</v>
      </c>
      <c r="B298" s="8"/>
      <c r="C298" s="8"/>
      <c r="D298" s="8" t="s">
        <v>19</v>
      </c>
      <c r="E298" s="8" t="s">
        <v>2715</v>
      </c>
      <c r="F298" s="8"/>
      <c r="G298" s="8"/>
      <c r="H298" s="8" t="s">
        <v>2615</v>
      </c>
      <c r="I298" s="8" t="s">
        <v>2674</v>
      </c>
      <c r="J298" s="8" t="s">
        <v>22</v>
      </c>
      <c r="K298" s="8" t="s">
        <v>29</v>
      </c>
      <c r="L298" s="8" t="s">
        <v>24</v>
      </c>
      <c r="M298" s="9">
        <v>-2.25</v>
      </c>
      <c r="N298" s="9">
        <v>0.9</v>
      </c>
      <c r="O298" s="9">
        <f>0.171*0.9</f>
        <v>0.1539</v>
      </c>
      <c r="P298" s="10">
        <v>45108.0</v>
      </c>
      <c r="Q298" s="11">
        <v>1.85</v>
      </c>
      <c r="R298" s="8" t="s">
        <v>25</v>
      </c>
      <c r="S298" s="12">
        <f t="shared" si="1"/>
        <v>-0.1539</v>
      </c>
      <c r="T298" s="12">
        <f t="shared" si="8"/>
        <v>-3.830507637</v>
      </c>
      <c r="U298" s="145"/>
      <c r="V298" s="66">
        <v>45374.0</v>
      </c>
      <c r="W298" s="13">
        <f t="shared" si="2"/>
        <v>2.413086735</v>
      </c>
      <c r="X298" s="141" t="b">
        <f t="shared" si="3"/>
        <v>0</v>
      </c>
      <c r="Y298" s="141" t="str">
        <f t="shared" si="4"/>
        <v>Green-red</v>
      </c>
      <c r="Z298" s="141" t="b">
        <f t="shared" si="5"/>
        <v>0</v>
      </c>
      <c r="AA298" s="141" t="str">
        <f t="shared" si="6"/>
        <v>Red-green</v>
      </c>
    </row>
    <row r="299">
      <c r="A299" s="15">
        <f t="shared" si="7"/>
        <v>298</v>
      </c>
      <c r="B299" s="15"/>
      <c r="C299" s="15"/>
      <c r="D299" s="15" t="s">
        <v>19</v>
      </c>
      <c r="E299" s="15" t="s">
        <v>2716</v>
      </c>
      <c r="F299" s="15" t="s">
        <v>1473</v>
      </c>
      <c r="G299" s="15" t="s">
        <v>2556</v>
      </c>
      <c r="H299" s="15">
        <v>2</v>
      </c>
      <c r="I299" s="15" t="s">
        <v>28</v>
      </c>
      <c r="J299" s="15" t="s">
        <v>22</v>
      </c>
      <c r="K299" s="15" t="s">
        <v>225</v>
      </c>
      <c r="L299" s="15" t="s">
        <v>2688</v>
      </c>
      <c r="M299" s="16">
        <v>0.5</v>
      </c>
      <c r="N299" s="16">
        <v>0.9</v>
      </c>
      <c r="O299" s="16">
        <f>0.463*0.9</f>
        <v>0.4167</v>
      </c>
      <c r="P299" s="17">
        <v>45108.0</v>
      </c>
      <c r="Q299" s="18">
        <v>1.725</v>
      </c>
      <c r="R299" s="15" t="s">
        <v>33</v>
      </c>
      <c r="S299" s="19">
        <f t="shared" si="1"/>
        <v>0.3021075</v>
      </c>
      <c r="T299" s="19">
        <f t="shared" si="8"/>
        <v>-3.528400137</v>
      </c>
      <c r="U299" s="144"/>
      <c r="V299" s="66">
        <v>45375.0</v>
      </c>
      <c r="W299" s="13">
        <f t="shared" si="2"/>
        <v>-0.33637374</v>
      </c>
      <c r="X299" s="141" t="b">
        <f t="shared" si="3"/>
        <v>0</v>
      </c>
      <c r="Y299" s="141" t="b">
        <f t="shared" si="4"/>
        <v>0</v>
      </c>
      <c r="Z299" s="141" t="b">
        <f t="shared" si="5"/>
        <v>0</v>
      </c>
      <c r="AA299" s="141" t="b">
        <f t="shared" si="6"/>
        <v>0</v>
      </c>
    </row>
    <row r="300">
      <c r="A300" s="8">
        <f t="shared" si="7"/>
        <v>299</v>
      </c>
      <c r="B300" s="8"/>
      <c r="C300" s="8"/>
      <c r="D300" s="8" t="s">
        <v>19</v>
      </c>
      <c r="E300" s="8" t="s">
        <v>2717</v>
      </c>
      <c r="F300" s="8" t="s">
        <v>1479</v>
      </c>
      <c r="G300" s="8" t="s">
        <v>2573</v>
      </c>
      <c r="H300" s="8">
        <f>1</f>
        <v>1</v>
      </c>
      <c r="I300" s="8" t="s">
        <v>82</v>
      </c>
      <c r="J300" s="8" t="s">
        <v>22</v>
      </c>
      <c r="K300" s="8" t="s">
        <v>894</v>
      </c>
      <c r="L300" s="8" t="s">
        <v>39</v>
      </c>
      <c r="M300" s="9">
        <v>-0.75</v>
      </c>
      <c r="N300" s="9">
        <v>0.5</v>
      </c>
      <c r="O300" s="9">
        <v>0.5</v>
      </c>
      <c r="P300" s="10">
        <v>45108.0</v>
      </c>
      <c r="Q300" s="11">
        <v>1.9</v>
      </c>
      <c r="R300" s="8" t="s">
        <v>25</v>
      </c>
      <c r="S300" s="12">
        <f t="shared" si="1"/>
        <v>-0.5</v>
      </c>
      <c r="T300" s="12">
        <f t="shared" si="8"/>
        <v>-4.028400137</v>
      </c>
      <c r="U300" s="145"/>
      <c r="V300" s="66">
        <v>45376.0</v>
      </c>
      <c r="W300" s="13">
        <f t="shared" si="2"/>
        <v>0</v>
      </c>
      <c r="X300" s="141" t="b">
        <f t="shared" si="3"/>
        <v>0</v>
      </c>
      <c r="Y300" s="141" t="b">
        <f t="shared" si="4"/>
        <v>0</v>
      </c>
      <c r="Z300" s="141" t="b">
        <f t="shared" si="5"/>
        <v>0</v>
      </c>
      <c r="AA300" s="141" t="b">
        <f t="shared" si="6"/>
        <v>0</v>
      </c>
    </row>
    <row r="301">
      <c r="A301" s="15">
        <f t="shared" si="7"/>
        <v>300</v>
      </c>
      <c r="B301" s="15"/>
      <c r="C301" s="15"/>
      <c r="D301" s="15" t="s">
        <v>40</v>
      </c>
      <c r="E301" s="15" t="s">
        <v>2718</v>
      </c>
      <c r="F301" s="15" t="s">
        <v>1473</v>
      </c>
      <c r="G301" s="15" t="s">
        <v>2556</v>
      </c>
      <c r="H301" s="15">
        <v>2</v>
      </c>
      <c r="I301" s="15" t="s">
        <v>683</v>
      </c>
      <c r="J301" s="15" t="s">
        <v>22</v>
      </c>
      <c r="K301" s="15" t="s">
        <v>225</v>
      </c>
      <c r="L301" s="15" t="s">
        <v>24</v>
      </c>
      <c r="M301" s="16">
        <v>0.25</v>
      </c>
      <c r="N301" s="16">
        <v>0.9</v>
      </c>
      <c r="O301" s="16">
        <f>0.659*0.9</f>
        <v>0.5931</v>
      </c>
      <c r="P301" s="17">
        <v>45108.0</v>
      </c>
      <c r="Q301" s="18">
        <f>545/450</f>
        <v>1.211111111</v>
      </c>
      <c r="R301" s="15" t="s">
        <v>33</v>
      </c>
      <c r="S301" s="19">
        <f t="shared" si="1"/>
        <v>0.12521</v>
      </c>
      <c r="T301" s="19">
        <f t="shared" si="8"/>
        <v>-3.903190137</v>
      </c>
      <c r="U301" s="144"/>
      <c r="V301" s="66">
        <v>45377.0</v>
      </c>
      <c r="W301" s="13">
        <f t="shared" si="2"/>
        <v>0</v>
      </c>
      <c r="X301" s="141" t="b">
        <f t="shared" si="3"/>
        <v>0</v>
      </c>
      <c r="Y301" s="141" t="b">
        <f t="shared" si="4"/>
        <v>0</v>
      </c>
      <c r="Z301" s="141" t="b">
        <f t="shared" si="5"/>
        <v>0</v>
      </c>
      <c r="AA301" s="141" t="b">
        <f t="shared" si="6"/>
        <v>0</v>
      </c>
    </row>
    <row r="302">
      <c r="A302" s="8">
        <f t="shared" si="7"/>
        <v>301</v>
      </c>
      <c r="B302" s="8"/>
      <c r="C302" s="8"/>
      <c r="D302" s="8" t="s">
        <v>40</v>
      </c>
      <c r="E302" s="8" t="s">
        <v>2719</v>
      </c>
      <c r="F302" s="8"/>
      <c r="G302" s="8"/>
      <c r="H302" s="8" t="s">
        <v>2613</v>
      </c>
      <c r="I302" s="8" t="s">
        <v>768</v>
      </c>
      <c r="J302" s="8" t="s">
        <v>22</v>
      </c>
      <c r="K302" s="8" t="s">
        <v>894</v>
      </c>
      <c r="L302" s="8" t="s">
        <v>24</v>
      </c>
      <c r="M302" s="9">
        <v>-0.75</v>
      </c>
      <c r="N302" s="9">
        <v>0.9</v>
      </c>
      <c r="O302" s="9">
        <f>0.317*0.9</f>
        <v>0.2853</v>
      </c>
      <c r="P302" s="10">
        <v>45108.0</v>
      </c>
      <c r="Q302" s="11">
        <v>1.85</v>
      </c>
      <c r="R302" s="8" t="s">
        <v>30</v>
      </c>
      <c r="S302" s="12">
        <f t="shared" si="1"/>
        <v>0.1212525</v>
      </c>
      <c r="T302" s="12">
        <f t="shared" si="8"/>
        <v>-3.781937637</v>
      </c>
      <c r="U302" s="145"/>
      <c r="V302" s="66">
        <v>45378.0</v>
      </c>
      <c r="W302" s="13">
        <f t="shared" si="2"/>
        <v>0.05516</v>
      </c>
      <c r="X302" s="141" t="b">
        <f t="shared" si="3"/>
        <v>0</v>
      </c>
      <c r="Y302" s="141" t="str">
        <f t="shared" si="4"/>
        <v>Green-red</v>
      </c>
      <c r="Z302" s="141" t="b">
        <f t="shared" si="5"/>
        <v>0</v>
      </c>
      <c r="AA302" s="141" t="str">
        <f t="shared" si="6"/>
        <v>Red-green</v>
      </c>
    </row>
    <row r="303">
      <c r="A303" s="15">
        <f t="shared" si="7"/>
        <v>302</v>
      </c>
      <c r="B303" s="15"/>
      <c r="C303" s="15"/>
      <c r="D303" s="15" t="s">
        <v>19</v>
      </c>
      <c r="E303" s="15" t="s">
        <v>2720</v>
      </c>
      <c r="F303" s="15"/>
      <c r="G303" s="15"/>
      <c r="H303" s="15" t="s">
        <v>2721</v>
      </c>
      <c r="I303" s="15" t="s">
        <v>182</v>
      </c>
      <c r="J303" s="15" t="s">
        <v>22</v>
      </c>
      <c r="K303" s="15" t="s">
        <v>440</v>
      </c>
      <c r="L303" s="15" t="s">
        <v>39</v>
      </c>
      <c r="M303" s="16">
        <v>0.75</v>
      </c>
      <c r="N303" s="16">
        <v>0.5</v>
      </c>
      <c r="O303" s="16">
        <v>0.5</v>
      </c>
      <c r="P303" s="17">
        <v>45108.0</v>
      </c>
      <c r="Q303" s="18">
        <v>2.0</v>
      </c>
      <c r="R303" s="15" t="s">
        <v>25</v>
      </c>
      <c r="S303" s="19">
        <f t="shared" si="1"/>
        <v>-0.5</v>
      </c>
      <c r="T303" s="19">
        <f t="shared" si="8"/>
        <v>-4.281937637</v>
      </c>
      <c r="U303" s="144"/>
      <c r="V303" s="66">
        <v>45379.0</v>
      </c>
      <c r="W303" s="13">
        <f t="shared" si="2"/>
        <v>-0.295</v>
      </c>
      <c r="X303" s="141" t="b">
        <f t="shared" si="3"/>
        <v>0</v>
      </c>
      <c r="Y303" s="141" t="b">
        <f t="shared" si="4"/>
        <v>0</v>
      </c>
      <c r="Z303" s="141" t="b">
        <f t="shared" si="5"/>
        <v>0</v>
      </c>
      <c r="AA303" s="141" t="b">
        <f t="shared" si="6"/>
        <v>0</v>
      </c>
    </row>
    <row r="304">
      <c r="A304" s="8">
        <f t="shared" si="7"/>
        <v>303</v>
      </c>
      <c r="B304" s="8"/>
      <c r="C304" s="8"/>
      <c r="D304" s="8" t="s">
        <v>19</v>
      </c>
      <c r="E304" s="8" t="s">
        <v>2722</v>
      </c>
      <c r="F304" s="8" t="s">
        <v>1473</v>
      </c>
      <c r="G304" s="8" t="s">
        <v>2556</v>
      </c>
      <c r="H304" s="8" t="s">
        <v>2723</v>
      </c>
      <c r="I304" s="8" t="s">
        <v>768</v>
      </c>
      <c r="J304" s="8" t="s">
        <v>22</v>
      </c>
      <c r="K304" s="8" t="s">
        <v>225</v>
      </c>
      <c r="L304" s="8" t="s">
        <v>39</v>
      </c>
      <c r="M304" s="9">
        <v>0.25</v>
      </c>
      <c r="N304" s="9">
        <v>0.9</v>
      </c>
      <c r="O304" s="9">
        <v>0.9</v>
      </c>
      <c r="P304" s="10">
        <v>45108.0</v>
      </c>
      <c r="Q304" s="11">
        <v>1.925</v>
      </c>
      <c r="R304" s="8" t="s">
        <v>30</v>
      </c>
      <c r="S304" s="12">
        <f t="shared" si="1"/>
        <v>0.41625</v>
      </c>
      <c r="T304" s="12">
        <f t="shared" si="8"/>
        <v>-3.865687637</v>
      </c>
      <c r="U304" s="145"/>
      <c r="V304" s="66">
        <v>45380.0</v>
      </c>
      <c r="W304" s="13">
        <f t="shared" si="2"/>
        <v>0.175</v>
      </c>
      <c r="X304" s="141" t="b">
        <f t="shared" si="3"/>
        <v>0</v>
      </c>
      <c r="Y304" s="141" t="str">
        <f t="shared" si="4"/>
        <v>Green-red</v>
      </c>
      <c r="Z304" s="141" t="b">
        <f t="shared" si="5"/>
        <v>0</v>
      </c>
      <c r="AA304" s="141" t="str">
        <f t="shared" si="6"/>
        <v>Red-green</v>
      </c>
    </row>
    <row r="305">
      <c r="A305" s="15">
        <f t="shared" si="7"/>
        <v>304</v>
      </c>
      <c r="B305" s="15"/>
      <c r="C305" s="15"/>
      <c r="D305" s="15" t="s">
        <v>19</v>
      </c>
      <c r="E305" s="15" t="s">
        <v>2724</v>
      </c>
      <c r="F305" s="15" t="s">
        <v>1473</v>
      </c>
      <c r="G305" s="15" t="s">
        <v>2556</v>
      </c>
      <c r="H305" s="15">
        <v>0.0</v>
      </c>
      <c r="I305" s="15" t="s">
        <v>82</v>
      </c>
      <c r="J305" s="15" t="s">
        <v>22</v>
      </c>
      <c r="K305" s="15" t="s">
        <v>2725</v>
      </c>
      <c r="L305" s="15" t="s">
        <v>1522</v>
      </c>
      <c r="M305" s="16">
        <v>0.5</v>
      </c>
      <c r="N305" s="16">
        <v>0.5</v>
      </c>
      <c r="O305" s="16">
        <f>0.341*0.5</f>
        <v>0.1705</v>
      </c>
      <c r="P305" s="17">
        <v>45108.0</v>
      </c>
      <c r="Q305" s="18">
        <v>1.8</v>
      </c>
      <c r="R305" s="15" t="s">
        <v>33</v>
      </c>
      <c r="S305" s="19">
        <f t="shared" si="1"/>
        <v>0.1364</v>
      </c>
      <c r="T305" s="19">
        <f t="shared" si="8"/>
        <v>-3.729287637</v>
      </c>
      <c r="U305" s="144"/>
      <c r="V305" s="66">
        <v>45381.0</v>
      </c>
      <c r="W305" s="13">
        <f t="shared" si="2"/>
        <v>-0.157</v>
      </c>
      <c r="X305" s="141" t="b">
        <f t="shared" si="3"/>
        <v>0</v>
      </c>
      <c r="Y305" s="141" t="b">
        <f t="shared" si="4"/>
        <v>0</v>
      </c>
      <c r="Z305" s="141" t="b">
        <f t="shared" si="5"/>
        <v>0</v>
      </c>
      <c r="AA305" s="141" t="b">
        <f t="shared" si="6"/>
        <v>0</v>
      </c>
    </row>
    <row r="306">
      <c r="A306" s="8">
        <f t="shared" si="7"/>
        <v>305</v>
      </c>
      <c r="B306" s="8"/>
      <c r="C306" s="8"/>
      <c r="D306" s="8" t="s">
        <v>19</v>
      </c>
      <c r="E306" s="8" t="s">
        <v>2726</v>
      </c>
      <c r="F306" s="8" t="s">
        <v>1479</v>
      </c>
      <c r="G306" s="8" t="s">
        <v>2556</v>
      </c>
      <c r="H306" s="8">
        <v>-1.0</v>
      </c>
      <c r="I306" s="8" t="s">
        <v>82</v>
      </c>
      <c r="J306" s="8" t="s">
        <v>22</v>
      </c>
      <c r="K306" s="8" t="s">
        <v>225</v>
      </c>
      <c r="L306" s="8" t="s">
        <v>1851</v>
      </c>
      <c r="M306" s="9">
        <v>0.5</v>
      </c>
      <c r="N306" s="9">
        <v>0.9</v>
      </c>
      <c r="O306" s="9">
        <f>0.659*0.9</f>
        <v>0.5931</v>
      </c>
      <c r="P306" s="10">
        <v>45108.0</v>
      </c>
      <c r="Q306" s="11">
        <v>1.775</v>
      </c>
      <c r="R306" s="8" t="s">
        <v>25</v>
      </c>
      <c r="S306" s="12">
        <f t="shared" si="1"/>
        <v>-0.5931</v>
      </c>
      <c r="T306" s="12">
        <f t="shared" si="8"/>
        <v>-4.322387637</v>
      </c>
      <c r="U306" s="145"/>
      <c r="V306" s="66">
        <v>45382.0</v>
      </c>
      <c r="W306" s="13">
        <f t="shared" si="2"/>
        <v>0.6</v>
      </c>
      <c r="X306" s="141" t="b">
        <f t="shared" si="3"/>
        <v>0</v>
      </c>
      <c r="Y306" s="141" t="b">
        <f t="shared" si="4"/>
        <v>0</v>
      </c>
      <c r="Z306" s="141" t="b">
        <f t="shared" si="5"/>
        <v>0</v>
      </c>
      <c r="AA306" s="141" t="b">
        <f t="shared" si="6"/>
        <v>0</v>
      </c>
    </row>
    <row r="307">
      <c r="A307" s="15">
        <f t="shared" si="7"/>
        <v>306</v>
      </c>
      <c r="B307" s="15"/>
      <c r="C307" s="15"/>
      <c r="D307" s="15" t="s">
        <v>19</v>
      </c>
      <c r="E307" s="15" t="s">
        <v>2727</v>
      </c>
      <c r="F307" s="15" t="s">
        <v>1479</v>
      </c>
      <c r="G307" s="15" t="s">
        <v>2556</v>
      </c>
      <c r="H307" s="15">
        <v>0.0</v>
      </c>
      <c r="I307" s="15" t="s">
        <v>82</v>
      </c>
      <c r="J307" s="15" t="s">
        <v>22</v>
      </c>
      <c r="K307" s="15" t="s">
        <v>225</v>
      </c>
      <c r="L307" s="15" t="s">
        <v>24</v>
      </c>
      <c r="M307" s="16">
        <v>0.5</v>
      </c>
      <c r="N307" s="16">
        <v>0.9</v>
      </c>
      <c r="O307" s="16">
        <v>0.9</v>
      </c>
      <c r="P307" s="17">
        <v>45108.0</v>
      </c>
      <c r="Q307" s="18">
        <v>1.8</v>
      </c>
      <c r="R307" s="15" t="s">
        <v>25</v>
      </c>
      <c r="S307" s="19">
        <f t="shared" si="1"/>
        <v>-0.9</v>
      </c>
      <c r="T307" s="19">
        <f t="shared" si="8"/>
        <v>-5.222387637</v>
      </c>
      <c r="U307" s="144"/>
      <c r="V307" s="66">
        <v>45383.0</v>
      </c>
      <c r="W307" s="13">
        <f t="shared" si="2"/>
        <v>0</v>
      </c>
      <c r="X307" s="141" t="b">
        <f t="shared" si="3"/>
        <v>0</v>
      </c>
      <c r="Y307" s="141" t="b">
        <f t="shared" si="4"/>
        <v>0</v>
      </c>
      <c r="Z307" s="141" t="b">
        <f t="shared" si="5"/>
        <v>0</v>
      </c>
      <c r="AA307" s="141" t="b">
        <f t="shared" si="6"/>
        <v>0</v>
      </c>
    </row>
    <row r="308">
      <c r="A308" s="8">
        <f t="shared" si="7"/>
        <v>307</v>
      </c>
      <c r="B308" s="8"/>
      <c r="C308" s="8"/>
      <c r="D308" s="8" t="s">
        <v>19</v>
      </c>
      <c r="E308" s="8" t="s">
        <v>2728</v>
      </c>
      <c r="F308" s="8" t="s">
        <v>1473</v>
      </c>
      <c r="G308" s="8" t="s">
        <v>2556</v>
      </c>
      <c r="H308" s="8">
        <v>0.0</v>
      </c>
      <c r="I308" s="8" t="s">
        <v>82</v>
      </c>
      <c r="J308" s="8" t="s">
        <v>22</v>
      </c>
      <c r="K308" s="8" t="s">
        <v>941</v>
      </c>
      <c r="L308" s="8" t="s">
        <v>24</v>
      </c>
      <c r="M308" s="9">
        <v>0.0</v>
      </c>
      <c r="N308" s="9">
        <v>0.9</v>
      </c>
      <c r="O308" s="9">
        <f>0.585*0.9</f>
        <v>0.5265</v>
      </c>
      <c r="P308" s="10">
        <v>45108.0</v>
      </c>
      <c r="Q308" s="11">
        <v>1.72</v>
      </c>
      <c r="R308" s="8" t="s">
        <v>25</v>
      </c>
      <c r="S308" s="12">
        <f t="shared" si="1"/>
        <v>-0.5265</v>
      </c>
      <c r="T308" s="12">
        <f t="shared" si="8"/>
        <v>-5.748887637</v>
      </c>
      <c r="U308" s="145"/>
      <c r="V308" s="66">
        <v>45384.0</v>
      </c>
      <c r="W308" s="13">
        <f t="shared" si="2"/>
        <v>0.8</v>
      </c>
      <c r="X308" s="141" t="b">
        <f t="shared" si="3"/>
        <v>0</v>
      </c>
      <c r="Y308" s="141" t="b">
        <f t="shared" si="4"/>
        <v>0</v>
      </c>
      <c r="Z308" s="141" t="str">
        <f t="shared" si="5"/>
        <v>Green-green</v>
      </c>
      <c r="AA308" s="141" t="b">
        <f t="shared" si="6"/>
        <v>0</v>
      </c>
    </row>
    <row r="309">
      <c r="A309" s="15">
        <f t="shared" si="7"/>
        <v>308</v>
      </c>
      <c r="B309" s="15"/>
      <c r="C309" s="15"/>
      <c r="D309" s="15" t="s">
        <v>19</v>
      </c>
      <c r="E309" s="15" t="s">
        <v>2729</v>
      </c>
      <c r="F309" s="15" t="s">
        <v>1479</v>
      </c>
      <c r="G309" s="15" t="s">
        <v>2556</v>
      </c>
      <c r="H309" s="15">
        <v>0.0</v>
      </c>
      <c r="I309" s="15" t="s">
        <v>463</v>
      </c>
      <c r="J309" s="15" t="s">
        <v>22</v>
      </c>
      <c r="K309" s="15" t="s">
        <v>225</v>
      </c>
      <c r="L309" s="15" t="s">
        <v>39</v>
      </c>
      <c r="M309" s="16">
        <v>1.0</v>
      </c>
      <c r="N309" s="16">
        <v>0.7</v>
      </c>
      <c r="O309" s="16">
        <v>0.7</v>
      </c>
      <c r="P309" s="17">
        <v>45109.0</v>
      </c>
      <c r="Q309" s="18">
        <f>645.1/350</f>
        <v>1.843142857</v>
      </c>
      <c r="R309" s="15" t="s">
        <v>33</v>
      </c>
      <c r="S309" s="19">
        <f t="shared" si="1"/>
        <v>0.5902</v>
      </c>
      <c r="T309" s="19">
        <f t="shared" si="8"/>
        <v>-5.158687637</v>
      </c>
      <c r="U309" s="144"/>
      <c r="V309" s="66">
        <v>45385.0</v>
      </c>
      <c r="W309" s="13">
        <f t="shared" si="2"/>
        <v>0.0575</v>
      </c>
      <c r="X309" s="141" t="b">
        <f t="shared" si="3"/>
        <v>0</v>
      </c>
      <c r="Y309" s="141" t="b">
        <f t="shared" si="4"/>
        <v>0</v>
      </c>
      <c r="Z309" s="141" t="str">
        <f t="shared" si="5"/>
        <v>Green-green</v>
      </c>
      <c r="AA309" s="141" t="b">
        <f t="shared" si="6"/>
        <v>0</v>
      </c>
    </row>
    <row r="310">
      <c r="A310" s="8">
        <f t="shared" si="7"/>
        <v>309</v>
      </c>
      <c r="B310" s="8"/>
      <c r="C310" s="8"/>
      <c r="D310" s="8" t="s">
        <v>19</v>
      </c>
      <c r="E310" s="8" t="s">
        <v>2730</v>
      </c>
      <c r="F310" s="8" t="s">
        <v>1473</v>
      </c>
      <c r="G310" s="8" t="s">
        <v>2660</v>
      </c>
      <c r="H310" s="8">
        <v>0.0</v>
      </c>
      <c r="I310" s="8" t="s">
        <v>1470</v>
      </c>
      <c r="J310" s="8" t="s">
        <v>22</v>
      </c>
      <c r="K310" s="8" t="s">
        <v>941</v>
      </c>
      <c r="L310" s="8" t="s">
        <v>24</v>
      </c>
      <c r="M310" s="9">
        <v>0.0</v>
      </c>
      <c r="N310" s="9">
        <v>0.7</v>
      </c>
      <c r="O310" s="9">
        <v>0.7</v>
      </c>
      <c r="P310" s="10">
        <v>45109.0</v>
      </c>
      <c r="Q310" s="11">
        <f>540/350</f>
        <v>1.542857143</v>
      </c>
      <c r="R310" s="8" t="s">
        <v>33</v>
      </c>
      <c r="S310" s="12">
        <f t="shared" si="1"/>
        <v>0.38</v>
      </c>
      <c r="T310" s="12">
        <f t="shared" si="8"/>
        <v>-4.778687637</v>
      </c>
      <c r="U310" s="145"/>
      <c r="V310" s="66">
        <v>45386.0</v>
      </c>
      <c r="W310" s="13">
        <f t="shared" si="2"/>
        <v>0.29</v>
      </c>
      <c r="X310" s="141" t="b">
        <f t="shared" si="3"/>
        <v>0</v>
      </c>
      <c r="Y310" s="141" t="b">
        <f t="shared" si="4"/>
        <v>0</v>
      </c>
      <c r="Z310" s="141" t="str">
        <f t="shared" si="5"/>
        <v>Green-green</v>
      </c>
      <c r="AA310" s="141" t="b">
        <f t="shared" si="6"/>
        <v>0</v>
      </c>
    </row>
    <row r="311">
      <c r="A311" s="15">
        <f t="shared" si="7"/>
        <v>310</v>
      </c>
      <c r="B311" s="15"/>
      <c r="C311" s="15"/>
      <c r="D311" s="15" t="s">
        <v>40</v>
      </c>
      <c r="E311" s="15" t="s">
        <v>2731</v>
      </c>
      <c r="F311" s="15" t="s">
        <v>1473</v>
      </c>
      <c r="G311" s="15" t="s">
        <v>2556</v>
      </c>
      <c r="H311" s="15" t="s">
        <v>2732</v>
      </c>
      <c r="I311" s="15" t="s">
        <v>525</v>
      </c>
      <c r="J311" s="15" t="s">
        <v>22</v>
      </c>
      <c r="K311" s="15" t="s">
        <v>225</v>
      </c>
      <c r="L311" s="15" t="s">
        <v>24</v>
      </c>
      <c r="M311" s="16">
        <v>0.5</v>
      </c>
      <c r="N311" s="16">
        <v>0.7</v>
      </c>
      <c r="O311" s="16">
        <v>0.7</v>
      </c>
      <c r="P311" s="17">
        <v>45109.0</v>
      </c>
      <c r="Q311" s="18">
        <v>1.975</v>
      </c>
      <c r="R311" s="15" t="s">
        <v>33</v>
      </c>
      <c r="S311" s="19">
        <f t="shared" si="1"/>
        <v>0.6825</v>
      </c>
      <c r="T311" s="19">
        <f t="shared" si="8"/>
        <v>-4.096187637</v>
      </c>
      <c r="U311" s="144"/>
      <c r="V311" s="66">
        <v>45387.0</v>
      </c>
      <c r="W311" s="13">
        <f t="shared" si="2"/>
        <v>2.296226415</v>
      </c>
      <c r="X311" s="141" t="b">
        <f t="shared" si="3"/>
        <v>0</v>
      </c>
      <c r="Y311" s="141" t="str">
        <f t="shared" si="4"/>
        <v>Green-red</v>
      </c>
      <c r="Z311" s="141" t="b">
        <f t="shared" si="5"/>
        <v>0</v>
      </c>
      <c r="AA311" s="141" t="str">
        <f t="shared" si="6"/>
        <v>Red-green</v>
      </c>
    </row>
    <row r="312">
      <c r="A312" s="8">
        <f t="shared" si="7"/>
        <v>311</v>
      </c>
      <c r="B312" s="8"/>
      <c r="C312" s="8"/>
      <c r="D312" s="8" t="s">
        <v>19</v>
      </c>
      <c r="E312" s="8" t="s">
        <v>2733</v>
      </c>
      <c r="F312" s="8"/>
      <c r="G312" s="8"/>
      <c r="H312" s="8" t="s">
        <v>2613</v>
      </c>
      <c r="I312" s="8" t="s">
        <v>82</v>
      </c>
      <c r="J312" s="8" t="s">
        <v>598</v>
      </c>
      <c r="K312" s="8" t="s">
        <v>2415</v>
      </c>
      <c r="L312" s="8" t="s">
        <v>39</v>
      </c>
      <c r="M312" s="9">
        <v>1.0</v>
      </c>
      <c r="N312" s="9">
        <v>0.35</v>
      </c>
      <c r="O312" s="9">
        <v>0.35</v>
      </c>
      <c r="P312" s="10">
        <v>45109.0</v>
      </c>
      <c r="Q312" s="11">
        <v>1.8</v>
      </c>
      <c r="R312" s="8" t="s">
        <v>33</v>
      </c>
      <c r="S312" s="12">
        <f t="shared" si="1"/>
        <v>0.28</v>
      </c>
      <c r="T312" s="12">
        <f t="shared" si="8"/>
        <v>-3.816187637</v>
      </c>
      <c r="U312" s="145"/>
      <c r="V312" s="66">
        <v>45388.0</v>
      </c>
      <c r="W312" s="13">
        <f t="shared" si="2"/>
        <v>-1.2575</v>
      </c>
      <c r="X312" s="141" t="b">
        <f t="shared" si="3"/>
        <v>0</v>
      </c>
      <c r="Y312" s="141" t="b">
        <f t="shared" si="4"/>
        <v>0</v>
      </c>
      <c r="Z312" s="141" t="b">
        <f t="shared" si="5"/>
        <v>0</v>
      </c>
      <c r="AA312" s="141" t="b">
        <f t="shared" si="6"/>
        <v>0</v>
      </c>
    </row>
    <row r="313">
      <c r="A313" s="15">
        <f t="shared" si="7"/>
        <v>312</v>
      </c>
      <c r="B313" s="15"/>
      <c r="C313" s="15"/>
      <c r="D313" s="15" t="s">
        <v>19</v>
      </c>
      <c r="E313" s="15" t="s">
        <v>2734</v>
      </c>
      <c r="F313" s="15" t="s">
        <v>1473</v>
      </c>
      <c r="G313" s="15" t="s">
        <v>2660</v>
      </c>
      <c r="H313" s="15">
        <v>0.0</v>
      </c>
      <c r="I313" s="15" t="s">
        <v>28</v>
      </c>
      <c r="J313" s="15" t="s">
        <v>22</v>
      </c>
      <c r="K313" s="15" t="s">
        <v>1150</v>
      </c>
      <c r="L313" s="15" t="s">
        <v>24</v>
      </c>
      <c r="M313" s="16">
        <v>0.0</v>
      </c>
      <c r="N313" s="16">
        <v>0.7</v>
      </c>
      <c r="O313" s="16">
        <f>0.775*0.7</f>
        <v>0.5425</v>
      </c>
      <c r="P313" s="17">
        <v>45111.0</v>
      </c>
      <c r="Q313" s="18">
        <v>1.725</v>
      </c>
      <c r="R313" s="15" t="s">
        <v>70</v>
      </c>
      <c r="S313" s="19">
        <f t="shared" si="1"/>
        <v>0</v>
      </c>
      <c r="T313" s="19">
        <f t="shared" si="8"/>
        <v>-3.816187637</v>
      </c>
      <c r="U313" s="144"/>
      <c r="X313" s="142">
        <f t="shared" ref="X313:AA313" si="13">countif(X2:X312,X1)</f>
        <v>22</v>
      </c>
      <c r="Y313" s="142">
        <f t="shared" si="13"/>
        <v>41</v>
      </c>
      <c r="Z313" s="142">
        <f t="shared" si="13"/>
        <v>106</v>
      </c>
      <c r="AA313" s="142">
        <f t="shared" si="13"/>
        <v>41</v>
      </c>
    </row>
    <row r="314">
      <c r="A314" s="8">
        <f t="shared" si="7"/>
        <v>313</v>
      </c>
      <c r="B314" s="8"/>
      <c r="C314" s="8"/>
      <c r="D314" s="8" t="s">
        <v>19</v>
      </c>
      <c r="E314" s="8" t="s">
        <v>2735</v>
      </c>
      <c r="F314" s="8" t="s">
        <v>1473</v>
      </c>
      <c r="G314" s="8" t="s">
        <v>2556</v>
      </c>
      <c r="H314" s="8">
        <v>0.0</v>
      </c>
      <c r="I314" s="8" t="s">
        <v>820</v>
      </c>
      <c r="J314" s="8" t="s">
        <v>22</v>
      </c>
      <c r="K314" s="8" t="s">
        <v>225</v>
      </c>
      <c r="L314" s="8" t="s">
        <v>1803</v>
      </c>
      <c r="M314" s="9">
        <v>1.0</v>
      </c>
      <c r="N314" s="9">
        <v>0.7</v>
      </c>
      <c r="O314" s="9">
        <v>0.7</v>
      </c>
      <c r="P314" s="10">
        <v>45111.0</v>
      </c>
      <c r="Q314" s="11">
        <v>1.04</v>
      </c>
      <c r="R314" s="8" t="s">
        <v>33</v>
      </c>
      <c r="S314" s="12">
        <f t="shared" si="1"/>
        <v>0.028</v>
      </c>
      <c r="T314" s="12">
        <f t="shared" si="8"/>
        <v>-3.788187637</v>
      </c>
      <c r="U314" s="145"/>
    </row>
    <row r="315">
      <c r="A315" s="15">
        <f t="shared" si="7"/>
        <v>314</v>
      </c>
      <c r="B315" s="15"/>
      <c r="C315" s="15"/>
      <c r="D315" s="15" t="s">
        <v>19</v>
      </c>
      <c r="E315" s="15" t="s">
        <v>2736</v>
      </c>
      <c r="F315" s="15" t="s">
        <v>1473</v>
      </c>
      <c r="G315" s="15" t="s">
        <v>2556</v>
      </c>
      <c r="H315" s="15">
        <v>0.0</v>
      </c>
      <c r="I315" s="15" t="s">
        <v>182</v>
      </c>
      <c r="J315" s="15" t="s">
        <v>22</v>
      </c>
      <c r="K315" s="15" t="s">
        <v>225</v>
      </c>
      <c r="L315" s="15" t="s">
        <v>2688</v>
      </c>
      <c r="M315" s="16">
        <v>0.5</v>
      </c>
      <c r="N315" s="16">
        <v>0.7</v>
      </c>
      <c r="O315" s="16">
        <v>0.7</v>
      </c>
      <c r="P315" s="17">
        <v>45111.0</v>
      </c>
      <c r="Q315" s="18">
        <v>1.85</v>
      </c>
      <c r="R315" s="15" t="s">
        <v>33</v>
      </c>
      <c r="S315" s="19">
        <f t="shared" si="1"/>
        <v>0.595</v>
      </c>
      <c r="T315" s="19">
        <f t="shared" si="8"/>
        <v>-3.193187637</v>
      </c>
      <c r="U315" s="144"/>
      <c r="W315" s="51" t="s">
        <v>2737</v>
      </c>
      <c r="X315" s="142"/>
      <c r="Y315" s="142"/>
    </row>
    <row r="316">
      <c r="A316" s="8">
        <f t="shared" si="7"/>
        <v>315</v>
      </c>
      <c r="B316" s="8"/>
      <c r="C316" s="8"/>
      <c r="D316" s="8" t="s">
        <v>19</v>
      </c>
      <c r="E316" s="8" t="s">
        <v>2738</v>
      </c>
      <c r="F316" s="8" t="s">
        <v>1473</v>
      </c>
      <c r="G316" s="8" t="s">
        <v>2556</v>
      </c>
      <c r="H316" s="8">
        <v>0.0</v>
      </c>
      <c r="I316" s="8" t="s">
        <v>940</v>
      </c>
      <c r="J316" s="8" t="s">
        <v>22</v>
      </c>
      <c r="K316" s="8" t="s">
        <v>225</v>
      </c>
      <c r="L316" s="8" t="s">
        <v>1851</v>
      </c>
      <c r="M316" s="9">
        <v>0.25</v>
      </c>
      <c r="N316" s="9">
        <v>0.7</v>
      </c>
      <c r="O316" s="9">
        <f>41/500</f>
        <v>0.082</v>
      </c>
      <c r="P316" s="10">
        <v>45111.0</v>
      </c>
      <c r="Q316" s="11">
        <v>1.8</v>
      </c>
      <c r="R316" s="8" t="s">
        <v>25</v>
      </c>
      <c r="S316" s="12">
        <f t="shared" si="1"/>
        <v>-0.082</v>
      </c>
      <c r="T316" s="12">
        <f t="shared" si="8"/>
        <v>-3.275187637</v>
      </c>
      <c r="U316" s="145"/>
      <c r="W316" s="51" t="s">
        <v>26</v>
      </c>
      <c r="X316" s="51" t="s">
        <v>125</v>
      </c>
      <c r="Y316" s="51" t="s">
        <v>45</v>
      </c>
    </row>
    <row r="317">
      <c r="A317" s="15">
        <f t="shared" si="7"/>
        <v>316</v>
      </c>
      <c r="B317" s="15"/>
      <c r="C317" s="15"/>
      <c r="D317" s="15" t="s">
        <v>40</v>
      </c>
      <c r="E317" s="15" t="s">
        <v>2739</v>
      </c>
      <c r="F317" s="15" t="s">
        <v>1479</v>
      </c>
      <c r="G317" s="15" t="s">
        <v>2556</v>
      </c>
      <c r="H317" s="15">
        <v>0.0</v>
      </c>
      <c r="I317" s="15" t="s">
        <v>319</v>
      </c>
      <c r="J317" s="15" t="s">
        <v>22</v>
      </c>
      <c r="K317" s="15" t="s">
        <v>225</v>
      </c>
      <c r="L317" s="15" t="s">
        <v>1851</v>
      </c>
      <c r="M317" s="16">
        <v>0.5</v>
      </c>
      <c r="N317" s="16">
        <v>0.7</v>
      </c>
      <c r="O317" s="16">
        <f>0.6*0.538</f>
        <v>0.3228</v>
      </c>
      <c r="P317" s="17">
        <v>45111.0</v>
      </c>
      <c r="Q317" s="18">
        <v>1.85</v>
      </c>
      <c r="R317" s="15" t="s">
        <v>25</v>
      </c>
      <c r="S317" s="19">
        <f t="shared" si="1"/>
        <v>-0.3228</v>
      </c>
      <c r="T317" s="19">
        <f t="shared" si="8"/>
        <v>-3.597987637</v>
      </c>
      <c r="U317" s="144"/>
      <c r="W317" s="51" t="s">
        <v>892</v>
      </c>
      <c r="X317" s="146">
        <f t="shared" ref="X317:X325" si="14">SUMIFS($S$2:$S$10271,$B$2:$B$10271,$W$316,$K$2:$K$10271,W317)</f>
        <v>6.394694186</v>
      </c>
      <c r="Y317" s="143">
        <f t="shared" ref="Y317:Y325" si="15">X317/SUMIFS($O$2:$O$10271,$B$2:$B$10271,$W$316,$K$2:$K$10271,W317)</f>
        <v>0.04240518037</v>
      </c>
    </row>
    <row r="318">
      <c r="A318" s="8">
        <f t="shared" si="7"/>
        <v>317</v>
      </c>
      <c r="B318" s="8"/>
      <c r="C318" s="8"/>
      <c r="D318" s="8" t="s">
        <v>19</v>
      </c>
      <c r="E318" s="8" t="s">
        <v>2740</v>
      </c>
      <c r="F318" s="8" t="s">
        <v>1473</v>
      </c>
      <c r="G318" s="8" t="s">
        <v>2556</v>
      </c>
      <c r="H318" s="8">
        <v>0.0</v>
      </c>
      <c r="I318" s="8" t="s">
        <v>182</v>
      </c>
      <c r="J318" s="8" t="s">
        <v>22</v>
      </c>
      <c r="K318" s="8" t="s">
        <v>225</v>
      </c>
      <c r="L318" s="8" t="s">
        <v>24</v>
      </c>
      <c r="M318" s="9">
        <v>0.25</v>
      </c>
      <c r="N318" s="9">
        <v>0.7</v>
      </c>
      <c r="O318" s="9">
        <v>0.7</v>
      </c>
      <c r="P318" s="10">
        <v>45112.0</v>
      </c>
      <c r="Q318" s="11">
        <v>1.775</v>
      </c>
      <c r="R318" s="8" t="s">
        <v>30</v>
      </c>
      <c r="S318" s="12">
        <f t="shared" si="1"/>
        <v>0.27125</v>
      </c>
      <c r="T318" s="12">
        <f t="shared" si="8"/>
        <v>-3.326737637</v>
      </c>
      <c r="U318" s="145"/>
      <c r="W318" s="51" t="s">
        <v>941</v>
      </c>
      <c r="X318" s="146">
        <f t="shared" si="14"/>
        <v>1.5336</v>
      </c>
      <c r="Y318" s="143">
        <f t="shared" si="15"/>
        <v>0.15394632</v>
      </c>
    </row>
    <row r="319">
      <c r="A319" s="15">
        <f t="shared" si="7"/>
        <v>318</v>
      </c>
      <c r="B319" s="15"/>
      <c r="C319" s="15"/>
      <c r="D319" s="15" t="s">
        <v>19</v>
      </c>
      <c r="E319" s="15" t="s">
        <v>2741</v>
      </c>
      <c r="F319" s="15" t="s">
        <v>1473</v>
      </c>
      <c r="G319" s="15" t="s">
        <v>2556</v>
      </c>
      <c r="H319" s="15">
        <v>0.0</v>
      </c>
      <c r="I319" s="15" t="s">
        <v>174</v>
      </c>
      <c r="J319" s="15" t="s">
        <v>22</v>
      </c>
      <c r="K319" s="15" t="s">
        <v>225</v>
      </c>
      <c r="L319" s="15" t="s">
        <v>24</v>
      </c>
      <c r="M319" s="16">
        <v>0.25</v>
      </c>
      <c r="N319" s="16">
        <v>0.7</v>
      </c>
      <c r="O319" s="16">
        <v>0.7</v>
      </c>
      <c r="P319" s="17">
        <v>45112.0</v>
      </c>
      <c r="Q319" s="18">
        <v>1.76</v>
      </c>
      <c r="R319" s="15" t="s">
        <v>33</v>
      </c>
      <c r="S319" s="19">
        <f t="shared" si="1"/>
        <v>0.532</v>
      </c>
      <c r="T319" s="19">
        <f t="shared" si="8"/>
        <v>-2.794737637</v>
      </c>
      <c r="U319" s="144"/>
      <c r="W319" s="51" t="s">
        <v>1847</v>
      </c>
      <c r="X319" s="146">
        <f t="shared" si="14"/>
        <v>0.8292768</v>
      </c>
      <c r="Y319" s="143">
        <f t="shared" si="15"/>
        <v>0.2545042966</v>
      </c>
    </row>
    <row r="320">
      <c r="A320" s="8">
        <f t="shared" si="7"/>
        <v>319</v>
      </c>
      <c r="B320" s="8"/>
      <c r="C320" s="8"/>
      <c r="D320" s="8" t="s">
        <v>19</v>
      </c>
      <c r="E320" s="8" t="s">
        <v>2742</v>
      </c>
      <c r="F320" s="8" t="s">
        <v>1479</v>
      </c>
      <c r="G320" s="8" t="s">
        <v>2556</v>
      </c>
      <c r="H320" s="8">
        <v>-1.0</v>
      </c>
      <c r="I320" s="8" t="s">
        <v>463</v>
      </c>
      <c r="J320" s="8" t="s">
        <v>22</v>
      </c>
      <c r="K320" s="8" t="s">
        <v>225</v>
      </c>
      <c r="L320" s="8" t="s">
        <v>39</v>
      </c>
      <c r="M320" s="9">
        <v>2.25</v>
      </c>
      <c r="N320" s="9">
        <v>0.01</v>
      </c>
      <c r="O320" s="9">
        <v>0.01</v>
      </c>
      <c r="P320" s="10">
        <v>45112.0</v>
      </c>
      <c r="Q320" s="11">
        <v>1.85</v>
      </c>
      <c r="R320" s="8" t="s">
        <v>33</v>
      </c>
      <c r="S320" s="12">
        <f t="shared" si="1"/>
        <v>0.0085</v>
      </c>
      <c r="T320" s="12">
        <f t="shared" si="8"/>
        <v>-2.786237637</v>
      </c>
      <c r="U320" s="145"/>
      <c r="W320" s="51" t="s">
        <v>894</v>
      </c>
      <c r="X320" s="146">
        <f t="shared" si="14"/>
        <v>-0.2002319355</v>
      </c>
      <c r="Y320" s="143">
        <f t="shared" si="15"/>
        <v>-0.02257273274</v>
      </c>
    </row>
    <row r="321">
      <c r="A321" s="15">
        <f t="shared" si="7"/>
        <v>320</v>
      </c>
      <c r="B321" s="15"/>
      <c r="C321" s="15"/>
      <c r="D321" s="15" t="s">
        <v>19</v>
      </c>
      <c r="E321" s="15" t="s">
        <v>2743</v>
      </c>
      <c r="F321" s="15"/>
      <c r="G321" s="15"/>
      <c r="H321" s="15" t="s">
        <v>2567</v>
      </c>
      <c r="I321" s="15" t="s">
        <v>68</v>
      </c>
      <c r="J321" s="15" t="s">
        <v>22</v>
      </c>
      <c r="K321" s="15" t="s">
        <v>29</v>
      </c>
      <c r="L321" s="15" t="s">
        <v>24</v>
      </c>
      <c r="M321" s="16">
        <v>-1.25</v>
      </c>
      <c r="N321" s="16">
        <v>0.35</v>
      </c>
      <c r="O321" s="16">
        <f>0.675*0.35</f>
        <v>0.23625</v>
      </c>
      <c r="P321" s="17">
        <v>45112.0</v>
      </c>
      <c r="Q321" s="18">
        <f>285.18/175</f>
        <v>1.6296</v>
      </c>
      <c r="R321" s="15" t="s">
        <v>33</v>
      </c>
      <c r="S321" s="19">
        <f t="shared" si="1"/>
        <v>0.148743</v>
      </c>
      <c r="T321" s="19">
        <f t="shared" si="8"/>
        <v>-2.637494637</v>
      </c>
      <c r="U321" s="144"/>
      <c r="W321" s="51" t="s">
        <v>2725</v>
      </c>
      <c r="X321" s="146">
        <f t="shared" si="14"/>
        <v>-0.4</v>
      </c>
      <c r="Y321" s="143">
        <f t="shared" si="15"/>
        <v>-1</v>
      </c>
    </row>
    <row r="322">
      <c r="A322" s="8">
        <f t="shared" si="7"/>
        <v>321</v>
      </c>
      <c r="B322" s="8"/>
      <c r="C322" s="8"/>
      <c r="D322" s="8" t="s">
        <v>19</v>
      </c>
      <c r="E322" s="8" t="s">
        <v>2744</v>
      </c>
      <c r="F322" s="8"/>
      <c r="G322" s="8"/>
      <c r="H322" s="8" t="s">
        <v>2567</v>
      </c>
      <c r="I322" s="8" t="s">
        <v>182</v>
      </c>
      <c r="J322" s="8" t="s">
        <v>22</v>
      </c>
      <c r="K322" s="8" t="s">
        <v>440</v>
      </c>
      <c r="L322" s="8" t="s">
        <v>39</v>
      </c>
      <c r="M322" s="9">
        <v>3.5</v>
      </c>
      <c r="N322" s="9">
        <v>0.35</v>
      </c>
      <c r="O322" s="9">
        <v>0.35</v>
      </c>
      <c r="P322" s="10">
        <v>45112.0</v>
      </c>
      <c r="Q322" s="11">
        <v>1.8</v>
      </c>
      <c r="R322" s="8" t="s">
        <v>33</v>
      </c>
      <c r="S322" s="12">
        <f t="shared" si="1"/>
        <v>0.28</v>
      </c>
      <c r="T322" s="12">
        <f t="shared" si="8"/>
        <v>-2.357494637</v>
      </c>
      <c r="U322" s="145"/>
      <c r="W322" s="51" t="s">
        <v>1023</v>
      </c>
      <c r="X322" s="146">
        <f t="shared" si="14"/>
        <v>-0.19613</v>
      </c>
      <c r="Y322" s="143">
        <f t="shared" si="15"/>
        <v>-0.1892909191</v>
      </c>
    </row>
    <row r="323">
      <c r="A323" s="15">
        <f t="shared" si="7"/>
        <v>322</v>
      </c>
      <c r="B323" s="15"/>
      <c r="C323" s="15"/>
      <c r="D323" s="15" t="s">
        <v>19</v>
      </c>
      <c r="E323" s="15" t="s">
        <v>2745</v>
      </c>
      <c r="F323" s="15" t="s">
        <v>1479</v>
      </c>
      <c r="G323" s="15" t="s">
        <v>2556</v>
      </c>
      <c r="H323" s="15">
        <v>0.0</v>
      </c>
      <c r="I323" s="15" t="s">
        <v>525</v>
      </c>
      <c r="J323" s="15" t="s">
        <v>22</v>
      </c>
      <c r="K323" s="15" t="s">
        <v>225</v>
      </c>
      <c r="L323" s="15" t="s">
        <v>24</v>
      </c>
      <c r="M323" s="16">
        <v>0.5</v>
      </c>
      <c r="N323" s="16">
        <v>0.35</v>
      </c>
      <c r="O323" s="16">
        <v>0.35</v>
      </c>
      <c r="P323" s="17">
        <v>45113.0</v>
      </c>
      <c r="Q323" s="18">
        <v>1.9</v>
      </c>
      <c r="R323" s="15" t="s">
        <v>25</v>
      </c>
      <c r="S323" s="19">
        <f t="shared" si="1"/>
        <v>-0.35</v>
      </c>
      <c r="T323" s="19">
        <f t="shared" si="8"/>
        <v>-2.707494637</v>
      </c>
      <c r="U323" s="144"/>
      <c r="W323" s="51" t="s">
        <v>225</v>
      </c>
      <c r="X323" s="146">
        <f t="shared" si="14"/>
        <v>-1.695640224</v>
      </c>
      <c r="Y323" s="143">
        <f t="shared" si="15"/>
        <v>-0.03140343973</v>
      </c>
    </row>
    <row r="324">
      <c r="A324" s="8">
        <f t="shared" si="7"/>
        <v>323</v>
      </c>
      <c r="B324" s="8"/>
      <c r="C324" s="8"/>
      <c r="D324" s="8" t="s">
        <v>19</v>
      </c>
      <c r="E324" s="8" t="s">
        <v>2746</v>
      </c>
      <c r="F324" s="8"/>
      <c r="G324" s="8"/>
      <c r="H324" s="8" t="s">
        <v>2615</v>
      </c>
      <c r="I324" s="8" t="s">
        <v>182</v>
      </c>
      <c r="J324" s="8" t="s">
        <v>22</v>
      </c>
      <c r="K324" s="8" t="s">
        <v>29</v>
      </c>
      <c r="L324" s="8" t="s">
        <v>24</v>
      </c>
      <c r="M324" s="9">
        <v>-4.75</v>
      </c>
      <c r="N324" s="9">
        <v>0.35</v>
      </c>
      <c r="O324" s="9">
        <f>0.8*0.35</f>
        <v>0.28</v>
      </c>
      <c r="P324" s="10">
        <v>45113.0</v>
      </c>
      <c r="Q324" s="11">
        <v>1.95</v>
      </c>
      <c r="R324" s="8" t="s">
        <v>25</v>
      </c>
      <c r="S324" s="12">
        <f t="shared" si="1"/>
        <v>-0.28</v>
      </c>
      <c r="T324" s="12">
        <f t="shared" si="8"/>
        <v>-2.987494637</v>
      </c>
      <c r="U324" s="145"/>
      <c r="W324" s="51" t="s">
        <v>440</v>
      </c>
      <c r="X324" s="146">
        <f t="shared" si="14"/>
        <v>1.956792857</v>
      </c>
      <c r="Y324" s="143">
        <f t="shared" si="15"/>
        <v>0.3352723045</v>
      </c>
    </row>
    <row r="325">
      <c r="A325" s="15">
        <f t="shared" si="7"/>
        <v>324</v>
      </c>
      <c r="B325" s="15"/>
      <c r="C325" s="15"/>
      <c r="D325" s="15" t="s">
        <v>19</v>
      </c>
      <c r="E325" s="15" t="s">
        <v>2747</v>
      </c>
      <c r="F325" s="15"/>
      <c r="G325" s="15"/>
      <c r="H325" s="15" t="s">
        <v>2615</v>
      </c>
      <c r="I325" s="15" t="s">
        <v>182</v>
      </c>
      <c r="J325" s="15" t="s">
        <v>22</v>
      </c>
      <c r="K325" s="15" t="s">
        <v>29</v>
      </c>
      <c r="L325" s="15" t="s">
        <v>24</v>
      </c>
      <c r="M325" s="16">
        <v>-5.0</v>
      </c>
      <c r="N325" s="16">
        <v>0.35</v>
      </c>
      <c r="O325" s="16">
        <f>0.2*0.35</f>
        <v>0.07</v>
      </c>
      <c r="P325" s="17">
        <v>45113.0</v>
      </c>
      <c r="Q325" s="18">
        <v>1.875</v>
      </c>
      <c r="R325" s="15" t="s">
        <v>25</v>
      </c>
      <c r="S325" s="19">
        <f t="shared" si="1"/>
        <v>-0.07</v>
      </c>
      <c r="T325" s="19">
        <f t="shared" si="8"/>
        <v>-3.057494637</v>
      </c>
      <c r="U325" s="144"/>
      <c r="W325" s="51" t="s">
        <v>29</v>
      </c>
      <c r="X325" s="146">
        <f t="shared" si="14"/>
        <v>-0.2187016667</v>
      </c>
      <c r="Y325" s="143">
        <f t="shared" si="15"/>
        <v>-0.037542128</v>
      </c>
    </row>
    <row r="326">
      <c r="A326" s="8">
        <f t="shared" si="7"/>
        <v>325</v>
      </c>
      <c r="B326" s="8"/>
      <c r="C326" s="8"/>
      <c r="D326" s="8" t="s">
        <v>19</v>
      </c>
      <c r="E326" s="8" t="s">
        <v>2748</v>
      </c>
      <c r="F326" s="8" t="s">
        <v>2713</v>
      </c>
      <c r="G326" s="8" t="s">
        <v>2660</v>
      </c>
      <c r="H326" s="8">
        <f>1</f>
        <v>1</v>
      </c>
      <c r="I326" s="8" t="s">
        <v>182</v>
      </c>
      <c r="J326" s="8" t="s">
        <v>22</v>
      </c>
      <c r="K326" s="8" t="s">
        <v>892</v>
      </c>
      <c r="L326" s="8" t="s">
        <v>2688</v>
      </c>
      <c r="M326" s="9">
        <v>0.0</v>
      </c>
      <c r="N326" s="9">
        <v>0.7</v>
      </c>
      <c r="O326" s="9">
        <v>0.7</v>
      </c>
      <c r="P326" s="10">
        <v>45113.0</v>
      </c>
      <c r="Q326" s="11">
        <v>1.75</v>
      </c>
      <c r="R326" s="8" t="s">
        <v>70</v>
      </c>
      <c r="S326" s="12">
        <f t="shared" si="1"/>
        <v>0</v>
      </c>
      <c r="T326" s="12">
        <f t="shared" si="8"/>
        <v>-3.057494637</v>
      </c>
      <c r="U326" s="145"/>
    </row>
    <row r="327">
      <c r="A327" s="15">
        <f t="shared" si="7"/>
        <v>326</v>
      </c>
      <c r="B327" s="15"/>
      <c r="C327" s="15"/>
      <c r="D327" s="15" t="s">
        <v>19</v>
      </c>
      <c r="E327" s="15" t="s">
        <v>2749</v>
      </c>
      <c r="F327" s="15" t="s">
        <v>1479</v>
      </c>
      <c r="G327" s="15" t="s">
        <v>2556</v>
      </c>
      <c r="H327" s="15">
        <v>-1.0</v>
      </c>
      <c r="I327" s="15" t="s">
        <v>513</v>
      </c>
      <c r="J327" s="15" t="s">
        <v>22</v>
      </c>
      <c r="K327" s="15" t="s">
        <v>225</v>
      </c>
      <c r="L327" s="15" t="s">
        <v>24</v>
      </c>
      <c r="M327" s="16">
        <v>2.5</v>
      </c>
      <c r="N327" s="16">
        <v>0.7</v>
      </c>
      <c r="O327" s="16">
        <f>0.275*0.7</f>
        <v>0.1925</v>
      </c>
      <c r="P327" s="17">
        <v>45113.0</v>
      </c>
      <c r="Q327" s="18">
        <v>1.875</v>
      </c>
      <c r="R327" s="15" t="s">
        <v>33</v>
      </c>
      <c r="S327" s="19">
        <f t="shared" si="1"/>
        <v>0.1684375</v>
      </c>
      <c r="T327" s="19">
        <f t="shared" si="8"/>
        <v>-2.889057137</v>
      </c>
      <c r="U327" s="144"/>
    </row>
    <row r="328">
      <c r="A328" s="8">
        <f t="shared" si="7"/>
        <v>327</v>
      </c>
      <c r="B328" s="8"/>
      <c r="C328" s="8"/>
      <c r="D328" s="8" t="s">
        <v>19</v>
      </c>
      <c r="E328" s="8" t="s">
        <v>2750</v>
      </c>
      <c r="F328" s="8" t="s">
        <v>1479</v>
      </c>
      <c r="G328" s="8" t="s">
        <v>2556</v>
      </c>
      <c r="H328" s="8">
        <v>-1.0</v>
      </c>
      <c r="I328" s="8" t="s">
        <v>513</v>
      </c>
      <c r="J328" s="8" t="s">
        <v>22</v>
      </c>
      <c r="K328" s="8" t="s">
        <v>225</v>
      </c>
      <c r="L328" s="8" t="s">
        <v>24</v>
      </c>
      <c r="M328" s="9">
        <v>2.25</v>
      </c>
      <c r="N328" s="9">
        <v>0.7</v>
      </c>
      <c r="O328" s="9">
        <f>0.725*0.7</f>
        <v>0.5075</v>
      </c>
      <c r="P328" s="10">
        <v>45113.0</v>
      </c>
      <c r="Q328" s="11">
        <v>1.85</v>
      </c>
      <c r="R328" s="8" t="s">
        <v>30</v>
      </c>
      <c r="S328" s="12">
        <f t="shared" si="1"/>
        <v>0.2156875</v>
      </c>
      <c r="T328" s="12">
        <f t="shared" si="8"/>
        <v>-2.673369637</v>
      </c>
      <c r="U328" s="145"/>
    </row>
    <row r="329">
      <c r="A329" s="15">
        <f t="shared" si="7"/>
        <v>328</v>
      </c>
      <c r="B329" s="15"/>
      <c r="C329" s="15"/>
      <c r="D329" s="15" t="s">
        <v>19</v>
      </c>
      <c r="E329" s="15" t="s">
        <v>2751</v>
      </c>
      <c r="F329" s="15"/>
      <c r="G329" s="15"/>
      <c r="H329" s="15" t="s">
        <v>2567</v>
      </c>
      <c r="I329" s="15" t="s">
        <v>68</v>
      </c>
      <c r="J329" s="15" t="s">
        <v>22</v>
      </c>
      <c r="K329" s="15" t="s">
        <v>29</v>
      </c>
      <c r="L329" s="15" t="s">
        <v>24</v>
      </c>
      <c r="M329" s="16">
        <v>-0.5</v>
      </c>
      <c r="N329" s="16">
        <v>0.35</v>
      </c>
      <c r="O329" s="16">
        <v>0.35</v>
      </c>
      <c r="P329" s="17">
        <v>45113.0</v>
      </c>
      <c r="Q329" s="18">
        <f>275/175</f>
        <v>1.571428571</v>
      </c>
      <c r="R329" s="15" t="s">
        <v>33</v>
      </c>
      <c r="S329" s="19">
        <f t="shared" si="1"/>
        <v>0.2</v>
      </c>
      <c r="T329" s="19">
        <f t="shared" si="8"/>
        <v>-2.473369637</v>
      </c>
      <c r="U329" s="144"/>
    </row>
    <row r="330">
      <c r="A330" s="8">
        <f t="shared" si="7"/>
        <v>329</v>
      </c>
      <c r="B330" s="8"/>
      <c r="C330" s="8"/>
      <c r="D330" s="8" t="s">
        <v>19</v>
      </c>
      <c r="E330" s="8" t="s">
        <v>2752</v>
      </c>
      <c r="F330" s="8" t="s">
        <v>2713</v>
      </c>
      <c r="G330" s="8" t="s">
        <v>2556</v>
      </c>
      <c r="H330" s="8">
        <f>1</f>
        <v>1</v>
      </c>
      <c r="I330" s="8" t="s">
        <v>28</v>
      </c>
      <c r="J330" s="8" t="s">
        <v>22</v>
      </c>
      <c r="K330" s="8" t="s">
        <v>1150</v>
      </c>
      <c r="L330" s="8" t="s">
        <v>24</v>
      </c>
      <c r="M330" s="9">
        <v>0.0</v>
      </c>
      <c r="N330" s="9">
        <v>0.35</v>
      </c>
      <c r="O330" s="9">
        <v>0.32</v>
      </c>
      <c r="P330" s="10">
        <v>45113.0</v>
      </c>
      <c r="Q330" s="11">
        <v>2.05</v>
      </c>
      <c r="R330" s="8" t="s">
        <v>25</v>
      </c>
      <c r="S330" s="12">
        <f t="shared" si="1"/>
        <v>-0.32</v>
      </c>
      <c r="T330" s="12">
        <f t="shared" si="8"/>
        <v>-2.793369637</v>
      </c>
      <c r="U330" s="145"/>
    </row>
    <row r="331">
      <c r="A331" s="15">
        <f t="shared" si="7"/>
        <v>330</v>
      </c>
      <c r="B331" s="15"/>
      <c r="C331" s="15"/>
      <c r="D331" s="15" t="s">
        <v>19</v>
      </c>
      <c r="E331" s="15" t="s">
        <v>2753</v>
      </c>
      <c r="F331" s="15"/>
      <c r="G331" s="15"/>
      <c r="H331" s="15" t="s">
        <v>2615</v>
      </c>
      <c r="I331" s="15" t="s">
        <v>218</v>
      </c>
      <c r="J331" s="15" t="s">
        <v>22</v>
      </c>
      <c r="K331" s="15" t="s">
        <v>29</v>
      </c>
      <c r="L331" s="15" t="s">
        <v>24</v>
      </c>
      <c r="M331" s="16">
        <v>2.0</v>
      </c>
      <c r="N331" s="16">
        <v>0.35</v>
      </c>
      <c r="O331" s="16">
        <v>0.35</v>
      </c>
      <c r="P331" s="17">
        <v>45114.0</v>
      </c>
      <c r="Q331" s="18">
        <v>1.9</v>
      </c>
      <c r="R331" s="15" t="s">
        <v>70</v>
      </c>
      <c r="S331" s="19">
        <f t="shared" si="1"/>
        <v>0</v>
      </c>
      <c r="T331" s="19">
        <f t="shared" si="8"/>
        <v>-2.793369637</v>
      </c>
      <c r="U331" s="144"/>
    </row>
    <row r="332">
      <c r="A332" s="8">
        <f t="shared" si="7"/>
        <v>331</v>
      </c>
      <c r="B332" s="8"/>
      <c r="C332" s="8"/>
      <c r="D332" s="8" t="s">
        <v>19</v>
      </c>
      <c r="E332" s="8" t="s">
        <v>2754</v>
      </c>
      <c r="F332" s="8" t="s">
        <v>2713</v>
      </c>
      <c r="G332" s="8" t="s">
        <v>2755</v>
      </c>
      <c r="H332" s="8">
        <v>0.0</v>
      </c>
      <c r="I332" s="8" t="s">
        <v>82</v>
      </c>
      <c r="J332" s="8" t="s">
        <v>22</v>
      </c>
      <c r="K332" s="8" t="s">
        <v>225</v>
      </c>
      <c r="L332" s="8" t="s">
        <v>1522</v>
      </c>
      <c r="M332" s="9">
        <v>0.25</v>
      </c>
      <c r="N332" s="9">
        <v>0.005</v>
      </c>
      <c r="O332" s="9">
        <v>0.005</v>
      </c>
      <c r="P332" s="10">
        <v>45114.0</v>
      </c>
      <c r="Q332" s="11">
        <v>1.825</v>
      </c>
      <c r="R332" s="8" t="s">
        <v>25</v>
      </c>
      <c r="S332" s="12">
        <f t="shared" si="1"/>
        <v>-0.005</v>
      </c>
      <c r="T332" s="12">
        <f t="shared" si="8"/>
        <v>-2.798369637</v>
      </c>
      <c r="U332" s="145"/>
    </row>
    <row r="333">
      <c r="A333" s="15">
        <f t="shared" si="7"/>
        <v>332</v>
      </c>
      <c r="B333" s="15"/>
      <c r="C333" s="15"/>
      <c r="D333" s="15" t="s">
        <v>19</v>
      </c>
      <c r="E333" s="15" t="s">
        <v>2756</v>
      </c>
      <c r="F333" s="15" t="s">
        <v>2713</v>
      </c>
      <c r="G333" s="15" t="s">
        <v>2755</v>
      </c>
      <c r="H333" s="15">
        <v>-1.0</v>
      </c>
      <c r="I333" s="15" t="s">
        <v>82</v>
      </c>
      <c r="J333" s="15" t="s">
        <v>22</v>
      </c>
      <c r="K333" s="15" t="s">
        <v>225</v>
      </c>
      <c r="L333" s="15" t="s">
        <v>1851</v>
      </c>
      <c r="M333" s="16">
        <v>0.5</v>
      </c>
      <c r="N333" s="16">
        <v>0.35</v>
      </c>
      <c r="O333" s="16">
        <f>0.775*0.35</f>
        <v>0.27125</v>
      </c>
      <c r="P333" s="17">
        <v>45114.0</v>
      </c>
      <c r="Q333" s="18">
        <f>250.57/175</f>
        <v>1.431828571</v>
      </c>
      <c r="R333" s="15" t="s">
        <v>33</v>
      </c>
      <c r="S333" s="19">
        <f t="shared" si="1"/>
        <v>0.1171335</v>
      </c>
      <c r="T333" s="19">
        <f t="shared" si="8"/>
        <v>-2.681236137</v>
      </c>
      <c r="U333" s="144"/>
    </row>
    <row r="334">
      <c r="A334" s="8">
        <f t="shared" si="7"/>
        <v>333</v>
      </c>
      <c r="B334" s="8"/>
      <c r="C334" s="8"/>
      <c r="D334" s="8" t="s">
        <v>19</v>
      </c>
      <c r="E334" s="8" t="s">
        <v>2757</v>
      </c>
      <c r="F334" s="8" t="s">
        <v>2713</v>
      </c>
      <c r="G334" s="8" t="s">
        <v>2755</v>
      </c>
      <c r="H334" s="8">
        <v>-2.0</v>
      </c>
      <c r="I334" s="8" t="s">
        <v>513</v>
      </c>
      <c r="J334" s="8" t="s">
        <v>22</v>
      </c>
      <c r="K334" s="8" t="s">
        <v>225</v>
      </c>
      <c r="L334" s="8" t="s">
        <v>1522</v>
      </c>
      <c r="M334" s="9">
        <v>1.0</v>
      </c>
      <c r="N334" s="9">
        <v>0.35</v>
      </c>
      <c r="O334" s="9">
        <v>0.35</v>
      </c>
      <c r="P334" s="10">
        <v>45114.0</v>
      </c>
      <c r="Q334" s="11">
        <v>1.775</v>
      </c>
      <c r="R334" s="8" t="s">
        <v>70</v>
      </c>
      <c r="S334" s="12">
        <f t="shared" si="1"/>
        <v>0</v>
      </c>
      <c r="T334" s="12">
        <f t="shared" si="8"/>
        <v>-2.681236137</v>
      </c>
      <c r="U334" s="145"/>
    </row>
    <row r="335">
      <c r="A335" s="15">
        <f t="shared" si="7"/>
        <v>334</v>
      </c>
      <c r="B335" s="15"/>
      <c r="C335" s="15"/>
      <c r="D335" s="15" t="s">
        <v>19</v>
      </c>
      <c r="E335" s="15" t="s">
        <v>2758</v>
      </c>
      <c r="F335" s="15" t="s">
        <v>2573</v>
      </c>
      <c r="G335" s="15" t="s">
        <v>2611</v>
      </c>
      <c r="H335" s="15">
        <f t="shared" ref="H335:H336" si="16">1</f>
        <v>1</v>
      </c>
      <c r="I335" s="15" t="s">
        <v>172</v>
      </c>
      <c r="J335" s="15" t="s">
        <v>22</v>
      </c>
      <c r="K335" s="15" t="s">
        <v>894</v>
      </c>
      <c r="L335" s="15" t="s">
        <v>24</v>
      </c>
      <c r="M335" s="16">
        <v>-0.25</v>
      </c>
      <c r="N335" s="16">
        <v>0.35</v>
      </c>
      <c r="O335" s="16">
        <v>0.35</v>
      </c>
      <c r="P335" s="17">
        <v>45114.0</v>
      </c>
      <c r="Q335" s="18">
        <v>2.075</v>
      </c>
      <c r="R335" s="15" t="s">
        <v>79</v>
      </c>
      <c r="S335" s="19">
        <f t="shared" si="1"/>
        <v>-0.175</v>
      </c>
      <c r="T335" s="19">
        <f t="shared" si="8"/>
        <v>-2.856236137</v>
      </c>
      <c r="U335" s="144"/>
    </row>
    <row r="336">
      <c r="A336" s="8">
        <f t="shared" si="7"/>
        <v>335</v>
      </c>
      <c r="B336" s="8"/>
      <c r="C336" s="8"/>
      <c r="D336" s="8" t="s">
        <v>19</v>
      </c>
      <c r="E336" s="8" t="s">
        <v>2759</v>
      </c>
      <c r="F336" s="8" t="s">
        <v>2611</v>
      </c>
      <c r="G336" s="8" t="s">
        <v>2755</v>
      </c>
      <c r="H336" s="8">
        <f t="shared" si="16"/>
        <v>1</v>
      </c>
      <c r="I336" s="8" t="s">
        <v>28</v>
      </c>
      <c r="J336" s="8" t="s">
        <v>22</v>
      </c>
      <c r="K336" s="8" t="s">
        <v>225</v>
      </c>
      <c r="L336" s="8" t="s">
        <v>39</v>
      </c>
      <c r="M336" s="9">
        <v>0.5</v>
      </c>
      <c r="N336" s="9">
        <v>0.7</v>
      </c>
      <c r="O336" s="9">
        <v>0.7</v>
      </c>
      <c r="P336" s="10">
        <v>45114.0</v>
      </c>
      <c r="Q336" s="11">
        <v>1.875</v>
      </c>
      <c r="R336" s="8" t="s">
        <v>25</v>
      </c>
      <c r="S336" s="12">
        <f t="shared" si="1"/>
        <v>-0.7</v>
      </c>
      <c r="T336" s="12">
        <f t="shared" si="8"/>
        <v>-3.556236137</v>
      </c>
      <c r="U336" s="145"/>
    </row>
    <row r="337">
      <c r="A337" s="15">
        <f t="shared" si="7"/>
        <v>336</v>
      </c>
      <c r="B337" s="15"/>
      <c r="C337" s="15"/>
      <c r="D337" s="15" t="s">
        <v>19</v>
      </c>
      <c r="E337" s="15" t="s">
        <v>2760</v>
      </c>
      <c r="F337" s="15"/>
      <c r="G337" s="15"/>
      <c r="H337" s="15" t="s">
        <v>2615</v>
      </c>
      <c r="I337" s="15" t="s">
        <v>513</v>
      </c>
      <c r="J337" s="15" t="s">
        <v>22</v>
      </c>
      <c r="K337" s="15" t="s">
        <v>29</v>
      </c>
      <c r="L337" s="15" t="s">
        <v>24</v>
      </c>
      <c r="M337" s="16">
        <v>-4.0</v>
      </c>
      <c r="N337" s="16">
        <v>0.7</v>
      </c>
      <c r="O337" s="16">
        <f>0.575*0.7</f>
        <v>0.4025</v>
      </c>
      <c r="P337" s="17">
        <v>45114.0</v>
      </c>
      <c r="Q337" s="18">
        <v>1.85</v>
      </c>
      <c r="R337" s="15" t="s">
        <v>25</v>
      </c>
      <c r="S337" s="19">
        <f t="shared" si="1"/>
        <v>-0.4025</v>
      </c>
      <c r="T337" s="19">
        <f t="shared" si="8"/>
        <v>-3.958736137</v>
      </c>
      <c r="U337" s="144"/>
    </row>
    <row r="338">
      <c r="A338" s="8">
        <f t="shared" si="7"/>
        <v>337</v>
      </c>
      <c r="B338" s="8"/>
      <c r="C338" s="8"/>
      <c r="D338" s="8" t="s">
        <v>19</v>
      </c>
      <c r="E338" s="8" t="s">
        <v>2761</v>
      </c>
      <c r="F338" s="8"/>
      <c r="G338" s="8"/>
      <c r="H338" s="8" t="s">
        <v>2615</v>
      </c>
      <c r="I338" s="8" t="s">
        <v>513</v>
      </c>
      <c r="J338" s="8" t="s">
        <v>22</v>
      </c>
      <c r="K338" s="8" t="s">
        <v>29</v>
      </c>
      <c r="L338" s="8" t="s">
        <v>24</v>
      </c>
      <c r="M338" s="9">
        <v>-4.25</v>
      </c>
      <c r="N338" s="9">
        <v>0.7</v>
      </c>
      <c r="O338" s="9">
        <f>0.1*0.7</f>
        <v>0.07</v>
      </c>
      <c r="P338" s="10">
        <v>45114.0</v>
      </c>
      <c r="Q338" s="11">
        <v>1.9</v>
      </c>
      <c r="R338" s="8" t="s">
        <v>25</v>
      </c>
      <c r="S338" s="12">
        <f t="shared" si="1"/>
        <v>-0.07</v>
      </c>
      <c r="T338" s="12">
        <f t="shared" si="8"/>
        <v>-4.028736137</v>
      </c>
      <c r="U338" s="145"/>
    </row>
    <row r="339">
      <c r="A339" s="15">
        <f t="shared" si="7"/>
        <v>338</v>
      </c>
      <c r="B339" s="15"/>
      <c r="C339" s="15"/>
      <c r="D339" s="15" t="s">
        <v>40</v>
      </c>
      <c r="E339" s="15" t="s">
        <v>2762</v>
      </c>
      <c r="F339" s="15" t="s">
        <v>1473</v>
      </c>
      <c r="G339" s="15" t="s">
        <v>2573</v>
      </c>
      <c r="H339" s="15">
        <v>0.0</v>
      </c>
      <c r="I339" s="15" t="s">
        <v>877</v>
      </c>
      <c r="J339" s="15" t="s">
        <v>22</v>
      </c>
      <c r="K339" s="15" t="s">
        <v>894</v>
      </c>
      <c r="L339" s="15" t="s">
        <v>24</v>
      </c>
      <c r="M339" s="16">
        <v>-0.75</v>
      </c>
      <c r="N339" s="16">
        <v>0.35</v>
      </c>
      <c r="O339" s="16">
        <v>0.35</v>
      </c>
      <c r="P339" s="17">
        <v>45114.0</v>
      </c>
      <c r="Q339" s="18">
        <v>1.925</v>
      </c>
      <c r="R339" s="15" t="s">
        <v>25</v>
      </c>
      <c r="S339" s="19">
        <f t="shared" si="1"/>
        <v>-0.35</v>
      </c>
      <c r="T339" s="19">
        <f t="shared" si="8"/>
        <v>-4.378736137</v>
      </c>
      <c r="U339" s="144"/>
    </row>
    <row r="340">
      <c r="A340" s="8">
        <f t="shared" si="7"/>
        <v>339</v>
      </c>
      <c r="B340" s="8"/>
      <c r="C340" s="8"/>
      <c r="D340" s="8" t="s">
        <v>19</v>
      </c>
      <c r="E340" s="8" t="s">
        <v>2763</v>
      </c>
      <c r="F340" s="8"/>
      <c r="G340" s="8"/>
      <c r="H340" s="8" t="s">
        <v>2613</v>
      </c>
      <c r="I340" s="8" t="s">
        <v>2453</v>
      </c>
      <c r="J340" s="8" t="s">
        <v>598</v>
      </c>
      <c r="K340" s="8" t="s">
        <v>29</v>
      </c>
      <c r="L340" s="8" t="s">
        <v>1522</v>
      </c>
      <c r="M340" s="9">
        <v>-3.5</v>
      </c>
      <c r="N340" s="9">
        <v>0.35</v>
      </c>
      <c r="O340" s="9">
        <v>0.35</v>
      </c>
      <c r="P340" s="10">
        <v>45114.0</v>
      </c>
      <c r="Q340" s="11">
        <v>1.8</v>
      </c>
      <c r="R340" s="8" t="s">
        <v>33</v>
      </c>
      <c r="S340" s="12">
        <f t="shared" si="1"/>
        <v>0.28</v>
      </c>
      <c r="T340" s="12">
        <f t="shared" si="8"/>
        <v>-4.098736137</v>
      </c>
      <c r="U340" s="145"/>
    </row>
    <row r="341">
      <c r="A341" s="15">
        <f t="shared" si="7"/>
        <v>340</v>
      </c>
      <c r="B341" s="15"/>
      <c r="C341" s="15"/>
      <c r="D341" s="15" t="s">
        <v>19</v>
      </c>
      <c r="E341" s="15" t="s">
        <v>2764</v>
      </c>
      <c r="F341" s="15" t="s">
        <v>1479</v>
      </c>
      <c r="G341" s="15" t="s">
        <v>2556</v>
      </c>
      <c r="H341" s="15">
        <v>0.0</v>
      </c>
      <c r="I341" s="15" t="s">
        <v>82</v>
      </c>
      <c r="J341" s="15" t="s">
        <v>22</v>
      </c>
      <c r="K341" s="15" t="s">
        <v>892</v>
      </c>
      <c r="L341" s="15" t="s">
        <v>39</v>
      </c>
      <c r="M341" s="16">
        <v>0.0</v>
      </c>
      <c r="N341" s="16">
        <v>0.15</v>
      </c>
      <c r="O341" s="16">
        <v>0.15</v>
      </c>
      <c r="P341" s="17">
        <v>45114.0</v>
      </c>
      <c r="Q341" s="18">
        <v>1.8</v>
      </c>
      <c r="R341" s="15" t="s">
        <v>25</v>
      </c>
      <c r="S341" s="19">
        <f t="shared" si="1"/>
        <v>-0.15</v>
      </c>
      <c r="T341" s="19">
        <f t="shared" si="8"/>
        <v>-4.248736137</v>
      </c>
      <c r="U341" s="144"/>
    </row>
    <row r="342">
      <c r="A342" s="8">
        <f t="shared" si="7"/>
        <v>341</v>
      </c>
      <c r="B342" s="8"/>
      <c r="C342" s="8"/>
      <c r="D342" s="8" t="s">
        <v>19</v>
      </c>
      <c r="E342" s="8" t="s">
        <v>2765</v>
      </c>
      <c r="F342" s="8"/>
      <c r="G342" s="8"/>
      <c r="H342" s="8" t="s">
        <v>2615</v>
      </c>
      <c r="I342" s="8" t="s">
        <v>82</v>
      </c>
      <c r="J342" s="8" t="s">
        <v>22</v>
      </c>
      <c r="K342" s="8" t="s">
        <v>2725</v>
      </c>
      <c r="L342" s="8" t="s">
        <v>39</v>
      </c>
      <c r="M342" s="9">
        <v>0.5</v>
      </c>
      <c r="N342" s="9">
        <v>0.35</v>
      </c>
      <c r="O342" s="9">
        <v>0.35</v>
      </c>
      <c r="P342" s="10">
        <v>45114.0</v>
      </c>
      <c r="Q342" s="11">
        <f>273/175</f>
        <v>1.56</v>
      </c>
      <c r="R342" s="8" t="s">
        <v>33</v>
      </c>
      <c r="S342" s="12">
        <f t="shared" si="1"/>
        <v>0.196</v>
      </c>
      <c r="T342" s="12">
        <f t="shared" si="8"/>
        <v>-4.052736137</v>
      </c>
      <c r="U342" s="145"/>
    </row>
    <row r="343">
      <c r="A343" s="15">
        <f t="shared" si="7"/>
        <v>342</v>
      </c>
      <c r="B343" s="15"/>
      <c r="C343" s="15"/>
      <c r="D343" s="15" t="s">
        <v>19</v>
      </c>
      <c r="E343" s="15" t="s">
        <v>2766</v>
      </c>
      <c r="F343" s="15" t="s">
        <v>1479</v>
      </c>
      <c r="G343" s="15" t="s">
        <v>2556</v>
      </c>
      <c r="H343" s="15">
        <f>1</f>
        <v>1</v>
      </c>
      <c r="I343" s="15" t="s">
        <v>2674</v>
      </c>
      <c r="J343" s="15" t="s">
        <v>22</v>
      </c>
      <c r="K343" s="15" t="s">
        <v>225</v>
      </c>
      <c r="L343" s="15" t="s">
        <v>39</v>
      </c>
      <c r="M343" s="16">
        <v>1.5</v>
      </c>
      <c r="N343" s="16">
        <v>0.35</v>
      </c>
      <c r="O343" s="16">
        <v>0.35</v>
      </c>
      <c r="P343" s="17">
        <v>45114.0</v>
      </c>
      <c r="Q343" s="18">
        <v>1.95</v>
      </c>
      <c r="R343" s="15" t="s">
        <v>25</v>
      </c>
      <c r="S343" s="19">
        <f t="shared" si="1"/>
        <v>-0.35</v>
      </c>
      <c r="T343" s="19">
        <f t="shared" si="8"/>
        <v>-4.402736137</v>
      </c>
      <c r="U343" s="144"/>
    </row>
    <row r="344">
      <c r="A344" s="8">
        <f t="shared" si="7"/>
        <v>343</v>
      </c>
      <c r="B344" s="8"/>
      <c r="C344" s="8"/>
      <c r="D344" s="8" t="s">
        <v>19</v>
      </c>
      <c r="E344" s="8" t="s">
        <v>2767</v>
      </c>
      <c r="F344" s="8"/>
      <c r="G344" s="8"/>
      <c r="H344" s="8" t="s">
        <v>2567</v>
      </c>
      <c r="I344" s="8" t="s">
        <v>78</v>
      </c>
      <c r="J344" s="8" t="s">
        <v>22</v>
      </c>
      <c r="K344" s="8" t="s">
        <v>29</v>
      </c>
      <c r="L344" s="8" t="s">
        <v>24</v>
      </c>
      <c r="M344" s="9">
        <v>-1.5</v>
      </c>
      <c r="N344" s="9">
        <v>0.35</v>
      </c>
      <c r="O344" s="9">
        <v>0.35</v>
      </c>
      <c r="P344" s="10">
        <v>45114.0</v>
      </c>
      <c r="Q344" s="11">
        <v>1.75</v>
      </c>
      <c r="R344" s="8" t="s">
        <v>33</v>
      </c>
      <c r="S344" s="12">
        <f t="shared" si="1"/>
        <v>0.2625</v>
      </c>
      <c r="T344" s="12">
        <f t="shared" si="8"/>
        <v>-4.140236137</v>
      </c>
      <c r="U344" s="145"/>
    </row>
    <row r="345">
      <c r="A345" s="15">
        <f t="shared" si="7"/>
        <v>344</v>
      </c>
      <c r="B345" s="15"/>
      <c r="C345" s="15"/>
      <c r="D345" s="15" t="s">
        <v>40</v>
      </c>
      <c r="E345" s="15" t="s">
        <v>2768</v>
      </c>
      <c r="F345" s="15" t="s">
        <v>2713</v>
      </c>
      <c r="G345" s="15" t="s">
        <v>2755</v>
      </c>
      <c r="H345" s="15">
        <v>0.0</v>
      </c>
      <c r="I345" s="15" t="s">
        <v>794</v>
      </c>
      <c r="J345" s="15" t="s">
        <v>22</v>
      </c>
      <c r="K345" s="15" t="s">
        <v>225</v>
      </c>
      <c r="L345" s="15" t="s">
        <v>39</v>
      </c>
      <c r="M345" s="16">
        <v>1.75</v>
      </c>
      <c r="N345" s="16">
        <v>0.35</v>
      </c>
      <c r="O345" s="16">
        <v>0.35</v>
      </c>
      <c r="P345" s="17">
        <v>45114.0</v>
      </c>
      <c r="Q345" s="18">
        <v>1.825</v>
      </c>
      <c r="R345" s="15" t="s">
        <v>33</v>
      </c>
      <c r="S345" s="19">
        <f t="shared" si="1"/>
        <v>0.28875</v>
      </c>
      <c r="T345" s="19">
        <f t="shared" si="8"/>
        <v>-3.851486137</v>
      </c>
      <c r="U345" s="144"/>
    </row>
    <row r="346">
      <c r="A346" s="8">
        <f t="shared" si="7"/>
        <v>345</v>
      </c>
      <c r="B346" s="8"/>
      <c r="C346" s="8"/>
      <c r="D346" s="8" t="s">
        <v>19</v>
      </c>
      <c r="E346" s="8" t="s">
        <v>2769</v>
      </c>
      <c r="F346" s="8" t="s">
        <v>2713</v>
      </c>
      <c r="G346" s="8" t="s">
        <v>2755</v>
      </c>
      <c r="H346" s="8">
        <v>-2.0</v>
      </c>
      <c r="I346" s="8" t="s">
        <v>28</v>
      </c>
      <c r="J346" s="8" t="s">
        <v>22</v>
      </c>
      <c r="K346" s="8" t="s">
        <v>225</v>
      </c>
      <c r="L346" s="8" t="s">
        <v>24</v>
      </c>
      <c r="M346" s="9">
        <v>0.25</v>
      </c>
      <c r="N346" s="9">
        <v>0.35</v>
      </c>
      <c r="O346" s="9">
        <v>0.35</v>
      </c>
      <c r="P346" s="10">
        <v>45115.0</v>
      </c>
      <c r="Q346" s="11">
        <v>1.825</v>
      </c>
      <c r="R346" s="8" t="s">
        <v>25</v>
      </c>
      <c r="S346" s="12">
        <f t="shared" si="1"/>
        <v>-0.35</v>
      </c>
      <c r="T346" s="12">
        <f t="shared" si="8"/>
        <v>-4.201486137</v>
      </c>
      <c r="U346" s="145"/>
    </row>
    <row r="347">
      <c r="A347" s="15">
        <f t="shared" si="7"/>
        <v>346</v>
      </c>
      <c r="B347" s="15"/>
      <c r="C347" s="15"/>
      <c r="D347" s="15" t="s">
        <v>19</v>
      </c>
      <c r="E347" s="15" t="s">
        <v>2770</v>
      </c>
      <c r="F347" s="15" t="s">
        <v>2713</v>
      </c>
      <c r="G347" s="15" t="s">
        <v>2755</v>
      </c>
      <c r="H347" s="15">
        <v>3</v>
      </c>
      <c r="I347" s="15" t="s">
        <v>920</v>
      </c>
      <c r="J347" s="15" t="s">
        <v>22</v>
      </c>
      <c r="K347" s="15" t="s">
        <v>225</v>
      </c>
      <c r="L347" s="15" t="s">
        <v>1522</v>
      </c>
      <c r="M347" s="16">
        <v>0.25</v>
      </c>
      <c r="N347" s="16">
        <v>0.35</v>
      </c>
      <c r="O347" s="16">
        <v>0.35</v>
      </c>
      <c r="P347" s="17">
        <v>45115.0</v>
      </c>
      <c r="Q347" s="18">
        <v>1.8</v>
      </c>
      <c r="R347" s="15" t="s">
        <v>30</v>
      </c>
      <c r="S347" s="19">
        <f t="shared" si="1"/>
        <v>0.14</v>
      </c>
      <c r="T347" s="19">
        <f t="shared" si="8"/>
        <v>-4.061486137</v>
      </c>
      <c r="U347" s="144"/>
    </row>
    <row r="348">
      <c r="A348" s="8">
        <f t="shared" si="7"/>
        <v>347</v>
      </c>
      <c r="B348" s="8"/>
      <c r="C348" s="8"/>
      <c r="D348" s="8" t="s">
        <v>19</v>
      </c>
      <c r="E348" s="8" t="s">
        <v>2771</v>
      </c>
      <c r="F348" s="8" t="s">
        <v>1479</v>
      </c>
      <c r="G348" s="8" t="s">
        <v>2660</v>
      </c>
      <c r="H348" s="8">
        <v>-2.0</v>
      </c>
      <c r="I348" s="8" t="s">
        <v>513</v>
      </c>
      <c r="J348" s="8" t="s">
        <v>22</v>
      </c>
      <c r="K348" s="8" t="s">
        <v>892</v>
      </c>
      <c r="L348" s="8" t="s">
        <v>1851</v>
      </c>
      <c r="M348" s="9">
        <v>0.0</v>
      </c>
      <c r="N348" s="9">
        <v>0.35</v>
      </c>
      <c r="O348" s="9">
        <v>0.35</v>
      </c>
      <c r="P348" s="10">
        <v>45115.0</v>
      </c>
      <c r="Q348" s="11">
        <v>1.725</v>
      </c>
      <c r="R348" s="8" t="s">
        <v>33</v>
      </c>
      <c r="S348" s="12">
        <f t="shared" si="1"/>
        <v>0.25375</v>
      </c>
      <c r="T348" s="12">
        <f t="shared" si="8"/>
        <v>-3.807736137</v>
      </c>
      <c r="U348" s="145"/>
    </row>
    <row r="349">
      <c r="A349" s="15">
        <f t="shared" si="7"/>
        <v>348</v>
      </c>
      <c r="B349" s="15"/>
      <c r="C349" s="15"/>
      <c r="D349" s="15" t="s">
        <v>19</v>
      </c>
      <c r="E349" s="15" t="s">
        <v>2772</v>
      </c>
      <c r="F349" s="15" t="s">
        <v>2713</v>
      </c>
      <c r="G349" s="15" t="s">
        <v>2755</v>
      </c>
      <c r="H349" s="15">
        <f>1</f>
        <v>1</v>
      </c>
      <c r="I349" s="15" t="s">
        <v>28</v>
      </c>
      <c r="J349" s="15" t="s">
        <v>22</v>
      </c>
      <c r="K349" s="15" t="s">
        <v>892</v>
      </c>
      <c r="L349" s="15" t="s">
        <v>24</v>
      </c>
      <c r="M349" s="16">
        <v>0.0</v>
      </c>
      <c r="N349" s="16">
        <v>0.35</v>
      </c>
      <c r="O349" s="16">
        <v>0.35</v>
      </c>
      <c r="P349" s="17">
        <v>45115.0</v>
      </c>
      <c r="Q349" s="18">
        <v>2.1</v>
      </c>
      <c r="R349" s="15" t="s">
        <v>70</v>
      </c>
      <c r="S349" s="19">
        <f t="shared" si="1"/>
        <v>0</v>
      </c>
      <c r="T349" s="19">
        <f t="shared" si="8"/>
        <v>-3.807736137</v>
      </c>
      <c r="U349" s="144"/>
    </row>
    <row r="350">
      <c r="A350" s="8">
        <f t="shared" si="7"/>
        <v>349</v>
      </c>
      <c r="B350" s="8"/>
      <c r="C350" s="8"/>
      <c r="D350" s="8" t="s">
        <v>19</v>
      </c>
      <c r="E350" s="8" t="s">
        <v>2773</v>
      </c>
      <c r="F350" s="8" t="s">
        <v>2713</v>
      </c>
      <c r="G350" s="8" t="s">
        <v>2755</v>
      </c>
      <c r="H350" s="8">
        <v>-1.0</v>
      </c>
      <c r="I350" s="8" t="s">
        <v>28</v>
      </c>
      <c r="J350" s="8" t="s">
        <v>22</v>
      </c>
      <c r="K350" s="8" t="s">
        <v>225</v>
      </c>
      <c r="L350" s="8" t="s">
        <v>24</v>
      </c>
      <c r="M350" s="9">
        <v>0.25</v>
      </c>
      <c r="N350" s="9">
        <v>0.35</v>
      </c>
      <c r="O350" s="9">
        <v>0.35</v>
      </c>
      <c r="P350" s="10">
        <v>45115.0</v>
      </c>
      <c r="Q350" s="11">
        <f>186.83/175</f>
        <v>1.0676</v>
      </c>
      <c r="R350" s="8" t="s">
        <v>33</v>
      </c>
      <c r="S350" s="12">
        <f t="shared" si="1"/>
        <v>0.02366</v>
      </c>
      <c r="T350" s="12">
        <f t="shared" si="8"/>
        <v>-3.784076137</v>
      </c>
      <c r="U350" s="145"/>
    </row>
    <row r="351">
      <c r="A351" s="15">
        <f t="shared" si="7"/>
        <v>350</v>
      </c>
      <c r="B351" s="15"/>
      <c r="C351" s="15"/>
      <c r="D351" s="15" t="s">
        <v>40</v>
      </c>
      <c r="E351" s="15" t="s">
        <v>2774</v>
      </c>
      <c r="F351" s="15" t="s">
        <v>2713</v>
      </c>
      <c r="G351" s="15" t="s">
        <v>2755</v>
      </c>
      <c r="H351" s="15">
        <v>0.0</v>
      </c>
      <c r="I351" s="15" t="s">
        <v>1549</v>
      </c>
      <c r="J351" s="15" t="s">
        <v>22</v>
      </c>
      <c r="K351" s="15" t="s">
        <v>225</v>
      </c>
      <c r="L351" s="15" t="s">
        <v>39</v>
      </c>
      <c r="M351" s="16">
        <v>0.5</v>
      </c>
      <c r="N351" s="16">
        <v>0.35</v>
      </c>
      <c r="O351" s="16">
        <v>0.35</v>
      </c>
      <c r="P351" s="17">
        <v>45115.0</v>
      </c>
      <c r="Q351" s="18">
        <v>1.85</v>
      </c>
      <c r="R351" s="15" t="s">
        <v>33</v>
      </c>
      <c r="S351" s="19">
        <f t="shared" si="1"/>
        <v>0.2975</v>
      </c>
      <c r="T351" s="19">
        <f t="shared" si="8"/>
        <v>-3.486576137</v>
      </c>
      <c r="U351" s="144"/>
    </row>
    <row r="352">
      <c r="A352" s="8">
        <f t="shared" si="7"/>
        <v>351</v>
      </c>
      <c r="B352" s="8"/>
      <c r="C352" s="8"/>
      <c r="D352" s="8" t="s">
        <v>19</v>
      </c>
      <c r="E352" s="8" t="s">
        <v>2775</v>
      </c>
      <c r="F352" s="8"/>
      <c r="G352" s="8"/>
      <c r="H352" s="8" t="s">
        <v>2613</v>
      </c>
      <c r="I352" s="8" t="s">
        <v>82</v>
      </c>
      <c r="J352" s="8" t="s">
        <v>598</v>
      </c>
      <c r="K352" s="8" t="s">
        <v>2776</v>
      </c>
      <c r="L352" s="8" t="s">
        <v>39</v>
      </c>
      <c r="M352" s="9">
        <v>5.5</v>
      </c>
      <c r="N352" s="9">
        <v>0.35</v>
      </c>
      <c r="O352" s="9">
        <v>0.35</v>
      </c>
      <c r="P352" s="10">
        <v>45115.0</v>
      </c>
      <c r="Q352" s="11">
        <v>2.075</v>
      </c>
      <c r="R352" s="8" t="s">
        <v>25</v>
      </c>
      <c r="S352" s="12">
        <f t="shared" si="1"/>
        <v>-0.35</v>
      </c>
      <c r="T352" s="12">
        <f t="shared" si="8"/>
        <v>-3.836576137</v>
      </c>
      <c r="U352" s="145"/>
    </row>
    <row r="353">
      <c r="A353" s="15">
        <f t="shared" si="7"/>
        <v>352</v>
      </c>
      <c r="B353" s="15"/>
      <c r="C353" s="15"/>
      <c r="D353" s="15" t="s">
        <v>19</v>
      </c>
      <c r="E353" s="15" t="s">
        <v>2777</v>
      </c>
      <c r="F353" s="15" t="s">
        <v>1479</v>
      </c>
      <c r="G353" s="15" t="s">
        <v>2556</v>
      </c>
      <c r="H353" s="15">
        <f>1</f>
        <v>1</v>
      </c>
      <c r="I353" s="15" t="s">
        <v>794</v>
      </c>
      <c r="J353" s="15" t="s">
        <v>22</v>
      </c>
      <c r="K353" s="15" t="s">
        <v>225</v>
      </c>
      <c r="L353" s="15" t="s">
        <v>39</v>
      </c>
      <c r="M353" s="16">
        <v>0.25</v>
      </c>
      <c r="N353" s="16">
        <v>0.35</v>
      </c>
      <c r="O353" s="16">
        <v>0.35</v>
      </c>
      <c r="P353" s="17">
        <v>45115.0</v>
      </c>
      <c r="Q353" s="18">
        <v>1.8</v>
      </c>
      <c r="R353" s="15" t="s">
        <v>25</v>
      </c>
      <c r="S353" s="19">
        <f t="shared" si="1"/>
        <v>-0.35</v>
      </c>
      <c r="T353" s="19">
        <f t="shared" si="8"/>
        <v>-4.186576137</v>
      </c>
      <c r="U353" s="144"/>
    </row>
    <row r="354">
      <c r="A354" s="8">
        <f t="shared" si="7"/>
        <v>353</v>
      </c>
      <c r="B354" s="8"/>
      <c r="C354" s="8"/>
      <c r="D354" s="8" t="s">
        <v>40</v>
      </c>
      <c r="E354" s="8" t="s">
        <v>2778</v>
      </c>
      <c r="F354" s="8" t="s">
        <v>1479</v>
      </c>
      <c r="G354" s="8" t="s">
        <v>2660</v>
      </c>
      <c r="H354" s="8">
        <v>-1.0</v>
      </c>
      <c r="I354" s="8" t="s">
        <v>1549</v>
      </c>
      <c r="J354" s="8" t="s">
        <v>22</v>
      </c>
      <c r="K354" s="8" t="s">
        <v>892</v>
      </c>
      <c r="L354" s="8" t="s">
        <v>1522</v>
      </c>
      <c r="M354" s="9">
        <v>0.0</v>
      </c>
      <c r="N354" s="9">
        <v>0.35</v>
      </c>
      <c r="O354" s="9">
        <v>0.35</v>
      </c>
      <c r="P354" s="10">
        <v>45115.0</v>
      </c>
      <c r="Q354" s="11">
        <f>185/175</f>
        <v>1.057142857</v>
      </c>
      <c r="R354" s="8" t="s">
        <v>33</v>
      </c>
      <c r="S354" s="12">
        <f t="shared" si="1"/>
        <v>0.02</v>
      </c>
      <c r="T354" s="12">
        <f t="shared" si="8"/>
        <v>-4.166576137</v>
      </c>
      <c r="U354" s="145"/>
    </row>
    <row r="355">
      <c r="A355" s="15">
        <f t="shared" si="7"/>
        <v>354</v>
      </c>
      <c r="B355" s="15"/>
      <c r="C355" s="15"/>
      <c r="D355" s="15" t="s">
        <v>19</v>
      </c>
      <c r="E355" s="15" t="s">
        <v>2779</v>
      </c>
      <c r="F355" s="15" t="s">
        <v>1473</v>
      </c>
      <c r="G355" s="15" t="s">
        <v>2556</v>
      </c>
      <c r="H355" s="15">
        <f>1</f>
        <v>1</v>
      </c>
      <c r="I355" s="15" t="s">
        <v>28</v>
      </c>
      <c r="J355" s="15" t="s">
        <v>22</v>
      </c>
      <c r="K355" s="15" t="s">
        <v>225</v>
      </c>
      <c r="L355" s="15" t="s">
        <v>24</v>
      </c>
      <c r="M355" s="16">
        <v>0.5</v>
      </c>
      <c r="N355" s="16">
        <v>0.7</v>
      </c>
      <c r="O355" s="16">
        <v>0.7</v>
      </c>
      <c r="P355" s="17">
        <v>45115.0</v>
      </c>
      <c r="Q355" s="18">
        <v>1.825</v>
      </c>
      <c r="R355" s="15" t="s">
        <v>25</v>
      </c>
      <c r="S355" s="19">
        <f t="shared" si="1"/>
        <v>-0.7</v>
      </c>
      <c r="T355" s="19">
        <f t="shared" si="8"/>
        <v>-4.866576137</v>
      </c>
      <c r="U355" s="144"/>
    </row>
    <row r="356">
      <c r="A356" s="8">
        <f t="shared" si="7"/>
        <v>355</v>
      </c>
      <c r="B356" s="8"/>
      <c r="C356" s="8"/>
      <c r="D356" s="8" t="s">
        <v>19</v>
      </c>
      <c r="E356" s="8" t="s">
        <v>2780</v>
      </c>
      <c r="F356" s="8"/>
      <c r="G356" s="8"/>
      <c r="H356" s="8" t="s">
        <v>2613</v>
      </c>
      <c r="I356" s="8" t="s">
        <v>82</v>
      </c>
      <c r="J356" s="8" t="s">
        <v>22</v>
      </c>
      <c r="K356" s="8" t="s">
        <v>2634</v>
      </c>
      <c r="L356" s="8" t="s">
        <v>39</v>
      </c>
      <c r="M356" s="9"/>
      <c r="N356" s="9">
        <v>0.35</v>
      </c>
      <c r="O356" s="9">
        <v>0.2</v>
      </c>
      <c r="P356" s="10">
        <v>45115.0</v>
      </c>
      <c r="Q356" s="11">
        <v>1.9</v>
      </c>
      <c r="R356" s="8" t="s">
        <v>25</v>
      </c>
      <c r="S356" s="12">
        <f t="shared" si="1"/>
        <v>-0.2</v>
      </c>
      <c r="T356" s="12">
        <f t="shared" si="8"/>
        <v>-5.066576137</v>
      </c>
      <c r="U356" s="145"/>
    </row>
    <row r="357">
      <c r="A357" s="15">
        <f t="shared" si="7"/>
        <v>356</v>
      </c>
      <c r="B357" s="15"/>
      <c r="C357" s="15"/>
      <c r="D357" s="15" t="s">
        <v>19</v>
      </c>
      <c r="E357" s="15" t="s">
        <v>2781</v>
      </c>
      <c r="F357" s="15" t="s">
        <v>1479</v>
      </c>
      <c r="G357" s="15" t="s">
        <v>2660</v>
      </c>
      <c r="H357" s="15">
        <v>0.0</v>
      </c>
      <c r="I357" s="15" t="s">
        <v>82</v>
      </c>
      <c r="J357" s="15" t="s">
        <v>22</v>
      </c>
      <c r="K357" s="15" t="s">
        <v>892</v>
      </c>
      <c r="L357" s="15" t="s">
        <v>24</v>
      </c>
      <c r="M357" s="16">
        <v>0.0</v>
      </c>
      <c r="N357" s="16">
        <v>0.5</v>
      </c>
      <c r="O357" s="16">
        <v>0.5</v>
      </c>
      <c r="P357" s="17">
        <v>45115.0</v>
      </c>
      <c r="Q357" s="18">
        <f>260.59/250</f>
        <v>1.04236</v>
      </c>
      <c r="R357" s="15" t="s">
        <v>33</v>
      </c>
      <c r="S357" s="19">
        <f t="shared" si="1"/>
        <v>0.02118</v>
      </c>
      <c r="T357" s="19">
        <f t="shared" si="8"/>
        <v>-5.045396137</v>
      </c>
      <c r="U357" s="144"/>
    </row>
    <row r="358">
      <c r="A358" s="8">
        <f t="shared" si="7"/>
        <v>357</v>
      </c>
      <c r="B358" s="8"/>
      <c r="C358" s="8"/>
      <c r="D358" s="8" t="s">
        <v>19</v>
      </c>
      <c r="E358" s="8" t="s">
        <v>2782</v>
      </c>
      <c r="F358" s="8" t="s">
        <v>1473</v>
      </c>
      <c r="G358" s="8" t="s">
        <v>2556</v>
      </c>
      <c r="H358" s="8">
        <v>0.0</v>
      </c>
      <c r="I358" s="8" t="s">
        <v>82</v>
      </c>
      <c r="J358" s="8" t="s">
        <v>22</v>
      </c>
      <c r="K358" s="8" t="s">
        <v>225</v>
      </c>
      <c r="L358" s="8" t="s">
        <v>39</v>
      </c>
      <c r="M358" s="9">
        <v>0.5</v>
      </c>
      <c r="N358" s="9">
        <v>0.5</v>
      </c>
      <c r="O358" s="9">
        <v>0.5</v>
      </c>
      <c r="P358" s="10">
        <v>45115.0</v>
      </c>
      <c r="Q358" s="11">
        <f>420.5/250</f>
        <v>1.682</v>
      </c>
      <c r="R358" s="8" t="s">
        <v>33</v>
      </c>
      <c r="S358" s="12">
        <f t="shared" si="1"/>
        <v>0.341</v>
      </c>
      <c r="T358" s="12">
        <f t="shared" si="8"/>
        <v>-4.704396137</v>
      </c>
      <c r="U358" s="145"/>
    </row>
    <row r="359">
      <c r="A359" s="15">
        <f t="shared" si="7"/>
        <v>358</v>
      </c>
      <c r="B359" s="15"/>
      <c r="C359" s="15"/>
      <c r="D359" s="15" t="s">
        <v>19</v>
      </c>
      <c r="E359" s="15" t="s">
        <v>2783</v>
      </c>
      <c r="F359" s="15" t="s">
        <v>1473</v>
      </c>
      <c r="G359" s="15" t="s">
        <v>2556</v>
      </c>
      <c r="H359" s="15">
        <v>0.0</v>
      </c>
      <c r="I359" s="15" t="s">
        <v>82</v>
      </c>
      <c r="J359" s="15" t="s">
        <v>22</v>
      </c>
      <c r="K359" s="15" t="s">
        <v>225</v>
      </c>
      <c r="L359" s="15" t="s">
        <v>1851</v>
      </c>
      <c r="M359" s="16">
        <v>0.25</v>
      </c>
      <c r="N359" s="16">
        <v>0.5</v>
      </c>
      <c r="O359" s="16">
        <v>0.5</v>
      </c>
      <c r="P359" s="17">
        <v>45115.0</v>
      </c>
      <c r="Q359" s="18">
        <v>1.825</v>
      </c>
      <c r="R359" s="15" t="s">
        <v>33</v>
      </c>
      <c r="S359" s="19">
        <f t="shared" si="1"/>
        <v>0.4125</v>
      </c>
      <c r="T359" s="19">
        <f t="shared" si="8"/>
        <v>-4.291896137</v>
      </c>
      <c r="U359" s="144"/>
    </row>
    <row r="360">
      <c r="A360" s="8">
        <f t="shared" si="7"/>
        <v>359</v>
      </c>
      <c r="B360" s="8"/>
      <c r="C360" s="8"/>
      <c r="D360" s="8" t="s">
        <v>19</v>
      </c>
      <c r="E360" s="8" t="s">
        <v>2784</v>
      </c>
      <c r="F360" s="8" t="s">
        <v>1473</v>
      </c>
      <c r="G360" s="8" t="s">
        <v>2556</v>
      </c>
      <c r="H360" s="8">
        <v>0.0</v>
      </c>
      <c r="I360" s="8" t="s">
        <v>82</v>
      </c>
      <c r="J360" s="8" t="s">
        <v>22</v>
      </c>
      <c r="K360" s="8" t="s">
        <v>941</v>
      </c>
      <c r="L360" s="8" t="s">
        <v>24</v>
      </c>
      <c r="M360" s="9">
        <v>0.0</v>
      </c>
      <c r="N360" s="9">
        <v>0.5</v>
      </c>
      <c r="O360" s="9">
        <v>0.5</v>
      </c>
      <c r="P360" s="10">
        <v>45115.0</v>
      </c>
      <c r="Q360" s="11">
        <v>2.1</v>
      </c>
      <c r="R360" s="8" t="s">
        <v>33</v>
      </c>
      <c r="S360" s="12">
        <f t="shared" si="1"/>
        <v>0.55</v>
      </c>
      <c r="T360" s="12">
        <f t="shared" si="8"/>
        <v>-3.741896137</v>
      </c>
      <c r="U360" s="145"/>
    </row>
    <row r="361">
      <c r="A361" s="15">
        <f t="shared" si="7"/>
        <v>360</v>
      </c>
      <c r="B361" s="15"/>
      <c r="C361" s="15"/>
      <c r="D361" s="15" t="s">
        <v>19</v>
      </c>
      <c r="E361" s="15" t="s">
        <v>2785</v>
      </c>
      <c r="F361" s="15" t="s">
        <v>1473</v>
      </c>
      <c r="G361" s="15" t="s">
        <v>2556</v>
      </c>
      <c r="H361" s="15">
        <f>1</f>
        <v>1</v>
      </c>
      <c r="I361" s="15" t="s">
        <v>82</v>
      </c>
      <c r="J361" s="15" t="s">
        <v>22</v>
      </c>
      <c r="K361" s="15" t="s">
        <v>892</v>
      </c>
      <c r="L361" s="15" t="s">
        <v>39</v>
      </c>
      <c r="M361" s="16">
        <v>0.0</v>
      </c>
      <c r="N361" s="16">
        <v>0.5</v>
      </c>
      <c r="O361" s="16">
        <v>0.5</v>
      </c>
      <c r="P361" s="17">
        <v>45115.0</v>
      </c>
      <c r="Q361" s="18">
        <v>1.825</v>
      </c>
      <c r="R361" s="15" t="s">
        <v>70</v>
      </c>
      <c r="S361" s="19">
        <f t="shared" si="1"/>
        <v>0</v>
      </c>
      <c r="T361" s="19">
        <f t="shared" si="8"/>
        <v>-3.741896137</v>
      </c>
      <c r="U361" s="144"/>
    </row>
    <row r="362">
      <c r="A362" s="8">
        <f t="shared" si="7"/>
        <v>361</v>
      </c>
      <c r="B362" s="8"/>
      <c r="C362" s="8"/>
      <c r="D362" s="8" t="s">
        <v>19</v>
      </c>
      <c r="E362" s="8" t="s">
        <v>2786</v>
      </c>
      <c r="F362" s="8"/>
      <c r="G362" s="8"/>
      <c r="H362" s="8" t="s">
        <v>2567</v>
      </c>
      <c r="I362" s="8" t="s">
        <v>28</v>
      </c>
      <c r="J362" s="8" t="s">
        <v>22</v>
      </c>
      <c r="K362" s="8" t="s">
        <v>29</v>
      </c>
      <c r="L362" s="8" t="s">
        <v>39</v>
      </c>
      <c r="M362" s="9">
        <v>-4.75</v>
      </c>
      <c r="N362" s="9">
        <v>0.35</v>
      </c>
      <c r="O362" s="9">
        <f>0.7*0.35</f>
        <v>0.245</v>
      </c>
      <c r="P362" s="10">
        <v>45116.0</v>
      </c>
      <c r="Q362" s="11">
        <v>1.8</v>
      </c>
      <c r="R362" s="8" t="s">
        <v>33</v>
      </c>
      <c r="S362" s="12">
        <f t="shared" si="1"/>
        <v>0.196</v>
      </c>
      <c r="T362" s="12">
        <f t="shared" si="8"/>
        <v>-3.545896137</v>
      </c>
      <c r="U362" s="145"/>
    </row>
    <row r="363">
      <c r="A363" s="15">
        <f t="shared" si="7"/>
        <v>362</v>
      </c>
      <c r="B363" s="15"/>
      <c r="C363" s="15"/>
      <c r="D363" s="15" t="s">
        <v>40</v>
      </c>
      <c r="E363" s="15" t="s">
        <v>2787</v>
      </c>
      <c r="F363" s="15"/>
      <c r="G363" s="15"/>
      <c r="H363" s="15" t="s">
        <v>2615</v>
      </c>
      <c r="I363" s="15" t="s">
        <v>189</v>
      </c>
      <c r="J363" s="15" t="s">
        <v>22</v>
      </c>
      <c r="K363" s="15" t="s">
        <v>29</v>
      </c>
      <c r="L363" s="15" t="s">
        <v>1803</v>
      </c>
      <c r="M363" s="16">
        <v>-3.0</v>
      </c>
      <c r="N363" s="16">
        <v>0.5</v>
      </c>
      <c r="O363" s="16">
        <f>0.65*0.5</f>
        <v>0.325</v>
      </c>
      <c r="P363" s="17">
        <v>45116.0</v>
      </c>
      <c r="Q363" s="18">
        <v>1.95</v>
      </c>
      <c r="R363" s="15" t="s">
        <v>25</v>
      </c>
      <c r="S363" s="19">
        <f t="shared" si="1"/>
        <v>-0.325</v>
      </c>
      <c r="T363" s="19">
        <f t="shared" si="8"/>
        <v>-3.870896137</v>
      </c>
      <c r="U363" s="144"/>
    </row>
    <row r="364">
      <c r="A364" s="8">
        <f t="shared" si="7"/>
        <v>363</v>
      </c>
      <c r="B364" s="8"/>
      <c r="C364" s="8"/>
      <c r="D364" s="8" t="s">
        <v>40</v>
      </c>
      <c r="E364" s="8" t="s">
        <v>2788</v>
      </c>
      <c r="F364" s="8"/>
      <c r="G364" s="8"/>
      <c r="H364" s="8" t="s">
        <v>2615</v>
      </c>
      <c r="I364" s="8" t="s">
        <v>189</v>
      </c>
      <c r="J364" s="8" t="s">
        <v>22</v>
      </c>
      <c r="K364" s="8" t="s">
        <v>29</v>
      </c>
      <c r="L364" s="8" t="s">
        <v>1803</v>
      </c>
      <c r="M364" s="9">
        <v>-2.75</v>
      </c>
      <c r="N364" s="9">
        <v>0.5</v>
      </c>
      <c r="O364" s="9">
        <f>0.275*0.5</f>
        <v>0.1375</v>
      </c>
      <c r="P364" s="10">
        <v>45116.0</v>
      </c>
      <c r="Q364" s="11">
        <v>2.0</v>
      </c>
      <c r="R364" s="8" t="s">
        <v>25</v>
      </c>
      <c r="S364" s="12">
        <f t="shared" si="1"/>
        <v>-0.1375</v>
      </c>
      <c r="T364" s="12">
        <f t="shared" si="8"/>
        <v>-4.008396137</v>
      </c>
      <c r="U364" s="145"/>
    </row>
    <row r="365">
      <c r="A365" s="15">
        <f t="shared" si="7"/>
        <v>364</v>
      </c>
      <c r="B365" s="15"/>
      <c r="C365" s="15"/>
      <c r="D365" s="15" t="s">
        <v>19</v>
      </c>
      <c r="E365" s="15" t="s">
        <v>2789</v>
      </c>
      <c r="F365" s="15" t="s">
        <v>1479</v>
      </c>
      <c r="G365" s="15" t="s">
        <v>2556</v>
      </c>
      <c r="H365" s="15">
        <f>1</f>
        <v>1</v>
      </c>
      <c r="I365" s="15" t="s">
        <v>82</v>
      </c>
      <c r="J365" s="15" t="s">
        <v>22</v>
      </c>
      <c r="K365" s="15" t="s">
        <v>225</v>
      </c>
      <c r="L365" s="15" t="s">
        <v>39</v>
      </c>
      <c r="M365" s="16">
        <v>0.5</v>
      </c>
      <c r="N365" s="16">
        <v>0.5</v>
      </c>
      <c r="O365" s="16">
        <v>0.5</v>
      </c>
      <c r="P365" s="17">
        <v>45116.0</v>
      </c>
      <c r="Q365" s="18">
        <f>300/250</f>
        <v>1.2</v>
      </c>
      <c r="R365" s="15" t="s">
        <v>33</v>
      </c>
      <c r="S365" s="19">
        <f t="shared" si="1"/>
        <v>0.1</v>
      </c>
      <c r="T365" s="19">
        <f t="shared" si="8"/>
        <v>-3.908396137</v>
      </c>
      <c r="U365" s="144"/>
    </row>
    <row r="366">
      <c r="A366" s="8">
        <f t="shared" si="7"/>
        <v>365</v>
      </c>
      <c r="B366" s="8"/>
      <c r="C366" s="8"/>
      <c r="D366" s="8" t="s">
        <v>19</v>
      </c>
      <c r="E366" s="8" t="s">
        <v>2790</v>
      </c>
      <c r="F366" s="8"/>
      <c r="G366" s="8"/>
      <c r="H366" s="8" t="s">
        <v>2613</v>
      </c>
      <c r="I366" s="8" t="s">
        <v>82</v>
      </c>
      <c r="J366" s="8" t="s">
        <v>598</v>
      </c>
      <c r="K366" s="8" t="s">
        <v>894</v>
      </c>
      <c r="L366" s="8" t="s">
        <v>39</v>
      </c>
      <c r="M366" s="9">
        <v>-0.75</v>
      </c>
      <c r="N366" s="9">
        <v>0.35</v>
      </c>
      <c r="O366" s="9">
        <v>0.35</v>
      </c>
      <c r="P366" s="10">
        <v>45116.0</v>
      </c>
      <c r="Q366" s="11">
        <v>1.8</v>
      </c>
      <c r="R366" s="8" t="s">
        <v>30</v>
      </c>
      <c r="S366" s="12">
        <f t="shared" si="1"/>
        <v>0.14</v>
      </c>
      <c r="T366" s="12">
        <f t="shared" si="8"/>
        <v>-3.768396137</v>
      </c>
      <c r="U366" s="145"/>
    </row>
    <row r="367">
      <c r="A367" s="15">
        <f t="shared" si="7"/>
        <v>366</v>
      </c>
      <c r="B367" s="15"/>
      <c r="C367" s="15"/>
      <c r="D367" s="15" t="s">
        <v>40</v>
      </c>
      <c r="E367" s="15" t="s">
        <v>2791</v>
      </c>
      <c r="F367" s="15"/>
      <c r="G367" s="15"/>
      <c r="H367" s="15" t="s">
        <v>2615</v>
      </c>
      <c r="I367" s="15" t="s">
        <v>1085</v>
      </c>
      <c r="J367" s="15" t="s">
        <v>22</v>
      </c>
      <c r="K367" s="15" t="s">
        <v>29</v>
      </c>
      <c r="L367" s="15" t="s">
        <v>24</v>
      </c>
      <c r="M367" s="16">
        <v>-3.25</v>
      </c>
      <c r="N367" s="16">
        <v>0.5</v>
      </c>
      <c r="O367" s="16">
        <f>0.7*0.5</f>
        <v>0.35</v>
      </c>
      <c r="P367" s="17">
        <v>45116.0</v>
      </c>
      <c r="Q367" s="18">
        <f>425.18/250</f>
        <v>1.70072</v>
      </c>
      <c r="R367" s="15" t="s">
        <v>33</v>
      </c>
      <c r="S367" s="19">
        <f t="shared" si="1"/>
        <v>0.245252</v>
      </c>
      <c r="T367" s="19">
        <f t="shared" si="8"/>
        <v>-3.523144137</v>
      </c>
      <c r="U367" s="144"/>
    </row>
    <row r="368">
      <c r="A368" s="8">
        <f t="shared" si="7"/>
        <v>367</v>
      </c>
      <c r="B368" s="8"/>
      <c r="C368" s="8"/>
      <c r="D368" s="8" t="s">
        <v>40</v>
      </c>
      <c r="E368" s="8" t="s">
        <v>2792</v>
      </c>
      <c r="F368" s="8"/>
      <c r="G368" s="8"/>
      <c r="H368" s="8" t="s">
        <v>2615</v>
      </c>
      <c r="I368" s="8" t="s">
        <v>1085</v>
      </c>
      <c r="J368" s="8" t="s">
        <v>22</v>
      </c>
      <c r="K368" s="8" t="s">
        <v>29</v>
      </c>
      <c r="L368" s="8" t="s">
        <v>24</v>
      </c>
      <c r="M368" s="9">
        <v>-3.5</v>
      </c>
      <c r="N368" s="9">
        <v>0.5</v>
      </c>
      <c r="O368" s="9">
        <f>0.3*0.5</f>
        <v>0.15</v>
      </c>
      <c r="P368" s="10">
        <v>45116.0</v>
      </c>
      <c r="Q368" s="11">
        <v>1.72</v>
      </c>
      <c r="R368" s="8" t="s">
        <v>33</v>
      </c>
      <c r="S368" s="12">
        <f t="shared" si="1"/>
        <v>0.108</v>
      </c>
      <c r="T368" s="12">
        <f t="shared" si="8"/>
        <v>-3.415144137</v>
      </c>
      <c r="U368" s="145"/>
    </row>
    <row r="369">
      <c r="A369" s="15">
        <f t="shared" si="7"/>
        <v>368</v>
      </c>
      <c r="B369" s="15"/>
      <c r="C369" s="15"/>
      <c r="D369" s="15" t="s">
        <v>19</v>
      </c>
      <c r="E369" s="15" t="s">
        <v>2793</v>
      </c>
      <c r="F369" s="15"/>
      <c r="G369" s="15"/>
      <c r="H369" s="15" t="s">
        <v>2613</v>
      </c>
      <c r="I369" s="15" t="s">
        <v>82</v>
      </c>
      <c r="J369" s="15" t="s">
        <v>598</v>
      </c>
      <c r="K369" s="15" t="s">
        <v>1847</v>
      </c>
      <c r="L369" s="15" t="s">
        <v>1851</v>
      </c>
      <c r="M369" s="16">
        <v>-0.5</v>
      </c>
      <c r="N369" s="16">
        <v>0.35</v>
      </c>
      <c r="O369" s="16">
        <v>0.35</v>
      </c>
      <c r="P369" s="17">
        <v>45116.0</v>
      </c>
      <c r="Q369" s="18">
        <v>1.72</v>
      </c>
      <c r="R369" s="15" t="s">
        <v>25</v>
      </c>
      <c r="S369" s="19">
        <f t="shared" si="1"/>
        <v>-0.35</v>
      </c>
      <c r="T369" s="19">
        <f t="shared" si="8"/>
        <v>-3.765144137</v>
      </c>
      <c r="U369" s="144"/>
    </row>
    <row r="370">
      <c r="A370" s="8">
        <f t="shared" si="7"/>
        <v>369</v>
      </c>
      <c r="B370" s="8"/>
      <c r="C370" s="8"/>
      <c r="D370" s="8" t="s">
        <v>40</v>
      </c>
      <c r="E370" s="8" t="s">
        <v>2794</v>
      </c>
      <c r="F370" s="8" t="s">
        <v>1479</v>
      </c>
      <c r="G370" s="8" t="s">
        <v>2556</v>
      </c>
      <c r="H370" s="8">
        <v>0.0</v>
      </c>
      <c r="I370" s="8" t="s">
        <v>78</v>
      </c>
      <c r="J370" s="8" t="s">
        <v>22</v>
      </c>
      <c r="K370" s="8" t="s">
        <v>225</v>
      </c>
      <c r="L370" s="8" t="s">
        <v>24</v>
      </c>
      <c r="M370" s="9">
        <v>0.5</v>
      </c>
      <c r="N370" s="9">
        <v>0.5</v>
      </c>
      <c r="O370" s="9">
        <f>0.75*0.5</f>
        <v>0.375</v>
      </c>
      <c r="P370" s="10">
        <v>45116.0</v>
      </c>
      <c r="Q370" s="11">
        <f>308.83/250</f>
        <v>1.23532</v>
      </c>
      <c r="R370" s="8" t="s">
        <v>33</v>
      </c>
      <c r="S370" s="12">
        <f t="shared" si="1"/>
        <v>0.088245</v>
      </c>
      <c r="T370" s="12">
        <f t="shared" si="8"/>
        <v>-3.676899137</v>
      </c>
      <c r="U370" s="145"/>
    </row>
    <row r="371">
      <c r="A371" s="15">
        <f t="shared" si="7"/>
        <v>370</v>
      </c>
      <c r="B371" s="15"/>
      <c r="C371" s="15"/>
      <c r="D371" s="15" t="s">
        <v>19</v>
      </c>
      <c r="E371" s="15" t="s">
        <v>2795</v>
      </c>
      <c r="F371" s="15" t="s">
        <v>1473</v>
      </c>
      <c r="G371" s="15" t="s">
        <v>2556</v>
      </c>
      <c r="H371" s="15">
        <v>0.0</v>
      </c>
      <c r="I371" s="15" t="s">
        <v>82</v>
      </c>
      <c r="J371" s="15" t="s">
        <v>22</v>
      </c>
      <c r="K371" s="15" t="s">
        <v>225</v>
      </c>
      <c r="L371" s="15" t="s">
        <v>1851</v>
      </c>
      <c r="M371" s="16">
        <v>0.5</v>
      </c>
      <c r="N371" s="16">
        <v>0.5</v>
      </c>
      <c r="O371" s="16">
        <v>0.5</v>
      </c>
      <c r="P371" s="17">
        <v>45116.0</v>
      </c>
      <c r="Q371" s="18">
        <v>1.8</v>
      </c>
      <c r="R371" s="15" t="s">
        <v>25</v>
      </c>
      <c r="S371" s="19">
        <f t="shared" si="1"/>
        <v>-0.5</v>
      </c>
      <c r="T371" s="19">
        <f t="shared" si="8"/>
        <v>-4.176899137</v>
      </c>
      <c r="U371" s="144"/>
    </row>
    <row r="372">
      <c r="A372" s="8">
        <f t="shared" si="7"/>
        <v>371</v>
      </c>
      <c r="B372" s="8"/>
      <c r="C372" s="8"/>
      <c r="D372" s="8" t="s">
        <v>19</v>
      </c>
      <c r="E372" s="8" t="s">
        <v>2796</v>
      </c>
      <c r="F372" s="8" t="s">
        <v>1473</v>
      </c>
      <c r="G372" s="8" t="s">
        <v>2556</v>
      </c>
      <c r="H372" s="8">
        <v>2</v>
      </c>
      <c r="I372" s="8" t="s">
        <v>21</v>
      </c>
      <c r="J372" s="8" t="s">
        <v>22</v>
      </c>
      <c r="K372" s="8" t="s">
        <v>225</v>
      </c>
      <c r="L372" s="8" t="s">
        <v>39</v>
      </c>
      <c r="M372" s="9">
        <v>0.5</v>
      </c>
      <c r="N372" s="9">
        <v>0.5</v>
      </c>
      <c r="O372" s="9">
        <v>0.5</v>
      </c>
      <c r="P372" s="10">
        <v>45118.0</v>
      </c>
      <c r="Q372" s="11">
        <f>387/250</f>
        <v>1.548</v>
      </c>
      <c r="R372" s="8" t="s">
        <v>33</v>
      </c>
      <c r="S372" s="12">
        <f t="shared" si="1"/>
        <v>0.274</v>
      </c>
      <c r="T372" s="12">
        <f t="shared" si="8"/>
        <v>-3.902899137</v>
      </c>
      <c r="U372" s="145"/>
    </row>
    <row r="373">
      <c r="A373" s="15">
        <f t="shared" si="7"/>
        <v>372</v>
      </c>
      <c r="B373" s="15"/>
      <c r="C373" s="15"/>
      <c r="D373" s="15" t="s">
        <v>19</v>
      </c>
      <c r="E373" s="15" t="s">
        <v>2797</v>
      </c>
      <c r="F373" s="15" t="s">
        <v>1473</v>
      </c>
      <c r="G373" s="15" t="s">
        <v>2556</v>
      </c>
      <c r="H373" s="15">
        <v>0.0</v>
      </c>
      <c r="I373" s="15" t="s">
        <v>28</v>
      </c>
      <c r="J373" s="15" t="s">
        <v>22</v>
      </c>
      <c r="K373" s="15" t="s">
        <v>225</v>
      </c>
      <c r="L373" s="15" t="s">
        <v>1851</v>
      </c>
      <c r="M373" s="16">
        <v>0.25</v>
      </c>
      <c r="N373" s="16">
        <v>0.5</v>
      </c>
      <c r="O373" s="16">
        <f>0.825*0.5</f>
        <v>0.4125</v>
      </c>
      <c r="P373" s="17">
        <v>45118.0</v>
      </c>
      <c r="Q373" s="18">
        <v>1.725</v>
      </c>
      <c r="R373" s="15" t="s">
        <v>30</v>
      </c>
      <c r="S373" s="19">
        <f t="shared" si="1"/>
        <v>0.14953125</v>
      </c>
      <c r="T373" s="19">
        <f t="shared" si="8"/>
        <v>-3.753367887</v>
      </c>
      <c r="U373" s="144"/>
    </row>
    <row r="374">
      <c r="A374" s="8">
        <f t="shared" si="7"/>
        <v>373</v>
      </c>
      <c r="B374" s="8"/>
      <c r="C374" s="8"/>
      <c r="D374" s="8" t="s">
        <v>19</v>
      </c>
      <c r="E374" s="8" t="s">
        <v>2798</v>
      </c>
      <c r="F374" s="8"/>
      <c r="G374" s="8"/>
      <c r="H374" s="8" t="s">
        <v>2615</v>
      </c>
      <c r="I374" s="8" t="s">
        <v>28</v>
      </c>
      <c r="J374" s="8" t="s">
        <v>22</v>
      </c>
      <c r="K374" s="8" t="s">
        <v>29</v>
      </c>
      <c r="L374" s="8" t="s">
        <v>24</v>
      </c>
      <c r="M374" s="9">
        <v>-6.5</v>
      </c>
      <c r="N374" s="9">
        <v>0.25</v>
      </c>
      <c r="O374" s="9">
        <f>0.2*0.25</f>
        <v>0.05</v>
      </c>
      <c r="P374" s="10">
        <v>45118.0</v>
      </c>
      <c r="Q374" s="11">
        <v>1.75</v>
      </c>
      <c r="R374" s="8" t="s">
        <v>33</v>
      </c>
      <c r="S374" s="12">
        <f t="shared" si="1"/>
        <v>0.0375</v>
      </c>
      <c r="T374" s="12">
        <f t="shared" si="8"/>
        <v>-3.715867887</v>
      </c>
      <c r="U374" s="145"/>
    </row>
    <row r="375">
      <c r="A375" s="15">
        <f t="shared" si="7"/>
        <v>374</v>
      </c>
      <c r="B375" s="15"/>
      <c r="C375" s="15"/>
      <c r="D375" s="15" t="s">
        <v>19</v>
      </c>
      <c r="E375" s="15" t="s">
        <v>2799</v>
      </c>
      <c r="F375" s="15"/>
      <c r="G375" s="15"/>
      <c r="H375" s="15" t="s">
        <v>2615</v>
      </c>
      <c r="I375" s="15" t="s">
        <v>28</v>
      </c>
      <c r="J375" s="15" t="s">
        <v>22</v>
      </c>
      <c r="K375" s="15" t="s">
        <v>29</v>
      </c>
      <c r="L375" s="15" t="s">
        <v>24</v>
      </c>
      <c r="M375" s="16">
        <v>-6.25</v>
      </c>
      <c r="N375" s="16">
        <v>0.25</v>
      </c>
      <c r="O375" s="16">
        <f>0.425*0.25</f>
        <v>0.10625</v>
      </c>
      <c r="P375" s="17">
        <v>45118.0</v>
      </c>
      <c r="Q375" s="18">
        <v>1.925</v>
      </c>
      <c r="R375" s="15" t="s">
        <v>30</v>
      </c>
      <c r="S375" s="19">
        <f t="shared" si="1"/>
        <v>0.049140625</v>
      </c>
      <c r="T375" s="19">
        <f t="shared" si="8"/>
        <v>-3.666727262</v>
      </c>
      <c r="U375" s="144"/>
    </row>
    <row r="376">
      <c r="A376" s="8">
        <f t="shared" si="7"/>
        <v>375</v>
      </c>
      <c r="B376" s="8"/>
      <c r="C376" s="8"/>
      <c r="D376" s="8" t="s">
        <v>40</v>
      </c>
      <c r="E376" s="8" t="s">
        <v>2800</v>
      </c>
      <c r="F376" s="8" t="s">
        <v>2611</v>
      </c>
      <c r="G376" s="8" t="s">
        <v>2556</v>
      </c>
      <c r="H376" s="8">
        <f>1</f>
        <v>1</v>
      </c>
      <c r="I376" s="8" t="s">
        <v>487</v>
      </c>
      <c r="J376" s="8" t="s">
        <v>22</v>
      </c>
      <c r="K376" s="8" t="s">
        <v>1847</v>
      </c>
      <c r="L376" s="8" t="s">
        <v>24</v>
      </c>
      <c r="M376" s="9">
        <v>-0.5</v>
      </c>
      <c r="N376" s="9">
        <v>0.5</v>
      </c>
      <c r="O376" s="9">
        <v>0.5</v>
      </c>
      <c r="P376" s="10">
        <v>45119.0</v>
      </c>
      <c r="Q376" s="11">
        <f>274.8/250</f>
        <v>1.0992</v>
      </c>
      <c r="R376" s="8" t="s">
        <v>33</v>
      </c>
      <c r="S376" s="12">
        <f t="shared" si="1"/>
        <v>0.0496</v>
      </c>
      <c r="T376" s="12">
        <f t="shared" si="8"/>
        <v>-3.617127262</v>
      </c>
      <c r="U376" s="145"/>
    </row>
    <row r="377">
      <c r="A377" s="15">
        <f t="shared" si="7"/>
        <v>376</v>
      </c>
      <c r="B377" s="15"/>
      <c r="C377" s="15"/>
      <c r="D377" s="15" t="s">
        <v>19</v>
      </c>
      <c r="E377" s="15" t="s">
        <v>2801</v>
      </c>
      <c r="F377" s="15"/>
      <c r="G377" s="15"/>
      <c r="H377" s="15" t="s">
        <v>2613</v>
      </c>
      <c r="I377" s="15" t="s">
        <v>82</v>
      </c>
      <c r="J377" s="15" t="s">
        <v>598</v>
      </c>
      <c r="K377" s="15" t="s">
        <v>23</v>
      </c>
      <c r="L377" s="15" t="s">
        <v>39</v>
      </c>
      <c r="M377" s="16">
        <v>-0.5</v>
      </c>
      <c r="N377" s="16">
        <v>0.25</v>
      </c>
      <c r="O377" s="16">
        <v>0.25</v>
      </c>
      <c r="P377" s="17">
        <v>45119.0</v>
      </c>
      <c r="Q377" s="18">
        <v>1.7</v>
      </c>
      <c r="R377" s="15" t="s">
        <v>33</v>
      </c>
      <c r="S377" s="19">
        <f t="shared" si="1"/>
        <v>0.175</v>
      </c>
      <c r="T377" s="19">
        <f t="shared" si="8"/>
        <v>-3.442127262</v>
      </c>
      <c r="U377" s="144"/>
    </row>
    <row r="378">
      <c r="A378" s="8">
        <f t="shared" si="7"/>
        <v>377</v>
      </c>
      <c r="B378" s="8"/>
      <c r="C378" s="8"/>
      <c r="D378" s="8" t="s">
        <v>19</v>
      </c>
      <c r="E378" s="8" t="s">
        <v>2802</v>
      </c>
      <c r="F378" s="8" t="s">
        <v>1473</v>
      </c>
      <c r="G378" s="8" t="s">
        <v>2660</v>
      </c>
      <c r="H378" s="8">
        <v>0.0</v>
      </c>
      <c r="I378" s="8" t="s">
        <v>28</v>
      </c>
      <c r="J378" s="8" t="s">
        <v>22</v>
      </c>
      <c r="K378" s="8" t="s">
        <v>892</v>
      </c>
      <c r="L378" s="8" t="s">
        <v>24</v>
      </c>
      <c r="M378" s="9">
        <v>0.0</v>
      </c>
      <c r="N378" s="9">
        <v>0.5</v>
      </c>
      <c r="O378" s="9">
        <v>0.5</v>
      </c>
      <c r="P378" s="10">
        <v>45119.0</v>
      </c>
      <c r="Q378" s="11">
        <v>2.0</v>
      </c>
      <c r="R378" s="8" t="s">
        <v>70</v>
      </c>
      <c r="S378" s="12">
        <f t="shared" si="1"/>
        <v>0</v>
      </c>
      <c r="T378" s="12">
        <f t="shared" si="8"/>
        <v>-3.442127262</v>
      </c>
      <c r="U378" s="145"/>
    </row>
    <row r="379">
      <c r="A379" s="15">
        <f t="shared" si="7"/>
        <v>378</v>
      </c>
      <c r="B379" s="15"/>
      <c r="C379" s="15"/>
      <c r="D379" s="15" t="s">
        <v>19</v>
      </c>
      <c r="E379" s="15" t="s">
        <v>2803</v>
      </c>
      <c r="F379" s="15" t="s">
        <v>1479</v>
      </c>
      <c r="G379" s="15" t="s">
        <v>2660</v>
      </c>
      <c r="H379" s="15">
        <f>1</f>
        <v>1</v>
      </c>
      <c r="I379" s="15" t="s">
        <v>28</v>
      </c>
      <c r="J379" s="15" t="s">
        <v>22</v>
      </c>
      <c r="K379" s="15" t="s">
        <v>892</v>
      </c>
      <c r="L379" s="15" t="s">
        <v>2688</v>
      </c>
      <c r="M379" s="16">
        <v>0.0</v>
      </c>
      <c r="N379" s="16">
        <v>0.03</v>
      </c>
      <c r="O379" s="16">
        <v>0.03</v>
      </c>
      <c r="P379" s="17">
        <v>45119.0</v>
      </c>
      <c r="Q379" s="18">
        <v>1.725</v>
      </c>
      <c r="R379" s="15" t="s">
        <v>25</v>
      </c>
      <c r="S379" s="19">
        <f t="shared" si="1"/>
        <v>-0.03</v>
      </c>
      <c r="T379" s="19">
        <f t="shared" si="8"/>
        <v>-3.472127262</v>
      </c>
      <c r="U379" s="144"/>
    </row>
    <row r="380">
      <c r="A380" s="8">
        <f t="shared" si="7"/>
        <v>379</v>
      </c>
      <c r="B380" s="8"/>
      <c r="C380" s="8"/>
      <c r="D380" s="8" t="s">
        <v>19</v>
      </c>
      <c r="E380" s="8" t="s">
        <v>2804</v>
      </c>
      <c r="F380" s="8" t="s">
        <v>1479</v>
      </c>
      <c r="G380" s="8" t="s">
        <v>2660</v>
      </c>
      <c r="H380" s="8">
        <v>-2.0</v>
      </c>
      <c r="I380" s="8" t="s">
        <v>28</v>
      </c>
      <c r="J380" s="8" t="s">
        <v>22</v>
      </c>
      <c r="K380" s="8" t="s">
        <v>2805</v>
      </c>
      <c r="L380" s="8" t="s">
        <v>24</v>
      </c>
      <c r="M380" s="9">
        <v>0.0</v>
      </c>
      <c r="N380" s="9">
        <v>0.5</v>
      </c>
      <c r="O380" s="9">
        <f>0.4*0.5</f>
        <v>0.2</v>
      </c>
      <c r="P380" s="10">
        <v>45119.0</v>
      </c>
      <c r="Q380" s="11">
        <v>1.8</v>
      </c>
      <c r="R380" s="8" t="s">
        <v>33</v>
      </c>
      <c r="S380" s="12">
        <f t="shared" si="1"/>
        <v>0.16</v>
      </c>
      <c r="T380" s="12">
        <f t="shared" si="8"/>
        <v>-3.312127262</v>
      </c>
      <c r="U380" s="145"/>
    </row>
    <row r="381">
      <c r="A381" s="15">
        <f t="shared" si="7"/>
        <v>380</v>
      </c>
      <c r="B381" s="15"/>
      <c r="C381" s="15"/>
      <c r="D381" s="15" t="s">
        <v>19</v>
      </c>
      <c r="E381" s="15" t="s">
        <v>2806</v>
      </c>
      <c r="F381" s="15" t="s">
        <v>1479</v>
      </c>
      <c r="G381" s="15" t="s">
        <v>2660</v>
      </c>
      <c r="H381" s="15">
        <v>-1.0</v>
      </c>
      <c r="I381" s="15" t="s">
        <v>28</v>
      </c>
      <c r="J381" s="15" t="s">
        <v>22</v>
      </c>
      <c r="K381" s="15" t="s">
        <v>892</v>
      </c>
      <c r="L381" s="15" t="s">
        <v>24</v>
      </c>
      <c r="M381" s="16">
        <v>0.0</v>
      </c>
      <c r="N381" s="16">
        <v>0.5</v>
      </c>
      <c r="O381" s="16">
        <f>0.275*0.5</f>
        <v>0.1375</v>
      </c>
      <c r="P381" s="17">
        <v>45119.0</v>
      </c>
      <c r="Q381" s="18">
        <v>1.7</v>
      </c>
      <c r="R381" s="15" t="s">
        <v>33</v>
      </c>
      <c r="S381" s="19">
        <f t="shared" si="1"/>
        <v>0.09625</v>
      </c>
      <c r="T381" s="19">
        <f t="shared" si="8"/>
        <v>-3.215877262</v>
      </c>
      <c r="U381" s="144"/>
    </row>
    <row r="382">
      <c r="A382" s="8">
        <f t="shared" si="7"/>
        <v>381</v>
      </c>
      <c r="B382" s="8"/>
      <c r="C382" s="8"/>
      <c r="D382" s="8" t="s">
        <v>19</v>
      </c>
      <c r="E382" s="8" t="s">
        <v>2807</v>
      </c>
      <c r="F382" s="8" t="s">
        <v>1473</v>
      </c>
      <c r="G382" s="8" t="s">
        <v>2556</v>
      </c>
      <c r="H382" s="8">
        <v>0.0</v>
      </c>
      <c r="I382" s="8" t="s">
        <v>82</v>
      </c>
      <c r="J382" s="8" t="s">
        <v>22</v>
      </c>
      <c r="K382" s="8" t="s">
        <v>225</v>
      </c>
      <c r="L382" s="8" t="s">
        <v>1522</v>
      </c>
      <c r="M382" s="9">
        <v>0.25</v>
      </c>
      <c r="N382" s="9">
        <v>0.5</v>
      </c>
      <c r="O382" s="9">
        <v>0.5</v>
      </c>
      <c r="P382" s="10">
        <v>45119.0</v>
      </c>
      <c r="Q382" s="11">
        <v>1.725</v>
      </c>
      <c r="R382" s="8" t="s">
        <v>33</v>
      </c>
      <c r="S382" s="12">
        <f t="shared" si="1"/>
        <v>0.3625</v>
      </c>
      <c r="T382" s="12">
        <f t="shared" si="8"/>
        <v>-2.853377262</v>
      </c>
      <c r="U382" s="145"/>
    </row>
    <row r="383">
      <c r="A383" s="15">
        <f t="shared" si="7"/>
        <v>382</v>
      </c>
      <c r="B383" s="15"/>
      <c r="C383" s="15"/>
      <c r="D383" s="15" t="s">
        <v>19</v>
      </c>
      <c r="E383" s="15" t="s">
        <v>2808</v>
      </c>
      <c r="F383" s="15"/>
      <c r="G383" s="15"/>
      <c r="H383" s="15" t="s">
        <v>2567</v>
      </c>
      <c r="I383" s="15" t="s">
        <v>513</v>
      </c>
      <c r="J383" s="15" t="s">
        <v>22</v>
      </c>
      <c r="K383" s="15" t="s">
        <v>29</v>
      </c>
      <c r="L383" s="15" t="s">
        <v>24</v>
      </c>
      <c r="M383" s="16">
        <v>-0.5</v>
      </c>
      <c r="N383" s="16">
        <v>0.25</v>
      </c>
      <c r="O383" s="16">
        <v>0.25</v>
      </c>
      <c r="P383" s="17">
        <v>45120.0</v>
      </c>
      <c r="Q383" s="18">
        <v>1.925</v>
      </c>
      <c r="R383" s="15" t="s">
        <v>25</v>
      </c>
      <c r="S383" s="19">
        <f t="shared" si="1"/>
        <v>-0.25</v>
      </c>
      <c r="T383" s="19">
        <f t="shared" si="8"/>
        <v>-3.103377262</v>
      </c>
      <c r="U383" s="144"/>
    </row>
    <row r="384">
      <c r="A384" s="8">
        <f t="shared" si="7"/>
        <v>383</v>
      </c>
      <c r="B384" s="8"/>
      <c r="C384" s="8"/>
      <c r="D384" s="8" t="s">
        <v>19</v>
      </c>
      <c r="E384" s="8" t="s">
        <v>2809</v>
      </c>
      <c r="F384" s="8" t="s">
        <v>1479</v>
      </c>
      <c r="G384" s="8" t="s">
        <v>2660</v>
      </c>
      <c r="H384" s="8">
        <f>1</f>
        <v>1</v>
      </c>
      <c r="I384" s="8" t="s">
        <v>28</v>
      </c>
      <c r="J384" s="8" t="s">
        <v>22</v>
      </c>
      <c r="K384" s="8" t="s">
        <v>892</v>
      </c>
      <c r="L384" s="8" t="s">
        <v>24</v>
      </c>
      <c r="M384" s="9">
        <v>0.0</v>
      </c>
      <c r="N384" s="9">
        <v>0.5</v>
      </c>
      <c r="O384" s="9">
        <f>0.359*0.5</f>
        <v>0.1795</v>
      </c>
      <c r="P384" s="10">
        <v>45120.0</v>
      </c>
      <c r="Q384" s="11">
        <v>1.75</v>
      </c>
      <c r="R384" s="8" t="s">
        <v>33</v>
      </c>
      <c r="S384" s="12">
        <f t="shared" si="1"/>
        <v>0.134625</v>
      </c>
      <c r="T384" s="12">
        <f t="shared" si="8"/>
        <v>-2.968752262</v>
      </c>
      <c r="U384" s="145"/>
    </row>
    <row r="385">
      <c r="A385" s="15">
        <f t="shared" si="7"/>
        <v>384</v>
      </c>
      <c r="B385" s="15"/>
      <c r="C385" s="15"/>
      <c r="D385" s="15" t="s">
        <v>19</v>
      </c>
      <c r="E385" s="15" t="s">
        <v>2810</v>
      </c>
      <c r="F385" s="15"/>
      <c r="G385" s="15"/>
      <c r="H385" s="15" t="s">
        <v>2615</v>
      </c>
      <c r="I385" s="15" t="s">
        <v>82</v>
      </c>
      <c r="J385" s="15" t="s">
        <v>22</v>
      </c>
      <c r="K385" s="15" t="s">
        <v>29</v>
      </c>
      <c r="L385" s="15" t="s">
        <v>1522</v>
      </c>
      <c r="M385" s="16">
        <v>-3.25</v>
      </c>
      <c r="N385" s="16">
        <v>0.25</v>
      </c>
      <c r="O385" s="16">
        <f>0.41*0.25</f>
        <v>0.1025</v>
      </c>
      <c r="P385" s="17">
        <v>45120.0</v>
      </c>
      <c r="Q385" s="18">
        <v>1.8</v>
      </c>
      <c r="R385" s="15" t="s">
        <v>25</v>
      </c>
      <c r="S385" s="19">
        <f t="shared" si="1"/>
        <v>-0.1025</v>
      </c>
      <c r="T385" s="19">
        <f t="shared" si="8"/>
        <v>-3.071252262</v>
      </c>
      <c r="U385" s="144"/>
    </row>
    <row r="386">
      <c r="A386" s="8">
        <f t="shared" si="7"/>
        <v>385</v>
      </c>
      <c r="B386" s="8"/>
      <c r="C386" s="8"/>
      <c r="D386" s="8" t="s">
        <v>19</v>
      </c>
      <c r="E386" s="8" t="s">
        <v>2811</v>
      </c>
      <c r="F386" s="8"/>
      <c r="G386" s="8"/>
      <c r="H386" s="8" t="s">
        <v>2615</v>
      </c>
      <c r="I386" s="8" t="s">
        <v>82</v>
      </c>
      <c r="J386" s="8" t="s">
        <v>22</v>
      </c>
      <c r="K386" s="8" t="s">
        <v>29</v>
      </c>
      <c r="L386" s="8" t="s">
        <v>39</v>
      </c>
      <c r="M386" s="9">
        <v>-1.5</v>
      </c>
      <c r="N386" s="9">
        <v>0.25</v>
      </c>
      <c r="O386" s="9">
        <f>0.462*0.25</f>
        <v>0.1155</v>
      </c>
      <c r="P386" s="10">
        <v>45120.0</v>
      </c>
      <c r="Q386" s="11">
        <v>1.8</v>
      </c>
      <c r="R386" s="8" t="s">
        <v>25</v>
      </c>
      <c r="S386" s="12">
        <f t="shared" si="1"/>
        <v>-0.1155</v>
      </c>
      <c r="T386" s="12">
        <f t="shared" si="8"/>
        <v>-3.186752262</v>
      </c>
      <c r="U386" s="145"/>
    </row>
    <row r="387">
      <c r="A387" s="15">
        <f t="shared" si="7"/>
        <v>386</v>
      </c>
      <c r="B387" s="15"/>
      <c r="C387" s="15"/>
      <c r="D387" s="15" t="s">
        <v>19</v>
      </c>
      <c r="E387" s="15" t="s">
        <v>2812</v>
      </c>
      <c r="F387" s="15" t="s">
        <v>1473</v>
      </c>
      <c r="G387" s="15" t="s">
        <v>2556</v>
      </c>
      <c r="H387" s="15">
        <f>1</f>
        <v>1</v>
      </c>
      <c r="I387" s="15" t="s">
        <v>82</v>
      </c>
      <c r="J387" s="15" t="s">
        <v>22</v>
      </c>
      <c r="K387" s="15" t="s">
        <v>225</v>
      </c>
      <c r="L387" s="15" t="s">
        <v>39</v>
      </c>
      <c r="M387" s="16">
        <v>0.75</v>
      </c>
      <c r="N387" s="16">
        <v>0.6</v>
      </c>
      <c r="O387" s="16">
        <v>0.6</v>
      </c>
      <c r="P387" s="17">
        <v>45121.0</v>
      </c>
      <c r="Q387" s="18">
        <v>1.775</v>
      </c>
      <c r="R387" s="15" t="s">
        <v>79</v>
      </c>
      <c r="S387" s="19">
        <f t="shared" si="1"/>
        <v>-0.3</v>
      </c>
      <c r="T387" s="19">
        <f t="shared" si="8"/>
        <v>-3.486752262</v>
      </c>
      <c r="U387" s="144"/>
    </row>
    <row r="388">
      <c r="A388" s="8">
        <f t="shared" si="7"/>
        <v>387</v>
      </c>
      <c r="B388" s="8"/>
      <c r="C388" s="8"/>
      <c r="D388" s="8" t="s">
        <v>19</v>
      </c>
      <c r="E388" s="8" t="s">
        <v>2813</v>
      </c>
      <c r="F388" s="8"/>
      <c r="G388" s="8"/>
      <c r="H388" s="8" t="s">
        <v>2613</v>
      </c>
      <c r="I388" s="8" t="s">
        <v>82</v>
      </c>
      <c r="J388" s="8" t="s">
        <v>598</v>
      </c>
      <c r="K388" s="8" t="s">
        <v>894</v>
      </c>
      <c r="L388" s="8" t="s">
        <v>39</v>
      </c>
      <c r="M388" s="9">
        <v>-0.25</v>
      </c>
      <c r="N388" s="9">
        <v>0.3</v>
      </c>
      <c r="O388" s="9">
        <v>0.3</v>
      </c>
      <c r="P388" s="10">
        <v>45122.0</v>
      </c>
      <c r="Q388" s="11">
        <v>1.85</v>
      </c>
      <c r="R388" s="8" t="s">
        <v>33</v>
      </c>
      <c r="S388" s="12">
        <f t="shared" si="1"/>
        <v>0.255</v>
      </c>
      <c r="T388" s="12">
        <f t="shared" si="8"/>
        <v>-3.231752262</v>
      </c>
      <c r="U388" s="145"/>
    </row>
    <row r="389">
      <c r="A389" s="15">
        <f t="shared" si="7"/>
        <v>388</v>
      </c>
      <c r="B389" s="15"/>
      <c r="C389" s="15"/>
      <c r="D389" s="15" t="s">
        <v>19</v>
      </c>
      <c r="E389" s="15" t="s">
        <v>2814</v>
      </c>
      <c r="F389" s="15" t="s">
        <v>1479</v>
      </c>
      <c r="G389" s="15" t="s">
        <v>2556</v>
      </c>
      <c r="H389" s="15">
        <v>2</v>
      </c>
      <c r="I389" s="15" t="s">
        <v>28</v>
      </c>
      <c r="J389" s="15" t="s">
        <v>22</v>
      </c>
      <c r="K389" s="15" t="s">
        <v>2725</v>
      </c>
      <c r="L389" s="15" t="s">
        <v>24</v>
      </c>
      <c r="M389" s="16">
        <v>0.25</v>
      </c>
      <c r="N389" s="16">
        <v>0.6</v>
      </c>
      <c r="O389" s="16">
        <v>0.6</v>
      </c>
      <c r="P389" s="17">
        <v>45121.0</v>
      </c>
      <c r="Q389" s="18">
        <v>1.725</v>
      </c>
      <c r="R389" s="15" t="s">
        <v>33</v>
      </c>
      <c r="S389" s="19">
        <f t="shared" si="1"/>
        <v>0.435</v>
      </c>
      <c r="T389" s="19">
        <f t="shared" si="8"/>
        <v>-2.796752262</v>
      </c>
      <c r="U389" s="144"/>
    </row>
    <row r="390">
      <c r="A390" s="8">
        <f t="shared" si="7"/>
        <v>389</v>
      </c>
      <c r="B390" s="8"/>
      <c r="C390" s="8"/>
      <c r="D390" s="8" t="s">
        <v>19</v>
      </c>
      <c r="E390" s="8" t="s">
        <v>2815</v>
      </c>
      <c r="F390" s="8" t="s">
        <v>1479</v>
      </c>
      <c r="G390" s="8" t="s">
        <v>2556</v>
      </c>
      <c r="H390" s="8">
        <f>1</f>
        <v>1</v>
      </c>
      <c r="I390" s="8" t="s">
        <v>172</v>
      </c>
      <c r="J390" s="8" t="s">
        <v>22</v>
      </c>
      <c r="K390" s="8" t="s">
        <v>1847</v>
      </c>
      <c r="L390" s="8" t="s">
        <v>24</v>
      </c>
      <c r="M390" s="9">
        <v>-0.5</v>
      </c>
      <c r="N390" s="9">
        <v>0.3</v>
      </c>
      <c r="O390" s="9">
        <v>0.3</v>
      </c>
      <c r="P390" s="10">
        <v>45121.0</v>
      </c>
      <c r="Q390" s="11">
        <v>1.72</v>
      </c>
      <c r="R390" s="8" t="s">
        <v>33</v>
      </c>
      <c r="S390" s="12">
        <f t="shared" si="1"/>
        <v>0.216</v>
      </c>
      <c r="T390" s="12">
        <f t="shared" si="8"/>
        <v>-2.580752262</v>
      </c>
      <c r="U390" s="145"/>
    </row>
    <row r="391">
      <c r="A391" s="15">
        <f t="shared" si="7"/>
        <v>390</v>
      </c>
      <c r="B391" s="15"/>
      <c r="C391" s="15"/>
      <c r="D391" s="15" t="s">
        <v>19</v>
      </c>
      <c r="E391" s="15" t="s">
        <v>2816</v>
      </c>
      <c r="F391" s="15" t="s">
        <v>1473</v>
      </c>
      <c r="G391" s="15" t="s">
        <v>2556</v>
      </c>
      <c r="H391" s="15">
        <v>2</v>
      </c>
      <c r="I391" s="15" t="s">
        <v>28</v>
      </c>
      <c r="J391" s="15" t="s">
        <v>22</v>
      </c>
      <c r="K391" s="15" t="s">
        <v>1150</v>
      </c>
      <c r="L391" s="15" t="s">
        <v>24</v>
      </c>
      <c r="M391" s="16">
        <v>0.0</v>
      </c>
      <c r="N391" s="16">
        <v>0.3</v>
      </c>
      <c r="O391" s="16">
        <v>0.3</v>
      </c>
      <c r="P391" s="17">
        <v>45121.0</v>
      </c>
      <c r="Q391" s="18">
        <v>2.35</v>
      </c>
      <c r="R391" s="15" t="s">
        <v>25</v>
      </c>
      <c r="S391" s="19">
        <f t="shared" si="1"/>
        <v>-0.3</v>
      </c>
      <c r="T391" s="19">
        <f t="shared" si="8"/>
        <v>-2.880752262</v>
      </c>
      <c r="U391" s="144"/>
    </row>
    <row r="392">
      <c r="A392" s="8">
        <f t="shared" si="7"/>
        <v>391</v>
      </c>
      <c r="B392" s="8"/>
      <c r="C392" s="8"/>
      <c r="D392" s="8" t="s">
        <v>19</v>
      </c>
      <c r="E392" s="8" t="s">
        <v>2817</v>
      </c>
      <c r="F392" s="8" t="s">
        <v>1479</v>
      </c>
      <c r="G392" s="8" t="s">
        <v>2556</v>
      </c>
      <c r="H392" s="8">
        <v>0.0</v>
      </c>
      <c r="I392" s="8" t="s">
        <v>28</v>
      </c>
      <c r="J392" s="8" t="s">
        <v>22</v>
      </c>
      <c r="K392" s="8" t="s">
        <v>2725</v>
      </c>
      <c r="L392" s="8" t="s">
        <v>1851</v>
      </c>
      <c r="M392" s="9">
        <v>1.0</v>
      </c>
      <c r="N392" s="9">
        <v>0.6</v>
      </c>
      <c r="O392" s="9">
        <f>0.641*0.6</f>
        <v>0.3846</v>
      </c>
      <c r="P392" s="10">
        <v>45121.0</v>
      </c>
      <c r="Q392" s="11">
        <f>454.89/300</f>
        <v>1.5163</v>
      </c>
      <c r="R392" s="8" t="s">
        <v>33</v>
      </c>
      <c r="S392" s="12">
        <f t="shared" si="1"/>
        <v>0.19856898</v>
      </c>
      <c r="T392" s="12">
        <f t="shared" si="8"/>
        <v>-2.682183282</v>
      </c>
      <c r="U392" s="145"/>
    </row>
    <row r="393">
      <c r="A393" s="15">
        <f t="shared" si="7"/>
        <v>392</v>
      </c>
      <c r="B393" s="15"/>
      <c r="C393" s="15"/>
      <c r="D393" s="15" t="s">
        <v>19</v>
      </c>
      <c r="E393" s="15" t="s">
        <v>2818</v>
      </c>
      <c r="F393" s="15" t="s">
        <v>1479</v>
      </c>
      <c r="G393" s="15" t="s">
        <v>2556</v>
      </c>
      <c r="H393" s="15">
        <v>0.0</v>
      </c>
      <c r="I393" s="15" t="s">
        <v>28</v>
      </c>
      <c r="J393" s="15" t="s">
        <v>22</v>
      </c>
      <c r="K393" s="15" t="s">
        <v>2725</v>
      </c>
      <c r="L393" s="15" t="s">
        <v>1851</v>
      </c>
      <c r="M393" s="16">
        <v>0.75</v>
      </c>
      <c r="N393" s="16">
        <v>0.3</v>
      </c>
      <c r="O393" s="16">
        <f>0.359*0.3</f>
        <v>0.1077</v>
      </c>
      <c r="P393" s="17">
        <v>45121.0</v>
      </c>
      <c r="Q393" s="18">
        <f>243.91/150</f>
        <v>1.626066667</v>
      </c>
      <c r="R393" s="15" t="s">
        <v>33</v>
      </c>
      <c r="S393" s="19">
        <f t="shared" si="1"/>
        <v>0.06742738</v>
      </c>
      <c r="T393" s="19">
        <f t="shared" si="8"/>
        <v>-2.614755902</v>
      </c>
      <c r="U393" s="144"/>
    </row>
    <row r="394">
      <c r="A394" s="8">
        <f t="shared" si="7"/>
        <v>393</v>
      </c>
      <c r="B394" s="8"/>
      <c r="C394" s="8"/>
      <c r="D394" s="8" t="s">
        <v>19</v>
      </c>
      <c r="E394" s="8" t="s">
        <v>2819</v>
      </c>
      <c r="F394" s="8" t="s">
        <v>1479</v>
      </c>
      <c r="G394" s="8" t="s">
        <v>2556</v>
      </c>
      <c r="H394" s="8">
        <v>-4.0</v>
      </c>
      <c r="I394" s="8" t="s">
        <v>78</v>
      </c>
      <c r="J394" s="8" t="s">
        <v>22</v>
      </c>
      <c r="K394" s="8" t="s">
        <v>225</v>
      </c>
      <c r="L394" s="8" t="s">
        <v>24</v>
      </c>
      <c r="M394" s="9">
        <v>0.75</v>
      </c>
      <c r="N394" s="9">
        <v>0.6</v>
      </c>
      <c r="O394" s="9">
        <v>0.6</v>
      </c>
      <c r="P394" s="10">
        <v>45121.0</v>
      </c>
      <c r="Q394" s="11">
        <f>461.51/300</f>
        <v>1.538366667</v>
      </c>
      <c r="R394" s="8" t="s">
        <v>33</v>
      </c>
      <c r="S394" s="12">
        <f t="shared" si="1"/>
        <v>0.32302</v>
      </c>
      <c r="T394" s="12">
        <f t="shared" si="8"/>
        <v>-2.291735902</v>
      </c>
      <c r="U394" s="145"/>
    </row>
    <row r="395">
      <c r="A395" s="15">
        <f t="shared" si="7"/>
        <v>394</v>
      </c>
      <c r="B395" s="15"/>
      <c r="C395" s="15"/>
      <c r="D395" s="15" t="s">
        <v>19</v>
      </c>
      <c r="E395" s="15" t="s">
        <v>2820</v>
      </c>
      <c r="F395" s="15" t="s">
        <v>1479</v>
      </c>
      <c r="G395" s="15" t="s">
        <v>2556</v>
      </c>
      <c r="H395" s="15">
        <v>0.0</v>
      </c>
      <c r="I395" s="15" t="s">
        <v>82</v>
      </c>
      <c r="J395" s="15" t="s">
        <v>22</v>
      </c>
      <c r="K395" s="15" t="s">
        <v>225</v>
      </c>
      <c r="L395" s="15" t="s">
        <v>39</v>
      </c>
      <c r="M395" s="16">
        <v>0.25</v>
      </c>
      <c r="N395" s="16">
        <v>0.3</v>
      </c>
      <c r="O395" s="16">
        <f>0.95*0.3</f>
        <v>0.285</v>
      </c>
      <c r="P395" s="17">
        <v>45121.0</v>
      </c>
      <c r="Q395" s="18">
        <v>1.8</v>
      </c>
      <c r="R395" s="15" t="s">
        <v>25</v>
      </c>
      <c r="S395" s="19">
        <f t="shared" si="1"/>
        <v>-0.285</v>
      </c>
      <c r="T395" s="19">
        <f t="shared" si="8"/>
        <v>-2.576735902</v>
      </c>
      <c r="U395" s="144"/>
    </row>
    <row r="396">
      <c r="A396" s="8">
        <f t="shared" si="7"/>
        <v>395</v>
      </c>
      <c r="B396" s="8"/>
      <c r="C396" s="8"/>
      <c r="D396" s="8" t="s">
        <v>19</v>
      </c>
      <c r="E396" s="8" t="s">
        <v>2821</v>
      </c>
      <c r="F396" s="8" t="s">
        <v>1479</v>
      </c>
      <c r="G396" s="8" t="s">
        <v>2556</v>
      </c>
      <c r="H396" s="8">
        <v>2</v>
      </c>
      <c r="I396" s="8" t="s">
        <v>863</v>
      </c>
      <c r="J396" s="8" t="s">
        <v>22</v>
      </c>
      <c r="K396" s="8" t="s">
        <v>225</v>
      </c>
      <c r="L396" s="8" t="s">
        <v>39</v>
      </c>
      <c r="M396" s="9">
        <v>0.5</v>
      </c>
      <c r="N396" s="9">
        <v>0.3</v>
      </c>
      <c r="O396" s="9">
        <v>0.3</v>
      </c>
      <c r="P396" s="54">
        <v>45122.0</v>
      </c>
      <c r="Q396" s="11">
        <v>1.8</v>
      </c>
      <c r="R396" s="8" t="s">
        <v>25</v>
      </c>
      <c r="S396" s="12">
        <f t="shared" si="1"/>
        <v>-0.3</v>
      </c>
      <c r="T396" s="12">
        <f t="shared" si="8"/>
        <v>-2.876735902</v>
      </c>
      <c r="U396" s="145"/>
    </row>
    <row r="397">
      <c r="A397" s="15">
        <f t="shared" si="7"/>
        <v>396</v>
      </c>
      <c r="B397" s="15"/>
      <c r="C397" s="15"/>
      <c r="D397" s="15" t="s">
        <v>19</v>
      </c>
      <c r="E397" s="15" t="s">
        <v>2822</v>
      </c>
      <c r="F397" s="15" t="s">
        <v>1473</v>
      </c>
      <c r="G397" s="15" t="s">
        <v>2556</v>
      </c>
      <c r="H397" s="15">
        <v>-4.0</v>
      </c>
      <c r="I397" s="15" t="s">
        <v>78</v>
      </c>
      <c r="J397" s="15" t="s">
        <v>22</v>
      </c>
      <c r="K397" s="15" t="s">
        <v>225</v>
      </c>
      <c r="L397" s="15" t="s">
        <v>1522</v>
      </c>
      <c r="M397" s="16">
        <v>0.25</v>
      </c>
      <c r="N397" s="16">
        <v>0.6</v>
      </c>
      <c r="O397" s="16">
        <v>0.6</v>
      </c>
      <c r="P397" s="17">
        <v>45122.0</v>
      </c>
      <c r="Q397" s="18">
        <v>2.025</v>
      </c>
      <c r="R397" s="15" t="s">
        <v>70</v>
      </c>
      <c r="S397" s="19">
        <f t="shared" si="1"/>
        <v>0</v>
      </c>
      <c r="T397" s="19">
        <f t="shared" si="8"/>
        <v>-2.876735902</v>
      </c>
      <c r="U397" s="144"/>
    </row>
    <row r="398">
      <c r="A398" s="8">
        <f t="shared" si="7"/>
        <v>397</v>
      </c>
      <c r="B398" s="8"/>
      <c r="C398" s="8"/>
      <c r="D398" s="8" t="s">
        <v>19</v>
      </c>
      <c r="E398" s="8" t="s">
        <v>2823</v>
      </c>
      <c r="F398" s="8" t="s">
        <v>1479</v>
      </c>
      <c r="G398" s="8" t="s">
        <v>2556</v>
      </c>
      <c r="H398" s="8">
        <v>0.0</v>
      </c>
      <c r="I398" s="8" t="s">
        <v>82</v>
      </c>
      <c r="J398" s="8" t="s">
        <v>22</v>
      </c>
      <c r="K398" s="8" t="s">
        <v>225</v>
      </c>
      <c r="L398" s="8" t="s">
        <v>39</v>
      </c>
      <c r="M398" s="9">
        <v>0.25</v>
      </c>
      <c r="N398" s="9">
        <v>0.3</v>
      </c>
      <c r="O398" s="9">
        <f>0.41*0.3</f>
        <v>0.123</v>
      </c>
      <c r="P398" s="10">
        <v>45122.0</v>
      </c>
      <c r="Q398" s="11">
        <v>1.775</v>
      </c>
      <c r="R398" s="8" t="s">
        <v>33</v>
      </c>
      <c r="S398" s="12">
        <f t="shared" si="1"/>
        <v>0.095325</v>
      </c>
      <c r="T398" s="12">
        <f t="shared" si="8"/>
        <v>-2.781410902</v>
      </c>
      <c r="U398" s="145"/>
    </row>
    <row r="399">
      <c r="A399" s="15">
        <f t="shared" si="7"/>
        <v>398</v>
      </c>
      <c r="B399" s="15"/>
      <c r="C399" s="15"/>
      <c r="D399" s="15" t="s">
        <v>19</v>
      </c>
      <c r="E399" s="15" t="s">
        <v>2824</v>
      </c>
      <c r="F399" s="15" t="s">
        <v>1479</v>
      </c>
      <c r="G399" s="15" t="s">
        <v>2556</v>
      </c>
      <c r="H399" s="15">
        <v>-1.0</v>
      </c>
      <c r="I399" s="15" t="s">
        <v>2674</v>
      </c>
      <c r="J399" s="15" t="s">
        <v>22</v>
      </c>
      <c r="K399" s="15" t="s">
        <v>892</v>
      </c>
      <c r="L399" s="15" t="s">
        <v>1851</v>
      </c>
      <c r="M399" s="16">
        <v>0.0</v>
      </c>
      <c r="N399" s="16">
        <v>0.3</v>
      </c>
      <c r="O399" s="16">
        <v>0.3</v>
      </c>
      <c r="P399" s="17">
        <v>45122.0</v>
      </c>
      <c r="Q399" s="18">
        <v>1.75</v>
      </c>
      <c r="R399" s="15" t="s">
        <v>70</v>
      </c>
      <c r="S399" s="19">
        <f t="shared" si="1"/>
        <v>0</v>
      </c>
      <c r="T399" s="19">
        <f t="shared" si="8"/>
        <v>-2.781410902</v>
      </c>
      <c r="U399" s="144"/>
    </row>
    <row r="400">
      <c r="A400" s="8">
        <f t="shared" si="7"/>
        <v>399</v>
      </c>
      <c r="B400" s="8"/>
      <c r="C400" s="8"/>
      <c r="D400" s="8" t="s">
        <v>40</v>
      </c>
      <c r="E400" s="8" t="s">
        <v>2825</v>
      </c>
      <c r="F400" s="8"/>
      <c r="G400" s="8"/>
      <c r="H400" s="8" t="s">
        <v>2618</v>
      </c>
      <c r="I400" s="8" t="s">
        <v>189</v>
      </c>
      <c r="J400" s="8" t="s">
        <v>22</v>
      </c>
      <c r="K400" s="8" t="s">
        <v>440</v>
      </c>
      <c r="L400" s="8" t="s">
        <v>24</v>
      </c>
      <c r="M400" s="9">
        <v>0.5</v>
      </c>
      <c r="N400" s="9">
        <v>0.3</v>
      </c>
      <c r="O400" s="9">
        <v>0.3</v>
      </c>
      <c r="P400" s="10">
        <v>45122.0</v>
      </c>
      <c r="Q400" s="11">
        <v>1.8</v>
      </c>
      <c r="R400" s="8" t="s">
        <v>33</v>
      </c>
      <c r="S400" s="12">
        <f t="shared" si="1"/>
        <v>0.24</v>
      </c>
      <c r="T400" s="12">
        <f t="shared" si="8"/>
        <v>-2.541410902</v>
      </c>
      <c r="U400" s="145"/>
    </row>
    <row r="401">
      <c r="A401" s="15">
        <f t="shared" si="7"/>
        <v>400</v>
      </c>
      <c r="B401" s="15"/>
      <c r="C401" s="15"/>
      <c r="D401" s="15" t="s">
        <v>19</v>
      </c>
      <c r="E401" s="15" t="s">
        <v>2826</v>
      </c>
      <c r="F401" s="15"/>
      <c r="G401" s="15"/>
      <c r="H401" s="15" t="s">
        <v>2613</v>
      </c>
      <c r="I401" s="15" t="s">
        <v>82</v>
      </c>
      <c r="J401" s="15" t="s">
        <v>598</v>
      </c>
      <c r="K401" s="15" t="s">
        <v>1847</v>
      </c>
      <c r="L401" s="15" t="s">
        <v>39</v>
      </c>
      <c r="M401" s="16">
        <v>-0.5</v>
      </c>
      <c r="N401" s="16">
        <v>0.3</v>
      </c>
      <c r="O401" s="16">
        <v>0.3</v>
      </c>
      <c r="P401" s="17">
        <v>45122.0</v>
      </c>
      <c r="Q401" s="18">
        <v>1.7</v>
      </c>
      <c r="R401" s="15" t="s">
        <v>33</v>
      </c>
      <c r="S401" s="19">
        <f t="shared" si="1"/>
        <v>0.21</v>
      </c>
      <c r="T401" s="19">
        <f t="shared" si="8"/>
        <v>-2.331410902</v>
      </c>
      <c r="U401" s="144"/>
    </row>
    <row r="402">
      <c r="A402" s="8">
        <f t="shared" si="7"/>
        <v>401</v>
      </c>
      <c r="B402" s="8"/>
      <c r="C402" s="8"/>
      <c r="D402" s="8" t="s">
        <v>19</v>
      </c>
      <c r="E402" s="8" t="s">
        <v>2827</v>
      </c>
      <c r="F402" s="8" t="s">
        <v>1473</v>
      </c>
      <c r="G402" s="8" t="s">
        <v>2556</v>
      </c>
      <c r="H402" s="8">
        <v>0.0</v>
      </c>
      <c r="I402" s="8" t="s">
        <v>28</v>
      </c>
      <c r="J402" s="8" t="s">
        <v>22</v>
      </c>
      <c r="K402" s="8" t="s">
        <v>1150</v>
      </c>
      <c r="L402" s="8" t="s">
        <v>24</v>
      </c>
      <c r="M402" s="9">
        <v>0.0</v>
      </c>
      <c r="N402" s="9">
        <v>0.3</v>
      </c>
      <c r="O402" s="9">
        <v>0.3</v>
      </c>
      <c r="P402" s="10">
        <v>45122.0</v>
      </c>
      <c r="Q402" s="11">
        <f>273.58/150</f>
        <v>1.823866667</v>
      </c>
      <c r="R402" s="8" t="s">
        <v>33</v>
      </c>
      <c r="S402" s="12">
        <f t="shared" si="1"/>
        <v>0.24716</v>
      </c>
      <c r="T402" s="12">
        <f t="shared" si="8"/>
        <v>-2.084250902</v>
      </c>
      <c r="U402" s="145"/>
    </row>
    <row r="403">
      <c r="A403" s="15">
        <f t="shared" si="7"/>
        <v>402</v>
      </c>
      <c r="B403" s="15"/>
      <c r="C403" s="15"/>
      <c r="D403" s="15" t="s">
        <v>19</v>
      </c>
      <c r="E403" s="15" t="s">
        <v>2828</v>
      </c>
      <c r="F403" s="15" t="s">
        <v>1473</v>
      </c>
      <c r="G403" s="15" t="s">
        <v>2556</v>
      </c>
      <c r="H403" s="15">
        <v>0.0</v>
      </c>
      <c r="I403" s="15" t="s">
        <v>28</v>
      </c>
      <c r="J403" s="15" t="s">
        <v>22</v>
      </c>
      <c r="K403" s="15" t="s">
        <v>892</v>
      </c>
      <c r="L403" s="15" t="s">
        <v>39</v>
      </c>
      <c r="M403" s="16">
        <v>0.0</v>
      </c>
      <c r="N403" s="16">
        <v>0.3</v>
      </c>
      <c r="O403" s="16">
        <v>0.3</v>
      </c>
      <c r="P403" s="17">
        <v>45122.0</v>
      </c>
      <c r="Q403" s="18">
        <v>2.075</v>
      </c>
      <c r="R403" s="15" t="s">
        <v>70</v>
      </c>
      <c r="S403" s="19">
        <f t="shared" si="1"/>
        <v>0</v>
      </c>
      <c r="T403" s="19">
        <f t="shared" si="8"/>
        <v>-2.084250902</v>
      </c>
      <c r="U403" s="144"/>
    </row>
    <row r="404">
      <c r="A404" s="8">
        <f t="shared" si="7"/>
        <v>403</v>
      </c>
      <c r="B404" s="8"/>
      <c r="C404" s="8"/>
      <c r="D404" s="8" t="s">
        <v>19</v>
      </c>
      <c r="E404" s="8" t="s">
        <v>2829</v>
      </c>
      <c r="F404" s="8" t="s">
        <v>1473</v>
      </c>
      <c r="G404" s="8" t="s">
        <v>2556</v>
      </c>
      <c r="H404" s="8">
        <v>0.0</v>
      </c>
      <c r="I404" s="8" t="s">
        <v>28</v>
      </c>
      <c r="J404" s="8" t="s">
        <v>22</v>
      </c>
      <c r="K404" s="8" t="s">
        <v>892</v>
      </c>
      <c r="L404" s="8" t="s">
        <v>24</v>
      </c>
      <c r="M404" s="9">
        <v>0.0</v>
      </c>
      <c r="N404" s="9">
        <v>0.3</v>
      </c>
      <c r="O404" s="9">
        <f>0.718*0.3</f>
        <v>0.2154</v>
      </c>
      <c r="P404" s="10">
        <v>45122.0</v>
      </c>
      <c r="Q404" s="11">
        <f>244.1/150</f>
        <v>1.627333333</v>
      </c>
      <c r="R404" s="8" t="s">
        <v>33</v>
      </c>
      <c r="S404" s="12">
        <f t="shared" si="1"/>
        <v>0.1351276</v>
      </c>
      <c r="T404" s="12">
        <f t="shared" si="8"/>
        <v>-1.949123302</v>
      </c>
      <c r="U404" s="145"/>
    </row>
    <row r="405">
      <c r="A405" s="15">
        <f t="shared" si="7"/>
        <v>404</v>
      </c>
      <c r="B405" s="15"/>
      <c r="C405" s="15"/>
      <c r="D405" s="15" t="s">
        <v>19</v>
      </c>
      <c r="E405" s="15" t="s">
        <v>2830</v>
      </c>
      <c r="F405" s="15" t="s">
        <v>1473</v>
      </c>
      <c r="G405" s="15" t="s">
        <v>2556</v>
      </c>
      <c r="H405" s="15">
        <v>0.0</v>
      </c>
      <c r="I405" s="15" t="s">
        <v>82</v>
      </c>
      <c r="J405" s="15" t="s">
        <v>22</v>
      </c>
      <c r="K405" s="15" t="s">
        <v>225</v>
      </c>
      <c r="L405" s="15" t="s">
        <v>24</v>
      </c>
      <c r="M405" s="16">
        <v>0.5</v>
      </c>
      <c r="N405" s="16">
        <v>0.3</v>
      </c>
      <c r="O405" s="16">
        <v>0.3</v>
      </c>
      <c r="P405" s="17">
        <v>45122.0</v>
      </c>
      <c r="Q405" s="18">
        <f>236.25/150</f>
        <v>1.575</v>
      </c>
      <c r="R405" s="15" t="s">
        <v>33</v>
      </c>
      <c r="S405" s="19">
        <f t="shared" si="1"/>
        <v>0.1725</v>
      </c>
      <c r="T405" s="19">
        <f t="shared" si="8"/>
        <v>-1.776623302</v>
      </c>
      <c r="U405" s="144"/>
    </row>
    <row r="406">
      <c r="A406" s="8">
        <f t="shared" si="7"/>
        <v>405</v>
      </c>
      <c r="B406" s="8"/>
      <c r="C406" s="8"/>
      <c r="D406" s="8" t="s">
        <v>19</v>
      </c>
      <c r="E406" s="8" t="s">
        <v>2831</v>
      </c>
      <c r="F406" s="8" t="s">
        <v>1473</v>
      </c>
      <c r="G406" s="8" t="s">
        <v>2556</v>
      </c>
      <c r="H406" s="8">
        <v>0.0</v>
      </c>
      <c r="I406" s="8" t="s">
        <v>82</v>
      </c>
      <c r="J406" s="8" t="s">
        <v>22</v>
      </c>
      <c r="K406" s="8" t="s">
        <v>225</v>
      </c>
      <c r="L406" s="8" t="s">
        <v>1522</v>
      </c>
      <c r="M406" s="9">
        <v>0.5</v>
      </c>
      <c r="N406" s="9">
        <v>0.3</v>
      </c>
      <c r="O406" s="9">
        <v>0.3</v>
      </c>
      <c r="P406" s="10">
        <v>45122.0</v>
      </c>
      <c r="Q406" s="11">
        <v>1.825</v>
      </c>
      <c r="R406" s="8" t="s">
        <v>70</v>
      </c>
      <c r="S406" s="12">
        <f t="shared" si="1"/>
        <v>0</v>
      </c>
      <c r="T406" s="12">
        <f t="shared" si="8"/>
        <v>-1.776623302</v>
      </c>
      <c r="U406" s="145"/>
    </row>
    <row r="407">
      <c r="A407" s="125"/>
      <c r="B407" s="125"/>
      <c r="C407" s="125"/>
      <c r="D407" s="15" t="s">
        <v>19</v>
      </c>
      <c r="E407" s="15" t="s">
        <v>2789</v>
      </c>
      <c r="F407" s="15" t="s">
        <v>1473</v>
      </c>
      <c r="G407" s="15" t="s">
        <v>2556</v>
      </c>
      <c r="H407" s="15">
        <v>0.0</v>
      </c>
      <c r="I407" s="15" t="s">
        <v>82</v>
      </c>
      <c r="J407" s="15" t="s">
        <v>22</v>
      </c>
      <c r="K407" s="15" t="s">
        <v>225</v>
      </c>
      <c r="L407" s="15" t="s">
        <v>39</v>
      </c>
      <c r="M407" s="16">
        <v>0.5</v>
      </c>
      <c r="N407" s="16">
        <v>0.5</v>
      </c>
      <c r="O407" s="16">
        <v>0.5</v>
      </c>
      <c r="P407" s="17">
        <v>45123.0</v>
      </c>
      <c r="Q407" s="18">
        <v>1.85</v>
      </c>
      <c r="R407" s="15" t="s">
        <v>25</v>
      </c>
      <c r="S407" s="19">
        <f t="shared" si="1"/>
        <v>-0.5</v>
      </c>
      <c r="T407" s="19">
        <f t="shared" si="8"/>
        <v>-2.276623302</v>
      </c>
      <c r="U407" s="144"/>
    </row>
    <row r="408">
      <c r="A408" s="129"/>
      <c r="B408" s="129"/>
      <c r="C408" s="129"/>
      <c r="D408" s="8" t="s">
        <v>19</v>
      </c>
      <c r="E408" s="8" t="s">
        <v>2832</v>
      </c>
      <c r="F408" s="8" t="s">
        <v>1473</v>
      </c>
      <c r="G408" s="8" t="s">
        <v>2702</v>
      </c>
      <c r="H408" s="8">
        <v>0.0</v>
      </c>
      <c r="I408" s="8" t="s">
        <v>2380</v>
      </c>
      <c r="J408" s="8" t="s">
        <v>22</v>
      </c>
      <c r="K408" s="8" t="s">
        <v>892</v>
      </c>
      <c r="L408" s="8" t="s">
        <v>39</v>
      </c>
      <c r="M408" s="9">
        <v>0.0</v>
      </c>
      <c r="N408" s="9">
        <v>0.5</v>
      </c>
      <c r="O408" s="9">
        <v>0.5</v>
      </c>
      <c r="P408" s="10">
        <v>45123.0</v>
      </c>
      <c r="Q408" s="11">
        <v>1.925</v>
      </c>
      <c r="R408" s="8" t="s">
        <v>33</v>
      </c>
      <c r="S408" s="12">
        <f t="shared" si="1"/>
        <v>0.4625</v>
      </c>
      <c r="T408" s="12">
        <f t="shared" si="8"/>
        <v>-1.814123302</v>
      </c>
      <c r="U408" s="145"/>
    </row>
    <row r="409">
      <c r="A409" s="125"/>
      <c r="B409" s="125"/>
      <c r="C409" s="125"/>
      <c r="D409" s="15" t="s">
        <v>19</v>
      </c>
      <c r="E409" s="15" t="s">
        <v>2833</v>
      </c>
      <c r="F409" s="15"/>
      <c r="G409" s="15"/>
      <c r="H409" s="15" t="s">
        <v>2615</v>
      </c>
      <c r="I409" s="15" t="s">
        <v>82</v>
      </c>
      <c r="J409" s="15" t="s">
        <v>22</v>
      </c>
      <c r="K409" s="15" t="s">
        <v>29</v>
      </c>
      <c r="L409" s="15" t="s">
        <v>24</v>
      </c>
      <c r="M409" s="16">
        <v>-3.5</v>
      </c>
      <c r="N409" s="16">
        <v>0.25</v>
      </c>
      <c r="O409" s="16">
        <f>0.256*0.25</f>
        <v>0.064</v>
      </c>
      <c r="P409" s="17">
        <v>45123.0</v>
      </c>
      <c r="Q409" s="18">
        <f>230.12/150</f>
        <v>1.534133333</v>
      </c>
      <c r="R409" s="15" t="s">
        <v>33</v>
      </c>
      <c r="S409" s="19">
        <f t="shared" si="1"/>
        <v>0.03418453333</v>
      </c>
      <c r="T409" s="19">
        <f t="shared" si="8"/>
        <v>-1.779938768</v>
      </c>
      <c r="U409" s="144"/>
    </row>
    <row r="410">
      <c r="A410" s="129"/>
      <c r="B410" s="129"/>
      <c r="C410" s="129"/>
      <c r="D410" s="8" t="s">
        <v>19</v>
      </c>
      <c r="E410" s="8" t="s">
        <v>2834</v>
      </c>
      <c r="F410" s="8"/>
      <c r="G410" s="8"/>
      <c r="H410" s="8" t="s">
        <v>2615</v>
      </c>
      <c r="I410" s="8" t="s">
        <v>82</v>
      </c>
      <c r="J410" s="8" t="s">
        <v>22</v>
      </c>
      <c r="K410" s="8" t="s">
        <v>29</v>
      </c>
      <c r="L410" s="8" t="s">
        <v>24</v>
      </c>
      <c r="M410" s="9">
        <v>-3.25</v>
      </c>
      <c r="N410" s="9">
        <v>0.25</v>
      </c>
      <c r="O410" s="9">
        <f>0.667*0.25</f>
        <v>0.16675</v>
      </c>
      <c r="P410" s="10">
        <v>45123.0</v>
      </c>
      <c r="Q410" s="11">
        <f>178.82/125</f>
        <v>1.43056</v>
      </c>
      <c r="R410" s="8" t="s">
        <v>33</v>
      </c>
      <c r="S410" s="12">
        <f t="shared" si="1"/>
        <v>0.07179588</v>
      </c>
      <c r="T410" s="12">
        <f t="shared" si="8"/>
        <v>-1.708142888</v>
      </c>
      <c r="U410" s="145"/>
    </row>
    <row r="411">
      <c r="A411" s="125"/>
      <c r="B411" s="125"/>
      <c r="C411" s="125"/>
      <c r="D411" s="15" t="s">
        <v>19</v>
      </c>
      <c r="E411" s="15" t="s">
        <v>2835</v>
      </c>
      <c r="F411" s="15" t="s">
        <v>1479</v>
      </c>
      <c r="G411" s="15" t="s">
        <v>2556</v>
      </c>
      <c r="H411" s="15">
        <v>3</v>
      </c>
      <c r="I411" s="15" t="s">
        <v>513</v>
      </c>
      <c r="J411" s="15" t="s">
        <v>22</v>
      </c>
      <c r="K411" s="15" t="s">
        <v>225</v>
      </c>
      <c r="L411" s="15" t="s">
        <v>24</v>
      </c>
      <c r="M411" s="16">
        <v>0.75</v>
      </c>
      <c r="N411" s="16">
        <v>0.6</v>
      </c>
      <c r="O411" s="16">
        <v>0.6</v>
      </c>
      <c r="P411" s="17">
        <v>45125.0</v>
      </c>
      <c r="Q411" s="18">
        <v>1.9</v>
      </c>
      <c r="R411" s="15" t="s">
        <v>33</v>
      </c>
      <c r="S411" s="19">
        <f t="shared" si="1"/>
        <v>0.54</v>
      </c>
      <c r="T411" s="19">
        <f t="shared" si="8"/>
        <v>-1.168142888</v>
      </c>
      <c r="U411" s="144"/>
    </row>
    <row r="412">
      <c r="A412" s="129"/>
      <c r="B412" s="129"/>
      <c r="C412" s="129"/>
      <c r="D412" s="8" t="s">
        <v>19</v>
      </c>
      <c r="E412" s="8" t="s">
        <v>2836</v>
      </c>
      <c r="F412" s="8" t="s">
        <v>1473</v>
      </c>
      <c r="G412" s="8" t="s">
        <v>2556</v>
      </c>
      <c r="H412" s="8">
        <v>0.0</v>
      </c>
      <c r="I412" s="8" t="s">
        <v>820</v>
      </c>
      <c r="J412" s="8" t="s">
        <v>22</v>
      </c>
      <c r="K412" s="8" t="s">
        <v>892</v>
      </c>
      <c r="L412" s="8" t="s">
        <v>24</v>
      </c>
      <c r="M412" s="9">
        <v>0.0</v>
      </c>
      <c r="N412" s="9">
        <v>0.3</v>
      </c>
      <c r="O412" s="9">
        <v>0.3</v>
      </c>
      <c r="P412" s="10">
        <v>45125.0</v>
      </c>
      <c r="Q412" s="11">
        <v>2.05</v>
      </c>
      <c r="R412" s="8" t="s">
        <v>70</v>
      </c>
      <c r="S412" s="12">
        <f t="shared" si="1"/>
        <v>0</v>
      </c>
      <c r="T412" s="12">
        <f t="shared" si="8"/>
        <v>-1.168142888</v>
      </c>
      <c r="U412" s="145"/>
    </row>
    <row r="413">
      <c r="A413" s="125"/>
      <c r="B413" s="125"/>
      <c r="C413" s="125"/>
      <c r="D413" s="15" t="s">
        <v>19</v>
      </c>
      <c r="E413" s="15" t="s">
        <v>2837</v>
      </c>
      <c r="F413" s="15" t="s">
        <v>1473</v>
      </c>
      <c r="G413" s="15" t="s">
        <v>2556</v>
      </c>
      <c r="H413" s="15">
        <f>1</f>
        <v>1</v>
      </c>
      <c r="I413" s="15" t="s">
        <v>28</v>
      </c>
      <c r="J413" s="15" t="s">
        <v>22</v>
      </c>
      <c r="K413" s="15" t="s">
        <v>1150</v>
      </c>
      <c r="L413" s="15" t="s">
        <v>24</v>
      </c>
      <c r="M413" s="16">
        <v>0.0</v>
      </c>
      <c r="N413" s="16">
        <v>0.6</v>
      </c>
      <c r="O413" s="16">
        <v>0.01</v>
      </c>
      <c r="P413" s="17">
        <v>45125.0</v>
      </c>
      <c r="Q413" s="18">
        <v>1.8</v>
      </c>
      <c r="R413" s="15" t="s">
        <v>25</v>
      </c>
      <c r="S413" s="19">
        <f t="shared" si="1"/>
        <v>-0.01</v>
      </c>
      <c r="T413" s="19">
        <f t="shared" si="8"/>
        <v>-1.178142888</v>
      </c>
      <c r="U413" s="144"/>
    </row>
    <row r="414">
      <c r="A414" s="129"/>
      <c r="B414" s="129"/>
      <c r="C414" s="129"/>
      <c r="D414" s="8" t="s">
        <v>19</v>
      </c>
      <c r="E414" s="8" t="s">
        <v>2838</v>
      </c>
      <c r="F414" s="8"/>
      <c r="G414" s="8"/>
      <c r="H414" s="8" t="s">
        <v>2613</v>
      </c>
      <c r="I414" s="8" t="s">
        <v>1961</v>
      </c>
      <c r="J414" s="8" t="s">
        <v>598</v>
      </c>
      <c r="K414" s="8" t="s">
        <v>225</v>
      </c>
      <c r="L414" s="8" t="s">
        <v>24</v>
      </c>
      <c r="M414" s="9">
        <v>0.75</v>
      </c>
      <c r="N414" s="9">
        <v>0.3</v>
      </c>
      <c r="O414" s="9">
        <v>0.3</v>
      </c>
      <c r="P414" s="54">
        <v>45126.0</v>
      </c>
      <c r="Q414" s="11">
        <v>1.725</v>
      </c>
      <c r="R414" s="8" t="s">
        <v>79</v>
      </c>
      <c r="S414" s="12">
        <f t="shared" si="1"/>
        <v>-0.15</v>
      </c>
      <c r="T414" s="12">
        <f t="shared" si="8"/>
        <v>-1.328142888</v>
      </c>
      <c r="U414" s="145"/>
    </row>
    <row r="415">
      <c r="A415" s="125"/>
      <c r="B415" s="125"/>
      <c r="C415" s="125"/>
      <c r="D415" s="15" t="s">
        <v>19</v>
      </c>
      <c r="E415" s="15" t="s">
        <v>2839</v>
      </c>
      <c r="F415" s="15" t="s">
        <v>2611</v>
      </c>
      <c r="G415" s="15" t="s">
        <v>2573</v>
      </c>
      <c r="H415" s="15">
        <v>4</v>
      </c>
      <c r="I415" s="15" t="s">
        <v>28</v>
      </c>
      <c r="J415" s="15" t="s">
        <v>22</v>
      </c>
      <c r="K415" s="15" t="s">
        <v>892</v>
      </c>
      <c r="L415" s="15" t="s">
        <v>24</v>
      </c>
      <c r="M415" s="16">
        <v>0.0</v>
      </c>
      <c r="N415" s="16">
        <v>0.6</v>
      </c>
      <c r="O415" s="16">
        <f>0.744*0.6</f>
        <v>0.4464</v>
      </c>
      <c r="P415" s="17">
        <v>45126.0</v>
      </c>
      <c r="Q415" s="18">
        <v>1.725</v>
      </c>
      <c r="R415" s="15" t="s">
        <v>70</v>
      </c>
      <c r="S415" s="19">
        <f t="shared" si="1"/>
        <v>0</v>
      </c>
      <c r="T415" s="19">
        <f t="shared" si="8"/>
        <v>-1.328142888</v>
      </c>
      <c r="U415" s="144"/>
    </row>
    <row r="416">
      <c r="A416" s="129"/>
      <c r="B416" s="129"/>
      <c r="C416" s="129"/>
      <c r="D416" s="8" t="s">
        <v>19</v>
      </c>
      <c r="E416" s="8" t="s">
        <v>2840</v>
      </c>
      <c r="F416" s="8" t="s">
        <v>2611</v>
      </c>
      <c r="G416" s="8" t="s">
        <v>2556</v>
      </c>
      <c r="H416" s="8">
        <f t="shared" ref="H416:H417" si="17">1</f>
        <v>1</v>
      </c>
      <c r="I416" s="8" t="s">
        <v>28</v>
      </c>
      <c r="J416" s="8" t="s">
        <v>22</v>
      </c>
      <c r="K416" s="8" t="s">
        <v>1847</v>
      </c>
      <c r="L416" s="8" t="s">
        <v>24</v>
      </c>
      <c r="M416" s="9">
        <v>-0.5</v>
      </c>
      <c r="N416" s="9">
        <v>0.6</v>
      </c>
      <c r="O416" s="9">
        <f>0.385*0.6</f>
        <v>0.231</v>
      </c>
      <c r="P416" s="10">
        <v>45126.0</v>
      </c>
      <c r="Q416" s="11">
        <v>2.05</v>
      </c>
      <c r="R416" s="8" t="s">
        <v>33</v>
      </c>
      <c r="S416" s="12">
        <f t="shared" si="1"/>
        <v>0.24255</v>
      </c>
      <c r="T416" s="12">
        <f t="shared" si="8"/>
        <v>-1.085592888</v>
      </c>
      <c r="U416" s="145"/>
    </row>
    <row r="417">
      <c r="A417" s="125"/>
      <c r="B417" s="125"/>
      <c r="C417" s="125"/>
      <c r="D417" s="15" t="s">
        <v>19</v>
      </c>
      <c r="E417" s="15" t="s">
        <v>2841</v>
      </c>
      <c r="F417" s="15" t="s">
        <v>1473</v>
      </c>
      <c r="G417" s="15" t="s">
        <v>2556</v>
      </c>
      <c r="H417" s="15">
        <f t="shared" si="17"/>
        <v>1</v>
      </c>
      <c r="I417" s="15" t="s">
        <v>28</v>
      </c>
      <c r="J417" s="15" t="s">
        <v>22</v>
      </c>
      <c r="K417" s="15" t="s">
        <v>225</v>
      </c>
      <c r="L417" s="15" t="s">
        <v>24</v>
      </c>
      <c r="M417" s="16">
        <v>0.5</v>
      </c>
      <c r="N417" s="16">
        <v>0.6</v>
      </c>
      <c r="O417" s="16">
        <v>0.6</v>
      </c>
      <c r="P417" s="55">
        <v>45126.0</v>
      </c>
      <c r="Q417" s="18">
        <v>1.775</v>
      </c>
      <c r="R417" s="15" t="s">
        <v>25</v>
      </c>
      <c r="S417" s="19">
        <f t="shared" si="1"/>
        <v>-0.6</v>
      </c>
      <c r="T417" s="19">
        <f t="shared" si="8"/>
        <v>-1.685592888</v>
      </c>
      <c r="U417" s="144"/>
    </row>
    <row r="418">
      <c r="A418" s="129"/>
      <c r="B418" s="129"/>
      <c r="C418" s="129"/>
      <c r="D418" s="8" t="s">
        <v>19</v>
      </c>
      <c r="E418" s="8" t="s">
        <v>2842</v>
      </c>
      <c r="F418" s="8" t="s">
        <v>2611</v>
      </c>
      <c r="G418" s="8" t="s">
        <v>2556</v>
      </c>
      <c r="H418" s="8">
        <v>-1.0</v>
      </c>
      <c r="I418" s="8" t="s">
        <v>28</v>
      </c>
      <c r="J418" s="8" t="s">
        <v>22</v>
      </c>
      <c r="K418" s="8" t="s">
        <v>225</v>
      </c>
      <c r="L418" s="8" t="s">
        <v>24</v>
      </c>
      <c r="M418" s="9">
        <v>3.25</v>
      </c>
      <c r="N418" s="9">
        <v>0.3</v>
      </c>
      <c r="O418" s="9">
        <v>0.3</v>
      </c>
      <c r="P418" s="10">
        <v>45126.0</v>
      </c>
      <c r="Q418" s="11">
        <v>1.9</v>
      </c>
      <c r="R418" s="8" t="s">
        <v>30</v>
      </c>
      <c r="S418" s="12">
        <f t="shared" si="1"/>
        <v>0.135</v>
      </c>
      <c r="T418" s="12">
        <f t="shared" si="8"/>
        <v>-1.550592888</v>
      </c>
      <c r="U418" s="145"/>
    </row>
    <row r="419">
      <c r="A419" s="125"/>
      <c r="B419" s="125"/>
      <c r="C419" s="125"/>
      <c r="D419" s="15" t="s">
        <v>19</v>
      </c>
      <c r="E419" s="15" t="s">
        <v>2843</v>
      </c>
      <c r="F419" s="15" t="s">
        <v>2611</v>
      </c>
      <c r="G419" s="15" t="s">
        <v>2702</v>
      </c>
      <c r="H419" s="15">
        <v>0.0</v>
      </c>
      <c r="I419" s="15" t="s">
        <v>28</v>
      </c>
      <c r="J419" s="15" t="s">
        <v>22</v>
      </c>
      <c r="K419" s="15" t="s">
        <v>892</v>
      </c>
      <c r="L419" s="15" t="s">
        <v>24</v>
      </c>
      <c r="M419" s="16">
        <v>0.0</v>
      </c>
      <c r="N419" s="16">
        <v>0.6</v>
      </c>
      <c r="O419" s="16">
        <v>0.6</v>
      </c>
      <c r="P419" s="17">
        <v>45126.0</v>
      </c>
      <c r="Q419" s="18">
        <v>1.825</v>
      </c>
      <c r="R419" s="15" t="s">
        <v>33</v>
      </c>
      <c r="S419" s="19">
        <f t="shared" si="1"/>
        <v>0.495</v>
      </c>
      <c r="T419" s="19">
        <f t="shared" si="8"/>
        <v>-1.055592888</v>
      </c>
      <c r="U419" s="144"/>
    </row>
    <row r="420">
      <c r="A420" s="129"/>
      <c r="B420" s="129"/>
      <c r="C420" s="129"/>
      <c r="D420" s="8" t="s">
        <v>19</v>
      </c>
      <c r="E420" s="8" t="s">
        <v>2844</v>
      </c>
      <c r="F420" s="8" t="s">
        <v>1473</v>
      </c>
      <c r="G420" s="8" t="s">
        <v>2556</v>
      </c>
      <c r="H420" s="8">
        <v>0.0</v>
      </c>
      <c r="I420" s="8" t="s">
        <v>28</v>
      </c>
      <c r="J420" s="8" t="s">
        <v>22</v>
      </c>
      <c r="K420" s="8" t="s">
        <v>225</v>
      </c>
      <c r="L420" s="8" t="s">
        <v>1851</v>
      </c>
      <c r="M420" s="9">
        <v>0.5</v>
      </c>
      <c r="N420" s="9">
        <v>0.6</v>
      </c>
      <c r="O420" s="9">
        <v>0.6</v>
      </c>
      <c r="P420" s="10">
        <v>45126.0</v>
      </c>
      <c r="Q420" s="11">
        <f>395/300</f>
        <v>1.316666667</v>
      </c>
      <c r="R420" s="8" t="s">
        <v>33</v>
      </c>
      <c r="S420" s="12">
        <f t="shared" si="1"/>
        <v>0.19</v>
      </c>
      <c r="T420" s="12">
        <f t="shared" si="8"/>
        <v>-0.8655928883</v>
      </c>
      <c r="U420" s="145"/>
    </row>
    <row r="421">
      <c r="A421" s="125"/>
      <c r="B421" s="125"/>
      <c r="C421" s="125"/>
      <c r="D421" s="15" t="s">
        <v>19</v>
      </c>
      <c r="E421" s="15" t="s">
        <v>2845</v>
      </c>
      <c r="F421" s="15" t="s">
        <v>1473</v>
      </c>
      <c r="G421" s="15" t="s">
        <v>2556</v>
      </c>
      <c r="H421" s="15">
        <v>-2.0</v>
      </c>
      <c r="I421" s="15" t="s">
        <v>28</v>
      </c>
      <c r="J421" s="15" t="s">
        <v>22</v>
      </c>
      <c r="K421" s="15" t="s">
        <v>892</v>
      </c>
      <c r="L421" s="15" t="s">
        <v>1522</v>
      </c>
      <c r="M421" s="16">
        <v>0.0</v>
      </c>
      <c r="N421" s="16">
        <v>0.3</v>
      </c>
      <c r="O421" s="16">
        <v>0.3</v>
      </c>
      <c r="P421" s="17">
        <v>45126.0</v>
      </c>
      <c r="Q421" s="18">
        <v>1.925</v>
      </c>
      <c r="R421" s="15" t="s">
        <v>70</v>
      </c>
      <c r="S421" s="19">
        <f t="shared" si="1"/>
        <v>0</v>
      </c>
      <c r="T421" s="19">
        <f t="shared" si="8"/>
        <v>-0.8655928883</v>
      </c>
      <c r="U421" s="144"/>
    </row>
    <row r="422">
      <c r="A422" s="129"/>
      <c r="B422" s="129"/>
      <c r="C422" s="129"/>
      <c r="D422" s="8" t="s">
        <v>19</v>
      </c>
      <c r="E422" s="8" t="s">
        <v>2846</v>
      </c>
      <c r="F422" s="8" t="s">
        <v>1473</v>
      </c>
      <c r="G422" s="8" t="s">
        <v>2702</v>
      </c>
      <c r="H422" s="8">
        <v>0.0</v>
      </c>
      <c r="I422" s="8" t="s">
        <v>28</v>
      </c>
      <c r="J422" s="8" t="s">
        <v>22</v>
      </c>
      <c r="K422" s="8" t="s">
        <v>1150</v>
      </c>
      <c r="L422" s="8" t="s">
        <v>1803</v>
      </c>
      <c r="M422" s="9">
        <v>0.0</v>
      </c>
      <c r="N422" s="9">
        <v>0.3</v>
      </c>
      <c r="O422" s="9">
        <v>0.3</v>
      </c>
      <c r="P422" s="10">
        <v>45127.0</v>
      </c>
      <c r="Q422" s="11">
        <v>1.925</v>
      </c>
      <c r="R422" s="8" t="s">
        <v>70</v>
      </c>
      <c r="S422" s="12">
        <f t="shared" si="1"/>
        <v>0</v>
      </c>
      <c r="T422" s="12">
        <f t="shared" si="8"/>
        <v>-0.8655928883</v>
      </c>
      <c r="U422" s="145"/>
    </row>
    <row r="423">
      <c r="A423" s="125"/>
      <c r="B423" s="125"/>
      <c r="C423" s="125"/>
      <c r="D423" s="15" t="s">
        <v>19</v>
      </c>
      <c r="E423" s="15" t="s">
        <v>2847</v>
      </c>
      <c r="F423" s="15" t="s">
        <v>2611</v>
      </c>
      <c r="G423" s="15" t="s">
        <v>2702</v>
      </c>
      <c r="H423" s="15">
        <v>0.0</v>
      </c>
      <c r="I423" s="15" t="s">
        <v>28</v>
      </c>
      <c r="J423" s="15" t="s">
        <v>22</v>
      </c>
      <c r="K423" s="15" t="s">
        <v>892</v>
      </c>
      <c r="L423" s="15" t="s">
        <v>24</v>
      </c>
      <c r="M423" s="16">
        <v>0.0</v>
      </c>
      <c r="N423" s="16">
        <v>0.6</v>
      </c>
      <c r="O423" s="16">
        <f>0.842*0.6</f>
        <v>0.5052</v>
      </c>
      <c r="P423" s="17">
        <v>45127.0</v>
      </c>
      <c r="Q423" s="18">
        <f>315.1/300</f>
        <v>1.050333333</v>
      </c>
      <c r="R423" s="15" t="s">
        <v>33</v>
      </c>
      <c r="S423" s="19">
        <f t="shared" si="1"/>
        <v>0.0254284</v>
      </c>
      <c r="T423" s="19">
        <f t="shared" si="8"/>
        <v>-0.8401644883</v>
      </c>
      <c r="U423" s="144"/>
    </row>
    <row r="424">
      <c r="A424" s="129"/>
      <c r="B424" s="129"/>
      <c r="C424" s="129"/>
      <c r="D424" s="8" t="s">
        <v>19</v>
      </c>
      <c r="E424" s="8" t="s">
        <v>2848</v>
      </c>
      <c r="F424" s="8" t="s">
        <v>2611</v>
      </c>
      <c r="G424" s="8" t="s">
        <v>2556</v>
      </c>
      <c r="H424" s="8">
        <v>0.0</v>
      </c>
      <c r="I424" s="8" t="s">
        <v>82</v>
      </c>
      <c r="J424" s="8" t="s">
        <v>22</v>
      </c>
      <c r="K424" s="8" t="s">
        <v>225</v>
      </c>
      <c r="L424" s="8" t="s">
        <v>24</v>
      </c>
      <c r="M424" s="9">
        <v>0.5</v>
      </c>
      <c r="N424" s="9">
        <v>0.3</v>
      </c>
      <c r="O424" s="9">
        <v>0.3</v>
      </c>
      <c r="P424" s="10">
        <v>45127.0</v>
      </c>
      <c r="Q424" s="11">
        <f>217.25/150</f>
        <v>1.448333333</v>
      </c>
      <c r="R424" s="8" t="s">
        <v>33</v>
      </c>
      <c r="S424" s="12">
        <f t="shared" si="1"/>
        <v>0.1345</v>
      </c>
      <c r="T424" s="12">
        <f t="shared" si="8"/>
        <v>-0.7056644883</v>
      </c>
      <c r="U424" s="145"/>
    </row>
    <row r="425">
      <c r="A425" s="125"/>
      <c r="B425" s="125"/>
      <c r="C425" s="125"/>
      <c r="D425" s="15" t="s">
        <v>19</v>
      </c>
      <c r="E425" s="15" t="s">
        <v>2849</v>
      </c>
      <c r="F425" s="15" t="s">
        <v>2611</v>
      </c>
      <c r="G425" s="15" t="s">
        <v>2556</v>
      </c>
      <c r="H425" s="15">
        <v>0.0</v>
      </c>
      <c r="I425" s="15" t="s">
        <v>82</v>
      </c>
      <c r="J425" s="15" t="s">
        <v>22</v>
      </c>
      <c r="K425" s="15" t="s">
        <v>225</v>
      </c>
      <c r="L425" s="15" t="s">
        <v>39</v>
      </c>
      <c r="M425" s="16">
        <v>0.5</v>
      </c>
      <c r="N425" s="16">
        <v>0.4</v>
      </c>
      <c r="O425" s="16">
        <v>0.4</v>
      </c>
      <c r="P425" s="17">
        <v>45128.0</v>
      </c>
      <c r="Q425" s="18">
        <f>230/200</f>
        <v>1.15</v>
      </c>
      <c r="R425" s="15" t="s">
        <v>33</v>
      </c>
      <c r="S425" s="19">
        <f t="shared" si="1"/>
        <v>0.06</v>
      </c>
      <c r="T425" s="19">
        <f t="shared" si="8"/>
        <v>-0.6456644883</v>
      </c>
      <c r="U425" s="144"/>
    </row>
    <row r="426">
      <c r="A426" s="129"/>
      <c r="B426" s="129"/>
      <c r="C426" s="129"/>
      <c r="D426" s="8" t="s">
        <v>19</v>
      </c>
      <c r="E426" s="8" t="s">
        <v>2850</v>
      </c>
      <c r="F426" s="8"/>
      <c r="G426" s="8"/>
      <c r="H426" s="8" t="s">
        <v>2613</v>
      </c>
      <c r="I426" s="8" t="s">
        <v>82</v>
      </c>
      <c r="J426" s="8" t="s">
        <v>598</v>
      </c>
      <c r="K426" s="8" t="s">
        <v>892</v>
      </c>
      <c r="L426" s="8" t="s">
        <v>39</v>
      </c>
      <c r="M426" s="9">
        <v>0.0</v>
      </c>
      <c r="N426" s="9">
        <v>0.4</v>
      </c>
      <c r="O426" s="9">
        <v>0.4</v>
      </c>
      <c r="P426" s="10">
        <v>45129.0</v>
      </c>
      <c r="Q426" s="11">
        <v>1.775</v>
      </c>
      <c r="R426" s="8" t="s">
        <v>25</v>
      </c>
      <c r="S426" s="12">
        <f t="shared" si="1"/>
        <v>-0.4</v>
      </c>
      <c r="T426" s="12">
        <f t="shared" si="8"/>
        <v>-1.045664488</v>
      </c>
      <c r="U426" s="145"/>
    </row>
    <row r="427">
      <c r="A427" s="125"/>
      <c r="B427" s="125"/>
      <c r="C427" s="125"/>
      <c r="D427" s="15" t="s">
        <v>40</v>
      </c>
      <c r="E427" s="15" t="s">
        <v>2851</v>
      </c>
      <c r="F427" s="15"/>
      <c r="G427" s="15"/>
      <c r="H427" s="15" t="s">
        <v>2613</v>
      </c>
      <c r="I427" s="15" t="s">
        <v>2852</v>
      </c>
      <c r="J427" s="15" t="s">
        <v>598</v>
      </c>
      <c r="K427" s="15" t="s">
        <v>225</v>
      </c>
      <c r="L427" s="15" t="s">
        <v>39</v>
      </c>
      <c r="M427" s="16">
        <v>1.75</v>
      </c>
      <c r="N427" s="16">
        <v>0.4</v>
      </c>
      <c r="O427" s="16">
        <v>0.4</v>
      </c>
      <c r="P427" s="17">
        <v>45129.0</v>
      </c>
      <c r="Q427" s="18">
        <v>1.875</v>
      </c>
      <c r="R427" s="15" t="s">
        <v>25</v>
      </c>
      <c r="S427" s="19">
        <f t="shared" si="1"/>
        <v>-0.4</v>
      </c>
      <c r="T427" s="19">
        <f t="shared" si="8"/>
        <v>-1.445664488</v>
      </c>
      <c r="U427" s="144"/>
    </row>
    <row r="428">
      <c r="A428" s="129"/>
      <c r="B428" s="129"/>
      <c r="C428" s="129"/>
      <c r="D428" s="8" t="s">
        <v>19</v>
      </c>
      <c r="E428" s="8" t="s">
        <v>2853</v>
      </c>
      <c r="F428" s="8" t="s">
        <v>1473</v>
      </c>
      <c r="G428" s="8" t="s">
        <v>2660</v>
      </c>
      <c r="H428" s="8">
        <v>0.0</v>
      </c>
      <c r="I428" s="8" t="s">
        <v>28</v>
      </c>
      <c r="J428" s="8" t="s">
        <v>22</v>
      </c>
      <c r="K428" s="8" t="s">
        <v>892</v>
      </c>
      <c r="L428" s="8" t="s">
        <v>39</v>
      </c>
      <c r="M428" s="9">
        <v>0.0</v>
      </c>
      <c r="N428" s="9">
        <v>0.4</v>
      </c>
      <c r="O428" s="9">
        <f>0.324*0.4</f>
        <v>0.1296</v>
      </c>
      <c r="P428" s="10">
        <v>45128.0</v>
      </c>
      <c r="Q428" s="11">
        <v>1.925</v>
      </c>
      <c r="R428" s="8" t="s">
        <v>33</v>
      </c>
      <c r="S428" s="12">
        <f t="shared" si="1"/>
        <v>0.11988</v>
      </c>
      <c r="T428" s="12">
        <f t="shared" si="8"/>
        <v>-1.325784488</v>
      </c>
      <c r="U428" s="145"/>
    </row>
    <row r="429">
      <c r="A429" s="125"/>
      <c r="B429" s="125"/>
      <c r="C429" s="125"/>
      <c r="D429" s="15" t="s">
        <v>19</v>
      </c>
      <c r="E429" s="15" t="s">
        <v>2854</v>
      </c>
      <c r="F429" s="15" t="s">
        <v>1473</v>
      </c>
      <c r="G429" s="15" t="s">
        <v>2660</v>
      </c>
      <c r="H429" s="15">
        <v>-2.0</v>
      </c>
      <c r="I429" s="15" t="s">
        <v>28</v>
      </c>
      <c r="J429" s="15" t="s">
        <v>22</v>
      </c>
      <c r="K429" s="15" t="s">
        <v>892</v>
      </c>
      <c r="L429" s="15" t="s">
        <v>24</v>
      </c>
      <c r="M429" s="16">
        <v>0.0</v>
      </c>
      <c r="N429" s="16">
        <v>0.4</v>
      </c>
      <c r="O429" s="16">
        <v>0.4</v>
      </c>
      <c r="P429" s="17">
        <v>45128.0</v>
      </c>
      <c r="Q429" s="18">
        <v>1.85</v>
      </c>
      <c r="R429" s="15" t="s">
        <v>70</v>
      </c>
      <c r="S429" s="19">
        <f t="shared" si="1"/>
        <v>0</v>
      </c>
      <c r="T429" s="19">
        <f t="shared" si="8"/>
        <v>-1.325784488</v>
      </c>
      <c r="U429" s="144"/>
    </row>
    <row r="430">
      <c r="A430" s="129"/>
      <c r="B430" s="129"/>
      <c r="C430" s="129"/>
      <c r="D430" s="8" t="s">
        <v>19</v>
      </c>
      <c r="E430" s="8" t="s">
        <v>2855</v>
      </c>
      <c r="F430" s="8"/>
      <c r="G430" s="8"/>
      <c r="H430" s="8" t="s">
        <v>2615</v>
      </c>
      <c r="I430" s="8" t="s">
        <v>82</v>
      </c>
      <c r="J430" s="8" t="s">
        <v>22</v>
      </c>
      <c r="K430" s="8" t="s">
        <v>29</v>
      </c>
      <c r="L430" s="8" t="s">
        <v>24</v>
      </c>
      <c r="M430" s="9">
        <v>-2.5</v>
      </c>
      <c r="N430" s="9">
        <v>0.4</v>
      </c>
      <c r="O430" s="9">
        <f>0.514*0.4</f>
        <v>0.2056</v>
      </c>
      <c r="P430" s="10">
        <v>45128.0</v>
      </c>
      <c r="Q430" s="11">
        <f>295/200</f>
        <v>1.475</v>
      </c>
      <c r="R430" s="8" t="s">
        <v>33</v>
      </c>
      <c r="S430" s="12">
        <f t="shared" si="1"/>
        <v>0.09766</v>
      </c>
      <c r="T430" s="12">
        <f t="shared" si="8"/>
        <v>-1.228124488</v>
      </c>
      <c r="U430" s="145"/>
    </row>
    <row r="431">
      <c r="A431" s="125"/>
      <c r="B431" s="125"/>
      <c r="C431" s="125"/>
      <c r="D431" s="15" t="s">
        <v>19</v>
      </c>
      <c r="E431" s="15" t="s">
        <v>2856</v>
      </c>
      <c r="F431" s="15" t="s">
        <v>1473</v>
      </c>
      <c r="G431" s="15" t="s">
        <v>2556</v>
      </c>
      <c r="H431" s="15">
        <v>0.0</v>
      </c>
      <c r="I431" s="15" t="s">
        <v>2516</v>
      </c>
      <c r="J431" s="15" t="s">
        <v>22</v>
      </c>
      <c r="K431" s="15" t="s">
        <v>225</v>
      </c>
      <c r="L431" s="15" t="s">
        <v>39</v>
      </c>
      <c r="M431" s="16">
        <v>0.5</v>
      </c>
      <c r="N431" s="16">
        <v>0.8</v>
      </c>
      <c r="O431" s="16">
        <f>0.297*0.8</f>
        <v>0.2376</v>
      </c>
      <c r="P431" s="17">
        <v>45129.0</v>
      </c>
      <c r="Q431" s="18">
        <v>1.875</v>
      </c>
      <c r="R431" s="15" t="s">
        <v>33</v>
      </c>
      <c r="S431" s="19">
        <f t="shared" si="1"/>
        <v>0.2079</v>
      </c>
      <c r="T431" s="19">
        <f t="shared" si="8"/>
        <v>-1.020224488</v>
      </c>
      <c r="U431" s="144"/>
    </row>
    <row r="432">
      <c r="A432" s="129"/>
      <c r="B432" s="129"/>
      <c r="C432" s="129"/>
      <c r="D432" s="8" t="s">
        <v>19</v>
      </c>
      <c r="E432" s="8" t="s">
        <v>2857</v>
      </c>
      <c r="F432" s="8" t="s">
        <v>1479</v>
      </c>
      <c r="G432" s="8" t="s">
        <v>2660</v>
      </c>
      <c r="H432" s="8">
        <f t="shared" ref="H432:H433" si="18">1</f>
        <v>1</v>
      </c>
      <c r="I432" s="8" t="s">
        <v>28</v>
      </c>
      <c r="J432" s="8" t="s">
        <v>22</v>
      </c>
      <c r="K432" s="8" t="s">
        <v>892</v>
      </c>
      <c r="L432" s="8" t="s">
        <v>1851</v>
      </c>
      <c r="M432" s="9">
        <v>0.0</v>
      </c>
      <c r="N432" s="9">
        <v>0.8</v>
      </c>
      <c r="O432" s="9">
        <v>0.8</v>
      </c>
      <c r="P432" s="10">
        <v>45129.0</v>
      </c>
      <c r="Q432" s="11">
        <v>1.7</v>
      </c>
      <c r="R432" s="8" t="s">
        <v>70</v>
      </c>
      <c r="S432" s="12">
        <f t="shared" si="1"/>
        <v>0</v>
      </c>
      <c r="T432" s="12">
        <f t="shared" si="8"/>
        <v>-1.020224488</v>
      </c>
      <c r="U432" s="145"/>
    </row>
    <row r="433">
      <c r="A433" s="125"/>
      <c r="B433" s="125"/>
      <c r="C433" s="125"/>
      <c r="D433" s="15" t="s">
        <v>19</v>
      </c>
      <c r="E433" s="15" t="s">
        <v>2858</v>
      </c>
      <c r="F433" s="15" t="s">
        <v>1473</v>
      </c>
      <c r="G433" s="15" t="s">
        <v>2660</v>
      </c>
      <c r="H433" s="15">
        <f t="shared" si="18"/>
        <v>1</v>
      </c>
      <c r="I433" s="15" t="s">
        <v>513</v>
      </c>
      <c r="J433" s="15" t="s">
        <v>22</v>
      </c>
      <c r="K433" s="15" t="s">
        <v>892</v>
      </c>
      <c r="L433" s="15" t="s">
        <v>1851</v>
      </c>
      <c r="M433" s="16">
        <v>0.0</v>
      </c>
      <c r="N433" s="16">
        <v>0.8</v>
      </c>
      <c r="O433" s="16">
        <v>0.8</v>
      </c>
      <c r="P433" s="17">
        <v>45129.0</v>
      </c>
      <c r="Q433" s="18">
        <v>1.975</v>
      </c>
      <c r="R433" s="15" t="s">
        <v>33</v>
      </c>
      <c r="S433" s="19">
        <f t="shared" si="1"/>
        <v>0.78</v>
      </c>
      <c r="T433" s="19">
        <f t="shared" si="8"/>
        <v>-0.2402244883</v>
      </c>
      <c r="U433" s="144"/>
    </row>
    <row r="434">
      <c r="A434" s="129"/>
      <c r="B434" s="129"/>
      <c r="C434" s="129"/>
      <c r="D434" s="8" t="s">
        <v>19</v>
      </c>
      <c r="E434" s="8" t="s">
        <v>2859</v>
      </c>
      <c r="F434" s="8" t="s">
        <v>1473</v>
      </c>
      <c r="G434" s="8" t="s">
        <v>2660</v>
      </c>
      <c r="H434" s="8">
        <v>0.0</v>
      </c>
      <c r="I434" s="8" t="s">
        <v>28</v>
      </c>
      <c r="J434" s="8" t="s">
        <v>22</v>
      </c>
      <c r="K434" s="8" t="s">
        <v>941</v>
      </c>
      <c r="L434" s="8" t="s">
        <v>24</v>
      </c>
      <c r="M434" s="9">
        <v>0.0</v>
      </c>
      <c r="N434" s="9">
        <v>0.8</v>
      </c>
      <c r="O434" s="9">
        <v>0.8</v>
      </c>
      <c r="P434" s="10">
        <v>45129.0</v>
      </c>
      <c r="Q434" s="11">
        <v>2.0</v>
      </c>
      <c r="R434" s="8" t="s">
        <v>25</v>
      </c>
      <c r="S434" s="12">
        <f t="shared" si="1"/>
        <v>-0.8</v>
      </c>
      <c r="T434" s="12">
        <f t="shared" si="8"/>
        <v>-1.040224488</v>
      </c>
      <c r="U434" s="145"/>
    </row>
    <row r="435">
      <c r="A435" s="125"/>
      <c r="B435" s="125"/>
      <c r="C435" s="125"/>
      <c r="D435" s="15" t="s">
        <v>19</v>
      </c>
      <c r="E435" s="15" t="s">
        <v>2860</v>
      </c>
      <c r="F435" s="15" t="s">
        <v>1473</v>
      </c>
      <c r="G435" s="15" t="s">
        <v>2556</v>
      </c>
      <c r="H435" s="15">
        <f>1</f>
        <v>1</v>
      </c>
      <c r="I435" s="15" t="s">
        <v>82</v>
      </c>
      <c r="J435" s="15" t="s">
        <v>22</v>
      </c>
      <c r="K435" s="15" t="s">
        <v>225</v>
      </c>
      <c r="L435" s="15" t="s">
        <v>1522</v>
      </c>
      <c r="M435" s="16">
        <v>1.0</v>
      </c>
      <c r="N435" s="16">
        <v>0.8</v>
      </c>
      <c r="O435" s="16">
        <f>0.73*0.8</f>
        <v>0.584</v>
      </c>
      <c r="P435" s="17">
        <v>45129.0</v>
      </c>
      <c r="Q435" s="18">
        <v>1.825</v>
      </c>
      <c r="R435" s="15" t="s">
        <v>70</v>
      </c>
      <c r="S435" s="19">
        <f t="shared" si="1"/>
        <v>0</v>
      </c>
      <c r="T435" s="19">
        <f t="shared" si="8"/>
        <v>-1.040224488</v>
      </c>
      <c r="U435" s="144"/>
    </row>
    <row r="436">
      <c r="A436" s="129"/>
      <c r="B436" s="129"/>
      <c r="C436" s="129"/>
      <c r="D436" s="8" t="s">
        <v>19</v>
      </c>
      <c r="E436" s="8" t="s">
        <v>2861</v>
      </c>
      <c r="F436" s="8" t="s">
        <v>1473</v>
      </c>
      <c r="G436" s="8" t="s">
        <v>2556</v>
      </c>
      <c r="H436" s="8">
        <v>0.0</v>
      </c>
      <c r="I436" s="8" t="s">
        <v>58</v>
      </c>
      <c r="J436" s="8" t="s">
        <v>22</v>
      </c>
      <c r="K436" s="8" t="s">
        <v>225</v>
      </c>
      <c r="L436" s="8" t="s">
        <v>1851</v>
      </c>
      <c r="M436" s="9">
        <v>0.25</v>
      </c>
      <c r="N436" s="9">
        <v>0.8</v>
      </c>
      <c r="O436" s="9">
        <v>0.8</v>
      </c>
      <c r="P436" s="10">
        <v>45129.0</v>
      </c>
      <c r="Q436" s="11">
        <v>1.875</v>
      </c>
      <c r="R436" s="8" t="s">
        <v>33</v>
      </c>
      <c r="S436" s="12">
        <f t="shared" si="1"/>
        <v>0.7</v>
      </c>
      <c r="T436" s="12">
        <f t="shared" si="8"/>
        <v>-0.3402244883</v>
      </c>
      <c r="U436" s="145"/>
    </row>
    <row r="437">
      <c r="A437" s="125"/>
      <c r="B437" s="125"/>
      <c r="C437" s="125"/>
      <c r="D437" s="15" t="s">
        <v>40</v>
      </c>
      <c r="E437" s="15" t="s">
        <v>2862</v>
      </c>
      <c r="F437" s="15" t="s">
        <v>1473</v>
      </c>
      <c r="G437" s="15" t="s">
        <v>2660</v>
      </c>
      <c r="H437" s="15">
        <v>0.0</v>
      </c>
      <c r="I437" s="15" t="s">
        <v>513</v>
      </c>
      <c r="J437" s="15" t="s">
        <v>22</v>
      </c>
      <c r="K437" s="15" t="s">
        <v>892</v>
      </c>
      <c r="L437" s="15" t="s">
        <v>24</v>
      </c>
      <c r="M437" s="16">
        <v>0.0</v>
      </c>
      <c r="N437" s="16">
        <v>0.4</v>
      </c>
      <c r="O437" s="16">
        <v>0.4</v>
      </c>
      <c r="P437" s="17">
        <v>45129.0</v>
      </c>
      <c r="Q437" s="18">
        <v>2.3</v>
      </c>
      <c r="R437" s="15" t="s">
        <v>70</v>
      </c>
      <c r="S437" s="19">
        <f t="shared" si="1"/>
        <v>0</v>
      </c>
      <c r="T437" s="19">
        <f t="shared" si="8"/>
        <v>-0.3402244883</v>
      </c>
      <c r="U437" s="144"/>
    </row>
    <row r="438">
      <c r="A438" s="129"/>
      <c r="B438" s="129"/>
      <c r="C438" s="129"/>
      <c r="D438" s="8" t="s">
        <v>19</v>
      </c>
      <c r="E438" s="8" t="s">
        <v>2863</v>
      </c>
      <c r="F438" s="8" t="s">
        <v>1479</v>
      </c>
      <c r="G438" s="8" t="s">
        <v>2556</v>
      </c>
      <c r="H438" s="8">
        <v>0.0</v>
      </c>
      <c r="I438" s="8" t="s">
        <v>1006</v>
      </c>
      <c r="J438" s="8" t="s">
        <v>22</v>
      </c>
      <c r="K438" s="8" t="s">
        <v>1023</v>
      </c>
      <c r="L438" s="8" t="s">
        <v>24</v>
      </c>
      <c r="M438" s="9">
        <v>0.5</v>
      </c>
      <c r="N438" s="9">
        <v>0.4</v>
      </c>
      <c r="O438" s="9">
        <f>0.432*0.4</f>
        <v>0.1728</v>
      </c>
      <c r="P438" s="10">
        <v>45129.0</v>
      </c>
      <c r="Q438" s="11">
        <v>1.72</v>
      </c>
      <c r="R438" s="8" t="s">
        <v>25</v>
      </c>
      <c r="S438" s="12">
        <f t="shared" si="1"/>
        <v>-0.1728</v>
      </c>
      <c r="T438" s="12">
        <f t="shared" si="8"/>
        <v>-0.5130244883</v>
      </c>
      <c r="U438" s="145"/>
    </row>
    <row r="439">
      <c r="A439" s="125"/>
      <c r="B439" s="125"/>
      <c r="C439" s="125"/>
      <c r="D439" s="15" t="s">
        <v>19</v>
      </c>
      <c r="E439" s="15" t="s">
        <v>2864</v>
      </c>
      <c r="F439" s="15" t="s">
        <v>1479</v>
      </c>
      <c r="G439" s="15" t="s">
        <v>2556</v>
      </c>
      <c r="H439" s="15">
        <v>-1.0</v>
      </c>
      <c r="I439" s="15" t="s">
        <v>28</v>
      </c>
      <c r="J439" s="15" t="s">
        <v>22</v>
      </c>
      <c r="K439" s="15" t="s">
        <v>225</v>
      </c>
      <c r="L439" s="15" t="s">
        <v>24</v>
      </c>
      <c r="M439" s="16">
        <v>0.5</v>
      </c>
      <c r="N439" s="16">
        <v>0.8</v>
      </c>
      <c r="O439" s="16">
        <f>0.676*0.8</f>
        <v>0.5408</v>
      </c>
      <c r="P439" s="17">
        <v>45129.0</v>
      </c>
      <c r="Q439" s="18">
        <v>1.85</v>
      </c>
      <c r="R439" s="15" t="s">
        <v>25</v>
      </c>
      <c r="S439" s="19">
        <f t="shared" si="1"/>
        <v>-0.5408</v>
      </c>
      <c r="T439" s="19">
        <f t="shared" si="8"/>
        <v>-1.053824488</v>
      </c>
      <c r="U439" s="144"/>
    </row>
    <row r="440">
      <c r="A440" s="129"/>
      <c r="B440" s="129"/>
      <c r="C440" s="129"/>
      <c r="D440" s="8" t="s">
        <v>19</v>
      </c>
      <c r="E440" s="8" t="s">
        <v>2865</v>
      </c>
      <c r="F440" s="8" t="s">
        <v>1479</v>
      </c>
      <c r="G440" s="8" t="s">
        <v>2556</v>
      </c>
      <c r="H440" s="8">
        <f>1</f>
        <v>1</v>
      </c>
      <c r="I440" s="8" t="s">
        <v>316</v>
      </c>
      <c r="J440" s="8" t="s">
        <v>22</v>
      </c>
      <c r="K440" s="8" t="s">
        <v>225</v>
      </c>
      <c r="L440" s="8" t="s">
        <v>24</v>
      </c>
      <c r="M440" s="9">
        <v>0.25</v>
      </c>
      <c r="N440" s="9">
        <v>0.8</v>
      </c>
      <c r="O440" s="9">
        <f>0.27*0.8</f>
        <v>0.216</v>
      </c>
      <c r="P440" s="10">
        <v>45129.0</v>
      </c>
      <c r="Q440" s="11">
        <v>1.08</v>
      </c>
      <c r="R440" s="8" t="s">
        <v>33</v>
      </c>
      <c r="S440" s="12">
        <f t="shared" si="1"/>
        <v>0.01728</v>
      </c>
      <c r="T440" s="12">
        <f t="shared" si="8"/>
        <v>-1.036544488</v>
      </c>
      <c r="U440" s="145"/>
    </row>
    <row r="441">
      <c r="A441" s="125"/>
      <c r="B441" s="125"/>
      <c r="C441" s="125"/>
      <c r="D441" s="15" t="s">
        <v>19</v>
      </c>
      <c r="E441" s="15" t="s">
        <v>2866</v>
      </c>
      <c r="F441" s="15" t="s">
        <v>1473</v>
      </c>
      <c r="G441" s="15" t="s">
        <v>2556</v>
      </c>
      <c r="H441" s="15">
        <v>0.0</v>
      </c>
      <c r="I441" s="15" t="s">
        <v>432</v>
      </c>
      <c r="J441" s="15" t="s">
        <v>22</v>
      </c>
      <c r="K441" s="15" t="s">
        <v>941</v>
      </c>
      <c r="L441" s="15" t="s">
        <v>1851</v>
      </c>
      <c r="M441" s="16">
        <v>0.0</v>
      </c>
      <c r="N441" s="16">
        <v>0.8</v>
      </c>
      <c r="O441" s="16">
        <v>0.8</v>
      </c>
      <c r="P441" s="17">
        <v>45129.0</v>
      </c>
      <c r="Q441" s="18">
        <v>2.2</v>
      </c>
      <c r="R441" s="15" t="s">
        <v>70</v>
      </c>
      <c r="S441" s="19">
        <f t="shared" si="1"/>
        <v>0</v>
      </c>
      <c r="T441" s="19">
        <f t="shared" si="8"/>
        <v>-1.036544488</v>
      </c>
      <c r="U441" s="144"/>
    </row>
    <row r="442">
      <c r="A442" s="129"/>
      <c r="B442" s="129"/>
      <c r="C442" s="129"/>
      <c r="D442" s="8" t="s">
        <v>19</v>
      </c>
      <c r="E442" s="8" t="s">
        <v>2867</v>
      </c>
      <c r="F442" s="8"/>
      <c r="G442" s="8"/>
      <c r="H442" s="8" t="s">
        <v>2868</v>
      </c>
      <c r="I442" s="8" t="s">
        <v>316</v>
      </c>
      <c r="J442" s="8" t="s">
        <v>22</v>
      </c>
      <c r="K442" s="8" t="s">
        <v>29</v>
      </c>
      <c r="L442" s="8" t="s">
        <v>24</v>
      </c>
      <c r="M442" s="9">
        <v>-9.5</v>
      </c>
      <c r="N442" s="9">
        <v>0.4</v>
      </c>
      <c r="O442" s="9">
        <f>0.486*0.4</f>
        <v>0.1944</v>
      </c>
      <c r="P442" s="10">
        <v>45129.0</v>
      </c>
      <c r="Q442" s="11">
        <v>1.72</v>
      </c>
      <c r="R442" s="8" t="s">
        <v>33</v>
      </c>
      <c r="S442" s="12">
        <f t="shared" si="1"/>
        <v>0.139968</v>
      </c>
      <c r="T442" s="12">
        <f t="shared" si="8"/>
        <v>-0.8965764883</v>
      </c>
      <c r="U442" s="145"/>
    </row>
    <row r="443">
      <c r="A443" s="125"/>
      <c r="B443" s="125"/>
      <c r="C443" s="125"/>
      <c r="D443" s="15" t="s">
        <v>19</v>
      </c>
      <c r="E443" s="15" t="s">
        <v>2869</v>
      </c>
      <c r="F443" s="15"/>
      <c r="G443" s="15"/>
      <c r="H443" s="15" t="s">
        <v>2608</v>
      </c>
      <c r="I443" s="15" t="s">
        <v>82</v>
      </c>
      <c r="J443" s="15" t="s">
        <v>22</v>
      </c>
      <c r="K443" s="15" t="s">
        <v>440</v>
      </c>
      <c r="L443" s="15" t="s">
        <v>39</v>
      </c>
      <c r="M443" s="16">
        <v>2.5</v>
      </c>
      <c r="N443" s="16">
        <v>0.4</v>
      </c>
      <c r="O443" s="16">
        <v>0.4</v>
      </c>
      <c r="P443" s="17">
        <v>45129.0</v>
      </c>
      <c r="Q443" s="18">
        <v>1.72</v>
      </c>
      <c r="R443" s="15" t="s">
        <v>25</v>
      </c>
      <c r="S443" s="19">
        <f t="shared" si="1"/>
        <v>-0.4</v>
      </c>
      <c r="T443" s="19">
        <f t="shared" si="8"/>
        <v>-1.296576488</v>
      </c>
      <c r="U443" s="144"/>
    </row>
    <row r="444">
      <c r="A444" s="129"/>
      <c r="B444" s="129"/>
      <c r="C444" s="129"/>
      <c r="D444" s="8" t="s">
        <v>19</v>
      </c>
      <c r="E444" s="8" t="s">
        <v>2870</v>
      </c>
      <c r="F444" s="8" t="s">
        <v>1473</v>
      </c>
      <c r="G444" s="8" t="s">
        <v>2660</v>
      </c>
      <c r="H444" s="8">
        <v>0.0</v>
      </c>
      <c r="I444" s="8" t="s">
        <v>82</v>
      </c>
      <c r="J444" s="8" t="s">
        <v>22</v>
      </c>
      <c r="K444" s="8" t="s">
        <v>892</v>
      </c>
      <c r="L444" s="8" t="s">
        <v>39</v>
      </c>
      <c r="M444" s="9">
        <v>0.0</v>
      </c>
      <c r="N444" s="9">
        <v>0.8</v>
      </c>
      <c r="O444" s="9">
        <v>0.8</v>
      </c>
      <c r="P444" s="10">
        <v>45129.0</v>
      </c>
      <c r="Q444" s="11">
        <v>1.8</v>
      </c>
      <c r="R444" s="8" t="s">
        <v>25</v>
      </c>
      <c r="S444" s="12">
        <f t="shared" si="1"/>
        <v>-0.8</v>
      </c>
      <c r="T444" s="12">
        <f t="shared" si="8"/>
        <v>-2.096576488</v>
      </c>
      <c r="U444" s="145"/>
    </row>
    <row r="445">
      <c r="A445" s="125"/>
      <c r="B445" s="125"/>
      <c r="C445" s="125"/>
      <c r="D445" s="15" t="s">
        <v>19</v>
      </c>
      <c r="E445" s="15" t="s">
        <v>2871</v>
      </c>
      <c r="F445" s="15" t="s">
        <v>1473</v>
      </c>
      <c r="G445" s="15" t="s">
        <v>2573</v>
      </c>
      <c r="H445" s="15">
        <f t="shared" ref="H445:H446" si="19">1</f>
        <v>1</v>
      </c>
      <c r="I445" s="15" t="s">
        <v>28</v>
      </c>
      <c r="J445" s="15" t="s">
        <v>22</v>
      </c>
      <c r="K445" s="15" t="s">
        <v>894</v>
      </c>
      <c r="L445" s="15" t="s">
        <v>39</v>
      </c>
      <c r="M445" s="16">
        <v>-0.75</v>
      </c>
      <c r="N445" s="16">
        <v>0.4</v>
      </c>
      <c r="O445" s="16">
        <f>0.842*0.4</f>
        <v>0.3368</v>
      </c>
      <c r="P445" s="17">
        <v>45130.0</v>
      </c>
      <c r="Q445" s="18">
        <v>1.925</v>
      </c>
      <c r="R445" s="15" t="s">
        <v>30</v>
      </c>
      <c r="S445" s="19">
        <f t="shared" si="1"/>
        <v>0.15577</v>
      </c>
      <c r="T445" s="19">
        <f t="shared" si="8"/>
        <v>-1.940806488</v>
      </c>
      <c r="U445" s="144"/>
    </row>
    <row r="446">
      <c r="A446" s="129"/>
      <c r="B446" s="129"/>
      <c r="C446" s="129"/>
      <c r="D446" s="8" t="s">
        <v>19</v>
      </c>
      <c r="E446" s="8" t="s">
        <v>2872</v>
      </c>
      <c r="F446" s="8" t="s">
        <v>1473</v>
      </c>
      <c r="G446" s="8" t="s">
        <v>2556</v>
      </c>
      <c r="H446" s="8">
        <f t="shared" si="19"/>
        <v>1</v>
      </c>
      <c r="I446" s="8" t="s">
        <v>2873</v>
      </c>
      <c r="J446" s="8" t="s">
        <v>22</v>
      </c>
      <c r="K446" s="8" t="s">
        <v>225</v>
      </c>
      <c r="L446" s="8" t="s">
        <v>24</v>
      </c>
      <c r="M446" s="9">
        <v>1.25</v>
      </c>
      <c r="N446" s="9">
        <f t="shared" ref="N446:O446" si="20">15/500</f>
        <v>0.03</v>
      </c>
      <c r="O446" s="9">
        <f t="shared" si="20"/>
        <v>0.03</v>
      </c>
      <c r="P446" s="10">
        <v>45130.0</v>
      </c>
      <c r="Q446" s="11">
        <v>1.75</v>
      </c>
      <c r="R446" s="8" t="s">
        <v>25</v>
      </c>
      <c r="S446" s="12">
        <f t="shared" si="1"/>
        <v>-0.03</v>
      </c>
      <c r="T446" s="12">
        <f t="shared" si="8"/>
        <v>-1.970806488</v>
      </c>
      <c r="U446" s="145"/>
    </row>
    <row r="447">
      <c r="A447" s="125"/>
      <c r="B447" s="125"/>
      <c r="C447" s="125"/>
      <c r="D447" s="15" t="s">
        <v>19</v>
      </c>
      <c r="E447" s="15" t="s">
        <v>2874</v>
      </c>
      <c r="F447" s="15" t="s">
        <v>1473</v>
      </c>
      <c r="G447" s="15" t="s">
        <v>2556</v>
      </c>
      <c r="H447" s="15">
        <v>0.0</v>
      </c>
      <c r="I447" s="15" t="s">
        <v>1006</v>
      </c>
      <c r="J447" s="15" t="s">
        <v>22</v>
      </c>
      <c r="K447" s="15" t="s">
        <v>225</v>
      </c>
      <c r="L447" s="15" t="s">
        <v>24</v>
      </c>
      <c r="M447" s="16">
        <v>0.5</v>
      </c>
      <c r="N447" s="16">
        <v>0.8</v>
      </c>
      <c r="O447" s="16">
        <f>0.526*0.8</f>
        <v>0.4208</v>
      </c>
      <c r="P447" s="17">
        <v>45130.0</v>
      </c>
      <c r="Q447" s="18">
        <f>640/400</f>
        <v>1.6</v>
      </c>
      <c r="R447" s="15" t="s">
        <v>33</v>
      </c>
      <c r="S447" s="19">
        <f t="shared" si="1"/>
        <v>0.25248</v>
      </c>
      <c r="T447" s="19">
        <f t="shared" si="8"/>
        <v>-1.718326488</v>
      </c>
      <c r="U447" s="144"/>
    </row>
    <row r="448">
      <c r="A448" s="129"/>
      <c r="B448" s="129"/>
      <c r="C448" s="129"/>
      <c r="D448" s="8" t="s">
        <v>19</v>
      </c>
      <c r="E448" s="8" t="s">
        <v>2875</v>
      </c>
      <c r="F448" s="8"/>
      <c r="G448" s="8"/>
      <c r="H448" s="8" t="s">
        <v>2613</v>
      </c>
      <c r="I448" s="8" t="s">
        <v>82</v>
      </c>
      <c r="J448" s="8" t="s">
        <v>598</v>
      </c>
      <c r="K448" s="8" t="s">
        <v>2415</v>
      </c>
      <c r="L448" s="8" t="s">
        <v>1522</v>
      </c>
      <c r="M448" s="9">
        <v>4.0</v>
      </c>
      <c r="N448" s="9">
        <v>0.4</v>
      </c>
      <c r="O448" s="9">
        <f>0.342*0.4</f>
        <v>0.1368</v>
      </c>
      <c r="P448" s="10">
        <v>45130.0</v>
      </c>
      <c r="Q448" s="11">
        <v>1.9</v>
      </c>
      <c r="R448" s="8" t="s">
        <v>25</v>
      </c>
      <c r="S448" s="12">
        <f t="shared" si="1"/>
        <v>-0.1368</v>
      </c>
      <c r="T448" s="12">
        <f t="shared" si="8"/>
        <v>-1.855126488</v>
      </c>
      <c r="U448" s="145"/>
    </row>
    <row r="449">
      <c r="A449" s="58"/>
      <c r="B449" s="58"/>
      <c r="C449" s="58"/>
      <c r="D449" s="15" t="s">
        <v>19</v>
      </c>
      <c r="E449" s="15" t="s">
        <v>2876</v>
      </c>
      <c r="F449" s="15"/>
      <c r="G449" s="15"/>
      <c r="H449" s="15" t="s">
        <v>2613</v>
      </c>
      <c r="I449" s="15" t="s">
        <v>82</v>
      </c>
      <c r="J449" s="15" t="s">
        <v>598</v>
      </c>
      <c r="K449" s="15" t="s">
        <v>892</v>
      </c>
      <c r="L449" s="15" t="s">
        <v>39</v>
      </c>
      <c r="M449" s="16">
        <v>0.0</v>
      </c>
      <c r="N449" s="16">
        <v>0.4</v>
      </c>
      <c r="O449" s="16">
        <v>0.4</v>
      </c>
      <c r="P449" s="17">
        <v>45130.0</v>
      </c>
      <c r="Q449" s="18">
        <v>1.83</v>
      </c>
      <c r="R449" s="15" t="s">
        <v>70</v>
      </c>
      <c r="S449" s="19">
        <f t="shared" si="1"/>
        <v>0</v>
      </c>
      <c r="T449" s="19">
        <f t="shared" si="8"/>
        <v>-1.855126488</v>
      </c>
      <c r="U449" s="144"/>
    </row>
    <row r="450">
      <c r="A450" s="59"/>
      <c r="B450" s="59"/>
      <c r="C450" s="59"/>
      <c r="D450" s="8" t="s">
        <v>19</v>
      </c>
      <c r="E450" s="8" t="s">
        <v>2877</v>
      </c>
      <c r="F450" s="8" t="s">
        <v>1473</v>
      </c>
      <c r="G450" s="8" t="s">
        <v>2556</v>
      </c>
      <c r="H450" s="8">
        <v>0.0</v>
      </c>
      <c r="I450" s="8" t="s">
        <v>82</v>
      </c>
      <c r="J450" s="8" t="s">
        <v>22</v>
      </c>
      <c r="K450" s="8" t="s">
        <v>225</v>
      </c>
      <c r="L450" s="8" t="s">
        <v>1522</v>
      </c>
      <c r="M450" s="9">
        <v>0.75</v>
      </c>
      <c r="N450" s="9">
        <v>0.4</v>
      </c>
      <c r="O450" s="9">
        <v>0.4</v>
      </c>
      <c r="P450" s="10">
        <v>45130.0</v>
      </c>
      <c r="Q450" s="11">
        <f>335/200</f>
        <v>1.675</v>
      </c>
      <c r="R450" s="8" t="s">
        <v>33</v>
      </c>
      <c r="S450" s="12">
        <f t="shared" si="1"/>
        <v>0.27</v>
      </c>
      <c r="T450" s="12">
        <f t="shared" si="8"/>
        <v>-1.585126488</v>
      </c>
      <c r="U450" s="145"/>
    </row>
    <row r="451">
      <c r="A451" s="58"/>
      <c r="B451" s="58"/>
      <c r="C451" s="58"/>
      <c r="D451" s="15" t="s">
        <v>19</v>
      </c>
      <c r="E451" s="147" t="s">
        <v>2876</v>
      </c>
      <c r="F451" s="139"/>
      <c r="G451" s="139"/>
      <c r="H451" s="139" t="s">
        <v>2613</v>
      </c>
      <c r="I451" s="15" t="s">
        <v>82</v>
      </c>
      <c r="J451" s="15" t="s">
        <v>598</v>
      </c>
      <c r="K451" s="15" t="s">
        <v>892</v>
      </c>
      <c r="L451" s="15" t="s">
        <v>39</v>
      </c>
      <c r="M451" s="16">
        <v>0.0</v>
      </c>
      <c r="N451" s="16">
        <v>0.4</v>
      </c>
      <c r="O451" s="16">
        <f>0.868*0.4</f>
        <v>0.3472</v>
      </c>
      <c r="P451" s="17">
        <v>45130.0</v>
      </c>
      <c r="Q451" s="18">
        <v>1.78</v>
      </c>
      <c r="R451" s="15" t="s">
        <v>70</v>
      </c>
      <c r="S451" s="19">
        <f t="shared" si="1"/>
        <v>0</v>
      </c>
      <c r="T451" s="19">
        <f t="shared" si="8"/>
        <v>-1.585126488</v>
      </c>
      <c r="U451" s="144"/>
    </row>
    <row r="452">
      <c r="A452" s="59"/>
      <c r="B452" s="59"/>
      <c r="C452" s="59"/>
      <c r="D452" s="8" t="s">
        <v>19</v>
      </c>
      <c r="E452" s="8" t="s">
        <v>2878</v>
      </c>
      <c r="F452" s="8" t="s">
        <v>1479</v>
      </c>
      <c r="G452" s="8" t="s">
        <v>2660</v>
      </c>
      <c r="H452" s="8">
        <v>0.0</v>
      </c>
      <c r="I452" s="8" t="s">
        <v>28</v>
      </c>
      <c r="J452" s="8" t="s">
        <v>22</v>
      </c>
      <c r="K452" s="8" t="s">
        <v>892</v>
      </c>
      <c r="L452" s="8" t="s">
        <v>1851</v>
      </c>
      <c r="M452" s="9">
        <v>0.0</v>
      </c>
      <c r="N452" s="9">
        <v>0.4</v>
      </c>
      <c r="O452" s="9">
        <v>0.4</v>
      </c>
      <c r="P452" s="10">
        <v>45130.0</v>
      </c>
      <c r="Q452" s="11">
        <v>1.7</v>
      </c>
      <c r="R452" s="8" t="s">
        <v>70</v>
      </c>
      <c r="S452" s="12">
        <f t="shared" si="1"/>
        <v>0</v>
      </c>
      <c r="T452" s="12">
        <f t="shared" si="8"/>
        <v>-1.585126488</v>
      </c>
      <c r="U452" s="145"/>
    </row>
    <row r="453">
      <c r="A453" s="58"/>
      <c r="B453" s="58"/>
      <c r="C453" s="58"/>
      <c r="D453" s="15" t="s">
        <v>40</v>
      </c>
      <c r="E453" s="15" t="s">
        <v>2879</v>
      </c>
      <c r="F453" s="15"/>
      <c r="G453" s="15"/>
      <c r="H453" s="15" t="s">
        <v>2615</v>
      </c>
      <c r="I453" s="15" t="s">
        <v>1085</v>
      </c>
      <c r="J453" s="15" t="s">
        <v>22</v>
      </c>
      <c r="K453" s="15" t="s">
        <v>29</v>
      </c>
      <c r="L453" s="15" t="s">
        <v>39</v>
      </c>
      <c r="M453" s="16">
        <v>-4.25</v>
      </c>
      <c r="N453" s="16">
        <v>0.4</v>
      </c>
      <c r="O453" s="16">
        <v>0.4</v>
      </c>
      <c r="P453" s="17">
        <v>45130.0</v>
      </c>
      <c r="Q453" s="18">
        <f>229.31/200</f>
        <v>1.14655</v>
      </c>
      <c r="R453" s="15" t="s">
        <v>33</v>
      </c>
      <c r="S453" s="19">
        <f t="shared" si="1"/>
        <v>0.05862</v>
      </c>
      <c r="T453" s="19">
        <f t="shared" si="8"/>
        <v>-1.526506488</v>
      </c>
      <c r="U453" s="144"/>
    </row>
    <row r="454">
      <c r="A454" s="59"/>
      <c r="B454" s="59"/>
      <c r="C454" s="59"/>
      <c r="D454" s="8" t="s">
        <v>19</v>
      </c>
      <c r="E454" s="8" t="s">
        <v>2880</v>
      </c>
      <c r="F454" s="8"/>
      <c r="G454" s="8"/>
      <c r="H454" s="8" t="s">
        <v>2613</v>
      </c>
      <c r="I454" s="8" t="s">
        <v>82</v>
      </c>
      <c r="J454" s="8" t="s">
        <v>598</v>
      </c>
      <c r="K454" s="8" t="s">
        <v>225</v>
      </c>
      <c r="L454" s="8" t="s">
        <v>39</v>
      </c>
      <c r="M454" s="9">
        <v>0.75</v>
      </c>
      <c r="N454" s="9">
        <v>0.4</v>
      </c>
      <c r="O454" s="9">
        <v>0.4</v>
      </c>
      <c r="P454" s="10">
        <v>45130.0</v>
      </c>
      <c r="Q454" s="11">
        <v>1.8</v>
      </c>
      <c r="R454" s="8" t="s">
        <v>33</v>
      </c>
      <c r="S454" s="12">
        <f t="shared" si="1"/>
        <v>0.32</v>
      </c>
      <c r="T454" s="12">
        <f t="shared" si="8"/>
        <v>-1.206506488</v>
      </c>
      <c r="U454" s="145"/>
    </row>
    <row r="455">
      <c r="A455" s="58"/>
      <c r="B455" s="58"/>
      <c r="C455" s="58"/>
      <c r="D455" s="15" t="s">
        <v>19</v>
      </c>
      <c r="E455" s="15" t="s">
        <v>2881</v>
      </c>
      <c r="F455" s="15" t="s">
        <v>1473</v>
      </c>
      <c r="G455" s="15" t="s">
        <v>2660</v>
      </c>
      <c r="H455" s="15">
        <v>-1.0</v>
      </c>
      <c r="I455" s="15" t="s">
        <v>28</v>
      </c>
      <c r="J455" s="15" t="s">
        <v>22</v>
      </c>
      <c r="K455" s="15" t="s">
        <v>892</v>
      </c>
      <c r="L455" s="15" t="s">
        <v>24</v>
      </c>
      <c r="M455" s="16">
        <v>0.0</v>
      </c>
      <c r="N455" s="16">
        <v>0.4</v>
      </c>
      <c r="O455" s="16">
        <v>0.4</v>
      </c>
      <c r="P455" s="17">
        <v>45130.0</v>
      </c>
      <c r="Q455" s="18">
        <v>1.8</v>
      </c>
      <c r="R455" s="15" t="s">
        <v>33</v>
      </c>
      <c r="S455" s="19">
        <f t="shared" si="1"/>
        <v>0.32</v>
      </c>
      <c r="T455" s="19">
        <f t="shared" si="8"/>
        <v>-0.8865064883</v>
      </c>
      <c r="U455" s="144"/>
    </row>
    <row r="456">
      <c r="A456" s="59"/>
      <c r="B456" s="59"/>
      <c r="C456" s="59"/>
      <c r="D456" s="8" t="s">
        <v>19</v>
      </c>
      <c r="E456" s="8" t="s">
        <v>2882</v>
      </c>
      <c r="F456" s="8" t="s">
        <v>1473</v>
      </c>
      <c r="G456" s="8" t="s">
        <v>2556</v>
      </c>
      <c r="H456" s="8">
        <v>0.0</v>
      </c>
      <c r="I456" s="8" t="s">
        <v>82</v>
      </c>
      <c r="J456" s="8" t="s">
        <v>22</v>
      </c>
      <c r="K456" s="8" t="s">
        <v>225</v>
      </c>
      <c r="L456" s="8" t="s">
        <v>1522</v>
      </c>
      <c r="M456" s="9">
        <v>1.0</v>
      </c>
      <c r="N456" s="9">
        <v>0.4</v>
      </c>
      <c r="O456" s="9">
        <v>0.4</v>
      </c>
      <c r="P456" s="10">
        <v>45130.0</v>
      </c>
      <c r="Q456" s="11">
        <v>1.85</v>
      </c>
      <c r="R456" s="8" t="s">
        <v>25</v>
      </c>
      <c r="S456" s="12">
        <f t="shared" si="1"/>
        <v>-0.4</v>
      </c>
      <c r="T456" s="12">
        <f t="shared" si="8"/>
        <v>-1.286506488</v>
      </c>
      <c r="U456" s="145"/>
    </row>
    <row r="457">
      <c r="A457" s="58"/>
      <c r="B457" s="58"/>
      <c r="C457" s="58"/>
      <c r="D457" s="15" t="s">
        <v>19</v>
      </c>
      <c r="E457" s="15" t="s">
        <v>2883</v>
      </c>
      <c r="F457" s="15" t="s">
        <v>1479</v>
      </c>
      <c r="G457" s="15" t="s">
        <v>2556</v>
      </c>
      <c r="H457" s="15">
        <v>0.0</v>
      </c>
      <c r="I457" s="15" t="s">
        <v>82</v>
      </c>
      <c r="J457" s="15" t="s">
        <v>22</v>
      </c>
      <c r="K457" s="15" t="s">
        <v>225</v>
      </c>
      <c r="L457" s="15" t="s">
        <v>1522</v>
      </c>
      <c r="M457" s="16">
        <v>0.5</v>
      </c>
      <c r="N457" s="16">
        <f t="shared" ref="N457:O457" si="21">17/500*31/40</f>
        <v>0.02635</v>
      </c>
      <c r="O457" s="16">
        <f t="shared" si="21"/>
        <v>0.02635</v>
      </c>
      <c r="P457" s="17">
        <v>45130.0</v>
      </c>
      <c r="Q457" s="18">
        <v>1.75</v>
      </c>
      <c r="R457" s="15" t="s">
        <v>25</v>
      </c>
      <c r="S457" s="19">
        <f t="shared" si="1"/>
        <v>-0.02635</v>
      </c>
      <c r="T457" s="19">
        <f t="shared" si="8"/>
        <v>-1.312856488</v>
      </c>
      <c r="U457" s="144"/>
    </row>
    <row r="458">
      <c r="A458" s="59"/>
      <c r="B458" s="59"/>
      <c r="C458" s="59"/>
      <c r="D458" s="8" t="s">
        <v>19</v>
      </c>
      <c r="E458" s="8" t="s">
        <v>2884</v>
      </c>
      <c r="F458" s="8" t="s">
        <v>1479</v>
      </c>
      <c r="G458" s="8" t="s">
        <v>2660</v>
      </c>
      <c r="H458" s="8">
        <v>2</v>
      </c>
      <c r="I458" s="8" t="s">
        <v>319</v>
      </c>
      <c r="J458" s="8" t="s">
        <v>22</v>
      </c>
      <c r="K458" s="8" t="s">
        <v>892</v>
      </c>
      <c r="L458" s="8" t="s">
        <v>39</v>
      </c>
      <c r="M458" s="9">
        <v>0.0</v>
      </c>
      <c r="N458" s="9">
        <v>0.4</v>
      </c>
      <c r="O458" s="9">
        <v>0.4</v>
      </c>
      <c r="P458" s="10">
        <v>45132.0</v>
      </c>
      <c r="Q458" s="11">
        <v>1.41</v>
      </c>
      <c r="R458" s="8" t="s">
        <v>33</v>
      </c>
      <c r="S458" s="12">
        <f t="shared" si="1"/>
        <v>0.164</v>
      </c>
      <c r="T458" s="12">
        <f t="shared" si="8"/>
        <v>-1.148856488</v>
      </c>
      <c r="U458" s="145"/>
    </row>
    <row r="459">
      <c r="A459" s="58"/>
      <c r="B459" s="58"/>
      <c r="C459" s="58"/>
      <c r="D459" s="15" t="s">
        <v>19</v>
      </c>
      <c r="E459" s="15" t="s">
        <v>2885</v>
      </c>
      <c r="F459" s="15" t="s">
        <v>1479</v>
      </c>
      <c r="G459" s="15" t="s">
        <v>2556</v>
      </c>
      <c r="H459" s="15">
        <v>0.0</v>
      </c>
      <c r="I459" s="15" t="s">
        <v>28</v>
      </c>
      <c r="J459" s="15" t="s">
        <v>22</v>
      </c>
      <c r="K459" s="15" t="s">
        <v>225</v>
      </c>
      <c r="L459" s="15" t="s">
        <v>2688</v>
      </c>
      <c r="M459" s="16">
        <v>3.0</v>
      </c>
      <c r="N459" s="16">
        <v>0.15</v>
      </c>
      <c r="O459" s="16">
        <v>0.15</v>
      </c>
      <c r="P459" s="17">
        <v>45133.0</v>
      </c>
      <c r="Q459" s="18">
        <v>1.7</v>
      </c>
      <c r="R459" s="15" t="s">
        <v>25</v>
      </c>
      <c r="S459" s="19">
        <f t="shared" si="1"/>
        <v>-0.15</v>
      </c>
      <c r="T459" s="19">
        <f t="shared" si="8"/>
        <v>-1.298856488</v>
      </c>
      <c r="U459" s="144"/>
    </row>
    <row r="460">
      <c r="A460" s="59"/>
      <c r="B460" s="59"/>
      <c r="C460" s="59"/>
      <c r="D460" s="8" t="s">
        <v>40</v>
      </c>
      <c r="E460" s="8" t="s">
        <v>2886</v>
      </c>
      <c r="F460" s="8" t="s">
        <v>1473</v>
      </c>
      <c r="G460" s="8" t="s">
        <v>2556</v>
      </c>
      <c r="H460" s="8">
        <v>0.0</v>
      </c>
      <c r="I460" s="8" t="s">
        <v>224</v>
      </c>
      <c r="J460" s="8" t="s">
        <v>22</v>
      </c>
      <c r="K460" s="8" t="s">
        <v>225</v>
      </c>
      <c r="L460" s="8" t="s">
        <v>24</v>
      </c>
      <c r="M460" s="9">
        <v>0.5</v>
      </c>
      <c r="N460" s="9">
        <v>0.5</v>
      </c>
      <c r="O460" s="9">
        <v>0.5</v>
      </c>
      <c r="P460" s="10">
        <v>45133.0</v>
      </c>
      <c r="Q460" s="11">
        <v>1.8</v>
      </c>
      <c r="R460" s="8" t="s">
        <v>33</v>
      </c>
      <c r="S460" s="12">
        <f t="shared" si="1"/>
        <v>0.4</v>
      </c>
      <c r="T460" s="12">
        <f t="shared" si="8"/>
        <v>-0.8988564883</v>
      </c>
      <c r="U460" s="145"/>
    </row>
    <row r="461">
      <c r="A461" s="58"/>
      <c r="B461" s="58"/>
      <c r="C461" s="58"/>
      <c r="D461" s="15" t="s">
        <v>19</v>
      </c>
      <c r="E461" s="15" t="s">
        <v>2887</v>
      </c>
      <c r="F461" s="15"/>
      <c r="G461" s="15"/>
      <c r="H461" s="15" t="s">
        <v>2615</v>
      </c>
      <c r="I461" s="15" t="s">
        <v>82</v>
      </c>
      <c r="J461" s="15" t="s">
        <v>22</v>
      </c>
      <c r="K461" s="15" t="s">
        <v>29</v>
      </c>
      <c r="L461" s="15" t="s">
        <v>1522</v>
      </c>
      <c r="M461" s="16">
        <v>-3.5</v>
      </c>
      <c r="N461" s="16">
        <v>0.5</v>
      </c>
      <c r="O461" s="16">
        <f>0.421*0.5</f>
        <v>0.2105</v>
      </c>
      <c r="P461" s="17">
        <v>45133.0</v>
      </c>
      <c r="Q461" s="18">
        <v>1.875</v>
      </c>
      <c r="R461" s="15" t="s">
        <v>70</v>
      </c>
      <c r="S461" s="19">
        <f t="shared" si="1"/>
        <v>0</v>
      </c>
      <c r="T461" s="19">
        <f t="shared" si="8"/>
        <v>-0.8988564883</v>
      </c>
      <c r="U461" s="144"/>
    </row>
    <row r="462">
      <c r="A462" s="59"/>
      <c r="B462" s="59"/>
      <c r="C462" s="59"/>
      <c r="D462" s="8" t="s">
        <v>19</v>
      </c>
      <c r="E462" s="8" t="s">
        <v>2888</v>
      </c>
      <c r="F462" s="8" t="s">
        <v>1479</v>
      </c>
      <c r="G462" s="8" t="s">
        <v>2556</v>
      </c>
      <c r="H462" s="8">
        <f t="shared" ref="H462:H463" si="22">1</f>
        <v>1</v>
      </c>
      <c r="I462" s="8" t="s">
        <v>2889</v>
      </c>
      <c r="J462" s="8" t="s">
        <v>22</v>
      </c>
      <c r="K462" s="8" t="s">
        <v>1847</v>
      </c>
      <c r="L462" s="8" t="s">
        <v>39</v>
      </c>
      <c r="M462" s="9">
        <v>-0.5</v>
      </c>
      <c r="N462" s="9">
        <v>0.5</v>
      </c>
      <c r="O462" s="9">
        <v>0.5</v>
      </c>
      <c r="P462" s="10">
        <v>45135.0</v>
      </c>
      <c r="Q462" s="11">
        <v>1.8</v>
      </c>
      <c r="R462" s="8" t="s">
        <v>25</v>
      </c>
      <c r="S462" s="12">
        <f t="shared" si="1"/>
        <v>-0.5</v>
      </c>
      <c r="T462" s="12">
        <f t="shared" si="8"/>
        <v>-1.398856488</v>
      </c>
      <c r="U462" s="145"/>
    </row>
    <row r="463">
      <c r="A463" s="58"/>
      <c r="B463" s="58"/>
      <c r="C463" s="58"/>
      <c r="D463" s="15" t="s">
        <v>19</v>
      </c>
      <c r="E463" s="15" t="s">
        <v>2890</v>
      </c>
      <c r="F463" s="15" t="s">
        <v>1473</v>
      </c>
      <c r="G463" s="15" t="s">
        <v>2556</v>
      </c>
      <c r="H463" s="15">
        <f t="shared" si="22"/>
        <v>1</v>
      </c>
      <c r="I463" s="15" t="s">
        <v>28</v>
      </c>
      <c r="J463" s="15" t="s">
        <v>22</v>
      </c>
      <c r="K463" s="15" t="s">
        <v>225</v>
      </c>
      <c r="L463" s="15" t="s">
        <v>24</v>
      </c>
      <c r="M463" s="16">
        <v>0.5</v>
      </c>
      <c r="N463" s="16">
        <v>0.5</v>
      </c>
      <c r="O463" s="16">
        <v>0.5</v>
      </c>
      <c r="P463" s="17">
        <v>45135.0</v>
      </c>
      <c r="Q463" s="18">
        <v>1.8</v>
      </c>
      <c r="R463" s="15" t="s">
        <v>33</v>
      </c>
      <c r="S463" s="19">
        <f t="shared" si="1"/>
        <v>0.4</v>
      </c>
      <c r="T463" s="19">
        <f t="shared" si="8"/>
        <v>-0.9988564883</v>
      </c>
      <c r="U463" s="144"/>
    </row>
    <row r="464">
      <c r="A464" s="59"/>
      <c r="B464" s="59"/>
      <c r="C464" s="59"/>
      <c r="D464" s="8" t="s">
        <v>19</v>
      </c>
      <c r="E464" s="8" t="s">
        <v>2891</v>
      </c>
      <c r="F464" s="8" t="s">
        <v>1479</v>
      </c>
      <c r="G464" s="8" t="s">
        <v>2556</v>
      </c>
      <c r="H464" s="8">
        <v>0.0</v>
      </c>
      <c r="I464" s="8" t="s">
        <v>82</v>
      </c>
      <c r="J464" s="8" t="s">
        <v>22</v>
      </c>
      <c r="K464" s="8" t="s">
        <v>2725</v>
      </c>
      <c r="L464" s="8" t="s">
        <v>24</v>
      </c>
      <c r="M464" s="9">
        <v>0.5</v>
      </c>
      <c r="N464" s="9">
        <v>0.5</v>
      </c>
      <c r="O464" s="9">
        <v>0.5</v>
      </c>
      <c r="P464" s="10">
        <v>45135.0</v>
      </c>
      <c r="Q464" s="11">
        <v>1.85</v>
      </c>
      <c r="R464" s="8" t="s">
        <v>33</v>
      </c>
      <c r="S464" s="12">
        <f t="shared" si="1"/>
        <v>0.425</v>
      </c>
      <c r="T464" s="12">
        <f t="shared" si="8"/>
        <v>-0.5738564883</v>
      </c>
      <c r="U464" s="145"/>
    </row>
    <row r="465">
      <c r="A465" s="58"/>
      <c r="B465" s="58"/>
      <c r="C465" s="58"/>
      <c r="D465" s="15" t="s">
        <v>19</v>
      </c>
      <c r="E465" s="15" t="s">
        <v>2892</v>
      </c>
      <c r="F465" s="15" t="s">
        <v>1473</v>
      </c>
      <c r="G465" s="15" t="s">
        <v>2556</v>
      </c>
      <c r="H465" s="15">
        <f>1</f>
        <v>1</v>
      </c>
      <c r="I465" s="15" t="s">
        <v>316</v>
      </c>
      <c r="J465" s="15" t="s">
        <v>22</v>
      </c>
      <c r="K465" s="15" t="s">
        <v>225</v>
      </c>
      <c r="L465" s="15" t="s">
        <v>24</v>
      </c>
      <c r="M465" s="16">
        <v>0.25</v>
      </c>
      <c r="N465" s="16">
        <v>0.5</v>
      </c>
      <c r="O465" s="16">
        <v>0.5</v>
      </c>
      <c r="P465" s="17">
        <v>45135.0</v>
      </c>
      <c r="Q465" s="18">
        <v>1.85</v>
      </c>
      <c r="R465" s="15" t="s">
        <v>25</v>
      </c>
      <c r="S465" s="19">
        <f t="shared" si="1"/>
        <v>-0.5</v>
      </c>
      <c r="T465" s="19">
        <f t="shared" si="8"/>
        <v>-1.073856488</v>
      </c>
      <c r="U465" s="144"/>
    </row>
    <row r="466">
      <c r="A466" s="59"/>
      <c r="B466" s="59"/>
      <c r="C466" s="59"/>
      <c r="D466" s="8" t="s">
        <v>19</v>
      </c>
      <c r="E466" s="8" t="s">
        <v>2893</v>
      </c>
      <c r="F466" s="8" t="s">
        <v>1473</v>
      </c>
      <c r="G466" s="8" t="s">
        <v>2556</v>
      </c>
      <c r="H466" s="8">
        <v>-1.0</v>
      </c>
      <c r="I466" s="8" t="s">
        <v>82</v>
      </c>
      <c r="J466" s="8" t="s">
        <v>22</v>
      </c>
      <c r="K466" s="8" t="s">
        <v>225</v>
      </c>
      <c r="L466" s="8" t="s">
        <v>1522</v>
      </c>
      <c r="M466" s="9">
        <v>0.5</v>
      </c>
      <c r="N466" s="9">
        <v>0.5</v>
      </c>
      <c r="O466" s="9">
        <v>0.5</v>
      </c>
      <c r="P466" s="10">
        <v>45135.0</v>
      </c>
      <c r="Q466" s="11">
        <v>1.8</v>
      </c>
      <c r="R466" s="8" t="s">
        <v>33</v>
      </c>
      <c r="S466" s="12">
        <f t="shared" si="1"/>
        <v>0.4</v>
      </c>
      <c r="T466" s="12">
        <f t="shared" si="8"/>
        <v>-0.6738564883</v>
      </c>
      <c r="U466" s="145"/>
    </row>
    <row r="467">
      <c r="A467" s="58"/>
      <c r="B467" s="58"/>
      <c r="C467" s="58"/>
      <c r="D467" s="15" t="s">
        <v>19</v>
      </c>
      <c r="E467" s="15" t="s">
        <v>2894</v>
      </c>
      <c r="F467" s="15" t="s">
        <v>1473</v>
      </c>
      <c r="G467" s="15" t="s">
        <v>2556</v>
      </c>
      <c r="H467" s="15">
        <v>-2.0</v>
      </c>
      <c r="I467" s="15" t="s">
        <v>44</v>
      </c>
      <c r="J467" s="15" t="s">
        <v>22</v>
      </c>
      <c r="K467" s="15" t="s">
        <v>892</v>
      </c>
      <c r="L467" s="15" t="s">
        <v>1803</v>
      </c>
      <c r="M467" s="16">
        <v>0.0</v>
      </c>
      <c r="N467" s="16">
        <f t="shared" ref="N467:O467" si="23">10/500</f>
        <v>0.02</v>
      </c>
      <c r="O467" s="16">
        <f t="shared" si="23"/>
        <v>0.02</v>
      </c>
      <c r="P467" s="17">
        <v>45135.0</v>
      </c>
      <c r="Q467" s="18">
        <v>2.0</v>
      </c>
      <c r="R467" s="15" t="s">
        <v>25</v>
      </c>
      <c r="S467" s="19">
        <f t="shared" si="1"/>
        <v>-0.02</v>
      </c>
      <c r="T467" s="19">
        <f t="shared" si="8"/>
        <v>-0.6938564883</v>
      </c>
      <c r="U467" s="144"/>
    </row>
    <row r="468">
      <c r="A468" s="59"/>
      <c r="B468" s="59"/>
      <c r="C468" s="59"/>
      <c r="D468" s="8" t="s">
        <v>19</v>
      </c>
      <c r="E468" s="8" t="s">
        <v>2895</v>
      </c>
      <c r="F468" s="8" t="s">
        <v>1473</v>
      </c>
      <c r="G468" s="8" t="s">
        <v>2556</v>
      </c>
      <c r="H468" s="8">
        <v>0.0</v>
      </c>
      <c r="I468" s="8" t="s">
        <v>44</v>
      </c>
      <c r="J468" s="8" t="s">
        <v>22</v>
      </c>
      <c r="K468" s="8" t="s">
        <v>225</v>
      </c>
      <c r="L468" s="8" t="s">
        <v>24</v>
      </c>
      <c r="M468" s="9">
        <v>0.75</v>
      </c>
      <c r="N468" s="9">
        <v>0.5</v>
      </c>
      <c r="O468" s="9">
        <v>0.5</v>
      </c>
      <c r="P468" s="10">
        <v>45136.0</v>
      </c>
      <c r="Q468" s="11">
        <v>1.975</v>
      </c>
      <c r="R468" s="8" t="s">
        <v>25</v>
      </c>
      <c r="S468" s="12">
        <f t="shared" si="1"/>
        <v>-0.5</v>
      </c>
      <c r="T468" s="12">
        <f t="shared" si="8"/>
        <v>-1.193856488</v>
      </c>
      <c r="U468" s="145"/>
    </row>
    <row r="469">
      <c r="A469" s="58"/>
      <c r="B469" s="58"/>
      <c r="C469" s="58"/>
      <c r="D469" s="15" t="s">
        <v>19</v>
      </c>
      <c r="E469" s="15" t="s">
        <v>2896</v>
      </c>
      <c r="F469" s="15" t="s">
        <v>1479</v>
      </c>
      <c r="G469" s="15" t="s">
        <v>2556</v>
      </c>
      <c r="H469" s="15">
        <v>0.0</v>
      </c>
      <c r="I469" s="15" t="s">
        <v>28</v>
      </c>
      <c r="J469" s="15" t="s">
        <v>22</v>
      </c>
      <c r="K469" s="15" t="s">
        <v>225</v>
      </c>
      <c r="L469" s="15" t="s">
        <v>24</v>
      </c>
      <c r="M469" s="16">
        <v>0.25</v>
      </c>
      <c r="N469" s="16">
        <v>0.5</v>
      </c>
      <c r="O469" s="16">
        <v>0.5</v>
      </c>
      <c r="P469" s="17">
        <v>45136.0</v>
      </c>
      <c r="Q469" s="18">
        <v>1.8</v>
      </c>
      <c r="R469" s="15" t="s">
        <v>30</v>
      </c>
      <c r="S469" s="19">
        <f t="shared" si="1"/>
        <v>0.2</v>
      </c>
      <c r="T469" s="19">
        <f t="shared" si="8"/>
        <v>-0.9938564883</v>
      </c>
      <c r="U469" s="144"/>
    </row>
    <row r="470">
      <c r="A470" s="59"/>
      <c r="B470" s="59"/>
      <c r="C470" s="59"/>
      <c r="D470" s="8" t="s">
        <v>19</v>
      </c>
      <c r="E470" s="8" t="s">
        <v>2897</v>
      </c>
      <c r="F470" s="8" t="s">
        <v>1473</v>
      </c>
      <c r="G470" s="8" t="s">
        <v>2556</v>
      </c>
      <c r="H470" s="8">
        <v>0.0</v>
      </c>
      <c r="I470" s="8" t="s">
        <v>2898</v>
      </c>
      <c r="J470" s="8" t="s">
        <v>22</v>
      </c>
      <c r="K470" s="8" t="s">
        <v>225</v>
      </c>
      <c r="L470" s="8" t="s">
        <v>39</v>
      </c>
      <c r="M470" s="9">
        <v>0.5</v>
      </c>
      <c r="N470" s="9">
        <v>0.5</v>
      </c>
      <c r="O470" s="9">
        <v>0.5</v>
      </c>
      <c r="P470" s="10">
        <v>45136.0</v>
      </c>
      <c r="Q470" s="11">
        <v>1.7</v>
      </c>
      <c r="R470" s="8" t="s">
        <v>33</v>
      </c>
      <c r="S470" s="12">
        <f t="shared" si="1"/>
        <v>0.35</v>
      </c>
      <c r="T470" s="12">
        <f t="shared" si="8"/>
        <v>-0.6438564883</v>
      </c>
      <c r="U470" s="145"/>
    </row>
    <row r="471">
      <c r="A471" s="58"/>
      <c r="B471" s="58"/>
      <c r="C471" s="58"/>
      <c r="D471" s="15" t="s">
        <v>19</v>
      </c>
      <c r="E471" s="15" t="s">
        <v>2899</v>
      </c>
      <c r="F471" s="15"/>
      <c r="G471" s="15"/>
      <c r="H471" s="15" t="s">
        <v>981</v>
      </c>
      <c r="I471" s="15" t="s">
        <v>2898</v>
      </c>
      <c r="J471" s="15" t="s">
        <v>22</v>
      </c>
      <c r="K471" s="15" t="s">
        <v>440</v>
      </c>
      <c r="L471" s="15" t="s">
        <v>39</v>
      </c>
      <c r="M471" s="16">
        <v>0.5</v>
      </c>
      <c r="N471" s="16">
        <v>0.2</v>
      </c>
      <c r="O471" s="16">
        <v>0.2</v>
      </c>
      <c r="P471" s="17">
        <v>45136.0</v>
      </c>
      <c r="Q471" s="18">
        <v>2.425</v>
      </c>
      <c r="R471" s="15" t="s">
        <v>25</v>
      </c>
      <c r="S471" s="19">
        <f t="shared" si="1"/>
        <v>-0.2</v>
      </c>
      <c r="T471" s="19">
        <f t="shared" si="8"/>
        <v>-0.8438564883</v>
      </c>
      <c r="U471" s="144"/>
    </row>
    <row r="472">
      <c r="A472" s="59"/>
      <c r="B472" s="59"/>
      <c r="C472" s="59"/>
      <c r="D472" s="8" t="s">
        <v>19</v>
      </c>
      <c r="E472" s="8" t="s">
        <v>2900</v>
      </c>
      <c r="F472" s="8" t="s">
        <v>1473</v>
      </c>
      <c r="G472" s="8" t="s">
        <v>2556</v>
      </c>
      <c r="H472" s="8">
        <v>-1.0</v>
      </c>
      <c r="I472" s="8" t="s">
        <v>44</v>
      </c>
      <c r="J472" s="8" t="s">
        <v>22</v>
      </c>
      <c r="K472" s="8" t="s">
        <v>225</v>
      </c>
      <c r="L472" s="8" t="s">
        <v>24</v>
      </c>
      <c r="M472" s="9">
        <v>1.0</v>
      </c>
      <c r="N472" s="9">
        <v>0.5</v>
      </c>
      <c r="O472" s="9">
        <f>0.632*0.5</f>
        <v>0.316</v>
      </c>
      <c r="P472" s="10">
        <v>45136.0</v>
      </c>
      <c r="Q472" s="11">
        <v>1.7</v>
      </c>
      <c r="R472" s="8" t="s">
        <v>33</v>
      </c>
      <c r="S472" s="12">
        <f t="shared" si="1"/>
        <v>0.2212</v>
      </c>
      <c r="T472" s="12">
        <f t="shared" si="8"/>
        <v>-0.6226564883</v>
      </c>
      <c r="U472" s="145"/>
    </row>
    <row r="473">
      <c r="A473" s="58"/>
      <c r="B473" s="58"/>
      <c r="C473" s="58"/>
      <c r="D473" s="15" t="s">
        <v>19</v>
      </c>
      <c r="E473" s="15" t="s">
        <v>2901</v>
      </c>
      <c r="F473" s="15" t="s">
        <v>1473</v>
      </c>
      <c r="G473" s="15" t="s">
        <v>2660</v>
      </c>
      <c r="H473" s="15">
        <v>-3.0</v>
      </c>
      <c r="I473" s="15" t="s">
        <v>28</v>
      </c>
      <c r="J473" s="15" t="s">
        <v>22</v>
      </c>
      <c r="K473" s="15" t="s">
        <v>892</v>
      </c>
      <c r="L473" s="15" t="s">
        <v>2688</v>
      </c>
      <c r="M473" s="16">
        <v>0.0</v>
      </c>
      <c r="N473" s="16">
        <v>0.5</v>
      </c>
      <c r="O473" s="16">
        <v>0.5</v>
      </c>
      <c r="P473" s="17">
        <v>45136.0</v>
      </c>
      <c r="Q473" s="18">
        <v>1.9</v>
      </c>
      <c r="R473" s="15" t="s">
        <v>33</v>
      </c>
      <c r="S473" s="19">
        <f t="shared" si="1"/>
        <v>0.45</v>
      </c>
      <c r="T473" s="19">
        <f t="shared" si="8"/>
        <v>-0.1726564883</v>
      </c>
      <c r="U473" s="144"/>
    </row>
    <row r="474">
      <c r="A474" s="59"/>
      <c r="B474" s="59"/>
      <c r="C474" s="59"/>
      <c r="D474" s="8" t="s">
        <v>19</v>
      </c>
      <c r="E474" s="8" t="s">
        <v>2902</v>
      </c>
      <c r="F474" s="8"/>
      <c r="G474" s="8"/>
      <c r="H474" s="8" t="s">
        <v>2615</v>
      </c>
      <c r="I474" s="8" t="s">
        <v>2873</v>
      </c>
      <c r="J474" s="8" t="s">
        <v>22</v>
      </c>
      <c r="K474" s="8" t="s">
        <v>29</v>
      </c>
      <c r="L474" s="8" t="s">
        <v>24</v>
      </c>
      <c r="M474" s="9">
        <v>-5.5</v>
      </c>
      <c r="N474" s="9">
        <v>0.25</v>
      </c>
      <c r="O474" s="9">
        <v>0.07</v>
      </c>
      <c r="P474" s="10">
        <v>45136.0</v>
      </c>
      <c r="Q474" s="11">
        <v>1.725</v>
      </c>
      <c r="R474" s="8" t="s">
        <v>25</v>
      </c>
      <c r="S474" s="12">
        <f t="shared" si="1"/>
        <v>-0.07</v>
      </c>
      <c r="T474" s="12">
        <f t="shared" si="8"/>
        <v>-0.2426564883</v>
      </c>
      <c r="U474" s="145"/>
    </row>
    <row r="475">
      <c r="A475" s="58"/>
      <c r="B475" s="58"/>
      <c r="C475" s="58"/>
      <c r="D475" s="15" t="s">
        <v>19</v>
      </c>
      <c r="E475" s="15" t="s">
        <v>2903</v>
      </c>
      <c r="F475" s="15" t="s">
        <v>1473</v>
      </c>
      <c r="G475" s="15" t="s">
        <v>2556</v>
      </c>
      <c r="H475" s="15">
        <v>0.0</v>
      </c>
      <c r="I475" s="15" t="s">
        <v>513</v>
      </c>
      <c r="J475" s="15" t="s">
        <v>22</v>
      </c>
      <c r="K475" s="15" t="s">
        <v>225</v>
      </c>
      <c r="L475" s="15" t="s">
        <v>1851</v>
      </c>
      <c r="M475" s="16">
        <v>1.5</v>
      </c>
      <c r="N475" s="16">
        <f t="shared" ref="N475:O475" si="24">0.289*0.5</f>
        <v>0.1445</v>
      </c>
      <c r="O475" s="16">
        <f t="shared" si="24"/>
        <v>0.1445</v>
      </c>
      <c r="P475" s="17">
        <v>45136.0</v>
      </c>
      <c r="Q475" s="18">
        <v>1.825</v>
      </c>
      <c r="R475" s="15" t="s">
        <v>33</v>
      </c>
      <c r="S475" s="19">
        <f t="shared" si="1"/>
        <v>0.1192125</v>
      </c>
      <c r="T475" s="19">
        <f t="shared" si="8"/>
        <v>-0.1234439883</v>
      </c>
      <c r="U475" s="144"/>
    </row>
    <row r="476">
      <c r="A476" s="59"/>
      <c r="B476" s="59"/>
      <c r="C476" s="59"/>
      <c r="D476" s="8" t="s">
        <v>19</v>
      </c>
      <c r="E476" s="8" t="s">
        <v>2904</v>
      </c>
      <c r="F476" s="8" t="s">
        <v>1479</v>
      </c>
      <c r="G476" s="8" t="s">
        <v>2556</v>
      </c>
      <c r="H476" s="8">
        <v>2</v>
      </c>
      <c r="I476" s="8" t="s">
        <v>463</v>
      </c>
      <c r="J476" s="8" t="s">
        <v>22</v>
      </c>
      <c r="K476" s="8" t="s">
        <v>225</v>
      </c>
      <c r="L476" s="8" t="s">
        <v>39</v>
      </c>
      <c r="M476" s="9">
        <v>0.5</v>
      </c>
      <c r="N476" s="9">
        <v>0.5</v>
      </c>
      <c r="O476" s="9">
        <f>0.421*0.5</f>
        <v>0.2105</v>
      </c>
      <c r="P476" s="10">
        <v>45136.0</v>
      </c>
      <c r="Q476" s="11">
        <v>1.7</v>
      </c>
      <c r="R476" s="8" t="s">
        <v>25</v>
      </c>
      <c r="S476" s="12">
        <f t="shared" si="1"/>
        <v>-0.2105</v>
      </c>
      <c r="T476" s="12">
        <f t="shared" si="8"/>
        <v>-0.3339439883</v>
      </c>
      <c r="U476" s="145"/>
    </row>
    <row r="477">
      <c r="A477" s="58"/>
      <c r="B477" s="58"/>
      <c r="C477" s="58"/>
      <c r="D477" s="15" t="s">
        <v>19</v>
      </c>
      <c r="E477" s="15" t="s">
        <v>2905</v>
      </c>
      <c r="F477" s="15" t="s">
        <v>1473</v>
      </c>
      <c r="G477" s="15" t="s">
        <v>2556</v>
      </c>
      <c r="H477" s="15">
        <v>0.0</v>
      </c>
      <c r="I477" s="15" t="s">
        <v>28</v>
      </c>
      <c r="J477" s="15" t="s">
        <v>22</v>
      </c>
      <c r="K477" s="15" t="s">
        <v>225</v>
      </c>
      <c r="L477" s="15" t="s">
        <v>1522</v>
      </c>
      <c r="M477" s="16">
        <v>0.75</v>
      </c>
      <c r="N477" s="16">
        <v>0.5</v>
      </c>
      <c r="O477" s="16">
        <v>0.5</v>
      </c>
      <c r="P477" s="17">
        <v>45136.0</v>
      </c>
      <c r="Q477" s="18">
        <v>1.8</v>
      </c>
      <c r="R477" s="15" t="s">
        <v>33</v>
      </c>
      <c r="S477" s="19">
        <f t="shared" si="1"/>
        <v>0.4</v>
      </c>
      <c r="T477" s="19">
        <f t="shared" si="8"/>
        <v>0.06605601167</v>
      </c>
      <c r="U477" s="144"/>
    </row>
    <row r="478">
      <c r="A478" s="59"/>
      <c r="B478" s="59"/>
      <c r="C478" s="59"/>
      <c r="D478" s="8" t="s">
        <v>19</v>
      </c>
      <c r="E478" s="8" t="s">
        <v>2906</v>
      </c>
      <c r="F478" s="8" t="s">
        <v>1473</v>
      </c>
      <c r="G478" s="8" t="s">
        <v>2660</v>
      </c>
      <c r="H478" s="8">
        <f>1</f>
        <v>1</v>
      </c>
      <c r="I478" s="8" t="s">
        <v>44</v>
      </c>
      <c r="J478" s="8" t="s">
        <v>22</v>
      </c>
      <c r="K478" s="8" t="s">
        <v>892</v>
      </c>
      <c r="L478" s="8" t="s">
        <v>24</v>
      </c>
      <c r="M478" s="9">
        <v>0.0</v>
      </c>
      <c r="N478" s="9">
        <v>0.75</v>
      </c>
      <c r="O478" s="9">
        <v>0.75</v>
      </c>
      <c r="P478" s="10">
        <v>45136.0</v>
      </c>
      <c r="Q478" s="11">
        <v>1.825</v>
      </c>
      <c r="R478" s="8" t="s">
        <v>70</v>
      </c>
      <c r="S478" s="12">
        <f t="shared" si="1"/>
        <v>0</v>
      </c>
      <c r="T478" s="12">
        <f t="shared" si="8"/>
        <v>0.06605601167</v>
      </c>
      <c r="U478" s="145"/>
    </row>
    <row r="479">
      <c r="A479" s="58"/>
      <c r="B479" s="58"/>
      <c r="C479" s="58"/>
      <c r="D479" s="15" t="s">
        <v>19</v>
      </c>
      <c r="E479" s="15" t="s">
        <v>2907</v>
      </c>
      <c r="F479" s="15" t="s">
        <v>1473</v>
      </c>
      <c r="G479" s="15" t="s">
        <v>2660</v>
      </c>
      <c r="H479" s="15">
        <v>-2.0</v>
      </c>
      <c r="I479" s="15" t="s">
        <v>28</v>
      </c>
      <c r="J479" s="15" t="s">
        <v>22</v>
      </c>
      <c r="K479" s="15" t="s">
        <v>892</v>
      </c>
      <c r="L479" s="15" t="s">
        <v>24</v>
      </c>
      <c r="M479" s="16">
        <v>0.0</v>
      </c>
      <c r="N479" s="16">
        <v>0.5</v>
      </c>
      <c r="O479" s="16">
        <f>0.342*0.5</f>
        <v>0.171</v>
      </c>
      <c r="P479" s="17">
        <v>45136.0</v>
      </c>
      <c r="Q479" s="18">
        <v>1.75</v>
      </c>
      <c r="R479" s="15" t="s">
        <v>33</v>
      </c>
      <c r="S479" s="19">
        <f t="shared" si="1"/>
        <v>0.12825</v>
      </c>
      <c r="T479" s="19">
        <f t="shared" si="8"/>
        <v>0.1943060117</v>
      </c>
      <c r="U479" s="144"/>
    </row>
    <row r="480">
      <c r="A480" s="59"/>
      <c r="B480" s="59"/>
      <c r="C480" s="59"/>
      <c r="D480" s="8" t="s">
        <v>19</v>
      </c>
      <c r="E480" s="8" t="s">
        <v>2908</v>
      </c>
      <c r="F480" s="8"/>
      <c r="G480" s="8"/>
      <c r="H480" s="8" t="s">
        <v>2613</v>
      </c>
      <c r="I480" s="8" t="s">
        <v>82</v>
      </c>
      <c r="J480" s="8" t="s">
        <v>598</v>
      </c>
      <c r="K480" s="8" t="s">
        <v>1847</v>
      </c>
      <c r="L480" s="8" t="s">
        <v>24</v>
      </c>
      <c r="M480" s="9">
        <v>-0.5</v>
      </c>
      <c r="N480" s="9">
        <v>0.25</v>
      </c>
      <c r="O480" s="9">
        <v>0.25</v>
      </c>
      <c r="P480" s="10">
        <v>45136.0</v>
      </c>
      <c r="Q480" s="11">
        <v>1.8</v>
      </c>
      <c r="R480" s="8" t="s">
        <v>33</v>
      </c>
      <c r="S480" s="12">
        <f t="shared" si="1"/>
        <v>0.2</v>
      </c>
      <c r="T480" s="12">
        <f t="shared" si="8"/>
        <v>0.3943060117</v>
      </c>
      <c r="U480" s="145"/>
    </row>
    <row r="481">
      <c r="A481" s="58"/>
      <c r="B481" s="58"/>
      <c r="C481" s="58"/>
      <c r="D481" s="15" t="s">
        <v>19</v>
      </c>
      <c r="E481" s="15" t="s">
        <v>2909</v>
      </c>
      <c r="F481" s="15" t="s">
        <v>1473</v>
      </c>
      <c r="G481" s="15" t="s">
        <v>2556</v>
      </c>
      <c r="H481" s="15">
        <v>-1.0</v>
      </c>
      <c r="I481" s="15" t="s">
        <v>703</v>
      </c>
      <c r="J481" s="15" t="s">
        <v>22</v>
      </c>
      <c r="K481" s="15" t="s">
        <v>225</v>
      </c>
      <c r="L481" s="15" t="s">
        <v>1522</v>
      </c>
      <c r="M481" s="16">
        <v>0.25</v>
      </c>
      <c r="N481" s="16">
        <v>0.5</v>
      </c>
      <c r="O481" s="16">
        <v>0.5</v>
      </c>
      <c r="P481" s="17">
        <v>45136.0</v>
      </c>
      <c r="Q481" s="18">
        <v>1.6</v>
      </c>
      <c r="R481" s="15" t="s">
        <v>30</v>
      </c>
      <c r="S481" s="19">
        <f t="shared" si="1"/>
        <v>0.15</v>
      </c>
      <c r="T481" s="19">
        <f t="shared" si="8"/>
        <v>0.5443060117</v>
      </c>
      <c r="U481" s="144"/>
    </row>
    <row r="482">
      <c r="A482" s="59"/>
      <c r="B482" s="59"/>
      <c r="C482" s="59"/>
      <c r="D482" s="8" t="s">
        <v>19</v>
      </c>
      <c r="E482" s="8" t="s">
        <v>2910</v>
      </c>
      <c r="F482" s="8"/>
      <c r="G482" s="8"/>
      <c r="H482" s="8" t="s">
        <v>2613</v>
      </c>
      <c r="I482" s="8" t="s">
        <v>82</v>
      </c>
      <c r="J482" s="8" t="s">
        <v>598</v>
      </c>
      <c r="K482" s="8" t="s">
        <v>1847</v>
      </c>
      <c r="L482" s="8" t="s">
        <v>39</v>
      </c>
      <c r="M482" s="9">
        <v>-0.5</v>
      </c>
      <c r="N482" s="9">
        <v>0.25</v>
      </c>
      <c r="O482" s="9">
        <v>0.25</v>
      </c>
      <c r="P482" s="10">
        <v>45136.0</v>
      </c>
      <c r="Q482" s="11">
        <v>1.83</v>
      </c>
      <c r="R482" s="8" t="s">
        <v>25</v>
      </c>
      <c r="S482" s="12">
        <f t="shared" si="1"/>
        <v>-0.25</v>
      </c>
      <c r="T482" s="12">
        <f t="shared" si="8"/>
        <v>0.2943060117</v>
      </c>
      <c r="U482" s="145"/>
    </row>
    <row r="483">
      <c r="A483" s="58"/>
      <c r="B483" s="58"/>
      <c r="C483" s="58"/>
      <c r="D483" s="15" t="s">
        <v>19</v>
      </c>
      <c r="E483" s="15" t="s">
        <v>2911</v>
      </c>
      <c r="F483" s="15" t="s">
        <v>1473</v>
      </c>
      <c r="G483" s="15" t="s">
        <v>2556</v>
      </c>
      <c r="H483" s="15">
        <v>2</v>
      </c>
      <c r="I483" s="15" t="s">
        <v>44</v>
      </c>
      <c r="J483" s="15" t="s">
        <v>22</v>
      </c>
      <c r="K483" s="15" t="s">
        <v>225</v>
      </c>
      <c r="L483" s="15" t="s">
        <v>24</v>
      </c>
      <c r="M483" s="16">
        <v>0.5</v>
      </c>
      <c r="N483" s="16">
        <v>0.5</v>
      </c>
      <c r="O483" s="16">
        <v>0.5</v>
      </c>
      <c r="P483" s="17">
        <v>45137.0</v>
      </c>
      <c r="Q483" s="18">
        <v>1.725</v>
      </c>
      <c r="R483" s="15" t="s">
        <v>70</v>
      </c>
      <c r="S483" s="19">
        <f t="shared" si="1"/>
        <v>0</v>
      </c>
      <c r="T483" s="19">
        <f t="shared" si="8"/>
        <v>0.2943060117</v>
      </c>
      <c r="U483" s="144"/>
    </row>
    <row r="484">
      <c r="A484" s="59"/>
      <c r="B484" s="59"/>
      <c r="C484" s="59"/>
      <c r="D484" s="8" t="s">
        <v>19</v>
      </c>
      <c r="E484" s="8" t="s">
        <v>2912</v>
      </c>
      <c r="F484" s="8" t="s">
        <v>1473</v>
      </c>
      <c r="G484" s="8" t="s">
        <v>2556</v>
      </c>
      <c r="H484" s="8">
        <f t="shared" ref="H484:H485" si="25">1</f>
        <v>1</v>
      </c>
      <c r="I484" s="8" t="s">
        <v>1025</v>
      </c>
      <c r="J484" s="8" t="s">
        <v>22</v>
      </c>
      <c r="K484" s="8" t="s">
        <v>225</v>
      </c>
      <c r="L484" s="8" t="s">
        <v>24</v>
      </c>
      <c r="M484" s="9">
        <v>0.25</v>
      </c>
      <c r="N484" s="9">
        <v>0.5</v>
      </c>
      <c r="O484" s="9">
        <v>0.5</v>
      </c>
      <c r="P484" s="10">
        <v>45137.0</v>
      </c>
      <c r="Q484" s="11">
        <v>1.8</v>
      </c>
      <c r="R484" s="8" t="s">
        <v>70</v>
      </c>
      <c r="S484" s="12">
        <f t="shared" si="1"/>
        <v>0</v>
      </c>
      <c r="T484" s="12">
        <f t="shared" si="8"/>
        <v>0.2943060117</v>
      </c>
      <c r="U484" s="145"/>
    </row>
    <row r="485">
      <c r="A485" s="58"/>
      <c r="B485" s="58"/>
      <c r="C485" s="58"/>
      <c r="D485" s="15" t="s">
        <v>19</v>
      </c>
      <c r="E485" s="15" t="s">
        <v>2913</v>
      </c>
      <c r="F485" s="15" t="s">
        <v>1473</v>
      </c>
      <c r="G485" s="15" t="s">
        <v>2556</v>
      </c>
      <c r="H485" s="15">
        <f t="shared" si="25"/>
        <v>1</v>
      </c>
      <c r="I485" s="15" t="s">
        <v>44</v>
      </c>
      <c r="J485" s="15" t="s">
        <v>22</v>
      </c>
      <c r="K485" s="15" t="s">
        <v>225</v>
      </c>
      <c r="L485" s="15" t="s">
        <v>24</v>
      </c>
      <c r="M485" s="16">
        <v>0.5</v>
      </c>
      <c r="N485" s="16">
        <v>0.5</v>
      </c>
      <c r="O485" s="16">
        <v>0.5</v>
      </c>
      <c r="P485" s="17">
        <v>45137.0</v>
      </c>
      <c r="Q485" s="18">
        <f>400/250</f>
        <v>1.6</v>
      </c>
      <c r="R485" s="15" t="s">
        <v>33</v>
      </c>
      <c r="S485" s="19">
        <f t="shared" si="1"/>
        <v>0.3</v>
      </c>
      <c r="T485" s="19">
        <f t="shared" si="8"/>
        <v>0.5943060117</v>
      </c>
      <c r="U485" s="144"/>
    </row>
    <row r="486">
      <c r="A486" s="59"/>
      <c r="B486" s="59"/>
      <c r="C486" s="59"/>
      <c r="D486" s="8" t="s">
        <v>19</v>
      </c>
      <c r="E486" s="8" t="s">
        <v>2914</v>
      </c>
      <c r="F486" s="8"/>
      <c r="G486" s="8"/>
      <c r="H486" s="8" t="s">
        <v>2613</v>
      </c>
      <c r="I486" s="8" t="s">
        <v>82</v>
      </c>
      <c r="J486" s="8" t="s">
        <v>22</v>
      </c>
      <c r="K486" s="8" t="s">
        <v>2776</v>
      </c>
      <c r="L486" s="8" t="s">
        <v>24</v>
      </c>
      <c r="M486" s="9">
        <v>6.5</v>
      </c>
      <c r="N486" s="9">
        <v>0.25</v>
      </c>
      <c r="O486" s="9">
        <v>0.25</v>
      </c>
      <c r="P486" s="10">
        <v>45137.0</v>
      </c>
      <c r="Q486" s="11">
        <v>1.72</v>
      </c>
      <c r="R486" s="8" t="s">
        <v>25</v>
      </c>
      <c r="S486" s="12">
        <f t="shared" si="1"/>
        <v>-0.25</v>
      </c>
      <c r="T486" s="12">
        <f t="shared" si="8"/>
        <v>0.3443060117</v>
      </c>
      <c r="U486" s="145"/>
    </row>
    <row r="487">
      <c r="A487" s="58"/>
      <c r="B487" s="58"/>
      <c r="C487" s="58"/>
      <c r="D487" s="15" t="s">
        <v>19</v>
      </c>
      <c r="E487" s="15" t="s">
        <v>2915</v>
      </c>
      <c r="F487" s="15" t="s">
        <v>2713</v>
      </c>
      <c r="G487" s="15" t="s">
        <v>2660</v>
      </c>
      <c r="H487" s="15">
        <v>0.0</v>
      </c>
      <c r="I487" s="15" t="s">
        <v>463</v>
      </c>
      <c r="J487" s="15" t="s">
        <v>22</v>
      </c>
      <c r="K487" s="15" t="s">
        <v>892</v>
      </c>
      <c r="L487" s="15" t="s">
        <v>1851</v>
      </c>
      <c r="M487" s="16">
        <v>0.0</v>
      </c>
      <c r="N487" s="16">
        <v>0.25</v>
      </c>
      <c r="O487" s="16">
        <v>0.25</v>
      </c>
      <c r="P487" s="17">
        <v>45137.0</v>
      </c>
      <c r="Q487" s="18">
        <v>2.2</v>
      </c>
      <c r="R487" s="15" t="s">
        <v>70</v>
      </c>
      <c r="S487" s="19">
        <f t="shared" si="1"/>
        <v>0</v>
      </c>
      <c r="T487" s="19">
        <f t="shared" si="8"/>
        <v>0.3443060117</v>
      </c>
      <c r="U487" s="144"/>
    </row>
    <row r="488">
      <c r="A488" s="59"/>
      <c r="B488" s="59"/>
      <c r="C488" s="59"/>
      <c r="D488" s="8" t="s">
        <v>19</v>
      </c>
      <c r="E488" s="8" t="s">
        <v>2916</v>
      </c>
      <c r="F488" s="8" t="s">
        <v>1473</v>
      </c>
      <c r="G488" s="8" t="s">
        <v>2556</v>
      </c>
      <c r="H488" s="8">
        <v>0.0</v>
      </c>
      <c r="I488" s="8" t="s">
        <v>1085</v>
      </c>
      <c r="J488" s="8" t="s">
        <v>22</v>
      </c>
      <c r="K488" s="8" t="s">
        <v>225</v>
      </c>
      <c r="L488" s="8" t="s">
        <v>24</v>
      </c>
      <c r="M488" s="9">
        <v>0.25</v>
      </c>
      <c r="N488" s="9">
        <v>0.5</v>
      </c>
      <c r="O488" s="9">
        <v>0.5</v>
      </c>
      <c r="P488" s="10">
        <v>45139.0</v>
      </c>
      <c r="Q488" s="11">
        <v>1.7</v>
      </c>
      <c r="R488" s="8" t="s">
        <v>30</v>
      </c>
      <c r="S488" s="12">
        <f t="shared" si="1"/>
        <v>0.175</v>
      </c>
      <c r="T488" s="12">
        <f t="shared" si="8"/>
        <v>0.5193060117</v>
      </c>
      <c r="U488" s="145"/>
    </row>
    <row r="489">
      <c r="A489" s="58"/>
      <c r="B489" s="58"/>
      <c r="C489" s="58"/>
      <c r="D489" s="15" t="s">
        <v>19</v>
      </c>
      <c r="E489" s="15" t="s">
        <v>2917</v>
      </c>
      <c r="F489" s="15" t="s">
        <v>1473</v>
      </c>
      <c r="G489" s="15" t="s">
        <v>2556</v>
      </c>
      <c r="H489" s="15">
        <v>-2.0</v>
      </c>
      <c r="I489" s="15" t="s">
        <v>513</v>
      </c>
      <c r="J489" s="15" t="s">
        <v>22</v>
      </c>
      <c r="K489" s="15" t="s">
        <v>225</v>
      </c>
      <c r="L489" s="15" t="s">
        <v>24</v>
      </c>
      <c r="M489" s="16">
        <v>0.75</v>
      </c>
      <c r="N489" s="16">
        <v>0.5</v>
      </c>
      <c r="O489" s="16">
        <f>0.872*0.5</f>
        <v>0.436</v>
      </c>
      <c r="P489" s="17">
        <v>45139.0</v>
      </c>
      <c r="Q489" s="18">
        <v>2.0</v>
      </c>
      <c r="R489" s="15" t="s">
        <v>79</v>
      </c>
      <c r="S489" s="19">
        <f t="shared" si="1"/>
        <v>-0.218</v>
      </c>
      <c r="T489" s="19">
        <f t="shared" si="8"/>
        <v>0.3013060117</v>
      </c>
      <c r="U489" s="144"/>
    </row>
    <row r="490">
      <c r="A490" s="59"/>
      <c r="B490" s="59"/>
      <c r="C490" s="59"/>
      <c r="D490" s="8" t="s">
        <v>19</v>
      </c>
      <c r="E490" s="8" t="s">
        <v>2918</v>
      </c>
      <c r="F490" s="8" t="s">
        <v>1473</v>
      </c>
      <c r="G490" s="8" t="s">
        <v>2556</v>
      </c>
      <c r="H490" s="8">
        <f>1</f>
        <v>1</v>
      </c>
      <c r="I490" s="8" t="s">
        <v>74</v>
      </c>
      <c r="J490" s="8" t="s">
        <v>22</v>
      </c>
      <c r="K490" s="8" t="s">
        <v>225</v>
      </c>
      <c r="L490" s="8" t="s">
        <v>24</v>
      </c>
      <c r="M490" s="9">
        <v>0.5</v>
      </c>
      <c r="N490" s="9">
        <v>0.5</v>
      </c>
      <c r="O490" s="9">
        <f>0.538*0.5</f>
        <v>0.269</v>
      </c>
      <c r="P490" s="10">
        <v>45139.0</v>
      </c>
      <c r="Q490" s="11">
        <v>1.875</v>
      </c>
      <c r="R490" s="8" t="s">
        <v>33</v>
      </c>
      <c r="S490" s="12">
        <f t="shared" si="1"/>
        <v>0.235375</v>
      </c>
      <c r="T490" s="12">
        <f t="shared" si="8"/>
        <v>0.5366810117</v>
      </c>
      <c r="U490" s="145"/>
    </row>
    <row r="491">
      <c r="A491" s="58"/>
      <c r="B491" s="58"/>
      <c r="C491" s="58"/>
      <c r="D491" s="15" t="s">
        <v>19</v>
      </c>
      <c r="E491" s="15" t="s">
        <v>2919</v>
      </c>
      <c r="F491" s="15" t="s">
        <v>1473</v>
      </c>
      <c r="G491" s="15" t="s">
        <v>2660</v>
      </c>
      <c r="H491" s="15">
        <v>0.0</v>
      </c>
      <c r="I491" s="15" t="s">
        <v>28</v>
      </c>
      <c r="J491" s="15" t="s">
        <v>22</v>
      </c>
      <c r="K491" s="15" t="s">
        <v>892</v>
      </c>
      <c r="L491" s="15" t="s">
        <v>1851</v>
      </c>
      <c r="M491" s="16">
        <v>0.0</v>
      </c>
      <c r="N491" s="16">
        <v>0.5</v>
      </c>
      <c r="O491" s="16">
        <v>0.5</v>
      </c>
      <c r="P491" s="17">
        <v>45139.0</v>
      </c>
      <c r="Q491" s="18">
        <v>1.9</v>
      </c>
      <c r="R491" s="15" t="s">
        <v>70</v>
      </c>
      <c r="S491" s="19">
        <f t="shared" si="1"/>
        <v>0</v>
      </c>
      <c r="T491" s="19">
        <f t="shared" si="8"/>
        <v>0.5366810117</v>
      </c>
      <c r="U491" s="144"/>
    </row>
    <row r="492">
      <c r="A492" s="59"/>
      <c r="B492" s="59"/>
      <c r="C492" s="59"/>
      <c r="D492" s="8" t="s">
        <v>19</v>
      </c>
      <c r="E492" s="8" t="s">
        <v>2920</v>
      </c>
      <c r="F492" s="8"/>
      <c r="G492" s="8"/>
      <c r="H492" s="8" t="s">
        <v>2615</v>
      </c>
      <c r="I492" s="8" t="s">
        <v>28</v>
      </c>
      <c r="J492" s="8" t="s">
        <v>22</v>
      </c>
      <c r="K492" s="8" t="s">
        <v>2921</v>
      </c>
      <c r="L492" s="8" t="s">
        <v>24</v>
      </c>
      <c r="M492" s="9">
        <v>-14.0</v>
      </c>
      <c r="N492" s="9">
        <v>0.25</v>
      </c>
      <c r="O492" s="9">
        <f>0.256*0.25</f>
        <v>0.064</v>
      </c>
      <c r="P492" s="10">
        <v>45139.0</v>
      </c>
      <c r="Q492" s="11">
        <v>2.1</v>
      </c>
      <c r="R492" s="8" t="s">
        <v>33</v>
      </c>
      <c r="S492" s="12">
        <f t="shared" si="1"/>
        <v>0.0704</v>
      </c>
      <c r="T492" s="12">
        <f t="shared" si="8"/>
        <v>0.6070810117</v>
      </c>
      <c r="U492" s="145"/>
    </row>
    <row r="493">
      <c r="A493" s="58"/>
      <c r="B493" s="58"/>
      <c r="C493" s="58"/>
      <c r="D493" s="15" t="s">
        <v>19</v>
      </c>
      <c r="E493" s="15" t="s">
        <v>2922</v>
      </c>
      <c r="F493" s="15" t="s">
        <v>1479</v>
      </c>
      <c r="G493" s="15" t="s">
        <v>2660</v>
      </c>
      <c r="H493" s="15">
        <f>1</f>
        <v>1</v>
      </c>
      <c r="I493" s="15" t="s">
        <v>74</v>
      </c>
      <c r="J493" s="15" t="s">
        <v>22</v>
      </c>
      <c r="K493" s="15" t="s">
        <v>892</v>
      </c>
      <c r="L493" s="15" t="s">
        <v>24</v>
      </c>
      <c r="M493" s="16">
        <v>0.0</v>
      </c>
      <c r="N493" s="16">
        <v>0.5</v>
      </c>
      <c r="O493" s="16">
        <v>0.4</v>
      </c>
      <c r="P493" s="17">
        <v>45140.0</v>
      </c>
      <c r="Q493" s="18">
        <v>1.75</v>
      </c>
      <c r="R493" s="15" t="s">
        <v>70</v>
      </c>
      <c r="S493" s="19">
        <f t="shared" si="1"/>
        <v>0</v>
      </c>
      <c r="T493" s="19">
        <f t="shared" si="8"/>
        <v>0.6070810117</v>
      </c>
      <c r="U493" s="144"/>
    </row>
    <row r="494">
      <c r="A494" s="59"/>
      <c r="B494" s="59"/>
      <c r="C494" s="59"/>
      <c r="D494" s="8" t="s">
        <v>19</v>
      </c>
      <c r="E494" s="8" t="s">
        <v>2923</v>
      </c>
      <c r="F494" s="8"/>
      <c r="G494" s="8"/>
      <c r="H494" s="8" t="s">
        <v>2615</v>
      </c>
      <c r="I494" s="8" t="s">
        <v>28</v>
      </c>
      <c r="J494" s="8" t="s">
        <v>22</v>
      </c>
      <c r="K494" s="8" t="s">
        <v>2921</v>
      </c>
      <c r="L494" s="8" t="s">
        <v>24</v>
      </c>
      <c r="M494" s="9">
        <v>-5.5</v>
      </c>
      <c r="N494" s="9">
        <v>0.5</v>
      </c>
      <c r="O494" s="9">
        <v>0.4</v>
      </c>
      <c r="P494" s="10">
        <v>45140.0</v>
      </c>
      <c r="Q494" s="11">
        <v>1.98</v>
      </c>
      <c r="R494" s="8" t="s">
        <v>33</v>
      </c>
      <c r="S494" s="12">
        <f t="shared" si="1"/>
        <v>0.392</v>
      </c>
      <c r="T494" s="12">
        <f t="shared" si="8"/>
        <v>0.9990810117</v>
      </c>
      <c r="U494" s="145"/>
    </row>
    <row r="495">
      <c r="A495" s="58"/>
      <c r="B495" s="58"/>
      <c r="C495" s="58"/>
      <c r="D495" s="15" t="s">
        <v>19</v>
      </c>
      <c r="E495" s="15" t="s">
        <v>2924</v>
      </c>
      <c r="F495" s="15" t="s">
        <v>1479</v>
      </c>
      <c r="G495" s="15" t="s">
        <v>2556</v>
      </c>
      <c r="H495" s="15">
        <v>-1.0</v>
      </c>
      <c r="I495" s="15" t="s">
        <v>583</v>
      </c>
      <c r="J495" s="15" t="s">
        <v>22</v>
      </c>
      <c r="K495" s="15" t="s">
        <v>225</v>
      </c>
      <c r="L495" s="15" t="s">
        <v>24</v>
      </c>
      <c r="M495" s="16">
        <v>0.25</v>
      </c>
      <c r="N495" s="16">
        <v>0.5</v>
      </c>
      <c r="O495" s="16">
        <v>0.5</v>
      </c>
      <c r="P495" s="17">
        <v>45140.0</v>
      </c>
      <c r="Q495" s="18">
        <v>2.02</v>
      </c>
      <c r="R495" s="15" t="s">
        <v>70</v>
      </c>
      <c r="S495" s="19">
        <f t="shared" si="1"/>
        <v>0</v>
      </c>
      <c r="T495" s="19">
        <f t="shared" si="8"/>
        <v>0.9990810117</v>
      </c>
      <c r="U495" s="144"/>
    </row>
    <row r="496">
      <c r="A496" s="59"/>
      <c r="B496" s="59"/>
      <c r="C496" s="59"/>
      <c r="D496" s="8" t="s">
        <v>19</v>
      </c>
      <c r="E496" s="8" t="s">
        <v>2925</v>
      </c>
      <c r="F496" s="8" t="s">
        <v>1473</v>
      </c>
      <c r="G496" s="8" t="s">
        <v>2660</v>
      </c>
      <c r="H496" s="8">
        <f t="shared" ref="H496:H497" si="26">1</f>
        <v>1</v>
      </c>
      <c r="I496" s="8" t="s">
        <v>99</v>
      </c>
      <c r="J496" s="8" t="s">
        <v>22</v>
      </c>
      <c r="K496" s="8" t="s">
        <v>892</v>
      </c>
      <c r="L496" s="8" t="s">
        <v>1851</v>
      </c>
      <c r="M496" s="9">
        <v>0.0</v>
      </c>
      <c r="N496" s="9">
        <v>0.5</v>
      </c>
      <c r="O496" s="9">
        <v>0.5</v>
      </c>
      <c r="P496" s="10">
        <v>45140.0</v>
      </c>
      <c r="Q496" s="11">
        <v>2.15</v>
      </c>
      <c r="R496" s="8" t="s">
        <v>25</v>
      </c>
      <c r="S496" s="12">
        <f t="shared" si="1"/>
        <v>-0.5</v>
      </c>
      <c r="T496" s="12">
        <f t="shared" si="8"/>
        <v>0.4990810117</v>
      </c>
      <c r="U496" s="145"/>
    </row>
    <row r="497">
      <c r="A497" s="58"/>
      <c r="B497" s="58"/>
      <c r="C497" s="58"/>
      <c r="D497" s="15" t="s">
        <v>19</v>
      </c>
      <c r="E497" s="15" t="s">
        <v>2926</v>
      </c>
      <c r="F497" s="15" t="s">
        <v>1473</v>
      </c>
      <c r="G497" s="15" t="s">
        <v>2660</v>
      </c>
      <c r="H497" s="15">
        <f t="shared" si="26"/>
        <v>1</v>
      </c>
      <c r="I497" s="15" t="s">
        <v>28</v>
      </c>
      <c r="J497" s="15" t="s">
        <v>22</v>
      </c>
      <c r="K497" s="15" t="s">
        <v>892</v>
      </c>
      <c r="L497" s="15" t="s">
        <v>1851</v>
      </c>
      <c r="M497" s="16">
        <v>0.0</v>
      </c>
      <c r="N497" s="16">
        <v>0.5</v>
      </c>
      <c r="O497" s="16">
        <v>0.01</v>
      </c>
      <c r="P497" s="17">
        <v>45140.0</v>
      </c>
      <c r="Q497" s="18">
        <v>1.9</v>
      </c>
      <c r="R497" s="15" t="s">
        <v>25</v>
      </c>
      <c r="S497" s="19">
        <f t="shared" si="1"/>
        <v>-0.01</v>
      </c>
      <c r="T497" s="19">
        <f t="shared" si="8"/>
        <v>0.4890810117</v>
      </c>
      <c r="U497" s="144"/>
    </row>
    <row r="498">
      <c r="A498" s="59"/>
      <c r="B498" s="59"/>
      <c r="C498" s="59"/>
      <c r="D498" s="8" t="s">
        <v>19</v>
      </c>
      <c r="E498" s="8" t="s">
        <v>2927</v>
      </c>
      <c r="F498" s="8" t="s">
        <v>1479</v>
      </c>
      <c r="G498" s="8" t="s">
        <v>2660</v>
      </c>
      <c r="H498" s="8">
        <v>-1.0</v>
      </c>
      <c r="I498" s="8" t="s">
        <v>28</v>
      </c>
      <c r="J498" s="8" t="s">
        <v>22</v>
      </c>
      <c r="K498" s="8" t="s">
        <v>892</v>
      </c>
      <c r="L498" s="8" t="s">
        <v>1522</v>
      </c>
      <c r="M498" s="9">
        <v>0.0</v>
      </c>
      <c r="N498" s="9">
        <v>0.5</v>
      </c>
      <c r="O498" s="9">
        <v>0.5</v>
      </c>
      <c r="P498" s="10">
        <v>45140.0</v>
      </c>
      <c r="Q498" s="11">
        <v>1.9</v>
      </c>
      <c r="R498" s="8" t="s">
        <v>70</v>
      </c>
      <c r="S498" s="12">
        <f t="shared" si="1"/>
        <v>0</v>
      </c>
      <c r="T498" s="12">
        <f t="shared" si="8"/>
        <v>0.4890810117</v>
      </c>
      <c r="U498" s="145"/>
    </row>
    <row r="499">
      <c r="A499" s="58"/>
      <c r="B499" s="58"/>
      <c r="C499" s="58"/>
      <c r="D499" s="15" t="s">
        <v>19</v>
      </c>
      <c r="E499" s="15" t="s">
        <v>2928</v>
      </c>
      <c r="F499" s="15" t="s">
        <v>1473</v>
      </c>
      <c r="G499" s="15" t="s">
        <v>2556</v>
      </c>
      <c r="H499" s="15"/>
      <c r="I499" s="15" t="s">
        <v>82</v>
      </c>
      <c r="J499" s="15" t="s">
        <v>598</v>
      </c>
      <c r="K499" s="15" t="s">
        <v>225</v>
      </c>
      <c r="L499" s="15" t="s">
        <v>1522</v>
      </c>
      <c r="M499" s="16">
        <v>0.25</v>
      </c>
      <c r="N499" s="16">
        <v>0.5</v>
      </c>
      <c r="O499" s="16">
        <v>0.5</v>
      </c>
      <c r="P499" s="17">
        <v>45140.0</v>
      </c>
      <c r="Q499" s="18">
        <v>1.8</v>
      </c>
      <c r="R499" s="15" t="s">
        <v>70</v>
      </c>
      <c r="S499" s="19">
        <f t="shared" si="1"/>
        <v>0</v>
      </c>
      <c r="T499" s="19">
        <f t="shared" si="8"/>
        <v>0.4890810117</v>
      </c>
      <c r="U499" s="144"/>
    </row>
    <row r="500">
      <c r="A500" s="59"/>
      <c r="B500" s="59"/>
      <c r="C500" s="59"/>
      <c r="D500" s="8" t="s">
        <v>19</v>
      </c>
      <c r="E500" s="8" t="s">
        <v>2929</v>
      </c>
      <c r="F500" s="8" t="s">
        <v>1479</v>
      </c>
      <c r="G500" s="8" t="s">
        <v>2556</v>
      </c>
      <c r="H500" s="8">
        <v>0.0</v>
      </c>
      <c r="I500" s="8" t="s">
        <v>44</v>
      </c>
      <c r="J500" s="8" t="s">
        <v>22</v>
      </c>
      <c r="K500" s="8" t="s">
        <v>225</v>
      </c>
      <c r="L500" s="8" t="s">
        <v>24</v>
      </c>
      <c r="M500" s="9">
        <v>0.5</v>
      </c>
      <c r="N500" s="9">
        <v>1.0</v>
      </c>
      <c r="O500" s="9">
        <v>1.0</v>
      </c>
      <c r="P500" s="10">
        <v>45140.0</v>
      </c>
      <c r="Q500" s="11">
        <v>1.65</v>
      </c>
      <c r="R500" s="8" t="s">
        <v>33</v>
      </c>
      <c r="S500" s="12">
        <f t="shared" si="1"/>
        <v>0.65</v>
      </c>
      <c r="T500" s="12">
        <f t="shared" si="8"/>
        <v>1.139081012</v>
      </c>
      <c r="U500" s="145"/>
    </row>
    <row r="501">
      <c r="A501" s="58"/>
      <c r="B501" s="58"/>
      <c r="C501" s="58"/>
      <c r="D501" s="15" t="s">
        <v>19</v>
      </c>
      <c r="E501" s="15" t="s">
        <v>2930</v>
      </c>
      <c r="F501" s="15" t="s">
        <v>1479</v>
      </c>
      <c r="G501" s="15" t="s">
        <v>2556</v>
      </c>
      <c r="H501" s="15">
        <v>0.0</v>
      </c>
      <c r="I501" s="15" t="s">
        <v>44</v>
      </c>
      <c r="J501" s="15" t="s">
        <v>22</v>
      </c>
      <c r="K501" s="15" t="s">
        <v>892</v>
      </c>
      <c r="L501" s="15" t="s">
        <v>24</v>
      </c>
      <c r="M501" s="16">
        <v>1.0</v>
      </c>
      <c r="N501" s="16">
        <v>1.0</v>
      </c>
      <c r="O501" s="16">
        <v>1.0</v>
      </c>
      <c r="P501" s="17">
        <v>45140.0</v>
      </c>
      <c r="Q501" s="18">
        <f>1.2</f>
        <v>1.2</v>
      </c>
      <c r="R501" s="15" t="s">
        <v>33</v>
      </c>
      <c r="S501" s="19">
        <f t="shared" si="1"/>
        <v>0.2</v>
      </c>
      <c r="T501" s="19">
        <f t="shared" si="8"/>
        <v>1.339081012</v>
      </c>
      <c r="U501" s="144"/>
    </row>
    <row r="502">
      <c r="A502" s="59"/>
      <c r="B502" s="59"/>
      <c r="C502" s="59"/>
      <c r="D502" s="8" t="s">
        <v>19</v>
      </c>
      <c r="E502" s="8" t="s">
        <v>2931</v>
      </c>
      <c r="F502" s="8" t="s">
        <v>1473</v>
      </c>
      <c r="G502" s="8" t="s">
        <v>2660</v>
      </c>
      <c r="H502" s="8">
        <v>-1.0</v>
      </c>
      <c r="I502" s="8" t="s">
        <v>2932</v>
      </c>
      <c r="J502" s="8" t="s">
        <v>22</v>
      </c>
      <c r="K502" s="8" t="s">
        <v>892</v>
      </c>
      <c r="L502" s="8" t="s">
        <v>24</v>
      </c>
      <c r="M502" s="9">
        <v>0.0</v>
      </c>
      <c r="N502" s="9">
        <v>0.5</v>
      </c>
      <c r="O502" s="9">
        <v>0.5</v>
      </c>
      <c r="P502" s="10">
        <v>45141.0</v>
      </c>
      <c r="Q502" s="11">
        <v>1.88</v>
      </c>
      <c r="R502" s="8" t="s">
        <v>70</v>
      </c>
      <c r="S502" s="12">
        <f t="shared" si="1"/>
        <v>0</v>
      </c>
      <c r="T502" s="12">
        <f t="shared" si="8"/>
        <v>1.339081012</v>
      </c>
      <c r="U502" s="145"/>
    </row>
    <row r="503">
      <c r="A503" s="58"/>
      <c r="B503" s="58"/>
      <c r="C503" s="58"/>
      <c r="D503" s="15" t="s">
        <v>19</v>
      </c>
      <c r="E503" s="15" t="s">
        <v>2933</v>
      </c>
      <c r="F503" s="15" t="s">
        <v>1479</v>
      </c>
      <c r="G503" s="15" t="s">
        <v>2556</v>
      </c>
      <c r="H503" s="15">
        <v>-3.0</v>
      </c>
      <c r="I503" s="15" t="s">
        <v>642</v>
      </c>
      <c r="J503" s="15" t="s">
        <v>22</v>
      </c>
      <c r="K503" s="15" t="s">
        <v>225</v>
      </c>
      <c r="L503" s="15" t="s">
        <v>1851</v>
      </c>
      <c r="M503" s="16">
        <v>0.25</v>
      </c>
      <c r="N503" s="16">
        <v>0.5</v>
      </c>
      <c r="O503" s="16">
        <v>0.5</v>
      </c>
      <c r="P503" s="17">
        <v>45141.0</v>
      </c>
      <c r="Q503" s="18">
        <v>1.11</v>
      </c>
      <c r="R503" s="15" t="s">
        <v>33</v>
      </c>
      <c r="S503" s="19">
        <f t="shared" si="1"/>
        <v>0.055</v>
      </c>
      <c r="T503" s="19">
        <f t="shared" si="8"/>
        <v>1.394081012</v>
      </c>
      <c r="U503" s="144"/>
    </row>
    <row r="504">
      <c r="A504" s="59"/>
      <c r="B504" s="59"/>
      <c r="C504" s="59"/>
      <c r="D504" s="8" t="s">
        <v>19</v>
      </c>
      <c r="E504" s="8" t="s">
        <v>2934</v>
      </c>
      <c r="F504" s="8" t="s">
        <v>1473</v>
      </c>
      <c r="G504" s="8" t="s">
        <v>2660</v>
      </c>
      <c r="H504" s="8"/>
      <c r="I504" s="8" t="s">
        <v>2935</v>
      </c>
      <c r="J504" s="8" t="s">
        <v>598</v>
      </c>
      <c r="K504" s="8" t="s">
        <v>892</v>
      </c>
      <c r="L504" s="8" t="s">
        <v>1851</v>
      </c>
      <c r="M504" s="9">
        <v>0.0</v>
      </c>
      <c r="N504" s="9">
        <v>0.25</v>
      </c>
      <c r="O504" s="9">
        <v>0.25</v>
      </c>
      <c r="P504" s="10">
        <v>45141.0</v>
      </c>
      <c r="Q504" s="11">
        <v>1.9</v>
      </c>
      <c r="R504" s="8" t="s">
        <v>25</v>
      </c>
      <c r="S504" s="12">
        <f t="shared" si="1"/>
        <v>-0.25</v>
      </c>
      <c r="T504" s="12">
        <f t="shared" si="8"/>
        <v>1.144081012</v>
      </c>
      <c r="U504" s="145"/>
    </row>
    <row r="505">
      <c r="A505" s="58"/>
      <c r="B505" s="58"/>
      <c r="C505" s="58"/>
      <c r="D505" s="15" t="s">
        <v>19</v>
      </c>
      <c r="E505" s="15" t="s">
        <v>2936</v>
      </c>
      <c r="F505" s="15" t="s">
        <v>1479</v>
      </c>
      <c r="G505" s="15" t="s">
        <v>2660</v>
      </c>
      <c r="H505" s="15">
        <f>1</f>
        <v>1</v>
      </c>
      <c r="I505" s="15" t="s">
        <v>1961</v>
      </c>
      <c r="J505" s="15" t="s">
        <v>22</v>
      </c>
      <c r="K505" s="15" t="s">
        <v>1150</v>
      </c>
      <c r="L505" s="15" t="s">
        <v>1851</v>
      </c>
      <c r="M505" s="16">
        <v>0.0</v>
      </c>
      <c r="N505" s="16">
        <v>0.5</v>
      </c>
      <c r="O505" s="16">
        <v>0.5</v>
      </c>
      <c r="P505" s="17">
        <v>45141.0</v>
      </c>
      <c r="Q505" s="18">
        <v>1.77</v>
      </c>
      <c r="R505" s="15" t="s">
        <v>70</v>
      </c>
      <c r="S505" s="19">
        <f t="shared" si="1"/>
        <v>0</v>
      </c>
      <c r="T505" s="19">
        <f t="shared" si="8"/>
        <v>1.144081012</v>
      </c>
      <c r="U505" s="144"/>
    </row>
    <row r="506">
      <c r="A506" s="59"/>
      <c r="B506" s="59"/>
      <c r="C506" s="59"/>
      <c r="D506" s="8" t="s">
        <v>19</v>
      </c>
      <c r="E506" s="8" t="s">
        <v>2937</v>
      </c>
      <c r="F506" s="8" t="s">
        <v>1473</v>
      </c>
      <c r="G506" s="8" t="s">
        <v>2556</v>
      </c>
      <c r="H506" s="8"/>
      <c r="I506" s="8" t="s">
        <v>82</v>
      </c>
      <c r="J506" s="8" t="s">
        <v>598</v>
      </c>
      <c r="K506" s="8" t="s">
        <v>225</v>
      </c>
      <c r="L506" s="8" t="s">
        <v>1851</v>
      </c>
      <c r="M506" s="9">
        <v>0.25</v>
      </c>
      <c r="N506" s="9">
        <v>0.5</v>
      </c>
      <c r="O506" s="9">
        <v>0.5</v>
      </c>
      <c r="P506" s="10">
        <v>45144.0</v>
      </c>
      <c r="Q506" s="11">
        <v>1.8</v>
      </c>
      <c r="R506" s="8" t="s">
        <v>30</v>
      </c>
      <c r="S506" s="12">
        <f t="shared" si="1"/>
        <v>0.2</v>
      </c>
      <c r="T506" s="12">
        <f t="shared" si="8"/>
        <v>1.344081012</v>
      </c>
      <c r="U506" s="145"/>
    </row>
    <row r="507">
      <c r="A507" s="58"/>
      <c r="B507" s="58"/>
      <c r="C507" s="58"/>
      <c r="D507" s="15" t="s">
        <v>19</v>
      </c>
      <c r="E507" s="15" t="s">
        <v>2938</v>
      </c>
      <c r="F507" s="15"/>
      <c r="G507" s="15"/>
      <c r="H507" s="15" t="s">
        <v>2615</v>
      </c>
      <c r="I507" s="15" t="s">
        <v>82</v>
      </c>
      <c r="J507" s="15" t="s">
        <v>22</v>
      </c>
      <c r="K507" s="15" t="s">
        <v>2939</v>
      </c>
      <c r="L507" s="15" t="s">
        <v>24</v>
      </c>
      <c r="M507" s="16">
        <v>-2.5</v>
      </c>
      <c r="N507" s="16">
        <v>0.25</v>
      </c>
      <c r="O507" s="16">
        <v>0.25</v>
      </c>
      <c r="P507" s="17">
        <v>45141.0</v>
      </c>
      <c r="Q507" s="18">
        <v>1.18</v>
      </c>
      <c r="R507" s="15" t="s">
        <v>33</v>
      </c>
      <c r="S507" s="19">
        <f t="shared" si="1"/>
        <v>0.045</v>
      </c>
      <c r="T507" s="19">
        <f t="shared" si="8"/>
        <v>1.389081012</v>
      </c>
      <c r="U507" s="144"/>
    </row>
    <row r="508">
      <c r="A508" s="59"/>
      <c r="B508" s="59"/>
      <c r="C508" s="59"/>
      <c r="D508" s="8" t="s">
        <v>19</v>
      </c>
      <c r="E508" s="8" t="s">
        <v>2940</v>
      </c>
      <c r="F508" s="8" t="s">
        <v>1473</v>
      </c>
      <c r="G508" s="8" t="s">
        <v>2556</v>
      </c>
      <c r="H508" s="8">
        <v>0.0</v>
      </c>
      <c r="I508" s="8" t="s">
        <v>2889</v>
      </c>
      <c r="J508" s="8" t="s">
        <v>22</v>
      </c>
      <c r="K508" s="8" t="s">
        <v>2725</v>
      </c>
      <c r="L508" s="8" t="s">
        <v>39</v>
      </c>
      <c r="M508" s="9">
        <v>0.5</v>
      </c>
      <c r="N508" s="9">
        <v>0.5</v>
      </c>
      <c r="O508" s="9">
        <v>0.5</v>
      </c>
      <c r="P508" s="10">
        <v>45142.0</v>
      </c>
      <c r="Q508" s="11">
        <v>1.9</v>
      </c>
      <c r="R508" s="8" t="s">
        <v>33</v>
      </c>
      <c r="S508" s="12">
        <f t="shared" si="1"/>
        <v>0.45</v>
      </c>
      <c r="T508" s="12">
        <f t="shared" si="8"/>
        <v>1.839081012</v>
      </c>
      <c r="U508" s="145"/>
    </row>
    <row r="509">
      <c r="A509" s="58"/>
      <c r="B509" s="58"/>
      <c r="C509" s="58"/>
      <c r="D509" s="15" t="s">
        <v>19</v>
      </c>
      <c r="E509" s="15" t="s">
        <v>2941</v>
      </c>
      <c r="F509" s="15" t="s">
        <v>1473</v>
      </c>
      <c r="G509" s="15" t="s">
        <v>2556</v>
      </c>
      <c r="H509" s="15">
        <v>-2.0</v>
      </c>
      <c r="I509" s="15" t="s">
        <v>157</v>
      </c>
      <c r="J509" s="15" t="s">
        <v>22</v>
      </c>
      <c r="K509" s="15" t="s">
        <v>225</v>
      </c>
      <c r="L509" s="15" t="s">
        <v>24</v>
      </c>
      <c r="M509" s="16">
        <v>1.0</v>
      </c>
      <c r="N509" s="16">
        <v>0.5</v>
      </c>
      <c r="O509" s="16">
        <v>0.5</v>
      </c>
      <c r="P509" s="17">
        <v>45142.0</v>
      </c>
      <c r="Q509" s="18">
        <v>1.105</v>
      </c>
      <c r="R509" s="15" t="s">
        <v>33</v>
      </c>
      <c r="S509" s="19">
        <f t="shared" si="1"/>
        <v>0.0525</v>
      </c>
      <c r="T509" s="19">
        <f t="shared" si="8"/>
        <v>1.891581012</v>
      </c>
      <c r="U509" s="144"/>
    </row>
    <row r="510">
      <c r="A510" s="59"/>
      <c r="B510" s="59"/>
      <c r="C510" s="59"/>
      <c r="D510" s="8" t="s">
        <v>19</v>
      </c>
      <c r="E510" s="8" t="s">
        <v>2942</v>
      </c>
      <c r="F510" s="8" t="s">
        <v>1473</v>
      </c>
      <c r="G510" s="8" t="s">
        <v>2660</v>
      </c>
      <c r="H510" s="8">
        <f>1</f>
        <v>1</v>
      </c>
      <c r="I510" s="8" t="s">
        <v>101</v>
      </c>
      <c r="J510" s="8" t="s">
        <v>22</v>
      </c>
      <c r="K510" s="8" t="s">
        <v>892</v>
      </c>
      <c r="L510" s="8" t="s">
        <v>1522</v>
      </c>
      <c r="M510" s="9">
        <v>0.0</v>
      </c>
      <c r="N510" s="9">
        <v>0.5</v>
      </c>
      <c r="O510" s="9">
        <v>0.5</v>
      </c>
      <c r="P510" s="10">
        <v>45142.0</v>
      </c>
      <c r="Q510" s="11">
        <v>1.6</v>
      </c>
      <c r="R510" s="8" t="s">
        <v>33</v>
      </c>
      <c r="S510" s="12">
        <f t="shared" si="1"/>
        <v>0.3</v>
      </c>
      <c r="T510" s="12">
        <f t="shared" si="8"/>
        <v>2.191581012</v>
      </c>
      <c r="U510" s="145"/>
    </row>
    <row r="511">
      <c r="A511" s="58"/>
      <c r="B511" s="58"/>
      <c r="C511" s="58"/>
      <c r="D511" s="15" t="s">
        <v>19</v>
      </c>
      <c r="E511" s="15" t="s">
        <v>2943</v>
      </c>
      <c r="F511" s="15" t="s">
        <v>1473</v>
      </c>
      <c r="G511" s="15" t="s">
        <v>2660</v>
      </c>
      <c r="H511" s="15"/>
      <c r="I511" s="15" t="s">
        <v>82</v>
      </c>
      <c r="J511" s="15" t="s">
        <v>598</v>
      </c>
      <c r="K511" s="15" t="s">
        <v>892</v>
      </c>
      <c r="L511" s="15" t="s">
        <v>39</v>
      </c>
      <c r="M511" s="16">
        <v>0.0</v>
      </c>
      <c r="N511" s="16">
        <v>0.5</v>
      </c>
      <c r="O511" s="16">
        <v>0.5</v>
      </c>
      <c r="P511" s="17">
        <v>45144.0</v>
      </c>
      <c r="Q511" s="18">
        <v>1.925</v>
      </c>
      <c r="R511" s="15" t="s">
        <v>25</v>
      </c>
      <c r="S511" s="19">
        <f t="shared" si="1"/>
        <v>-0.5</v>
      </c>
      <c r="T511" s="19">
        <f t="shared" si="8"/>
        <v>1.691581012</v>
      </c>
      <c r="U511" s="144"/>
    </row>
    <row r="512">
      <c r="A512" s="59"/>
      <c r="B512" s="59"/>
      <c r="C512" s="59"/>
      <c r="D512" s="8" t="s">
        <v>19</v>
      </c>
      <c r="E512" s="8" t="s">
        <v>2944</v>
      </c>
      <c r="F512" s="8" t="s">
        <v>1473</v>
      </c>
      <c r="G512" s="8" t="s">
        <v>2556</v>
      </c>
      <c r="H512" s="8">
        <v>0.0</v>
      </c>
      <c r="I512" s="8" t="s">
        <v>44</v>
      </c>
      <c r="J512" s="8" t="s">
        <v>22</v>
      </c>
      <c r="K512" s="8" t="s">
        <v>225</v>
      </c>
      <c r="L512" s="8" t="s">
        <v>1522</v>
      </c>
      <c r="M512" s="9">
        <v>1.0</v>
      </c>
      <c r="N512" s="9">
        <v>0.25</v>
      </c>
      <c r="O512" s="9">
        <v>0.25</v>
      </c>
      <c r="P512" s="10">
        <v>45142.0</v>
      </c>
      <c r="Q512" s="11">
        <v>1.7</v>
      </c>
      <c r="R512" s="8" t="s">
        <v>33</v>
      </c>
      <c r="S512" s="12">
        <f t="shared" si="1"/>
        <v>0.175</v>
      </c>
      <c r="T512" s="12">
        <f t="shared" si="8"/>
        <v>1.866581012</v>
      </c>
      <c r="U512" s="145"/>
    </row>
    <row r="513">
      <c r="A513" s="58"/>
      <c r="B513" s="58"/>
      <c r="C513" s="58"/>
      <c r="D513" s="15" t="s">
        <v>19</v>
      </c>
      <c r="E513" s="15" t="s">
        <v>2945</v>
      </c>
      <c r="F513" s="15" t="s">
        <v>1479</v>
      </c>
      <c r="G513" s="15" t="s">
        <v>2556</v>
      </c>
      <c r="H513" s="15">
        <v>-2.0</v>
      </c>
      <c r="I513" s="15" t="s">
        <v>513</v>
      </c>
      <c r="J513" s="15" t="s">
        <v>22</v>
      </c>
      <c r="K513" s="15" t="s">
        <v>225</v>
      </c>
      <c r="L513" s="15" t="s">
        <v>39</v>
      </c>
      <c r="M513" s="16">
        <v>0.5</v>
      </c>
      <c r="N513" s="16">
        <v>0.5</v>
      </c>
      <c r="O513" s="16">
        <v>0.5</v>
      </c>
      <c r="P513" s="17">
        <v>45142.0</v>
      </c>
      <c r="Q513" s="18">
        <f>218.58/150</f>
        <v>1.4572</v>
      </c>
      <c r="R513" s="15" t="s">
        <v>33</v>
      </c>
      <c r="S513" s="19">
        <f t="shared" si="1"/>
        <v>0.2286</v>
      </c>
      <c r="T513" s="19">
        <f t="shared" si="8"/>
        <v>2.095181012</v>
      </c>
      <c r="U513" s="144"/>
    </row>
    <row r="514">
      <c r="A514" s="59"/>
      <c r="B514" s="59"/>
      <c r="C514" s="59"/>
      <c r="D514" s="8" t="s">
        <v>19</v>
      </c>
      <c r="E514" s="8" t="s">
        <v>2946</v>
      </c>
      <c r="F514" s="8" t="s">
        <v>1479</v>
      </c>
      <c r="G514" s="8"/>
      <c r="H514" s="8"/>
      <c r="I514" s="8" t="s">
        <v>82</v>
      </c>
      <c r="J514" s="8" t="s">
        <v>598</v>
      </c>
      <c r="K514" s="8" t="s">
        <v>2415</v>
      </c>
      <c r="L514" s="8" t="s">
        <v>39</v>
      </c>
      <c r="M514" s="9">
        <v>5.5</v>
      </c>
      <c r="N514" s="9">
        <v>0.25</v>
      </c>
      <c r="O514" s="9">
        <v>0.25</v>
      </c>
      <c r="P514" s="10">
        <v>45144.0</v>
      </c>
      <c r="Q514" s="11">
        <v>1.9</v>
      </c>
      <c r="R514" s="8" t="s">
        <v>25</v>
      </c>
      <c r="S514" s="12">
        <f t="shared" si="1"/>
        <v>-0.25</v>
      </c>
      <c r="T514" s="12">
        <f t="shared" si="8"/>
        <v>1.845181012</v>
      </c>
      <c r="U514" s="145"/>
    </row>
    <row r="515">
      <c r="A515" s="58"/>
      <c r="B515" s="58"/>
      <c r="C515" s="58"/>
      <c r="D515" s="15" t="s">
        <v>19</v>
      </c>
      <c r="E515" s="15" t="s">
        <v>2947</v>
      </c>
      <c r="F515" s="15" t="s">
        <v>1473</v>
      </c>
      <c r="G515" s="15" t="s">
        <v>2556</v>
      </c>
      <c r="H515" s="15">
        <v>-4.0</v>
      </c>
      <c r="I515" s="15" t="s">
        <v>513</v>
      </c>
      <c r="J515" s="15" t="s">
        <v>22</v>
      </c>
      <c r="K515" s="15" t="s">
        <v>225</v>
      </c>
      <c r="L515" s="15" t="s">
        <v>1851</v>
      </c>
      <c r="M515" s="16">
        <v>0.25</v>
      </c>
      <c r="N515" s="16">
        <v>0.5</v>
      </c>
      <c r="O515" s="16">
        <f>0.103*0.5</f>
        <v>0.0515</v>
      </c>
      <c r="P515" s="17">
        <v>45142.0</v>
      </c>
      <c r="Q515" s="18">
        <v>1.1</v>
      </c>
      <c r="R515" s="15" t="s">
        <v>33</v>
      </c>
      <c r="S515" s="19">
        <f t="shared" si="1"/>
        <v>0.00515</v>
      </c>
      <c r="T515" s="19">
        <f t="shared" si="8"/>
        <v>1.850331012</v>
      </c>
      <c r="U515" s="144"/>
    </row>
    <row r="516">
      <c r="A516" s="59"/>
      <c r="B516" s="59"/>
      <c r="C516" s="59"/>
      <c r="D516" s="8" t="s">
        <v>19</v>
      </c>
      <c r="E516" s="8" t="s">
        <v>2948</v>
      </c>
      <c r="F516" s="8" t="s">
        <v>1473</v>
      </c>
      <c r="G516" s="8" t="s">
        <v>2556</v>
      </c>
      <c r="H516" s="8">
        <v>0.0</v>
      </c>
      <c r="I516" s="8" t="s">
        <v>101</v>
      </c>
      <c r="J516" s="8" t="s">
        <v>22</v>
      </c>
      <c r="K516" s="8" t="s">
        <v>225</v>
      </c>
      <c r="L516" s="8" t="s">
        <v>24</v>
      </c>
      <c r="M516" s="9">
        <v>0.25</v>
      </c>
      <c r="N516" s="9">
        <v>0.75</v>
      </c>
      <c r="O516" s="9">
        <v>0.75</v>
      </c>
      <c r="P516" s="10">
        <v>45142.0</v>
      </c>
      <c r="Q516" s="11">
        <v>1.5</v>
      </c>
      <c r="R516" s="8" t="s">
        <v>33</v>
      </c>
      <c r="S516" s="12">
        <f t="shared" si="1"/>
        <v>0.375</v>
      </c>
      <c r="T516" s="12">
        <f t="shared" si="8"/>
        <v>2.225331012</v>
      </c>
      <c r="U516" s="145"/>
    </row>
    <row r="517">
      <c r="A517" s="58"/>
      <c r="B517" s="58"/>
      <c r="C517" s="58"/>
      <c r="D517" s="15" t="s">
        <v>19</v>
      </c>
      <c r="E517" s="15" t="s">
        <v>2949</v>
      </c>
      <c r="F517" s="15" t="s">
        <v>1473</v>
      </c>
      <c r="G517" s="15" t="s">
        <v>2660</v>
      </c>
      <c r="H517" s="15">
        <f>1</f>
        <v>1</v>
      </c>
      <c r="I517" s="15" t="s">
        <v>178</v>
      </c>
      <c r="J517" s="15" t="s">
        <v>22</v>
      </c>
      <c r="K517" s="15" t="s">
        <v>892</v>
      </c>
      <c r="L517" s="15" t="s">
        <v>1851</v>
      </c>
      <c r="M517" s="16">
        <v>0.0</v>
      </c>
      <c r="N517" s="16">
        <v>0.25</v>
      </c>
      <c r="O517" s="16">
        <f>13/21*0.25</f>
        <v>0.1547619048</v>
      </c>
      <c r="P517" s="17">
        <v>45142.0</v>
      </c>
      <c r="Q517" s="18">
        <v>1.65</v>
      </c>
      <c r="R517" s="15" t="s">
        <v>33</v>
      </c>
      <c r="S517" s="19">
        <f t="shared" si="1"/>
        <v>0.1005952381</v>
      </c>
      <c r="T517" s="19">
        <f t="shared" si="8"/>
        <v>2.32592625</v>
      </c>
      <c r="U517" s="144"/>
    </row>
    <row r="518">
      <c r="A518" s="59"/>
      <c r="B518" s="59"/>
      <c r="C518" s="59"/>
      <c r="D518" s="8" t="s">
        <v>19</v>
      </c>
      <c r="E518" s="8" t="s">
        <v>2950</v>
      </c>
      <c r="F518" s="8" t="s">
        <v>1473</v>
      </c>
      <c r="G518" s="8" t="s">
        <v>2660</v>
      </c>
      <c r="H518" s="8">
        <v>0.0</v>
      </c>
      <c r="I518" s="8" t="s">
        <v>44</v>
      </c>
      <c r="J518" s="8" t="s">
        <v>22</v>
      </c>
      <c r="K518" s="8" t="s">
        <v>1150</v>
      </c>
      <c r="L518" s="8" t="s">
        <v>1851</v>
      </c>
      <c r="M518" s="9">
        <v>0.0</v>
      </c>
      <c r="N518" s="9">
        <v>0.25</v>
      </c>
      <c r="O518" s="9">
        <v>0.25</v>
      </c>
      <c r="P518" s="10">
        <v>45143.0</v>
      </c>
      <c r="Q518" s="11">
        <v>1.75</v>
      </c>
      <c r="R518" s="8" t="s">
        <v>70</v>
      </c>
      <c r="S518" s="12">
        <f t="shared" si="1"/>
        <v>0</v>
      </c>
      <c r="T518" s="12">
        <f t="shared" si="8"/>
        <v>2.32592625</v>
      </c>
      <c r="U518" s="145"/>
    </row>
    <row r="519">
      <c r="A519" s="58"/>
      <c r="B519" s="58"/>
      <c r="C519" s="58"/>
      <c r="D519" s="15" t="s">
        <v>19</v>
      </c>
      <c r="E519" s="15" t="s">
        <v>2951</v>
      </c>
      <c r="F519" s="15" t="s">
        <v>1473</v>
      </c>
      <c r="G519" s="15" t="s">
        <v>2556</v>
      </c>
      <c r="H519" s="15">
        <v>-1.0</v>
      </c>
      <c r="I519" s="15" t="s">
        <v>593</v>
      </c>
      <c r="J519" s="15" t="s">
        <v>22</v>
      </c>
      <c r="K519" s="15" t="s">
        <v>225</v>
      </c>
      <c r="L519" s="15" t="s">
        <v>24</v>
      </c>
      <c r="M519" s="16">
        <v>0.25</v>
      </c>
      <c r="N519" s="16">
        <v>0.5</v>
      </c>
      <c r="O519" s="16">
        <v>0.5</v>
      </c>
      <c r="P519" s="17">
        <v>45143.0</v>
      </c>
      <c r="Q519" s="18">
        <v>1.825</v>
      </c>
      <c r="R519" s="15" t="s">
        <v>25</v>
      </c>
      <c r="S519" s="19">
        <f t="shared" si="1"/>
        <v>-0.5</v>
      </c>
      <c r="T519" s="19">
        <f t="shared" si="8"/>
        <v>1.82592625</v>
      </c>
      <c r="U519" s="144"/>
    </row>
    <row r="520">
      <c r="A520" s="59"/>
      <c r="B520" s="59"/>
      <c r="C520" s="59"/>
      <c r="D520" s="8" t="s">
        <v>19</v>
      </c>
      <c r="E520" s="8" t="s">
        <v>2952</v>
      </c>
      <c r="F520" s="8" t="s">
        <v>1473</v>
      </c>
      <c r="G520" s="8" t="s">
        <v>2556</v>
      </c>
      <c r="H520" s="8">
        <v>0.0</v>
      </c>
      <c r="I520" s="8" t="s">
        <v>44</v>
      </c>
      <c r="J520" s="8" t="s">
        <v>22</v>
      </c>
      <c r="K520" s="8" t="s">
        <v>225</v>
      </c>
      <c r="L520" s="8" t="s">
        <v>1851</v>
      </c>
      <c r="M520" s="9">
        <v>0.25</v>
      </c>
      <c r="N520" s="9">
        <v>0.5</v>
      </c>
      <c r="O520" s="9">
        <v>0.5</v>
      </c>
      <c r="P520" s="10">
        <v>45143.0</v>
      </c>
      <c r="Q520" s="11">
        <v>1.85</v>
      </c>
      <c r="R520" s="8" t="s">
        <v>30</v>
      </c>
      <c r="S520" s="12">
        <f t="shared" si="1"/>
        <v>0.2125</v>
      </c>
      <c r="T520" s="12">
        <f t="shared" si="8"/>
        <v>2.03842625</v>
      </c>
      <c r="U520" s="145"/>
    </row>
    <row r="521">
      <c r="A521" s="58"/>
      <c r="B521" s="58"/>
      <c r="C521" s="58"/>
      <c r="D521" s="15" t="s">
        <v>19</v>
      </c>
      <c r="E521" s="15" t="s">
        <v>2953</v>
      </c>
      <c r="F521" s="15" t="s">
        <v>1479</v>
      </c>
      <c r="G521" s="15" t="s">
        <v>2556</v>
      </c>
      <c r="H521" s="15">
        <v>0.0</v>
      </c>
      <c r="I521" s="15" t="s">
        <v>44</v>
      </c>
      <c r="J521" s="15" t="s">
        <v>22</v>
      </c>
      <c r="K521" s="15" t="s">
        <v>225</v>
      </c>
      <c r="L521" s="15" t="s">
        <v>24</v>
      </c>
      <c r="M521" s="16">
        <v>0.5</v>
      </c>
      <c r="N521" s="16">
        <v>0.5</v>
      </c>
      <c r="O521" s="16">
        <v>0.5</v>
      </c>
      <c r="P521" s="17">
        <v>45143.0</v>
      </c>
      <c r="Q521" s="18">
        <v>1.635</v>
      </c>
      <c r="R521" s="15" t="s">
        <v>33</v>
      </c>
      <c r="S521" s="19">
        <f t="shared" si="1"/>
        <v>0.3175</v>
      </c>
      <c r="T521" s="19">
        <f t="shared" si="8"/>
        <v>2.35592625</v>
      </c>
      <c r="U521" s="144"/>
    </row>
    <row r="522">
      <c r="A522" s="59"/>
      <c r="B522" s="59"/>
      <c r="C522" s="59"/>
      <c r="D522" s="8" t="s">
        <v>19</v>
      </c>
      <c r="E522" s="8" t="s">
        <v>2954</v>
      </c>
      <c r="F522" s="8" t="s">
        <v>1473</v>
      </c>
      <c r="G522" s="8" t="s">
        <v>2556</v>
      </c>
      <c r="H522" s="8">
        <v>0.0</v>
      </c>
      <c r="I522" s="8" t="s">
        <v>44</v>
      </c>
      <c r="J522" s="8" t="s">
        <v>22</v>
      </c>
      <c r="K522" s="8" t="s">
        <v>225</v>
      </c>
      <c r="L522" s="8" t="s">
        <v>24</v>
      </c>
      <c r="M522" s="9">
        <v>1.0</v>
      </c>
      <c r="N522" s="9">
        <v>0.5</v>
      </c>
      <c r="O522" s="9">
        <v>0.5</v>
      </c>
      <c r="P522" s="10">
        <v>45143.0</v>
      </c>
      <c r="Q522" s="11">
        <v>1.735</v>
      </c>
      <c r="R522" s="8" t="s">
        <v>33</v>
      </c>
      <c r="S522" s="12">
        <f t="shared" si="1"/>
        <v>0.3675</v>
      </c>
      <c r="T522" s="12">
        <f t="shared" si="8"/>
        <v>2.72342625</v>
      </c>
      <c r="U522" s="145"/>
    </row>
    <row r="523">
      <c r="A523" s="58"/>
      <c r="B523" s="58"/>
      <c r="C523" s="58"/>
      <c r="D523" s="15" t="s">
        <v>19</v>
      </c>
      <c r="E523" s="15" t="s">
        <v>2955</v>
      </c>
      <c r="F523" s="15" t="s">
        <v>1473</v>
      </c>
      <c r="G523" s="15" t="s">
        <v>2556</v>
      </c>
      <c r="H523" s="15">
        <v>-1.0</v>
      </c>
      <c r="I523" s="15" t="s">
        <v>920</v>
      </c>
      <c r="J523" s="15" t="s">
        <v>22</v>
      </c>
      <c r="K523" s="15" t="s">
        <v>225</v>
      </c>
      <c r="L523" s="15" t="s">
        <v>24</v>
      </c>
      <c r="M523" s="16">
        <v>0.5</v>
      </c>
      <c r="N523" s="16">
        <v>0.5</v>
      </c>
      <c r="O523" s="16">
        <v>0.5</v>
      </c>
      <c r="P523" s="17">
        <v>45143.0</v>
      </c>
      <c r="Q523" s="18">
        <v>1.85</v>
      </c>
      <c r="R523" s="15" t="s">
        <v>25</v>
      </c>
      <c r="S523" s="19">
        <f t="shared" si="1"/>
        <v>-0.5</v>
      </c>
      <c r="T523" s="19">
        <f t="shared" si="8"/>
        <v>2.22342625</v>
      </c>
      <c r="U523" s="144"/>
    </row>
    <row r="524">
      <c r="A524" s="59"/>
      <c r="B524" s="59"/>
      <c r="C524" s="59"/>
      <c r="D524" s="8" t="s">
        <v>19</v>
      </c>
      <c r="E524" s="8" t="s">
        <v>2956</v>
      </c>
      <c r="F524" s="8" t="s">
        <v>1473</v>
      </c>
      <c r="G524" s="8" t="s">
        <v>2556</v>
      </c>
      <c r="H524" s="8">
        <v>-2.0</v>
      </c>
      <c r="I524" s="8" t="s">
        <v>432</v>
      </c>
      <c r="J524" s="8" t="s">
        <v>22</v>
      </c>
      <c r="K524" s="8" t="s">
        <v>225</v>
      </c>
      <c r="L524" s="8" t="s">
        <v>24</v>
      </c>
      <c r="M524" s="9">
        <v>0.25</v>
      </c>
      <c r="N524" s="9">
        <v>0.5</v>
      </c>
      <c r="O524" s="9">
        <v>0.5</v>
      </c>
      <c r="P524" s="54">
        <v>45143.0</v>
      </c>
      <c r="Q524" s="11">
        <v>2.075</v>
      </c>
      <c r="R524" s="8" t="s">
        <v>33</v>
      </c>
      <c r="S524" s="12">
        <f t="shared" si="1"/>
        <v>0.5375</v>
      </c>
      <c r="T524" s="12">
        <f t="shared" si="8"/>
        <v>2.76092625</v>
      </c>
      <c r="U524" s="145"/>
    </row>
    <row r="525">
      <c r="A525" s="58"/>
      <c r="B525" s="58"/>
      <c r="C525" s="58"/>
      <c r="D525" s="15" t="s">
        <v>19</v>
      </c>
      <c r="E525" s="15" t="s">
        <v>2957</v>
      </c>
      <c r="F525" s="15" t="s">
        <v>1479</v>
      </c>
      <c r="G525" s="15" t="s">
        <v>2556</v>
      </c>
      <c r="H525" s="15">
        <f>1</f>
        <v>1</v>
      </c>
      <c r="I525" s="15" t="s">
        <v>38</v>
      </c>
      <c r="J525" s="15" t="s">
        <v>22</v>
      </c>
      <c r="K525" s="15" t="s">
        <v>225</v>
      </c>
      <c r="L525" s="15" t="s">
        <v>1851</v>
      </c>
      <c r="M525" s="16">
        <v>0.25</v>
      </c>
      <c r="N525" s="16">
        <v>0.5</v>
      </c>
      <c r="O525" s="16">
        <v>0.5</v>
      </c>
      <c r="P525" s="17">
        <v>45143.0</v>
      </c>
      <c r="Q525" s="18">
        <f>1.275</f>
        <v>1.275</v>
      </c>
      <c r="R525" s="15" t="s">
        <v>33</v>
      </c>
      <c r="S525" s="19">
        <f t="shared" si="1"/>
        <v>0.1375</v>
      </c>
      <c r="T525" s="19">
        <f t="shared" si="8"/>
        <v>2.89842625</v>
      </c>
      <c r="U525" s="144"/>
    </row>
    <row r="526">
      <c r="A526" s="59"/>
      <c r="B526" s="59"/>
      <c r="C526" s="59"/>
      <c r="D526" s="8" t="s">
        <v>19</v>
      </c>
      <c r="E526" s="8" t="s">
        <v>2958</v>
      </c>
      <c r="F526" s="8" t="s">
        <v>1479</v>
      </c>
      <c r="G526" s="8" t="s">
        <v>2660</v>
      </c>
      <c r="H526" s="8">
        <v>0.0</v>
      </c>
      <c r="I526" s="8" t="s">
        <v>28</v>
      </c>
      <c r="J526" s="8" t="s">
        <v>22</v>
      </c>
      <c r="K526" s="8" t="s">
        <v>892</v>
      </c>
      <c r="L526" s="8" t="s">
        <v>39</v>
      </c>
      <c r="M526" s="9">
        <v>0.0</v>
      </c>
      <c r="N526" s="9">
        <v>0.5</v>
      </c>
      <c r="O526" s="9">
        <v>0.5</v>
      </c>
      <c r="P526" s="10">
        <v>45143.0</v>
      </c>
      <c r="Q526" s="11">
        <v>1.8</v>
      </c>
      <c r="R526" s="8" t="s">
        <v>25</v>
      </c>
      <c r="S526" s="12">
        <f t="shared" si="1"/>
        <v>-0.5</v>
      </c>
      <c r="T526" s="12">
        <f t="shared" si="8"/>
        <v>2.39842625</v>
      </c>
      <c r="U526" s="145"/>
    </row>
    <row r="527">
      <c r="A527" s="58"/>
      <c r="B527" s="58"/>
      <c r="C527" s="58"/>
      <c r="D527" s="15" t="s">
        <v>19</v>
      </c>
      <c r="E527" s="15" t="s">
        <v>2959</v>
      </c>
      <c r="F527" s="15"/>
      <c r="G527" s="15"/>
      <c r="H527" s="15" t="s">
        <v>2960</v>
      </c>
      <c r="I527" s="15" t="s">
        <v>432</v>
      </c>
      <c r="J527" s="15" t="s">
        <v>22</v>
      </c>
      <c r="K527" s="15" t="s">
        <v>23</v>
      </c>
      <c r="L527" s="15" t="s">
        <v>24</v>
      </c>
      <c r="M527" s="16">
        <v>-11.0</v>
      </c>
      <c r="N527" s="16">
        <v>0.25</v>
      </c>
      <c r="O527" s="16">
        <v>0.25</v>
      </c>
      <c r="P527" s="17">
        <v>45143.0</v>
      </c>
      <c r="Q527" s="18">
        <v>1.72</v>
      </c>
      <c r="R527" s="15" t="s">
        <v>33</v>
      </c>
      <c r="S527" s="19">
        <f t="shared" si="1"/>
        <v>0.18</v>
      </c>
      <c r="T527" s="19">
        <f t="shared" si="8"/>
        <v>2.57842625</v>
      </c>
      <c r="U527" s="144"/>
    </row>
    <row r="528">
      <c r="A528" s="59"/>
      <c r="B528" s="59"/>
      <c r="C528" s="59"/>
      <c r="D528" s="8" t="s">
        <v>40</v>
      </c>
      <c r="E528" s="8" t="s">
        <v>2961</v>
      </c>
      <c r="F528" s="8"/>
      <c r="G528" s="8" t="s">
        <v>2939</v>
      </c>
      <c r="H528" s="8" t="s">
        <v>2615</v>
      </c>
      <c r="I528" s="8" t="s">
        <v>82</v>
      </c>
      <c r="J528" s="8" t="s">
        <v>22</v>
      </c>
      <c r="K528" s="8" t="s">
        <v>2962</v>
      </c>
      <c r="L528" s="8" t="s">
        <v>24</v>
      </c>
      <c r="M528" s="9">
        <v>-0.5</v>
      </c>
      <c r="N528" s="9">
        <v>0.25</v>
      </c>
      <c r="O528" s="9">
        <v>0.25</v>
      </c>
      <c r="P528" s="10">
        <v>45143.0</v>
      </c>
      <c r="Q528" s="11">
        <v>1.06</v>
      </c>
      <c r="R528" s="8" t="s">
        <v>33</v>
      </c>
      <c r="S528" s="12">
        <f t="shared" si="1"/>
        <v>0.015</v>
      </c>
      <c r="T528" s="12">
        <f t="shared" si="8"/>
        <v>2.59342625</v>
      </c>
      <c r="U528" s="145"/>
    </row>
    <row r="529">
      <c r="A529" s="58"/>
      <c r="B529" s="58"/>
      <c r="C529" s="58"/>
      <c r="D529" s="15" t="s">
        <v>19</v>
      </c>
      <c r="E529" s="15" t="s">
        <v>2963</v>
      </c>
      <c r="F529" s="15"/>
      <c r="G529" s="15"/>
      <c r="H529" s="15" t="s">
        <v>2964</v>
      </c>
      <c r="I529" s="15" t="s">
        <v>82</v>
      </c>
      <c r="J529" s="15" t="s">
        <v>22</v>
      </c>
      <c r="K529" s="15" t="s">
        <v>2965</v>
      </c>
      <c r="L529" s="15" t="s">
        <v>24</v>
      </c>
      <c r="M529" s="16">
        <v>-3.5</v>
      </c>
      <c r="N529" s="16">
        <v>0.25</v>
      </c>
      <c r="O529" s="16">
        <v>0.25</v>
      </c>
      <c r="P529" s="17">
        <v>45143.0</v>
      </c>
      <c r="Q529" s="18">
        <v>2.0</v>
      </c>
      <c r="R529" s="15" t="s">
        <v>25</v>
      </c>
      <c r="S529" s="19">
        <f t="shared" si="1"/>
        <v>-0.25</v>
      </c>
      <c r="T529" s="19">
        <f t="shared" si="8"/>
        <v>2.34342625</v>
      </c>
      <c r="U529" s="144"/>
    </row>
    <row r="530">
      <c r="A530" s="59"/>
      <c r="B530" s="59"/>
      <c r="C530" s="59"/>
      <c r="D530" s="8" t="s">
        <v>19</v>
      </c>
      <c r="E530" s="8" t="s">
        <v>2966</v>
      </c>
      <c r="F530" s="8" t="s">
        <v>1473</v>
      </c>
      <c r="G530" s="8" t="s">
        <v>2556</v>
      </c>
      <c r="H530" s="8">
        <v>-1.0</v>
      </c>
      <c r="I530" s="8" t="s">
        <v>513</v>
      </c>
      <c r="J530" s="8" t="s">
        <v>22</v>
      </c>
      <c r="K530" s="8" t="s">
        <v>225</v>
      </c>
      <c r="L530" s="8" t="s">
        <v>24</v>
      </c>
      <c r="M530" s="9">
        <v>1.0</v>
      </c>
      <c r="N530" s="9">
        <v>0.5</v>
      </c>
      <c r="O530" s="9">
        <v>0.5</v>
      </c>
      <c r="P530" s="10">
        <v>45144.0</v>
      </c>
      <c r="Q530" s="11">
        <f>161/150</f>
        <v>1.073333333</v>
      </c>
      <c r="R530" s="8" t="s">
        <v>33</v>
      </c>
      <c r="S530" s="12">
        <f t="shared" si="1"/>
        <v>0.03666666667</v>
      </c>
      <c r="T530" s="12">
        <f t="shared" si="8"/>
        <v>2.380092916</v>
      </c>
      <c r="U530" s="145"/>
    </row>
    <row r="531">
      <c r="A531" s="58"/>
      <c r="B531" s="58"/>
      <c r="C531" s="58"/>
      <c r="D531" s="15" t="s">
        <v>19</v>
      </c>
      <c r="E531" s="15" t="s">
        <v>2967</v>
      </c>
      <c r="F531" s="15" t="s">
        <v>1479</v>
      </c>
      <c r="G531" s="15" t="s">
        <v>2556</v>
      </c>
      <c r="H531" s="15"/>
      <c r="I531" s="15" t="s">
        <v>82</v>
      </c>
      <c r="J531" s="15" t="s">
        <v>598</v>
      </c>
      <c r="K531" s="15" t="s">
        <v>225</v>
      </c>
      <c r="L531" s="15" t="s">
        <v>39</v>
      </c>
      <c r="M531" s="16">
        <v>0.25</v>
      </c>
      <c r="N531" s="16">
        <v>0.25</v>
      </c>
      <c r="O531" s="16">
        <v>0.25</v>
      </c>
      <c r="P531" s="17">
        <v>45144.0</v>
      </c>
      <c r="Q531" s="18">
        <v>1.79</v>
      </c>
      <c r="R531" s="15" t="s">
        <v>25</v>
      </c>
      <c r="S531" s="19">
        <f t="shared" si="1"/>
        <v>-0.25</v>
      </c>
      <c r="T531" s="19">
        <f t="shared" si="8"/>
        <v>2.130092916</v>
      </c>
      <c r="U531" s="144"/>
    </row>
    <row r="532">
      <c r="A532" s="59"/>
      <c r="B532" s="59"/>
      <c r="C532" s="59"/>
      <c r="D532" s="8" t="s">
        <v>19</v>
      </c>
      <c r="E532" s="8" t="s">
        <v>2968</v>
      </c>
      <c r="F532" s="8"/>
      <c r="G532" s="8"/>
      <c r="H532" s="8" t="s">
        <v>2615</v>
      </c>
      <c r="I532" s="8" t="s">
        <v>82</v>
      </c>
      <c r="J532" s="8" t="s">
        <v>22</v>
      </c>
      <c r="K532" s="8" t="s">
        <v>29</v>
      </c>
      <c r="L532" s="8" t="s">
        <v>24</v>
      </c>
      <c r="M532" s="9">
        <v>-8.5</v>
      </c>
      <c r="N532" s="9">
        <v>0.5</v>
      </c>
      <c r="O532" s="9">
        <f>13/19*0.5</f>
        <v>0.3421052632</v>
      </c>
      <c r="P532" s="10">
        <v>45144.0</v>
      </c>
      <c r="Q532" s="11">
        <v>1.825</v>
      </c>
      <c r="R532" s="8" t="s">
        <v>33</v>
      </c>
      <c r="S532" s="12">
        <f t="shared" si="1"/>
        <v>0.2822368421</v>
      </c>
      <c r="T532" s="12">
        <f t="shared" si="8"/>
        <v>2.412329759</v>
      </c>
      <c r="U532" s="145"/>
    </row>
    <row r="533">
      <c r="A533" s="58"/>
      <c r="B533" s="58"/>
      <c r="C533" s="58"/>
      <c r="D533" s="15" t="s">
        <v>19</v>
      </c>
      <c r="E533" s="15" t="s">
        <v>2969</v>
      </c>
      <c r="F533" s="15" t="s">
        <v>1473</v>
      </c>
      <c r="G533" s="15" t="s">
        <v>2556</v>
      </c>
      <c r="H533" s="15">
        <v>-1.0</v>
      </c>
      <c r="I533" s="15" t="s">
        <v>44</v>
      </c>
      <c r="J533" s="15" t="s">
        <v>22</v>
      </c>
      <c r="K533" s="15" t="s">
        <v>225</v>
      </c>
      <c r="L533" s="15" t="s">
        <v>1522</v>
      </c>
      <c r="M533" s="16">
        <v>1.0</v>
      </c>
      <c r="N533" s="16">
        <v>0.75</v>
      </c>
      <c r="O533" s="16">
        <v>0.75</v>
      </c>
      <c r="P533" s="17">
        <v>45144.0</v>
      </c>
      <c r="Q533" s="18">
        <v>1.9</v>
      </c>
      <c r="R533" s="15" t="s">
        <v>25</v>
      </c>
      <c r="S533" s="19">
        <f t="shared" si="1"/>
        <v>-0.75</v>
      </c>
      <c r="T533" s="19">
        <f t="shared" si="8"/>
        <v>1.662329759</v>
      </c>
      <c r="U533" s="144"/>
    </row>
    <row r="534">
      <c r="A534" s="59"/>
      <c r="B534" s="59"/>
      <c r="C534" s="59"/>
      <c r="D534" s="8" t="s">
        <v>19</v>
      </c>
      <c r="E534" s="8" t="s">
        <v>2970</v>
      </c>
      <c r="F534" s="8" t="s">
        <v>1473</v>
      </c>
      <c r="G534" s="8" t="s">
        <v>2556</v>
      </c>
      <c r="H534" s="8">
        <v>-1.0</v>
      </c>
      <c r="I534" s="8" t="s">
        <v>78</v>
      </c>
      <c r="J534" s="8" t="s">
        <v>22</v>
      </c>
      <c r="K534" s="8" t="s">
        <v>225</v>
      </c>
      <c r="L534" s="8" t="s">
        <v>1522</v>
      </c>
      <c r="M534" s="9">
        <v>0.25</v>
      </c>
      <c r="N534" s="9">
        <v>0.75</v>
      </c>
      <c r="O534" s="9">
        <v>0.75</v>
      </c>
      <c r="P534" s="10">
        <v>45144.0</v>
      </c>
      <c r="Q534" s="11">
        <v>1.775</v>
      </c>
      <c r="R534" s="8" t="s">
        <v>25</v>
      </c>
      <c r="S534" s="12">
        <f t="shared" si="1"/>
        <v>-0.75</v>
      </c>
      <c r="T534" s="12">
        <f t="shared" si="8"/>
        <v>0.9123297585</v>
      </c>
      <c r="U534" s="145"/>
    </row>
    <row r="535">
      <c r="A535" s="58"/>
      <c r="B535" s="58"/>
      <c r="C535" s="58"/>
      <c r="D535" s="15" t="s">
        <v>19</v>
      </c>
      <c r="E535" s="15" t="s">
        <v>2971</v>
      </c>
      <c r="F535" s="15" t="s">
        <v>1473</v>
      </c>
      <c r="G535" s="15" t="s">
        <v>2556</v>
      </c>
      <c r="H535" s="15">
        <v>-1.0</v>
      </c>
      <c r="I535" s="15" t="s">
        <v>2873</v>
      </c>
      <c r="J535" s="15" t="s">
        <v>22</v>
      </c>
      <c r="K535" s="15" t="s">
        <v>225</v>
      </c>
      <c r="L535" s="15" t="s">
        <v>39</v>
      </c>
      <c r="M535" s="16">
        <v>0.75</v>
      </c>
      <c r="N535" s="16">
        <v>0.5</v>
      </c>
      <c r="O535" s="16">
        <v>0.5</v>
      </c>
      <c r="P535" s="17">
        <v>45144.0</v>
      </c>
      <c r="Q535" s="18">
        <v>1.9</v>
      </c>
      <c r="R535" s="15" t="s">
        <v>79</v>
      </c>
      <c r="S535" s="19">
        <f t="shared" si="1"/>
        <v>-0.25</v>
      </c>
      <c r="T535" s="19">
        <f t="shared" si="8"/>
        <v>0.6623297585</v>
      </c>
      <c r="U535" s="144"/>
    </row>
    <row r="536">
      <c r="A536" s="59"/>
      <c r="B536" s="59"/>
      <c r="C536" s="59"/>
      <c r="D536" s="8" t="s">
        <v>19</v>
      </c>
      <c r="E536" s="8" t="s">
        <v>2972</v>
      </c>
      <c r="F536" s="8" t="s">
        <v>1479</v>
      </c>
      <c r="G536" s="8" t="s">
        <v>2556</v>
      </c>
      <c r="H536" s="8">
        <v>-2.0</v>
      </c>
      <c r="I536" s="8" t="s">
        <v>2898</v>
      </c>
      <c r="J536" s="8" t="s">
        <v>22</v>
      </c>
      <c r="K536" s="8" t="s">
        <v>225</v>
      </c>
      <c r="L536" s="8" t="s">
        <v>39</v>
      </c>
      <c r="M536" s="9">
        <v>0.5</v>
      </c>
      <c r="N536" s="9">
        <v>0.5</v>
      </c>
      <c r="O536" s="9">
        <v>0.5</v>
      </c>
      <c r="P536" s="10">
        <v>45144.0</v>
      </c>
      <c r="Q536" s="11">
        <v>1.775</v>
      </c>
      <c r="R536" s="8" t="s">
        <v>25</v>
      </c>
      <c r="S536" s="12">
        <f t="shared" si="1"/>
        <v>-0.5</v>
      </c>
      <c r="T536" s="12">
        <f t="shared" si="8"/>
        <v>0.1623297585</v>
      </c>
      <c r="U536" s="145"/>
    </row>
    <row r="537">
      <c r="A537" s="58"/>
      <c r="B537" s="58"/>
      <c r="C537" s="58"/>
      <c r="D537" s="15" t="s">
        <v>19</v>
      </c>
      <c r="E537" s="15" t="s">
        <v>2973</v>
      </c>
      <c r="F537" s="15" t="s">
        <v>1473</v>
      </c>
      <c r="G537" s="15" t="s">
        <v>2556</v>
      </c>
      <c r="H537" s="15">
        <v>-2.0</v>
      </c>
      <c r="I537" s="15" t="s">
        <v>44</v>
      </c>
      <c r="J537" s="15" t="s">
        <v>22</v>
      </c>
      <c r="K537" s="15" t="s">
        <v>225</v>
      </c>
      <c r="L537" s="15" t="s">
        <v>39</v>
      </c>
      <c r="M537" s="16">
        <v>0.5</v>
      </c>
      <c r="N537" s="16">
        <v>0.25</v>
      </c>
      <c r="O537" s="16">
        <v>0.25</v>
      </c>
      <c r="P537" s="17">
        <v>45144.0</v>
      </c>
      <c r="Q537" s="18">
        <v>1.725</v>
      </c>
      <c r="R537" s="15" t="s">
        <v>25</v>
      </c>
      <c r="S537" s="19">
        <f t="shared" si="1"/>
        <v>-0.25</v>
      </c>
      <c r="T537" s="19">
        <f t="shared" si="8"/>
        <v>-0.08767024147</v>
      </c>
      <c r="U537" s="144"/>
    </row>
    <row r="538">
      <c r="A538" s="59"/>
      <c r="B538" s="59"/>
      <c r="C538" s="59"/>
      <c r="D538" s="8" t="s">
        <v>19</v>
      </c>
      <c r="E538" s="8" t="s">
        <v>2974</v>
      </c>
      <c r="F538" s="8" t="s">
        <v>1479</v>
      </c>
      <c r="G538" s="8" t="s">
        <v>2556</v>
      </c>
      <c r="H538" s="8"/>
      <c r="I538" s="8" t="s">
        <v>38</v>
      </c>
      <c r="J538" s="8" t="s">
        <v>598</v>
      </c>
      <c r="K538" s="8" t="s">
        <v>225</v>
      </c>
      <c r="L538" s="8" t="s">
        <v>1522</v>
      </c>
      <c r="M538" s="9">
        <v>0.75</v>
      </c>
      <c r="N538" s="9">
        <v>0.25</v>
      </c>
      <c r="O538" s="9">
        <v>0.25</v>
      </c>
      <c r="P538" s="10">
        <v>45144.0</v>
      </c>
      <c r="Q538" s="11">
        <f>103.77/75</f>
        <v>1.3836</v>
      </c>
      <c r="R538" s="8" t="s">
        <v>33</v>
      </c>
      <c r="S538" s="12">
        <f t="shared" si="1"/>
        <v>0.0959</v>
      </c>
      <c r="T538" s="12">
        <f t="shared" si="8"/>
        <v>0.008229758534</v>
      </c>
      <c r="U538" s="145"/>
    </row>
    <row r="539">
      <c r="A539" s="58"/>
      <c r="B539" s="58"/>
      <c r="C539" s="58"/>
      <c r="D539" s="15" t="s">
        <v>19</v>
      </c>
      <c r="E539" s="15" t="s">
        <v>2974</v>
      </c>
      <c r="F539" s="15" t="s">
        <v>1479</v>
      </c>
      <c r="G539" s="15"/>
      <c r="H539" s="15"/>
      <c r="I539" s="15" t="s">
        <v>38</v>
      </c>
      <c r="J539" s="15" t="s">
        <v>598</v>
      </c>
      <c r="K539" s="15" t="s">
        <v>225</v>
      </c>
      <c r="L539" s="15" t="s">
        <v>1522</v>
      </c>
      <c r="M539" s="16">
        <v>0.75</v>
      </c>
      <c r="N539" s="16">
        <v>0.25</v>
      </c>
      <c r="O539" s="16">
        <v>0.25</v>
      </c>
      <c r="P539" s="17">
        <v>45144.0</v>
      </c>
      <c r="Q539" s="18">
        <v>1.86</v>
      </c>
      <c r="R539" s="15" t="s">
        <v>33</v>
      </c>
      <c r="S539" s="19">
        <f t="shared" si="1"/>
        <v>0.215</v>
      </c>
      <c r="T539" s="19">
        <f t="shared" si="8"/>
        <v>0.2232297585</v>
      </c>
      <c r="U539" s="144"/>
    </row>
    <row r="540">
      <c r="A540" s="59"/>
      <c r="B540" s="59"/>
      <c r="C540" s="59"/>
      <c r="D540" s="8" t="s">
        <v>19</v>
      </c>
      <c r="E540" s="8" t="s">
        <v>2975</v>
      </c>
      <c r="F540" s="8" t="s">
        <v>1479</v>
      </c>
      <c r="G540" s="8" t="s">
        <v>2556</v>
      </c>
      <c r="H540" s="8">
        <v>-1.0</v>
      </c>
      <c r="I540" s="8" t="s">
        <v>525</v>
      </c>
      <c r="J540" s="8" t="s">
        <v>22</v>
      </c>
      <c r="K540" s="8" t="s">
        <v>225</v>
      </c>
      <c r="L540" s="8" t="s">
        <v>24</v>
      </c>
      <c r="M540" s="9">
        <v>0.75</v>
      </c>
      <c r="N540" s="9">
        <v>0.5</v>
      </c>
      <c r="O540" s="9">
        <v>0.5</v>
      </c>
      <c r="P540" s="10">
        <v>45144.0</v>
      </c>
      <c r="Q540" s="11">
        <f>153.34/150</f>
        <v>1.022266667</v>
      </c>
      <c r="R540" s="8" t="s">
        <v>33</v>
      </c>
      <c r="S540" s="12">
        <f t="shared" si="1"/>
        <v>0.01113333333</v>
      </c>
      <c r="T540" s="12">
        <f t="shared" si="8"/>
        <v>0.2343630919</v>
      </c>
      <c r="U540" s="145"/>
    </row>
    <row r="541">
      <c r="A541" s="58"/>
      <c r="B541" s="58"/>
      <c r="C541" s="58"/>
      <c r="D541" s="15" t="s">
        <v>19</v>
      </c>
      <c r="E541" s="15" t="s">
        <v>2976</v>
      </c>
      <c r="F541" s="15" t="s">
        <v>1479</v>
      </c>
      <c r="G541" s="15" t="s">
        <v>2556</v>
      </c>
      <c r="H541" s="15">
        <v>-1.0</v>
      </c>
      <c r="I541" s="15" t="s">
        <v>525</v>
      </c>
      <c r="J541" s="15" t="s">
        <v>22</v>
      </c>
      <c r="K541" s="15" t="s">
        <v>225</v>
      </c>
      <c r="L541" s="15" t="s">
        <v>24</v>
      </c>
      <c r="M541" s="16">
        <v>0.5</v>
      </c>
      <c r="N541" s="16">
        <v>0.25</v>
      </c>
      <c r="O541" s="16">
        <v>0.25</v>
      </c>
      <c r="P541" s="17">
        <v>45144.0</v>
      </c>
      <c r="Q541" s="18">
        <v>2.05</v>
      </c>
      <c r="R541" s="15" t="s">
        <v>70</v>
      </c>
      <c r="S541" s="19">
        <f t="shared" si="1"/>
        <v>0</v>
      </c>
      <c r="T541" s="19">
        <f t="shared" si="8"/>
        <v>0.2343630919</v>
      </c>
      <c r="U541" s="144"/>
    </row>
    <row r="542">
      <c r="A542" s="59"/>
      <c r="B542" s="59"/>
      <c r="C542" s="59"/>
      <c r="D542" s="8" t="s">
        <v>19</v>
      </c>
      <c r="E542" s="8" t="s">
        <v>2977</v>
      </c>
      <c r="F542" s="8" t="s">
        <v>1473</v>
      </c>
      <c r="G542" s="8" t="s">
        <v>2556</v>
      </c>
      <c r="H542" s="8">
        <v>2</v>
      </c>
      <c r="I542" s="8" t="s">
        <v>101</v>
      </c>
      <c r="J542" s="8" t="s">
        <v>22</v>
      </c>
      <c r="K542" s="8" t="s">
        <v>225</v>
      </c>
      <c r="L542" s="8" t="s">
        <v>24</v>
      </c>
      <c r="M542" s="9">
        <v>0.5</v>
      </c>
      <c r="N542" s="9">
        <v>0.5</v>
      </c>
      <c r="O542" s="9">
        <v>0.5</v>
      </c>
      <c r="P542" s="10">
        <v>45144.0</v>
      </c>
      <c r="Q542" s="11">
        <f>165/150</f>
        <v>1.1</v>
      </c>
      <c r="R542" s="8" t="s">
        <v>33</v>
      </c>
      <c r="S542" s="12">
        <f t="shared" si="1"/>
        <v>0.05</v>
      </c>
      <c r="T542" s="12">
        <f t="shared" si="8"/>
        <v>0.2843630919</v>
      </c>
      <c r="U542" s="145"/>
    </row>
    <row r="543">
      <c r="A543" s="58"/>
      <c r="B543" s="58"/>
      <c r="C543" s="58"/>
      <c r="D543" s="15" t="s">
        <v>40</v>
      </c>
      <c r="E543" s="15" t="s">
        <v>2978</v>
      </c>
      <c r="F543" s="15" t="s">
        <v>1473</v>
      </c>
      <c r="G543" s="15" t="s">
        <v>2660</v>
      </c>
      <c r="H543" s="15">
        <v>-1.0</v>
      </c>
      <c r="I543" s="15" t="s">
        <v>1085</v>
      </c>
      <c r="J543" s="15" t="s">
        <v>22</v>
      </c>
      <c r="K543" s="15" t="s">
        <v>892</v>
      </c>
      <c r="L543" s="15" t="s">
        <v>24</v>
      </c>
      <c r="M543" s="16">
        <v>0.0</v>
      </c>
      <c r="N543" s="16">
        <v>0.5</v>
      </c>
      <c r="O543" s="16">
        <v>0.5</v>
      </c>
      <c r="P543" s="55">
        <v>45144.0</v>
      </c>
      <c r="Q543" s="18">
        <v>1.77</v>
      </c>
      <c r="R543" s="15" t="s">
        <v>70</v>
      </c>
      <c r="S543" s="19">
        <f t="shared" si="1"/>
        <v>0</v>
      </c>
      <c r="T543" s="19">
        <f t="shared" si="8"/>
        <v>0.2843630919</v>
      </c>
      <c r="U543" s="144"/>
    </row>
    <row r="544">
      <c r="A544" s="59"/>
      <c r="B544" s="59"/>
      <c r="C544" s="59"/>
      <c r="D544" s="8" t="s">
        <v>19</v>
      </c>
      <c r="E544" s="8" t="s">
        <v>2979</v>
      </c>
      <c r="F544" s="8" t="s">
        <v>1473</v>
      </c>
      <c r="G544" s="8" t="s">
        <v>2556</v>
      </c>
      <c r="H544" s="8">
        <v>0.0</v>
      </c>
      <c r="I544" s="8" t="s">
        <v>82</v>
      </c>
      <c r="J544" s="8" t="s">
        <v>22</v>
      </c>
      <c r="K544" s="8" t="s">
        <v>225</v>
      </c>
      <c r="L544" s="8" t="s">
        <v>1522</v>
      </c>
      <c r="M544" s="9">
        <v>0.5</v>
      </c>
      <c r="N544" s="9">
        <v>0.5</v>
      </c>
      <c r="O544" s="9">
        <v>0.5</v>
      </c>
      <c r="P544" s="10">
        <v>45144.0</v>
      </c>
      <c r="Q544" s="11">
        <v>1.16</v>
      </c>
      <c r="R544" s="8" t="s">
        <v>33</v>
      </c>
      <c r="S544" s="12">
        <f t="shared" si="1"/>
        <v>0.08</v>
      </c>
      <c r="T544" s="12">
        <f t="shared" si="8"/>
        <v>0.3643630919</v>
      </c>
      <c r="U544" s="145"/>
    </row>
    <row r="545">
      <c r="A545" s="58"/>
      <c r="B545" s="58"/>
      <c r="C545" s="58"/>
      <c r="D545" s="15" t="s">
        <v>19</v>
      </c>
      <c r="E545" s="15" t="s">
        <v>2980</v>
      </c>
      <c r="F545" s="15" t="s">
        <v>1473</v>
      </c>
      <c r="G545" s="15" t="s">
        <v>2660</v>
      </c>
      <c r="H545" s="15">
        <v>0.0</v>
      </c>
      <c r="I545" s="15" t="s">
        <v>1470</v>
      </c>
      <c r="J545" s="15" t="s">
        <v>22</v>
      </c>
      <c r="K545" s="15" t="s">
        <v>892</v>
      </c>
      <c r="L545" s="15" t="s">
        <v>24</v>
      </c>
      <c r="M545" s="16">
        <v>0.0</v>
      </c>
      <c r="N545" s="16">
        <v>1.0</v>
      </c>
      <c r="O545" s="16">
        <v>1.0</v>
      </c>
      <c r="P545" s="17">
        <v>45146.0</v>
      </c>
      <c r="Q545" s="18">
        <v>1.866</v>
      </c>
      <c r="R545" s="15" t="s">
        <v>33</v>
      </c>
      <c r="S545" s="19">
        <f t="shared" si="1"/>
        <v>0.866</v>
      </c>
      <c r="T545" s="19">
        <f t="shared" si="8"/>
        <v>1.230363092</v>
      </c>
      <c r="U545" s="144"/>
    </row>
    <row r="546">
      <c r="A546" s="59"/>
      <c r="B546" s="59"/>
      <c r="C546" s="59"/>
      <c r="D546" s="8" t="s">
        <v>19</v>
      </c>
      <c r="E546" s="8" t="s">
        <v>2981</v>
      </c>
      <c r="F546" s="8" t="s">
        <v>1473</v>
      </c>
      <c r="G546" s="8" t="s">
        <v>2660</v>
      </c>
      <c r="H546" s="8">
        <f t="shared" ref="H546:H547" si="27">1</f>
        <v>1</v>
      </c>
      <c r="I546" s="8" t="s">
        <v>28</v>
      </c>
      <c r="J546" s="8" t="s">
        <v>22</v>
      </c>
      <c r="K546" s="8" t="s">
        <v>1150</v>
      </c>
      <c r="L546" s="8" t="s">
        <v>39</v>
      </c>
      <c r="M546" s="9">
        <v>0.0</v>
      </c>
      <c r="N546" s="9">
        <v>0.25</v>
      </c>
      <c r="O546" s="9">
        <v>0.25</v>
      </c>
      <c r="P546" s="10">
        <v>45146.0</v>
      </c>
      <c r="Q546" s="11">
        <v>1.7</v>
      </c>
      <c r="R546" s="8" t="s">
        <v>70</v>
      </c>
      <c r="S546" s="12">
        <f t="shared" si="1"/>
        <v>0</v>
      </c>
      <c r="T546" s="12">
        <f t="shared" si="8"/>
        <v>1.230363092</v>
      </c>
      <c r="U546" s="145"/>
    </row>
    <row r="547">
      <c r="A547" s="58"/>
      <c r="B547" s="58"/>
      <c r="C547" s="58"/>
      <c r="D547" s="15" t="s">
        <v>19</v>
      </c>
      <c r="E547" s="15" t="s">
        <v>2982</v>
      </c>
      <c r="F547" s="15" t="s">
        <v>1473</v>
      </c>
      <c r="G547" s="15" t="s">
        <v>2556</v>
      </c>
      <c r="H547" s="15">
        <f t="shared" si="27"/>
        <v>1</v>
      </c>
      <c r="I547" s="15" t="s">
        <v>44</v>
      </c>
      <c r="J547" s="15" t="s">
        <v>22</v>
      </c>
      <c r="K547" s="15" t="s">
        <v>225</v>
      </c>
      <c r="L547" s="15" t="s">
        <v>24</v>
      </c>
      <c r="M547" s="16">
        <v>0.5</v>
      </c>
      <c r="N547" s="16">
        <v>0.5</v>
      </c>
      <c r="O547" s="16">
        <v>0.5</v>
      </c>
      <c r="P547" s="17">
        <v>45146.0</v>
      </c>
      <c r="Q547" s="18">
        <v>1.461</v>
      </c>
      <c r="R547" s="15" t="s">
        <v>33</v>
      </c>
      <c r="S547" s="19">
        <f t="shared" si="1"/>
        <v>0.2305</v>
      </c>
      <c r="T547" s="19">
        <f t="shared" si="8"/>
        <v>1.460863092</v>
      </c>
      <c r="U547" s="144"/>
    </row>
    <row r="548">
      <c r="A548" s="59"/>
      <c r="B548" s="59"/>
      <c r="C548" s="59"/>
      <c r="D548" s="8" t="s">
        <v>40</v>
      </c>
      <c r="E548" s="8" t="s">
        <v>2983</v>
      </c>
      <c r="F548" s="8" t="s">
        <v>1479</v>
      </c>
      <c r="G548" s="8" t="s">
        <v>2660</v>
      </c>
      <c r="H548" s="8">
        <v>0.0</v>
      </c>
      <c r="I548" s="8" t="s">
        <v>319</v>
      </c>
      <c r="J548" s="8" t="s">
        <v>22</v>
      </c>
      <c r="K548" s="8" t="s">
        <v>892</v>
      </c>
      <c r="L548" s="8" t="s">
        <v>1851</v>
      </c>
      <c r="M548" s="9">
        <v>0.0</v>
      </c>
      <c r="N548" s="9">
        <v>0.5</v>
      </c>
      <c r="O548" s="9">
        <v>0.5</v>
      </c>
      <c r="P548" s="10">
        <v>45146.0</v>
      </c>
      <c r="Q548" s="11">
        <v>1.7</v>
      </c>
      <c r="R548" s="8" t="s">
        <v>70</v>
      </c>
      <c r="S548" s="12">
        <f t="shared" si="1"/>
        <v>0</v>
      </c>
      <c r="T548" s="12">
        <f t="shared" si="8"/>
        <v>1.460863092</v>
      </c>
      <c r="U548" s="145"/>
    </row>
    <row r="549">
      <c r="A549" s="58"/>
      <c r="B549" s="58"/>
      <c r="C549" s="58"/>
      <c r="D549" s="15" t="s">
        <v>19</v>
      </c>
      <c r="E549" s="15" t="s">
        <v>2984</v>
      </c>
      <c r="F549" s="15" t="s">
        <v>1479</v>
      </c>
      <c r="G549" s="15" t="s">
        <v>2556</v>
      </c>
      <c r="H549" s="15">
        <f>1</f>
        <v>1</v>
      </c>
      <c r="I549" s="15" t="s">
        <v>319</v>
      </c>
      <c r="J549" s="15" t="s">
        <v>22</v>
      </c>
      <c r="K549" s="15" t="s">
        <v>225</v>
      </c>
      <c r="L549" s="15" t="s">
        <v>24</v>
      </c>
      <c r="M549" s="16">
        <v>0.75</v>
      </c>
      <c r="N549" s="16">
        <v>0.39</v>
      </c>
      <c r="O549" s="16">
        <v>0.39</v>
      </c>
      <c r="P549" s="17">
        <v>45146.0</v>
      </c>
      <c r="Q549" s="18">
        <v>1.2</v>
      </c>
      <c r="R549" s="15" t="s">
        <v>33</v>
      </c>
      <c r="S549" s="19">
        <f t="shared" si="1"/>
        <v>0.078</v>
      </c>
      <c r="T549" s="19">
        <f t="shared" si="8"/>
        <v>1.538863092</v>
      </c>
      <c r="U549" s="144"/>
    </row>
    <row r="550">
      <c r="A550" s="59"/>
      <c r="B550" s="59"/>
      <c r="C550" s="59"/>
      <c r="D550" s="8" t="s">
        <v>40</v>
      </c>
      <c r="E550" s="8" t="s">
        <v>2985</v>
      </c>
      <c r="F550" s="8" t="s">
        <v>1473</v>
      </c>
      <c r="G550" s="8" t="s">
        <v>2556</v>
      </c>
      <c r="H550" s="8">
        <v>-1.0</v>
      </c>
      <c r="I550" s="8" t="s">
        <v>683</v>
      </c>
      <c r="J550" s="8" t="s">
        <v>22</v>
      </c>
      <c r="K550" s="8" t="s">
        <v>225</v>
      </c>
      <c r="L550" s="8" t="s">
        <v>24</v>
      </c>
      <c r="M550" s="9">
        <v>0.25</v>
      </c>
      <c r="N550" s="9">
        <v>0.5</v>
      </c>
      <c r="O550" s="9">
        <f>0.941*0.5</f>
        <v>0.4705</v>
      </c>
      <c r="P550" s="10">
        <v>45147.0</v>
      </c>
      <c r="Q550" s="11">
        <v>1.7</v>
      </c>
      <c r="R550" s="8" t="s">
        <v>33</v>
      </c>
      <c r="S550" s="12">
        <f t="shared" si="1"/>
        <v>0.32935</v>
      </c>
      <c r="T550" s="12">
        <f t="shared" si="8"/>
        <v>1.868213092</v>
      </c>
      <c r="U550" s="145"/>
    </row>
    <row r="551">
      <c r="A551" s="58"/>
      <c r="B551" s="58"/>
      <c r="C551" s="58"/>
      <c r="D551" s="15" t="s">
        <v>19</v>
      </c>
      <c r="E551" s="15" t="s">
        <v>2986</v>
      </c>
      <c r="F551" s="15" t="s">
        <v>1479</v>
      </c>
      <c r="G551" s="15" t="s">
        <v>2556</v>
      </c>
      <c r="H551" s="15">
        <f>1</f>
        <v>1</v>
      </c>
      <c r="I551" s="15" t="s">
        <v>432</v>
      </c>
      <c r="J551" s="15" t="s">
        <v>22</v>
      </c>
      <c r="K551" s="15" t="s">
        <v>225</v>
      </c>
      <c r="L551" s="15" t="s">
        <v>1803</v>
      </c>
      <c r="M551" s="16">
        <v>0.5</v>
      </c>
      <c r="N551" s="16">
        <v>0.5</v>
      </c>
      <c r="O551" s="16">
        <v>0.5</v>
      </c>
      <c r="P551" s="17">
        <v>45147.0</v>
      </c>
      <c r="Q551" s="18">
        <v>1.625</v>
      </c>
      <c r="R551" s="15" t="s">
        <v>33</v>
      </c>
      <c r="S551" s="19">
        <f t="shared" si="1"/>
        <v>0.3125</v>
      </c>
      <c r="T551" s="19">
        <f t="shared" si="8"/>
        <v>2.180713092</v>
      </c>
      <c r="U551" s="144"/>
    </row>
    <row r="552">
      <c r="A552" s="59"/>
      <c r="B552" s="59"/>
      <c r="C552" s="59"/>
      <c r="D552" s="8" t="s">
        <v>19</v>
      </c>
      <c r="E552" s="8" t="s">
        <v>2987</v>
      </c>
      <c r="F552" s="8"/>
      <c r="G552" s="8"/>
      <c r="H552" s="8" t="s">
        <v>2615</v>
      </c>
      <c r="I552" s="8" t="s">
        <v>583</v>
      </c>
      <c r="J552" s="8" t="s">
        <v>22</v>
      </c>
      <c r="K552" s="8" t="s">
        <v>29</v>
      </c>
      <c r="L552" s="8" t="s">
        <v>24</v>
      </c>
      <c r="M552" s="9">
        <v>-5.0</v>
      </c>
      <c r="N552" s="9">
        <v>0.5</v>
      </c>
      <c r="O552" s="9">
        <v>0.5</v>
      </c>
      <c r="P552" s="10">
        <v>45147.0</v>
      </c>
      <c r="Q552" s="11">
        <v>1.95</v>
      </c>
      <c r="R552" s="8" t="s">
        <v>70</v>
      </c>
      <c r="S552" s="12">
        <f t="shared" si="1"/>
        <v>0</v>
      </c>
      <c r="T552" s="12">
        <f t="shared" si="8"/>
        <v>2.180713092</v>
      </c>
      <c r="U552" s="145"/>
    </row>
    <row r="553">
      <c r="A553" s="58"/>
      <c r="B553" s="58"/>
      <c r="C553" s="58"/>
      <c r="D553" s="15" t="s">
        <v>19</v>
      </c>
      <c r="E553" s="15" t="s">
        <v>2988</v>
      </c>
      <c r="F553" s="15" t="s">
        <v>1479</v>
      </c>
      <c r="G553" s="15" t="s">
        <v>2556</v>
      </c>
      <c r="H553" s="15">
        <f>1</f>
        <v>1</v>
      </c>
      <c r="I553" s="15" t="s">
        <v>432</v>
      </c>
      <c r="J553" s="15" t="s">
        <v>22</v>
      </c>
      <c r="K553" s="15" t="s">
        <v>225</v>
      </c>
      <c r="L553" s="15" t="s">
        <v>24</v>
      </c>
      <c r="M553" s="16">
        <v>0.75</v>
      </c>
      <c r="N553" s="16">
        <v>0.5</v>
      </c>
      <c r="O553" s="16">
        <v>0.5</v>
      </c>
      <c r="P553" s="17">
        <v>45147.0</v>
      </c>
      <c r="Q553" s="18">
        <v>2.02</v>
      </c>
      <c r="R553" s="15" t="s">
        <v>25</v>
      </c>
      <c r="S553" s="19">
        <f t="shared" si="1"/>
        <v>-0.5</v>
      </c>
      <c r="T553" s="19">
        <f t="shared" si="8"/>
        <v>1.680713092</v>
      </c>
      <c r="U553" s="144"/>
    </row>
    <row r="554">
      <c r="A554" s="59"/>
      <c r="B554" s="59"/>
      <c r="C554" s="59"/>
      <c r="D554" s="8" t="s">
        <v>19</v>
      </c>
      <c r="E554" s="8" t="s">
        <v>2989</v>
      </c>
      <c r="F554" s="8" t="s">
        <v>1473</v>
      </c>
      <c r="G554" s="8" t="s">
        <v>2556</v>
      </c>
      <c r="H554" s="8">
        <v>2</v>
      </c>
      <c r="I554" s="8" t="s">
        <v>101</v>
      </c>
      <c r="J554" s="8" t="s">
        <v>22</v>
      </c>
      <c r="K554" s="8" t="s">
        <v>225</v>
      </c>
      <c r="L554" s="8" t="s">
        <v>1522</v>
      </c>
      <c r="M554" s="9">
        <v>0.25</v>
      </c>
      <c r="N554" s="9">
        <v>0.75</v>
      </c>
      <c r="O554" s="9">
        <v>0.75</v>
      </c>
      <c r="P554" s="10">
        <v>45147.0</v>
      </c>
      <c r="Q554" s="11">
        <v>1.77</v>
      </c>
      <c r="R554" s="8" t="s">
        <v>70</v>
      </c>
      <c r="S554" s="12">
        <f t="shared" si="1"/>
        <v>0</v>
      </c>
      <c r="T554" s="12">
        <f t="shared" si="8"/>
        <v>1.680713092</v>
      </c>
      <c r="U554" s="145"/>
    </row>
    <row r="555">
      <c r="A555" s="58"/>
      <c r="B555" s="58"/>
      <c r="C555" s="58"/>
      <c r="D555" s="15" t="s">
        <v>19</v>
      </c>
      <c r="E555" s="15" t="s">
        <v>2990</v>
      </c>
      <c r="F555" s="15" t="s">
        <v>1479</v>
      </c>
      <c r="G555" s="15" t="s">
        <v>2556</v>
      </c>
      <c r="H555" s="15">
        <v>0.0</v>
      </c>
      <c r="I555" s="15" t="s">
        <v>432</v>
      </c>
      <c r="J555" s="15" t="s">
        <v>22</v>
      </c>
      <c r="K555" s="15" t="s">
        <v>225</v>
      </c>
      <c r="L555" s="15" t="s">
        <v>24</v>
      </c>
      <c r="M555" s="16">
        <v>0.5</v>
      </c>
      <c r="N555" s="16">
        <v>0.25</v>
      </c>
      <c r="O555" s="16">
        <f>0.941*0.25</f>
        <v>0.23525</v>
      </c>
      <c r="P555" s="17">
        <v>45147.0</v>
      </c>
      <c r="Q555" s="18">
        <v>1.75</v>
      </c>
      <c r="R555" s="15" t="s">
        <v>25</v>
      </c>
      <c r="S555" s="19">
        <f t="shared" si="1"/>
        <v>-0.23525</v>
      </c>
      <c r="T555" s="19">
        <f t="shared" si="8"/>
        <v>1.445463092</v>
      </c>
      <c r="U555" s="144"/>
    </row>
    <row r="556">
      <c r="A556" s="59"/>
      <c r="B556" s="59"/>
      <c r="C556" s="59"/>
      <c r="D556" s="8" t="s">
        <v>19</v>
      </c>
      <c r="E556" s="8" t="s">
        <v>2991</v>
      </c>
      <c r="F556" s="8"/>
      <c r="G556" s="8"/>
      <c r="H556" s="8" t="s">
        <v>2615</v>
      </c>
      <c r="I556" s="8" t="s">
        <v>101</v>
      </c>
      <c r="J556" s="8" t="s">
        <v>22</v>
      </c>
      <c r="K556" s="8" t="s">
        <v>29</v>
      </c>
      <c r="L556" s="8" t="s">
        <v>39</v>
      </c>
      <c r="M556" s="9">
        <v>-7.5</v>
      </c>
      <c r="N556" s="9">
        <v>0.5</v>
      </c>
      <c r="O556" s="9">
        <f>0.882*0.5</f>
        <v>0.441</v>
      </c>
      <c r="P556" s="10">
        <v>45147.0</v>
      </c>
      <c r="Q556" s="11">
        <v>1.75</v>
      </c>
      <c r="R556" s="8" t="s">
        <v>33</v>
      </c>
      <c r="S556" s="12">
        <f t="shared" si="1"/>
        <v>0.33075</v>
      </c>
      <c r="T556" s="12">
        <f t="shared" si="8"/>
        <v>1.776213092</v>
      </c>
      <c r="U556" s="145"/>
    </row>
    <row r="557">
      <c r="A557" s="58"/>
      <c r="B557" s="58"/>
      <c r="C557" s="58"/>
      <c r="D557" s="15" t="s">
        <v>19</v>
      </c>
      <c r="E557" s="15" t="s">
        <v>2992</v>
      </c>
      <c r="F557" s="15" t="s">
        <v>1473</v>
      </c>
      <c r="G557" s="15" t="s">
        <v>2556</v>
      </c>
      <c r="H557" s="15">
        <v>0.0</v>
      </c>
      <c r="I557" s="15" t="s">
        <v>28</v>
      </c>
      <c r="J557" s="15" t="s">
        <v>22</v>
      </c>
      <c r="K557" s="15" t="s">
        <v>225</v>
      </c>
      <c r="L557" s="15" t="s">
        <v>1522</v>
      </c>
      <c r="M557" s="16">
        <v>0.75</v>
      </c>
      <c r="N557" s="16">
        <v>0.75</v>
      </c>
      <c r="O557" s="16">
        <v>0.75</v>
      </c>
      <c r="P557" s="17">
        <v>45147.0</v>
      </c>
      <c r="Q557" s="18">
        <v>1.925</v>
      </c>
      <c r="R557" s="15" t="s">
        <v>79</v>
      </c>
      <c r="S557" s="19">
        <f t="shared" si="1"/>
        <v>-0.375</v>
      </c>
      <c r="T557" s="19">
        <f t="shared" si="8"/>
        <v>1.401213092</v>
      </c>
      <c r="U557" s="144"/>
    </row>
    <row r="558">
      <c r="A558" s="59"/>
      <c r="B558" s="59"/>
      <c r="C558" s="59"/>
      <c r="D558" s="8" t="s">
        <v>19</v>
      </c>
      <c r="E558" s="8" t="s">
        <v>2993</v>
      </c>
      <c r="F558" s="8" t="s">
        <v>1473</v>
      </c>
      <c r="G558" s="8" t="s">
        <v>2556</v>
      </c>
      <c r="H558" s="8">
        <v>0.0</v>
      </c>
      <c r="I558" s="8" t="s">
        <v>82</v>
      </c>
      <c r="J558" s="8" t="s">
        <v>22</v>
      </c>
      <c r="K558" s="8" t="s">
        <v>225</v>
      </c>
      <c r="L558" s="8" t="s">
        <v>1851</v>
      </c>
      <c r="M558" s="9">
        <v>0.25</v>
      </c>
      <c r="N558" s="9">
        <v>0.5</v>
      </c>
      <c r="O558" s="9">
        <f>0.941*0.5</f>
        <v>0.4705</v>
      </c>
      <c r="P558" s="10">
        <v>45147.0</v>
      </c>
      <c r="Q558" s="11">
        <v>1.9</v>
      </c>
      <c r="R558" s="8" t="s">
        <v>33</v>
      </c>
      <c r="S558" s="12">
        <f t="shared" si="1"/>
        <v>0.42345</v>
      </c>
      <c r="T558" s="12">
        <f t="shared" si="8"/>
        <v>1.824663092</v>
      </c>
      <c r="U558" s="145"/>
    </row>
    <row r="559">
      <c r="A559" s="58"/>
      <c r="B559" s="58"/>
      <c r="C559" s="58"/>
      <c r="D559" s="15" t="s">
        <v>19</v>
      </c>
      <c r="E559" s="15" t="s">
        <v>2994</v>
      </c>
      <c r="F559" s="15" t="s">
        <v>1473</v>
      </c>
      <c r="G559" s="15" t="s">
        <v>2660</v>
      </c>
      <c r="H559" s="15">
        <f>1</f>
        <v>1</v>
      </c>
      <c r="I559" s="15" t="s">
        <v>44</v>
      </c>
      <c r="J559" s="15" t="s">
        <v>22</v>
      </c>
      <c r="K559" s="15" t="s">
        <v>892</v>
      </c>
      <c r="L559" s="15" t="s">
        <v>1851</v>
      </c>
      <c r="M559" s="16">
        <v>0.0</v>
      </c>
      <c r="N559" s="16">
        <v>0.5</v>
      </c>
      <c r="O559" s="16">
        <v>0.5</v>
      </c>
      <c r="P559" s="17">
        <v>45147.0</v>
      </c>
      <c r="Q559" s="18">
        <f>(118.76+121.55)/150</f>
        <v>1.602066667</v>
      </c>
      <c r="R559" s="15" t="s">
        <v>33</v>
      </c>
      <c r="S559" s="19">
        <f t="shared" si="1"/>
        <v>0.3010333333</v>
      </c>
      <c r="T559" s="19">
        <f t="shared" si="8"/>
        <v>2.125696425</v>
      </c>
      <c r="U559" s="144"/>
    </row>
    <row r="560">
      <c r="A560" s="59"/>
      <c r="B560" s="59"/>
      <c r="C560" s="59"/>
      <c r="D560" s="8" t="s">
        <v>40</v>
      </c>
      <c r="E560" s="8" t="s">
        <v>2995</v>
      </c>
      <c r="F560" s="8" t="s">
        <v>1473</v>
      </c>
      <c r="G560" s="8" t="s">
        <v>2556</v>
      </c>
      <c r="H560" s="8">
        <v>0.0</v>
      </c>
      <c r="I560" s="8" t="s">
        <v>2667</v>
      </c>
      <c r="J560" s="8" t="s">
        <v>22</v>
      </c>
      <c r="K560" s="8" t="s">
        <v>225</v>
      </c>
      <c r="L560" s="8" t="s">
        <v>1522</v>
      </c>
      <c r="M560" s="9">
        <v>3.25</v>
      </c>
      <c r="N560" s="9">
        <v>0.25</v>
      </c>
      <c r="O560" s="9">
        <v>0.25</v>
      </c>
      <c r="P560" s="10">
        <v>45147.0</v>
      </c>
      <c r="Q560" s="11">
        <f>98.12/75</f>
        <v>1.308266667</v>
      </c>
      <c r="R560" s="8" t="s">
        <v>33</v>
      </c>
      <c r="S560" s="12">
        <f t="shared" si="1"/>
        <v>0.07706666667</v>
      </c>
      <c r="T560" s="12">
        <f t="shared" si="8"/>
        <v>2.202763092</v>
      </c>
      <c r="U560" s="145"/>
    </row>
    <row r="561">
      <c r="A561" s="58"/>
      <c r="B561" s="58"/>
      <c r="C561" s="58"/>
      <c r="D561" s="15" t="s">
        <v>19</v>
      </c>
      <c r="E561" s="15" t="s">
        <v>2996</v>
      </c>
      <c r="F561" s="15" t="s">
        <v>1479</v>
      </c>
      <c r="G561" s="15" t="s">
        <v>2556</v>
      </c>
      <c r="H561" s="15">
        <v>-1.0</v>
      </c>
      <c r="I561" s="15" t="s">
        <v>169</v>
      </c>
      <c r="J561" s="15" t="s">
        <v>22</v>
      </c>
      <c r="K561" s="15" t="s">
        <v>225</v>
      </c>
      <c r="L561" s="15" t="s">
        <v>24</v>
      </c>
      <c r="M561" s="16">
        <v>0.5</v>
      </c>
      <c r="N561" s="16">
        <v>0.75</v>
      </c>
      <c r="O561" s="16">
        <v>0.75</v>
      </c>
      <c r="P561" s="17">
        <v>45147.0</v>
      </c>
      <c r="Q561" s="18">
        <f>(21+75*3)/(75*3)</f>
        <v>1.093333333</v>
      </c>
      <c r="R561" s="15" t="s">
        <v>33</v>
      </c>
      <c r="S561" s="19">
        <f t="shared" si="1"/>
        <v>0.07</v>
      </c>
      <c r="T561" s="19">
        <f t="shared" si="8"/>
        <v>2.272763092</v>
      </c>
      <c r="U561" s="144"/>
    </row>
    <row r="562">
      <c r="A562" s="59"/>
      <c r="B562" s="59"/>
      <c r="C562" s="59"/>
      <c r="D562" s="8" t="s">
        <v>19</v>
      </c>
      <c r="E562" s="8" t="s">
        <v>2994</v>
      </c>
      <c r="F562" s="8" t="s">
        <v>1473</v>
      </c>
      <c r="G562" s="8" t="s">
        <v>2660</v>
      </c>
      <c r="H562" s="8">
        <f>1</f>
        <v>1</v>
      </c>
      <c r="I562" s="8" t="s">
        <v>44</v>
      </c>
      <c r="J562" s="8" t="s">
        <v>22</v>
      </c>
      <c r="K562" s="8" t="s">
        <v>892</v>
      </c>
      <c r="L562" s="8" t="s">
        <v>1851</v>
      </c>
      <c r="M562" s="9">
        <v>0.0</v>
      </c>
      <c r="N562" s="9">
        <v>0.25</v>
      </c>
      <c r="O562" s="9">
        <v>0.25</v>
      </c>
      <c r="P562" s="10">
        <v>45147.0</v>
      </c>
      <c r="Q562" s="11">
        <v>1.825</v>
      </c>
      <c r="R562" s="8" t="s">
        <v>33</v>
      </c>
      <c r="S562" s="12">
        <f t="shared" si="1"/>
        <v>0.20625</v>
      </c>
      <c r="T562" s="12">
        <f t="shared" si="8"/>
        <v>2.479013092</v>
      </c>
      <c r="U562" s="145"/>
    </row>
    <row r="563">
      <c r="A563" s="58"/>
      <c r="B563" s="58"/>
      <c r="C563" s="58"/>
      <c r="D563" s="15" t="s">
        <v>19</v>
      </c>
      <c r="E563" s="15" t="s">
        <v>2997</v>
      </c>
      <c r="F563" s="15" t="s">
        <v>1473</v>
      </c>
      <c r="G563" s="15" t="s">
        <v>2556</v>
      </c>
      <c r="H563" s="15">
        <v>-4.0</v>
      </c>
      <c r="I563" s="15" t="s">
        <v>1961</v>
      </c>
      <c r="J563" s="15" t="s">
        <v>22</v>
      </c>
      <c r="K563" s="15" t="s">
        <v>225</v>
      </c>
      <c r="L563" s="15" t="s">
        <v>39</v>
      </c>
      <c r="M563" s="16">
        <v>0.5</v>
      </c>
      <c r="N563" s="16">
        <v>0.25</v>
      </c>
      <c r="O563" s="16">
        <v>0.25</v>
      </c>
      <c r="P563" s="17">
        <v>45147.0</v>
      </c>
      <c r="Q563" s="18">
        <v>1.825</v>
      </c>
      <c r="R563" s="15" t="s">
        <v>25</v>
      </c>
      <c r="S563" s="19">
        <f t="shared" si="1"/>
        <v>-0.25</v>
      </c>
      <c r="T563" s="19">
        <f t="shared" si="8"/>
        <v>2.229013092</v>
      </c>
      <c r="U563" s="144"/>
    </row>
    <row r="564">
      <c r="A564" s="59"/>
      <c r="B564" s="59"/>
      <c r="C564" s="59"/>
      <c r="D564" s="8" t="s">
        <v>19</v>
      </c>
      <c r="E564" s="8" t="s">
        <v>2998</v>
      </c>
      <c r="F564" s="8" t="s">
        <v>1479</v>
      </c>
      <c r="G564" s="8"/>
      <c r="H564" s="8"/>
      <c r="I564" s="8" t="s">
        <v>82</v>
      </c>
      <c r="J564" s="8" t="s">
        <v>598</v>
      </c>
      <c r="K564" s="8" t="s">
        <v>23</v>
      </c>
      <c r="L564" s="8" t="s">
        <v>1522</v>
      </c>
      <c r="M564" s="9">
        <v>-2.5</v>
      </c>
      <c r="N564" s="9">
        <v>0.25</v>
      </c>
      <c r="O564" s="9">
        <v>0.25</v>
      </c>
      <c r="P564" s="10">
        <v>45148.0</v>
      </c>
      <c r="Q564" s="11">
        <v>1.8</v>
      </c>
      <c r="R564" s="8" t="s">
        <v>33</v>
      </c>
      <c r="S564" s="12">
        <f t="shared" si="1"/>
        <v>0.2</v>
      </c>
      <c r="T564" s="12">
        <f t="shared" si="8"/>
        <v>2.429013092</v>
      </c>
      <c r="U564" s="145"/>
    </row>
    <row r="565">
      <c r="A565" s="58"/>
      <c r="B565" s="58"/>
      <c r="C565" s="58"/>
      <c r="D565" s="15" t="s">
        <v>19</v>
      </c>
      <c r="E565" s="15" t="s">
        <v>2999</v>
      </c>
      <c r="F565" s="15"/>
      <c r="G565" s="15"/>
      <c r="H565" s="15" t="s">
        <v>2615</v>
      </c>
      <c r="I565" s="15" t="s">
        <v>513</v>
      </c>
      <c r="J565" s="15" t="s">
        <v>22</v>
      </c>
      <c r="K565" s="15" t="s">
        <v>29</v>
      </c>
      <c r="L565" s="15" t="s">
        <v>24</v>
      </c>
      <c r="M565" s="16">
        <v>-2.5</v>
      </c>
      <c r="N565" s="16">
        <v>0.5</v>
      </c>
      <c r="O565" s="16">
        <v>0.5</v>
      </c>
      <c r="P565" s="17">
        <v>45148.0</v>
      </c>
      <c r="Q565" s="18">
        <v>1.58</v>
      </c>
      <c r="R565" s="15" t="s">
        <v>33</v>
      </c>
      <c r="S565" s="19">
        <f t="shared" si="1"/>
        <v>0.29</v>
      </c>
      <c r="T565" s="19">
        <f t="shared" si="8"/>
        <v>2.719013092</v>
      </c>
      <c r="U565" s="144"/>
    </row>
    <row r="566">
      <c r="A566" s="59"/>
      <c r="B566" s="59"/>
      <c r="C566" s="59"/>
      <c r="D566" s="8" t="s">
        <v>40</v>
      </c>
      <c r="E566" s="8" t="s">
        <v>3000</v>
      </c>
      <c r="F566" s="8" t="s">
        <v>1479</v>
      </c>
      <c r="G566" s="8" t="s">
        <v>2660</v>
      </c>
      <c r="H566" s="8">
        <v>0.0</v>
      </c>
      <c r="I566" s="8" t="s">
        <v>525</v>
      </c>
      <c r="J566" s="8" t="s">
        <v>22</v>
      </c>
      <c r="K566" s="8" t="s">
        <v>892</v>
      </c>
      <c r="L566" s="8" t="s">
        <v>24</v>
      </c>
      <c r="M566" s="9">
        <v>0.0</v>
      </c>
      <c r="N566" s="9">
        <v>0.75</v>
      </c>
      <c r="O566" s="9">
        <v>0.0375</v>
      </c>
      <c r="P566" s="10">
        <v>45148.0</v>
      </c>
      <c r="Q566" s="11">
        <v>1.77</v>
      </c>
      <c r="R566" s="8" t="s">
        <v>25</v>
      </c>
      <c r="S566" s="12">
        <f t="shared" si="1"/>
        <v>-0.0375</v>
      </c>
      <c r="T566" s="12">
        <f t="shared" si="8"/>
        <v>2.681513092</v>
      </c>
      <c r="U566" s="145"/>
    </row>
    <row r="567">
      <c r="A567" s="58"/>
      <c r="B567" s="58"/>
      <c r="C567" s="58"/>
      <c r="D567" s="15" t="s">
        <v>19</v>
      </c>
      <c r="E567" s="15" t="s">
        <v>3001</v>
      </c>
      <c r="F567" s="15" t="s">
        <v>1479</v>
      </c>
      <c r="G567" s="15" t="s">
        <v>2660</v>
      </c>
      <c r="H567" s="15">
        <f>1</f>
        <v>1</v>
      </c>
      <c r="I567" s="15" t="s">
        <v>463</v>
      </c>
      <c r="J567" s="15" t="s">
        <v>22</v>
      </c>
      <c r="K567" s="15" t="s">
        <v>892</v>
      </c>
      <c r="L567" s="15" t="s">
        <v>1522</v>
      </c>
      <c r="M567" s="16">
        <v>0.0</v>
      </c>
      <c r="N567" s="16">
        <v>0.5</v>
      </c>
      <c r="O567" s="16">
        <v>0.5</v>
      </c>
      <c r="P567" s="17">
        <v>45148.0</v>
      </c>
      <c r="Q567" s="18">
        <v>1.675</v>
      </c>
      <c r="R567" s="15" t="s">
        <v>33</v>
      </c>
      <c r="S567" s="19">
        <f t="shared" si="1"/>
        <v>0.3375</v>
      </c>
      <c r="T567" s="19">
        <f t="shared" si="8"/>
        <v>3.019013092</v>
      </c>
      <c r="U567" s="144"/>
    </row>
    <row r="568">
      <c r="A568" s="59"/>
      <c r="B568" s="59"/>
      <c r="C568" s="59"/>
      <c r="D568" s="8" t="s">
        <v>19</v>
      </c>
      <c r="E568" s="8" t="s">
        <v>3002</v>
      </c>
      <c r="F568" s="8" t="s">
        <v>1473</v>
      </c>
      <c r="G568" s="8" t="s">
        <v>2556</v>
      </c>
      <c r="H568" s="8">
        <v>-1.0</v>
      </c>
      <c r="I568" s="8" t="s">
        <v>117</v>
      </c>
      <c r="J568" s="8" t="s">
        <v>22</v>
      </c>
      <c r="K568" s="8" t="s">
        <v>225</v>
      </c>
      <c r="L568" s="8" t="s">
        <v>1522</v>
      </c>
      <c r="M568" s="9">
        <v>1.25</v>
      </c>
      <c r="N568" s="9">
        <v>0.75</v>
      </c>
      <c r="O568" s="9">
        <v>0.75</v>
      </c>
      <c r="P568" s="10">
        <v>45149.0</v>
      </c>
      <c r="Q568" s="11">
        <v>1.82</v>
      </c>
      <c r="R568" s="8" t="s">
        <v>70</v>
      </c>
      <c r="S568" s="12">
        <f t="shared" si="1"/>
        <v>0</v>
      </c>
      <c r="T568" s="12">
        <f t="shared" si="8"/>
        <v>3.019013092</v>
      </c>
      <c r="U568" s="145"/>
    </row>
    <row r="569">
      <c r="A569" s="58"/>
      <c r="B569" s="58"/>
      <c r="C569" s="58"/>
      <c r="D569" s="15" t="s">
        <v>19</v>
      </c>
      <c r="E569" s="15" t="s">
        <v>3003</v>
      </c>
      <c r="F569" s="15" t="s">
        <v>1473</v>
      </c>
      <c r="G569" s="15" t="s">
        <v>2660</v>
      </c>
      <c r="H569" s="15">
        <v>-1.0</v>
      </c>
      <c r="I569" s="15" t="s">
        <v>82</v>
      </c>
      <c r="J569" s="15" t="s">
        <v>22</v>
      </c>
      <c r="K569" s="15" t="s">
        <v>892</v>
      </c>
      <c r="L569" s="15" t="s">
        <v>1851</v>
      </c>
      <c r="M569" s="16">
        <v>0.0</v>
      </c>
      <c r="N569" s="16">
        <v>0.25</v>
      </c>
      <c r="O569" s="16">
        <v>0.25</v>
      </c>
      <c r="P569" s="17">
        <v>45149.0</v>
      </c>
      <c r="Q569" s="18">
        <v>1.75</v>
      </c>
      <c r="R569" s="15" t="s">
        <v>33</v>
      </c>
      <c r="S569" s="19">
        <f t="shared" si="1"/>
        <v>0.1875</v>
      </c>
      <c r="T569" s="19">
        <f t="shared" si="8"/>
        <v>3.206513092</v>
      </c>
      <c r="U569" s="144"/>
    </row>
    <row r="570">
      <c r="A570" s="59"/>
      <c r="B570" s="59"/>
      <c r="C570" s="59"/>
      <c r="D570" s="8" t="s">
        <v>40</v>
      </c>
      <c r="E570" s="8" t="s">
        <v>3004</v>
      </c>
      <c r="F570" s="8" t="s">
        <v>1473</v>
      </c>
      <c r="G570" s="8" t="s">
        <v>2556</v>
      </c>
      <c r="H570" s="8">
        <v>0.0</v>
      </c>
      <c r="I570" s="8" t="s">
        <v>28</v>
      </c>
      <c r="J570" s="8" t="s">
        <v>22</v>
      </c>
      <c r="K570" s="8" t="s">
        <v>225</v>
      </c>
      <c r="L570" s="8" t="s">
        <v>1522</v>
      </c>
      <c r="M570" s="9">
        <v>0.5</v>
      </c>
      <c r="N570" s="9">
        <v>0.25</v>
      </c>
      <c r="O570" s="9">
        <f>0.35*0.25</f>
        <v>0.0875</v>
      </c>
      <c r="P570" s="10">
        <v>45149.0</v>
      </c>
      <c r="Q570" s="11">
        <v>1.75</v>
      </c>
      <c r="R570" s="8" t="s">
        <v>33</v>
      </c>
      <c r="S570" s="12">
        <f t="shared" si="1"/>
        <v>0.065625</v>
      </c>
      <c r="T570" s="12">
        <f t="shared" si="8"/>
        <v>3.272138092</v>
      </c>
      <c r="U570" s="145"/>
    </row>
    <row r="571">
      <c r="A571" s="58"/>
      <c r="B571" s="58"/>
      <c r="C571" s="58"/>
      <c r="D571" s="15" t="s">
        <v>40</v>
      </c>
      <c r="E571" s="15" t="s">
        <v>3005</v>
      </c>
      <c r="F571" s="15" t="s">
        <v>1473</v>
      </c>
      <c r="G571" s="15" t="s">
        <v>2556</v>
      </c>
      <c r="H571" s="15">
        <v>0.0</v>
      </c>
      <c r="I571" s="15" t="s">
        <v>28</v>
      </c>
      <c r="J571" s="15" t="s">
        <v>22</v>
      </c>
      <c r="K571" s="15" t="s">
        <v>941</v>
      </c>
      <c r="L571" s="15" t="s">
        <v>1522</v>
      </c>
      <c r="M571" s="16">
        <v>0.0</v>
      </c>
      <c r="N571" s="16">
        <v>0.25</v>
      </c>
      <c r="O571" s="16">
        <v>0.25</v>
      </c>
      <c r="P571" s="17">
        <v>45149.0</v>
      </c>
      <c r="Q571" s="18">
        <v>2.1</v>
      </c>
      <c r="R571" s="15" t="s">
        <v>33</v>
      </c>
      <c r="S571" s="19">
        <f t="shared" si="1"/>
        <v>0.275</v>
      </c>
      <c r="T571" s="19">
        <f t="shared" si="8"/>
        <v>3.547138092</v>
      </c>
      <c r="U571" s="144"/>
    </row>
    <row r="572">
      <c r="A572" s="59"/>
      <c r="B572" s="59"/>
      <c r="C572" s="59"/>
      <c r="D572" s="8" t="s">
        <v>40</v>
      </c>
      <c r="E572" s="8" t="s">
        <v>3006</v>
      </c>
      <c r="F572" s="8" t="s">
        <v>1473</v>
      </c>
      <c r="G572" s="8" t="s">
        <v>2556</v>
      </c>
      <c r="H572" s="8">
        <v>0.0</v>
      </c>
      <c r="I572" s="8" t="s">
        <v>28</v>
      </c>
      <c r="J572" s="8" t="s">
        <v>22</v>
      </c>
      <c r="K572" s="8" t="s">
        <v>225</v>
      </c>
      <c r="L572" s="8" t="s">
        <v>1522</v>
      </c>
      <c r="M572" s="9">
        <v>0.25</v>
      </c>
      <c r="N572" s="9">
        <v>0.25</v>
      </c>
      <c r="O572" s="9">
        <v>0.25</v>
      </c>
      <c r="P572" s="10">
        <v>45149.0</v>
      </c>
      <c r="Q572" s="11">
        <v>1.975</v>
      </c>
      <c r="R572" s="8" t="s">
        <v>33</v>
      </c>
      <c r="S572" s="12">
        <f t="shared" si="1"/>
        <v>0.24375</v>
      </c>
      <c r="T572" s="12">
        <f t="shared" si="8"/>
        <v>3.790888092</v>
      </c>
      <c r="U572" s="145"/>
    </row>
    <row r="573">
      <c r="A573" s="58"/>
      <c r="B573" s="58"/>
      <c r="C573" s="58"/>
      <c r="D573" s="15" t="s">
        <v>40</v>
      </c>
      <c r="E573" s="15" t="s">
        <v>3007</v>
      </c>
      <c r="F573" s="15" t="s">
        <v>1473</v>
      </c>
      <c r="G573" s="15" t="s">
        <v>2660</v>
      </c>
      <c r="H573" s="15">
        <v>0.0</v>
      </c>
      <c r="I573" s="15" t="s">
        <v>28</v>
      </c>
      <c r="J573" s="15" t="s">
        <v>22</v>
      </c>
      <c r="K573" s="15" t="s">
        <v>1150</v>
      </c>
      <c r="L573" s="15" t="s">
        <v>1522</v>
      </c>
      <c r="M573" s="16">
        <v>0.0</v>
      </c>
      <c r="N573" s="16">
        <v>0.25</v>
      </c>
      <c r="O573" s="16">
        <v>0.25</v>
      </c>
      <c r="P573" s="17">
        <v>45149.0</v>
      </c>
      <c r="Q573" s="18">
        <v>2.3</v>
      </c>
      <c r="R573" s="15" t="s">
        <v>70</v>
      </c>
      <c r="S573" s="19">
        <f t="shared" si="1"/>
        <v>0</v>
      </c>
      <c r="T573" s="19">
        <f t="shared" si="8"/>
        <v>3.790888092</v>
      </c>
      <c r="U573" s="144"/>
    </row>
    <row r="574">
      <c r="A574" s="59"/>
      <c r="B574" s="59"/>
      <c r="C574" s="59"/>
      <c r="D574" s="8" t="s">
        <v>19</v>
      </c>
      <c r="E574" s="8" t="s">
        <v>3008</v>
      </c>
      <c r="F574" s="8" t="s">
        <v>1473</v>
      </c>
      <c r="G574" s="8" t="s">
        <v>2556</v>
      </c>
      <c r="H574" s="8">
        <v>2</v>
      </c>
      <c r="I574" s="8" t="s">
        <v>28</v>
      </c>
      <c r="J574" s="8" t="s">
        <v>22</v>
      </c>
      <c r="K574" s="8" t="s">
        <v>225</v>
      </c>
      <c r="L574" s="8" t="s">
        <v>24</v>
      </c>
      <c r="M574" s="9">
        <v>0.5</v>
      </c>
      <c r="N574" s="9">
        <v>0.5</v>
      </c>
      <c r="O574" s="9">
        <v>0.5</v>
      </c>
      <c r="P574" s="10">
        <v>45149.0</v>
      </c>
      <c r="Q574" s="11">
        <v>1.084</v>
      </c>
      <c r="R574" s="8" t="s">
        <v>33</v>
      </c>
      <c r="S574" s="12">
        <f t="shared" si="1"/>
        <v>0.042</v>
      </c>
      <c r="T574" s="12">
        <f t="shared" si="8"/>
        <v>3.832888092</v>
      </c>
      <c r="U574" s="145"/>
    </row>
    <row r="575">
      <c r="A575" s="58"/>
      <c r="B575" s="58"/>
      <c r="C575" s="58"/>
      <c r="D575" s="15" t="s">
        <v>19</v>
      </c>
      <c r="E575" s="15" t="s">
        <v>3009</v>
      </c>
      <c r="F575" s="15"/>
      <c r="G575" s="15"/>
      <c r="H575" s="15" t="s">
        <v>2615</v>
      </c>
      <c r="I575" s="15" t="s">
        <v>513</v>
      </c>
      <c r="J575" s="15" t="s">
        <v>22</v>
      </c>
      <c r="K575" s="15" t="s">
        <v>29</v>
      </c>
      <c r="L575" s="15" t="s">
        <v>24</v>
      </c>
      <c r="M575" s="16">
        <v>-3.5</v>
      </c>
      <c r="N575" s="16">
        <v>0.25</v>
      </c>
      <c r="O575" s="16">
        <v>0.25</v>
      </c>
      <c r="P575" s="17">
        <v>45149.0</v>
      </c>
      <c r="Q575" s="18">
        <v>1.625</v>
      </c>
      <c r="R575" s="15" t="s">
        <v>33</v>
      </c>
      <c r="S575" s="19">
        <f t="shared" si="1"/>
        <v>0.15625</v>
      </c>
      <c r="T575" s="19">
        <f t="shared" si="8"/>
        <v>3.989138092</v>
      </c>
      <c r="U575" s="144"/>
    </row>
    <row r="576">
      <c r="A576" s="59"/>
      <c r="B576" s="59"/>
      <c r="C576" s="59"/>
      <c r="D576" s="8" t="s">
        <v>19</v>
      </c>
      <c r="E576" s="8" t="s">
        <v>3010</v>
      </c>
      <c r="F576" s="8" t="s">
        <v>1473</v>
      </c>
      <c r="G576" s="8" t="s">
        <v>2660</v>
      </c>
      <c r="H576" s="8">
        <v>-1.0</v>
      </c>
      <c r="I576" s="8" t="s">
        <v>28</v>
      </c>
      <c r="J576" s="8" t="s">
        <v>22</v>
      </c>
      <c r="K576" s="8" t="s">
        <v>892</v>
      </c>
      <c r="L576" s="8" t="s">
        <v>1851</v>
      </c>
      <c r="M576" s="9">
        <v>0.0</v>
      </c>
      <c r="N576" s="9">
        <v>0.25</v>
      </c>
      <c r="O576" s="9">
        <v>0.25</v>
      </c>
      <c r="P576" s="10">
        <v>45149.0</v>
      </c>
      <c r="Q576" s="11">
        <f>139.46/75</f>
        <v>1.859466667</v>
      </c>
      <c r="R576" s="8" t="s">
        <v>33</v>
      </c>
      <c r="S576" s="12">
        <f t="shared" si="1"/>
        <v>0.2148666667</v>
      </c>
      <c r="T576" s="12">
        <f t="shared" si="8"/>
        <v>4.204004759</v>
      </c>
      <c r="U576" s="145"/>
    </row>
    <row r="577">
      <c r="A577" s="58"/>
      <c r="B577" s="58"/>
      <c r="C577" s="58"/>
      <c r="D577" s="15" t="s">
        <v>19</v>
      </c>
      <c r="E577" s="15" t="s">
        <v>3011</v>
      </c>
      <c r="F577" s="15" t="s">
        <v>1479</v>
      </c>
      <c r="G577" s="15" t="s">
        <v>2556</v>
      </c>
      <c r="H577" s="15">
        <v>-1.0</v>
      </c>
      <c r="I577" s="15" t="s">
        <v>44</v>
      </c>
      <c r="J577" s="15" t="s">
        <v>22</v>
      </c>
      <c r="K577" s="15" t="s">
        <v>225</v>
      </c>
      <c r="L577" s="15" t="s">
        <v>1522</v>
      </c>
      <c r="M577" s="16">
        <v>0.75</v>
      </c>
      <c r="N577" s="16">
        <v>0.25</v>
      </c>
      <c r="O577" s="16">
        <f>0.455*0.25</f>
        <v>0.11375</v>
      </c>
      <c r="P577" s="17">
        <v>45150.0</v>
      </c>
      <c r="Q577" s="18">
        <v>1.825</v>
      </c>
      <c r="R577" s="15" t="s">
        <v>33</v>
      </c>
      <c r="S577" s="19">
        <f t="shared" si="1"/>
        <v>0.09384375</v>
      </c>
      <c r="T577" s="19">
        <f t="shared" si="8"/>
        <v>4.297848509</v>
      </c>
      <c r="U577" s="144"/>
    </row>
    <row r="578">
      <c r="A578" s="59"/>
      <c r="B578" s="59"/>
      <c r="C578" s="59"/>
      <c r="D578" s="8" t="s">
        <v>19</v>
      </c>
      <c r="E578" s="8" t="s">
        <v>3012</v>
      </c>
      <c r="F578" s="8" t="s">
        <v>1473</v>
      </c>
      <c r="G578" s="8" t="s">
        <v>2660</v>
      </c>
      <c r="H578" s="8">
        <v>0.0</v>
      </c>
      <c r="I578" s="8" t="s">
        <v>2108</v>
      </c>
      <c r="J578" s="8" t="s">
        <v>22</v>
      </c>
      <c r="K578" s="8" t="s">
        <v>892</v>
      </c>
      <c r="L578" s="8" t="s">
        <v>24</v>
      </c>
      <c r="M578" s="9">
        <v>0.0</v>
      </c>
      <c r="N578" s="9">
        <v>0.5</v>
      </c>
      <c r="O578" s="9">
        <v>0.5</v>
      </c>
      <c r="P578" s="10">
        <v>45150.0</v>
      </c>
      <c r="Q578" s="11">
        <v>1.16</v>
      </c>
      <c r="R578" s="8" t="s">
        <v>33</v>
      </c>
      <c r="S578" s="12">
        <f t="shared" si="1"/>
        <v>0.08</v>
      </c>
      <c r="T578" s="12">
        <f t="shared" si="8"/>
        <v>4.377848509</v>
      </c>
      <c r="U578" s="145"/>
    </row>
    <row r="579">
      <c r="A579" s="58"/>
      <c r="B579" s="58"/>
      <c r="C579" s="58"/>
      <c r="D579" s="15" t="s">
        <v>40</v>
      </c>
      <c r="E579" s="15" t="s">
        <v>3013</v>
      </c>
      <c r="F579" s="15" t="s">
        <v>1473</v>
      </c>
      <c r="G579" s="15" t="s">
        <v>2556</v>
      </c>
      <c r="H579" s="15">
        <f>1</f>
        <v>1</v>
      </c>
      <c r="I579" s="15" t="s">
        <v>28</v>
      </c>
      <c r="J579" s="15" t="s">
        <v>22</v>
      </c>
      <c r="K579" s="15" t="s">
        <v>225</v>
      </c>
      <c r="L579" s="15" t="s">
        <v>1522</v>
      </c>
      <c r="M579" s="16">
        <v>0.5</v>
      </c>
      <c r="N579" s="16">
        <v>0.75</v>
      </c>
      <c r="O579" s="16">
        <v>0.75</v>
      </c>
      <c r="P579" s="17">
        <v>45150.0</v>
      </c>
      <c r="Q579" s="18">
        <v>1.678</v>
      </c>
      <c r="R579" s="15" t="s">
        <v>33</v>
      </c>
      <c r="S579" s="19">
        <f t="shared" si="1"/>
        <v>0.5085</v>
      </c>
      <c r="T579" s="19">
        <f t="shared" si="8"/>
        <v>4.886348509</v>
      </c>
      <c r="U579" s="144"/>
    </row>
    <row r="580">
      <c r="A580" s="59"/>
      <c r="B580" s="59"/>
      <c r="C580" s="59"/>
      <c r="D580" s="8" t="s">
        <v>19</v>
      </c>
      <c r="E580" s="8" t="s">
        <v>3014</v>
      </c>
      <c r="F580" s="8" t="s">
        <v>1479</v>
      </c>
      <c r="G580" s="8" t="s">
        <v>2556</v>
      </c>
      <c r="H580" s="8">
        <v>-1.0</v>
      </c>
      <c r="I580" s="8" t="s">
        <v>44</v>
      </c>
      <c r="J580" s="8" t="s">
        <v>22</v>
      </c>
      <c r="K580" s="8" t="s">
        <v>225</v>
      </c>
      <c r="L580" s="8" t="s">
        <v>24</v>
      </c>
      <c r="M580" s="9">
        <v>0.25</v>
      </c>
      <c r="N580" s="9">
        <v>0.25</v>
      </c>
      <c r="O580" s="9">
        <v>0.25</v>
      </c>
      <c r="P580" s="10">
        <v>45150.0</v>
      </c>
      <c r="Q580" s="11">
        <v>1.775</v>
      </c>
      <c r="R580" s="8" t="s">
        <v>25</v>
      </c>
      <c r="S580" s="12">
        <f t="shared" si="1"/>
        <v>-0.25</v>
      </c>
      <c r="T580" s="12">
        <f t="shared" si="8"/>
        <v>4.636348509</v>
      </c>
      <c r="U580" s="145"/>
    </row>
    <row r="581">
      <c r="A581" s="58"/>
      <c r="B581" s="58"/>
      <c r="C581" s="58"/>
      <c r="D581" s="15" t="s">
        <v>19</v>
      </c>
      <c r="E581" s="15" t="s">
        <v>3015</v>
      </c>
      <c r="F581" s="15" t="s">
        <v>1473</v>
      </c>
      <c r="G581" s="15" t="s">
        <v>2556</v>
      </c>
      <c r="H581" s="15">
        <f>1</f>
        <v>1</v>
      </c>
      <c r="I581" s="15" t="s">
        <v>463</v>
      </c>
      <c r="J581" s="15" t="s">
        <v>22</v>
      </c>
      <c r="K581" s="15" t="s">
        <v>225</v>
      </c>
      <c r="L581" s="15" t="s">
        <v>24</v>
      </c>
      <c r="M581" s="16">
        <v>0.25</v>
      </c>
      <c r="N581" s="16">
        <v>0.75</v>
      </c>
      <c r="O581" s="16">
        <v>0.75</v>
      </c>
      <c r="P581" s="17">
        <v>45150.0</v>
      </c>
      <c r="Q581" s="18">
        <f>(121.99/75+1.825+1.825)/3</f>
        <v>1.758844444</v>
      </c>
      <c r="R581" s="15" t="s">
        <v>33</v>
      </c>
      <c r="S581" s="19">
        <f t="shared" si="1"/>
        <v>0.5691333333</v>
      </c>
      <c r="T581" s="19">
        <f t="shared" si="8"/>
        <v>5.205481842</v>
      </c>
      <c r="U581" s="144"/>
    </row>
    <row r="582">
      <c r="A582" s="59"/>
      <c r="B582" s="59"/>
      <c r="C582" s="59"/>
      <c r="D582" s="8" t="s">
        <v>19</v>
      </c>
      <c r="E582" s="8" t="s">
        <v>3016</v>
      </c>
      <c r="F582" s="8" t="s">
        <v>1479</v>
      </c>
      <c r="G582" s="8" t="s">
        <v>2556</v>
      </c>
      <c r="H582" s="8">
        <v>0.0</v>
      </c>
      <c r="I582" s="8" t="s">
        <v>3017</v>
      </c>
      <c r="J582" s="8" t="s">
        <v>22</v>
      </c>
      <c r="K582" s="8" t="s">
        <v>941</v>
      </c>
      <c r="L582" s="8" t="s">
        <v>24</v>
      </c>
      <c r="M582" s="9">
        <v>0.0</v>
      </c>
      <c r="N582" s="9">
        <v>0.5</v>
      </c>
      <c r="O582" s="9">
        <v>0.5</v>
      </c>
      <c r="P582" s="54">
        <v>45150.0</v>
      </c>
      <c r="Q582" s="11">
        <v>2.0</v>
      </c>
      <c r="R582" s="8" t="s">
        <v>33</v>
      </c>
      <c r="S582" s="12">
        <f t="shared" si="1"/>
        <v>0.5</v>
      </c>
      <c r="T582" s="12">
        <f t="shared" si="8"/>
        <v>5.705481842</v>
      </c>
      <c r="U582" s="145"/>
    </row>
    <row r="583">
      <c r="A583" s="58"/>
      <c r="B583" s="58"/>
      <c r="C583" s="58"/>
      <c r="D583" s="15" t="s">
        <v>19</v>
      </c>
      <c r="E583" s="15" t="s">
        <v>3018</v>
      </c>
      <c r="F583" s="15" t="s">
        <v>1473</v>
      </c>
      <c r="G583" s="15" t="s">
        <v>2556</v>
      </c>
      <c r="H583" s="15">
        <f>1</f>
        <v>1</v>
      </c>
      <c r="I583" s="15" t="s">
        <v>28</v>
      </c>
      <c r="J583" s="15" t="s">
        <v>22</v>
      </c>
      <c r="K583" s="15" t="s">
        <v>225</v>
      </c>
      <c r="L583" s="15" t="s">
        <v>1851</v>
      </c>
      <c r="M583" s="16">
        <v>0.25</v>
      </c>
      <c r="N583" s="16">
        <v>0.5</v>
      </c>
      <c r="O583" s="16">
        <v>0.5</v>
      </c>
      <c r="P583" s="17">
        <v>45150.0</v>
      </c>
      <c r="Q583" s="18">
        <v>1.063</v>
      </c>
      <c r="R583" s="15" t="s">
        <v>33</v>
      </c>
      <c r="S583" s="19">
        <f t="shared" si="1"/>
        <v>0.0315</v>
      </c>
      <c r="T583" s="19">
        <f t="shared" si="8"/>
        <v>5.736981842</v>
      </c>
      <c r="U583" s="144"/>
    </row>
    <row r="584">
      <c r="A584" s="59"/>
      <c r="B584" s="59"/>
      <c r="C584" s="59"/>
      <c r="D584" s="8" t="s">
        <v>19</v>
      </c>
      <c r="E584" s="8" t="s">
        <v>3019</v>
      </c>
      <c r="F584" s="8" t="s">
        <v>1473</v>
      </c>
      <c r="G584" s="8" t="s">
        <v>2556</v>
      </c>
      <c r="H584" s="8">
        <v>0.0</v>
      </c>
      <c r="I584" s="8" t="s">
        <v>82</v>
      </c>
      <c r="J584" s="8" t="s">
        <v>22</v>
      </c>
      <c r="K584" s="8" t="s">
        <v>225</v>
      </c>
      <c r="L584" s="8" t="s">
        <v>24</v>
      </c>
      <c r="M584" s="9">
        <v>0.5</v>
      </c>
      <c r="N584" s="9">
        <v>0.25</v>
      </c>
      <c r="O584" s="9">
        <v>0.25</v>
      </c>
      <c r="P584" s="10">
        <v>45150.0</v>
      </c>
      <c r="Q584" s="11">
        <v>1.3412</v>
      </c>
      <c r="R584" s="8" t="s">
        <v>33</v>
      </c>
      <c r="S584" s="12">
        <f t="shared" si="1"/>
        <v>0.0853</v>
      </c>
      <c r="T584" s="12">
        <f t="shared" si="8"/>
        <v>5.822281842</v>
      </c>
      <c r="U584" s="145"/>
    </row>
    <row r="585">
      <c r="A585" s="58"/>
      <c r="B585" s="58"/>
      <c r="C585" s="58"/>
      <c r="D585" s="15" t="s">
        <v>19</v>
      </c>
      <c r="E585" s="15" t="s">
        <v>3020</v>
      </c>
      <c r="F585" s="15" t="s">
        <v>1473</v>
      </c>
      <c r="G585" s="15" t="s">
        <v>2660</v>
      </c>
      <c r="H585" s="15">
        <v>-2.0</v>
      </c>
      <c r="I585" s="15" t="s">
        <v>82</v>
      </c>
      <c r="J585" s="15" t="s">
        <v>22</v>
      </c>
      <c r="K585" s="15" t="s">
        <v>892</v>
      </c>
      <c r="L585" s="15" t="s">
        <v>24</v>
      </c>
      <c r="M585" s="16">
        <v>0.0</v>
      </c>
      <c r="N585" s="16">
        <v>0.5</v>
      </c>
      <c r="O585" s="16">
        <v>0.5</v>
      </c>
      <c r="P585" s="17">
        <v>45150.0</v>
      </c>
      <c r="Q585" s="18">
        <v>2.05</v>
      </c>
      <c r="R585" s="15" t="s">
        <v>25</v>
      </c>
      <c r="S585" s="19">
        <f t="shared" si="1"/>
        <v>-0.5</v>
      </c>
      <c r="T585" s="19">
        <f t="shared" si="8"/>
        <v>5.322281842</v>
      </c>
      <c r="U585" s="144"/>
    </row>
    <row r="586">
      <c r="A586" s="59"/>
      <c r="B586" s="59"/>
      <c r="C586" s="59"/>
      <c r="D586" s="8" t="s">
        <v>40</v>
      </c>
      <c r="E586" s="8" t="s">
        <v>3021</v>
      </c>
      <c r="F586" s="8" t="s">
        <v>1479</v>
      </c>
      <c r="G586" s="8" t="s">
        <v>2556</v>
      </c>
      <c r="H586" s="8">
        <v>-1.0</v>
      </c>
      <c r="I586" s="8" t="s">
        <v>908</v>
      </c>
      <c r="J586" s="8" t="s">
        <v>22</v>
      </c>
      <c r="K586" s="8" t="s">
        <v>225</v>
      </c>
      <c r="L586" s="8" t="s">
        <v>1522</v>
      </c>
      <c r="M586" s="9">
        <v>0.25</v>
      </c>
      <c r="N586" s="9">
        <v>0.25</v>
      </c>
      <c r="O586" s="9">
        <f t="shared" ref="O586:O587" si="28">0.609*0.25</f>
        <v>0.15225</v>
      </c>
      <c r="P586" s="10">
        <v>45151.0</v>
      </c>
      <c r="Q586" s="11">
        <v>1.93</v>
      </c>
      <c r="R586" s="8" t="s">
        <v>25</v>
      </c>
      <c r="S586" s="12">
        <f t="shared" si="1"/>
        <v>-0.15225</v>
      </c>
      <c r="T586" s="12">
        <f t="shared" si="8"/>
        <v>5.170031842</v>
      </c>
      <c r="U586" s="145"/>
    </row>
    <row r="587">
      <c r="A587" s="58"/>
      <c r="B587" s="58"/>
      <c r="C587" s="58"/>
      <c r="D587" s="15" t="s">
        <v>40</v>
      </c>
      <c r="E587" s="15" t="s">
        <v>3022</v>
      </c>
      <c r="F587" s="15" t="s">
        <v>1479</v>
      </c>
      <c r="G587" s="15"/>
      <c r="H587" s="15" t="s">
        <v>2615</v>
      </c>
      <c r="I587" s="15" t="s">
        <v>908</v>
      </c>
      <c r="J587" s="15" t="s">
        <v>22</v>
      </c>
      <c r="K587" s="15" t="s">
        <v>29</v>
      </c>
      <c r="L587" s="15" t="s">
        <v>1522</v>
      </c>
      <c r="M587" s="16">
        <v>-4.25</v>
      </c>
      <c r="N587" s="16">
        <v>0.25</v>
      </c>
      <c r="O587" s="16">
        <f t="shared" si="28"/>
        <v>0.15225</v>
      </c>
      <c r="P587" s="17">
        <v>45151.0</v>
      </c>
      <c r="Q587" s="18">
        <v>1.82</v>
      </c>
      <c r="R587" s="15" t="s">
        <v>25</v>
      </c>
      <c r="S587" s="19">
        <f t="shared" si="1"/>
        <v>-0.15225</v>
      </c>
      <c r="T587" s="19">
        <f t="shared" si="8"/>
        <v>5.017781842</v>
      </c>
      <c r="U587" s="144"/>
    </row>
    <row r="588">
      <c r="A588" s="59"/>
      <c r="B588" s="59"/>
      <c r="C588" s="59"/>
      <c r="D588" s="8" t="s">
        <v>40</v>
      </c>
      <c r="E588" s="8" t="s">
        <v>3023</v>
      </c>
      <c r="F588" s="8"/>
      <c r="G588" s="8"/>
      <c r="H588" s="8" t="s">
        <v>2615</v>
      </c>
      <c r="I588" s="8" t="s">
        <v>44</v>
      </c>
      <c r="J588" s="8" t="s">
        <v>22</v>
      </c>
      <c r="K588" s="8" t="s">
        <v>29</v>
      </c>
      <c r="L588" s="8" t="s">
        <v>24</v>
      </c>
      <c r="M588" s="9">
        <v>-2.25</v>
      </c>
      <c r="N588" s="9">
        <v>0.5</v>
      </c>
      <c r="O588" s="9">
        <f>0.696*0.5</f>
        <v>0.348</v>
      </c>
      <c r="P588" s="10">
        <v>45151.0</v>
      </c>
      <c r="Q588" s="11">
        <v>1.7</v>
      </c>
      <c r="R588" s="8" t="s">
        <v>30</v>
      </c>
      <c r="S588" s="12">
        <f t="shared" si="1"/>
        <v>0.1218</v>
      </c>
      <c r="T588" s="12">
        <f t="shared" si="8"/>
        <v>5.139581842</v>
      </c>
      <c r="U588" s="145"/>
    </row>
    <row r="589">
      <c r="A589" s="58"/>
      <c r="B589" s="58"/>
      <c r="C589" s="58"/>
      <c r="D589" s="15" t="s">
        <v>19</v>
      </c>
      <c r="E589" s="15" t="s">
        <v>3024</v>
      </c>
      <c r="F589" s="15" t="s">
        <v>1473</v>
      </c>
      <c r="G589" s="15" t="s">
        <v>2660</v>
      </c>
      <c r="H589" s="15">
        <v>4</v>
      </c>
      <c r="I589" s="15" t="s">
        <v>101</v>
      </c>
      <c r="J589" s="15" t="s">
        <v>22</v>
      </c>
      <c r="K589" s="15" t="s">
        <v>892</v>
      </c>
      <c r="L589" s="15" t="s">
        <v>24</v>
      </c>
      <c r="M589" s="16">
        <v>0.0</v>
      </c>
      <c r="N589" s="16">
        <v>0.5</v>
      </c>
      <c r="O589" s="16">
        <v>0.5</v>
      </c>
      <c r="P589" s="17">
        <v>45151.0</v>
      </c>
      <c r="Q589" s="18">
        <v>1.7</v>
      </c>
      <c r="R589" s="15" t="s">
        <v>33</v>
      </c>
      <c r="S589" s="19">
        <f t="shared" si="1"/>
        <v>0.35</v>
      </c>
      <c r="T589" s="19">
        <f t="shared" si="8"/>
        <v>5.489581842</v>
      </c>
      <c r="U589" s="144"/>
    </row>
    <row r="590">
      <c r="A590" s="59"/>
      <c r="B590" s="59"/>
      <c r="C590" s="59"/>
      <c r="D590" s="8" t="s">
        <v>19</v>
      </c>
      <c r="E590" s="8" t="s">
        <v>3025</v>
      </c>
      <c r="F590" s="8" t="s">
        <v>1479</v>
      </c>
      <c r="G590" s="8" t="s">
        <v>2556</v>
      </c>
      <c r="H590" s="8">
        <v>-1.0</v>
      </c>
      <c r="I590" s="8" t="s">
        <v>316</v>
      </c>
      <c r="J590" s="8" t="s">
        <v>22</v>
      </c>
      <c r="K590" s="8" t="s">
        <v>225</v>
      </c>
      <c r="L590" s="8" t="s">
        <v>24</v>
      </c>
      <c r="M590" s="9">
        <v>0.25</v>
      </c>
      <c r="N590" s="9">
        <v>0.25</v>
      </c>
      <c r="O590" s="9">
        <v>0.25</v>
      </c>
      <c r="P590" s="54">
        <v>45153.0</v>
      </c>
      <c r="Q590" s="11">
        <v>1.95</v>
      </c>
      <c r="R590" s="8" t="s">
        <v>33</v>
      </c>
      <c r="S590" s="12">
        <f t="shared" si="1"/>
        <v>0.2375</v>
      </c>
      <c r="T590" s="12">
        <f t="shared" si="8"/>
        <v>5.727081842</v>
      </c>
      <c r="U590" s="145"/>
    </row>
    <row r="591">
      <c r="A591" s="58"/>
      <c r="B591" s="58"/>
      <c r="C591" s="58"/>
      <c r="D591" s="15" t="s">
        <v>40</v>
      </c>
      <c r="E591" s="15" t="s">
        <v>3026</v>
      </c>
      <c r="F591" s="15" t="s">
        <v>1473</v>
      </c>
      <c r="G591" s="15" t="s">
        <v>2556</v>
      </c>
      <c r="H591" s="15">
        <v>0.0</v>
      </c>
      <c r="I591" s="15" t="s">
        <v>28</v>
      </c>
      <c r="J591" s="15" t="s">
        <v>22</v>
      </c>
      <c r="K591" s="15" t="s">
        <v>225</v>
      </c>
      <c r="L591" s="15" t="s">
        <v>1522</v>
      </c>
      <c r="M591" s="16">
        <v>0.75</v>
      </c>
      <c r="N591" s="16">
        <v>0.5</v>
      </c>
      <c r="O591" s="16">
        <v>0.5</v>
      </c>
      <c r="P591" s="17">
        <v>45154.0</v>
      </c>
      <c r="Q591" s="18">
        <v>1.825</v>
      </c>
      <c r="R591" s="15" t="s">
        <v>70</v>
      </c>
      <c r="S591" s="19">
        <f t="shared" si="1"/>
        <v>0</v>
      </c>
      <c r="T591" s="19">
        <f t="shared" si="8"/>
        <v>5.727081842</v>
      </c>
      <c r="U591" s="144"/>
    </row>
    <row r="592">
      <c r="A592" s="59"/>
      <c r="B592" s="59"/>
      <c r="C592" s="59"/>
      <c r="D592" s="8" t="s">
        <v>19</v>
      </c>
      <c r="E592" s="8" t="s">
        <v>3027</v>
      </c>
      <c r="F592" s="8" t="s">
        <v>1473</v>
      </c>
      <c r="G592" s="8" t="s">
        <v>2556</v>
      </c>
      <c r="H592" s="8">
        <v>2</v>
      </c>
      <c r="I592" s="8" t="s">
        <v>316</v>
      </c>
      <c r="J592" s="8" t="s">
        <v>22</v>
      </c>
      <c r="K592" s="8" t="s">
        <v>225</v>
      </c>
      <c r="L592" s="8" t="s">
        <v>24</v>
      </c>
      <c r="M592" s="9">
        <v>0.5</v>
      </c>
      <c r="N592" s="9">
        <v>0.75</v>
      </c>
      <c r="O592" s="9">
        <v>0.75</v>
      </c>
      <c r="P592" s="10">
        <v>45153.0</v>
      </c>
      <c r="Q592" s="11">
        <v>1.691</v>
      </c>
      <c r="R592" s="8" t="s">
        <v>33</v>
      </c>
      <c r="S592" s="12">
        <f t="shared" si="1"/>
        <v>0.51825</v>
      </c>
      <c r="T592" s="12">
        <f t="shared" si="8"/>
        <v>6.245331842</v>
      </c>
      <c r="U592" s="145"/>
    </row>
    <row r="593">
      <c r="A593" s="58"/>
      <c r="B593" s="58"/>
      <c r="C593" s="58"/>
      <c r="D593" s="15" t="s">
        <v>19</v>
      </c>
      <c r="E593" s="15" t="s">
        <v>3028</v>
      </c>
      <c r="F593" s="15"/>
      <c r="G593" s="15"/>
      <c r="H593" s="15" t="s">
        <v>2615</v>
      </c>
      <c r="I593" s="15" t="s">
        <v>513</v>
      </c>
      <c r="J593" s="15" t="s">
        <v>22</v>
      </c>
      <c r="K593" s="15" t="s">
        <v>2939</v>
      </c>
      <c r="L593" s="15" t="s">
        <v>39</v>
      </c>
      <c r="M593" s="16">
        <v>-8.5</v>
      </c>
      <c r="N593" s="16">
        <v>0.25</v>
      </c>
      <c r="O593" s="16">
        <v>0.25</v>
      </c>
      <c r="P593" s="17">
        <v>45153.0</v>
      </c>
      <c r="Q593" s="18">
        <v>1.775</v>
      </c>
      <c r="R593" s="15" t="s">
        <v>25</v>
      </c>
      <c r="S593" s="19">
        <f t="shared" si="1"/>
        <v>-0.25</v>
      </c>
      <c r="T593" s="19">
        <f t="shared" si="8"/>
        <v>5.995331842</v>
      </c>
      <c r="U593" s="144"/>
    </row>
    <row r="594">
      <c r="A594" s="59"/>
      <c r="B594" s="59"/>
      <c r="C594" s="59"/>
      <c r="D594" s="8" t="s">
        <v>19</v>
      </c>
      <c r="E594" s="8" t="s">
        <v>3029</v>
      </c>
      <c r="F594" s="8"/>
      <c r="G594" s="8"/>
      <c r="H594" s="8" t="s">
        <v>2615</v>
      </c>
      <c r="I594" s="8" t="s">
        <v>44</v>
      </c>
      <c r="J594" s="8" t="s">
        <v>22</v>
      </c>
      <c r="K594" s="8" t="s">
        <v>2939</v>
      </c>
      <c r="L594" s="8" t="s">
        <v>24</v>
      </c>
      <c r="M594" s="9">
        <v>-12.5</v>
      </c>
      <c r="N594" s="9">
        <v>0.3</v>
      </c>
      <c r="O594" s="9">
        <v>0.3</v>
      </c>
      <c r="P594" s="10">
        <v>45153.0</v>
      </c>
      <c r="Q594" s="11">
        <v>1.85</v>
      </c>
      <c r="R594" s="8" t="s">
        <v>25</v>
      </c>
      <c r="S594" s="12">
        <f t="shared" si="1"/>
        <v>-0.3</v>
      </c>
      <c r="T594" s="12">
        <f t="shared" si="8"/>
        <v>5.695331842</v>
      </c>
      <c r="U594" s="145"/>
    </row>
    <row r="595">
      <c r="A595" s="58"/>
      <c r="B595" s="58"/>
      <c r="C595" s="58"/>
      <c r="D595" s="15" t="s">
        <v>19</v>
      </c>
      <c r="E595" s="15" t="s">
        <v>3030</v>
      </c>
      <c r="F595" s="15"/>
      <c r="G595" s="15"/>
      <c r="H595" s="15"/>
      <c r="I595" s="15" t="s">
        <v>82</v>
      </c>
      <c r="J595" s="15" t="s">
        <v>598</v>
      </c>
      <c r="K595" s="15" t="s">
        <v>3031</v>
      </c>
      <c r="L595" s="15" t="s">
        <v>24</v>
      </c>
      <c r="M595" s="16">
        <v>-7.0</v>
      </c>
      <c r="N595" s="16">
        <v>0.2</v>
      </c>
      <c r="O595" s="16">
        <v>0.2</v>
      </c>
      <c r="P595" s="17">
        <v>45154.0</v>
      </c>
      <c r="Q595" s="18">
        <v>2.4</v>
      </c>
      <c r="R595" s="15" t="s">
        <v>25</v>
      </c>
      <c r="S595" s="19">
        <f t="shared" si="1"/>
        <v>-0.2</v>
      </c>
      <c r="T595" s="19">
        <f t="shared" si="8"/>
        <v>5.495331842</v>
      </c>
      <c r="U595" s="144"/>
    </row>
    <row r="596">
      <c r="A596" s="59"/>
      <c r="B596" s="59"/>
      <c r="C596" s="59"/>
      <c r="D596" s="8" t="s">
        <v>19</v>
      </c>
      <c r="E596" s="8" t="s">
        <v>3032</v>
      </c>
      <c r="F596" s="8"/>
      <c r="G596" s="8"/>
      <c r="H596" s="8"/>
      <c r="I596" s="8" t="s">
        <v>1961</v>
      </c>
      <c r="J596" s="8" t="s">
        <v>598</v>
      </c>
      <c r="K596" s="8" t="s">
        <v>29</v>
      </c>
      <c r="L596" s="8" t="s">
        <v>39</v>
      </c>
      <c r="M596" s="9">
        <v>-2.75</v>
      </c>
      <c r="N596" s="9">
        <v>0.25</v>
      </c>
      <c r="O596" s="9">
        <v>0.25</v>
      </c>
      <c r="P596" s="10">
        <v>45154.0</v>
      </c>
      <c r="Q596" s="11">
        <v>1.88</v>
      </c>
      <c r="R596" s="8" t="s">
        <v>70</v>
      </c>
      <c r="S596" s="12">
        <f t="shared" si="1"/>
        <v>0</v>
      </c>
      <c r="T596" s="12">
        <f t="shared" si="8"/>
        <v>5.495331842</v>
      </c>
      <c r="U596" s="145"/>
    </row>
    <row r="597">
      <c r="A597" s="58"/>
      <c r="B597" s="58"/>
      <c r="C597" s="58"/>
      <c r="D597" s="15" t="s">
        <v>19</v>
      </c>
      <c r="E597" s="15" t="s">
        <v>3033</v>
      </c>
      <c r="F597" s="15"/>
      <c r="G597" s="15"/>
      <c r="H597" s="15" t="s">
        <v>3034</v>
      </c>
      <c r="I597" s="15" t="s">
        <v>82</v>
      </c>
      <c r="J597" s="15" t="s">
        <v>22</v>
      </c>
      <c r="K597" s="15" t="s">
        <v>2545</v>
      </c>
      <c r="L597" s="15" t="s">
        <v>24</v>
      </c>
      <c r="M597" s="16">
        <v>3.0</v>
      </c>
      <c r="N597" s="16">
        <v>0.5</v>
      </c>
      <c r="O597" s="16">
        <v>0.5</v>
      </c>
      <c r="P597" s="17">
        <v>45154.0</v>
      </c>
      <c r="Q597" s="18">
        <v>1.725</v>
      </c>
      <c r="R597" s="15" t="s">
        <v>25</v>
      </c>
      <c r="S597" s="19">
        <f t="shared" si="1"/>
        <v>-0.5</v>
      </c>
      <c r="T597" s="19">
        <f t="shared" si="8"/>
        <v>4.995331842</v>
      </c>
      <c r="U597" s="144"/>
    </row>
    <row r="598">
      <c r="A598" s="59"/>
      <c r="B598" s="59"/>
      <c r="C598" s="59"/>
      <c r="D598" s="8" t="s">
        <v>19</v>
      </c>
      <c r="E598" s="8" t="s">
        <v>3035</v>
      </c>
      <c r="F598" s="8"/>
      <c r="G598" s="8"/>
      <c r="H598" s="8" t="s">
        <v>2615</v>
      </c>
      <c r="I598" s="8" t="s">
        <v>82</v>
      </c>
      <c r="J598" s="8" t="s">
        <v>22</v>
      </c>
      <c r="K598" s="8" t="s">
        <v>23</v>
      </c>
      <c r="L598" s="8" t="s">
        <v>24</v>
      </c>
      <c r="M598" s="9">
        <v>-6.0</v>
      </c>
      <c r="N598" s="9">
        <v>0.25</v>
      </c>
      <c r="O598" s="9">
        <f>0.478*0.25</f>
        <v>0.1195</v>
      </c>
      <c r="P598" s="10">
        <v>45154.0</v>
      </c>
      <c r="Q598" s="11">
        <v>1.83</v>
      </c>
      <c r="R598" s="8" t="s">
        <v>33</v>
      </c>
      <c r="S598" s="12">
        <f t="shared" si="1"/>
        <v>0.099185</v>
      </c>
      <c r="T598" s="12">
        <f t="shared" si="8"/>
        <v>5.094516842</v>
      </c>
      <c r="U598" s="145"/>
    </row>
    <row r="599">
      <c r="A599" s="58"/>
      <c r="B599" s="58"/>
      <c r="C599" s="58"/>
      <c r="D599" s="15" t="s">
        <v>19</v>
      </c>
      <c r="E599" s="15" t="s">
        <v>3036</v>
      </c>
      <c r="F599" s="15" t="s">
        <v>1479</v>
      </c>
      <c r="G599" s="15" t="s">
        <v>2556</v>
      </c>
      <c r="H599" s="15">
        <f>1</f>
        <v>1</v>
      </c>
      <c r="I599" s="15" t="s">
        <v>583</v>
      </c>
      <c r="J599" s="15" t="s">
        <v>22</v>
      </c>
      <c r="K599" s="15" t="s">
        <v>225</v>
      </c>
      <c r="L599" s="15" t="s">
        <v>24</v>
      </c>
      <c r="M599" s="16">
        <v>0.25</v>
      </c>
      <c r="N599" s="16">
        <v>0.75</v>
      </c>
      <c r="O599" s="16">
        <v>0.75</v>
      </c>
      <c r="P599" s="17">
        <v>45154.0</v>
      </c>
      <c r="Q599" s="18">
        <v>1.7</v>
      </c>
      <c r="R599" s="15" t="s">
        <v>33</v>
      </c>
      <c r="S599" s="19">
        <f t="shared" si="1"/>
        <v>0.525</v>
      </c>
      <c r="T599" s="19">
        <f t="shared" si="8"/>
        <v>5.619516842</v>
      </c>
      <c r="U599" s="144"/>
    </row>
    <row r="600">
      <c r="A600" s="59"/>
      <c r="B600" s="59"/>
      <c r="C600" s="59"/>
      <c r="D600" s="8" t="s">
        <v>19</v>
      </c>
      <c r="E600" s="8" t="s">
        <v>3037</v>
      </c>
      <c r="F600" s="8" t="s">
        <v>1479</v>
      </c>
      <c r="G600" s="8" t="s">
        <v>2556</v>
      </c>
      <c r="H600" s="8">
        <v>-1.0</v>
      </c>
      <c r="I600" s="8" t="s">
        <v>583</v>
      </c>
      <c r="J600" s="8" t="s">
        <v>22</v>
      </c>
      <c r="K600" s="8" t="s">
        <v>225</v>
      </c>
      <c r="L600" s="8" t="s">
        <v>24</v>
      </c>
      <c r="M600" s="9">
        <v>2.0</v>
      </c>
      <c r="N600" s="9">
        <v>0.25</v>
      </c>
      <c r="O600" s="9">
        <f>0.522*0.25</f>
        <v>0.1305</v>
      </c>
      <c r="P600" s="10">
        <v>45154.0</v>
      </c>
      <c r="Q600" s="11">
        <v>2.025</v>
      </c>
      <c r="R600" s="8" t="s">
        <v>33</v>
      </c>
      <c r="S600" s="12">
        <f t="shared" si="1"/>
        <v>0.1337625</v>
      </c>
      <c r="T600" s="12">
        <f t="shared" si="8"/>
        <v>5.753279342</v>
      </c>
      <c r="U600" s="145"/>
    </row>
    <row r="601">
      <c r="A601" s="58"/>
      <c r="B601" s="58"/>
      <c r="C601" s="58"/>
      <c r="D601" s="15" t="s">
        <v>19</v>
      </c>
      <c r="E601" s="15" t="s">
        <v>3038</v>
      </c>
      <c r="F601" s="15" t="s">
        <v>1479</v>
      </c>
      <c r="G601" s="15" t="s">
        <v>2556</v>
      </c>
      <c r="H601" s="15">
        <v>-1.0</v>
      </c>
      <c r="I601" s="15" t="s">
        <v>101</v>
      </c>
      <c r="J601" s="15" t="s">
        <v>22</v>
      </c>
      <c r="K601" s="15" t="s">
        <v>225</v>
      </c>
      <c r="L601" s="15" t="s">
        <v>1522</v>
      </c>
      <c r="M601" s="16">
        <v>1.5</v>
      </c>
      <c r="N601" s="16">
        <v>0.5</v>
      </c>
      <c r="O601" s="16">
        <v>0.5</v>
      </c>
      <c r="P601" s="17">
        <v>45154.0</v>
      </c>
      <c r="Q601" s="18">
        <v>1.127</v>
      </c>
      <c r="R601" s="15" t="s">
        <v>33</v>
      </c>
      <c r="S601" s="19">
        <f t="shared" si="1"/>
        <v>0.0635</v>
      </c>
      <c r="T601" s="19">
        <f t="shared" si="8"/>
        <v>5.816779342</v>
      </c>
      <c r="U601" s="144"/>
    </row>
    <row r="602">
      <c r="A602" s="59"/>
      <c r="B602" s="59"/>
      <c r="C602" s="59"/>
      <c r="D602" s="8" t="s">
        <v>19</v>
      </c>
      <c r="E602" s="8" t="s">
        <v>3039</v>
      </c>
      <c r="F602" s="8" t="s">
        <v>1473</v>
      </c>
      <c r="G602" s="8" t="s">
        <v>2660</v>
      </c>
      <c r="H602" s="8">
        <f>1</f>
        <v>1</v>
      </c>
      <c r="I602" s="8" t="s">
        <v>703</v>
      </c>
      <c r="J602" s="8" t="s">
        <v>22</v>
      </c>
      <c r="K602" s="8" t="s">
        <v>892</v>
      </c>
      <c r="L602" s="8" t="s">
        <v>24</v>
      </c>
      <c r="M602" s="9">
        <v>0.0</v>
      </c>
      <c r="N602" s="9">
        <v>0.5</v>
      </c>
      <c r="O602" s="9">
        <v>0.5</v>
      </c>
      <c r="P602" s="10">
        <v>45154.0</v>
      </c>
      <c r="Q602" s="11">
        <v>1.975</v>
      </c>
      <c r="R602" s="8" t="s">
        <v>33</v>
      </c>
      <c r="S602" s="12">
        <f t="shared" si="1"/>
        <v>0.4875</v>
      </c>
      <c r="T602" s="12">
        <f t="shared" si="8"/>
        <v>6.304279342</v>
      </c>
      <c r="U602" s="145"/>
    </row>
    <row r="603">
      <c r="A603" s="58"/>
      <c r="B603" s="58"/>
      <c r="C603" s="58"/>
      <c r="D603" s="15" t="s">
        <v>19</v>
      </c>
      <c r="E603" s="15" t="s">
        <v>3040</v>
      </c>
      <c r="F603" s="15" t="s">
        <v>1479</v>
      </c>
      <c r="G603" s="15" t="s">
        <v>2660</v>
      </c>
      <c r="H603" s="15">
        <v>0.0</v>
      </c>
      <c r="I603" s="15" t="s">
        <v>82</v>
      </c>
      <c r="J603" s="15" t="s">
        <v>22</v>
      </c>
      <c r="K603" s="15" t="s">
        <v>892</v>
      </c>
      <c r="L603" s="15" t="s">
        <v>39</v>
      </c>
      <c r="M603" s="16">
        <v>0.0</v>
      </c>
      <c r="N603" s="16">
        <v>0.25</v>
      </c>
      <c r="O603" s="16">
        <v>0.25</v>
      </c>
      <c r="P603" s="17">
        <v>45154.0</v>
      </c>
      <c r="Q603" s="18">
        <v>1.9</v>
      </c>
      <c r="R603" s="15" t="s">
        <v>25</v>
      </c>
      <c r="S603" s="19">
        <f t="shared" si="1"/>
        <v>-0.25</v>
      </c>
      <c r="T603" s="19">
        <f t="shared" si="8"/>
        <v>6.054279342</v>
      </c>
      <c r="U603" s="144"/>
    </row>
    <row r="604">
      <c r="A604" s="59"/>
      <c r="B604" s="59"/>
      <c r="C604" s="59"/>
      <c r="D604" s="8" t="s">
        <v>40</v>
      </c>
      <c r="E604" s="8" t="s">
        <v>3041</v>
      </c>
      <c r="F604" s="8" t="s">
        <v>1479</v>
      </c>
      <c r="G604" s="8" t="s">
        <v>2660</v>
      </c>
      <c r="H604" s="8">
        <v>-1.0</v>
      </c>
      <c r="I604" s="8" t="s">
        <v>169</v>
      </c>
      <c r="J604" s="8" t="s">
        <v>22</v>
      </c>
      <c r="K604" s="8" t="s">
        <v>892</v>
      </c>
      <c r="L604" s="8" t="s">
        <v>24</v>
      </c>
      <c r="M604" s="9">
        <v>0.0</v>
      </c>
      <c r="N604" s="9">
        <v>0.5</v>
      </c>
      <c r="O604" s="9">
        <v>0.5</v>
      </c>
      <c r="P604" s="10">
        <v>45154.0</v>
      </c>
      <c r="Q604" s="11">
        <v>1.08</v>
      </c>
      <c r="R604" s="8" t="s">
        <v>33</v>
      </c>
      <c r="S604" s="12">
        <f t="shared" si="1"/>
        <v>0.04</v>
      </c>
      <c r="T604" s="12">
        <f t="shared" si="8"/>
        <v>6.094279342</v>
      </c>
      <c r="U604" s="145"/>
    </row>
    <row r="605">
      <c r="A605" s="58"/>
      <c r="B605" s="58"/>
      <c r="C605" s="58"/>
      <c r="D605" s="15" t="s">
        <v>19</v>
      </c>
      <c r="E605" s="15" t="s">
        <v>3042</v>
      </c>
      <c r="F605" s="15" t="s">
        <v>1479</v>
      </c>
      <c r="G605" s="15"/>
      <c r="H605" s="15"/>
      <c r="I605" s="15" t="s">
        <v>82</v>
      </c>
      <c r="J605" s="15" t="s">
        <v>598</v>
      </c>
      <c r="K605" s="15" t="s">
        <v>1847</v>
      </c>
      <c r="L605" s="15" t="s">
        <v>24</v>
      </c>
      <c r="M605" s="16">
        <v>-0.5</v>
      </c>
      <c r="N605" s="16">
        <v>0.5</v>
      </c>
      <c r="O605" s="16">
        <v>0.5</v>
      </c>
      <c r="P605" s="17">
        <v>45165.0</v>
      </c>
      <c r="Q605" s="18">
        <v>1.8</v>
      </c>
      <c r="R605" s="15" t="s">
        <v>3043</v>
      </c>
      <c r="S605" s="19">
        <f t="shared" si="1"/>
        <v>0</v>
      </c>
      <c r="T605" s="19">
        <f t="shared" si="8"/>
        <v>6.094279342</v>
      </c>
      <c r="U605" s="144"/>
    </row>
    <row r="606">
      <c r="A606" s="59"/>
      <c r="B606" s="59"/>
      <c r="C606" s="59"/>
      <c r="D606" s="8" t="s">
        <v>19</v>
      </c>
      <c r="E606" s="8" t="s">
        <v>3044</v>
      </c>
      <c r="F606" s="8"/>
      <c r="G606" s="8"/>
      <c r="H606" s="8"/>
      <c r="I606" s="8" t="s">
        <v>853</v>
      </c>
      <c r="J606" s="8" t="s">
        <v>22</v>
      </c>
      <c r="K606" s="8" t="s">
        <v>29</v>
      </c>
      <c r="L606" s="8" t="s">
        <v>24</v>
      </c>
      <c r="M606" s="9">
        <v>-7.0</v>
      </c>
      <c r="N606" s="9">
        <v>0.3</v>
      </c>
      <c r="O606" s="9">
        <v>0.3</v>
      </c>
      <c r="P606" s="10">
        <v>45155.0</v>
      </c>
      <c r="Q606" s="11">
        <v>1.1</v>
      </c>
      <c r="R606" s="8" t="s">
        <v>33</v>
      </c>
      <c r="S606" s="12">
        <f t="shared" si="1"/>
        <v>0.03</v>
      </c>
      <c r="T606" s="12">
        <f t="shared" si="8"/>
        <v>6.124279342</v>
      </c>
      <c r="U606" s="145"/>
    </row>
    <row r="607">
      <c r="A607" s="58"/>
      <c r="B607" s="58"/>
      <c r="C607" s="58"/>
      <c r="D607" s="15" t="s">
        <v>19</v>
      </c>
      <c r="E607" s="15" t="s">
        <v>3045</v>
      </c>
      <c r="F607" s="15" t="s">
        <v>1479</v>
      </c>
      <c r="G607" s="15" t="s">
        <v>2556</v>
      </c>
      <c r="H607" s="15">
        <v>0.0</v>
      </c>
      <c r="I607" s="15" t="s">
        <v>853</v>
      </c>
      <c r="J607" s="15" t="s">
        <v>22</v>
      </c>
      <c r="K607" s="15" t="s">
        <v>225</v>
      </c>
      <c r="L607" s="15" t="s">
        <v>24</v>
      </c>
      <c r="M607" s="16">
        <v>1.25</v>
      </c>
      <c r="N607" s="16">
        <v>0.3</v>
      </c>
      <c r="O607" s="16">
        <v>0.3</v>
      </c>
      <c r="P607" s="17">
        <v>45155.0</v>
      </c>
      <c r="Q607" s="18">
        <v>1.725</v>
      </c>
      <c r="R607" s="15" t="s">
        <v>25</v>
      </c>
      <c r="S607" s="19">
        <f t="shared" si="1"/>
        <v>-0.3</v>
      </c>
      <c r="T607" s="19">
        <f t="shared" si="8"/>
        <v>5.824279342</v>
      </c>
      <c r="U607" s="144"/>
    </row>
    <row r="608">
      <c r="A608" s="59"/>
      <c r="B608" s="59"/>
      <c r="C608" s="59"/>
      <c r="D608" s="8" t="s">
        <v>19</v>
      </c>
      <c r="E608" s="8" t="s">
        <v>3046</v>
      </c>
      <c r="F608" s="8" t="s">
        <v>1479</v>
      </c>
      <c r="G608" s="8" t="s">
        <v>2556</v>
      </c>
      <c r="H608" s="8">
        <v>0.0</v>
      </c>
      <c r="I608" s="8" t="s">
        <v>82</v>
      </c>
      <c r="J608" s="8" t="s">
        <v>22</v>
      </c>
      <c r="K608" s="8" t="s">
        <v>225</v>
      </c>
      <c r="L608" s="8" t="s">
        <v>39</v>
      </c>
      <c r="M608" s="9">
        <v>0.25</v>
      </c>
      <c r="N608" s="9">
        <v>0.5</v>
      </c>
      <c r="O608" s="9">
        <v>0.5</v>
      </c>
      <c r="P608" s="54">
        <v>45155.0</v>
      </c>
      <c r="Q608" s="11">
        <v>1.725</v>
      </c>
      <c r="R608" s="8" t="s">
        <v>33</v>
      </c>
      <c r="S608" s="12">
        <f t="shared" si="1"/>
        <v>0.3625</v>
      </c>
      <c r="T608" s="12">
        <f t="shared" si="8"/>
        <v>6.186779342</v>
      </c>
      <c r="U608" s="145"/>
    </row>
    <row r="609">
      <c r="A609" s="58"/>
      <c r="B609" s="58"/>
      <c r="C609" s="58"/>
      <c r="D609" s="15" t="s">
        <v>40</v>
      </c>
      <c r="E609" s="15" t="s">
        <v>3047</v>
      </c>
      <c r="F609" s="15"/>
      <c r="G609" s="15"/>
      <c r="H609" s="15"/>
      <c r="I609" s="15" t="s">
        <v>877</v>
      </c>
      <c r="J609" s="15" t="s">
        <v>22</v>
      </c>
      <c r="K609" s="15" t="s">
        <v>2939</v>
      </c>
      <c r="L609" s="15" t="s">
        <v>39</v>
      </c>
      <c r="M609" s="16">
        <v>-0.5</v>
      </c>
      <c r="N609" s="16">
        <v>0.25</v>
      </c>
      <c r="O609" s="16">
        <v>0.25</v>
      </c>
      <c r="P609" s="17">
        <v>45155.0</v>
      </c>
      <c r="Q609" s="18">
        <v>1.216</v>
      </c>
      <c r="R609" s="15" t="s">
        <v>33</v>
      </c>
      <c r="S609" s="19">
        <f t="shared" si="1"/>
        <v>0.054</v>
      </c>
      <c r="T609" s="19">
        <f t="shared" si="8"/>
        <v>6.240779342</v>
      </c>
      <c r="U609" s="144"/>
    </row>
    <row r="610">
      <c r="A610" s="59"/>
      <c r="B610" s="59"/>
      <c r="C610" s="59"/>
      <c r="D610" s="8" t="s">
        <v>19</v>
      </c>
      <c r="E610" s="8" t="s">
        <v>3048</v>
      </c>
      <c r="F610" s="8"/>
      <c r="G610" s="8"/>
      <c r="H610" s="8" t="s">
        <v>2615</v>
      </c>
      <c r="I610" s="8" t="s">
        <v>513</v>
      </c>
      <c r="J610" s="8" t="s">
        <v>22</v>
      </c>
      <c r="K610" s="8" t="s">
        <v>2939</v>
      </c>
      <c r="L610" s="8" t="s">
        <v>39</v>
      </c>
      <c r="M610" s="9">
        <v>-9.5</v>
      </c>
      <c r="N610" s="9">
        <v>0.25</v>
      </c>
      <c r="O610" s="9">
        <v>0.25</v>
      </c>
      <c r="P610" s="10">
        <v>45155.0</v>
      </c>
      <c r="Q610" s="11">
        <v>1.725</v>
      </c>
      <c r="R610" s="8" t="s">
        <v>25</v>
      </c>
      <c r="S610" s="12">
        <f t="shared" si="1"/>
        <v>-0.25</v>
      </c>
      <c r="T610" s="12">
        <f t="shared" si="8"/>
        <v>5.990779342</v>
      </c>
      <c r="U610" s="145"/>
    </row>
    <row r="611">
      <c r="A611" s="58"/>
      <c r="B611" s="58"/>
      <c r="C611" s="58"/>
      <c r="D611" s="15" t="s">
        <v>40</v>
      </c>
      <c r="E611" s="15" t="s">
        <v>3049</v>
      </c>
      <c r="F611" s="15" t="s">
        <v>1473</v>
      </c>
      <c r="G611" s="15" t="s">
        <v>2556</v>
      </c>
      <c r="H611" s="15">
        <v>0.0</v>
      </c>
      <c r="I611" s="15" t="s">
        <v>877</v>
      </c>
      <c r="J611" s="15" t="s">
        <v>22</v>
      </c>
      <c r="K611" s="15" t="s">
        <v>225</v>
      </c>
      <c r="L611" s="15" t="s">
        <v>39</v>
      </c>
      <c r="M611" s="16">
        <v>1.25</v>
      </c>
      <c r="N611" s="16">
        <v>0.25</v>
      </c>
      <c r="O611" s="16">
        <v>0.25</v>
      </c>
      <c r="P611" s="55">
        <v>45155.0</v>
      </c>
      <c r="Q611" s="18">
        <v>1.75</v>
      </c>
      <c r="R611" s="15" t="s">
        <v>25</v>
      </c>
      <c r="S611" s="19">
        <f t="shared" si="1"/>
        <v>-0.25</v>
      </c>
      <c r="T611" s="19">
        <f t="shared" si="8"/>
        <v>5.740779342</v>
      </c>
      <c r="U611" s="144"/>
    </row>
    <row r="612">
      <c r="A612" s="59"/>
      <c r="B612" s="59"/>
      <c r="C612" s="59"/>
      <c r="D612" s="8" t="s">
        <v>19</v>
      </c>
      <c r="E612" s="8" t="s">
        <v>3050</v>
      </c>
      <c r="F612" s="8" t="s">
        <v>1473</v>
      </c>
      <c r="G612" s="8" t="s">
        <v>2556</v>
      </c>
      <c r="H612" s="8">
        <f>1</f>
        <v>1</v>
      </c>
      <c r="I612" s="8" t="s">
        <v>82</v>
      </c>
      <c r="J612" s="8" t="s">
        <v>22</v>
      </c>
      <c r="K612" s="8" t="s">
        <v>225</v>
      </c>
      <c r="L612" s="8" t="s">
        <v>1851</v>
      </c>
      <c r="M612" s="9">
        <v>2.75</v>
      </c>
      <c r="N612" s="9">
        <v>0.75</v>
      </c>
      <c r="O612" s="9">
        <v>0.75</v>
      </c>
      <c r="P612" s="10">
        <v>45155.0</v>
      </c>
      <c r="Q612" s="11">
        <v>1.925</v>
      </c>
      <c r="R612" s="8" t="s">
        <v>25</v>
      </c>
      <c r="S612" s="12">
        <f t="shared" si="1"/>
        <v>-0.75</v>
      </c>
      <c r="T612" s="12">
        <f t="shared" si="8"/>
        <v>4.990779342</v>
      </c>
      <c r="U612" s="145"/>
    </row>
    <row r="613">
      <c r="A613" s="58"/>
      <c r="B613" s="58"/>
      <c r="C613" s="58"/>
      <c r="D613" s="15" t="s">
        <v>19</v>
      </c>
      <c r="E613" s="15" t="s">
        <v>3051</v>
      </c>
      <c r="F613" s="15" t="s">
        <v>1473</v>
      </c>
      <c r="G613" s="15" t="s">
        <v>2556</v>
      </c>
      <c r="H613" s="15">
        <v>0.0</v>
      </c>
      <c r="I613" s="15" t="s">
        <v>463</v>
      </c>
      <c r="J613" s="15" t="s">
        <v>22</v>
      </c>
      <c r="K613" s="15" t="s">
        <v>225</v>
      </c>
      <c r="L613" s="15" t="s">
        <v>1522</v>
      </c>
      <c r="M613" s="16">
        <v>0.5</v>
      </c>
      <c r="N613" s="16">
        <v>0.5</v>
      </c>
      <c r="O613" s="16">
        <f>0.32*0.5</f>
        <v>0.16</v>
      </c>
      <c r="P613" s="17">
        <v>45155.0</v>
      </c>
      <c r="Q613" s="18">
        <v>1.9</v>
      </c>
      <c r="R613" s="15" t="s">
        <v>33</v>
      </c>
      <c r="S613" s="19">
        <f t="shared" si="1"/>
        <v>0.144</v>
      </c>
      <c r="T613" s="19">
        <f t="shared" si="8"/>
        <v>5.134779342</v>
      </c>
      <c r="U613" s="144"/>
    </row>
    <row r="614">
      <c r="A614" s="59"/>
      <c r="B614" s="59"/>
      <c r="C614" s="59"/>
      <c r="D614" s="8" t="s">
        <v>19</v>
      </c>
      <c r="E614" s="8" t="s">
        <v>3052</v>
      </c>
      <c r="F614" s="8" t="s">
        <v>1473</v>
      </c>
      <c r="G614" s="8" t="s">
        <v>2556</v>
      </c>
      <c r="H614" s="8">
        <f t="shared" ref="H614:H615" si="29">1</f>
        <v>1</v>
      </c>
      <c r="I614" s="8" t="s">
        <v>463</v>
      </c>
      <c r="J614" s="8" t="s">
        <v>22</v>
      </c>
      <c r="K614" s="8" t="s">
        <v>225</v>
      </c>
      <c r="L614" s="8" t="s">
        <v>1522</v>
      </c>
      <c r="M614" s="9">
        <v>1.75</v>
      </c>
      <c r="N614" s="9">
        <v>0.75</v>
      </c>
      <c r="O614" s="9">
        <v>0.75</v>
      </c>
      <c r="P614" s="10">
        <v>45155.0</v>
      </c>
      <c r="Q614" s="11">
        <v>1.8</v>
      </c>
      <c r="R614" s="8" t="s">
        <v>33</v>
      </c>
      <c r="S614" s="12">
        <f t="shared" si="1"/>
        <v>0.6</v>
      </c>
      <c r="T614" s="12">
        <f t="shared" si="8"/>
        <v>5.734779342</v>
      </c>
      <c r="U614" s="145"/>
    </row>
    <row r="615">
      <c r="A615" s="58"/>
      <c r="B615" s="58"/>
      <c r="C615" s="58"/>
      <c r="D615" s="15" t="s">
        <v>19</v>
      </c>
      <c r="E615" s="95" t="s">
        <v>3053</v>
      </c>
      <c r="F615" s="15" t="s">
        <v>1473</v>
      </c>
      <c r="G615" s="15" t="s">
        <v>2660</v>
      </c>
      <c r="H615" s="15">
        <f t="shared" si="29"/>
        <v>1</v>
      </c>
      <c r="I615" s="15" t="s">
        <v>463</v>
      </c>
      <c r="J615" s="15" t="s">
        <v>22</v>
      </c>
      <c r="K615" s="15" t="s">
        <v>1150</v>
      </c>
      <c r="L615" s="15" t="s">
        <v>1522</v>
      </c>
      <c r="M615" s="16">
        <v>0.0</v>
      </c>
      <c r="N615" s="16">
        <v>0.5</v>
      </c>
      <c r="O615" s="16">
        <v>0.5</v>
      </c>
      <c r="P615" s="17">
        <v>45155.0</v>
      </c>
      <c r="Q615" s="18">
        <v>1.9</v>
      </c>
      <c r="R615" s="15" t="s">
        <v>33</v>
      </c>
      <c r="S615" s="19">
        <f t="shared" si="1"/>
        <v>0.45</v>
      </c>
      <c r="T615" s="19">
        <f t="shared" si="8"/>
        <v>6.184779342</v>
      </c>
      <c r="U615" s="144"/>
    </row>
    <row r="616">
      <c r="A616" s="59"/>
      <c r="B616" s="59"/>
      <c r="C616" s="59"/>
      <c r="D616" s="8" t="s">
        <v>19</v>
      </c>
      <c r="E616" s="8" t="s">
        <v>3054</v>
      </c>
      <c r="F616" s="8" t="s">
        <v>1479</v>
      </c>
      <c r="G616" s="8"/>
      <c r="H616" s="8"/>
      <c r="I616" s="8" t="s">
        <v>82</v>
      </c>
      <c r="J616" s="8" t="s">
        <v>598</v>
      </c>
      <c r="K616" s="8" t="s">
        <v>3055</v>
      </c>
      <c r="L616" s="8" t="s">
        <v>39</v>
      </c>
      <c r="M616" s="9">
        <v>-0.5</v>
      </c>
      <c r="N616" s="9">
        <v>0.5</v>
      </c>
      <c r="O616" s="9">
        <v>0.5</v>
      </c>
      <c r="P616" s="10">
        <v>45158.0</v>
      </c>
      <c r="Q616" s="11">
        <v>2.05</v>
      </c>
      <c r="R616" s="8" t="s">
        <v>25</v>
      </c>
      <c r="S616" s="12">
        <f t="shared" si="1"/>
        <v>-0.5</v>
      </c>
      <c r="T616" s="12">
        <f t="shared" si="8"/>
        <v>5.684779342</v>
      </c>
      <c r="U616" s="145"/>
    </row>
    <row r="617">
      <c r="A617" s="58"/>
      <c r="B617" s="58"/>
      <c r="C617" s="58"/>
      <c r="D617" s="15" t="s">
        <v>19</v>
      </c>
      <c r="E617" s="15" t="s">
        <v>3056</v>
      </c>
      <c r="F617" s="15" t="s">
        <v>1479</v>
      </c>
      <c r="G617" s="15" t="s">
        <v>2556</v>
      </c>
      <c r="H617" s="15">
        <v>0.0</v>
      </c>
      <c r="I617" s="15" t="s">
        <v>44</v>
      </c>
      <c r="J617" s="15" t="s">
        <v>598</v>
      </c>
      <c r="K617" s="15" t="s">
        <v>225</v>
      </c>
      <c r="L617" s="15" t="s">
        <v>1522</v>
      </c>
      <c r="M617" s="16">
        <v>0.5</v>
      </c>
      <c r="N617" s="16">
        <v>0.25</v>
      </c>
      <c r="O617" s="16">
        <v>0.25</v>
      </c>
      <c r="P617" s="17">
        <v>45156.0</v>
      </c>
      <c r="Q617" s="18">
        <v>1.975</v>
      </c>
      <c r="R617" s="15" t="s">
        <v>25</v>
      </c>
      <c r="S617" s="19">
        <f t="shared" si="1"/>
        <v>-0.25</v>
      </c>
      <c r="T617" s="19">
        <f t="shared" si="8"/>
        <v>5.434779342</v>
      </c>
      <c r="U617" s="144"/>
    </row>
    <row r="618">
      <c r="A618" s="59"/>
      <c r="B618" s="59"/>
      <c r="C618" s="59"/>
      <c r="D618" s="8" t="s">
        <v>19</v>
      </c>
      <c r="E618" s="8" t="s">
        <v>3057</v>
      </c>
      <c r="F618" s="8" t="s">
        <v>1473</v>
      </c>
      <c r="G618" s="8" t="s">
        <v>2556</v>
      </c>
      <c r="H618" s="8">
        <v>0.0</v>
      </c>
      <c r="I618" s="8" t="s">
        <v>101</v>
      </c>
      <c r="J618" s="8" t="s">
        <v>22</v>
      </c>
      <c r="K618" s="8" t="s">
        <v>225</v>
      </c>
      <c r="L618" s="8" t="s">
        <v>24</v>
      </c>
      <c r="M618" s="9">
        <v>0.25</v>
      </c>
      <c r="N618" s="9">
        <v>1.0</v>
      </c>
      <c r="O618" s="9">
        <v>1.0</v>
      </c>
      <c r="P618" s="10">
        <v>45156.0</v>
      </c>
      <c r="Q618" s="11">
        <v>1.8</v>
      </c>
      <c r="R618" s="8" t="s">
        <v>25</v>
      </c>
      <c r="S618" s="12">
        <f t="shared" si="1"/>
        <v>-1</v>
      </c>
      <c r="T618" s="12">
        <f t="shared" si="8"/>
        <v>4.434779342</v>
      </c>
      <c r="U618" s="145"/>
    </row>
    <row r="619">
      <c r="A619" s="58"/>
      <c r="B619" s="58"/>
      <c r="C619" s="58"/>
      <c r="D619" s="15" t="s">
        <v>19</v>
      </c>
      <c r="E619" s="15" t="s">
        <v>3058</v>
      </c>
      <c r="F619" s="15" t="s">
        <v>1479</v>
      </c>
      <c r="G619" s="15" t="s">
        <v>2660</v>
      </c>
      <c r="H619" s="15">
        <v>-3.0</v>
      </c>
      <c r="I619" s="15" t="s">
        <v>172</v>
      </c>
      <c r="J619" s="15" t="s">
        <v>22</v>
      </c>
      <c r="K619" s="15" t="s">
        <v>892</v>
      </c>
      <c r="L619" s="15" t="s">
        <v>24</v>
      </c>
      <c r="M619" s="16">
        <v>0.0</v>
      </c>
      <c r="N619" s="16">
        <v>1.0</v>
      </c>
      <c r="O619" s="16">
        <v>1.0</v>
      </c>
      <c r="P619" s="17">
        <v>45156.0</v>
      </c>
      <c r="Q619" s="18">
        <v>1.7</v>
      </c>
      <c r="R619" s="15" t="s">
        <v>33</v>
      </c>
      <c r="S619" s="19">
        <f t="shared" si="1"/>
        <v>0.7</v>
      </c>
      <c r="T619" s="19">
        <f t="shared" si="8"/>
        <v>5.134779342</v>
      </c>
      <c r="U619" s="144"/>
    </row>
    <row r="620">
      <c r="A620" s="59"/>
      <c r="B620" s="59"/>
      <c r="C620" s="59"/>
      <c r="D620" s="8" t="s">
        <v>19</v>
      </c>
      <c r="E620" s="8" t="s">
        <v>3059</v>
      </c>
      <c r="F620" s="8" t="s">
        <v>1479</v>
      </c>
      <c r="G620" s="8" t="s">
        <v>2660</v>
      </c>
      <c r="H620" s="8">
        <v>-1.0</v>
      </c>
      <c r="I620" s="8" t="s">
        <v>316</v>
      </c>
      <c r="J620" s="8" t="s">
        <v>22</v>
      </c>
      <c r="K620" s="8" t="s">
        <v>892</v>
      </c>
      <c r="L620" s="8" t="s">
        <v>24</v>
      </c>
      <c r="M620" s="9">
        <v>0.0</v>
      </c>
      <c r="N620" s="9">
        <v>0.5</v>
      </c>
      <c r="O620" s="9">
        <v>0.5</v>
      </c>
      <c r="P620" s="10">
        <v>45156.0</v>
      </c>
      <c r="Q620" s="11">
        <v>1.82</v>
      </c>
      <c r="R620" s="8" t="s">
        <v>70</v>
      </c>
      <c r="S620" s="12">
        <f t="shared" si="1"/>
        <v>0</v>
      </c>
      <c r="T620" s="12">
        <f t="shared" si="8"/>
        <v>5.134779342</v>
      </c>
      <c r="U620" s="145"/>
    </row>
    <row r="621">
      <c r="A621" s="58"/>
      <c r="B621" s="58"/>
      <c r="C621" s="58"/>
      <c r="D621" s="15" t="s">
        <v>19</v>
      </c>
      <c r="E621" s="15" t="s">
        <v>3060</v>
      </c>
      <c r="F621" s="15" t="s">
        <v>1473</v>
      </c>
      <c r="G621" s="15" t="s">
        <v>2660</v>
      </c>
      <c r="H621" s="15">
        <f>1</f>
        <v>1</v>
      </c>
      <c r="I621" s="15" t="s">
        <v>44</v>
      </c>
      <c r="J621" s="15" t="s">
        <v>22</v>
      </c>
      <c r="K621" s="15" t="s">
        <v>892</v>
      </c>
      <c r="L621" s="15" t="s">
        <v>24</v>
      </c>
      <c r="M621" s="16">
        <v>0.0</v>
      </c>
      <c r="N621" s="16">
        <v>0.75</v>
      </c>
      <c r="O621" s="16">
        <v>0.75</v>
      </c>
      <c r="P621" s="17">
        <v>45156.0</v>
      </c>
      <c r="Q621" s="18">
        <v>1.95</v>
      </c>
      <c r="R621" s="15" t="s">
        <v>33</v>
      </c>
      <c r="S621" s="19">
        <f t="shared" si="1"/>
        <v>0.7125</v>
      </c>
      <c r="T621" s="19">
        <f t="shared" si="8"/>
        <v>5.847279342</v>
      </c>
      <c r="U621" s="144"/>
    </row>
    <row r="622">
      <c r="A622" s="59"/>
      <c r="B622" s="59"/>
      <c r="C622" s="59"/>
      <c r="D622" s="8" t="s">
        <v>19</v>
      </c>
      <c r="E622" s="8" t="s">
        <v>3061</v>
      </c>
      <c r="F622" s="8" t="s">
        <v>1479</v>
      </c>
      <c r="G622" s="8" t="s">
        <v>2556</v>
      </c>
      <c r="H622" s="8">
        <v>3</v>
      </c>
      <c r="I622" s="8" t="s">
        <v>44</v>
      </c>
      <c r="J622" s="8" t="s">
        <v>22</v>
      </c>
      <c r="K622" s="8" t="s">
        <v>225</v>
      </c>
      <c r="L622" s="8" t="s">
        <v>24</v>
      </c>
      <c r="M622" s="9">
        <v>0.5</v>
      </c>
      <c r="N622" s="9">
        <v>0.5</v>
      </c>
      <c r="O622" s="9">
        <v>0.5</v>
      </c>
      <c r="P622" s="10">
        <v>45156.0</v>
      </c>
      <c r="Q622" s="11">
        <v>1.9625</v>
      </c>
      <c r="R622" s="8" t="s">
        <v>25</v>
      </c>
      <c r="S622" s="12">
        <f t="shared" si="1"/>
        <v>-0.5</v>
      </c>
      <c r="T622" s="12">
        <f t="shared" si="8"/>
        <v>5.347279342</v>
      </c>
      <c r="U622" s="145"/>
    </row>
    <row r="623">
      <c r="A623" s="58"/>
      <c r="B623" s="58"/>
      <c r="C623" s="58"/>
      <c r="D623" s="15" t="s">
        <v>19</v>
      </c>
      <c r="E623" s="15" t="s">
        <v>3062</v>
      </c>
      <c r="F623" s="15" t="s">
        <v>1473</v>
      </c>
      <c r="G623" s="15" t="s">
        <v>2556</v>
      </c>
      <c r="H623" s="15">
        <v>-1.0</v>
      </c>
      <c r="I623" s="15" t="s">
        <v>923</v>
      </c>
      <c r="J623" s="15" t="s">
        <v>22</v>
      </c>
      <c r="K623" s="15" t="s">
        <v>225</v>
      </c>
      <c r="L623" s="15" t="s">
        <v>24</v>
      </c>
      <c r="M623" s="16">
        <v>0.75</v>
      </c>
      <c r="N623" s="16">
        <v>0.75</v>
      </c>
      <c r="O623" s="16">
        <v>0.75</v>
      </c>
      <c r="P623" s="17">
        <v>45156.0</v>
      </c>
      <c r="Q623" s="18">
        <v>1.663</v>
      </c>
      <c r="R623" s="15" t="s">
        <v>33</v>
      </c>
      <c r="S623" s="19">
        <f t="shared" si="1"/>
        <v>0.49725</v>
      </c>
      <c r="T623" s="19">
        <f t="shared" si="8"/>
        <v>5.844529342</v>
      </c>
      <c r="U623" s="144"/>
    </row>
    <row r="624">
      <c r="A624" s="59"/>
      <c r="B624" s="59"/>
      <c r="C624" s="59"/>
      <c r="D624" s="8" t="s">
        <v>19</v>
      </c>
      <c r="E624" s="8" t="s">
        <v>3063</v>
      </c>
      <c r="F624" s="8" t="s">
        <v>1479</v>
      </c>
      <c r="G624" s="8" t="s">
        <v>2660</v>
      </c>
      <c r="H624" s="8">
        <v>5</v>
      </c>
      <c r="I624" s="8" t="s">
        <v>463</v>
      </c>
      <c r="J624" s="8" t="s">
        <v>22</v>
      </c>
      <c r="K624" s="8" t="s">
        <v>892</v>
      </c>
      <c r="L624" s="8" t="s">
        <v>39</v>
      </c>
      <c r="M624" s="9">
        <v>0.0</v>
      </c>
      <c r="N624" s="9">
        <v>0.25</v>
      </c>
      <c r="O624" s="9">
        <v>0.25</v>
      </c>
      <c r="P624" s="54">
        <v>45156.0</v>
      </c>
      <c r="Q624" s="11">
        <v>1.725</v>
      </c>
      <c r="R624" s="8" t="s">
        <v>70</v>
      </c>
      <c r="S624" s="12">
        <f t="shared" si="1"/>
        <v>0</v>
      </c>
      <c r="T624" s="12">
        <f t="shared" si="8"/>
        <v>5.844529342</v>
      </c>
      <c r="U624" s="145"/>
    </row>
    <row r="625">
      <c r="A625" s="58"/>
      <c r="B625" s="58"/>
      <c r="C625" s="58"/>
      <c r="D625" s="15" t="s">
        <v>19</v>
      </c>
      <c r="E625" s="15" t="s">
        <v>3064</v>
      </c>
      <c r="F625" s="15" t="s">
        <v>1473</v>
      </c>
      <c r="G625" s="15" t="s">
        <v>2556</v>
      </c>
      <c r="H625" s="15">
        <v>-2.0</v>
      </c>
      <c r="I625" s="15" t="s">
        <v>66</v>
      </c>
      <c r="J625" s="15" t="s">
        <v>22</v>
      </c>
      <c r="K625" s="15" t="s">
        <v>225</v>
      </c>
      <c r="L625" s="15" t="s">
        <v>24</v>
      </c>
      <c r="M625" s="16">
        <v>0.25</v>
      </c>
      <c r="N625" s="16">
        <v>0.5</v>
      </c>
      <c r="O625" s="16">
        <v>0.5</v>
      </c>
      <c r="P625" s="17">
        <v>45157.0</v>
      </c>
      <c r="Q625" s="18">
        <v>1.9</v>
      </c>
      <c r="R625" s="15" t="s">
        <v>25</v>
      </c>
      <c r="S625" s="19">
        <f t="shared" si="1"/>
        <v>-0.5</v>
      </c>
      <c r="T625" s="19">
        <f t="shared" si="8"/>
        <v>5.344529342</v>
      </c>
      <c r="U625" s="144"/>
    </row>
    <row r="626">
      <c r="A626" s="59"/>
      <c r="B626" s="59"/>
      <c r="C626" s="59"/>
      <c r="D626" s="8" t="s">
        <v>19</v>
      </c>
      <c r="E626" s="8" t="s">
        <v>3065</v>
      </c>
      <c r="F626" s="8" t="s">
        <v>1479</v>
      </c>
      <c r="G626" s="8" t="s">
        <v>2556</v>
      </c>
      <c r="H626" s="8">
        <v>-1.0</v>
      </c>
      <c r="I626" s="8" t="s">
        <v>940</v>
      </c>
      <c r="J626" s="8" t="s">
        <v>22</v>
      </c>
      <c r="K626" s="8" t="s">
        <v>225</v>
      </c>
      <c r="L626" s="8" t="s">
        <v>24</v>
      </c>
      <c r="M626" s="9">
        <v>0.5</v>
      </c>
      <c r="N626" s="9">
        <v>0.5</v>
      </c>
      <c r="O626" s="9">
        <v>0.5</v>
      </c>
      <c r="P626" s="10">
        <v>45157.0</v>
      </c>
      <c r="Q626" s="11">
        <v>1.775</v>
      </c>
      <c r="R626" s="8" t="s">
        <v>25</v>
      </c>
      <c r="S626" s="12">
        <f t="shared" si="1"/>
        <v>-0.5</v>
      </c>
      <c r="T626" s="12">
        <f t="shared" si="8"/>
        <v>4.844529342</v>
      </c>
      <c r="U626" s="145"/>
    </row>
    <row r="627">
      <c r="A627" s="58"/>
      <c r="B627" s="58"/>
      <c r="C627" s="58"/>
      <c r="D627" s="15" t="s">
        <v>19</v>
      </c>
      <c r="E627" s="15" t="s">
        <v>3066</v>
      </c>
      <c r="F627" s="15" t="s">
        <v>1479</v>
      </c>
      <c r="G627" s="15" t="s">
        <v>2556</v>
      </c>
      <c r="H627" s="15">
        <v>0.0</v>
      </c>
      <c r="I627" s="15" t="s">
        <v>1006</v>
      </c>
      <c r="J627" s="15" t="s">
        <v>22</v>
      </c>
      <c r="K627" s="15" t="s">
        <v>225</v>
      </c>
      <c r="L627" s="15" t="s">
        <v>24</v>
      </c>
      <c r="M627" s="16">
        <v>0.75</v>
      </c>
      <c r="N627" s="16">
        <v>0.25</v>
      </c>
      <c r="O627" s="16">
        <v>0.25</v>
      </c>
      <c r="P627" s="17">
        <v>45157.0</v>
      </c>
      <c r="Q627" s="18">
        <v>1.98</v>
      </c>
      <c r="R627" s="15" t="s">
        <v>33</v>
      </c>
      <c r="S627" s="19">
        <f t="shared" si="1"/>
        <v>0.245</v>
      </c>
      <c r="T627" s="19">
        <f t="shared" si="8"/>
        <v>5.089529342</v>
      </c>
      <c r="U627" s="144"/>
    </row>
    <row r="628">
      <c r="A628" s="59"/>
      <c r="B628" s="59"/>
      <c r="C628" s="59"/>
      <c r="D628" s="8" t="s">
        <v>19</v>
      </c>
      <c r="E628" s="8" t="s">
        <v>3067</v>
      </c>
      <c r="F628" s="8" t="s">
        <v>1479</v>
      </c>
      <c r="G628" s="8" t="s">
        <v>2556</v>
      </c>
      <c r="H628" s="8">
        <v>0.0</v>
      </c>
      <c r="I628" s="8" t="s">
        <v>1006</v>
      </c>
      <c r="J628" s="8" t="s">
        <v>22</v>
      </c>
      <c r="K628" s="8" t="s">
        <v>225</v>
      </c>
      <c r="L628" s="8" t="s">
        <v>24</v>
      </c>
      <c r="M628" s="9">
        <v>0.5</v>
      </c>
      <c r="N628" s="9">
        <v>0.25</v>
      </c>
      <c r="O628" s="9">
        <v>0.25</v>
      </c>
      <c r="P628" s="10">
        <v>45157.0</v>
      </c>
      <c r="Q628" s="11">
        <v>1.9</v>
      </c>
      <c r="R628" s="8" t="s">
        <v>33</v>
      </c>
      <c r="S628" s="12">
        <f t="shared" si="1"/>
        <v>0.225</v>
      </c>
      <c r="T628" s="12">
        <f t="shared" si="8"/>
        <v>5.314529342</v>
      </c>
      <c r="U628" s="145"/>
    </row>
    <row r="629">
      <c r="A629" s="58"/>
      <c r="B629" s="58"/>
      <c r="C629" s="58"/>
      <c r="D629" s="15" t="s">
        <v>19</v>
      </c>
      <c r="E629" s="15" t="s">
        <v>3068</v>
      </c>
      <c r="F629" s="15" t="s">
        <v>1473</v>
      </c>
      <c r="G629" s="15" t="s">
        <v>2556</v>
      </c>
      <c r="H629" s="15">
        <f>1</f>
        <v>1</v>
      </c>
      <c r="I629" s="15" t="s">
        <v>463</v>
      </c>
      <c r="J629" s="15" t="s">
        <v>22</v>
      </c>
      <c r="K629" s="15" t="s">
        <v>225</v>
      </c>
      <c r="L629" s="15" t="s">
        <v>24</v>
      </c>
      <c r="M629" s="16">
        <v>0.75</v>
      </c>
      <c r="N629" s="16">
        <v>1.0</v>
      </c>
      <c r="O629" s="16">
        <v>1.0</v>
      </c>
      <c r="P629" s="17">
        <v>45157.0</v>
      </c>
      <c r="Q629" s="18">
        <v>1.2</v>
      </c>
      <c r="R629" s="15" t="s">
        <v>33</v>
      </c>
      <c r="S629" s="19">
        <f t="shared" si="1"/>
        <v>0.2</v>
      </c>
      <c r="T629" s="19">
        <f t="shared" si="8"/>
        <v>5.514529342</v>
      </c>
      <c r="U629" s="144"/>
    </row>
    <row r="630">
      <c r="A630" s="59"/>
      <c r="B630" s="59"/>
      <c r="C630" s="59"/>
      <c r="D630" s="8" t="s">
        <v>19</v>
      </c>
      <c r="E630" s="8" t="s">
        <v>3069</v>
      </c>
      <c r="F630" s="8" t="s">
        <v>1473</v>
      </c>
      <c r="G630" s="8" t="s">
        <v>2660</v>
      </c>
      <c r="H630" s="8">
        <v>-2.0</v>
      </c>
      <c r="I630" s="8" t="s">
        <v>44</v>
      </c>
      <c r="J630" s="8" t="s">
        <v>22</v>
      </c>
      <c r="K630" s="8" t="s">
        <v>892</v>
      </c>
      <c r="L630" s="8" t="s">
        <v>24</v>
      </c>
      <c r="M630" s="9">
        <v>0.0</v>
      </c>
      <c r="N630" s="9">
        <v>0.75</v>
      </c>
      <c r="O630" s="9">
        <v>0.75</v>
      </c>
      <c r="P630" s="10">
        <v>45157.0</v>
      </c>
      <c r="Q630" s="11">
        <v>1.947</v>
      </c>
      <c r="R630" s="8" t="s">
        <v>33</v>
      </c>
      <c r="S630" s="12">
        <f t="shared" si="1"/>
        <v>0.71025</v>
      </c>
      <c r="T630" s="12">
        <f t="shared" si="8"/>
        <v>6.224779342</v>
      </c>
      <c r="U630" s="145"/>
    </row>
    <row r="631">
      <c r="A631" s="58"/>
      <c r="B631" s="58"/>
      <c r="C631" s="58"/>
      <c r="D631" s="15" t="s">
        <v>19</v>
      </c>
      <c r="E631" s="15" t="s">
        <v>3070</v>
      </c>
      <c r="F631" s="15" t="s">
        <v>1473</v>
      </c>
      <c r="G631" s="15"/>
      <c r="H631" s="15">
        <v>0.0</v>
      </c>
      <c r="I631" s="15" t="s">
        <v>448</v>
      </c>
      <c r="J631" s="15" t="s">
        <v>22</v>
      </c>
      <c r="K631" s="15" t="s">
        <v>1023</v>
      </c>
      <c r="L631" s="15" t="s">
        <v>24</v>
      </c>
      <c r="M631" s="16">
        <v>0.5</v>
      </c>
      <c r="N631" s="16">
        <v>0.25</v>
      </c>
      <c r="O631" s="16">
        <v>0.25</v>
      </c>
      <c r="P631" s="17">
        <v>45157.0</v>
      </c>
      <c r="Q631" s="18">
        <v>1.1</v>
      </c>
      <c r="R631" s="15" t="s">
        <v>33</v>
      </c>
      <c r="S631" s="19">
        <f t="shared" si="1"/>
        <v>0.025</v>
      </c>
      <c r="T631" s="19">
        <f t="shared" si="8"/>
        <v>6.249779342</v>
      </c>
      <c r="U631" s="144"/>
    </row>
    <row r="632">
      <c r="A632" s="59"/>
      <c r="B632" s="59"/>
      <c r="C632" s="59"/>
      <c r="D632" s="8" t="s">
        <v>19</v>
      </c>
      <c r="E632" s="8" t="s">
        <v>3071</v>
      </c>
      <c r="F632" s="8" t="s">
        <v>1473</v>
      </c>
      <c r="G632" s="8" t="s">
        <v>2556</v>
      </c>
      <c r="H632" s="8">
        <v>0.0</v>
      </c>
      <c r="I632" s="8" t="s">
        <v>448</v>
      </c>
      <c r="J632" s="8" t="s">
        <v>22</v>
      </c>
      <c r="K632" s="8" t="s">
        <v>225</v>
      </c>
      <c r="L632" s="8" t="s">
        <v>24</v>
      </c>
      <c r="M632" s="9">
        <v>0.5</v>
      </c>
      <c r="N632" s="9">
        <v>0.25</v>
      </c>
      <c r="O632" s="9">
        <f>0.955*0.25</f>
        <v>0.23875</v>
      </c>
      <c r="P632" s="10">
        <v>45157.0</v>
      </c>
      <c r="Q632" s="11">
        <v>1.1</v>
      </c>
      <c r="R632" s="8" t="s">
        <v>33</v>
      </c>
      <c r="S632" s="12">
        <f t="shared" si="1"/>
        <v>0.023875</v>
      </c>
      <c r="T632" s="12">
        <f t="shared" si="8"/>
        <v>6.273654342</v>
      </c>
      <c r="U632" s="145"/>
    </row>
    <row r="633">
      <c r="A633" s="58"/>
      <c r="B633" s="58"/>
      <c r="C633" s="58"/>
      <c r="D633" s="15" t="s">
        <v>19</v>
      </c>
      <c r="E633" s="15" t="s">
        <v>3072</v>
      </c>
      <c r="F633" s="15" t="s">
        <v>1479</v>
      </c>
      <c r="G633" s="15" t="s">
        <v>2556</v>
      </c>
      <c r="H633" s="15">
        <f t="shared" ref="H633:H634" si="30">1</f>
        <v>1</v>
      </c>
      <c r="I633" s="15" t="s">
        <v>28</v>
      </c>
      <c r="J633" s="15" t="s">
        <v>22</v>
      </c>
      <c r="K633" s="15" t="s">
        <v>225</v>
      </c>
      <c r="L633" s="15" t="s">
        <v>1522</v>
      </c>
      <c r="M633" s="16">
        <v>0.5</v>
      </c>
      <c r="N633" s="16">
        <v>0.75</v>
      </c>
      <c r="O633" s="16">
        <v>0.75</v>
      </c>
      <c r="P633" s="17">
        <v>45157.0</v>
      </c>
      <c r="Q633" s="18">
        <v>1.01875</v>
      </c>
      <c r="R633" s="15" t="s">
        <v>33</v>
      </c>
      <c r="S633" s="19">
        <f t="shared" si="1"/>
        <v>0.0140625</v>
      </c>
      <c r="T633" s="19">
        <f t="shared" si="8"/>
        <v>6.287716842</v>
      </c>
      <c r="U633" s="144"/>
    </row>
    <row r="634">
      <c r="A634" s="59"/>
      <c r="B634" s="59"/>
      <c r="C634" s="59"/>
      <c r="D634" s="8" t="s">
        <v>40</v>
      </c>
      <c r="E634" s="8" t="s">
        <v>3073</v>
      </c>
      <c r="F634" s="8" t="s">
        <v>1479</v>
      </c>
      <c r="G634" s="8"/>
      <c r="H634" s="8">
        <f t="shared" si="30"/>
        <v>1</v>
      </c>
      <c r="I634" s="8" t="s">
        <v>185</v>
      </c>
      <c r="J634" s="8" t="s">
        <v>22</v>
      </c>
      <c r="K634" s="8" t="s">
        <v>1847</v>
      </c>
      <c r="L634" s="8" t="s">
        <v>24</v>
      </c>
      <c r="M634" s="9">
        <v>-0.5</v>
      </c>
      <c r="N634" s="9">
        <v>0.75</v>
      </c>
      <c r="O634" s="9">
        <v>0.75</v>
      </c>
      <c r="P634" s="10">
        <v>45157.0</v>
      </c>
      <c r="Q634" s="11">
        <v>1.682</v>
      </c>
      <c r="R634" s="8" t="s">
        <v>33</v>
      </c>
      <c r="S634" s="12">
        <f t="shared" si="1"/>
        <v>0.5115</v>
      </c>
      <c r="T634" s="12">
        <f t="shared" si="8"/>
        <v>6.799216842</v>
      </c>
      <c r="U634" s="145"/>
    </row>
    <row r="635">
      <c r="A635" s="58"/>
      <c r="B635" s="58"/>
      <c r="C635" s="58"/>
      <c r="D635" s="15" t="s">
        <v>19</v>
      </c>
      <c r="E635" s="15" t="s">
        <v>3074</v>
      </c>
      <c r="F635" s="15" t="s">
        <v>1473</v>
      </c>
      <c r="G635" s="15" t="s">
        <v>2556</v>
      </c>
      <c r="H635" s="15">
        <v>0.0</v>
      </c>
      <c r="I635" s="15" t="s">
        <v>82</v>
      </c>
      <c r="J635" s="15" t="s">
        <v>22</v>
      </c>
      <c r="K635" s="15" t="s">
        <v>225</v>
      </c>
      <c r="L635" s="15" t="s">
        <v>24</v>
      </c>
      <c r="M635" s="16">
        <v>0.5</v>
      </c>
      <c r="N635" s="16">
        <v>0.25</v>
      </c>
      <c r="O635" s="16">
        <v>0.25</v>
      </c>
      <c r="P635" s="17">
        <v>45157.0</v>
      </c>
      <c r="Q635" s="18">
        <f>1.2628</f>
        <v>1.2628</v>
      </c>
      <c r="R635" s="15" t="s">
        <v>33</v>
      </c>
      <c r="S635" s="19">
        <f t="shared" si="1"/>
        <v>0.0657</v>
      </c>
      <c r="T635" s="19">
        <f t="shared" si="8"/>
        <v>6.864916842</v>
      </c>
      <c r="U635" s="144"/>
    </row>
    <row r="636">
      <c r="A636" s="59"/>
      <c r="B636" s="59"/>
      <c r="C636" s="59"/>
      <c r="D636" s="8" t="s">
        <v>40</v>
      </c>
      <c r="E636" s="8" t="s">
        <v>3075</v>
      </c>
      <c r="F636" s="8" t="s">
        <v>1473</v>
      </c>
      <c r="G636" s="8" t="s">
        <v>2660</v>
      </c>
      <c r="H636" s="8">
        <v>-1.0</v>
      </c>
      <c r="I636" s="8" t="s">
        <v>432</v>
      </c>
      <c r="J636" s="8" t="s">
        <v>22</v>
      </c>
      <c r="K636" s="8" t="s">
        <v>892</v>
      </c>
      <c r="L636" s="8" t="s">
        <v>24</v>
      </c>
      <c r="M636" s="9">
        <v>0.0</v>
      </c>
      <c r="N636" s="9">
        <v>0.25</v>
      </c>
      <c r="O636" s="9">
        <v>0.25</v>
      </c>
      <c r="P636" s="10">
        <v>45158.0</v>
      </c>
      <c r="Q636" s="11">
        <v>2.3</v>
      </c>
      <c r="R636" s="8" t="s">
        <v>70</v>
      </c>
      <c r="S636" s="12">
        <f t="shared" si="1"/>
        <v>0</v>
      </c>
      <c r="T636" s="12">
        <f t="shared" si="8"/>
        <v>6.864916842</v>
      </c>
      <c r="U636" s="145"/>
    </row>
    <row r="637">
      <c r="A637" s="58"/>
      <c r="B637" s="58"/>
      <c r="C637" s="58"/>
      <c r="D637" s="15" t="s">
        <v>19</v>
      </c>
      <c r="E637" s="15" t="s">
        <v>3076</v>
      </c>
      <c r="F637" s="15" t="s">
        <v>1479</v>
      </c>
      <c r="G637" s="15" t="s">
        <v>2556</v>
      </c>
      <c r="H637" s="15">
        <v>0.0</v>
      </c>
      <c r="I637" s="15" t="s">
        <v>1006</v>
      </c>
      <c r="J637" s="15" t="s">
        <v>22</v>
      </c>
      <c r="K637" s="15" t="s">
        <v>2725</v>
      </c>
      <c r="L637" s="15" t="s">
        <v>24</v>
      </c>
      <c r="M637" s="16">
        <v>0.5</v>
      </c>
      <c r="N637" s="16">
        <v>0.5</v>
      </c>
      <c r="O637" s="16">
        <v>0.5</v>
      </c>
      <c r="P637" s="17">
        <v>45158.0</v>
      </c>
      <c r="Q637" s="18">
        <v>1.0857</v>
      </c>
      <c r="R637" s="15" t="s">
        <v>33</v>
      </c>
      <c r="S637" s="19">
        <f t="shared" si="1"/>
        <v>0.04285</v>
      </c>
      <c r="T637" s="19">
        <f t="shared" si="8"/>
        <v>6.907766842</v>
      </c>
      <c r="U637" s="144"/>
    </row>
    <row r="638">
      <c r="A638" s="59"/>
      <c r="B638" s="59"/>
      <c r="C638" s="59"/>
      <c r="D638" s="8" t="s">
        <v>19</v>
      </c>
      <c r="E638" s="8" t="s">
        <v>3077</v>
      </c>
      <c r="F638" s="8" t="s">
        <v>1473</v>
      </c>
      <c r="G638" s="8" t="s">
        <v>2556</v>
      </c>
      <c r="H638" s="8">
        <v>0.0</v>
      </c>
      <c r="I638" s="8" t="s">
        <v>1025</v>
      </c>
      <c r="J638" s="8" t="s">
        <v>22</v>
      </c>
      <c r="K638" s="8" t="s">
        <v>225</v>
      </c>
      <c r="L638" s="8" t="s">
        <v>24</v>
      </c>
      <c r="M638" s="9">
        <v>0.5</v>
      </c>
      <c r="N638" s="9">
        <v>1.0</v>
      </c>
      <c r="O638" s="9">
        <v>1.0</v>
      </c>
      <c r="P638" s="10">
        <v>45158.0</v>
      </c>
      <c r="Q638" s="11">
        <v>1.825</v>
      </c>
      <c r="R638" s="8" t="s">
        <v>33</v>
      </c>
      <c r="S638" s="12">
        <f t="shared" si="1"/>
        <v>0.825</v>
      </c>
      <c r="T638" s="12">
        <f t="shared" si="8"/>
        <v>7.732766842</v>
      </c>
      <c r="U638" s="145"/>
    </row>
    <row r="639">
      <c r="A639" s="58"/>
      <c r="B639" s="58"/>
      <c r="C639" s="58"/>
      <c r="D639" s="15" t="s">
        <v>19</v>
      </c>
      <c r="E639" s="15" t="s">
        <v>3078</v>
      </c>
      <c r="F639" s="15" t="s">
        <v>1473</v>
      </c>
      <c r="G639" s="15" t="s">
        <v>2556</v>
      </c>
      <c r="H639" s="15">
        <v>0.0</v>
      </c>
      <c r="I639" s="15" t="s">
        <v>525</v>
      </c>
      <c r="J639" s="15" t="s">
        <v>22</v>
      </c>
      <c r="K639" s="15" t="s">
        <v>225</v>
      </c>
      <c r="L639" s="15" t="s">
        <v>24</v>
      </c>
      <c r="M639" s="16">
        <v>0.5</v>
      </c>
      <c r="N639" s="16">
        <v>1.0</v>
      </c>
      <c r="O639" s="16">
        <v>1.0</v>
      </c>
      <c r="P639" s="17">
        <v>45158.0</v>
      </c>
      <c r="Q639" s="18">
        <v>1.562</v>
      </c>
      <c r="R639" s="15" t="s">
        <v>33</v>
      </c>
      <c r="S639" s="19">
        <f t="shared" si="1"/>
        <v>0.562</v>
      </c>
      <c r="T639" s="19">
        <f t="shared" si="8"/>
        <v>8.294766842</v>
      </c>
      <c r="U639" s="144"/>
    </row>
    <row r="640">
      <c r="A640" s="59"/>
      <c r="B640" s="59"/>
      <c r="C640" s="59"/>
      <c r="D640" s="8" t="s">
        <v>19</v>
      </c>
      <c r="E640" s="8" t="s">
        <v>3079</v>
      </c>
      <c r="F640" s="8" t="s">
        <v>1479</v>
      </c>
      <c r="G640" s="8" t="s">
        <v>2556</v>
      </c>
      <c r="H640" s="8">
        <v>-1.0</v>
      </c>
      <c r="I640" s="8" t="s">
        <v>525</v>
      </c>
      <c r="J640" s="8" t="s">
        <v>22</v>
      </c>
      <c r="K640" s="8" t="s">
        <v>225</v>
      </c>
      <c r="L640" s="8" t="s">
        <v>24</v>
      </c>
      <c r="M640" s="9">
        <v>0.5</v>
      </c>
      <c r="N640" s="9">
        <v>0.75</v>
      </c>
      <c r="O640" s="9">
        <v>0.75</v>
      </c>
      <c r="P640" s="10">
        <v>45158.0</v>
      </c>
      <c r="Q640" s="11">
        <v>1.825</v>
      </c>
      <c r="R640" s="8" t="s">
        <v>33</v>
      </c>
      <c r="S640" s="12">
        <f t="shared" si="1"/>
        <v>0.61875</v>
      </c>
      <c r="T640" s="12">
        <f t="shared" si="8"/>
        <v>8.913516842</v>
      </c>
      <c r="U640" s="145"/>
    </row>
    <row r="641">
      <c r="A641" s="58"/>
      <c r="B641" s="58"/>
      <c r="C641" s="58"/>
      <c r="D641" s="15" t="s">
        <v>19</v>
      </c>
      <c r="E641" s="15" t="s">
        <v>3080</v>
      </c>
      <c r="F641" s="15" t="s">
        <v>1473</v>
      </c>
      <c r="G641" s="15" t="s">
        <v>2556</v>
      </c>
      <c r="H641" s="15">
        <v>-1.0</v>
      </c>
      <c r="I641" s="15" t="s">
        <v>432</v>
      </c>
      <c r="J641" s="15" t="s">
        <v>22</v>
      </c>
      <c r="K641" s="15" t="s">
        <v>225</v>
      </c>
      <c r="L641" s="15" t="s">
        <v>24</v>
      </c>
      <c r="M641" s="16">
        <v>0.25</v>
      </c>
      <c r="N641" s="16">
        <v>0.51</v>
      </c>
      <c r="O641" s="16">
        <v>0.51</v>
      </c>
      <c r="P641" s="17">
        <v>45160.0</v>
      </c>
      <c r="Q641" s="18">
        <v>1.8</v>
      </c>
      <c r="R641" s="15" t="s">
        <v>30</v>
      </c>
      <c r="S641" s="19">
        <f t="shared" si="1"/>
        <v>0.204</v>
      </c>
      <c r="T641" s="19">
        <f t="shared" si="8"/>
        <v>9.117516842</v>
      </c>
      <c r="U641" s="144"/>
    </row>
    <row r="642">
      <c r="A642" s="59"/>
      <c r="B642" s="59"/>
      <c r="C642" s="59"/>
      <c r="D642" s="8" t="s">
        <v>19</v>
      </c>
      <c r="E642" s="8" t="s">
        <v>3081</v>
      </c>
      <c r="F642" s="8" t="s">
        <v>1479</v>
      </c>
      <c r="G642" s="8" t="s">
        <v>2660</v>
      </c>
      <c r="H642" s="8">
        <v>0.0</v>
      </c>
      <c r="I642" s="8" t="s">
        <v>124</v>
      </c>
      <c r="J642" s="8" t="s">
        <v>22</v>
      </c>
      <c r="K642" s="8" t="s">
        <v>892</v>
      </c>
      <c r="L642" s="8" t="s">
        <v>24</v>
      </c>
      <c r="M642" s="9">
        <v>0.0</v>
      </c>
      <c r="N642" s="9">
        <v>0.25</v>
      </c>
      <c r="O642" s="9">
        <v>0.25</v>
      </c>
      <c r="P642" s="54">
        <v>45160.0</v>
      </c>
      <c r="Q642" s="11">
        <v>1.57</v>
      </c>
      <c r="R642" s="8" t="s">
        <v>70</v>
      </c>
      <c r="S642" s="12">
        <f t="shared" si="1"/>
        <v>0</v>
      </c>
      <c r="T642" s="12">
        <f t="shared" si="8"/>
        <v>9.117516842</v>
      </c>
      <c r="U642" s="145"/>
    </row>
    <row r="643">
      <c r="A643" s="58"/>
      <c r="B643" s="58"/>
      <c r="C643" s="58"/>
      <c r="D643" s="15" t="s">
        <v>19</v>
      </c>
      <c r="E643" s="15" t="s">
        <v>3082</v>
      </c>
      <c r="F643" s="15" t="s">
        <v>1473</v>
      </c>
      <c r="G643" s="15" t="s">
        <v>2660</v>
      </c>
      <c r="H643" s="15">
        <v>0.0</v>
      </c>
      <c r="I643" s="15" t="s">
        <v>940</v>
      </c>
      <c r="J643" s="15" t="s">
        <v>22</v>
      </c>
      <c r="K643" s="15" t="s">
        <v>892</v>
      </c>
      <c r="L643" s="15" t="s">
        <v>2688</v>
      </c>
      <c r="M643" s="16">
        <v>0.0</v>
      </c>
      <c r="N643" s="16">
        <v>1.0</v>
      </c>
      <c r="O643" s="16">
        <v>1.0</v>
      </c>
      <c r="P643" s="17">
        <v>45160.0</v>
      </c>
      <c r="Q643" s="18">
        <v>1.725</v>
      </c>
      <c r="R643" s="15" t="s">
        <v>25</v>
      </c>
      <c r="S643" s="19">
        <f t="shared" si="1"/>
        <v>-1</v>
      </c>
      <c r="T643" s="19">
        <f t="shared" si="8"/>
        <v>8.117516842</v>
      </c>
      <c r="U643" s="144"/>
    </row>
    <row r="644">
      <c r="A644" s="59"/>
      <c r="B644" s="59"/>
      <c r="C644" s="59"/>
      <c r="D644" s="8" t="s">
        <v>19</v>
      </c>
      <c r="E644" s="8" t="s">
        <v>3083</v>
      </c>
      <c r="F644" s="8"/>
      <c r="G644" s="8"/>
      <c r="H644" s="8"/>
      <c r="I644" s="8" t="s">
        <v>319</v>
      </c>
      <c r="J644" s="8" t="s">
        <v>22</v>
      </c>
      <c r="K644" s="8" t="s">
        <v>23</v>
      </c>
      <c r="L644" s="8" t="s">
        <v>24</v>
      </c>
      <c r="M644" s="9">
        <v>-7.0</v>
      </c>
      <c r="N644" s="9">
        <v>0.5</v>
      </c>
      <c r="O644" s="9">
        <f>0.792*0.5</f>
        <v>0.396</v>
      </c>
      <c r="P644" s="10">
        <v>45160.0</v>
      </c>
      <c r="Q644" s="11">
        <v>1.5</v>
      </c>
      <c r="R644" s="8" t="s">
        <v>33</v>
      </c>
      <c r="S644" s="12">
        <f t="shared" si="1"/>
        <v>0.198</v>
      </c>
      <c r="T644" s="12">
        <f t="shared" si="8"/>
        <v>8.315516842</v>
      </c>
      <c r="U644" s="145"/>
    </row>
    <row r="645">
      <c r="A645" s="58"/>
      <c r="B645" s="58"/>
      <c r="C645" s="58"/>
      <c r="D645" s="15" t="s">
        <v>19</v>
      </c>
      <c r="E645" s="15" t="s">
        <v>3084</v>
      </c>
      <c r="F645" s="139" t="s">
        <v>1479</v>
      </c>
      <c r="G645" s="139" t="s">
        <v>2556</v>
      </c>
      <c r="H645" s="139">
        <v>-2.0</v>
      </c>
      <c r="I645" s="15" t="s">
        <v>319</v>
      </c>
      <c r="J645" s="15" t="s">
        <v>22</v>
      </c>
      <c r="K645" s="15" t="s">
        <v>225</v>
      </c>
      <c r="L645" s="15" t="s">
        <v>24</v>
      </c>
      <c r="M645" s="16">
        <v>0.25</v>
      </c>
      <c r="N645" s="16">
        <v>1.0</v>
      </c>
      <c r="O645" s="16">
        <v>1.0</v>
      </c>
      <c r="P645" s="17">
        <v>45160.0</v>
      </c>
      <c r="Q645" s="18">
        <v>1.02</v>
      </c>
      <c r="R645" s="15" t="s">
        <v>33</v>
      </c>
      <c r="S645" s="19">
        <f t="shared" si="1"/>
        <v>0.02</v>
      </c>
      <c r="T645" s="19">
        <f t="shared" si="8"/>
        <v>8.335516842</v>
      </c>
      <c r="U645" s="144"/>
    </row>
    <row r="646">
      <c r="A646" s="59"/>
      <c r="B646" s="59"/>
      <c r="C646" s="59"/>
      <c r="D646" s="8" t="s">
        <v>19</v>
      </c>
      <c r="E646" s="8" t="s">
        <v>3085</v>
      </c>
      <c r="F646" s="8" t="s">
        <v>1479</v>
      </c>
      <c r="G646" s="8" t="s">
        <v>2556</v>
      </c>
      <c r="H646" s="8">
        <f>1</f>
        <v>1</v>
      </c>
      <c r="I646" s="8" t="s">
        <v>463</v>
      </c>
      <c r="J646" s="8" t="s">
        <v>22</v>
      </c>
      <c r="K646" s="8" t="s">
        <v>225</v>
      </c>
      <c r="L646" s="8" t="s">
        <v>39</v>
      </c>
      <c r="M646" s="9">
        <v>0.25</v>
      </c>
      <c r="N646" s="9">
        <v>0.75</v>
      </c>
      <c r="O646" s="9">
        <v>0.75</v>
      </c>
      <c r="P646" s="10">
        <v>45161.0</v>
      </c>
      <c r="Q646" s="11">
        <v>1.7</v>
      </c>
      <c r="R646" s="8" t="s">
        <v>25</v>
      </c>
      <c r="S646" s="12">
        <f t="shared" si="1"/>
        <v>-0.75</v>
      </c>
      <c r="T646" s="12">
        <f t="shared" si="8"/>
        <v>7.585516842</v>
      </c>
      <c r="U646" s="145"/>
    </row>
    <row r="647">
      <c r="A647" s="58"/>
      <c r="B647" s="58"/>
      <c r="C647" s="58"/>
      <c r="D647" s="15" t="s">
        <v>40</v>
      </c>
      <c r="E647" s="15" t="s">
        <v>3086</v>
      </c>
      <c r="F647" s="15" t="s">
        <v>1473</v>
      </c>
      <c r="G647" s="15" t="s">
        <v>2660</v>
      </c>
      <c r="H647" s="15">
        <v>-1.0</v>
      </c>
      <c r="I647" s="15" t="s">
        <v>218</v>
      </c>
      <c r="J647" s="15" t="s">
        <v>22</v>
      </c>
      <c r="K647" s="15" t="s">
        <v>892</v>
      </c>
      <c r="L647" s="15" t="s">
        <v>24</v>
      </c>
      <c r="M647" s="16">
        <v>0.0</v>
      </c>
      <c r="N647" s="16">
        <v>1.0</v>
      </c>
      <c r="O647" s="16">
        <v>1.0</v>
      </c>
      <c r="P647" s="17">
        <v>45161.0</v>
      </c>
      <c r="Q647" s="18">
        <v>1.9</v>
      </c>
      <c r="R647" s="15" t="s">
        <v>70</v>
      </c>
      <c r="S647" s="19">
        <f t="shared" si="1"/>
        <v>0</v>
      </c>
      <c r="T647" s="19">
        <f t="shared" si="8"/>
        <v>7.585516842</v>
      </c>
      <c r="U647" s="144"/>
    </row>
    <row r="648">
      <c r="A648" s="59"/>
      <c r="B648" s="59"/>
      <c r="C648" s="59"/>
      <c r="D648" s="8" t="s">
        <v>19</v>
      </c>
      <c r="E648" s="8" t="s">
        <v>3087</v>
      </c>
      <c r="F648" s="8" t="s">
        <v>1473</v>
      </c>
      <c r="G648" s="8" t="s">
        <v>2660</v>
      </c>
      <c r="H648" s="8">
        <v>-3.0</v>
      </c>
      <c r="I648" s="8" t="s">
        <v>2932</v>
      </c>
      <c r="J648" s="8" t="s">
        <v>22</v>
      </c>
      <c r="K648" s="8" t="s">
        <v>225</v>
      </c>
      <c r="L648" s="8" t="s">
        <v>24</v>
      </c>
      <c r="M648" s="9">
        <v>0.5</v>
      </c>
      <c r="N648" s="9">
        <v>0.75</v>
      </c>
      <c r="O648" s="9">
        <v>0.75</v>
      </c>
      <c r="P648" s="10">
        <v>45161.0</v>
      </c>
      <c r="Q648" s="11">
        <v>1.61</v>
      </c>
      <c r="R648" s="8" t="s">
        <v>33</v>
      </c>
      <c r="S648" s="12">
        <f t="shared" si="1"/>
        <v>0.4575</v>
      </c>
      <c r="T648" s="12">
        <f t="shared" si="8"/>
        <v>8.043016842</v>
      </c>
      <c r="U648" s="145"/>
    </row>
    <row r="649">
      <c r="A649" s="58"/>
      <c r="B649" s="58"/>
      <c r="C649" s="58"/>
      <c r="D649" s="15" t="s">
        <v>40</v>
      </c>
      <c r="E649" s="15" t="s">
        <v>3088</v>
      </c>
      <c r="F649" s="15" t="s">
        <v>1473</v>
      </c>
      <c r="G649" s="15" t="s">
        <v>2556</v>
      </c>
      <c r="H649" s="15" t="s">
        <v>2723</v>
      </c>
      <c r="I649" s="15" t="s">
        <v>82</v>
      </c>
      <c r="J649" s="15" t="s">
        <v>22</v>
      </c>
      <c r="K649" s="15" t="s">
        <v>225</v>
      </c>
      <c r="L649" s="15" t="s">
        <v>39</v>
      </c>
      <c r="M649" s="16">
        <v>0.5</v>
      </c>
      <c r="N649" s="16">
        <v>0.25</v>
      </c>
      <c r="O649" s="16">
        <v>0.25</v>
      </c>
      <c r="P649" s="17">
        <v>45161.0</v>
      </c>
      <c r="Q649" s="18">
        <v>1.73</v>
      </c>
      <c r="R649" s="15" t="s">
        <v>25</v>
      </c>
      <c r="S649" s="19">
        <f t="shared" si="1"/>
        <v>-0.25</v>
      </c>
      <c r="T649" s="19">
        <f t="shared" si="8"/>
        <v>7.793016842</v>
      </c>
      <c r="U649" s="144"/>
    </row>
    <row r="650">
      <c r="A650" s="59"/>
      <c r="B650" s="59"/>
      <c r="C650" s="59"/>
      <c r="D650" s="8" t="s">
        <v>40</v>
      </c>
      <c r="E650" s="8" t="s">
        <v>3089</v>
      </c>
      <c r="F650" s="8"/>
      <c r="G650" s="8"/>
      <c r="H650" s="8"/>
      <c r="I650" s="8" t="s">
        <v>82</v>
      </c>
      <c r="J650" s="8" t="s">
        <v>22</v>
      </c>
      <c r="K650" s="8" t="s">
        <v>29</v>
      </c>
      <c r="L650" s="8" t="s">
        <v>39</v>
      </c>
      <c r="M650" s="9">
        <v>-8.5</v>
      </c>
      <c r="N650" s="9">
        <v>0.5</v>
      </c>
      <c r="O650" s="9">
        <v>0.5</v>
      </c>
      <c r="P650" s="10">
        <v>45161.0</v>
      </c>
      <c r="Q650" s="11">
        <v>1.77</v>
      </c>
      <c r="R650" s="8" t="s">
        <v>25</v>
      </c>
      <c r="S650" s="12">
        <f t="shared" si="1"/>
        <v>-0.5</v>
      </c>
      <c r="T650" s="12">
        <f t="shared" si="8"/>
        <v>7.293016842</v>
      </c>
      <c r="U650" s="145"/>
    </row>
    <row r="651">
      <c r="A651" s="58"/>
      <c r="B651" s="58"/>
      <c r="C651" s="58"/>
      <c r="D651" s="15" t="s">
        <v>40</v>
      </c>
      <c r="E651" s="15" t="s">
        <v>3090</v>
      </c>
      <c r="F651" s="15" t="s">
        <v>1473</v>
      </c>
      <c r="G651" s="15" t="s">
        <v>2660</v>
      </c>
      <c r="H651" s="15">
        <v>0.0</v>
      </c>
      <c r="I651" s="15" t="s">
        <v>28</v>
      </c>
      <c r="J651" s="15" t="s">
        <v>22</v>
      </c>
      <c r="K651" s="15" t="s">
        <v>1150</v>
      </c>
      <c r="L651" s="15" t="s">
        <v>1851</v>
      </c>
      <c r="M651" s="16">
        <v>0.0</v>
      </c>
      <c r="N651" s="16">
        <v>1.0</v>
      </c>
      <c r="O651" s="16">
        <v>1.0</v>
      </c>
      <c r="P651" s="17">
        <v>45161.0</v>
      </c>
      <c r="Q651" s="18">
        <v>1.825</v>
      </c>
      <c r="R651" s="15" t="s">
        <v>70</v>
      </c>
      <c r="S651" s="19">
        <f t="shared" si="1"/>
        <v>0</v>
      </c>
      <c r="T651" s="19">
        <f t="shared" si="8"/>
        <v>7.293016842</v>
      </c>
      <c r="U651" s="144"/>
    </row>
    <row r="652">
      <c r="A652" s="59"/>
      <c r="B652" s="59"/>
      <c r="C652" s="59"/>
      <c r="D652" s="8" t="s">
        <v>19</v>
      </c>
      <c r="E652" s="8" t="s">
        <v>3091</v>
      </c>
      <c r="F652" s="8"/>
      <c r="G652" s="8"/>
      <c r="H652" s="8"/>
      <c r="I652" s="8" t="s">
        <v>448</v>
      </c>
      <c r="J652" s="8" t="s">
        <v>22</v>
      </c>
      <c r="K652" s="8" t="s">
        <v>2962</v>
      </c>
      <c r="L652" s="8" t="s">
        <v>39</v>
      </c>
      <c r="M652" s="9">
        <v>-1.5</v>
      </c>
      <c r="N652" s="9">
        <v>0.5</v>
      </c>
      <c r="O652" s="9">
        <v>0.5</v>
      </c>
      <c r="P652" s="10">
        <v>45161.0</v>
      </c>
      <c r="Q652" s="11">
        <v>1.66</v>
      </c>
      <c r="R652" s="8" t="s">
        <v>33</v>
      </c>
      <c r="S652" s="12">
        <f t="shared" si="1"/>
        <v>0.33</v>
      </c>
      <c r="T652" s="12">
        <f t="shared" si="8"/>
        <v>7.623016842</v>
      </c>
      <c r="U652" s="145"/>
    </row>
    <row r="653">
      <c r="A653" s="58"/>
      <c r="B653" s="58"/>
      <c r="C653" s="58"/>
      <c r="D653" s="15" t="s">
        <v>19</v>
      </c>
      <c r="E653" s="15" t="s">
        <v>3092</v>
      </c>
      <c r="F653" s="15" t="s">
        <v>1479</v>
      </c>
      <c r="G653" s="15" t="s">
        <v>2660</v>
      </c>
      <c r="H653" s="15">
        <v>-2.0</v>
      </c>
      <c r="I653" s="15" t="s">
        <v>675</v>
      </c>
      <c r="J653" s="15" t="s">
        <v>22</v>
      </c>
      <c r="K653" s="15" t="s">
        <v>892</v>
      </c>
      <c r="L653" s="15" t="s">
        <v>24</v>
      </c>
      <c r="M653" s="16">
        <v>0.0</v>
      </c>
      <c r="N653" s="16">
        <v>1.0</v>
      </c>
      <c r="O653" s="16">
        <v>1.0</v>
      </c>
      <c r="P653" s="17">
        <v>45161.0</v>
      </c>
      <c r="Q653" s="18">
        <v>1.75</v>
      </c>
      <c r="R653" s="15" t="s">
        <v>25</v>
      </c>
      <c r="S653" s="19">
        <f t="shared" si="1"/>
        <v>-1</v>
      </c>
      <c r="T653" s="19">
        <f t="shared" si="8"/>
        <v>6.623016842</v>
      </c>
      <c r="U653" s="144"/>
    </row>
    <row r="654">
      <c r="A654" s="59"/>
      <c r="B654" s="59"/>
      <c r="C654" s="59"/>
      <c r="D654" s="8" t="s">
        <v>19</v>
      </c>
      <c r="E654" s="8" t="s">
        <v>3093</v>
      </c>
      <c r="F654" s="8" t="s">
        <v>1479</v>
      </c>
      <c r="G654" s="8" t="s">
        <v>2556</v>
      </c>
      <c r="H654" s="8">
        <f>1</f>
        <v>1</v>
      </c>
      <c r="I654" s="8" t="s">
        <v>44</v>
      </c>
      <c r="J654" s="8" t="s">
        <v>22</v>
      </c>
      <c r="K654" s="8" t="s">
        <v>225</v>
      </c>
      <c r="L654" s="8" t="s">
        <v>24</v>
      </c>
      <c r="M654" s="9">
        <v>0.5</v>
      </c>
      <c r="N654" s="9">
        <v>0.75</v>
      </c>
      <c r="O654" s="9">
        <v>0.75</v>
      </c>
      <c r="P654" s="10">
        <v>45161.0</v>
      </c>
      <c r="Q654" s="11">
        <v>1.73</v>
      </c>
      <c r="R654" s="8" t="s">
        <v>25</v>
      </c>
      <c r="S654" s="12">
        <f t="shared" si="1"/>
        <v>-0.75</v>
      </c>
      <c r="T654" s="12">
        <f t="shared" si="8"/>
        <v>5.873016842</v>
      </c>
      <c r="U654" s="145"/>
    </row>
    <row r="655">
      <c r="A655" s="58"/>
      <c r="B655" s="58"/>
      <c r="C655" s="58"/>
      <c r="D655" s="15" t="s">
        <v>19</v>
      </c>
      <c r="E655" s="15" t="s">
        <v>3094</v>
      </c>
      <c r="F655" s="15" t="s">
        <v>1479</v>
      </c>
      <c r="G655" s="15" t="s">
        <v>2556</v>
      </c>
      <c r="H655" s="15">
        <v>-3.0</v>
      </c>
      <c r="I655" s="15" t="s">
        <v>448</v>
      </c>
      <c r="J655" s="15" t="s">
        <v>22</v>
      </c>
      <c r="K655" s="15" t="s">
        <v>225</v>
      </c>
      <c r="L655" s="15" t="s">
        <v>24</v>
      </c>
      <c r="M655" s="16">
        <v>0.5</v>
      </c>
      <c r="N655" s="16">
        <v>1.0</v>
      </c>
      <c r="O655" s="16">
        <v>1.0</v>
      </c>
      <c r="P655" s="17">
        <v>45161.0</v>
      </c>
      <c r="Q655" s="18">
        <v>1.85</v>
      </c>
      <c r="R655" s="15" t="s">
        <v>25</v>
      </c>
      <c r="S655" s="19">
        <f t="shared" si="1"/>
        <v>-1</v>
      </c>
      <c r="T655" s="19">
        <f t="shared" si="8"/>
        <v>4.873016842</v>
      </c>
      <c r="U655" s="144"/>
    </row>
    <row r="656">
      <c r="A656" s="59"/>
      <c r="B656" s="59"/>
      <c r="C656" s="59"/>
      <c r="D656" s="8" t="s">
        <v>19</v>
      </c>
      <c r="E656" s="8" t="s">
        <v>3095</v>
      </c>
      <c r="F656" s="8" t="s">
        <v>1479</v>
      </c>
      <c r="G656" s="8" t="s">
        <v>2556</v>
      </c>
      <c r="H656" s="8">
        <f>1</f>
        <v>1</v>
      </c>
      <c r="I656" s="8" t="s">
        <v>44</v>
      </c>
      <c r="J656" s="8" t="s">
        <v>22</v>
      </c>
      <c r="K656" s="8" t="s">
        <v>1847</v>
      </c>
      <c r="L656" s="8" t="s">
        <v>24</v>
      </c>
      <c r="M656" s="9">
        <v>0.5</v>
      </c>
      <c r="N656" s="9">
        <v>0.25</v>
      </c>
      <c r="O656" s="9">
        <v>0.25</v>
      </c>
      <c r="P656" s="10">
        <v>45161.0</v>
      </c>
      <c r="Q656" s="11">
        <v>1.725</v>
      </c>
      <c r="R656" s="8" t="s">
        <v>25</v>
      </c>
      <c r="S656" s="12">
        <f t="shared" si="1"/>
        <v>-0.25</v>
      </c>
      <c r="T656" s="12">
        <f t="shared" si="8"/>
        <v>4.623016842</v>
      </c>
      <c r="U656" s="145"/>
    </row>
    <row r="657">
      <c r="A657" s="58"/>
      <c r="B657" s="58"/>
      <c r="C657" s="58"/>
      <c r="D657" s="15" t="s">
        <v>19</v>
      </c>
      <c r="E657" s="15" t="s">
        <v>3096</v>
      </c>
      <c r="F657" s="15"/>
      <c r="G657" s="15"/>
      <c r="H657" s="15"/>
      <c r="I657" s="15" t="s">
        <v>448</v>
      </c>
      <c r="J657" s="15" t="s">
        <v>22</v>
      </c>
      <c r="K657" s="15" t="s">
        <v>29</v>
      </c>
      <c r="L657" s="15" t="s">
        <v>24</v>
      </c>
      <c r="M657" s="16">
        <v>-10.5</v>
      </c>
      <c r="N657" s="16">
        <v>0.5</v>
      </c>
      <c r="O657" s="16">
        <v>0.5</v>
      </c>
      <c r="P657" s="17">
        <v>45161.0</v>
      </c>
      <c r="Q657" s="18">
        <v>1.8</v>
      </c>
      <c r="R657" s="15" t="s">
        <v>25</v>
      </c>
      <c r="S657" s="19">
        <f t="shared" si="1"/>
        <v>-0.5</v>
      </c>
      <c r="T657" s="19">
        <f t="shared" si="8"/>
        <v>4.123016842</v>
      </c>
      <c r="U657" s="144"/>
    </row>
    <row r="658">
      <c r="A658" s="59"/>
      <c r="B658" s="59"/>
      <c r="C658" s="59"/>
      <c r="D658" s="8" t="s">
        <v>19</v>
      </c>
      <c r="E658" s="8" t="s">
        <v>3097</v>
      </c>
      <c r="F658" s="8"/>
      <c r="G658" s="8"/>
      <c r="H658" s="8"/>
      <c r="I658" s="8" t="s">
        <v>82</v>
      </c>
      <c r="J658" s="8" t="s">
        <v>22</v>
      </c>
      <c r="K658" s="8" t="s">
        <v>29</v>
      </c>
      <c r="L658" s="8" t="s">
        <v>24</v>
      </c>
      <c r="M658" s="9">
        <v>-1.5</v>
      </c>
      <c r="N658" s="9">
        <v>0.5</v>
      </c>
      <c r="O658" s="9">
        <v>0.5</v>
      </c>
      <c r="P658" s="10">
        <v>45161.0</v>
      </c>
      <c r="Q658" s="11">
        <v>1.9</v>
      </c>
      <c r="R658" s="8" t="s">
        <v>25</v>
      </c>
      <c r="S658" s="12">
        <f t="shared" si="1"/>
        <v>-0.5</v>
      </c>
      <c r="T658" s="12">
        <f t="shared" si="8"/>
        <v>3.623016842</v>
      </c>
      <c r="U658" s="145"/>
    </row>
    <row r="659">
      <c r="A659" s="58"/>
      <c r="B659" s="58"/>
      <c r="C659" s="58"/>
      <c r="D659" s="15" t="s">
        <v>19</v>
      </c>
      <c r="E659" s="15" t="s">
        <v>3098</v>
      </c>
      <c r="F659" s="15" t="s">
        <v>1473</v>
      </c>
      <c r="G659" s="15" t="s">
        <v>2556</v>
      </c>
      <c r="H659" s="15">
        <v>-1.0</v>
      </c>
      <c r="I659" s="15" t="s">
        <v>82</v>
      </c>
      <c r="J659" s="15" t="s">
        <v>22</v>
      </c>
      <c r="K659" s="15" t="s">
        <v>225</v>
      </c>
      <c r="L659" s="15" t="s">
        <v>24</v>
      </c>
      <c r="M659" s="16">
        <v>0.25</v>
      </c>
      <c r="N659" s="16">
        <v>0.25</v>
      </c>
      <c r="O659" s="16">
        <v>0.25</v>
      </c>
      <c r="P659" s="17">
        <v>45161.0</v>
      </c>
      <c r="Q659" s="18">
        <v>1.7</v>
      </c>
      <c r="R659" s="15" t="s">
        <v>33</v>
      </c>
      <c r="S659" s="19">
        <f t="shared" si="1"/>
        <v>0.175</v>
      </c>
      <c r="T659" s="19">
        <f t="shared" si="8"/>
        <v>3.798016842</v>
      </c>
      <c r="U659" s="144"/>
    </row>
    <row r="660">
      <c r="A660" s="59"/>
      <c r="B660" s="59"/>
      <c r="C660" s="59"/>
      <c r="D660" s="8" t="s">
        <v>19</v>
      </c>
      <c r="E660" s="8" t="s">
        <v>3099</v>
      </c>
      <c r="F660" s="8" t="s">
        <v>1479</v>
      </c>
      <c r="G660" s="8" t="s">
        <v>2556</v>
      </c>
      <c r="H660" s="8">
        <v>0.0</v>
      </c>
      <c r="I660" s="8" t="s">
        <v>1182</v>
      </c>
      <c r="J660" s="8" t="s">
        <v>22</v>
      </c>
      <c r="K660" s="8" t="s">
        <v>225</v>
      </c>
      <c r="L660" s="8" t="s">
        <v>24</v>
      </c>
      <c r="M660" s="9">
        <v>0.5</v>
      </c>
      <c r="N660" s="9">
        <v>0.25</v>
      </c>
      <c r="O660" s="9">
        <v>0.25</v>
      </c>
      <c r="P660" s="10">
        <v>45162.0</v>
      </c>
      <c r="Q660" s="11">
        <v>1.7</v>
      </c>
      <c r="R660" s="8" t="s">
        <v>25</v>
      </c>
      <c r="S660" s="12">
        <f t="shared" si="1"/>
        <v>-0.25</v>
      </c>
      <c r="T660" s="12">
        <f t="shared" si="8"/>
        <v>3.548016842</v>
      </c>
      <c r="U660" s="145"/>
    </row>
    <row r="661">
      <c r="A661" s="58"/>
      <c r="B661" s="58"/>
      <c r="C661" s="58"/>
      <c r="D661" s="15" t="s">
        <v>19</v>
      </c>
      <c r="E661" s="15" t="s">
        <v>3100</v>
      </c>
      <c r="F661" s="15" t="s">
        <v>1473</v>
      </c>
      <c r="G661" s="15" t="s">
        <v>2660</v>
      </c>
      <c r="H661" s="15">
        <v>0.0</v>
      </c>
      <c r="I661" s="15" t="s">
        <v>513</v>
      </c>
      <c r="J661" s="15" t="s">
        <v>22</v>
      </c>
      <c r="K661" s="15" t="s">
        <v>892</v>
      </c>
      <c r="L661" s="15" t="s">
        <v>24</v>
      </c>
      <c r="M661" s="16">
        <v>0.0</v>
      </c>
      <c r="N661" s="16">
        <v>1.0</v>
      </c>
      <c r="O661" s="16">
        <v>1.0</v>
      </c>
      <c r="P661" s="17">
        <v>45162.0</v>
      </c>
      <c r="Q661" s="18">
        <v>1.825</v>
      </c>
      <c r="R661" s="15" t="s">
        <v>25</v>
      </c>
      <c r="S661" s="19">
        <f t="shared" si="1"/>
        <v>-1</v>
      </c>
      <c r="T661" s="19">
        <f t="shared" si="8"/>
        <v>2.548016842</v>
      </c>
      <c r="U661" s="144"/>
    </row>
    <row r="662">
      <c r="A662" s="59"/>
      <c r="B662" s="59"/>
      <c r="C662" s="59"/>
      <c r="D662" s="8" t="s">
        <v>40</v>
      </c>
      <c r="E662" s="8" t="s">
        <v>3101</v>
      </c>
      <c r="F662" s="8" t="s">
        <v>1473</v>
      </c>
      <c r="G662" s="8" t="s">
        <v>2556</v>
      </c>
      <c r="H662" s="8">
        <v>-2.0</v>
      </c>
      <c r="I662" s="8" t="s">
        <v>28</v>
      </c>
      <c r="J662" s="8" t="s">
        <v>22</v>
      </c>
      <c r="K662" s="8" t="s">
        <v>892</v>
      </c>
      <c r="L662" s="8" t="s">
        <v>1851</v>
      </c>
      <c r="M662" s="9">
        <v>0.5</v>
      </c>
      <c r="N662" s="9">
        <v>0.25</v>
      </c>
      <c r="O662" s="9">
        <v>0.25</v>
      </c>
      <c r="P662" s="10">
        <v>45162.0</v>
      </c>
      <c r="Q662" s="11">
        <v>1.775</v>
      </c>
      <c r="R662" s="8" t="s">
        <v>33</v>
      </c>
      <c r="S662" s="12">
        <f t="shared" si="1"/>
        <v>0.19375</v>
      </c>
      <c r="T662" s="12">
        <f t="shared" si="8"/>
        <v>2.741766842</v>
      </c>
      <c r="U662" s="145"/>
    </row>
    <row r="663">
      <c r="A663" s="58"/>
      <c r="B663" s="58"/>
      <c r="C663" s="58"/>
      <c r="D663" s="15" t="s">
        <v>19</v>
      </c>
      <c r="E663" s="15" t="s">
        <v>3102</v>
      </c>
      <c r="F663" s="15" t="s">
        <v>1479</v>
      </c>
      <c r="G663" s="15" t="s">
        <v>2660</v>
      </c>
      <c r="H663" s="15">
        <v>0.0</v>
      </c>
      <c r="I663" s="15" t="s">
        <v>463</v>
      </c>
      <c r="J663" s="15" t="s">
        <v>22</v>
      </c>
      <c r="K663" s="15" t="s">
        <v>892</v>
      </c>
      <c r="L663" s="15" t="s">
        <v>24</v>
      </c>
      <c r="M663" s="16">
        <v>0.0</v>
      </c>
      <c r="N663" s="16">
        <v>0.75</v>
      </c>
      <c r="O663" s="16">
        <v>0.75</v>
      </c>
      <c r="P663" s="17">
        <v>45162.0</v>
      </c>
      <c r="Q663" s="18">
        <v>2.0</v>
      </c>
      <c r="R663" s="15" t="s">
        <v>33</v>
      </c>
      <c r="S663" s="19">
        <f t="shared" si="1"/>
        <v>0.75</v>
      </c>
      <c r="T663" s="19">
        <f t="shared" si="8"/>
        <v>3.491766842</v>
      </c>
      <c r="U663" s="144"/>
    </row>
    <row r="664">
      <c r="A664" s="59"/>
      <c r="B664" s="59"/>
      <c r="C664" s="59"/>
      <c r="D664" s="8" t="s">
        <v>19</v>
      </c>
      <c r="E664" s="8" t="s">
        <v>3103</v>
      </c>
      <c r="F664" s="8" t="s">
        <v>1473</v>
      </c>
      <c r="G664" s="8" t="s">
        <v>2556</v>
      </c>
      <c r="H664" s="8">
        <v>-1.0</v>
      </c>
      <c r="I664" s="8" t="s">
        <v>82</v>
      </c>
      <c r="J664" s="8" t="s">
        <v>22</v>
      </c>
      <c r="K664" s="8" t="s">
        <v>225</v>
      </c>
      <c r="L664" s="8" t="s">
        <v>24</v>
      </c>
      <c r="M664" s="9">
        <v>0.5</v>
      </c>
      <c r="N664" s="9">
        <v>0.5</v>
      </c>
      <c r="O664" s="9">
        <v>0.16</v>
      </c>
      <c r="P664" s="10">
        <v>45162.0</v>
      </c>
      <c r="Q664" s="11">
        <v>2.025</v>
      </c>
      <c r="R664" s="8" t="s">
        <v>25</v>
      </c>
      <c r="S664" s="12">
        <f t="shared" si="1"/>
        <v>-0.16</v>
      </c>
      <c r="T664" s="12">
        <f t="shared" si="8"/>
        <v>3.331766842</v>
      </c>
      <c r="U664" s="145"/>
    </row>
    <row r="665">
      <c r="A665" s="58"/>
      <c r="B665" s="58"/>
      <c r="C665" s="58"/>
      <c r="D665" s="15" t="s">
        <v>19</v>
      </c>
      <c r="E665" s="15" t="s">
        <v>3104</v>
      </c>
      <c r="F665" s="15" t="s">
        <v>1473</v>
      </c>
      <c r="G665" s="15" t="s">
        <v>2556</v>
      </c>
      <c r="H665" s="15">
        <v>-1.0</v>
      </c>
      <c r="I665" s="15" t="s">
        <v>82</v>
      </c>
      <c r="J665" s="15" t="s">
        <v>22</v>
      </c>
      <c r="K665" s="15" t="s">
        <v>225</v>
      </c>
      <c r="L665" s="15" t="s">
        <v>24</v>
      </c>
      <c r="M665" s="16">
        <v>0.75</v>
      </c>
      <c r="N665" s="16">
        <v>0.5</v>
      </c>
      <c r="O665" s="16">
        <v>0.5</v>
      </c>
      <c r="P665" s="17">
        <v>45162.0</v>
      </c>
      <c r="Q665" s="18">
        <v>1.725</v>
      </c>
      <c r="R665" s="15" t="s">
        <v>33</v>
      </c>
      <c r="S665" s="19">
        <f t="shared" si="1"/>
        <v>0.3625</v>
      </c>
      <c r="T665" s="19">
        <f t="shared" si="8"/>
        <v>3.694266842</v>
      </c>
      <c r="U665" s="144"/>
    </row>
    <row r="666">
      <c r="A666" s="59"/>
      <c r="B666" s="59"/>
      <c r="C666" s="59"/>
      <c r="D666" s="8" t="s">
        <v>19</v>
      </c>
      <c r="E666" s="8" t="s">
        <v>3105</v>
      </c>
      <c r="F666" s="8" t="s">
        <v>1479</v>
      </c>
      <c r="G666" s="8" t="s">
        <v>2660</v>
      </c>
      <c r="H666" s="8">
        <f>1</f>
        <v>1</v>
      </c>
      <c r="I666" s="8" t="s">
        <v>82</v>
      </c>
      <c r="J666" s="8" t="s">
        <v>22</v>
      </c>
      <c r="K666" s="8" t="s">
        <v>892</v>
      </c>
      <c r="L666" s="8" t="s">
        <v>24</v>
      </c>
      <c r="M666" s="9">
        <v>0.0</v>
      </c>
      <c r="N666" s="9">
        <v>1.0</v>
      </c>
      <c r="O666" s="9">
        <v>1.0</v>
      </c>
      <c r="P666" s="10">
        <v>45162.0</v>
      </c>
      <c r="Q666" s="11">
        <v>1.9</v>
      </c>
      <c r="R666" s="8" t="s">
        <v>33</v>
      </c>
      <c r="S666" s="12">
        <f t="shared" si="1"/>
        <v>0.9</v>
      </c>
      <c r="T666" s="12">
        <f t="shared" si="8"/>
        <v>4.594266842</v>
      </c>
      <c r="U666" s="145"/>
    </row>
    <row r="667">
      <c r="A667" s="58"/>
      <c r="B667" s="58"/>
      <c r="C667" s="58"/>
      <c r="D667" s="15" t="s">
        <v>19</v>
      </c>
      <c r="E667" s="15" t="s">
        <v>3106</v>
      </c>
      <c r="F667" s="15"/>
      <c r="G667" s="15"/>
      <c r="H667" s="15"/>
      <c r="I667" s="15" t="s">
        <v>463</v>
      </c>
      <c r="J667" s="15" t="s">
        <v>22</v>
      </c>
      <c r="K667" s="15" t="s">
        <v>29</v>
      </c>
      <c r="L667" s="15" t="s">
        <v>24</v>
      </c>
      <c r="M667" s="16">
        <v>-7.25</v>
      </c>
      <c r="N667" s="16">
        <v>0.25</v>
      </c>
      <c r="O667" s="16">
        <f t="shared" ref="O667:O668" si="31">19/24*0.25</f>
        <v>0.1979166667</v>
      </c>
      <c r="P667" s="17">
        <v>45162.0</v>
      </c>
      <c r="Q667" s="18">
        <v>1.9</v>
      </c>
      <c r="R667" s="15" t="s">
        <v>33</v>
      </c>
      <c r="S667" s="19">
        <f t="shared" si="1"/>
        <v>0.178125</v>
      </c>
      <c r="T667" s="19">
        <f t="shared" si="8"/>
        <v>4.772391842</v>
      </c>
      <c r="U667" s="144"/>
    </row>
    <row r="668">
      <c r="A668" s="59"/>
      <c r="B668" s="59"/>
      <c r="C668" s="59"/>
      <c r="D668" s="8" t="s">
        <v>19</v>
      </c>
      <c r="E668" s="8" t="s">
        <v>3107</v>
      </c>
      <c r="F668" s="8" t="s">
        <v>1473</v>
      </c>
      <c r="G668" s="8" t="s">
        <v>2556</v>
      </c>
      <c r="H668" s="8">
        <f>1</f>
        <v>1</v>
      </c>
      <c r="I668" s="8" t="s">
        <v>463</v>
      </c>
      <c r="J668" s="8" t="s">
        <v>22</v>
      </c>
      <c r="K668" s="8" t="s">
        <v>225</v>
      </c>
      <c r="L668" s="8" t="s">
        <v>24</v>
      </c>
      <c r="M668" s="9">
        <v>0.75</v>
      </c>
      <c r="N668" s="9">
        <v>0.25</v>
      </c>
      <c r="O668" s="9">
        <f t="shared" si="31"/>
        <v>0.1979166667</v>
      </c>
      <c r="P668" s="10">
        <v>45162.0</v>
      </c>
      <c r="Q668" s="11">
        <v>1.9</v>
      </c>
      <c r="R668" s="8" t="s">
        <v>33</v>
      </c>
      <c r="S668" s="12">
        <f t="shared" si="1"/>
        <v>0.178125</v>
      </c>
      <c r="T668" s="12">
        <f t="shared" si="8"/>
        <v>4.950516842</v>
      </c>
      <c r="U668" s="145"/>
    </row>
    <row r="669">
      <c r="A669" s="58"/>
      <c r="B669" s="58"/>
      <c r="C669" s="58"/>
      <c r="D669" s="15" t="s">
        <v>19</v>
      </c>
      <c r="E669" s="15" t="s">
        <v>3108</v>
      </c>
      <c r="F669" s="15"/>
      <c r="G669" s="15"/>
      <c r="H669" s="15"/>
      <c r="I669" s="15" t="s">
        <v>463</v>
      </c>
      <c r="J669" s="15" t="s">
        <v>22</v>
      </c>
      <c r="K669" s="15" t="s">
        <v>29</v>
      </c>
      <c r="L669" s="15" t="s">
        <v>24</v>
      </c>
      <c r="M669" s="16">
        <v>-6.5</v>
      </c>
      <c r="N669" s="16">
        <v>0.25</v>
      </c>
      <c r="O669" s="16">
        <v>0.25</v>
      </c>
      <c r="P669" s="17">
        <v>45162.0</v>
      </c>
      <c r="Q669" s="18">
        <v>1.85</v>
      </c>
      <c r="R669" s="15" t="s">
        <v>33</v>
      </c>
      <c r="S669" s="19">
        <f t="shared" si="1"/>
        <v>0.2125</v>
      </c>
      <c r="T669" s="19">
        <f t="shared" si="8"/>
        <v>5.163016842</v>
      </c>
      <c r="U669" s="144"/>
    </row>
    <row r="670">
      <c r="A670" s="59"/>
      <c r="B670" s="59"/>
      <c r="C670" s="59"/>
      <c r="D670" s="8" t="s">
        <v>19</v>
      </c>
      <c r="E670" s="8" t="s">
        <v>3109</v>
      </c>
      <c r="F670" s="8" t="s">
        <v>1473</v>
      </c>
      <c r="G670" s="8" t="s">
        <v>2556</v>
      </c>
      <c r="H670" s="8">
        <v>0.0</v>
      </c>
      <c r="I670" s="8" t="s">
        <v>354</v>
      </c>
      <c r="J670" s="8" t="s">
        <v>22</v>
      </c>
      <c r="K670" s="8" t="s">
        <v>225</v>
      </c>
      <c r="L670" s="8" t="s">
        <v>24</v>
      </c>
      <c r="M670" s="9">
        <v>0.5</v>
      </c>
      <c r="N670" s="9">
        <v>0.5</v>
      </c>
      <c r="O670" s="9">
        <f>0.385</f>
        <v>0.385</v>
      </c>
      <c r="P670" s="10">
        <v>45163.0</v>
      </c>
      <c r="Q670" s="11">
        <v>1.775</v>
      </c>
      <c r="R670" s="8" t="s">
        <v>33</v>
      </c>
      <c r="S670" s="12">
        <f t="shared" si="1"/>
        <v>0.298375</v>
      </c>
      <c r="T670" s="12">
        <f t="shared" si="8"/>
        <v>5.461391842</v>
      </c>
      <c r="U670" s="145"/>
    </row>
    <row r="671">
      <c r="A671" s="58"/>
      <c r="B671" s="58"/>
      <c r="C671" s="58"/>
      <c r="D671" s="15" t="s">
        <v>19</v>
      </c>
      <c r="E671" s="15" t="s">
        <v>3110</v>
      </c>
      <c r="F671" s="15" t="s">
        <v>1473</v>
      </c>
      <c r="G671" s="15"/>
      <c r="H671" s="15">
        <v>0.0</v>
      </c>
      <c r="I671" s="15" t="s">
        <v>354</v>
      </c>
      <c r="J671" s="15" t="s">
        <v>22</v>
      </c>
      <c r="K671" s="15" t="s">
        <v>29</v>
      </c>
      <c r="L671" s="15" t="s">
        <v>24</v>
      </c>
      <c r="M671" s="16"/>
      <c r="N671" s="16">
        <v>0.25</v>
      </c>
      <c r="O671" s="16">
        <v>0.25</v>
      </c>
      <c r="P671" s="17">
        <v>45163.0</v>
      </c>
      <c r="Q671" s="18">
        <v>1.625</v>
      </c>
      <c r="R671" s="15" t="s">
        <v>33</v>
      </c>
      <c r="S671" s="19">
        <f t="shared" si="1"/>
        <v>0.15625</v>
      </c>
      <c r="T671" s="19">
        <f t="shared" si="8"/>
        <v>5.617641842</v>
      </c>
      <c r="U671" s="144"/>
    </row>
    <row r="672">
      <c r="A672" s="59"/>
      <c r="B672" s="59"/>
      <c r="C672" s="59"/>
      <c r="D672" s="8" t="s">
        <v>19</v>
      </c>
      <c r="E672" s="8" t="s">
        <v>3111</v>
      </c>
      <c r="F672" s="8"/>
      <c r="G672" s="8"/>
      <c r="H672" s="8"/>
      <c r="I672" s="8" t="s">
        <v>642</v>
      </c>
      <c r="J672" s="8" t="s">
        <v>22</v>
      </c>
      <c r="K672" s="8" t="s">
        <v>23</v>
      </c>
      <c r="L672" s="8" t="s">
        <v>24</v>
      </c>
      <c r="M672" s="9">
        <v>-8.0</v>
      </c>
      <c r="N672" s="9">
        <v>0.25</v>
      </c>
      <c r="O672" s="9">
        <v>0.25</v>
      </c>
      <c r="P672" s="10">
        <v>45163.0</v>
      </c>
      <c r="Q672" s="11">
        <v>1.8</v>
      </c>
      <c r="R672" s="8" t="s">
        <v>25</v>
      </c>
      <c r="S672" s="12">
        <f t="shared" si="1"/>
        <v>-0.25</v>
      </c>
      <c r="T672" s="12">
        <f t="shared" si="8"/>
        <v>5.367641842</v>
      </c>
      <c r="U672" s="145"/>
    </row>
    <row r="673">
      <c r="A673" s="58"/>
      <c r="B673" s="58"/>
      <c r="C673" s="58"/>
      <c r="D673" s="15" t="s">
        <v>40</v>
      </c>
      <c r="E673" s="15" t="s">
        <v>3112</v>
      </c>
      <c r="F673" s="15" t="s">
        <v>1479</v>
      </c>
      <c r="G673" s="15" t="s">
        <v>2556</v>
      </c>
      <c r="H673" s="15">
        <v>0.0</v>
      </c>
      <c r="I673" s="15" t="s">
        <v>432</v>
      </c>
      <c r="J673" s="15" t="s">
        <v>22</v>
      </c>
      <c r="K673" s="15" t="s">
        <v>225</v>
      </c>
      <c r="L673" s="15" t="s">
        <v>1522</v>
      </c>
      <c r="M673" s="16">
        <v>1.25</v>
      </c>
      <c r="N673" s="16">
        <v>0.75</v>
      </c>
      <c r="O673" s="16">
        <v>0.75</v>
      </c>
      <c r="P673" s="17">
        <v>45163.0</v>
      </c>
      <c r="Q673" s="18">
        <v>1.8</v>
      </c>
      <c r="R673" s="15" t="s">
        <v>33</v>
      </c>
      <c r="S673" s="19">
        <f t="shared" si="1"/>
        <v>0.6</v>
      </c>
      <c r="T673" s="19">
        <f t="shared" si="8"/>
        <v>5.967641842</v>
      </c>
      <c r="U673" s="144"/>
    </row>
    <row r="674">
      <c r="A674" s="59"/>
      <c r="B674" s="59"/>
      <c r="C674" s="59"/>
      <c r="D674" s="8" t="s">
        <v>19</v>
      </c>
      <c r="E674" s="8" t="s">
        <v>3113</v>
      </c>
      <c r="F674" s="8" t="s">
        <v>1479</v>
      </c>
      <c r="G674" s="8" t="s">
        <v>2556</v>
      </c>
      <c r="H674" s="8">
        <v>0.0</v>
      </c>
      <c r="I674" s="8" t="s">
        <v>432</v>
      </c>
      <c r="J674" s="8" t="s">
        <v>22</v>
      </c>
      <c r="K674" s="8" t="s">
        <v>941</v>
      </c>
      <c r="L674" s="8" t="s">
        <v>24</v>
      </c>
      <c r="M674" s="9">
        <v>0.0</v>
      </c>
      <c r="N674" s="9">
        <v>0.5</v>
      </c>
      <c r="O674" s="9">
        <v>0.5</v>
      </c>
      <c r="P674" s="10">
        <v>45163.0</v>
      </c>
      <c r="Q674" s="11">
        <v>2.2</v>
      </c>
      <c r="R674" s="8" t="s">
        <v>70</v>
      </c>
      <c r="S674" s="12">
        <f t="shared" si="1"/>
        <v>0</v>
      </c>
      <c r="T674" s="12">
        <f t="shared" si="8"/>
        <v>5.967641842</v>
      </c>
      <c r="U674" s="145"/>
    </row>
    <row r="675">
      <c r="A675" s="58"/>
      <c r="B675" s="58"/>
      <c r="C675" s="58"/>
      <c r="D675" s="15" t="s">
        <v>19</v>
      </c>
      <c r="E675" s="15" t="s">
        <v>3114</v>
      </c>
      <c r="F675" s="15" t="s">
        <v>1479</v>
      </c>
      <c r="G675" s="15" t="s">
        <v>2556</v>
      </c>
      <c r="H675" s="15">
        <v>0.0</v>
      </c>
      <c r="I675" s="15" t="s">
        <v>432</v>
      </c>
      <c r="J675" s="15" t="s">
        <v>22</v>
      </c>
      <c r="K675" s="15" t="s">
        <v>225</v>
      </c>
      <c r="L675" s="15" t="s">
        <v>24</v>
      </c>
      <c r="M675" s="16">
        <v>0.25</v>
      </c>
      <c r="N675" s="16">
        <v>0.5</v>
      </c>
      <c r="O675" s="16">
        <v>0.5</v>
      </c>
      <c r="P675" s="17">
        <v>45163.0</v>
      </c>
      <c r="Q675" s="18">
        <v>1.088</v>
      </c>
      <c r="R675" s="15" t="s">
        <v>33</v>
      </c>
      <c r="S675" s="19">
        <f t="shared" si="1"/>
        <v>0.044</v>
      </c>
      <c r="T675" s="19">
        <f t="shared" si="8"/>
        <v>6.011641842</v>
      </c>
      <c r="U675" s="144"/>
    </row>
    <row r="676">
      <c r="A676" s="59"/>
      <c r="B676" s="59"/>
      <c r="C676" s="59"/>
      <c r="D676" s="8" t="s">
        <v>19</v>
      </c>
      <c r="E676" s="8" t="s">
        <v>3115</v>
      </c>
      <c r="F676" s="8" t="s">
        <v>1473</v>
      </c>
      <c r="G676" s="8" t="s">
        <v>2556</v>
      </c>
      <c r="H676" s="8">
        <v>0.0</v>
      </c>
      <c r="I676" s="8" t="s">
        <v>101</v>
      </c>
      <c r="J676" s="8" t="s">
        <v>22</v>
      </c>
      <c r="K676" s="8" t="s">
        <v>225</v>
      </c>
      <c r="L676" s="8" t="s">
        <v>24</v>
      </c>
      <c r="M676" s="9">
        <v>0.25</v>
      </c>
      <c r="N676" s="9">
        <v>0.5</v>
      </c>
      <c r="O676" s="9">
        <v>0.5</v>
      </c>
      <c r="P676" s="10">
        <v>45163.0</v>
      </c>
      <c r="Q676" s="11">
        <v>1.725</v>
      </c>
      <c r="R676" s="8" t="s">
        <v>25</v>
      </c>
      <c r="S676" s="12">
        <f t="shared" si="1"/>
        <v>-0.5</v>
      </c>
      <c r="T676" s="12">
        <f t="shared" si="8"/>
        <v>5.511641842</v>
      </c>
      <c r="U676" s="145"/>
    </row>
    <row r="677">
      <c r="A677" s="58"/>
      <c r="B677" s="58"/>
      <c r="C677" s="58"/>
      <c r="D677" s="15" t="s">
        <v>19</v>
      </c>
      <c r="E677" s="15" t="s">
        <v>3116</v>
      </c>
      <c r="F677" s="15" t="s">
        <v>1473</v>
      </c>
      <c r="G677" s="15" t="s">
        <v>2556</v>
      </c>
      <c r="H677" s="15">
        <v>-1.0</v>
      </c>
      <c r="I677" s="15" t="s">
        <v>463</v>
      </c>
      <c r="J677" s="15" t="s">
        <v>22</v>
      </c>
      <c r="K677" s="15" t="s">
        <v>225</v>
      </c>
      <c r="L677" s="15" t="s">
        <v>24</v>
      </c>
      <c r="M677" s="16">
        <v>0.25</v>
      </c>
      <c r="N677" s="16">
        <v>1.0</v>
      </c>
      <c r="O677" s="16">
        <v>1.0</v>
      </c>
      <c r="P677" s="17">
        <v>45163.0</v>
      </c>
      <c r="Q677" s="18">
        <v>1.8</v>
      </c>
      <c r="R677" s="15" t="s">
        <v>25</v>
      </c>
      <c r="S677" s="19">
        <f t="shared" si="1"/>
        <v>-1</v>
      </c>
      <c r="T677" s="19">
        <f t="shared" si="8"/>
        <v>4.511641842</v>
      </c>
      <c r="U677" s="144"/>
    </row>
    <row r="678">
      <c r="A678" s="59"/>
      <c r="B678" s="59"/>
      <c r="C678" s="59"/>
      <c r="D678" s="8" t="s">
        <v>40</v>
      </c>
      <c r="E678" s="8" t="s">
        <v>3117</v>
      </c>
      <c r="F678" s="8" t="s">
        <v>1479</v>
      </c>
      <c r="G678" s="8" t="s">
        <v>2556</v>
      </c>
      <c r="H678" s="8">
        <v>0.0</v>
      </c>
      <c r="I678" s="8" t="s">
        <v>60</v>
      </c>
      <c r="J678" s="8" t="s">
        <v>22</v>
      </c>
      <c r="K678" s="8" t="s">
        <v>2725</v>
      </c>
      <c r="L678" s="8" t="s">
        <v>24</v>
      </c>
      <c r="M678" s="9">
        <v>0.5</v>
      </c>
      <c r="N678" s="9">
        <v>0.5</v>
      </c>
      <c r="O678" s="9">
        <v>0.5</v>
      </c>
      <c r="P678" s="10">
        <v>45163.0</v>
      </c>
      <c r="Q678" s="11">
        <v>1.725</v>
      </c>
      <c r="R678" s="8" t="s">
        <v>33</v>
      </c>
      <c r="S678" s="12">
        <f t="shared" si="1"/>
        <v>0.3625</v>
      </c>
      <c r="T678" s="12">
        <f t="shared" si="8"/>
        <v>4.874141842</v>
      </c>
      <c r="U678" s="145"/>
    </row>
    <row r="679">
      <c r="A679" s="58"/>
      <c r="B679" s="58"/>
      <c r="C679" s="58"/>
      <c r="D679" s="15" t="s">
        <v>19</v>
      </c>
      <c r="E679" s="15" t="s">
        <v>3118</v>
      </c>
      <c r="F679" s="15" t="s">
        <v>1473</v>
      </c>
      <c r="G679" s="15" t="s">
        <v>2556</v>
      </c>
      <c r="H679" s="15">
        <v>-1.0</v>
      </c>
      <c r="I679" s="15" t="s">
        <v>82</v>
      </c>
      <c r="J679" s="15" t="s">
        <v>22</v>
      </c>
      <c r="K679" s="15" t="s">
        <v>225</v>
      </c>
      <c r="L679" s="15" t="s">
        <v>24</v>
      </c>
      <c r="M679" s="16">
        <v>0.5</v>
      </c>
      <c r="N679" s="16">
        <v>0.5</v>
      </c>
      <c r="O679" s="16">
        <v>0.5</v>
      </c>
      <c r="P679" s="17">
        <v>45163.0</v>
      </c>
      <c r="Q679" s="18">
        <v>1.8</v>
      </c>
      <c r="R679" s="15" t="s">
        <v>25</v>
      </c>
      <c r="S679" s="19">
        <f t="shared" si="1"/>
        <v>-0.5</v>
      </c>
      <c r="T679" s="19">
        <f t="shared" si="8"/>
        <v>4.374141842</v>
      </c>
      <c r="U679" s="144"/>
    </row>
    <row r="680">
      <c r="A680" s="59"/>
      <c r="B680" s="59"/>
      <c r="C680" s="59"/>
      <c r="D680" s="8" t="s">
        <v>19</v>
      </c>
      <c r="E680" s="8" t="s">
        <v>3119</v>
      </c>
      <c r="F680" s="8" t="s">
        <v>1473</v>
      </c>
      <c r="G680" s="8" t="s">
        <v>2556</v>
      </c>
      <c r="H680" s="8">
        <v>0.0</v>
      </c>
      <c r="I680" s="8" t="s">
        <v>806</v>
      </c>
      <c r="J680" s="8" t="s">
        <v>22</v>
      </c>
      <c r="K680" s="8" t="s">
        <v>225</v>
      </c>
      <c r="L680" s="8" t="s">
        <v>24</v>
      </c>
      <c r="M680" s="9">
        <v>0.5</v>
      </c>
      <c r="N680" s="9">
        <v>0.25</v>
      </c>
      <c r="O680" s="9">
        <v>0.25</v>
      </c>
      <c r="P680" s="10">
        <v>45164.0</v>
      </c>
      <c r="Q680" s="11">
        <v>2.0</v>
      </c>
      <c r="R680" s="8" t="s">
        <v>30</v>
      </c>
      <c r="S680" s="12">
        <f t="shared" si="1"/>
        <v>0.125</v>
      </c>
      <c r="T680" s="12">
        <f t="shared" si="8"/>
        <v>4.499141842</v>
      </c>
      <c r="U680" s="145"/>
    </row>
    <row r="681">
      <c r="A681" s="58"/>
      <c r="B681" s="58"/>
      <c r="C681" s="58"/>
      <c r="D681" s="15" t="s">
        <v>19</v>
      </c>
      <c r="E681" s="15" t="s">
        <v>3120</v>
      </c>
      <c r="F681" s="15"/>
      <c r="G681" s="15"/>
      <c r="H681" s="15" t="s">
        <v>3121</v>
      </c>
      <c r="I681" s="15" t="s">
        <v>513</v>
      </c>
      <c r="J681" s="15" t="s">
        <v>22</v>
      </c>
      <c r="K681" s="15" t="s">
        <v>29</v>
      </c>
      <c r="L681" s="15" t="s">
        <v>24</v>
      </c>
      <c r="M681" s="16">
        <v>-4.0</v>
      </c>
      <c r="N681" s="16">
        <v>0.5</v>
      </c>
      <c r="O681" s="16">
        <v>0.666</v>
      </c>
      <c r="P681" s="17">
        <v>45164.0</v>
      </c>
      <c r="Q681" s="18">
        <v>1.8</v>
      </c>
      <c r="R681" s="15" t="s">
        <v>33</v>
      </c>
      <c r="S681" s="19">
        <f t="shared" si="1"/>
        <v>0.5328</v>
      </c>
      <c r="T681" s="19">
        <f t="shared" si="8"/>
        <v>5.031941842</v>
      </c>
      <c r="U681" s="144"/>
    </row>
    <row r="682">
      <c r="A682" s="59"/>
      <c r="B682" s="59"/>
      <c r="C682" s="59"/>
      <c r="D682" s="8" t="s">
        <v>19</v>
      </c>
      <c r="E682" s="8" t="s">
        <v>3122</v>
      </c>
      <c r="F682" s="8"/>
      <c r="G682" s="8"/>
      <c r="H682" s="8" t="s">
        <v>3121</v>
      </c>
      <c r="I682" s="8" t="s">
        <v>513</v>
      </c>
      <c r="J682" s="8" t="s">
        <v>22</v>
      </c>
      <c r="K682" s="8" t="s">
        <v>29</v>
      </c>
      <c r="L682" s="8" t="s">
        <v>24</v>
      </c>
      <c r="M682" s="9">
        <v>-3.75</v>
      </c>
      <c r="N682" s="9">
        <v>0.25</v>
      </c>
      <c r="O682" s="9">
        <f>0.37*0.25</f>
        <v>0.0925</v>
      </c>
      <c r="P682" s="10">
        <v>45164.0</v>
      </c>
      <c r="Q682" s="11">
        <v>1.975</v>
      </c>
      <c r="R682" s="8" t="s">
        <v>33</v>
      </c>
      <c r="S682" s="12">
        <f t="shared" si="1"/>
        <v>0.0901875</v>
      </c>
      <c r="T682" s="12">
        <f t="shared" si="8"/>
        <v>5.122129342</v>
      </c>
      <c r="U682" s="145"/>
    </row>
    <row r="683">
      <c r="A683" s="58"/>
      <c r="B683" s="58"/>
      <c r="C683" s="58"/>
      <c r="D683" s="15" t="s">
        <v>19</v>
      </c>
      <c r="E683" s="15" t="s">
        <v>3123</v>
      </c>
      <c r="F683" s="15"/>
      <c r="G683" s="15"/>
      <c r="H683" s="15" t="s">
        <v>3121</v>
      </c>
      <c r="I683" s="15" t="s">
        <v>513</v>
      </c>
      <c r="J683" s="15" t="s">
        <v>22</v>
      </c>
      <c r="K683" s="15" t="s">
        <v>29</v>
      </c>
      <c r="L683" s="15" t="s">
        <v>24</v>
      </c>
      <c r="M683" s="16">
        <v>-3.5</v>
      </c>
      <c r="N683" s="16">
        <v>0.25</v>
      </c>
      <c r="O683" s="16">
        <f>0.333*0.25</f>
        <v>0.08325</v>
      </c>
      <c r="P683" s="17">
        <v>45164.0</v>
      </c>
      <c r="Q683" s="18">
        <v>1.95</v>
      </c>
      <c r="R683" s="15" t="s">
        <v>33</v>
      </c>
      <c r="S683" s="19">
        <f t="shared" si="1"/>
        <v>0.0790875</v>
      </c>
      <c r="T683" s="19">
        <f t="shared" si="8"/>
        <v>5.201216842</v>
      </c>
      <c r="U683" s="144"/>
    </row>
    <row r="684">
      <c r="A684" s="59"/>
      <c r="B684" s="59"/>
      <c r="C684" s="59"/>
      <c r="D684" s="8" t="s">
        <v>19</v>
      </c>
      <c r="E684" s="8" t="s">
        <v>3124</v>
      </c>
      <c r="F684" s="8" t="s">
        <v>1479</v>
      </c>
      <c r="G684" s="8" t="s">
        <v>2556</v>
      </c>
      <c r="H684" s="8">
        <v>0.0</v>
      </c>
      <c r="I684" s="8" t="s">
        <v>908</v>
      </c>
      <c r="J684" s="8" t="s">
        <v>22</v>
      </c>
      <c r="K684" s="8" t="s">
        <v>225</v>
      </c>
      <c r="L684" s="8" t="s">
        <v>24</v>
      </c>
      <c r="M684" s="9">
        <v>0.25</v>
      </c>
      <c r="N684" s="9">
        <v>0.5</v>
      </c>
      <c r="O684" s="9">
        <v>0.5</v>
      </c>
      <c r="P684" s="10">
        <v>45164.0</v>
      </c>
      <c r="Q684" s="11">
        <v>1.95</v>
      </c>
      <c r="R684" s="8" t="s">
        <v>25</v>
      </c>
      <c r="S684" s="12">
        <f t="shared" si="1"/>
        <v>-0.5</v>
      </c>
      <c r="T684" s="12">
        <f t="shared" si="8"/>
        <v>4.701216842</v>
      </c>
      <c r="U684" s="145"/>
    </row>
    <row r="685">
      <c r="A685" s="58"/>
      <c r="B685" s="58"/>
      <c r="C685" s="58"/>
      <c r="D685" s="15" t="s">
        <v>19</v>
      </c>
      <c r="E685" s="15" t="s">
        <v>3125</v>
      </c>
      <c r="F685" s="15" t="s">
        <v>1479</v>
      </c>
      <c r="G685" s="15" t="s">
        <v>2556</v>
      </c>
      <c r="H685" s="15">
        <v>0.0</v>
      </c>
      <c r="I685" s="15" t="s">
        <v>940</v>
      </c>
      <c r="J685" s="15" t="s">
        <v>22</v>
      </c>
      <c r="K685" s="15" t="s">
        <v>941</v>
      </c>
      <c r="L685" s="15" t="s">
        <v>24</v>
      </c>
      <c r="M685" s="16">
        <v>0.0</v>
      </c>
      <c r="N685" s="16">
        <v>0.25</v>
      </c>
      <c r="O685" s="16">
        <v>0.25</v>
      </c>
      <c r="P685" s="17">
        <v>45164.0</v>
      </c>
      <c r="Q685" s="18">
        <v>2.25</v>
      </c>
      <c r="R685" s="15" t="s">
        <v>33</v>
      </c>
      <c r="S685" s="19">
        <f t="shared" si="1"/>
        <v>0.3125</v>
      </c>
      <c r="T685" s="19">
        <f t="shared" si="8"/>
        <v>5.013716842</v>
      </c>
      <c r="U685" s="144"/>
    </row>
    <row r="686">
      <c r="A686" s="59"/>
      <c r="B686" s="59"/>
      <c r="C686" s="59"/>
      <c r="D686" s="8" t="s">
        <v>40</v>
      </c>
      <c r="E686" s="8" t="s">
        <v>3126</v>
      </c>
      <c r="F686" s="8" t="s">
        <v>1479</v>
      </c>
      <c r="G686" s="8" t="s">
        <v>2660</v>
      </c>
      <c r="H686" s="8">
        <v>0.0</v>
      </c>
      <c r="I686" s="8" t="s">
        <v>99</v>
      </c>
      <c r="J686" s="8" t="s">
        <v>598</v>
      </c>
      <c r="K686" s="8" t="s">
        <v>892</v>
      </c>
      <c r="L686" s="8" t="s">
        <v>24</v>
      </c>
      <c r="M686" s="9">
        <v>0.0</v>
      </c>
      <c r="N686" s="9">
        <v>0.25</v>
      </c>
      <c r="O686" s="9">
        <f>0.25*22/27</f>
        <v>0.2037037037</v>
      </c>
      <c r="P686" s="10">
        <v>45164.0</v>
      </c>
      <c r="Q686" s="11">
        <v>1.9</v>
      </c>
      <c r="R686" s="8" t="s">
        <v>33</v>
      </c>
      <c r="S686" s="12">
        <f t="shared" si="1"/>
        <v>0.1833333333</v>
      </c>
      <c r="T686" s="12">
        <f t="shared" si="8"/>
        <v>5.197050175</v>
      </c>
      <c r="U686" s="145"/>
    </row>
    <row r="687">
      <c r="A687" s="58"/>
      <c r="B687" s="58"/>
      <c r="C687" s="58"/>
      <c r="D687" s="15" t="s">
        <v>19</v>
      </c>
      <c r="E687" s="15" t="s">
        <v>3127</v>
      </c>
      <c r="F687" s="15" t="s">
        <v>1479</v>
      </c>
      <c r="G687" s="15" t="s">
        <v>2556</v>
      </c>
      <c r="H687" s="15">
        <v>0.0</v>
      </c>
      <c r="I687" s="15" t="s">
        <v>167</v>
      </c>
      <c r="J687" s="15" t="s">
        <v>22</v>
      </c>
      <c r="K687" s="15" t="s">
        <v>225</v>
      </c>
      <c r="L687" s="15" t="s">
        <v>1522</v>
      </c>
      <c r="M687" s="16">
        <v>0.25</v>
      </c>
      <c r="N687" s="16">
        <v>0.75</v>
      </c>
      <c r="O687" s="16">
        <f>0.5+0.25*26/27</f>
        <v>0.7407407407</v>
      </c>
      <c r="P687" s="17">
        <v>45164.0</v>
      </c>
      <c r="Q687" s="18">
        <f>108.36/87.5</f>
        <v>1.2384</v>
      </c>
      <c r="R687" s="15" t="s">
        <v>33</v>
      </c>
      <c r="S687" s="19">
        <f t="shared" si="1"/>
        <v>0.1765925926</v>
      </c>
      <c r="T687" s="19">
        <f t="shared" si="8"/>
        <v>5.373642768</v>
      </c>
      <c r="U687" s="144"/>
    </row>
    <row r="688">
      <c r="A688" s="59"/>
      <c r="B688" s="59"/>
      <c r="C688" s="59"/>
      <c r="D688" s="8" t="s">
        <v>40</v>
      </c>
      <c r="E688" s="8" t="s">
        <v>3126</v>
      </c>
      <c r="F688" s="8" t="s">
        <v>1479</v>
      </c>
      <c r="G688" s="8" t="s">
        <v>2660</v>
      </c>
      <c r="H688" s="8">
        <v>0.0</v>
      </c>
      <c r="I688" s="8" t="s">
        <v>99</v>
      </c>
      <c r="J688" s="8" t="s">
        <v>22</v>
      </c>
      <c r="K688" s="8" t="s">
        <v>892</v>
      </c>
      <c r="L688" s="8" t="s">
        <v>24</v>
      </c>
      <c r="M688" s="9">
        <v>0.0</v>
      </c>
      <c r="N688" s="9">
        <v>0.5</v>
      </c>
      <c r="O688" s="9">
        <v>0.5</v>
      </c>
      <c r="P688" s="10">
        <v>45164.0</v>
      </c>
      <c r="Q688" s="11">
        <v>1.9</v>
      </c>
      <c r="R688" s="8" t="s">
        <v>33</v>
      </c>
      <c r="S688" s="12">
        <f t="shared" si="1"/>
        <v>0.45</v>
      </c>
      <c r="T688" s="12">
        <f t="shared" si="8"/>
        <v>5.823642768</v>
      </c>
      <c r="U688" s="145"/>
    </row>
    <row r="689">
      <c r="A689" s="58"/>
      <c r="B689" s="58"/>
      <c r="C689" s="58"/>
      <c r="D689" s="15" t="s">
        <v>19</v>
      </c>
      <c r="E689" s="15" t="s">
        <v>3128</v>
      </c>
      <c r="F689" s="15" t="s">
        <v>1479</v>
      </c>
      <c r="G689" s="15" t="s">
        <v>2660</v>
      </c>
      <c r="H689" s="15">
        <v>-1.0</v>
      </c>
      <c r="I689" s="15" t="s">
        <v>448</v>
      </c>
      <c r="J689" s="15" t="s">
        <v>22</v>
      </c>
      <c r="K689" s="15" t="s">
        <v>1150</v>
      </c>
      <c r="L689" s="15" t="s">
        <v>24</v>
      </c>
      <c r="M689" s="16">
        <v>0.0</v>
      </c>
      <c r="N689" s="16">
        <v>0.25</v>
      </c>
      <c r="O689" s="16">
        <v>0.25</v>
      </c>
      <c r="P689" s="17">
        <v>45164.0</v>
      </c>
      <c r="Q689" s="18">
        <v>2.0</v>
      </c>
      <c r="R689" s="15" t="s">
        <v>70</v>
      </c>
      <c r="S689" s="19">
        <f t="shared" si="1"/>
        <v>0</v>
      </c>
      <c r="T689" s="19">
        <f t="shared" si="8"/>
        <v>5.823642768</v>
      </c>
      <c r="U689" s="144"/>
    </row>
    <row r="690">
      <c r="A690" s="59"/>
      <c r="B690" s="59"/>
      <c r="C690" s="59"/>
      <c r="D690" s="8" t="s">
        <v>19</v>
      </c>
      <c r="E690" s="8" t="s">
        <v>3129</v>
      </c>
      <c r="F690" s="8" t="s">
        <v>1473</v>
      </c>
      <c r="G690" s="8" t="s">
        <v>2660</v>
      </c>
      <c r="H690" s="8">
        <v>0.0</v>
      </c>
      <c r="I690" s="8" t="s">
        <v>3017</v>
      </c>
      <c r="J690" s="8" t="s">
        <v>22</v>
      </c>
      <c r="K690" s="8" t="s">
        <v>892</v>
      </c>
      <c r="L690" s="8" t="s">
        <v>24</v>
      </c>
      <c r="M690" s="9">
        <v>0.0</v>
      </c>
      <c r="N690" s="9">
        <v>0.75</v>
      </c>
      <c r="O690" s="9">
        <v>0.75</v>
      </c>
      <c r="P690" s="10">
        <v>45164.0</v>
      </c>
      <c r="Q690" s="11">
        <v>1.831</v>
      </c>
      <c r="R690" s="8" t="s">
        <v>33</v>
      </c>
      <c r="S690" s="12">
        <f t="shared" si="1"/>
        <v>0.62325</v>
      </c>
      <c r="T690" s="12">
        <f t="shared" si="8"/>
        <v>6.446892768</v>
      </c>
      <c r="U690" s="145"/>
    </row>
    <row r="691">
      <c r="A691" s="58"/>
      <c r="B691" s="58"/>
      <c r="C691" s="58"/>
      <c r="D691" s="15" t="s">
        <v>19</v>
      </c>
      <c r="E691" s="15" t="s">
        <v>3130</v>
      </c>
      <c r="F691" s="15" t="s">
        <v>1479</v>
      </c>
      <c r="G691" s="15" t="s">
        <v>2660</v>
      </c>
      <c r="H691" s="15">
        <v>0.0</v>
      </c>
      <c r="I691" s="15" t="s">
        <v>66</v>
      </c>
      <c r="J691" s="15" t="s">
        <v>22</v>
      </c>
      <c r="K691" s="15" t="s">
        <v>225</v>
      </c>
      <c r="L691" s="15" t="s">
        <v>24</v>
      </c>
      <c r="M691" s="16">
        <v>0.75</v>
      </c>
      <c r="N691" s="16">
        <v>0.25</v>
      </c>
      <c r="O691" s="16">
        <v>0.25</v>
      </c>
      <c r="P691" s="17">
        <v>45164.0</v>
      </c>
      <c r="Q691" s="18">
        <v>1.8</v>
      </c>
      <c r="R691" s="15" t="s">
        <v>33</v>
      </c>
      <c r="S691" s="19">
        <f t="shared" si="1"/>
        <v>0.2</v>
      </c>
      <c r="T691" s="19">
        <f t="shared" si="8"/>
        <v>6.646892768</v>
      </c>
      <c r="U691" s="144"/>
    </row>
    <row r="692">
      <c r="A692" s="59"/>
      <c r="B692" s="59"/>
      <c r="C692" s="59"/>
      <c r="D692" s="8" t="s">
        <v>19</v>
      </c>
      <c r="E692" s="8" t="s">
        <v>3131</v>
      </c>
      <c r="F692" s="8" t="s">
        <v>1479</v>
      </c>
      <c r="G692" s="8" t="s">
        <v>2660</v>
      </c>
      <c r="H692" s="8">
        <v>0.0</v>
      </c>
      <c r="I692" s="8" t="s">
        <v>66</v>
      </c>
      <c r="J692" s="8" t="s">
        <v>22</v>
      </c>
      <c r="K692" s="8" t="s">
        <v>225</v>
      </c>
      <c r="L692" s="8" t="s">
        <v>24</v>
      </c>
      <c r="M692" s="9">
        <v>0.5</v>
      </c>
      <c r="N692" s="9">
        <v>0.25</v>
      </c>
      <c r="O692" s="9">
        <f>0.889*0.25</f>
        <v>0.22225</v>
      </c>
      <c r="P692" s="10">
        <v>45164.0</v>
      </c>
      <c r="Q692" s="11">
        <v>1.775</v>
      </c>
      <c r="R692" s="8" t="s">
        <v>33</v>
      </c>
      <c r="S692" s="12">
        <f t="shared" si="1"/>
        <v>0.17224375</v>
      </c>
      <c r="T692" s="12">
        <f t="shared" si="8"/>
        <v>6.819136518</v>
      </c>
      <c r="U692" s="145"/>
    </row>
    <row r="693">
      <c r="A693" s="58"/>
      <c r="B693" s="58"/>
      <c r="C693" s="58"/>
      <c r="D693" s="15" t="s">
        <v>19</v>
      </c>
      <c r="E693" s="15" t="s">
        <v>3132</v>
      </c>
      <c r="F693" s="15" t="s">
        <v>1479</v>
      </c>
      <c r="G693" s="15" t="s">
        <v>2660</v>
      </c>
      <c r="H693" s="15">
        <v>0.0</v>
      </c>
      <c r="I693" s="15" t="s">
        <v>28</v>
      </c>
      <c r="J693" s="15" t="s">
        <v>22</v>
      </c>
      <c r="K693" s="15" t="s">
        <v>892</v>
      </c>
      <c r="L693" s="15" t="s">
        <v>24</v>
      </c>
      <c r="M693" s="16">
        <v>0.0</v>
      </c>
      <c r="N693" s="16">
        <v>0.5</v>
      </c>
      <c r="O693" s="16">
        <v>0.5</v>
      </c>
      <c r="P693" s="17">
        <v>45164.0</v>
      </c>
      <c r="Q693" s="18">
        <v>1.688</v>
      </c>
      <c r="R693" s="15" t="s">
        <v>33</v>
      </c>
      <c r="S693" s="19">
        <f t="shared" si="1"/>
        <v>0.344</v>
      </c>
      <c r="T693" s="19">
        <f t="shared" si="8"/>
        <v>7.163136518</v>
      </c>
      <c r="U693" s="144"/>
    </row>
    <row r="694">
      <c r="A694" s="59"/>
      <c r="B694" s="59"/>
      <c r="C694" s="59"/>
      <c r="D694" s="8" t="s">
        <v>19</v>
      </c>
      <c r="E694" s="8" t="s">
        <v>3133</v>
      </c>
      <c r="F694" s="8" t="s">
        <v>1479</v>
      </c>
      <c r="G694" s="8" t="s">
        <v>2556</v>
      </c>
      <c r="H694" s="8">
        <v>-1.0</v>
      </c>
      <c r="I694" s="8" t="s">
        <v>82</v>
      </c>
      <c r="J694" s="8" t="s">
        <v>22</v>
      </c>
      <c r="K694" s="8" t="s">
        <v>225</v>
      </c>
      <c r="L694" s="8" t="s">
        <v>1522</v>
      </c>
      <c r="M694" s="9">
        <v>0.25</v>
      </c>
      <c r="N694" s="9">
        <v>0.75</v>
      </c>
      <c r="O694" s="9">
        <v>0.75</v>
      </c>
      <c r="P694" s="10">
        <v>45164.0</v>
      </c>
      <c r="Q694" s="11">
        <v>1.75</v>
      </c>
      <c r="R694" s="8" t="s">
        <v>33</v>
      </c>
      <c r="S694" s="12">
        <f t="shared" si="1"/>
        <v>0.5625</v>
      </c>
      <c r="T694" s="12">
        <f t="shared" si="8"/>
        <v>7.725636518</v>
      </c>
      <c r="U694" s="145"/>
    </row>
    <row r="695">
      <c r="A695" s="58"/>
      <c r="B695" s="58"/>
      <c r="C695" s="58"/>
      <c r="D695" s="15" t="s">
        <v>19</v>
      </c>
      <c r="E695" s="15" t="s">
        <v>3134</v>
      </c>
      <c r="F695" s="15" t="s">
        <v>1473</v>
      </c>
      <c r="G695" s="15" t="s">
        <v>2556</v>
      </c>
      <c r="H695" s="15">
        <v>-1.0</v>
      </c>
      <c r="I695" s="15" t="s">
        <v>624</v>
      </c>
      <c r="J695" s="15" t="s">
        <v>22</v>
      </c>
      <c r="K695" s="15" t="s">
        <v>225</v>
      </c>
      <c r="L695" s="15" t="s">
        <v>24</v>
      </c>
      <c r="M695" s="16">
        <v>0.5</v>
      </c>
      <c r="N695" s="16">
        <v>0.75</v>
      </c>
      <c r="O695" s="16">
        <v>0.75</v>
      </c>
      <c r="P695" s="17">
        <v>45164.0</v>
      </c>
      <c r="Q695" s="18">
        <v>1.05</v>
      </c>
      <c r="R695" s="15" t="s">
        <v>33</v>
      </c>
      <c r="S695" s="19">
        <f t="shared" si="1"/>
        <v>0.0375</v>
      </c>
      <c r="T695" s="19">
        <f t="shared" si="8"/>
        <v>7.763136518</v>
      </c>
      <c r="U695" s="144"/>
    </row>
    <row r="696">
      <c r="A696" s="59"/>
      <c r="B696" s="59"/>
      <c r="C696" s="59"/>
      <c r="D696" s="8" t="s">
        <v>19</v>
      </c>
      <c r="E696" s="8" t="s">
        <v>3135</v>
      </c>
      <c r="F696" s="8" t="s">
        <v>1473</v>
      </c>
      <c r="G696" s="8" t="s">
        <v>2660</v>
      </c>
      <c r="H696" s="8">
        <v>0.0</v>
      </c>
      <c r="I696" s="8" t="s">
        <v>806</v>
      </c>
      <c r="J696" s="8" t="s">
        <v>22</v>
      </c>
      <c r="K696" s="8" t="s">
        <v>892</v>
      </c>
      <c r="L696" s="8" t="s">
        <v>24</v>
      </c>
      <c r="M696" s="9">
        <v>0.0</v>
      </c>
      <c r="N696" s="9">
        <v>0.25</v>
      </c>
      <c r="O696" s="9">
        <v>0.25</v>
      </c>
      <c r="P696" s="10">
        <v>45165.0</v>
      </c>
      <c r="Q696" s="11">
        <v>1.975</v>
      </c>
      <c r="R696" s="8" t="s">
        <v>25</v>
      </c>
      <c r="S696" s="12">
        <f t="shared" si="1"/>
        <v>-0.25</v>
      </c>
      <c r="T696" s="12">
        <f t="shared" si="8"/>
        <v>7.513136518</v>
      </c>
      <c r="U696" s="145"/>
    </row>
    <row r="697">
      <c r="A697" s="58"/>
      <c r="B697" s="58"/>
      <c r="C697" s="58"/>
      <c r="D697" s="15" t="s">
        <v>19</v>
      </c>
      <c r="E697" s="15" t="s">
        <v>3136</v>
      </c>
      <c r="F697" s="15" t="s">
        <v>1479</v>
      </c>
      <c r="G697" s="15" t="s">
        <v>2660</v>
      </c>
      <c r="H697" s="15">
        <v>-2.0</v>
      </c>
      <c r="I697" s="15" t="s">
        <v>1025</v>
      </c>
      <c r="J697" s="15" t="s">
        <v>22</v>
      </c>
      <c r="K697" s="15" t="s">
        <v>892</v>
      </c>
      <c r="L697" s="15" t="s">
        <v>2688</v>
      </c>
      <c r="M697" s="16">
        <v>0.0</v>
      </c>
      <c r="N697" s="16">
        <v>0.5</v>
      </c>
      <c r="O697" s="16">
        <v>0.5</v>
      </c>
      <c r="P697" s="17">
        <v>45165.0</v>
      </c>
      <c r="Q697" s="18">
        <v>1.85</v>
      </c>
      <c r="R697" s="15" t="s">
        <v>70</v>
      </c>
      <c r="S697" s="19">
        <f t="shared" si="1"/>
        <v>0</v>
      </c>
      <c r="T697" s="19">
        <f t="shared" si="8"/>
        <v>7.513136518</v>
      </c>
      <c r="U697" s="144"/>
    </row>
    <row r="698">
      <c r="A698" s="59"/>
      <c r="B698" s="59"/>
      <c r="C698" s="59"/>
      <c r="D698" s="8" t="s">
        <v>19</v>
      </c>
      <c r="E698" s="8" t="s">
        <v>3137</v>
      </c>
      <c r="F698" s="8" t="s">
        <v>1473</v>
      </c>
      <c r="G698" s="8" t="s">
        <v>2556</v>
      </c>
      <c r="H698" s="8">
        <v>0.0</v>
      </c>
      <c r="I698" s="8" t="s">
        <v>44</v>
      </c>
      <c r="J698" s="8" t="s">
        <v>22</v>
      </c>
      <c r="K698" s="8" t="s">
        <v>225</v>
      </c>
      <c r="L698" s="8" t="s">
        <v>24</v>
      </c>
      <c r="M698" s="9">
        <v>0.5</v>
      </c>
      <c r="N698" s="9">
        <v>0.75</v>
      </c>
      <c r="O698" s="9">
        <v>0.75</v>
      </c>
      <c r="P698" s="10">
        <v>45165.0</v>
      </c>
      <c r="Q698" s="11">
        <v>1.9268</v>
      </c>
      <c r="R698" s="8" t="s">
        <v>33</v>
      </c>
      <c r="S698" s="12">
        <f t="shared" si="1"/>
        <v>0.6951</v>
      </c>
      <c r="T698" s="12">
        <f t="shared" si="8"/>
        <v>8.208236518</v>
      </c>
      <c r="U698" s="145"/>
    </row>
    <row r="699">
      <c r="A699" s="58"/>
      <c r="B699" s="58"/>
      <c r="C699" s="58"/>
      <c r="D699" s="15" t="s">
        <v>19</v>
      </c>
      <c r="E699" s="15" t="s">
        <v>3138</v>
      </c>
      <c r="F699" s="15" t="s">
        <v>1473</v>
      </c>
      <c r="G699" s="15" t="s">
        <v>2556</v>
      </c>
      <c r="H699" s="15">
        <v>0.0</v>
      </c>
      <c r="I699" s="15" t="s">
        <v>44</v>
      </c>
      <c r="J699" s="15" t="s">
        <v>22</v>
      </c>
      <c r="K699" s="15" t="s">
        <v>941</v>
      </c>
      <c r="L699" s="15" t="s">
        <v>24</v>
      </c>
      <c r="M699" s="16">
        <v>0.0</v>
      </c>
      <c r="N699" s="16">
        <v>0.25</v>
      </c>
      <c r="O699" s="16">
        <v>0.25</v>
      </c>
      <c r="P699" s="17">
        <v>45165.0</v>
      </c>
      <c r="Q699" s="18">
        <v>2.684</v>
      </c>
      <c r="R699" s="15" t="s">
        <v>33</v>
      </c>
      <c r="S699" s="19">
        <f t="shared" si="1"/>
        <v>0.421</v>
      </c>
      <c r="T699" s="19">
        <f t="shared" si="8"/>
        <v>8.629236518</v>
      </c>
      <c r="U699" s="144"/>
    </row>
    <row r="700">
      <c r="A700" s="59"/>
      <c r="B700" s="59"/>
      <c r="C700" s="59"/>
      <c r="D700" s="8" t="s">
        <v>19</v>
      </c>
      <c r="E700" s="8" t="s">
        <v>3139</v>
      </c>
      <c r="F700" s="8" t="s">
        <v>1479</v>
      </c>
      <c r="G700" s="8" t="s">
        <v>2556</v>
      </c>
      <c r="H700" s="8">
        <v>0.0</v>
      </c>
      <c r="I700" s="8" t="s">
        <v>82</v>
      </c>
      <c r="J700" s="8" t="s">
        <v>22</v>
      </c>
      <c r="K700" s="8" t="s">
        <v>225</v>
      </c>
      <c r="L700" s="8" t="s">
        <v>24</v>
      </c>
      <c r="M700" s="9">
        <v>0.5</v>
      </c>
      <c r="N700" s="9">
        <v>0.5</v>
      </c>
      <c r="O700" s="9">
        <v>0.5</v>
      </c>
      <c r="P700" s="10">
        <v>45165.0</v>
      </c>
      <c r="Q700" s="11">
        <v>1.53</v>
      </c>
      <c r="R700" s="8" t="s">
        <v>33</v>
      </c>
      <c r="S700" s="12">
        <f t="shared" si="1"/>
        <v>0.265</v>
      </c>
      <c r="T700" s="12">
        <f t="shared" si="8"/>
        <v>8.894236518</v>
      </c>
      <c r="U700" s="145"/>
    </row>
    <row r="701">
      <c r="A701" s="58"/>
      <c r="B701" s="58"/>
      <c r="C701" s="58"/>
      <c r="D701" s="15" t="s">
        <v>19</v>
      </c>
      <c r="E701" s="15" t="s">
        <v>3140</v>
      </c>
      <c r="F701" s="15" t="s">
        <v>1473</v>
      </c>
      <c r="G701" s="15" t="s">
        <v>2573</v>
      </c>
      <c r="H701" s="15">
        <v>0.0</v>
      </c>
      <c r="I701" s="15" t="s">
        <v>38</v>
      </c>
      <c r="J701" s="15" t="s">
        <v>22</v>
      </c>
      <c r="K701" s="15" t="s">
        <v>894</v>
      </c>
      <c r="L701" s="15" t="s">
        <v>39</v>
      </c>
      <c r="M701" s="16">
        <v>-1.0</v>
      </c>
      <c r="N701" s="16">
        <v>0.2</v>
      </c>
      <c r="O701" s="16">
        <v>0.2</v>
      </c>
      <c r="P701" s="17">
        <v>45165.0</v>
      </c>
      <c r="Q701" s="18">
        <v>1.85</v>
      </c>
      <c r="R701" s="15" t="s">
        <v>70</v>
      </c>
      <c r="S701" s="19">
        <f t="shared" si="1"/>
        <v>0</v>
      </c>
      <c r="T701" s="19">
        <f t="shared" si="8"/>
        <v>8.894236518</v>
      </c>
      <c r="U701" s="144"/>
    </row>
    <row r="702">
      <c r="A702" s="59"/>
      <c r="B702" s="59"/>
      <c r="C702" s="59"/>
      <c r="D702" s="8" t="s">
        <v>19</v>
      </c>
      <c r="E702" s="8" t="s">
        <v>3141</v>
      </c>
      <c r="F702" s="8" t="s">
        <v>1479</v>
      </c>
      <c r="G702" s="8" t="s">
        <v>2556</v>
      </c>
      <c r="H702" s="8">
        <v>0.0</v>
      </c>
      <c r="I702" s="8" t="s">
        <v>121</v>
      </c>
      <c r="J702" s="8" t="s">
        <v>22</v>
      </c>
      <c r="K702" s="8" t="s">
        <v>225</v>
      </c>
      <c r="L702" s="8" t="s">
        <v>1522</v>
      </c>
      <c r="M702" s="9">
        <v>0.5</v>
      </c>
      <c r="N702" s="9">
        <v>1.0</v>
      </c>
      <c r="O702" s="9">
        <v>1.0</v>
      </c>
      <c r="P702" s="10">
        <v>45165.0</v>
      </c>
      <c r="Q702" s="11">
        <v>1.3042</v>
      </c>
      <c r="R702" s="8" t="s">
        <v>33</v>
      </c>
      <c r="S702" s="12">
        <f t="shared" si="1"/>
        <v>0.3042</v>
      </c>
      <c r="T702" s="12">
        <f t="shared" si="8"/>
        <v>9.198436518</v>
      </c>
      <c r="U702" s="145"/>
    </row>
    <row r="703">
      <c r="A703" s="58"/>
      <c r="B703" s="58"/>
      <c r="C703" s="58"/>
      <c r="D703" s="15" t="s">
        <v>19</v>
      </c>
      <c r="E703" s="15" t="s">
        <v>3142</v>
      </c>
      <c r="F703" s="15" t="s">
        <v>1479</v>
      </c>
      <c r="G703" s="15" t="s">
        <v>2660</v>
      </c>
      <c r="H703" s="15">
        <v>0.0</v>
      </c>
      <c r="I703" s="15" t="s">
        <v>124</v>
      </c>
      <c r="J703" s="15" t="s">
        <v>22</v>
      </c>
      <c r="K703" s="15" t="s">
        <v>892</v>
      </c>
      <c r="L703" s="15" t="s">
        <v>24</v>
      </c>
      <c r="M703" s="16">
        <v>0.0</v>
      </c>
      <c r="N703" s="16">
        <v>0.5</v>
      </c>
      <c r="O703" s="16">
        <v>0.5</v>
      </c>
      <c r="P703" s="17">
        <v>45167.0</v>
      </c>
      <c r="Q703" s="18">
        <v>1.4</v>
      </c>
      <c r="R703" s="15" t="s">
        <v>33</v>
      </c>
      <c r="S703" s="19">
        <f t="shared" si="1"/>
        <v>0.2</v>
      </c>
      <c r="T703" s="19">
        <f t="shared" si="8"/>
        <v>9.398436518</v>
      </c>
      <c r="U703" s="144"/>
    </row>
    <row r="704">
      <c r="A704" s="59"/>
      <c r="B704" s="59"/>
      <c r="C704" s="59"/>
      <c r="D704" s="8" t="s">
        <v>19</v>
      </c>
      <c r="E704" s="8" t="s">
        <v>3143</v>
      </c>
      <c r="F704" s="8" t="s">
        <v>1473</v>
      </c>
      <c r="G704" s="8" t="s">
        <v>2660</v>
      </c>
      <c r="H704" s="8">
        <v>0.0</v>
      </c>
      <c r="I704" s="8" t="s">
        <v>372</v>
      </c>
      <c r="J704" s="8" t="s">
        <v>22</v>
      </c>
      <c r="K704" s="8" t="s">
        <v>1150</v>
      </c>
      <c r="L704" s="8" t="s">
        <v>1851</v>
      </c>
      <c r="M704" s="9">
        <v>0.0</v>
      </c>
      <c r="N704" s="9">
        <v>0.5</v>
      </c>
      <c r="O704" s="9">
        <v>0.5</v>
      </c>
      <c r="P704" s="10">
        <v>45168.0</v>
      </c>
      <c r="Q704" s="11">
        <v>1.75</v>
      </c>
      <c r="R704" s="8" t="s">
        <v>33</v>
      </c>
      <c r="S704" s="12">
        <f t="shared" si="1"/>
        <v>0.375</v>
      </c>
      <c r="T704" s="12">
        <f t="shared" si="8"/>
        <v>9.773436518</v>
      </c>
      <c r="U704" s="145"/>
    </row>
    <row r="705">
      <c r="A705" s="58"/>
      <c r="B705" s="58"/>
      <c r="C705" s="58"/>
      <c r="D705" s="15" t="s">
        <v>19</v>
      </c>
      <c r="E705" s="15" t="s">
        <v>3144</v>
      </c>
      <c r="F705" s="15" t="s">
        <v>1479</v>
      </c>
      <c r="G705" s="15" t="s">
        <v>2556</v>
      </c>
      <c r="H705" s="15">
        <v>-2.0</v>
      </c>
      <c r="I705" s="15" t="s">
        <v>245</v>
      </c>
      <c r="J705" s="15" t="s">
        <v>22</v>
      </c>
      <c r="K705" s="15" t="s">
        <v>225</v>
      </c>
      <c r="L705" s="15" t="s">
        <v>24</v>
      </c>
      <c r="M705" s="16">
        <v>0.75</v>
      </c>
      <c r="N705" s="16">
        <v>0.75</v>
      </c>
      <c r="O705" s="16">
        <v>0.75</v>
      </c>
      <c r="P705" s="17">
        <v>45168.0</v>
      </c>
      <c r="Q705" s="18">
        <v>1.775</v>
      </c>
      <c r="R705" s="15" t="s">
        <v>33</v>
      </c>
      <c r="S705" s="19">
        <f t="shared" si="1"/>
        <v>0.58125</v>
      </c>
      <c r="T705" s="19">
        <f t="shared" si="8"/>
        <v>10.35468652</v>
      </c>
      <c r="U705" s="144"/>
    </row>
    <row r="706">
      <c r="A706" s="59"/>
      <c r="B706" s="59"/>
      <c r="C706" s="59"/>
      <c r="D706" s="8" t="s">
        <v>19</v>
      </c>
      <c r="E706" s="8" t="s">
        <v>3145</v>
      </c>
      <c r="F706" s="8" t="s">
        <v>1473</v>
      </c>
      <c r="G706" s="8" t="s">
        <v>2556</v>
      </c>
      <c r="H706" s="8">
        <v>-2.0</v>
      </c>
      <c r="I706" s="8" t="s">
        <v>703</v>
      </c>
      <c r="J706" s="8" t="s">
        <v>22</v>
      </c>
      <c r="K706" s="8" t="s">
        <v>225</v>
      </c>
      <c r="L706" s="8" t="s">
        <v>24</v>
      </c>
      <c r="M706" s="9">
        <v>0.75</v>
      </c>
      <c r="N706" s="9">
        <v>0.75</v>
      </c>
      <c r="O706" s="9">
        <v>0.75</v>
      </c>
      <c r="P706" s="10">
        <v>45168.0</v>
      </c>
      <c r="Q706" s="11">
        <v>1.03624</v>
      </c>
      <c r="R706" s="8" t="s">
        <v>33</v>
      </c>
      <c r="S706" s="12">
        <f t="shared" si="1"/>
        <v>0.02718</v>
      </c>
      <c r="T706" s="12">
        <f t="shared" si="8"/>
        <v>10.38186652</v>
      </c>
      <c r="U706" s="145"/>
    </row>
    <row r="707">
      <c r="A707" s="58"/>
      <c r="B707" s="58"/>
      <c r="C707" s="58"/>
      <c r="D707" s="15" t="s">
        <v>19</v>
      </c>
      <c r="E707" s="15" t="s">
        <v>3146</v>
      </c>
      <c r="F707" s="15" t="s">
        <v>1473</v>
      </c>
      <c r="G707" s="15" t="s">
        <v>2556</v>
      </c>
      <c r="H707" s="15">
        <v>0.0</v>
      </c>
      <c r="I707" s="15" t="s">
        <v>341</v>
      </c>
      <c r="J707" s="15" t="s">
        <v>22</v>
      </c>
      <c r="K707" s="15" t="s">
        <v>225</v>
      </c>
      <c r="L707" s="15" t="s">
        <v>39</v>
      </c>
      <c r="M707" s="16">
        <v>0.25</v>
      </c>
      <c r="N707" s="16">
        <v>0.25</v>
      </c>
      <c r="O707" s="16">
        <v>0.25</v>
      </c>
      <c r="P707" s="17">
        <v>45168.0</v>
      </c>
      <c r="Q707" s="18">
        <v>1.9</v>
      </c>
      <c r="R707" s="15" t="s">
        <v>25</v>
      </c>
      <c r="S707" s="19">
        <f t="shared" si="1"/>
        <v>-0.25</v>
      </c>
      <c r="T707" s="19">
        <f t="shared" si="8"/>
        <v>10.13186652</v>
      </c>
      <c r="U707" s="144"/>
    </row>
    <row r="708">
      <c r="A708" s="59"/>
      <c r="B708" s="59"/>
      <c r="C708" s="59"/>
      <c r="D708" s="8" t="s">
        <v>19</v>
      </c>
      <c r="E708" s="8" t="s">
        <v>3147</v>
      </c>
      <c r="F708" s="8" t="s">
        <v>1479</v>
      </c>
      <c r="G708" s="8" t="s">
        <v>2660</v>
      </c>
      <c r="H708" s="8">
        <v>-1.0</v>
      </c>
      <c r="I708" s="8" t="s">
        <v>28</v>
      </c>
      <c r="J708" s="8" t="s">
        <v>22</v>
      </c>
      <c r="K708" s="8" t="s">
        <v>892</v>
      </c>
      <c r="L708" s="8" t="s">
        <v>24</v>
      </c>
      <c r="M708" s="9">
        <v>0.0</v>
      </c>
      <c r="N708" s="9">
        <v>0.5</v>
      </c>
      <c r="O708" s="9">
        <v>0.5</v>
      </c>
      <c r="P708" s="10">
        <v>45168.0</v>
      </c>
      <c r="Q708" s="11">
        <v>1.686</v>
      </c>
      <c r="R708" s="8" t="s">
        <v>33</v>
      </c>
      <c r="S708" s="12">
        <f t="shared" si="1"/>
        <v>0.343</v>
      </c>
      <c r="T708" s="12">
        <f t="shared" si="8"/>
        <v>10.47486652</v>
      </c>
      <c r="U708" s="145"/>
    </row>
    <row r="709">
      <c r="A709" s="58"/>
      <c r="B709" s="58"/>
      <c r="C709" s="58"/>
      <c r="D709" s="15" t="s">
        <v>19</v>
      </c>
      <c r="E709" s="15" t="s">
        <v>3148</v>
      </c>
      <c r="F709" s="15" t="s">
        <v>1479</v>
      </c>
      <c r="G709" s="15" t="s">
        <v>2556</v>
      </c>
      <c r="H709" s="15">
        <v>-1.0</v>
      </c>
      <c r="I709" s="15" t="s">
        <v>319</v>
      </c>
      <c r="J709" s="15" t="s">
        <v>22</v>
      </c>
      <c r="K709" s="15" t="s">
        <v>225</v>
      </c>
      <c r="L709" s="15" t="s">
        <v>24</v>
      </c>
      <c r="M709" s="16">
        <v>0.5</v>
      </c>
      <c r="N709" s="16">
        <v>0.5</v>
      </c>
      <c r="O709" s="16">
        <v>0.5</v>
      </c>
      <c r="P709" s="17">
        <v>45168.0</v>
      </c>
      <c r="Q709" s="18">
        <v>1.219</v>
      </c>
      <c r="R709" s="15" t="s">
        <v>33</v>
      </c>
      <c r="S709" s="19">
        <f t="shared" si="1"/>
        <v>0.1095</v>
      </c>
      <c r="T709" s="19">
        <f t="shared" si="8"/>
        <v>10.58436652</v>
      </c>
      <c r="U709" s="144"/>
    </row>
    <row r="710">
      <c r="A710" s="59"/>
      <c r="B710" s="59"/>
      <c r="C710" s="59"/>
      <c r="D710" s="8" t="s">
        <v>19</v>
      </c>
      <c r="E710" s="8" t="s">
        <v>3149</v>
      </c>
      <c r="F710" s="8" t="s">
        <v>1479</v>
      </c>
      <c r="G710" s="8" t="s">
        <v>2556</v>
      </c>
      <c r="H710" s="8">
        <v>0.0</v>
      </c>
      <c r="I710" s="8" t="s">
        <v>157</v>
      </c>
      <c r="J710" s="8" t="s">
        <v>22</v>
      </c>
      <c r="K710" s="8" t="s">
        <v>225</v>
      </c>
      <c r="L710" s="8" t="s">
        <v>1851</v>
      </c>
      <c r="M710" s="9">
        <v>0.25</v>
      </c>
      <c r="N710" s="9">
        <v>0.25</v>
      </c>
      <c r="O710" s="9">
        <v>0.25</v>
      </c>
      <c r="P710" s="10">
        <v>45169.0</v>
      </c>
      <c r="Q710" s="11">
        <v>1.8</v>
      </c>
      <c r="R710" s="8" t="s">
        <v>30</v>
      </c>
      <c r="S710" s="12">
        <f t="shared" si="1"/>
        <v>0.1</v>
      </c>
      <c r="T710" s="12">
        <f t="shared" si="8"/>
        <v>10.68436652</v>
      </c>
      <c r="U710" s="145"/>
    </row>
    <row r="711">
      <c r="A711" s="58"/>
      <c r="B711" s="58"/>
      <c r="C711" s="58"/>
      <c r="D711" s="15" t="s">
        <v>19</v>
      </c>
      <c r="E711" s="15" t="s">
        <v>3150</v>
      </c>
      <c r="F711" s="15" t="s">
        <v>1473</v>
      </c>
      <c r="G711" s="15" t="s">
        <v>2660</v>
      </c>
      <c r="H711" s="15">
        <v>4</v>
      </c>
      <c r="I711" s="15" t="s">
        <v>513</v>
      </c>
      <c r="J711" s="15" t="s">
        <v>22</v>
      </c>
      <c r="K711" s="15" t="s">
        <v>1150</v>
      </c>
      <c r="L711" s="15" t="s">
        <v>24</v>
      </c>
      <c r="M711" s="16">
        <v>0.0</v>
      </c>
      <c r="N711" s="16">
        <v>0.5</v>
      </c>
      <c r="O711" s="16">
        <v>0.5</v>
      </c>
      <c r="P711" s="17">
        <v>45169.0</v>
      </c>
      <c r="Q711" s="18">
        <v>1.307</v>
      </c>
      <c r="R711" s="15" t="s">
        <v>33</v>
      </c>
      <c r="S711" s="19">
        <f t="shared" si="1"/>
        <v>0.1535</v>
      </c>
      <c r="T711" s="19">
        <f t="shared" si="8"/>
        <v>10.83786652</v>
      </c>
      <c r="U711" s="144"/>
    </row>
    <row r="712">
      <c r="A712" s="59"/>
      <c r="B712" s="59"/>
      <c r="C712" s="59"/>
      <c r="D712" s="8" t="s">
        <v>19</v>
      </c>
      <c r="E712" s="8" t="s">
        <v>3151</v>
      </c>
      <c r="F712" s="8" t="s">
        <v>1473</v>
      </c>
      <c r="G712" s="8" t="s">
        <v>2556</v>
      </c>
      <c r="H712" s="8">
        <v>0.0</v>
      </c>
      <c r="I712" s="8" t="s">
        <v>463</v>
      </c>
      <c r="J712" s="8" t="s">
        <v>22</v>
      </c>
      <c r="K712" s="8" t="s">
        <v>225</v>
      </c>
      <c r="L712" s="8" t="s">
        <v>24</v>
      </c>
      <c r="M712" s="9">
        <v>1.0</v>
      </c>
      <c r="N712" s="9">
        <v>0.25</v>
      </c>
      <c r="O712" s="9">
        <v>0.25</v>
      </c>
      <c r="P712" s="10">
        <v>45169.0</v>
      </c>
      <c r="Q712" s="11">
        <v>1.486</v>
      </c>
      <c r="R712" s="8" t="s">
        <v>33</v>
      </c>
      <c r="S712" s="12">
        <f t="shared" si="1"/>
        <v>0.1215</v>
      </c>
      <c r="T712" s="12">
        <f t="shared" si="8"/>
        <v>10.95936652</v>
      </c>
      <c r="U712" s="145"/>
    </row>
    <row r="713">
      <c r="A713" s="58"/>
      <c r="B713" s="58"/>
      <c r="C713" s="58"/>
      <c r="D713" s="15" t="s">
        <v>19</v>
      </c>
      <c r="E713" s="15" t="s">
        <v>3152</v>
      </c>
      <c r="F713" s="15" t="s">
        <v>1479</v>
      </c>
      <c r="G713" s="15" t="s">
        <v>2556</v>
      </c>
      <c r="H713" s="15">
        <f>1</f>
        <v>1</v>
      </c>
      <c r="I713" s="15" t="s">
        <v>167</v>
      </c>
      <c r="J713" s="15" t="s">
        <v>22</v>
      </c>
      <c r="K713" s="15" t="s">
        <v>225</v>
      </c>
      <c r="L713" s="15" t="s">
        <v>24</v>
      </c>
      <c r="M713" s="16">
        <v>0.75</v>
      </c>
      <c r="N713" s="16">
        <v>0.5</v>
      </c>
      <c r="O713" s="16">
        <v>0.5</v>
      </c>
      <c r="P713" s="17">
        <v>45170.0</v>
      </c>
      <c r="Q713" s="18">
        <v>1.75</v>
      </c>
      <c r="R713" s="15" t="s">
        <v>79</v>
      </c>
      <c r="S713" s="19">
        <f t="shared" si="1"/>
        <v>-0.25</v>
      </c>
      <c r="T713" s="19">
        <f t="shared" si="8"/>
        <v>10.70936652</v>
      </c>
      <c r="U713" s="144"/>
    </row>
    <row r="714">
      <c r="A714" s="59"/>
      <c r="B714" s="59"/>
      <c r="C714" s="59"/>
      <c r="D714" s="8" t="s">
        <v>19</v>
      </c>
      <c r="E714" s="8" t="s">
        <v>3153</v>
      </c>
      <c r="F714" s="8"/>
      <c r="G714" s="8"/>
      <c r="H714" s="8" t="s">
        <v>3154</v>
      </c>
      <c r="I714" s="8" t="s">
        <v>167</v>
      </c>
      <c r="J714" s="8" t="s">
        <v>22</v>
      </c>
      <c r="K714" s="8" t="s">
        <v>29</v>
      </c>
      <c r="L714" s="8" t="s">
        <v>24</v>
      </c>
      <c r="M714" s="9">
        <v>-2.25</v>
      </c>
      <c r="N714" s="9">
        <v>0.5</v>
      </c>
      <c r="O714" s="9">
        <v>0.5</v>
      </c>
      <c r="P714" s="10">
        <v>45170.0</v>
      </c>
      <c r="Q714" s="11">
        <v>1.8</v>
      </c>
      <c r="R714" s="8" t="s">
        <v>30</v>
      </c>
      <c r="S714" s="12">
        <f t="shared" si="1"/>
        <v>0.2</v>
      </c>
      <c r="T714" s="12">
        <f t="shared" si="8"/>
        <v>10.90936652</v>
      </c>
      <c r="U714" s="145"/>
    </row>
    <row r="715">
      <c r="A715" s="58"/>
      <c r="B715" s="58"/>
      <c r="C715" s="58"/>
      <c r="D715" s="15" t="s">
        <v>19</v>
      </c>
      <c r="E715" s="15" t="s">
        <v>3155</v>
      </c>
      <c r="F715" s="15" t="s">
        <v>1479</v>
      </c>
      <c r="G715" s="15" t="s">
        <v>2556</v>
      </c>
      <c r="H715" s="15">
        <v>0.0</v>
      </c>
      <c r="I715" s="15" t="s">
        <v>44</v>
      </c>
      <c r="J715" s="15" t="s">
        <v>22</v>
      </c>
      <c r="K715" s="15" t="s">
        <v>225</v>
      </c>
      <c r="L715" s="15" t="s">
        <v>1522</v>
      </c>
      <c r="M715" s="16">
        <v>0.5</v>
      </c>
      <c r="N715" s="16">
        <v>1.0</v>
      </c>
      <c r="O715" s="16">
        <v>1.0</v>
      </c>
      <c r="P715" s="17">
        <v>45170.0</v>
      </c>
      <c r="Q715" s="18">
        <v>1.8</v>
      </c>
      <c r="R715" s="15" t="s">
        <v>33</v>
      </c>
      <c r="S715" s="19">
        <f t="shared" si="1"/>
        <v>0.8</v>
      </c>
      <c r="T715" s="19">
        <f t="shared" si="8"/>
        <v>11.70936652</v>
      </c>
      <c r="U715" s="144"/>
    </row>
    <row r="716">
      <c r="A716" s="59"/>
      <c r="B716" s="59"/>
      <c r="C716" s="59"/>
      <c r="D716" s="8" t="s">
        <v>19</v>
      </c>
      <c r="E716" s="8" t="s">
        <v>3156</v>
      </c>
      <c r="F716" s="8" t="s">
        <v>1479</v>
      </c>
      <c r="G716" s="8" t="s">
        <v>2660</v>
      </c>
      <c r="H716" s="8">
        <v>-2.0</v>
      </c>
      <c r="I716" s="8" t="s">
        <v>316</v>
      </c>
      <c r="J716" s="8" t="s">
        <v>22</v>
      </c>
      <c r="K716" s="8" t="s">
        <v>892</v>
      </c>
      <c r="L716" s="8" t="s">
        <v>24</v>
      </c>
      <c r="M716" s="9">
        <v>0.0</v>
      </c>
      <c r="N716" s="9">
        <v>0.5</v>
      </c>
      <c r="O716" s="9">
        <v>0.5</v>
      </c>
      <c r="P716" s="10">
        <v>45170.0</v>
      </c>
      <c r="Q716" s="11">
        <v>1.683</v>
      </c>
      <c r="R716" s="8" t="s">
        <v>33</v>
      </c>
      <c r="S716" s="12">
        <f t="shared" si="1"/>
        <v>0.3415</v>
      </c>
      <c r="T716" s="12">
        <f t="shared" si="8"/>
        <v>12.05086652</v>
      </c>
      <c r="U716" s="145"/>
    </row>
    <row r="717">
      <c r="A717" s="58"/>
      <c r="B717" s="58"/>
      <c r="C717" s="58"/>
      <c r="D717" s="15" t="s">
        <v>19</v>
      </c>
      <c r="E717" s="15" t="s">
        <v>3157</v>
      </c>
      <c r="F717" s="15" t="s">
        <v>1479</v>
      </c>
      <c r="G717" s="15" t="s">
        <v>2660</v>
      </c>
      <c r="H717" s="15">
        <v>0.0</v>
      </c>
      <c r="I717" s="15" t="s">
        <v>50</v>
      </c>
      <c r="J717" s="15" t="s">
        <v>22</v>
      </c>
      <c r="K717" s="15" t="s">
        <v>892</v>
      </c>
      <c r="L717" s="15" t="s">
        <v>1522</v>
      </c>
      <c r="M717" s="16">
        <v>0.0</v>
      </c>
      <c r="N717" s="16">
        <v>0.75</v>
      </c>
      <c r="O717" s="16">
        <v>0.75</v>
      </c>
      <c r="P717" s="17">
        <v>45170.0</v>
      </c>
      <c r="Q717" s="18">
        <v>1.557</v>
      </c>
      <c r="R717" s="15" t="s">
        <v>33</v>
      </c>
      <c r="S717" s="19">
        <f t="shared" si="1"/>
        <v>0.41775</v>
      </c>
      <c r="T717" s="19">
        <f t="shared" si="8"/>
        <v>12.46861652</v>
      </c>
      <c r="U717" s="144"/>
    </row>
    <row r="718">
      <c r="A718" s="59"/>
      <c r="B718" s="59"/>
      <c r="C718" s="59"/>
      <c r="D718" s="8" t="s">
        <v>19</v>
      </c>
      <c r="E718" s="8" t="s">
        <v>3158</v>
      </c>
      <c r="F718" s="8" t="s">
        <v>1479</v>
      </c>
      <c r="G718" s="8" t="s">
        <v>2556</v>
      </c>
      <c r="H718" s="8">
        <v>0.0</v>
      </c>
      <c r="I718" s="8" t="s">
        <v>463</v>
      </c>
      <c r="J718" s="8" t="s">
        <v>22</v>
      </c>
      <c r="K718" s="8" t="s">
        <v>225</v>
      </c>
      <c r="L718" s="8" t="s">
        <v>1522</v>
      </c>
      <c r="M718" s="9">
        <v>0.5</v>
      </c>
      <c r="N718" s="9">
        <v>0.5</v>
      </c>
      <c r="O718" s="9">
        <v>0.46875</v>
      </c>
      <c r="P718" s="10">
        <v>45170.0</v>
      </c>
      <c r="Q718" s="11">
        <v>1.144</v>
      </c>
      <c r="R718" s="8" t="s">
        <v>33</v>
      </c>
      <c r="S718" s="12">
        <f t="shared" si="1"/>
        <v>0.0675</v>
      </c>
      <c r="T718" s="12">
        <f t="shared" si="8"/>
        <v>12.53611652</v>
      </c>
      <c r="U718" s="145"/>
    </row>
    <row r="719">
      <c r="A719" s="58"/>
      <c r="B719" s="58"/>
      <c r="C719" s="58"/>
      <c r="D719" s="15" t="s">
        <v>19</v>
      </c>
      <c r="E719" s="15" t="s">
        <v>3159</v>
      </c>
      <c r="F719" s="15" t="s">
        <v>1479</v>
      </c>
      <c r="G719" s="15" t="s">
        <v>2660</v>
      </c>
      <c r="H719" s="15">
        <v>-2.0</v>
      </c>
      <c r="I719" s="15" t="s">
        <v>93</v>
      </c>
      <c r="J719" s="15" t="s">
        <v>22</v>
      </c>
      <c r="K719" s="15" t="s">
        <v>892</v>
      </c>
      <c r="L719" s="15" t="s">
        <v>1522</v>
      </c>
      <c r="M719" s="16">
        <v>0.0</v>
      </c>
      <c r="N719" s="16">
        <v>0.75</v>
      </c>
      <c r="O719" s="16">
        <v>0.75</v>
      </c>
      <c r="P719" s="17">
        <v>45171.0</v>
      </c>
      <c r="Q719" s="18">
        <v>2.075</v>
      </c>
      <c r="R719" s="15" t="s">
        <v>70</v>
      </c>
      <c r="S719" s="19">
        <f t="shared" si="1"/>
        <v>0</v>
      </c>
      <c r="T719" s="19">
        <f t="shared" si="8"/>
        <v>12.53611652</v>
      </c>
      <c r="U719" s="144"/>
    </row>
    <row r="720">
      <c r="A720" s="59"/>
      <c r="B720" s="59"/>
      <c r="C720" s="59"/>
      <c r="D720" s="8" t="s">
        <v>19</v>
      </c>
      <c r="E720" s="8" t="s">
        <v>3160</v>
      </c>
      <c r="F720" s="8" t="s">
        <v>1473</v>
      </c>
      <c r="G720" s="8" t="s">
        <v>2660</v>
      </c>
      <c r="H720" s="8">
        <v>0.0</v>
      </c>
      <c r="I720" s="8" t="s">
        <v>1025</v>
      </c>
      <c r="J720" s="8" t="s">
        <v>22</v>
      </c>
      <c r="K720" s="8" t="s">
        <v>892</v>
      </c>
      <c r="L720" s="8" t="s">
        <v>24</v>
      </c>
      <c r="M720" s="9">
        <v>0.0</v>
      </c>
      <c r="N720" s="9">
        <v>0.75</v>
      </c>
      <c r="O720" s="9">
        <v>0.75</v>
      </c>
      <c r="P720" s="10">
        <v>45171.0</v>
      </c>
      <c r="Q720" s="11">
        <v>2.0</v>
      </c>
      <c r="R720" s="8" t="s">
        <v>25</v>
      </c>
      <c r="S720" s="12">
        <f t="shared" si="1"/>
        <v>-0.75</v>
      </c>
      <c r="T720" s="12">
        <f t="shared" si="8"/>
        <v>11.78611652</v>
      </c>
      <c r="U720" s="145"/>
    </row>
    <row r="721">
      <c r="A721" s="58"/>
      <c r="B721" s="58"/>
      <c r="C721" s="58"/>
      <c r="D721" s="15" t="s">
        <v>40</v>
      </c>
      <c r="E721" s="15" t="s">
        <v>3161</v>
      </c>
      <c r="F721" s="15" t="s">
        <v>1473</v>
      </c>
      <c r="G721" s="15" t="s">
        <v>2556</v>
      </c>
      <c r="H721" s="15">
        <v>0.0</v>
      </c>
      <c r="I721" s="15" t="s">
        <v>908</v>
      </c>
      <c r="J721" s="15" t="s">
        <v>22</v>
      </c>
      <c r="K721" s="15" t="s">
        <v>225</v>
      </c>
      <c r="L721" s="15" t="s">
        <v>24</v>
      </c>
      <c r="M721" s="16">
        <v>0.5</v>
      </c>
      <c r="N721" s="16">
        <v>0.75</v>
      </c>
      <c r="O721" s="16">
        <v>0.75</v>
      </c>
      <c r="P721" s="17">
        <v>45171.0</v>
      </c>
      <c r="Q721" s="18">
        <v>1.825</v>
      </c>
      <c r="R721" s="15" t="s">
        <v>25</v>
      </c>
      <c r="S721" s="19">
        <f t="shared" si="1"/>
        <v>-0.75</v>
      </c>
      <c r="T721" s="19">
        <f t="shared" si="8"/>
        <v>11.03611652</v>
      </c>
      <c r="U721" s="144"/>
    </row>
    <row r="722">
      <c r="A722" s="59"/>
      <c r="B722" s="59"/>
      <c r="C722" s="59"/>
      <c r="D722" s="8" t="s">
        <v>19</v>
      </c>
      <c r="E722" s="8" t="s">
        <v>3162</v>
      </c>
      <c r="F722" s="8" t="s">
        <v>1473</v>
      </c>
      <c r="G722" s="8" t="s">
        <v>2556</v>
      </c>
      <c r="H722" s="8">
        <v>0.0</v>
      </c>
      <c r="I722" s="8" t="s">
        <v>44</v>
      </c>
      <c r="J722" s="8" t="s">
        <v>22</v>
      </c>
      <c r="K722" s="8" t="s">
        <v>225</v>
      </c>
      <c r="L722" s="8" t="s">
        <v>24</v>
      </c>
      <c r="M722" s="9">
        <v>0.25</v>
      </c>
      <c r="N722" s="9">
        <v>0.75</v>
      </c>
      <c r="O722" s="9">
        <v>0.75</v>
      </c>
      <c r="P722" s="10">
        <v>45171.0</v>
      </c>
      <c r="Q722" s="11">
        <v>1.9</v>
      </c>
      <c r="R722" s="8" t="s">
        <v>25</v>
      </c>
      <c r="S722" s="12">
        <f t="shared" si="1"/>
        <v>-0.75</v>
      </c>
      <c r="T722" s="12">
        <f t="shared" si="8"/>
        <v>10.28611652</v>
      </c>
      <c r="U722" s="145"/>
    </row>
    <row r="723">
      <c r="A723" s="58"/>
      <c r="B723" s="58"/>
      <c r="C723" s="58"/>
      <c r="D723" s="15" t="s">
        <v>19</v>
      </c>
      <c r="E723" s="15" t="s">
        <v>3163</v>
      </c>
      <c r="F723" s="15" t="s">
        <v>1479</v>
      </c>
      <c r="G723" s="15" t="s">
        <v>2660</v>
      </c>
      <c r="H723" s="15">
        <f>1</f>
        <v>1</v>
      </c>
      <c r="I723" s="15" t="s">
        <v>44</v>
      </c>
      <c r="J723" s="15" t="s">
        <v>22</v>
      </c>
      <c r="K723" s="15" t="s">
        <v>892</v>
      </c>
      <c r="L723" s="15" t="s">
        <v>24</v>
      </c>
      <c r="M723" s="16">
        <v>0.0</v>
      </c>
      <c r="N723" s="16">
        <v>0.75</v>
      </c>
      <c r="O723" s="16">
        <v>0.75</v>
      </c>
      <c r="P723" s="17">
        <v>45171.0</v>
      </c>
      <c r="Q723" s="18">
        <v>1.75</v>
      </c>
      <c r="R723" s="15" t="s">
        <v>70</v>
      </c>
      <c r="S723" s="19">
        <f t="shared" si="1"/>
        <v>0</v>
      </c>
      <c r="T723" s="19">
        <f t="shared" si="8"/>
        <v>10.28611652</v>
      </c>
      <c r="U723" s="144"/>
    </row>
    <row r="724">
      <c r="A724" s="59"/>
      <c r="B724" s="59"/>
      <c r="C724" s="59"/>
      <c r="D724" s="8" t="s">
        <v>19</v>
      </c>
      <c r="E724" s="8" t="s">
        <v>3164</v>
      </c>
      <c r="F724" s="8" t="s">
        <v>1479</v>
      </c>
      <c r="G724" s="8" t="s">
        <v>2556</v>
      </c>
      <c r="H724" s="8">
        <v>0.0</v>
      </c>
      <c r="I724" s="8" t="s">
        <v>432</v>
      </c>
      <c r="J724" s="8" t="s">
        <v>22</v>
      </c>
      <c r="K724" s="8" t="s">
        <v>225</v>
      </c>
      <c r="L724" s="8" t="s">
        <v>24</v>
      </c>
      <c r="M724" s="9">
        <v>0.5</v>
      </c>
      <c r="N724" s="9">
        <v>0.75</v>
      </c>
      <c r="O724" s="9">
        <v>0.75</v>
      </c>
      <c r="P724" s="10">
        <v>45171.0</v>
      </c>
      <c r="Q724" s="11">
        <v>1.77</v>
      </c>
      <c r="R724" s="8" t="s">
        <v>25</v>
      </c>
      <c r="S724" s="12">
        <f t="shared" si="1"/>
        <v>-0.75</v>
      </c>
      <c r="T724" s="12">
        <f t="shared" si="8"/>
        <v>9.536116518</v>
      </c>
      <c r="U724" s="145"/>
    </row>
    <row r="725">
      <c r="A725" s="58"/>
      <c r="B725" s="58"/>
      <c r="C725" s="58"/>
      <c r="D725" s="15" t="s">
        <v>19</v>
      </c>
      <c r="E725" s="15" t="s">
        <v>3165</v>
      </c>
      <c r="F725" s="15" t="s">
        <v>1473</v>
      </c>
      <c r="G725" s="15" t="s">
        <v>2660</v>
      </c>
      <c r="H725" s="15">
        <v>-1.0</v>
      </c>
      <c r="I725" s="15" t="s">
        <v>121</v>
      </c>
      <c r="J725" s="15" t="s">
        <v>22</v>
      </c>
      <c r="K725" s="15" t="s">
        <v>892</v>
      </c>
      <c r="L725" s="15" t="s">
        <v>1803</v>
      </c>
      <c r="M725" s="16">
        <v>0.0</v>
      </c>
      <c r="N725" s="16">
        <v>0.5</v>
      </c>
      <c r="O725" s="16">
        <v>0.5</v>
      </c>
      <c r="P725" s="17">
        <v>45171.0</v>
      </c>
      <c r="Q725" s="18">
        <v>1.925</v>
      </c>
      <c r="R725" s="15" t="s">
        <v>70</v>
      </c>
      <c r="S725" s="19">
        <f t="shared" si="1"/>
        <v>0</v>
      </c>
      <c r="T725" s="19">
        <f t="shared" si="8"/>
        <v>9.536116518</v>
      </c>
      <c r="U725" s="144"/>
    </row>
    <row r="726">
      <c r="A726" s="59"/>
      <c r="B726" s="59"/>
      <c r="C726" s="59"/>
      <c r="D726" s="8" t="s">
        <v>40</v>
      </c>
      <c r="E726" s="8" t="s">
        <v>3166</v>
      </c>
      <c r="F726" s="8" t="s">
        <v>1479</v>
      </c>
      <c r="G726" s="8" t="s">
        <v>2556</v>
      </c>
      <c r="H726" s="8">
        <v>-1.0</v>
      </c>
      <c r="I726" s="8" t="s">
        <v>229</v>
      </c>
      <c r="J726" s="8" t="s">
        <v>22</v>
      </c>
      <c r="K726" s="8" t="s">
        <v>2725</v>
      </c>
      <c r="L726" s="8" t="s">
        <v>24</v>
      </c>
      <c r="M726" s="9">
        <v>0.5</v>
      </c>
      <c r="N726" s="9">
        <v>0.5</v>
      </c>
      <c r="O726" s="9">
        <v>0.5</v>
      </c>
      <c r="P726" s="10">
        <v>45171.0</v>
      </c>
      <c r="Q726" s="11">
        <v>1.685</v>
      </c>
      <c r="R726" s="8" t="s">
        <v>33</v>
      </c>
      <c r="S726" s="12">
        <f t="shared" si="1"/>
        <v>0.3425</v>
      </c>
      <c r="T726" s="12">
        <f t="shared" si="8"/>
        <v>9.878616518</v>
      </c>
      <c r="U726" s="145"/>
    </row>
    <row r="727">
      <c r="A727" s="58"/>
      <c r="B727" s="58"/>
      <c r="C727" s="58"/>
      <c r="D727" s="15" t="s">
        <v>19</v>
      </c>
      <c r="E727" s="15" t="s">
        <v>3167</v>
      </c>
      <c r="F727" s="15" t="s">
        <v>1479</v>
      </c>
      <c r="G727" s="15" t="s">
        <v>2556</v>
      </c>
      <c r="H727" s="15">
        <v>-1.0</v>
      </c>
      <c r="I727" s="15" t="s">
        <v>229</v>
      </c>
      <c r="J727" s="15" t="s">
        <v>22</v>
      </c>
      <c r="K727" s="15" t="s">
        <v>225</v>
      </c>
      <c r="L727" s="15" t="s">
        <v>24</v>
      </c>
      <c r="M727" s="16">
        <v>1.75</v>
      </c>
      <c r="N727" s="16">
        <v>0.5</v>
      </c>
      <c r="O727" s="16">
        <v>0.5</v>
      </c>
      <c r="P727" s="17">
        <v>45171.0</v>
      </c>
      <c r="Q727" s="18">
        <v>1.925</v>
      </c>
      <c r="R727" s="15" t="s">
        <v>25</v>
      </c>
      <c r="S727" s="19">
        <f t="shared" si="1"/>
        <v>-0.5</v>
      </c>
      <c r="T727" s="19">
        <f t="shared" si="8"/>
        <v>9.378616518</v>
      </c>
      <c r="U727" s="144"/>
    </row>
    <row r="728">
      <c r="A728" s="59"/>
      <c r="B728" s="59"/>
      <c r="C728" s="59"/>
      <c r="D728" s="8" t="s">
        <v>19</v>
      </c>
      <c r="E728" s="8" t="s">
        <v>3168</v>
      </c>
      <c r="F728" s="8" t="s">
        <v>1479</v>
      </c>
      <c r="G728" s="8" t="s">
        <v>2556</v>
      </c>
      <c r="H728" s="8">
        <v>0.0</v>
      </c>
      <c r="I728" s="8" t="s">
        <v>178</v>
      </c>
      <c r="J728" s="8" t="s">
        <v>22</v>
      </c>
      <c r="K728" s="8" t="s">
        <v>941</v>
      </c>
      <c r="L728" s="8" t="s">
        <v>1522</v>
      </c>
      <c r="M728" s="9">
        <v>0.0</v>
      </c>
      <c r="N728" s="9">
        <v>1.0</v>
      </c>
      <c r="O728" s="9">
        <v>1.0</v>
      </c>
      <c r="P728" s="10">
        <v>45171.0</v>
      </c>
      <c r="Q728" s="11">
        <v>1.76</v>
      </c>
      <c r="R728" s="8" t="s">
        <v>33</v>
      </c>
      <c r="S728" s="12">
        <f t="shared" si="1"/>
        <v>0.76</v>
      </c>
      <c r="T728" s="12">
        <f t="shared" si="8"/>
        <v>10.13861652</v>
      </c>
      <c r="U728" s="145"/>
    </row>
    <row r="729">
      <c r="A729" s="58"/>
      <c r="B729" s="58"/>
      <c r="C729" s="58"/>
      <c r="D729" s="15" t="s">
        <v>19</v>
      </c>
      <c r="E729" s="15" t="s">
        <v>3169</v>
      </c>
      <c r="F729" s="15" t="s">
        <v>1473</v>
      </c>
      <c r="G729" s="15" t="s">
        <v>2556</v>
      </c>
      <c r="H729" s="15">
        <v>0.0</v>
      </c>
      <c r="I729" s="15" t="s">
        <v>583</v>
      </c>
      <c r="J729" s="15" t="s">
        <v>22</v>
      </c>
      <c r="K729" s="15" t="s">
        <v>225</v>
      </c>
      <c r="L729" s="15" t="s">
        <v>24</v>
      </c>
      <c r="M729" s="16">
        <v>0.5</v>
      </c>
      <c r="N729" s="16">
        <v>0.75</v>
      </c>
      <c r="O729" s="16">
        <v>0.75</v>
      </c>
      <c r="P729" s="17">
        <v>45171.0</v>
      </c>
      <c r="Q729" s="18">
        <v>1.8</v>
      </c>
      <c r="R729" s="15" t="s">
        <v>25</v>
      </c>
      <c r="S729" s="19">
        <f t="shared" si="1"/>
        <v>-0.75</v>
      </c>
      <c r="T729" s="19">
        <f t="shared" si="8"/>
        <v>9.388616518</v>
      </c>
      <c r="U729" s="144"/>
    </row>
    <row r="730">
      <c r="A730" s="59"/>
      <c r="B730" s="59"/>
      <c r="C730" s="59"/>
      <c r="D730" s="8" t="s">
        <v>19</v>
      </c>
      <c r="E730" s="8" t="s">
        <v>3170</v>
      </c>
      <c r="F730" s="8" t="s">
        <v>1473</v>
      </c>
      <c r="G730" s="8" t="s">
        <v>2556</v>
      </c>
      <c r="H730" s="8">
        <v>0.0</v>
      </c>
      <c r="I730" s="8" t="s">
        <v>1201</v>
      </c>
      <c r="J730" s="8" t="s">
        <v>22</v>
      </c>
      <c r="K730" s="8" t="s">
        <v>225</v>
      </c>
      <c r="L730" s="8" t="s">
        <v>24</v>
      </c>
      <c r="M730" s="9">
        <v>1.0</v>
      </c>
      <c r="N730" s="9">
        <v>0.75</v>
      </c>
      <c r="O730" s="9">
        <v>0.65</v>
      </c>
      <c r="P730" s="10">
        <v>45171.0</v>
      </c>
      <c r="Q730" s="11">
        <v>1.8</v>
      </c>
      <c r="R730" s="8" t="s">
        <v>25</v>
      </c>
      <c r="S730" s="12">
        <f t="shared" si="1"/>
        <v>-0.65</v>
      </c>
      <c r="T730" s="12">
        <f t="shared" si="8"/>
        <v>8.738616518</v>
      </c>
      <c r="U730" s="145"/>
    </row>
    <row r="731">
      <c r="A731" s="58"/>
      <c r="B731" s="58"/>
      <c r="C731" s="58"/>
      <c r="D731" s="15" t="s">
        <v>19</v>
      </c>
      <c r="E731" s="15" t="s">
        <v>3171</v>
      </c>
      <c r="F731" s="15" t="s">
        <v>1479</v>
      </c>
      <c r="G731" s="15" t="s">
        <v>2660</v>
      </c>
      <c r="H731" s="15">
        <v>0.0</v>
      </c>
      <c r="I731" s="15" t="s">
        <v>245</v>
      </c>
      <c r="J731" s="15" t="s">
        <v>22</v>
      </c>
      <c r="K731" s="15" t="s">
        <v>1150</v>
      </c>
      <c r="L731" s="15" t="s">
        <v>24</v>
      </c>
      <c r="M731" s="16">
        <v>0.0</v>
      </c>
      <c r="N731" s="16">
        <v>0.5</v>
      </c>
      <c r="O731" s="16">
        <v>0.5</v>
      </c>
      <c r="P731" s="17">
        <v>45171.0</v>
      </c>
      <c r="Q731" s="18">
        <v>2.0</v>
      </c>
      <c r="R731" s="15" t="s">
        <v>33</v>
      </c>
      <c r="S731" s="19">
        <f t="shared" si="1"/>
        <v>0.5</v>
      </c>
      <c r="T731" s="19">
        <f t="shared" si="8"/>
        <v>9.238616518</v>
      </c>
      <c r="U731" s="144"/>
    </row>
    <row r="732">
      <c r="A732" s="59"/>
      <c r="B732" s="59"/>
      <c r="C732" s="59"/>
      <c r="D732" s="8" t="s">
        <v>19</v>
      </c>
      <c r="E732" s="8" t="s">
        <v>3172</v>
      </c>
      <c r="F732" s="8" t="s">
        <v>1473</v>
      </c>
      <c r="G732" s="8" t="s">
        <v>2556</v>
      </c>
      <c r="H732" s="8">
        <v>0.0</v>
      </c>
      <c r="I732" s="8" t="s">
        <v>101</v>
      </c>
      <c r="J732" s="8" t="s">
        <v>22</v>
      </c>
      <c r="K732" s="8" t="s">
        <v>225</v>
      </c>
      <c r="L732" s="8" t="s">
        <v>24</v>
      </c>
      <c r="M732" s="9">
        <v>0.25</v>
      </c>
      <c r="N732" s="9">
        <v>0.5</v>
      </c>
      <c r="O732" s="9">
        <v>0.5</v>
      </c>
      <c r="P732" s="10">
        <v>45171.0</v>
      </c>
      <c r="Q732" s="11">
        <v>1.62</v>
      </c>
      <c r="R732" s="8" t="s">
        <v>33</v>
      </c>
      <c r="S732" s="12">
        <f t="shared" si="1"/>
        <v>0.31</v>
      </c>
      <c r="T732" s="12">
        <f t="shared" si="8"/>
        <v>9.548616518</v>
      </c>
      <c r="U732" s="145"/>
    </row>
    <row r="733">
      <c r="A733" s="58"/>
      <c r="B733" s="58"/>
      <c r="C733" s="58"/>
      <c r="D733" s="15" t="s">
        <v>19</v>
      </c>
      <c r="E733" s="15" t="s">
        <v>3173</v>
      </c>
      <c r="F733" s="15" t="s">
        <v>1473</v>
      </c>
      <c r="G733" s="15" t="s">
        <v>2660</v>
      </c>
      <c r="H733" s="15">
        <v>0.0</v>
      </c>
      <c r="I733" s="15" t="s">
        <v>66</v>
      </c>
      <c r="J733" s="15" t="s">
        <v>22</v>
      </c>
      <c r="K733" s="15" t="s">
        <v>892</v>
      </c>
      <c r="L733" s="15" t="s">
        <v>24</v>
      </c>
      <c r="M733" s="16">
        <v>0.0</v>
      </c>
      <c r="N733" s="16">
        <v>1.0</v>
      </c>
      <c r="O733" s="16">
        <v>1.0</v>
      </c>
      <c r="P733" s="17">
        <v>45171.0</v>
      </c>
      <c r="Q733" s="18">
        <v>1.136</v>
      </c>
      <c r="R733" s="15" t="s">
        <v>33</v>
      </c>
      <c r="S733" s="19">
        <f t="shared" si="1"/>
        <v>0.136</v>
      </c>
      <c r="T733" s="19">
        <f t="shared" si="8"/>
        <v>9.684616518</v>
      </c>
      <c r="U733" s="144"/>
    </row>
    <row r="734">
      <c r="A734" s="59"/>
      <c r="B734" s="59"/>
      <c r="C734" s="59"/>
      <c r="D734" s="8" t="s">
        <v>19</v>
      </c>
      <c r="E734" s="8" t="s">
        <v>3174</v>
      </c>
      <c r="F734" s="8" t="s">
        <v>1473</v>
      </c>
      <c r="G734" s="8" t="s">
        <v>2556</v>
      </c>
      <c r="H734" s="8">
        <v>-1.0</v>
      </c>
      <c r="I734" s="8" t="s">
        <v>50</v>
      </c>
      <c r="J734" s="8" t="s">
        <v>22</v>
      </c>
      <c r="K734" s="8" t="s">
        <v>225</v>
      </c>
      <c r="L734" s="8" t="s">
        <v>1522</v>
      </c>
      <c r="M734" s="9">
        <v>0.5</v>
      </c>
      <c r="N734" s="9">
        <v>0.75</v>
      </c>
      <c r="O734" s="9">
        <v>0.75</v>
      </c>
      <c r="P734" s="10">
        <v>45171.0</v>
      </c>
      <c r="Q734" s="11">
        <v>1.875</v>
      </c>
      <c r="R734" s="8" t="s">
        <v>25</v>
      </c>
      <c r="S734" s="12">
        <f t="shared" si="1"/>
        <v>-0.75</v>
      </c>
      <c r="T734" s="12">
        <f t="shared" si="8"/>
        <v>8.934616518</v>
      </c>
      <c r="U734" s="145"/>
    </row>
    <row r="735">
      <c r="A735" s="58"/>
      <c r="B735" s="58"/>
      <c r="C735" s="58"/>
      <c r="D735" s="15" t="s">
        <v>19</v>
      </c>
      <c r="E735" s="15" t="s">
        <v>3175</v>
      </c>
      <c r="F735" s="15" t="s">
        <v>1479</v>
      </c>
      <c r="G735" s="15" t="s">
        <v>2556</v>
      </c>
      <c r="H735" s="15">
        <v>0.0</v>
      </c>
      <c r="I735" s="15" t="s">
        <v>245</v>
      </c>
      <c r="J735" s="15" t="s">
        <v>22</v>
      </c>
      <c r="K735" s="15" t="s">
        <v>225</v>
      </c>
      <c r="L735" s="15" t="s">
        <v>24</v>
      </c>
      <c r="M735" s="16">
        <v>0.25</v>
      </c>
      <c r="N735" s="16">
        <v>0.25</v>
      </c>
      <c r="O735" s="16">
        <v>0.25</v>
      </c>
      <c r="P735" s="17">
        <v>45171.0</v>
      </c>
      <c r="Q735" s="18">
        <v>2.0</v>
      </c>
      <c r="R735" s="15" t="s">
        <v>25</v>
      </c>
      <c r="S735" s="19">
        <f t="shared" si="1"/>
        <v>-0.25</v>
      </c>
      <c r="T735" s="19">
        <f t="shared" si="8"/>
        <v>8.684616518</v>
      </c>
      <c r="U735" s="144"/>
    </row>
    <row r="736">
      <c r="A736" s="59"/>
      <c r="B736" s="59"/>
      <c r="C736" s="59"/>
      <c r="D736" s="8" t="s">
        <v>19</v>
      </c>
      <c r="E736" s="8" t="s">
        <v>3176</v>
      </c>
      <c r="F736" s="8" t="s">
        <v>1473</v>
      </c>
      <c r="G736" s="8" t="s">
        <v>2556</v>
      </c>
      <c r="H736" s="8">
        <v>0.0</v>
      </c>
      <c r="I736" s="8" t="s">
        <v>172</v>
      </c>
      <c r="J736" s="8" t="s">
        <v>22</v>
      </c>
      <c r="K736" s="8" t="s">
        <v>225</v>
      </c>
      <c r="L736" s="8" t="s">
        <v>24</v>
      </c>
      <c r="M736" s="9">
        <v>0.25</v>
      </c>
      <c r="N736" s="9">
        <v>0.51</v>
      </c>
      <c r="O736" s="9">
        <v>0.51</v>
      </c>
      <c r="P736" s="10">
        <v>45171.0</v>
      </c>
      <c r="Q736" s="11">
        <v>1.825</v>
      </c>
      <c r="R736" s="8" t="s">
        <v>25</v>
      </c>
      <c r="S736" s="12">
        <f t="shared" si="1"/>
        <v>-0.51</v>
      </c>
      <c r="T736" s="12">
        <f t="shared" si="8"/>
        <v>8.174616518</v>
      </c>
      <c r="U736" s="145"/>
    </row>
    <row r="737">
      <c r="A737" s="58"/>
      <c r="B737" s="58"/>
      <c r="C737" s="58"/>
      <c r="D737" s="15" t="s">
        <v>19</v>
      </c>
      <c r="E737" s="15" t="s">
        <v>3177</v>
      </c>
      <c r="F737" s="15" t="s">
        <v>1473</v>
      </c>
      <c r="G737" s="15" t="s">
        <v>2556</v>
      </c>
      <c r="H737" s="15">
        <v>-2.0</v>
      </c>
      <c r="I737" s="15" t="s">
        <v>66</v>
      </c>
      <c r="J737" s="15" t="s">
        <v>22</v>
      </c>
      <c r="K737" s="15" t="s">
        <v>225</v>
      </c>
      <c r="L737" s="15" t="s">
        <v>24</v>
      </c>
      <c r="M737" s="16">
        <v>0.5</v>
      </c>
      <c r="N737" s="16">
        <v>1.0</v>
      </c>
      <c r="O737" s="16">
        <v>1.0</v>
      </c>
      <c r="P737" s="17">
        <v>45171.0</v>
      </c>
      <c r="Q737" s="18">
        <v>1.725</v>
      </c>
      <c r="R737" s="15" t="s">
        <v>33</v>
      </c>
      <c r="S737" s="19">
        <f t="shared" si="1"/>
        <v>0.725</v>
      </c>
      <c r="T737" s="19">
        <f t="shared" si="8"/>
        <v>8.899616518</v>
      </c>
      <c r="U737" s="144"/>
    </row>
    <row r="738">
      <c r="A738" s="59"/>
      <c r="B738" s="59"/>
      <c r="C738" s="59"/>
      <c r="D738" s="8" t="s">
        <v>19</v>
      </c>
      <c r="E738" s="8" t="s">
        <v>3178</v>
      </c>
      <c r="F738" s="8" t="s">
        <v>1473</v>
      </c>
      <c r="G738" s="8" t="s">
        <v>2660</v>
      </c>
      <c r="H738" s="8">
        <v>2</v>
      </c>
      <c r="I738" s="8" t="s">
        <v>28</v>
      </c>
      <c r="J738" s="8" t="s">
        <v>22</v>
      </c>
      <c r="K738" s="8" t="s">
        <v>1150</v>
      </c>
      <c r="L738" s="8" t="s">
        <v>24</v>
      </c>
      <c r="M738" s="9">
        <v>0.0</v>
      </c>
      <c r="N738" s="9">
        <v>1.0</v>
      </c>
      <c r="O738" s="9">
        <v>1.0</v>
      </c>
      <c r="P738" s="10">
        <v>45171.0</v>
      </c>
      <c r="Q738" s="11">
        <v>1.85</v>
      </c>
      <c r="R738" s="8" t="s">
        <v>70</v>
      </c>
      <c r="S738" s="12">
        <f t="shared" si="1"/>
        <v>0</v>
      </c>
      <c r="T738" s="12">
        <f t="shared" si="8"/>
        <v>8.899616518</v>
      </c>
      <c r="U738" s="145"/>
    </row>
    <row r="739">
      <c r="A739" s="58"/>
      <c r="B739" s="58"/>
      <c r="C739" s="58"/>
      <c r="D739" s="15" t="s">
        <v>19</v>
      </c>
      <c r="E739" s="15" t="s">
        <v>3179</v>
      </c>
      <c r="F739" s="15" t="s">
        <v>1479</v>
      </c>
      <c r="G739" s="15" t="s">
        <v>2556</v>
      </c>
      <c r="H739" s="15">
        <v>2</v>
      </c>
      <c r="I739" s="15" t="s">
        <v>82</v>
      </c>
      <c r="J739" s="15" t="s">
        <v>22</v>
      </c>
      <c r="K739" s="15" t="s">
        <v>225</v>
      </c>
      <c r="L739" s="15" t="s">
        <v>39</v>
      </c>
      <c r="M739" s="16">
        <v>0.75</v>
      </c>
      <c r="N739" s="16">
        <v>0.25</v>
      </c>
      <c r="O739" s="16">
        <v>0.25</v>
      </c>
      <c r="P739" s="17">
        <v>45171.0</v>
      </c>
      <c r="Q739" s="18">
        <v>2.0</v>
      </c>
      <c r="R739" s="15" t="s">
        <v>25</v>
      </c>
      <c r="S739" s="19">
        <f t="shared" si="1"/>
        <v>-0.25</v>
      </c>
      <c r="T739" s="19">
        <f t="shared" si="8"/>
        <v>8.649616518</v>
      </c>
      <c r="U739" s="144"/>
    </row>
    <row r="740">
      <c r="A740" s="59"/>
      <c r="B740" s="59"/>
      <c r="C740" s="59"/>
      <c r="D740" s="8" t="s">
        <v>19</v>
      </c>
      <c r="E740" s="8" t="s">
        <v>3180</v>
      </c>
      <c r="F740" s="8"/>
      <c r="G740" s="8"/>
      <c r="H740" s="8" t="s">
        <v>3181</v>
      </c>
      <c r="I740" s="8" t="s">
        <v>82</v>
      </c>
      <c r="J740" s="8" t="s">
        <v>22</v>
      </c>
      <c r="K740" s="8" t="s">
        <v>29</v>
      </c>
      <c r="L740" s="8" t="s">
        <v>39</v>
      </c>
      <c r="M740" s="9">
        <v>-4.25</v>
      </c>
      <c r="N740" s="9">
        <v>0.25</v>
      </c>
      <c r="O740" s="9">
        <v>0.25</v>
      </c>
      <c r="P740" s="10">
        <v>45171.0</v>
      </c>
      <c r="Q740" s="11">
        <v>1.85</v>
      </c>
      <c r="R740" s="8" t="s">
        <v>70</v>
      </c>
      <c r="S740" s="12">
        <f t="shared" si="1"/>
        <v>0</v>
      </c>
      <c r="T740" s="12">
        <f t="shared" si="8"/>
        <v>8.649616518</v>
      </c>
      <c r="U740" s="145"/>
    </row>
    <row r="741">
      <c r="A741" s="58"/>
      <c r="B741" s="58"/>
      <c r="C741" s="58"/>
      <c r="D741" s="15" t="s">
        <v>19</v>
      </c>
      <c r="E741" s="15" t="s">
        <v>3182</v>
      </c>
      <c r="F741" s="15" t="s">
        <v>1473</v>
      </c>
      <c r="G741" s="15" t="s">
        <v>2556</v>
      </c>
      <c r="H741" s="15">
        <v>0.0</v>
      </c>
      <c r="I741" s="15" t="s">
        <v>44</v>
      </c>
      <c r="J741" s="15" t="s">
        <v>22</v>
      </c>
      <c r="K741" s="15" t="s">
        <v>225</v>
      </c>
      <c r="L741" s="15" t="s">
        <v>24</v>
      </c>
      <c r="M741" s="16">
        <v>0.25</v>
      </c>
      <c r="N741" s="16">
        <v>0.5</v>
      </c>
      <c r="O741" s="16">
        <v>0.5</v>
      </c>
      <c r="P741" s="17">
        <v>45172.0</v>
      </c>
      <c r="Q741" s="18">
        <v>1.725</v>
      </c>
      <c r="R741" s="15" t="s">
        <v>25</v>
      </c>
      <c r="S741" s="19">
        <f t="shared" si="1"/>
        <v>-0.5</v>
      </c>
      <c r="T741" s="19">
        <f t="shared" si="8"/>
        <v>8.149616518</v>
      </c>
      <c r="U741" s="144"/>
    </row>
    <row r="742">
      <c r="A742" s="59"/>
      <c r="B742" s="59"/>
      <c r="C742" s="59"/>
      <c r="D742" s="8" t="s">
        <v>19</v>
      </c>
      <c r="E742" s="8" t="s">
        <v>3183</v>
      </c>
      <c r="F742" s="8" t="s">
        <v>1473</v>
      </c>
      <c r="G742" s="8"/>
      <c r="H742" s="8">
        <v>0.0</v>
      </c>
      <c r="I742" s="8" t="s">
        <v>44</v>
      </c>
      <c r="J742" s="8" t="s">
        <v>22</v>
      </c>
      <c r="K742" s="8" t="s">
        <v>941</v>
      </c>
      <c r="L742" s="8" t="s">
        <v>24</v>
      </c>
      <c r="M742" s="9">
        <v>0.0</v>
      </c>
      <c r="N742" s="9">
        <v>0.5</v>
      </c>
      <c r="O742" s="9">
        <v>0.5</v>
      </c>
      <c r="P742" s="10">
        <v>45172.0</v>
      </c>
      <c r="Q742" s="11">
        <v>2.1</v>
      </c>
      <c r="R742" s="8" t="s">
        <v>25</v>
      </c>
      <c r="S742" s="12">
        <f t="shared" si="1"/>
        <v>-0.5</v>
      </c>
      <c r="T742" s="12">
        <f t="shared" si="8"/>
        <v>7.649616518</v>
      </c>
      <c r="U742" s="145"/>
    </row>
    <row r="743">
      <c r="A743" s="58"/>
      <c r="B743" s="58"/>
      <c r="C743" s="58"/>
      <c r="D743" s="15" t="s">
        <v>19</v>
      </c>
      <c r="E743" s="15" t="s">
        <v>3184</v>
      </c>
      <c r="F743" s="15" t="s">
        <v>1473</v>
      </c>
      <c r="G743" s="15" t="s">
        <v>2556</v>
      </c>
      <c r="H743" s="15">
        <v>-1.0</v>
      </c>
      <c r="I743" s="15" t="s">
        <v>93</v>
      </c>
      <c r="J743" s="15" t="s">
        <v>22</v>
      </c>
      <c r="K743" s="15" t="s">
        <v>225</v>
      </c>
      <c r="L743" s="15" t="s">
        <v>24</v>
      </c>
      <c r="M743" s="16">
        <v>0.25</v>
      </c>
      <c r="N743" s="16">
        <v>0.25</v>
      </c>
      <c r="O743" s="16">
        <v>0.25</v>
      </c>
      <c r="P743" s="17">
        <v>45172.0</v>
      </c>
      <c r="Q743" s="18">
        <v>1.7</v>
      </c>
      <c r="R743" s="15" t="s">
        <v>25</v>
      </c>
      <c r="S743" s="19">
        <f t="shared" si="1"/>
        <v>-0.25</v>
      </c>
      <c r="T743" s="19">
        <f t="shared" si="8"/>
        <v>7.399616518</v>
      </c>
      <c r="U743" s="144"/>
    </row>
    <row r="744">
      <c r="A744" s="59"/>
      <c r="B744" s="59"/>
      <c r="C744" s="59"/>
      <c r="D744" s="8" t="s">
        <v>40</v>
      </c>
      <c r="E744" s="8" t="s">
        <v>3185</v>
      </c>
      <c r="F744" s="8" t="s">
        <v>1473</v>
      </c>
      <c r="G744" s="8" t="s">
        <v>2660</v>
      </c>
      <c r="H744" s="8">
        <v>-1.0</v>
      </c>
      <c r="I744" s="8" t="s">
        <v>908</v>
      </c>
      <c r="J744" s="8" t="s">
        <v>22</v>
      </c>
      <c r="K744" s="8" t="s">
        <v>892</v>
      </c>
      <c r="L744" s="8" t="s">
        <v>24</v>
      </c>
      <c r="M744" s="9">
        <v>0.0</v>
      </c>
      <c r="N744" s="9">
        <v>1.0</v>
      </c>
      <c r="O744" s="9">
        <v>1.0</v>
      </c>
      <c r="P744" s="10">
        <v>45172.0</v>
      </c>
      <c r="Q744" s="11">
        <v>1.7</v>
      </c>
      <c r="R744" s="8" t="s">
        <v>25</v>
      </c>
      <c r="S744" s="12">
        <f t="shared" si="1"/>
        <v>-1</v>
      </c>
      <c r="T744" s="12">
        <f t="shared" si="8"/>
        <v>6.399616518</v>
      </c>
      <c r="U744" s="145"/>
    </row>
    <row r="745">
      <c r="A745" s="58"/>
      <c r="B745" s="58"/>
      <c r="C745" s="58"/>
      <c r="D745" s="15" t="s">
        <v>19</v>
      </c>
      <c r="E745" s="15" t="s">
        <v>3186</v>
      </c>
      <c r="F745" s="15" t="s">
        <v>1479</v>
      </c>
      <c r="G745" s="15" t="s">
        <v>2556</v>
      </c>
      <c r="H745" s="15">
        <v>0.0</v>
      </c>
      <c r="I745" s="15" t="s">
        <v>157</v>
      </c>
      <c r="J745" s="15" t="s">
        <v>22</v>
      </c>
      <c r="K745" s="15" t="s">
        <v>225</v>
      </c>
      <c r="L745" s="15" t="s">
        <v>24</v>
      </c>
      <c r="M745" s="16">
        <v>0.5</v>
      </c>
      <c r="N745" s="16">
        <v>0.5</v>
      </c>
      <c r="O745" s="16">
        <v>0.5</v>
      </c>
      <c r="P745" s="17">
        <v>45172.0</v>
      </c>
      <c r="Q745" s="18">
        <v>1.925</v>
      </c>
      <c r="R745" s="15" t="s">
        <v>33</v>
      </c>
      <c r="S745" s="19">
        <f t="shared" si="1"/>
        <v>0.4625</v>
      </c>
      <c r="T745" s="19">
        <f t="shared" si="8"/>
        <v>6.862116518</v>
      </c>
      <c r="U745" s="144"/>
    </row>
    <row r="746">
      <c r="A746" s="59"/>
      <c r="B746" s="59"/>
      <c r="C746" s="59"/>
      <c r="D746" s="8" t="s">
        <v>19</v>
      </c>
      <c r="E746" s="8" t="s">
        <v>3187</v>
      </c>
      <c r="F746" s="8"/>
      <c r="G746" s="8"/>
      <c r="H746" s="8">
        <v>0.0</v>
      </c>
      <c r="I746" s="8" t="s">
        <v>157</v>
      </c>
      <c r="J746" s="8" t="s">
        <v>22</v>
      </c>
      <c r="K746" s="8" t="s">
        <v>29</v>
      </c>
      <c r="L746" s="8" t="s">
        <v>24</v>
      </c>
      <c r="M746" s="9">
        <v>-1.0</v>
      </c>
      <c r="N746" s="9">
        <v>0.5</v>
      </c>
      <c r="O746" s="9">
        <v>0.5</v>
      </c>
      <c r="P746" s="10">
        <v>45172.0</v>
      </c>
      <c r="Q746" s="11">
        <v>1.775</v>
      </c>
      <c r="R746" s="8" t="s">
        <v>70</v>
      </c>
      <c r="S746" s="12">
        <f t="shared" si="1"/>
        <v>0</v>
      </c>
      <c r="T746" s="12">
        <f t="shared" si="8"/>
        <v>6.862116518</v>
      </c>
      <c r="U746" s="145"/>
    </row>
    <row r="747">
      <c r="A747" s="58"/>
      <c r="B747" s="58"/>
      <c r="C747" s="58"/>
      <c r="D747" s="15" t="s">
        <v>19</v>
      </c>
      <c r="E747" s="15" t="s">
        <v>3188</v>
      </c>
      <c r="F747" s="15" t="s">
        <v>1473</v>
      </c>
      <c r="G747" s="15" t="s">
        <v>2556</v>
      </c>
      <c r="H747" s="15">
        <v>0.0</v>
      </c>
      <c r="I747" s="15" t="s">
        <v>121</v>
      </c>
      <c r="J747" s="15" t="s">
        <v>22</v>
      </c>
      <c r="K747" s="15" t="s">
        <v>941</v>
      </c>
      <c r="L747" s="15" t="s">
        <v>1522</v>
      </c>
      <c r="M747" s="16">
        <v>0.0</v>
      </c>
      <c r="N747" s="16">
        <v>0.75</v>
      </c>
      <c r="O747" s="16">
        <v>0.75</v>
      </c>
      <c r="P747" s="17">
        <v>45172.0</v>
      </c>
      <c r="Q747" s="18">
        <v>2.2</v>
      </c>
      <c r="R747" s="15" t="s">
        <v>33</v>
      </c>
      <c r="S747" s="19">
        <f t="shared" si="1"/>
        <v>0.9</v>
      </c>
      <c r="T747" s="19">
        <f t="shared" si="8"/>
        <v>7.762116518</v>
      </c>
      <c r="U747" s="144"/>
    </row>
    <row r="748">
      <c r="A748" s="59"/>
      <c r="B748" s="59"/>
      <c r="C748" s="59"/>
      <c r="D748" s="8" t="s">
        <v>19</v>
      </c>
      <c r="E748" s="8" t="s">
        <v>3189</v>
      </c>
      <c r="F748" s="8" t="s">
        <v>1473</v>
      </c>
      <c r="G748" s="8" t="s">
        <v>2556</v>
      </c>
      <c r="H748" s="8">
        <v>-1.0</v>
      </c>
      <c r="I748" s="8" t="s">
        <v>121</v>
      </c>
      <c r="J748" s="8" t="s">
        <v>22</v>
      </c>
      <c r="K748" s="8" t="s">
        <v>225</v>
      </c>
      <c r="L748" s="8" t="s">
        <v>1522</v>
      </c>
      <c r="M748" s="9">
        <v>1.0</v>
      </c>
      <c r="N748" s="9">
        <v>1.0</v>
      </c>
      <c r="O748" s="9">
        <v>1.0</v>
      </c>
      <c r="P748" s="10">
        <v>45172.0</v>
      </c>
      <c r="Q748" s="11">
        <v>1.75</v>
      </c>
      <c r="R748" s="8" t="s">
        <v>25</v>
      </c>
      <c r="S748" s="12">
        <f t="shared" si="1"/>
        <v>-1</v>
      </c>
      <c r="T748" s="12">
        <f t="shared" si="8"/>
        <v>6.762116518</v>
      </c>
      <c r="U748" s="145"/>
    </row>
    <row r="749">
      <c r="A749" s="58"/>
      <c r="B749" s="58"/>
      <c r="C749" s="58"/>
      <c r="D749" s="15" t="s">
        <v>19</v>
      </c>
      <c r="E749" s="15" t="s">
        <v>3190</v>
      </c>
      <c r="F749" s="15" t="s">
        <v>1473</v>
      </c>
      <c r="G749" s="15" t="s">
        <v>2556</v>
      </c>
      <c r="H749" s="15">
        <v>0.0</v>
      </c>
      <c r="I749" s="15" t="s">
        <v>121</v>
      </c>
      <c r="J749" s="15" t="s">
        <v>22</v>
      </c>
      <c r="K749" s="15" t="s">
        <v>225</v>
      </c>
      <c r="L749" s="15" t="s">
        <v>1522</v>
      </c>
      <c r="M749" s="16">
        <v>0.25</v>
      </c>
      <c r="N749" s="16">
        <v>0.5</v>
      </c>
      <c r="O749" s="16">
        <v>0.5</v>
      </c>
      <c r="P749" s="17">
        <v>45172.0</v>
      </c>
      <c r="Q749" s="18">
        <v>1.75</v>
      </c>
      <c r="R749" s="15" t="s">
        <v>25</v>
      </c>
      <c r="S749" s="19">
        <f t="shared" si="1"/>
        <v>-0.5</v>
      </c>
      <c r="T749" s="19">
        <f t="shared" si="8"/>
        <v>6.262116518</v>
      </c>
      <c r="U749" s="144"/>
    </row>
    <row r="750">
      <c r="A750" s="59"/>
      <c r="B750" s="59"/>
      <c r="C750" s="59"/>
      <c r="D750" s="8" t="s">
        <v>19</v>
      </c>
      <c r="E750" s="8" t="s">
        <v>3191</v>
      </c>
      <c r="F750" s="8" t="s">
        <v>1473</v>
      </c>
      <c r="G750" s="8" t="s">
        <v>2660</v>
      </c>
      <c r="H750" s="8">
        <v>0.0</v>
      </c>
      <c r="I750" s="8" t="s">
        <v>121</v>
      </c>
      <c r="J750" s="8" t="s">
        <v>22</v>
      </c>
      <c r="K750" s="8" t="s">
        <v>892</v>
      </c>
      <c r="L750" s="8" t="s">
        <v>1522</v>
      </c>
      <c r="M750" s="9">
        <v>0.0</v>
      </c>
      <c r="N750" s="9">
        <v>0.5</v>
      </c>
      <c r="O750" s="9">
        <v>0.5</v>
      </c>
      <c r="P750" s="10">
        <v>45172.0</v>
      </c>
      <c r="Q750" s="11">
        <v>2.1</v>
      </c>
      <c r="R750" s="8" t="s">
        <v>25</v>
      </c>
      <c r="S750" s="12">
        <f t="shared" si="1"/>
        <v>-0.5</v>
      </c>
      <c r="T750" s="12">
        <f t="shared" si="8"/>
        <v>5.762116518</v>
      </c>
      <c r="U750" s="145"/>
    </row>
    <row r="751">
      <c r="A751" s="58"/>
      <c r="B751" s="58"/>
      <c r="C751" s="58"/>
      <c r="D751" s="15" t="s">
        <v>40</v>
      </c>
      <c r="E751" s="15" t="s">
        <v>3192</v>
      </c>
      <c r="F751" s="15" t="s">
        <v>1473</v>
      </c>
      <c r="G751" s="15" t="s">
        <v>2556</v>
      </c>
      <c r="H751" s="15">
        <f>1</f>
        <v>1</v>
      </c>
      <c r="I751" s="15" t="s">
        <v>38</v>
      </c>
      <c r="J751" s="15" t="s">
        <v>22</v>
      </c>
      <c r="K751" s="15" t="s">
        <v>225</v>
      </c>
      <c r="L751" s="15" t="s">
        <v>1522</v>
      </c>
      <c r="M751" s="16">
        <v>0.75</v>
      </c>
      <c r="N751" s="16">
        <v>0.25</v>
      </c>
      <c r="O751" s="16">
        <f>0.214*0.25</f>
        <v>0.0535</v>
      </c>
      <c r="P751" s="17">
        <v>45172.0</v>
      </c>
      <c r="Q751" s="18">
        <v>1.875</v>
      </c>
      <c r="R751" s="15" t="s">
        <v>79</v>
      </c>
      <c r="S751" s="19">
        <f t="shared" si="1"/>
        <v>-0.02675</v>
      </c>
      <c r="T751" s="19">
        <f t="shared" si="8"/>
        <v>5.735366518</v>
      </c>
      <c r="U751" s="144"/>
    </row>
    <row r="752">
      <c r="A752" s="59"/>
      <c r="B752" s="59"/>
      <c r="C752" s="59"/>
      <c r="D752" s="8" t="s">
        <v>19</v>
      </c>
      <c r="E752" s="8" t="s">
        <v>3193</v>
      </c>
      <c r="F752" s="8" t="s">
        <v>1479</v>
      </c>
      <c r="G752" s="8" t="s">
        <v>2556</v>
      </c>
      <c r="H752" s="8">
        <v>2</v>
      </c>
      <c r="I752" s="8" t="s">
        <v>50</v>
      </c>
      <c r="J752" s="8" t="s">
        <v>22</v>
      </c>
      <c r="K752" s="8" t="s">
        <v>225</v>
      </c>
      <c r="L752" s="8" t="s">
        <v>24</v>
      </c>
      <c r="M752" s="9">
        <v>0.75</v>
      </c>
      <c r="N752" s="9">
        <v>1.0</v>
      </c>
      <c r="O752" s="9">
        <v>1.0</v>
      </c>
      <c r="P752" s="10">
        <v>45172.0</v>
      </c>
      <c r="Q752" s="11">
        <v>1.95</v>
      </c>
      <c r="R752" s="8" t="s">
        <v>79</v>
      </c>
      <c r="S752" s="12">
        <f t="shared" si="1"/>
        <v>-0.5</v>
      </c>
      <c r="T752" s="12">
        <f t="shared" si="8"/>
        <v>5.235366518</v>
      </c>
      <c r="U752" s="145"/>
    </row>
    <row r="753">
      <c r="A753" s="58"/>
      <c r="B753" s="58"/>
      <c r="C753" s="58"/>
      <c r="D753" s="15" t="s">
        <v>19</v>
      </c>
      <c r="E753" s="15" t="s">
        <v>3194</v>
      </c>
      <c r="F753" s="15" t="s">
        <v>1473</v>
      </c>
      <c r="G753" s="15" t="s">
        <v>2556</v>
      </c>
      <c r="H753" s="15">
        <v>-3.0</v>
      </c>
      <c r="I753" s="15" t="s">
        <v>121</v>
      </c>
      <c r="J753" s="15" t="s">
        <v>22</v>
      </c>
      <c r="K753" s="15" t="s">
        <v>225</v>
      </c>
      <c r="L753" s="15" t="s">
        <v>24</v>
      </c>
      <c r="M753" s="16">
        <v>0.5</v>
      </c>
      <c r="N753" s="16">
        <v>0.75</v>
      </c>
      <c r="O753" s="16">
        <v>0.75</v>
      </c>
      <c r="P753" s="17">
        <v>45172.0</v>
      </c>
      <c r="Q753" s="18">
        <v>1.75</v>
      </c>
      <c r="R753" s="15" t="s">
        <v>33</v>
      </c>
      <c r="S753" s="19">
        <f t="shared" si="1"/>
        <v>0.5625</v>
      </c>
      <c r="T753" s="19">
        <f t="shared" si="8"/>
        <v>5.797866518</v>
      </c>
      <c r="U753" s="144"/>
    </row>
    <row r="754">
      <c r="A754" s="59"/>
      <c r="B754" s="59"/>
      <c r="C754" s="59"/>
      <c r="D754" s="8" t="s">
        <v>19</v>
      </c>
      <c r="E754" s="8" t="s">
        <v>3195</v>
      </c>
      <c r="F754" s="8" t="s">
        <v>1473</v>
      </c>
      <c r="G754" s="8" t="s">
        <v>2556</v>
      </c>
      <c r="H754" s="8">
        <v>0.0</v>
      </c>
      <c r="I754" s="8" t="s">
        <v>99</v>
      </c>
      <c r="J754" s="8" t="s">
        <v>22</v>
      </c>
      <c r="K754" s="8" t="s">
        <v>225</v>
      </c>
      <c r="L754" s="8" t="s">
        <v>24</v>
      </c>
      <c r="M754" s="9">
        <v>0.5</v>
      </c>
      <c r="N754" s="9">
        <v>1.0</v>
      </c>
      <c r="O754" s="9">
        <v>1.0</v>
      </c>
      <c r="P754" s="10">
        <v>45172.0</v>
      </c>
      <c r="Q754" s="11">
        <v>1.75</v>
      </c>
      <c r="R754" s="8" t="s">
        <v>70</v>
      </c>
      <c r="S754" s="12">
        <f t="shared" si="1"/>
        <v>0</v>
      </c>
      <c r="T754" s="12">
        <f t="shared" si="8"/>
        <v>5.797866518</v>
      </c>
      <c r="U754" s="145"/>
    </row>
    <row r="755">
      <c r="A755" s="58"/>
      <c r="B755" s="58"/>
      <c r="C755" s="58"/>
      <c r="D755" s="15" t="s">
        <v>19</v>
      </c>
      <c r="E755" s="15" t="s">
        <v>3196</v>
      </c>
      <c r="F755" s="15"/>
      <c r="G755" s="15"/>
      <c r="H755" s="15" t="s">
        <v>3154</v>
      </c>
      <c r="I755" s="15" t="s">
        <v>82</v>
      </c>
      <c r="J755" s="15" t="s">
        <v>22</v>
      </c>
      <c r="K755" s="15" t="s">
        <v>29</v>
      </c>
      <c r="L755" s="15" t="s">
        <v>39</v>
      </c>
      <c r="M755" s="16">
        <v>-3.5</v>
      </c>
      <c r="N755" s="16">
        <v>0.5</v>
      </c>
      <c r="O755" s="16">
        <v>0.5</v>
      </c>
      <c r="P755" s="17">
        <v>45172.0</v>
      </c>
      <c r="Q755" s="18">
        <v>1.727</v>
      </c>
      <c r="R755" s="15" t="s">
        <v>33</v>
      </c>
      <c r="S755" s="19">
        <f t="shared" si="1"/>
        <v>0.3635</v>
      </c>
      <c r="T755" s="19">
        <f t="shared" si="8"/>
        <v>6.161366518</v>
      </c>
      <c r="U755" s="144"/>
    </row>
    <row r="756">
      <c r="A756" s="59"/>
      <c r="B756" s="59"/>
      <c r="C756" s="59"/>
      <c r="D756" s="8" t="s">
        <v>19</v>
      </c>
      <c r="E756" s="8" t="s">
        <v>3197</v>
      </c>
      <c r="F756" s="8" t="s">
        <v>1473</v>
      </c>
      <c r="G756" s="8" t="s">
        <v>2556</v>
      </c>
      <c r="H756" s="8">
        <v>-1.0</v>
      </c>
      <c r="I756" s="8" t="s">
        <v>93</v>
      </c>
      <c r="J756" s="8" t="s">
        <v>22</v>
      </c>
      <c r="K756" s="8" t="s">
        <v>225</v>
      </c>
      <c r="L756" s="8" t="s">
        <v>1522</v>
      </c>
      <c r="M756" s="9">
        <v>1.0</v>
      </c>
      <c r="N756" s="9">
        <v>1.0</v>
      </c>
      <c r="O756" s="9">
        <v>1.0</v>
      </c>
      <c r="P756" s="10">
        <v>45172.0</v>
      </c>
      <c r="Q756" s="11">
        <v>1.9</v>
      </c>
      <c r="R756" s="8" t="s">
        <v>33</v>
      </c>
      <c r="S756" s="12">
        <f t="shared" si="1"/>
        <v>0.9</v>
      </c>
      <c r="T756" s="12">
        <f t="shared" si="8"/>
        <v>7.061366518</v>
      </c>
      <c r="U756" s="145"/>
    </row>
    <row r="757">
      <c r="A757" s="58"/>
      <c r="B757" s="58"/>
      <c r="C757" s="58"/>
      <c r="D757" s="15" t="s">
        <v>19</v>
      </c>
      <c r="E757" s="15" t="s">
        <v>3198</v>
      </c>
      <c r="F757" s="15" t="s">
        <v>1473</v>
      </c>
      <c r="G757" s="15" t="s">
        <v>2660</v>
      </c>
      <c r="H757" s="15">
        <v>3</v>
      </c>
      <c r="I757" s="15" t="s">
        <v>82</v>
      </c>
      <c r="J757" s="15" t="s">
        <v>22</v>
      </c>
      <c r="K757" s="15" t="s">
        <v>892</v>
      </c>
      <c r="L757" s="15" t="s">
        <v>24</v>
      </c>
      <c r="M757" s="16">
        <v>0.0</v>
      </c>
      <c r="N757" s="16">
        <v>1.0</v>
      </c>
      <c r="O757" s="16">
        <v>1.0</v>
      </c>
      <c r="P757" s="17">
        <v>45172.0</v>
      </c>
      <c r="Q757" s="18">
        <v>1.775</v>
      </c>
      <c r="R757" s="15" t="s">
        <v>33</v>
      </c>
      <c r="S757" s="19">
        <f t="shared" si="1"/>
        <v>0.775</v>
      </c>
      <c r="T757" s="19">
        <f t="shared" si="8"/>
        <v>7.836366518</v>
      </c>
      <c r="U757" s="144"/>
    </row>
    <row r="758">
      <c r="A758" s="59"/>
      <c r="B758" s="59"/>
      <c r="C758" s="59"/>
      <c r="D758" s="8" t="s">
        <v>19</v>
      </c>
      <c r="E758" s="8" t="s">
        <v>3199</v>
      </c>
      <c r="F758" s="8" t="s">
        <v>1479</v>
      </c>
      <c r="G758" s="8" t="s">
        <v>2556</v>
      </c>
      <c r="H758" s="8">
        <v>0.0</v>
      </c>
      <c r="I758" s="8" t="s">
        <v>316</v>
      </c>
      <c r="J758" s="8" t="s">
        <v>22</v>
      </c>
      <c r="K758" s="8" t="s">
        <v>225</v>
      </c>
      <c r="L758" s="8" t="s">
        <v>24</v>
      </c>
      <c r="M758" s="9">
        <v>1.5</v>
      </c>
      <c r="N758" s="9">
        <v>0.25</v>
      </c>
      <c r="O758" s="9">
        <f>0.833*0.25</f>
        <v>0.20825</v>
      </c>
      <c r="P758" s="10">
        <v>45174.0</v>
      </c>
      <c r="Q758" s="11">
        <v>1.825</v>
      </c>
      <c r="R758" s="8" t="s">
        <v>33</v>
      </c>
      <c r="S758" s="12">
        <f t="shared" si="1"/>
        <v>0.17180625</v>
      </c>
      <c r="T758" s="12">
        <f t="shared" si="8"/>
        <v>8.008172768</v>
      </c>
      <c r="U758" s="145"/>
    </row>
    <row r="759">
      <c r="A759" s="58"/>
      <c r="B759" s="58"/>
      <c r="C759" s="58"/>
      <c r="D759" s="15" t="s">
        <v>19</v>
      </c>
      <c r="E759" s="15" t="s">
        <v>3200</v>
      </c>
      <c r="F759" s="15"/>
      <c r="G759" s="15"/>
      <c r="H759" s="15"/>
      <c r="I759" s="15" t="s">
        <v>82</v>
      </c>
      <c r="J759" s="15" t="s">
        <v>598</v>
      </c>
      <c r="K759" s="15" t="s">
        <v>23</v>
      </c>
      <c r="L759" s="15" t="s">
        <v>24</v>
      </c>
      <c r="M759" s="16">
        <v>-10.5</v>
      </c>
      <c r="N759" s="16">
        <v>0.25</v>
      </c>
      <c r="O759" s="16">
        <v>0.25</v>
      </c>
      <c r="P759" s="17">
        <v>45178.0</v>
      </c>
      <c r="Q759" s="18">
        <v>1.85</v>
      </c>
      <c r="R759" s="15" t="s">
        <v>33</v>
      </c>
      <c r="S759" s="19">
        <f t="shared" si="1"/>
        <v>0.2125</v>
      </c>
      <c r="T759" s="19">
        <f t="shared" si="8"/>
        <v>8.220672768</v>
      </c>
      <c r="U759" s="144"/>
    </row>
    <row r="760">
      <c r="A760" s="59"/>
      <c r="B760" s="59"/>
      <c r="C760" s="59"/>
      <c r="D760" s="8" t="s">
        <v>19</v>
      </c>
      <c r="E760" s="8" t="s">
        <v>3201</v>
      </c>
      <c r="F760" s="8"/>
      <c r="G760" s="8"/>
      <c r="H760" s="8" t="s">
        <v>2868</v>
      </c>
      <c r="I760" s="8" t="s">
        <v>316</v>
      </c>
      <c r="J760" s="8" t="s">
        <v>22</v>
      </c>
      <c r="K760" s="8" t="s">
        <v>2962</v>
      </c>
      <c r="L760" s="8" t="s">
        <v>24</v>
      </c>
      <c r="M760" s="9">
        <v>-4.5</v>
      </c>
      <c r="N760" s="9">
        <v>0.25</v>
      </c>
      <c r="O760" s="9">
        <v>0.25</v>
      </c>
      <c r="P760" s="10">
        <v>45174.0</v>
      </c>
      <c r="Q760" s="11">
        <v>1.8</v>
      </c>
      <c r="R760" s="8" t="s">
        <v>33</v>
      </c>
      <c r="S760" s="12">
        <f t="shared" si="1"/>
        <v>0.2</v>
      </c>
      <c r="T760" s="12">
        <f t="shared" si="8"/>
        <v>8.420672768</v>
      </c>
      <c r="U760" s="145"/>
    </row>
    <row r="761">
      <c r="A761" s="58"/>
      <c r="B761" s="58"/>
      <c r="C761" s="58"/>
      <c r="D761" s="15" t="s">
        <v>19</v>
      </c>
      <c r="E761" s="15" t="s">
        <v>3202</v>
      </c>
      <c r="F761" s="15" t="s">
        <v>1473</v>
      </c>
      <c r="G761" s="15" t="s">
        <v>2556</v>
      </c>
      <c r="H761" s="15">
        <v>0.0</v>
      </c>
      <c r="I761" s="15" t="s">
        <v>28</v>
      </c>
      <c r="J761" s="15" t="s">
        <v>22</v>
      </c>
      <c r="K761" s="15" t="s">
        <v>225</v>
      </c>
      <c r="L761" s="15" t="s">
        <v>24</v>
      </c>
      <c r="M761" s="16">
        <v>0.5</v>
      </c>
      <c r="N761" s="16">
        <v>0.25</v>
      </c>
      <c r="O761" s="16">
        <v>0.25</v>
      </c>
      <c r="P761" s="17">
        <v>45174.0</v>
      </c>
      <c r="Q761" s="18">
        <v>1.13</v>
      </c>
      <c r="R761" s="15" t="s">
        <v>33</v>
      </c>
      <c r="S761" s="19">
        <f t="shared" si="1"/>
        <v>0.0325</v>
      </c>
      <c r="T761" s="19">
        <f t="shared" si="8"/>
        <v>8.453172768</v>
      </c>
      <c r="U761" s="144"/>
    </row>
    <row r="762">
      <c r="A762" s="59"/>
      <c r="B762" s="59"/>
      <c r="C762" s="59"/>
      <c r="D762" s="8" t="s">
        <v>40</v>
      </c>
      <c r="E762" s="8" t="s">
        <v>3203</v>
      </c>
      <c r="F762" s="8"/>
      <c r="G762" s="8"/>
      <c r="H762" s="8" t="s">
        <v>3204</v>
      </c>
      <c r="I762" s="8" t="s">
        <v>1961</v>
      </c>
      <c r="J762" s="8" t="s">
        <v>22</v>
      </c>
      <c r="K762" s="8" t="s">
        <v>29</v>
      </c>
      <c r="L762" s="8" t="s">
        <v>39</v>
      </c>
      <c r="M762" s="9">
        <v>-4.75</v>
      </c>
      <c r="N762" s="9">
        <v>0.5</v>
      </c>
      <c r="O762" s="9">
        <v>0.5</v>
      </c>
      <c r="P762" s="10">
        <v>45175.0</v>
      </c>
      <c r="Q762" s="11">
        <v>2.0</v>
      </c>
      <c r="R762" s="8" t="s">
        <v>25</v>
      </c>
      <c r="S762" s="12">
        <f t="shared" si="1"/>
        <v>-0.5</v>
      </c>
      <c r="T762" s="12">
        <f t="shared" si="8"/>
        <v>7.953172768</v>
      </c>
      <c r="U762" s="145"/>
    </row>
    <row r="763">
      <c r="A763" s="58"/>
      <c r="B763" s="58"/>
      <c r="C763" s="58"/>
      <c r="D763" s="15" t="s">
        <v>40</v>
      </c>
      <c r="E763" s="15" t="s">
        <v>3205</v>
      </c>
      <c r="F763" s="15"/>
      <c r="G763" s="15"/>
      <c r="H763" s="15" t="s">
        <v>3206</v>
      </c>
      <c r="I763" s="15" t="s">
        <v>1961</v>
      </c>
      <c r="J763" s="15" t="s">
        <v>22</v>
      </c>
      <c r="K763" s="15" t="s">
        <v>29</v>
      </c>
      <c r="L763" s="15" t="s">
        <v>39</v>
      </c>
      <c r="M763" s="16">
        <v>-4.5</v>
      </c>
      <c r="N763" s="16">
        <v>0.25</v>
      </c>
      <c r="O763" s="16">
        <v>0.25</v>
      </c>
      <c r="P763" s="17">
        <v>45175.0</v>
      </c>
      <c r="Q763" s="18">
        <v>2.0</v>
      </c>
      <c r="R763" s="15" t="s">
        <v>25</v>
      </c>
      <c r="S763" s="19">
        <f t="shared" si="1"/>
        <v>-0.25</v>
      </c>
      <c r="T763" s="19">
        <f t="shared" si="8"/>
        <v>7.703172768</v>
      </c>
      <c r="U763" s="144"/>
    </row>
    <row r="764">
      <c r="A764" s="59"/>
      <c r="B764" s="59"/>
      <c r="C764" s="59"/>
      <c r="D764" s="8" t="s">
        <v>19</v>
      </c>
      <c r="E764" s="8" t="s">
        <v>3207</v>
      </c>
      <c r="F764" s="8" t="s">
        <v>1473</v>
      </c>
      <c r="G764" s="8" t="s">
        <v>2556</v>
      </c>
      <c r="H764" s="8">
        <v>-2.0</v>
      </c>
      <c r="I764" s="8" t="s">
        <v>82</v>
      </c>
      <c r="J764" s="8" t="s">
        <v>22</v>
      </c>
      <c r="K764" s="8" t="s">
        <v>225</v>
      </c>
      <c r="L764" s="8" t="s">
        <v>24</v>
      </c>
      <c r="M764" s="9">
        <v>1.5</v>
      </c>
      <c r="N764" s="9">
        <v>0.5</v>
      </c>
      <c r="O764" s="9">
        <v>0.5</v>
      </c>
      <c r="P764" s="10">
        <v>45175.0</v>
      </c>
      <c r="Q764" s="11">
        <v>1.8</v>
      </c>
      <c r="R764" s="8" t="s">
        <v>33</v>
      </c>
      <c r="S764" s="12">
        <f t="shared" si="1"/>
        <v>0.4</v>
      </c>
      <c r="T764" s="12">
        <f t="shared" si="8"/>
        <v>8.103172768</v>
      </c>
      <c r="U764" s="145"/>
    </row>
    <row r="765">
      <c r="A765" s="58"/>
      <c r="B765" s="58"/>
      <c r="C765" s="58"/>
      <c r="D765" s="15" t="s">
        <v>19</v>
      </c>
      <c r="E765" s="15" t="s">
        <v>3208</v>
      </c>
      <c r="F765" s="15" t="s">
        <v>1473</v>
      </c>
      <c r="G765" s="15" t="s">
        <v>2556</v>
      </c>
      <c r="H765" s="15">
        <v>-2.0</v>
      </c>
      <c r="I765" s="15" t="s">
        <v>82</v>
      </c>
      <c r="J765" s="15" t="s">
        <v>22</v>
      </c>
      <c r="K765" s="15" t="s">
        <v>225</v>
      </c>
      <c r="L765" s="15" t="s">
        <v>24</v>
      </c>
      <c r="M765" s="16">
        <v>1.25</v>
      </c>
      <c r="N765" s="16">
        <v>0.5</v>
      </c>
      <c r="O765" s="16">
        <v>0.5</v>
      </c>
      <c r="P765" s="17">
        <v>45175.0</v>
      </c>
      <c r="Q765" s="18">
        <v>1.825</v>
      </c>
      <c r="R765" s="15" t="s">
        <v>33</v>
      </c>
      <c r="S765" s="19">
        <f t="shared" si="1"/>
        <v>0.4125</v>
      </c>
      <c r="T765" s="19">
        <f t="shared" si="8"/>
        <v>8.515672768</v>
      </c>
      <c r="U765" s="144"/>
    </row>
    <row r="766">
      <c r="A766" s="59"/>
      <c r="B766" s="59"/>
      <c r="C766" s="59"/>
      <c r="D766" s="8" t="s">
        <v>19</v>
      </c>
      <c r="E766" s="8" t="s">
        <v>3209</v>
      </c>
      <c r="F766" s="8" t="s">
        <v>1479</v>
      </c>
      <c r="G766" s="8" t="s">
        <v>2556</v>
      </c>
      <c r="H766" s="8">
        <f t="shared" ref="H766:H767" si="32">1</f>
        <v>1</v>
      </c>
      <c r="I766" s="8" t="s">
        <v>101</v>
      </c>
      <c r="J766" s="8" t="s">
        <v>22</v>
      </c>
      <c r="K766" s="8" t="s">
        <v>225</v>
      </c>
      <c r="L766" s="8" t="s">
        <v>24</v>
      </c>
      <c r="M766" s="9">
        <v>0.5</v>
      </c>
      <c r="N766" s="9">
        <v>1.0</v>
      </c>
      <c r="O766" s="9">
        <v>1.0</v>
      </c>
      <c r="P766" s="10">
        <v>45175.0</v>
      </c>
      <c r="Q766" s="11">
        <v>1.861</v>
      </c>
      <c r="R766" s="8" t="s">
        <v>33</v>
      </c>
      <c r="S766" s="12">
        <f t="shared" si="1"/>
        <v>0.861</v>
      </c>
      <c r="T766" s="12">
        <f t="shared" si="8"/>
        <v>9.376672768</v>
      </c>
      <c r="U766" s="145"/>
    </row>
    <row r="767">
      <c r="A767" s="58"/>
      <c r="B767" s="58"/>
      <c r="C767" s="58"/>
      <c r="D767" s="15" t="s">
        <v>40</v>
      </c>
      <c r="E767" s="15" t="s">
        <v>3210</v>
      </c>
      <c r="F767" s="15" t="s">
        <v>1473</v>
      </c>
      <c r="G767" s="15" t="s">
        <v>2556</v>
      </c>
      <c r="H767" s="15">
        <f t="shared" si="32"/>
        <v>1</v>
      </c>
      <c r="I767" s="15" t="s">
        <v>224</v>
      </c>
      <c r="J767" s="15" t="s">
        <v>22</v>
      </c>
      <c r="K767" s="15" t="s">
        <v>225</v>
      </c>
      <c r="L767" s="15" t="s">
        <v>24</v>
      </c>
      <c r="M767" s="16">
        <v>0.5</v>
      </c>
      <c r="N767" s="16">
        <v>0.75</v>
      </c>
      <c r="O767" s="16">
        <v>0.75</v>
      </c>
      <c r="P767" s="17">
        <v>45175.0</v>
      </c>
      <c r="Q767" s="18">
        <v>1.2</v>
      </c>
      <c r="R767" s="15" t="s">
        <v>33</v>
      </c>
      <c r="S767" s="19">
        <f t="shared" si="1"/>
        <v>0.15</v>
      </c>
      <c r="T767" s="19">
        <f t="shared" si="8"/>
        <v>9.526672768</v>
      </c>
      <c r="U767" s="144"/>
    </row>
    <row r="768">
      <c r="A768" s="59"/>
      <c r="B768" s="59"/>
      <c r="C768" s="59"/>
      <c r="D768" s="8" t="s">
        <v>19</v>
      </c>
      <c r="E768" s="8" t="s">
        <v>3211</v>
      </c>
      <c r="F768" s="8" t="s">
        <v>1473</v>
      </c>
      <c r="G768" s="8" t="s">
        <v>2556</v>
      </c>
      <c r="H768" s="8">
        <v>0.0</v>
      </c>
      <c r="I768" s="8" t="s">
        <v>644</v>
      </c>
      <c r="J768" s="8" t="s">
        <v>22</v>
      </c>
      <c r="K768" s="8" t="s">
        <v>225</v>
      </c>
      <c r="L768" s="8" t="s">
        <v>24</v>
      </c>
      <c r="M768" s="9">
        <v>0.75</v>
      </c>
      <c r="N768" s="9">
        <v>0.75</v>
      </c>
      <c r="O768" s="9">
        <v>0.75</v>
      </c>
      <c r="P768" s="10">
        <v>45175.0</v>
      </c>
      <c r="Q768" s="11">
        <v>1.654</v>
      </c>
      <c r="R768" s="8" t="s">
        <v>33</v>
      </c>
      <c r="S768" s="12">
        <f t="shared" si="1"/>
        <v>0.4905</v>
      </c>
      <c r="T768" s="12">
        <f t="shared" si="8"/>
        <v>10.01717277</v>
      </c>
      <c r="U768" s="145"/>
    </row>
    <row r="769">
      <c r="A769" s="58"/>
      <c r="B769" s="58"/>
      <c r="C769" s="58"/>
      <c r="D769" s="15" t="s">
        <v>40</v>
      </c>
      <c r="E769" s="15" t="s">
        <v>3212</v>
      </c>
      <c r="F769" s="15" t="s">
        <v>1479</v>
      </c>
      <c r="G769" s="15" t="s">
        <v>2556</v>
      </c>
      <c r="H769" s="15">
        <v>-5.0</v>
      </c>
      <c r="I769" s="15" t="s">
        <v>2108</v>
      </c>
      <c r="J769" s="15" t="s">
        <v>22</v>
      </c>
      <c r="K769" s="15" t="s">
        <v>225</v>
      </c>
      <c r="L769" s="15" t="s">
        <v>24</v>
      </c>
      <c r="M769" s="16">
        <v>0.5</v>
      </c>
      <c r="N769" s="16">
        <v>0.25</v>
      </c>
      <c r="O769" s="16">
        <f>0.333*0.25</f>
        <v>0.08325</v>
      </c>
      <c r="P769" s="17">
        <v>45176.0</v>
      </c>
      <c r="Q769" s="18">
        <v>1.64</v>
      </c>
      <c r="R769" s="15" t="s">
        <v>33</v>
      </c>
      <c r="S769" s="19">
        <f t="shared" si="1"/>
        <v>0.05328</v>
      </c>
      <c r="T769" s="19">
        <f t="shared" si="8"/>
        <v>10.07045277</v>
      </c>
      <c r="U769" s="144"/>
    </row>
    <row r="770">
      <c r="A770" s="59"/>
      <c r="B770" s="59"/>
      <c r="C770" s="59"/>
      <c r="D770" s="8" t="s">
        <v>40</v>
      </c>
      <c r="E770" s="8" t="s">
        <v>3213</v>
      </c>
      <c r="F770" s="8"/>
      <c r="G770" s="8"/>
      <c r="H770" s="8" t="s">
        <v>3214</v>
      </c>
      <c r="I770" s="8" t="s">
        <v>2108</v>
      </c>
      <c r="J770" s="8" t="s">
        <v>22</v>
      </c>
      <c r="K770" s="8" t="s">
        <v>29</v>
      </c>
      <c r="L770" s="8" t="s">
        <v>24</v>
      </c>
      <c r="M770" s="9">
        <v>-8.25</v>
      </c>
      <c r="N770" s="9">
        <v>0.25</v>
      </c>
      <c r="O770" s="9">
        <v>0.25</v>
      </c>
      <c r="P770" s="10">
        <v>45176.0</v>
      </c>
      <c r="Q770" s="11">
        <v>1.8</v>
      </c>
      <c r="R770" s="8" t="s">
        <v>30</v>
      </c>
      <c r="S770" s="12">
        <f t="shared" si="1"/>
        <v>0.1</v>
      </c>
      <c r="T770" s="12">
        <f t="shared" si="8"/>
        <v>10.17045277</v>
      </c>
      <c r="U770" s="145"/>
    </row>
    <row r="771">
      <c r="A771" s="58"/>
      <c r="B771" s="58"/>
      <c r="C771" s="58"/>
      <c r="D771" s="15" t="s">
        <v>19</v>
      </c>
      <c r="E771" s="15" t="s">
        <v>3215</v>
      </c>
      <c r="F771" s="15" t="s">
        <v>1473</v>
      </c>
      <c r="G771" s="15"/>
      <c r="H771" s="15" t="s">
        <v>3216</v>
      </c>
      <c r="I771" s="15" t="s">
        <v>82</v>
      </c>
      <c r="J771" s="15" t="s">
        <v>22</v>
      </c>
      <c r="K771" s="15" t="s">
        <v>1165</v>
      </c>
      <c r="L771" s="15" t="s">
        <v>24</v>
      </c>
      <c r="M771" s="16"/>
      <c r="N771" s="16">
        <v>0.1</v>
      </c>
      <c r="O771" s="16">
        <v>0.1</v>
      </c>
      <c r="P771" s="17">
        <v>45176.0</v>
      </c>
      <c r="Q771" s="18">
        <v>6.5</v>
      </c>
      <c r="R771" s="15" t="s">
        <v>25</v>
      </c>
      <c r="S771" s="19">
        <f t="shared" si="1"/>
        <v>-0.1</v>
      </c>
      <c r="T771" s="19">
        <f t="shared" si="8"/>
        <v>10.07045277</v>
      </c>
      <c r="U771" s="144"/>
    </row>
    <row r="772">
      <c r="A772" s="59"/>
      <c r="B772" s="59"/>
      <c r="C772" s="59"/>
      <c r="D772" s="8" t="s">
        <v>19</v>
      </c>
      <c r="E772" s="8" t="s">
        <v>3217</v>
      </c>
      <c r="F772" s="8" t="s">
        <v>1479</v>
      </c>
      <c r="G772" s="8" t="s">
        <v>2556</v>
      </c>
      <c r="H772" s="8">
        <v>0.0</v>
      </c>
      <c r="I772" s="8" t="s">
        <v>101</v>
      </c>
      <c r="J772" s="8" t="s">
        <v>22</v>
      </c>
      <c r="K772" s="8" t="s">
        <v>225</v>
      </c>
      <c r="L772" s="8" t="s">
        <v>24</v>
      </c>
      <c r="M772" s="9">
        <v>0.25</v>
      </c>
      <c r="N772" s="9">
        <v>0.5</v>
      </c>
      <c r="O772" s="9">
        <v>0.5</v>
      </c>
      <c r="P772" s="10">
        <v>45177.0</v>
      </c>
      <c r="Q772" s="11">
        <v>1.775</v>
      </c>
      <c r="R772" s="8" t="s">
        <v>33</v>
      </c>
      <c r="S772" s="12">
        <f t="shared" si="1"/>
        <v>0.3875</v>
      </c>
      <c r="T772" s="12">
        <f t="shared" si="8"/>
        <v>10.45795277</v>
      </c>
      <c r="U772" s="145"/>
    </row>
    <row r="773">
      <c r="A773" s="58"/>
      <c r="B773" s="58"/>
      <c r="C773" s="58"/>
      <c r="D773" s="15" t="s">
        <v>19</v>
      </c>
      <c r="E773" s="15" t="s">
        <v>3218</v>
      </c>
      <c r="F773" s="15" t="s">
        <v>1479</v>
      </c>
      <c r="G773" s="15"/>
      <c r="H773" s="15">
        <v>0.0</v>
      </c>
      <c r="I773" s="15" t="s">
        <v>101</v>
      </c>
      <c r="J773" s="15" t="s">
        <v>22</v>
      </c>
      <c r="K773" s="15" t="s">
        <v>941</v>
      </c>
      <c r="L773" s="15" t="s">
        <v>24</v>
      </c>
      <c r="M773" s="16">
        <v>0.0</v>
      </c>
      <c r="N773" s="16">
        <v>0.25</v>
      </c>
      <c r="O773" s="16">
        <v>0.25</v>
      </c>
      <c r="P773" s="17">
        <v>45177.0</v>
      </c>
      <c r="Q773" s="18">
        <v>2.2</v>
      </c>
      <c r="R773" s="15" t="s">
        <v>70</v>
      </c>
      <c r="S773" s="19">
        <f t="shared" si="1"/>
        <v>0</v>
      </c>
      <c r="T773" s="19">
        <f t="shared" si="8"/>
        <v>10.45795277</v>
      </c>
      <c r="U773" s="144"/>
    </row>
    <row r="774">
      <c r="A774" s="59"/>
      <c r="B774" s="59"/>
      <c r="C774" s="59"/>
      <c r="D774" s="8" t="s">
        <v>19</v>
      </c>
      <c r="E774" s="8" t="s">
        <v>3219</v>
      </c>
      <c r="F774" s="8" t="s">
        <v>1473</v>
      </c>
      <c r="G774" s="8" t="s">
        <v>2556</v>
      </c>
      <c r="H774" s="8">
        <v>0.0</v>
      </c>
      <c r="I774" s="8" t="s">
        <v>316</v>
      </c>
      <c r="J774" s="8" t="s">
        <v>22</v>
      </c>
      <c r="K774" s="8" t="s">
        <v>225</v>
      </c>
      <c r="L774" s="8" t="s">
        <v>24</v>
      </c>
      <c r="M774" s="9">
        <v>0.75</v>
      </c>
      <c r="N774" s="9">
        <v>0.75</v>
      </c>
      <c r="O774" s="9">
        <v>0.75</v>
      </c>
      <c r="P774" s="10">
        <v>45177.0</v>
      </c>
      <c r="Q774" s="11">
        <v>1.85</v>
      </c>
      <c r="R774" s="8" t="s">
        <v>33</v>
      </c>
      <c r="S774" s="12">
        <f t="shared" si="1"/>
        <v>0.6375</v>
      </c>
      <c r="T774" s="12">
        <f t="shared" si="8"/>
        <v>11.09545277</v>
      </c>
      <c r="U774" s="145"/>
    </row>
    <row r="775">
      <c r="A775" s="58"/>
      <c r="B775" s="58"/>
      <c r="C775" s="58"/>
      <c r="D775" s="15" t="s">
        <v>19</v>
      </c>
      <c r="E775" s="15" t="s">
        <v>3220</v>
      </c>
      <c r="F775" s="15" t="s">
        <v>1473</v>
      </c>
      <c r="G775" s="15" t="s">
        <v>2556</v>
      </c>
      <c r="H775" s="15">
        <v>0.0</v>
      </c>
      <c r="I775" s="15" t="s">
        <v>28</v>
      </c>
      <c r="J775" s="15" t="s">
        <v>22</v>
      </c>
      <c r="K775" s="15" t="s">
        <v>225</v>
      </c>
      <c r="L775" s="15" t="s">
        <v>1522</v>
      </c>
      <c r="M775" s="16">
        <v>1.0</v>
      </c>
      <c r="N775" s="16">
        <v>0.25</v>
      </c>
      <c r="O775" s="16">
        <f>0.467*0.25</f>
        <v>0.11675</v>
      </c>
      <c r="P775" s="17">
        <v>45178.0</v>
      </c>
      <c r="Q775" s="18">
        <v>2.025</v>
      </c>
      <c r="R775" s="15" t="s">
        <v>33</v>
      </c>
      <c r="S775" s="19">
        <f t="shared" si="1"/>
        <v>0.11966875</v>
      </c>
      <c r="T775" s="19">
        <f t="shared" si="8"/>
        <v>11.21512152</v>
      </c>
      <c r="U775" s="144"/>
    </row>
    <row r="776">
      <c r="A776" s="59"/>
      <c r="B776" s="59"/>
      <c r="C776" s="59"/>
      <c r="D776" s="8" t="s">
        <v>19</v>
      </c>
      <c r="E776" s="8" t="s">
        <v>3221</v>
      </c>
      <c r="F776" s="8" t="s">
        <v>1473</v>
      </c>
      <c r="G776" s="8" t="s">
        <v>2556</v>
      </c>
      <c r="H776" s="8">
        <v>0.0</v>
      </c>
      <c r="I776" s="8" t="s">
        <v>1368</v>
      </c>
      <c r="J776" s="8" t="s">
        <v>22</v>
      </c>
      <c r="K776" s="8" t="s">
        <v>225</v>
      </c>
      <c r="L776" s="8" t="s">
        <v>24</v>
      </c>
      <c r="M776" s="9">
        <v>1.0</v>
      </c>
      <c r="N776" s="9">
        <v>0.5</v>
      </c>
      <c r="O776" s="9">
        <v>0.5</v>
      </c>
      <c r="P776" s="10">
        <v>45178.0</v>
      </c>
      <c r="Q776" s="11">
        <v>1.75</v>
      </c>
      <c r="R776" s="8" t="s">
        <v>33</v>
      </c>
      <c r="S776" s="12">
        <f t="shared" si="1"/>
        <v>0.375</v>
      </c>
      <c r="T776" s="12">
        <f t="shared" si="8"/>
        <v>11.59012152</v>
      </c>
      <c r="U776" s="145"/>
    </row>
    <row r="777">
      <c r="A777" s="58"/>
      <c r="B777" s="58"/>
      <c r="C777" s="58"/>
      <c r="D777" s="15" t="s">
        <v>40</v>
      </c>
      <c r="E777" s="15" t="s">
        <v>3222</v>
      </c>
      <c r="F777" s="15" t="s">
        <v>1473</v>
      </c>
      <c r="G777" s="15" t="s">
        <v>2556</v>
      </c>
      <c r="H777" s="15">
        <v>0.0</v>
      </c>
      <c r="I777" s="15" t="s">
        <v>218</v>
      </c>
      <c r="J777" s="15" t="s">
        <v>22</v>
      </c>
      <c r="K777" s="15" t="s">
        <v>941</v>
      </c>
      <c r="L777" s="15" t="s">
        <v>1522</v>
      </c>
      <c r="M777" s="16">
        <v>0.0</v>
      </c>
      <c r="N777" s="16">
        <v>0.5</v>
      </c>
      <c r="O777" s="16">
        <v>0.5</v>
      </c>
      <c r="P777" s="17">
        <v>45178.0</v>
      </c>
      <c r="Q777" s="18">
        <v>2.25</v>
      </c>
      <c r="R777" s="15" t="s">
        <v>70</v>
      </c>
      <c r="S777" s="19">
        <f t="shared" si="1"/>
        <v>0</v>
      </c>
      <c r="T777" s="19">
        <f t="shared" si="8"/>
        <v>11.59012152</v>
      </c>
      <c r="U777" s="144"/>
    </row>
    <row r="778">
      <c r="A778" s="59"/>
      <c r="B778" s="59"/>
      <c r="C778" s="59"/>
      <c r="D778" s="8" t="s">
        <v>40</v>
      </c>
      <c r="E778" s="8" t="s">
        <v>3223</v>
      </c>
      <c r="F778" s="8" t="s">
        <v>1473</v>
      </c>
      <c r="G778" s="8" t="s">
        <v>2556</v>
      </c>
      <c r="H778" s="8">
        <v>0.0</v>
      </c>
      <c r="I778" s="8" t="s">
        <v>218</v>
      </c>
      <c r="J778" s="8" t="s">
        <v>22</v>
      </c>
      <c r="K778" s="8" t="s">
        <v>225</v>
      </c>
      <c r="L778" s="8" t="s">
        <v>1522</v>
      </c>
      <c r="M778" s="9">
        <v>0.25</v>
      </c>
      <c r="N778" s="9">
        <v>0.5</v>
      </c>
      <c r="O778" s="9">
        <v>0.5</v>
      </c>
      <c r="P778" s="10">
        <v>45178.0</v>
      </c>
      <c r="Q778" s="11">
        <v>1.7</v>
      </c>
      <c r="R778" s="8" t="s">
        <v>30</v>
      </c>
      <c r="S778" s="12">
        <f t="shared" si="1"/>
        <v>0.175</v>
      </c>
      <c r="T778" s="12">
        <f t="shared" si="8"/>
        <v>11.76512152</v>
      </c>
      <c r="U778" s="145"/>
    </row>
    <row r="779">
      <c r="A779" s="58"/>
      <c r="B779" s="58"/>
      <c r="C779" s="58"/>
      <c r="D779" s="15" t="s">
        <v>19</v>
      </c>
      <c r="E779" s="15" t="s">
        <v>3224</v>
      </c>
      <c r="F779" s="15" t="s">
        <v>1473</v>
      </c>
      <c r="G779" s="15" t="s">
        <v>2556</v>
      </c>
      <c r="H779" s="15">
        <v>0.0</v>
      </c>
      <c r="I779" s="15" t="s">
        <v>93</v>
      </c>
      <c r="J779" s="15" t="s">
        <v>22</v>
      </c>
      <c r="K779" s="15" t="s">
        <v>225</v>
      </c>
      <c r="L779" s="15" t="s">
        <v>39</v>
      </c>
      <c r="M779" s="16">
        <v>0.5</v>
      </c>
      <c r="N779" s="16">
        <v>0.5</v>
      </c>
      <c r="O779" s="16">
        <v>0.5</v>
      </c>
      <c r="P779" s="17">
        <v>45178.0</v>
      </c>
      <c r="Q779" s="18">
        <v>1.775</v>
      </c>
      <c r="R779" s="15" t="s">
        <v>33</v>
      </c>
      <c r="S779" s="19">
        <f t="shared" si="1"/>
        <v>0.3875</v>
      </c>
      <c r="T779" s="19">
        <f t="shared" si="8"/>
        <v>12.15262152</v>
      </c>
      <c r="U779" s="144"/>
    </row>
    <row r="780">
      <c r="A780" s="59"/>
      <c r="B780" s="59"/>
      <c r="C780" s="59"/>
      <c r="D780" s="8" t="s">
        <v>40</v>
      </c>
      <c r="E780" s="8" t="s">
        <v>3225</v>
      </c>
      <c r="F780" s="8"/>
      <c r="G780" s="8"/>
      <c r="H780" s="8" t="s">
        <v>3154</v>
      </c>
      <c r="I780" s="8" t="s">
        <v>1961</v>
      </c>
      <c r="J780" s="8" t="s">
        <v>22</v>
      </c>
      <c r="K780" s="8" t="s">
        <v>29</v>
      </c>
      <c r="L780" s="8" t="s">
        <v>1522</v>
      </c>
      <c r="M780" s="9">
        <v>-3.25</v>
      </c>
      <c r="N780" s="9">
        <v>0.5</v>
      </c>
      <c r="O780" s="9">
        <f>0.5*3/4</f>
        <v>0.375</v>
      </c>
      <c r="P780" s="10">
        <v>45178.0</v>
      </c>
      <c r="Q780" s="11">
        <v>1.8</v>
      </c>
      <c r="R780" s="8" t="s">
        <v>30</v>
      </c>
      <c r="S780" s="12">
        <f t="shared" si="1"/>
        <v>0.15</v>
      </c>
      <c r="T780" s="12">
        <f t="shared" si="8"/>
        <v>12.30262152</v>
      </c>
      <c r="U780" s="145"/>
    </row>
    <row r="781">
      <c r="A781" s="58"/>
      <c r="B781" s="58"/>
      <c r="C781" s="58"/>
      <c r="D781" s="15" t="s">
        <v>40</v>
      </c>
      <c r="E781" s="15" t="s">
        <v>3226</v>
      </c>
      <c r="F781" s="15" t="s">
        <v>1479</v>
      </c>
      <c r="G781" s="15" t="s">
        <v>2660</v>
      </c>
      <c r="H781" s="15">
        <v>3</v>
      </c>
      <c r="I781" s="15" t="s">
        <v>66</v>
      </c>
      <c r="J781" s="15" t="s">
        <v>22</v>
      </c>
      <c r="K781" s="15" t="s">
        <v>892</v>
      </c>
      <c r="L781" s="15" t="s">
        <v>24</v>
      </c>
      <c r="M781" s="16">
        <v>0.0</v>
      </c>
      <c r="N781" s="16">
        <v>0.25</v>
      </c>
      <c r="O781" s="16">
        <v>0.25</v>
      </c>
      <c r="P781" s="17">
        <v>45178.0</v>
      </c>
      <c r="Q781" s="18">
        <v>1.5</v>
      </c>
      <c r="R781" s="15" t="s">
        <v>25</v>
      </c>
      <c r="S781" s="19">
        <f t="shared" si="1"/>
        <v>-0.25</v>
      </c>
      <c r="T781" s="19">
        <f t="shared" si="8"/>
        <v>12.05262152</v>
      </c>
      <c r="U781" s="144"/>
    </row>
    <row r="782">
      <c r="A782" s="59"/>
      <c r="B782" s="59"/>
      <c r="C782" s="59"/>
      <c r="D782" s="8" t="s">
        <v>40</v>
      </c>
      <c r="E782" s="8" t="s">
        <v>3227</v>
      </c>
      <c r="F782" s="8" t="s">
        <v>1473</v>
      </c>
      <c r="G782" s="8" t="s">
        <v>2556</v>
      </c>
      <c r="H782" s="8">
        <v>0.0</v>
      </c>
      <c r="I782" s="8" t="s">
        <v>178</v>
      </c>
      <c r="J782" s="8" t="s">
        <v>22</v>
      </c>
      <c r="K782" s="8" t="s">
        <v>225</v>
      </c>
      <c r="L782" s="8" t="s">
        <v>24</v>
      </c>
      <c r="M782" s="9">
        <v>0.5</v>
      </c>
      <c r="N782" s="9">
        <v>0.75</v>
      </c>
      <c r="O782" s="9">
        <v>0.61</v>
      </c>
      <c r="P782" s="10">
        <v>45178.0</v>
      </c>
      <c r="Q782" s="11">
        <v>1.52</v>
      </c>
      <c r="R782" s="8" t="s">
        <v>33</v>
      </c>
      <c r="S782" s="12">
        <f t="shared" si="1"/>
        <v>0.3172</v>
      </c>
      <c r="T782" s="12">
        <f t="shared" si="8"/>
        <v>12.36982152</v>
      </c>
      <c r="U782" s="145"/>
    </row>
    <row r="783">
      <c r="A783" s="58"/>
      <c r="B783" s="58"/>
      <c r="C783" s="58"/>
      <c r="D783" s="15" t="s">
        <v>19</v>
      </c>
      <c r="E783" s="15" t="s">
        <v>3228</v>
      </c>
      <c r="F783" s="15" t="s">
        <v>1479</v>
      </c>
      <c r="G783" s="15"/>
      <c r="H783" s="15">
        <v>-1.0</v>
      </c>
      <c r="I783" s="15" t="s">
        <v>82</v>
      </c>
      <c r="J783" s="15" t="s">
        <v>22</v>
      </c>
      <c r="K783" s="15" t="s">
        <v>1165</v>
      </c>
      <c r="L783" s="15" t="s">
        <v>24</v>
      </c>
      <c r="M783" s="16"/>
      <c r="N783" s="16">
        <v>0.1</v>
      </c>
      <c r="O783" s="16">
        <v>0.1</v>
      </c>
      <c r="P783" s="17">
        <v>45178.0</v>
      </c>
      <c r="Q783" s="18">
        <v>6.0</v>
      </c>
      <c r="R783" s="15" t="s">
        <v>33</v>
      </c>
      <c r="S783" s="19">
        <f t="shared" si="1"/>
        <v>0.5</v>
      </c>
      <c r="T783" s="19">
        <f t="shared" si="8"/>
        <v>12.86982152</v>
      </c>
      <c r="U783" s="144"/>
    </row>
    <row r="784">
      <c r="A784" s="59"/>
      <c r="B784" s="59"/>
      <c r="C784" s="59"/>
      <c r="D784" s="8" t="s">
        <v>40</v>
      </c>
      <c r="E784" s="8" t="s">
        <v>3229</v>
      </c>
      <c r="F784" s="8"/>
      <c r="G784" s="8"/>
      <c r="H784" s="8" t="s">
        <v>3121</v>
      </c>
      <c r="I784" s="8" t="s">
        <v>316</v>
      </c>
      <c r="J784" s="8" t="s">
        <v>22</v>
      </c>
      <c r="K784" s="8" t="s">
        <v>2962</v>
      </c>
      <c r="L784" s="8" t="s">
        <v>39</v>
      </c>
      <c r="M784" s="9">
        <v>-0.5</v>
      </c>
      <c r="N784" s="9">
        <v>0.5</v>
      </c>
      <c r="O784" s="9">
        <v>0.5</v>
      </c>
      <c r="P784" s="10">
        <v>45179.0</v>
      </c>
      <c r="Q784" s="11">
        <v>1.7</v>
      </c>
      <c r="R784" s="8" t="s">
        <v>33</v>
      </c>
      <c r="S784" s="12">
        <f t="shared" si="1"/>
        <v>0.35</v>
      </c>
      <c r="T784" s="12">
        <f t="shared" si="8"/>
        <v>13.21982152</v>
      </c>
      <c r="U784" s="145"/>
    </row>
    <row r="785">
      <c r="A785" s="58"/>
      <c r="B785" s="58"/>
      <c r="C785" s="58"/>
      <c r="D785" s="15" t="s">
        <v>19</v>
      </c>
      <c r="E785" s="15" t="s">
        <v>3230</v>
      </c>
      <c r="F785" s="15" t="s">
        <v>1473</v>
      </c>
      <c r="G785" s="15" t="s">
        <v>2573</v>
      </c>
      <c r="H785" s="15">
        <v>2</v>
      </c>
      <c r="I785" s="15" t="s">
        <v>227</v>
      </c>
      <c r="J785" s="15" t="s">
        <v>22</v>
      </c>
      <c r="K785" s="15" t="s">
        <v>894</v>
      </c>
      <c r="L785" s="15" t="s">
        <v>39</v>
      </c>
      <c r="M785" s="16">
        <v>-0.5</v>
      </c>
      <c r="N785" s="16">
        <v>0.25</v>
      </c>
      <c r="O785" s="16">
        <v>0.25</v>
      </c>
      <c r="P785" s="17">
        <v>45179.0</v>
      </c>
      <c r="Q785" s="18">
        <v>1.85</v>
      </c>
      <c r="R785" s="15" t="s">
        <v>25</v>
      </c>
      <c r="S785" s="19">
        <f t="shared" si="1"/>
        <v>-0.25</v>
      </c>
      <c r="T785" s="19">
        <f t="shared" si="8"/>
        <v>12.96982152</v>
      </c>
      <c r="U785" s="144"/>
    </row>
    <row r="786">
      <c r="A786" s="59"/>
      <c r="B786" s="59"/>
      <c r="C786" s="59"/>
      <c r="D786" s="8" t="s">
        <v>40</v>
      </c>
      <c r="E786" s="8" t="s">
        <v>3231</v>
      </c>
      <c r="F786" s="8" t="s">
        <v>1473</v>
      </c>
      <c r="G786" s="8" t="s">
        <v>2556</v>
      </c>
      <c r="H786" s="8">
        <v>0.0</v>
      </c>
      <c r="I786" s="8" t="s">
        <v>229</v>
      </c>
      <c r="J786" s="8" t="s">
        <v>22</v>
      </c>
      <c r="K786" s="8" t="s">
        <v>941</v>
      </c>
      <c r="L786" s="8" t="s">
        <v>24</v>
      </c>
      <c r="M786" s="9">
        <v>0.0</v>
      </c>
      <c r="N786" s="9">
        <v>0.25</v>
      </c>
      <c r="O786" s="9">
        <v>0.25</v>
      </c>
      <c r="P786" s="10">
        <v>45179.0</v>
      </c>
      <c r="Q786" s="11">
        <v>1.8</v>
      </c>
      <c r="R786" s="8" t="s">
        <v>33</v>
      </c>
      <c r="S786" s="12">
        <f t="shared" si="1"/>
        <v>0.2</v>
      </c>
      <c r="T786" s="12">
        <f t="shared" si="8"/>
        <v>13.16982152</v>
      </c>
      <c r="U786" s="145"/>
    </row>
    <row r="787">
      <c r="A787" s="58"/>
      <c r="B787" s="58"/>
      <c r="C787" s="58"/>
      <c r="D787" s="15" t="s">
        <v>40</v>
      </c>
      <c r="E787" s="15" t="s">
        <v>3232</v>
      </c>
      <c r="F787" s="15"/>
      <c r="G787" s="15"/>
      <c r="H787" s="15"/>
      <c r="I787" s="15" t="s">
        <v>316</v>
      </c>
      <c r="J787" s="15" t="s">
        <v>22</v>
      </c>
      <c r="K787" s="15" t="s">
        <v>23</v>
      </c>
      <c r="L787" s="15" t="s">
        <v>39</v>
      </c>
      <c r="M787" s="16">
        <v>-12.0</v>
      </c>
      <c r="N787" s="15">
        <v>0.35</v>
      </c>
      <c r="O787" s="15">
        <v>0.35</v>
      </c>
      <c r="P787" s="17">
        <v>45179.0</v>
      </c>
      <c r="Q787" s="18">
        <v>2.37</v>
      </c>
      <c r="R787" s="15" t="s">
        <v>33</v>
      </c>
      <c r="S787" s="19">
        <f t="shared" si="1"/>
        <v>0.4795</v>
      </c>
      <c r="T787" s="19">
        <f t="shared" si="8"/>
        <v>13.64932152</v>
      </c>
      <c r="U787" s="144"/>
    </row>
    <row r="788">
      <c r="A788" s="59"/>
      <c r="B788" s="59"/>
      <c r="C788" s="59"/>
      <c r="D788" s="8" t="s">
        <v>40</v>
      </c>
      <c r="E788" s="8" t="s">
        <v>3233</v>
      </c>
      <c r="F788" s="8"/>
      <c r="G788" s="8"/>
      <c r="H788" s="8" t="s">
        <v>3234</v>
      </c>
      <c r="I788" s="8" t="s">
        <v>316</v>
      </c>
      <c r="J788" s="8" t="s">
        <v>22</v>
      </c>
      <c r="K788" s="8" t="s">
        <v>29</v>
      </c>
      <c r="L788" s="8" t="s">
        <v>39</v>
      </c>
      <c r="M788" s="9">
        <v>-6.5</v>
      </c>
      <c r="N788" s="8">
        <v>0.25</v>
      </c>
      <c r="O788" s="8">
        <v>0.25</v>
      </c>
      <c r="P788" s="10">
        <v>45179.0</v>
      </c>
      <c r="Q788" s="11">
        <v>1.775</v>
      </c>
      <c r="R788" s="8" t="s">
        <v>33</v>
      </c>
      <c r="S788" s="12">
        <f t="shared" si="1"/>
        <v>0.19375</v>
      </c>
      <c r="T788" s="12">
        <f t="shared" si="8"/>
        <v>13.84307152</v>
      </c>
      <c r="U788" s="145"/>
    </row>
    <row r="789">
      <c r="A789" s="58"/>
      <c r="B789" s="58"/>
      <c r="C789" s="58"/>
      <c r="D789" s="15" t="s">
        <v>19</v>
      </c>
      <c r="E789" s="15" t="s">
        <v>3235</v>
      </c>
      <c r="F789" s="15" t="s">
        <v>1473</v>
      </c>
      <c r="G789" s="15"/>
      <c r="H789" s="15">
        <f>1</f>
        <v>1</v>
      </c>
      <c r="I789" s="15" t="s">
        <v>121</v>
      </c>
      <c r="J789" s="15" t="s">
        <v>22</v>
      </c>
      <c r="K789" s="15" t="s">
        <v>1847</v>
      </c>
      <c r="L789" s="15" t="s">
        <v>24</v>
      </c>
      <c r="M789" s="16">
        <v>-0.5</v>
      </c>
      <c r="N789" s="16">
        <v>0.5</v>
      </c>
      <c r="O789" s="16">
        <v>0.5</v>
      </c>
      <c r="P789" s="17">
        <v>45179.0</v>
      </c>
      <c r="Q789" s="18">
        <v>1.22</v>
      </c>
      <c r="R789" s="15" t="s">
        <v>33</v>
      </c>
      <c r="S789" s="19">
        <f t="shared" si="1"/>
        <v>0.11</v>
      </c>
      <c r="T789" s="19">
        <f t="shared" si="8"/>
        <v>13.95307152</v>
      </c>
      <c r="U789" s="144"/>
    </row>
    <row r="790">
      <c r="A790" s="59"/>
      <c r="B790" s="59"/>
      <c r="C790" s="59"/>
      <c r="D790" s="8" t="s">
        <v>19</v>
      </c>
      <c r="E790" s="8" t="s">
        <v>3236</v>
      </c>
      <c r="F790" s="8" t="s">
        <v>1479</v>
      </c>
      <c r="G790" s="8"/>
      <c r="H790" s="8">
        <v>0.0</v>
      </c>
      <c r="I790" s="8" t="s">
        <v>50</v>
      </c>
      <c r="J790" s="8" t="s">
        <v>22</v>
      </c>
      <c r="K790" s="8" t="s">
        <v>29</v>
      </c>
      <c r="L790" s="8" t="s">
        <v>39</v>
      </c>
      <c r="M790" s="9">
        <v>-0.5</v>
      </c>
      <c r="N790" s="8">
        <v>0.15</v>
      </c>
      <c r="O790" s="8">
        <v>0.15</v>
      </c>
      <c r="P790" s="10">
        <v>45179.0</v>
      </c>
      <c r="Q790" s="11">
        <v>3.42</v>
      </c>
      <c r="R790" s="8" t="s">
        <v>33</v>
      </c>
      <c r="S790" s="12">
        <f t="shared" si="1"/>
        <v>0.363</v>
      </c>
      <c r="T790" s="12">
        <f t="shared" si="8"/>
        <v>14.31607152</v>
      </c>
      <c r="U790" s="145"/>
    </row>
    <row r="791">
      <c r="A791" s="58"/>
      <c r="B791" s="58"/>
      <c r="C791" s="58"/>
      <c r="D791" s="15" t="s">
        <v>19</v>
      </c>
      <c r="E791" s="15" t="s">
        <v>3237</v>
      </c>
      <c r="F791" s="15"/>
      <c r="G791" s="15"/>
      <c r="H791" s="15"/>
      <c r="I791" s="15" t="s">
        <v>189</v>
      </c>
      <c r="J791" s="15" t="s">
        <v>22</v>
      </c>
      <c r="K791" s="15" t="s">
        <v>29</v>
      </c>
      <c r="L791" s="15" t="s">
        <v>24</v>
      </c>
      <c r="M791" s="16">
        <v>-6.0</v>
      </c>
      <c r="N791" s="16">
        <v>0.75</v>
      </c>
      <c r="O791" s="16">
        <v>0.75</v>
      </c>
      <c r="P791" s="55">
        <v>45181.0</v>
      </c>
      <c r="Q791" s="18">
        <v>1.85</v>
      </c>
      <c r="R791" s="15" t="s">
        <v>70</v>
      </c>
      <c r="S791" s="19">
        <f t="shared" si="1"/>
        <v>0</v>
      </c>
      <c r="T791" s="19">
        <f t="shared" si="8"/>
        <v>14.31607152</v>
      </c>
      <c r="U791" s="144"/>
    </row>
    <row r="792">
      <c r="A792" s="59"/>
      <c r="B792" s="59"/>
      <c r="C792" s="59"/>
      <c r="D792" s="8" t="s">
        <v>19</v>
      </c>
      <c r="E792" s="8" t="s">
        <v>3238</v>
      </c>
      <c r="F792" s="8" t="s">
        <v>1479</v>
      </c>
      <c r="G792" s="8"/>
      <c r="H792" s="8">
        <v>0.0</v>
      </c>
      <c r="I792" s="8" t="s">
        <v>44</v>
      </c>
      <c r="J792" s="8" t="s">
        <v>22</v>
      </c>
      <c r="K792" s="8" t="s">
        <v>1847</v>
      </c>
      <c r="L792" s="8" t="s">
        <v>1522</v>
      </c>
      <c r="M792" s="9">
        <v>-0.5</v>
      </c>
      <c r="N792" s="8">
        <v>0.75</v>
      </c>
      <c r="O792" s="8">
        <v>0.75</v>
      </c>
      <c r="P792" s="54">
        <v>45181.0</v>
      </c>
      <c r="Q792" s="11">
        <v>1.66</v>
      </c>
      <c r="R792" s="8" t="s">
        <v>33</v>
      </c>
      <c r="S792" s="12">
        <f t="shared" si="1"/>
        <v>0.495</v>
      </c>
      <c r="T792" s="12">
        <f t="shared" si="8"/>
        <v>14.81107152</v>
      </c>
      <c r="U792" s="145"/>
    </row>
    <row r="793">
      <c r="A793" s="58"/>
      <c r="B793" s="58"/>
      <c r="C793" s="58"/>
      <c r="D793" s="15" t="s">
        <v>19</v>
      </c>
      <c r="E793" s="15" t="s">
        <v>3239</v>
      </c>
      <c r="F793" s="15" t="s">
        <v>1473</v>
      </c>
      <c r="G793" s="15" t="s">
        <v>2556</v>
      </c>
      <c r="H793" s="15">
        <v>0.0</v>
      </c>
      <c r="I793" s="15" t="s">
        <v>38</v>
      </c>
      <c r="J793" s="15" t="s">
        <v>22</v>
      </c>
      <c r="K793" s="15" t="s">
        <v>225</v>
      </c>
      <c r="L793" s="15" t="s">
        <v>39</v>
      </c>
      <c r="M793" s="15">
        <v>0.75</v>
      </c>
      <c r="N793" s="16">
        <v>1.0</v>
      </c>
      <c r="O793" s="16">
        <v>1.0</v>
      </c>
      <c r="P793" s="55">
        <v>45181.0</v>
      </c>
      <c r="Q793" s="18">
        <v>1.85</v>
      </c>
      <c r="R793" s="15" t="s">
        <v>79</v>
      </c>
      <c r="S793" s="19">
        <f t="shared" si="1"/>
        <v>-0.5</v>
      </c>
      <c r="T793" s="19">
        <f t="shared" si="8"/>
        <v>14.31107152</v>
      </c>
      <c r="U793" s="144"/>
    </row>
    <row r="794">
      <c r="A794" s="59"/>
      <c r="B794" s="59"/>
      <c r="C794" s="59"/>
      <c r="D794" s="8" t="s">
        <v>19</v>
      </c>
      <c r="E794" s="8" t="s">
        <v>3240</v>
      </c>
      <c r="F794" s="8" t="s">
        <v>1473</v>
      </c>
      <c r="G794" s="8" t="s">
        <v>2556</v>
      </c>
      <c r="H794" s="8">
        <v>0.0</v>
      </c>
      <c r="I794" s="8" t="s">
        <v>167</v>
      </c>
      <c r="J794" s="8" t="s">
        <v>22</v>
      </c>
      <c r="K794" s="8" t="s">
        <v>941</v>
      </c>
      <c r="L794" s="8" t="s">
        <v>1522</v>
      </c>
      <c r="M794" s="9">
        <v>0.0</v>
      </c>
      <c r="N794" s="9">
        <v>0.5</v>
      </c>
      <c r="O794" s="9">
        <v>0.5</v>
      </c>
      <c r="P794" s="10">
        <v>45182.0</v>
      </c>
      <c r="Q794" s="11">
        <v>1.825</v>
      </c>
      <c r="R794" s="8" t="s">
        <v>70</v>
      </c>
      <c r="S794" s="12">
        <f t="shared" si="1"/>
        <v>0</v>
      </c>
      <c r="T794" s="12">
        <f t="shared" si="8"/>
        <v>14.31107152</v>
      </c>
      <c r="U794" s="145"/>
    </row>
    <row r="795">
      <c r="A795" s="58"/>
      <c r="B795" s="58"/>
      <c r="C795" s="58"/>
      <c r="D795" s="15" t="s">
        <v>19</v>
      </c>
      <c r="E795" s="15" t="s">
        <v>3241</v>
      </c>
      <c r="F795" s="15"/>
      <c r="G795" s="15"/>
      <c r="H795" s="15" t="s">
        <v>3242</v>
      </c>
      <c r="I795" s="15" t="s">
        <v>245</v>
      </c>
      <c r="J795" s="15" t="s">
        <v>22</v>
      </c>
      <c r="K795" s="15" t="s">
        <v>2962</v>
      </c>
      <c r="L795" s="15" t="s">
        <v>24</v>
      </c>
      <c r="M795" s="16">
        <v>-1.5</v>
      </c>
      <c r="N795" s="16">
        <v>0.5</v>
      </c>
      <c r="O795" s="16">
        <v>0.5</v>
      </c>
      <c r="P795" s="17">
        <v>45182.0</v>
      </c>
      <c r="Q795" s="18">
        <v>1.725</v>
      </c>
      <c r="R795" s="15" t="s">
        <v>25</v>
      </c>
      <c r="S795" s="19">
        <f t="shared" si="1"/>
        <v>-0.5</v>
      </c>
      <c r="T795" s="19">
        <f t="shared" si="8"/>
        <v>13.81107152</v>
      </c>
      <c r="U795" s="144"/>
    </row>
    <row r="796">
      <c r="A796" s="59"/>
      <c r="B796" s="59"/>
      <c r="C796" s="59"/>
      <c r="D796" s="8" t="s">
        <v>40</v>
      </c>
      <c r="E796" s="8" t="s">
        <v>3243</v>
      </c>
      <c r="F796" s="8" t="s">
        <v>1479</v>
      </c>
      <c r="G796" s="8" t="s">
        <v>2660</v>
      </c>
      <c r="H796" s="8">
        <v>-1.0</v>
      </c>
      <c r="I796" s="8" t="s">
        <v>224</v>
      </c>
      <c r="J796" s="8" t="s">
        <v>22</v>
      </c>
      <c r="K796" s="8" t="s">
        <v>892</v>
      </c>
      <c r="L796" s="8" t="s">
        <v>24</v>
      </c>
      <c r="M796" s="9">
        <v>0.0</v>
      </c>
      <c r="N796" s="9">
        <v>1.0</v>
      </c>
      <c r="O796" s="9">
        <v>1.0</v>
      </c>
      <c r="P796" s="10">
        <v>45182.0</v>
      </c>
      <c r="Q796" s="11">
        <v>1.775</v>
      </c>
      <c r="R796" s="8" t="s">
        <v>70</v>
      </c>
      <c r="S796" s="12">
        <f t="shared" si="1"/>
        <v>0</v>
      </c>
      <c r="T796" s="12">
        <f t="shared" si="8"/>
        <v>13.81107152</v>
      </c>
      <c r="U796" s="145"/>
    </row>
    <row r="797">
      <c r="A797" s="58"/>
      <c r="B797" s="58"/>
      <c r="C797" s="58"/>
      <c r="D797" s="15" t="s">
        <v>19</v>
      </c>
      <c r="E797" s="15" t="s">
        <v>3244</v>
      </c>
      <c r="F797" s="15" t="s">
        <v>1473</v>
      </c>
      <c r="G797" s="15" t="s">
        <v>2660</v>
      </c>
      <c r="H797" s="15">
        <v>0.0</v>
      </c>
      <c r="I797" s="15" t="s">
        <v>117</v>
      </c>
      <c r="J797" s="15" t="s">
        <v>22</v>
      </c>
      <c r="K797" s="15" t="s">
        <v>892</v>
      </c>
      <c r="L797" s="15" t="s">
        <v>39</v>
      </c>
      <c r="M797" s="16">
        <v>0.0</v>
      </c>
      <c r="N797" s="16">
        <v>0.5</v>
      </c>
      <c r="O797" s="16">
        <v>0.333</v>
      </c>
      <c r="P797" s="17">
        <v>45182.0</v>
      </c>
      <c r="Q797" s="18">
        <v>2.0</v>
      </c>
      <c r="R797" s="15" t="s">
        <v>33</v>
      </c>
      <c r="S797" s="19">
        <f t="shared" si="1"/>
        <v>0.333</v>
      </c>
      <c r="T797" s="19">
        <f t="shared" si="8"/>
        <v>14.14407152</v>
      </c>
      <c r="U797" s="144"/>
    </row>
    <row r="798">
      <c r="A798" s="59"/>
      <c r="B798" s="59"/>
      <c r="C798" s="59"/>
      <c r="D798" s="8" t="s">
        <v>19</v>
      </c>
      <c r="E798" s="8" t="s">
        <v>3245</v>
      </c>
      <c r="F798" s="8"/>
      <c r="G798" s="8"/>
      <c r="H798" s="8"/>
      <c r="I798" s="8" t="s">
        <v>82</v>
      </c>
      <c r="J798" s="8" t="s">
        <v>598</v>
      </c>
      <c r="K798" s="8" t="s">
        <v>2415</v>
      </c>
      <c r="L798" s="8" t="s">
        <v>39</v>
      </c>
      <c r="M798" s="9">
        <v>11.0</v>
      </c>
      <c r="N798" s="9">
        <v>0.5</v>
      </c>
      <c r="O798" s="9">
        <v>0.5</v>
      </c>
      <c r="P798" s="10">
        <v>45183.0</v>
      </c>
      <c r="Q798" s="11">
        <v>1.775</v>
      </c>
      <c r="R798" s="8" t="s">
        <v>25</v>
      </c>
      <c r="S798" s="12">
        <f t="shared" si="1"/>
        <v>-0.5</v>
      </c>
      <c r="T798" s="12">
        <f t="shared" si="8"/>
        <v>13.64407152</v>
      </c>
      <c r="U798" s="145"/>
    </row>
    <row r="799">
      <c r="A799" s="58"/>
      <c r="B799" s="58"/>
      <c r="C799" s="58"/>
      <c r="D799" s="15" t="s">
        <v>19</v>
      </c>
      <c r="E799" s="15" t="s">
        <v>3246</v>
      </c>
      <c r="F799" s="15"/>
      <c r="G799" s="15"/>
      <c r="H799" s="15"/>
      <c r="I799" s="15" t="s">
        <v>82</v>
      </c>
      <c r="J799" s="15" t="s">
        <v>598</v>
      </c>
      <c r="K799" s="15" t="s">
        <v>2415</v>
      </c>
      <c r="L799" s="15" t="s">
        <v>39</v>
      </c>
      <c r="M799" s="16">
        <v>11.0</v>
      </c>
      <c r="N799" s="16">
        <v>0.5</v>
      </c>
      <c r="O799" s="16">
        <v>0.5</v>
      </c>
      <c r="P799" s="17">
        <v>45184.0</v>
      </c>
      <c r="Q799" s="18">
        <v>1.85</v>
      </c>
      <c r="R799" s="15" t="s">
        <v>25</v>
      </c>
      <c r="S799" s="19">
        <f t="shared" si="1"/>
        <v>-0.5</v>
      </c>
      <c r="T799" s="19">
        <f t="shared" si="8"/>
        <v>13.14407152</v>
      </c>
      <c r="U799" s="144"/>
    </row>
    <row r="800">
      <c r="A800" s="59"/>
      <c r="B800" s="59"/>
      <c r="C800" s="59"/>
      <c r="D800" s="8" t="s">
        <v>19</v>
      </c>
      <c r="E800" s="8" t="s">
        <v>3247</v>
      </c>
      <c r="F800" s="8"/>
      <c r="G800" s="8"/>
      <c r="H800" s="8"/>
      <c r="I800" s="8" t="s">
        <v>82</v>
      </c>
      <c r="J800" s="8" t="s">
        <v>598</v>
      </c>
      <c r="K800" s="8" t="s">
        <v>3248</v>
      </c>
      <c r="L800" s="8" t="s">
        <v>39</v>
      </c>
      <c r="M800" s="9">
        <v>11.0</v>
      </c>
      <c r="N800" s="9">
        <v>0.1</v>
      </c>
      <c r="O800" s="9">
        <v>0.1</v>
      </c>
      <c r="P800" s="10">
        <v>45184.0</v>
      </c>
      <c r="Q800" s="11">
        <v>3.28</v>
      </c>
      <c r="R800" s="8" t="s">
        <v>25</v>
      </c>
      <c r="S800" s="12">
        <f t="shared" si="1"/>
        <v>-0.1</v>
      </c>
      <c r="T800" s="12">
        <f t="shared" si="8"/>
        <v>13.04407152</v>
      </c>
      <c r="U800" s="145"/>
    </row>
    <row r="801">
      <c r="A801" s="58"/>
      <c r="B801" s="58"/>
      <c r="C801" s="58"/>
      <c r="D801" s="15" t="s">
        <v>19</v>
      </c>
      <c r="E801" s="15" t="s">
        <v>3249</v>
      </c>
      <c r="F801" s="15" t="s">
        <v>1479</v>
      </c>
      <c r="G801" s="15" t="s">
        <v>2660</v>
      </c>
      <c r="H801" s="15">
        <v>0.0</v>
      </c>
      <c r="I801" s="15" t="s">
        <v>820</v>
      </c>
      <c r="J801" s="15" t="s">
        <v>22</v>
      </c>
      <c r="K801" s="15" t="s">
        <v>892</v>
      </c>
      <c r="L801" s="15" t="s">
        <v>24</v>
      </c>
      <c r="M801" s="16">
        <v>0.0</v>
      </c>
      <c r="N801" s="16">
        <v>1.0</v>
      </c>
      <c r="O801" s="16">
        <v>1.0</v>
      </c>
      <c r="P801" s="17">
        <v>45183.0</v>
      </c>
      <c r="Q801" s="18">
        <v>1.825</v>
      </c>
      <c r="R801" s="15" t="s">
        <v>33</v>
      </c>
      <c r="S801" s="19">
        <f t="shared" si="1"/>
        <v>0.825</v>
      </c>
      <c r="T801" s="19">
        <f t="shared" si="8"/>
        <v>13.86907152</v>
      </c>
      <c r="U801" s="144"/>
    </row>
    <row r="802">
      <c r="A802" s="59"/>
      <c r="B802" s="59"/>
      <c r="C802" s="59"/>
      <c r="D802" s="8" t="s">
        <v>19</v>
      </c>
      <c r="E802" s="8" t="s">
        <v>3250</v>
      </c>
      <c r="F802" s="8" t="s">
        <v>1473</v>
      </c>
      <c r="G802" s="8" t="s">
        <v>2556</v>
      </c>
      <c r="H802" s="8">
        <v>-1.0</v>
      </c>
      <c r="I802" s="8" t="s">
        <v>1025</v>
      </c>
      <c r="J802" s="8" t="s">
        <v>22</v>
      </c>
      <c r="K802" s="8" t="s">
        <v>225</v>
      </c>
      <c r="L802" s="8" t="s">
        <v>24</v>
      </c>
      <c r="M802" s="9">
        <v>0.25</v>
      </c>
      <c r="N802" s="9">
        <v>0.5</v>
      </c>
      <c r="O802" s="9">
        <v>0.5</v>
      </c>
      <c r="P802" s="10">
        <v>45184.0</v>
      </c>
      <c r="Q802" s="11">
        <v>1.75</v>
      </c>
      <c r="R802" s="8" t="s">
        <v>33</v>
      </c>
      <c r="S802" s="12">
        <f t="shared" si="1"/>
        <v>0.375</v>
      </c>
      <c r="T802" s="12">
        <f t="shared" si="8"/>
        <v>14.24407152</v>
      </c>
      <c r="U802" s="145"/>
    </row>
    <row r="803">
      <c r="A803" s="58"/>
      <c r="B803" s="58"/>
      <c r="C803" s="58"/>
      <c r="D803" s="15" t="s">
        <v>19</v>
      </c>
      <c r="E803" s="15" t="s">
        <v>3251</v>
      </c>
      <c r="F803" s="15" t="s">
        <v>1473</v>
      </c>
      <c r="G803" s="15" t="s">
        <v>2556</v>
      </c>
      <c r="H803" s="15">
        <v>0.0</v>
      </c>
      <c r="I803" s="15" t="s">
        <v>44</v>
      </c>
      <c r="J803" s="15" t="s">
        <v>598</v>
      </c>
      <c r="K803" s="15" t="s">
        <v>225</v>
      </c>
      <c r="L803" s="15" t="s">
        <v>39</v>
      </c>
      <c r="M803" s="16">
        <v>1.0</v>
      </c>
      <c r="N803" s="16">
        <v>0.25</v>
      </c>
      <c r="O803" s="16">
        <v>0.25</v>
      </c>
      <c r="P803" s="17">
        <v>45184.0</v>
      </c>
      <c r="Q803" s="18">
        <v>1.39</v>
      </c>
      <c r="R803" s="15" t="s">
        <v>33</v>
      </c>
      <c r="S803" s="19">
        <f t="shared" si="1"/>
        <v>0.0975</v>
      </c>
      <c r="T803" s="19">
        <f t="shared" si="8"/>
        <v>14.34157152</v>
      </c>
      <c r="U803" s="144"/>
    </row>
    <row r="804">
      <c r="A804" s="59"/>
      <c r="B804" s="59"/>
      <c r="C804" s="59"/>
      <c r="D804" s="8" t="s">
        <v>19</v>
      </c>
      <c r="E804" s="8" t="s">
        <v>3252</v>
      </c>
      <c r="F804" s="8" t="s">
        <v>1473</v>
      </c>
      <c r="G804" s="8" t="s">
        <v>2660</v>
      </c>
      <c r="H804" s="8">
        <v>-1.0</v>
      </c>
      <c r="I804" s="8" t="s">
        <v>1025</v>
      </c>
      <c r="J804" s="8" t="s">
        <v>22</v>
      </c>
      <c r="K804" s="8" t="s">
        <v>892</v>
      </c>
      <c r="L804" s="8" t="s">
        <v>24</v>
      </c>
      <c r="M804" s="9">
        <v>0.0</v>
      </c>
      <c r="N804" s="9">
        <v>1.0</v>
      </c>
      <c r="O804" s="9">
        <v>1.0</v>
      </c>
      <c r="P804" s="10">
        <v>45184.0</v>
      </c>
      <c r="Q804" s="11">
        <v>1.775</v>
      </c>
      <c r="R804" s="8" t="s">
        <v>70</v>
      </c>
      <c r="S804" s="12">
        <f t="shared" si="1"/>
        <v>0</v>
      </c>
      <c r="T804" s="12">
        <f t="shared" si="8"/>
        <v>14.34157152</v>
      </c>
      <c r="U804" s="145"/>
    </row>
    <row r="805">
      <c r="A805" s="58"/>
      <c r="B805" s="58"/>
      <c r="C805" s="58"/>
      <c r="D805" s="15" t="s">
        <v>19</v>
      </c>
      <c r="E805" s="15" t="s">
        <v>3253</v>
      </c>
      <c r="F805" s="15" t="s">
        <v>1473</v>
      </c>
      <c r="G805" s="15" t="s">
        <v>2660</v>
      </c>
      <c r="H805" s="15">
        <v>0.0</v>
      </c>
      <c r="I805" s="15" t="s">
        <v>372</v>
      </c>
      <c r="J805" s="15" t="s">
        <v>22</v>
      </c>
      <c r="K805" s="15" t="s">
        <v>892</v>
      </c>
      <c r="L805" s="15" t="s">
        <v>24</v>
      </c>
      <c r="M805" s="16">
        <v>0.0</v>
      </c>
      <c r="N805" s="16">
        <v>1.0</v>
      </c>
      <c r="O805" s="16">
        <v>1.0</v>
      </c>
      <c r="P805" s="17">
        <v>45184.0</v>
      </c>
      <c r="Q805" s="18">
        <v>1.95</v>
      </c>
      <c r="R805" s="15" t="s">
        <v>33</v>
      </c>
      <c r="S805" s="19">
        <f t="shared" si="1"/>
        <v>0.95</v>
      </c>
      <c r="T805" s="19">
        <f t="shared" si="8"/>
        <v>15.29157152</v>
      </c>
      <c r="U805" s="144"/>
    </row>
    <row r="806">
      <c r="A806" s="59"/>
      <c r="B806" s="59"/>
      <c r="C806" s="59"/>
      <c r="D806" s="8" t="s">
        <v>19</v>
      </c>
      <c r="E806" s="8" t="s">
        <v>3254</v>
      </c>
      <c r="F806" s="8" t="s">
        <v>1473</v>
      </c>
      <c r="G806" s="8" t="s">
        <v>2556</v>
      </c>
      <c r="H806" s="8">
        <v>0.0</v>
      </c>
      <c r="I806" s="8" t="s">
        <v>423</v>
      </c>
      <c r="J806" s="8" t="s">
        <v>22</v>
      </c>
      <c r="K806" s="8" t="s">
        <v>225</v>
      </c>
      <c r="L806" s="8" t="s">
        <v>1851</v>
      </c>
      <c r="M806" s="9">
        <v>0.25</v>
      </c>
      <c r="N806" s="9">
        <v>0.5</v>
      </c>
      <c r="O806" s="9">
        <v>0.5</v>
      </c>
      <c r="P806" s="10">
        <v>45184.0</v>
      </c>
      <c r="Q806" s="11">
        <v>1.95</v>
      </c>
      <c r="R806" s="8" t="s">
        <v>30</v>
      </c>
      <c r="S806" s="12">
        <f t="shared" si="1"/>
        <v>0.2375</v>
      </c>
      <c r="T806" s="12">
        <f t="shared" si="8"/>
        <v>15.52907152</v>
      </c>
      <c r="U806" s="145"/>
    </row>
    <row r="807">
      <c r="A807" s="58"/>
      <c r="B807" s="58"/>
      <c r="C807" s="58"/>
      <c r="D807" s="15" t="s">
        <v>19</v>
      </c>
      <c r="E807" s="15" t="s">
        <v>3255</v>
      </c>
      <c r="F807" s="15" t="s">
        <v>1479</v>
      </c>
      <c r="G807" s="15" t="s">
        <v>2556</v>
      </c>
      <c r="H807" s="15">
        <v>0.0</v>
      </c>
      <c r="I807" s="15" t="s">
        <v>703</v>
      </c>
      <c r="J807" s="15" t="s">
        <v>22</v>
      </c>
      <c r="K807" s="15" t="s">
        <v>225</v>
      </c>
      <c r="L807" s="15" t="s">
        <v>24</v>
      </c>
      <c r="M807" s="16">
        <v>1.0</v>
      </c>
      <c r="N807" s="16">
        <v>0.5</v>
      </c>
      <c r="O807" s="16">
        <v>0.5</v>
      </c>
      <c r="P807" s="55">
        <v>45184.0</v>
      </c>
      <c r="Q807" s="18">
        <f>0.39/0.25</f>
        <v>1.56</v>
      </c>
      <c r="R807" s="15" t="s">
        <v>33</v>
      </c>
      <c r="S807" s="19">
        <f t="shared" si="1"/>
        <v>0.28</v>
      </c>
      <c r="T807" s="19">
        <f t="shared" si="8"/>
        <v>15.80907152</v>
      </c>
      <c r="U807" s="144"/>
    </row>
    <row r="808">
      <c r="A808" s="59"/>
      <c r="B808" s="59"/>
      <c r="C808" s="59"/>
      <c r="D808" s="8" t="s">
        <v>19</v>
      </c>
      <c r="E808" s="8" t="s">
        <v>3256</v>
      </c>
      <c r="F808" s="8" t="s">
        <v>1473</v>
      </c>
      <c r="G808" s="8" t="s">
        <v>2556</v>
      </c>
      <c r="H808" s="8">
        <v>-1.0</v>
      </c>
      <c r="I808" s="8" t="s">
        <v>583</v>
      </c>
      <c r="J808" s="8" t="s">
        <v>22</v>
      </c>
      <c r="K808" s="8" t="s">
        <v>225</v>
      </c>
      <c r="L808" s="8" t="s">
        <v>24</v>
      </c>
      <c r="M808" s="9">
        <v>0.25</v>
      </c>
      <c r="N808" s="9">
        <v>0.5</v>
      </c>
      <c r="O808" s="9">
        <v>0.5</v>
      </c>
      <c r="P808" s="10">
        <v>45184.0</v>
      </c>
      <c r="Q808" s="11">
        <v>2.025</v>
      </c>
      <c r="R808" s="8" t="s">
        <v>33</v>
      </c>
      <c r="S808" s="12">
        <f t="shared" si="1"/>
        <v>0.5125</v>
      </c>
      <c r="T808" s="12">
        <f t="shared" si="8"/>
        <v>16.32157152</v>
      </c>
      <c r="U808" s="145"/>
    </row>
    <row r="809">
      <c r="A809" s="58"/>
      <c r="B809" s="58"/>
      <c r="C809" s="58"/>
      <c r="D809" s="15" t="s">
        <v>19</v>
      </c>
      <c r="E809" s="15" t="s">
        <v>3257</v>
      </c>
      <c r="F809" s="15" t="s">
        <v>1473</v>
      </c>
      <c r="G809" s="15" t="s">
        <v>2556</v>
      </c>
      <c r="H809" s="15">
        <v>-1.0</v>
      </c>
      <c r="I809" s="15" t="s">
        <v>1201</v>
      </c>
      <c r="J809" s="15" t="s">
        <v>22</v>
      </c>
      <c r="K809" s="15" t="s">
        <v>225</v>
      </c>
      <c r="L809" s="15" t="s">
        <v>24</v>
      </c>
      <c r="M809" s="16">
        <v>0.5</v>
      </c>
      <c r="N809" s="16">
        <v>0.75</v>
      </c>
      <c r="O809" s="16">
        <v>0.75</v>
      </c>
      <c r="P809" s="17">
        <v>45184.0</v>
      </c>
      <c r="Q809" s="18">
        <v>1.9</v>
      </c>
      <c r="R809" s="15" t="s">
        <v>25</v>
      </c>
      <c r="S809" s="19">
        <f t="shared" si="1"/>
        <v>-0.75</v>
      </c>
      <c r="T809" s="19">
        <f t="shared" si="8"/>
        <v>15.57157152</v>
      </c>
      <c r="U809" s="144"/>
    </row>
    <row r="810">
      <c r="A810" s="59"/>
      <c r="B810" s="59"/>
      <c r="C810" s="59"/>
      <c r="D810" s="8" t="s">
        <v>19</v>
      </c>
      <c r="E810" s="8" t="s">
        <v>3258</v>
      </c>
      <c r="F810" s="8" t="s">
        <v>1473</v>
      </c>
      <c r="G810" s="8"/>
      <c r="H810" s="8"/>
      <c r="I810" s="8" t="s">
        <v>1201</v>
      </c>
      <c r="J810" s="8" t="s">
        <v>22</v>
      </c>
      <c r="K810" s="8" t="s">
        <v>1165</v>
      </c>
      <c r="L810" s="8" t="s">
        <v>24</v>
      </c>
      <c r="M810" s="9"/>
      <c r="N810" s="9">
        <v>0.15</v>
      </c>
      <c r="O810" s="9">
        <v>0.15</v>
      </c>
      <c r="P810" s="10">
        <v>45184.0</v>
      </c>
      <c r="Q810" s="11">
        <v>3.0</v>
      </c>
      <c r="R810" s="8" t="s">
        <v>25</v>
      </c>
      <c r="S810" s="12">
        <f t="shared" si="1"/>
        <v>-0.15</v>
      </c>
      <c r="T810" s="12">
        <f t="shared" si="8"/>
        <v>15.42157152</v>
      </c>
      <c r="U810" s="145"/>
    </row>
    <row r="811">
      <c r="A811" s="58"/>
      <c r="B811" s="58"/>
      <c r="C811" s="58"/>
      <c r="D811" s="15" t="s">
        <v>19</v>
      </c>
      <c r="E811" s="15" t="s">
        <v>3259</v>
      </c>
      <c r="F811" s="15" t="s">
        <v>1479</v>
      </c>
      <c r="G811" s="15" t="s">
        <v>2556</v>
      </c>
      <c r="H811" s="15">
        <v>0.0</v>
      </c>
      <c r="I811" s="15" t="s">
        <v>273</v>
      </c>
      <c r="J811" s="15" t="s">
        <v>22</v>
      </c>
      <c r="K811" s="15" t="s">
        <v>941</v>
      </c>
      <c r="L811" s="15" t="s">
        <v>1522</v>
      </c>
      <c r="M811" s="16">
        <v>0.0</v>
      </c>
      <c r="N811" s="16">
        <v>1.0</v>
      </c>
      <c r="O811" s="16">
        <v>1.0</v>
      </c>
      <c r="P811" s="17">
        <v>45184.0</v>
      </c>
      <c r="Q811" s="18">
        <v>1.8</v>
      </c>
      <c r="R811" s="15" t="s">
        <v>70</v>
      </c>
      <c r="S811" s="19">
        <f t="shared" si="1"/>
        <v>0</v>
      </c>
      <c r="T811" s="19">
        <f t="shared" si="8"/>
        <v>15.42157152</v>
      </c>
      <c r="U811" s="144"/>
    </row>
    <row r="812">
      <c r="A812" s="59"/>
      <c r="B812" s="59"/>
      <c r="C812" s="59"/>
      <c r="D812" s="8" t="s">
        <v>19</v>
      </c>
      <c r="E812" s="8" t="s">
        <v>3260</v>
      </c>
      <c r="F812" s="8" t="s">
        <v>1479</v>
      </c>
      <c r="G812" s="8" t="s">
        <v>2556</v>
      </c>
      <c r="H812" s="8">
        <v>-1.0</v>
      </c>
      <c r="I812" s="8" t="s">
        <v>644</v>
      </c>
      <c r="J812" s="8" t="s">
        <v>22</v>
      </c>
      <c r="K812" s="8" t="s">
        <v>225</v>
      </c>
      <c r="L812" s="8" t="s">
        <v>24</v>
      </c>
      <c r="M812" s="9">
        <v>0.5</v>
      </c>
      <c r="N812" s="9">
        <v>0.25</v>
      </c>
      <c r="O812" s="9">
        <v>0.25</v>
      </c>
      <c r="P812" s="10">
        <v>45184.0</v>
      </c>
      <c r="Q812" s="11">
        <f>1.406/1.25</f>
        <v>1.1248</v>
      </c>
      <c r="R812" s="8" t="s">
        <v>33</v>
      </c>
      <c r="S812" s="12">
        <f t="shared" si="1"/>
        <v>0.0312</v>
      </c>
      <c r="T812" s="12">
        <f t="shared" si="8"/>
        <v>15.45277152</v>
      </c>
      <c r="U812" s="145"/>
    </row>
    <row r="813">
      <c r="A813" s="58"/>
      <c r="B813" s="58"/>
      <c r="C813" s="58"/>
      <c r="D813" s="15" t="s">
        <v>19</v>
      </c>
      <c r="E813" s="15" t="s">
        <v>3261</v>
      </c>
      <c r="F813" s="15" t="s">
        <v>1479</v>
      </c>
      <c r="G813" s="15" t="s">
        <v>2556</v>
      </c>
      <c r="H813" s="15">
        <v>-1.0</v>
      </c>
      <c r="I813" s="15" t="s">
        <v>644</v>
      </c>
      <c r="J813" s="15" t="s">
        <v>22</v>
      </c>
      <c r="K813" s="15" t="s">
        <v>225</v>
      </c>
      <c r="L813" s="15" t="s">
        <v>24</v>
      </c>
      <c r="M813" s="16">
        <v>0.25</v>
      </c>
      <c r="N813" s="16">
        <v>0.5</v>
      </c>
      <c r="O813" s="16">
        <v>0.5</v>
      </c>
      <c r="P813" s="17">
        <v>45184.0</v>
      </c>
      <c r="Q813" s="18">
        <v>2.05</v>
      </c>
      <c r="R813" s="15" t="s">
        <v>33</v>
      </c>
      <c r="S813" s="19">
        <f t="shared" si="1"/>
        <v>0.525</v>
      </c>
      <c r="T813" s="19">
        <f t="shared" si="8"/>
        <v>15.97777152</v>
      </c>
      <c r="U813" s="144"/>
    </row>
    <row r="814">
      <c r="A814" s="59"/>
      <c r="B814" s="59"/>
      <c r="C814" s="59"/>
      <c r="D814" s="8" t="s">
        <v>19</v>
      </c>
      <c r="E814" s="8" t="s">
        <v>3262</v>
      </c>
      <c r="F814" s="8" t="s">
        <v>1479</v>
      </c>
      <c r="G814" s="8"/>
      <c r="H814" s="8">
        <v>-1.0</v>
      </c>
      <c r="I814" s="8" t="s">
        <v>644</v>
      </c>
      <c r="J814" s="8" t="s">
        <v>22</v>
      </c>
      <c r="K814" s="8" t="s">
        <v>1165</v>
      </c>
      <c r="L814" s="8" t="s">
        <v>24</v>
      </c>
      <c r="M814" s="9"/>
      <c r="N814" s="9">
        <v>0.1</v>
      </c>
      <c r="O814" s="9">
        <v>0.1</v>
      </c>
      <c r="P814" s="10">
        <v>45184.0</v>
      </c>
      <c r="Q814" s="11">
        <v>3.1</v>
      </c>
      <c r="R814" s="8" t="s">
        <v>33</v>
      </c>
      <c r="S814" s="12">
        <f t="shared" si="1"/>
        <v>0.21</v>
      </c>
      <c r="T814" s="12">
        <f t="shared" si="8"/>
        <v>16.18777152</v>
      </c>
      <c r="U814" s="145"/>
    </row>
    <row r="815">
      <c r="A815" s="58"/>
      <c r="B815" s="58"/>
      <c r="C815" s="58"/>
      <c r="D815" s="15" t="s">
        <v>19</v>
      </c>
      <c r="E815" s="15" t="s">
        <v>3263</v>
      </c>
      <c r="F815" s="15" t="s">
        <v>1479</v>
      </c>
      <c r="G815" s="15" t="s">
        <v>2556</v>
      </c>
      <c r="H815" s="15">
        <v>0.0</v>
      </c>
      <c r="I815" s="15" t="s">
        <v>616</v>
      </c>
      <c r="J815" s="15" t="s">
        <v>22</v>
      </c>
      <c r="K815" s="15" t="s">
        <v>225</v>
      </c>
      <c r="L815" s="15" t="s">
        <v>24</v>
      </c>
      <c r="M815" s="16">
        <v>0.25</v>
      </c>
      <c r="N815" s="16">
        <v>0.5</v>
      </c>
      <c r="O815" s="16">
        <v>0.5</v>
      </c>
      <c r="P815" s="55">
        <v>45184.0</v>
      </c>
      <c r="Q815" s="18">
        <v>1.825</v>
      </c>
      <c r="R815" s="15" t="s">
        <v>25</v>
      </c>
      <c r="S815" s="19">
        <f t="shared" si="1"/>
        <v>-0.5</v>
      </c>
      <c r="T815" s="19">
        <f t="shared" si="8"/>
        <v>15.68777152</v>
      </c>
      <c r="U815" s="144"/>
    </row>
    <row r="816">
      <c r="A816" s="59"/>
      <c r="B816" s="59"/>
      <c r="C816" s="59"/>
      <c r="D816" s="8" t="s">
        <v>19</v>
      </c>
      <c r="E816" s="8" t="s">
        <v>3264</v>
      </c>
      <c r="F816" s="8" t="s">
        <v>1479</v>
      </c>
      <c r="G816" s="8" t="s">
        <v>2660</v>
      </c>
      <c r="H816" s="8">
        <v>0.0</v>
      </c>
      <c r="I816" s="8" t="s">
        <v>44</v>
      </c>
      <c r="J816" s="8" t="s">
        <v>22</v>
      </c>
      <c r="K816" s="8" t="s">
        <v>892</v>
      </c>
      <c r="L816" s="8" t="s">
        <v>2688</v>
      </c>
      <c r="M816" s="9">
        <v>0.0</v>
      </c>
      <c r="N816" s="9">
        <v>0.75</v>
      </c>
      <c r="O816" s="9">
        <v>0.75</v>
      </c>
      <c r="P816" s="10">
        <v>45184.0</v>
      </c>
      <c r="Q816" s="11">
        <f>0.45/0.25</f>
        <v>1.8</v>
      </c>
      <c r="R816" s="8" t="s">
        <v>33</v>
      </c>
      <c r="S816" s="12">
        <f t="shared" si="1"/>
        <v>0.6</v>
      </c>
      <c r="T816" s="12">
        <f t="shared" si="8"/>
        <v>16.28777152</v>
      </c>
      <c r="U816" s="145"/>
    </row>
    <row r="817">
      <c r="A817" s="58"/>
      <c r="B817" s="58"/>
      <c r="C817" s="58"/>
      <c r="D817" s="15" t="s">
        <v>19</v>
      </c>
      <c r="E817" s="15" t="s">
        <v>3265</v>
      </c>
      <c r="F817" s="15" t="s">
        <v>1473</v>
      </c>
      <c r="G817" s="15" t="s">
        <v>2556</v>
      </c>
      <c r="H817" s="15">
        <v>0.0</v>
      </c>
      <c r="I817" s="15" t="s">
        <v>316</v>
      </c>
      <c r="J817" s="15" t="s">
        <v>22</v>
      </c>
      <c r="K817" s="15" t="s">
        <v>941</v>
      </c>
      <c r="L817" s="15" t="s">
        <v>24</v>
      </c>
      <c r="M817" s="16">
        <v>0.0</v>
      </c>
      <c r="N817" s="16">
        <v>0.25</v>
      </c>
      <c r="O817" s="16">
        <v>0.25</v>
      </c>
      <c r="P817" s="17">
        <v>45184.0</v>
      </c>
      <c r="Q817" s="18">
        <v>2.2</v>
      </c>
      <c r="R817" s="15" t="s">
        <v>70</v>
      </c>
      <c r="S817" s="19">
        <f t="shared" si="1"/>
        <v>0</v>
      </c>
      <c r="T817" s="19">
        <f t="shared" si="8"/>
        <v>16.28777152</v>
      </c>
      <c r="U817" s="144"/>
    </row>
    <row r="818">
      <c r="A818" s="59"/>
      <c r="B818" s="59"/>
      <c r="C818" s="59"/>
      <c r="D818" s="8" t="s">
        <v>19</v>
      </c>
      <c r="E818" s="147" t="s">
        <v>3266</v>
      </c>
      <c r="F818" s="8" t="s">
        <v>1473</v>
      </c>
      <c r="G818" s="8" t="s">
        <v>2660</v>
      </c>
      <c r="H818" s="8">
        <v>2</v>
      </c>
      <c r="I818" s="8" t="s">
        <v>178</v>
      </c>
      <c r="J818" s="8" t="s">
        <v>22</v>
      </c>
      <c r="K818" s="8" t="s">
        <v>892</v>
      </c>
      <c r="L818" s="8" t="s">
        <v>1522</v>
      </c>
      <c r="M818" s="9">
        <v>0.0</v>
      </c>
      <c r="N818" s="9">
        <v>0.5</v>
      </c>
      <c r="O818" s="9">
        <v>0.5</v>
      </c>
      <c r="P818" s="10">
        <v>45185.0</v>
      </c>
      <c r="Q818" s="11">
        <v>1.85</v>
      </c>
      <c r="R818" s="8" t="s">
        <v>70</v>
      </c>
      <c r="S818" s="12">
        <f t="shared" si="1"/>
        <v>0</v>
      </c>
      <c r="T818" s="12">
        <f t="shared" si="8"/>
        <v>16.28777152</v>
      </c>
      <c r="U818" s="145"/>
    </row>
    <row r="819">
      <c r="A819" s="58"/>
      <c r="B819" s="58"/>
      <c r="C819" s="58"/>
      <c r="D819" s="15" t="s">
        <v>40</v>
      </c>
      <c r="E819" s="15" t="s">
        <v>3267</v>
      </c>
      <c r="F819" s="15" t="s">
        <v>1479</v>
      </c>
      <c r="G819" s="15" t="s">
        <v>2556</v>
      </c>
      <c r="H819" s="15">
        <v>-3.0</v>
      </c>
      <c r="I819" s="15" t="s">
        <v>66</v>
      </c>
      <c r="J819" s="15" t="s">
        <v>22</v>
      </c>
      <c r="K819" s="15" t="s">
        <v>225</v>
      </c>
      <c r="L819" s="15" t="s">
        <v>24</v>
      </c>
      <c r="M819" s="16">
        <v>0.5</v>
      </c>
      <c r="N819" s="16">
        <v>0.75</v>
      </c>
      <c r="O819" s="16">
        <v>0.75</v>
      </c>
      <c r="P819" s="17">
        <v>45185.0</v>
      </c>
      <c r="Q819" s="18">
        <v>1.57</v>
      </c>
      <c r="R819" s="15" t="s">
        <v>33</v>
      </c>
      <c r="S819" s="19">
        <f t="shared" si="1"/>
        <v>0.4275</v>
      </c>
      <c r="T819" s="19">
        <f t="shared" si="8"/>
        <v>16.71527152</v>
      </c>
      <c r="U819" s="144"/>
    </row>
    <row r="820">
      <c r="A820" s="59"/>
      <c r="B820" s="59"/>
      <c r="C820" s="59"/>
      <c r="D820" s="8" t="s">
        <v>19</v>
      </c>
      <c r="E820" s="8" t="s">
        <v>3268</v>
      </c>
      <c r="F820" s="8" t="s">
        <v>1473</v>
      </c>
      <c r="G820" s="8" t="s">
        <v>2556</v>
      </c>
      <c r="H820" s="8">
        <v>-1.0</v>
      </c>
      <c r="I820" s="8" t="s">
        <v>88</v>
      </c>
      <c r="J820" s="8" t="s">
        <v>22</v>
      </c>
      <c r="K820" s="8" t="s">
        <v>225</v>
      </c>
      <c r="L820" s="8" t="s">
        <v>24</v>
      </c>
      <c r="M820" s="9">
        <v>0.5</v>
      </c>
      <c r="N820" s="9">
        <v>1.0</v>
      </c>
      <c r="O820" s="9">
        <v>1.0</v>
      </c>
      <c r="P820" s="10">
        <v>45185.0</v>
      </c>
      <c r="Q820" s="11">
        <v>1.75</v>
      </c>
      <c r="R820" s="8" t="s">
        <v>33</v>
      </c>
      <c r="S820" s="12">
        <f t="shared" si="1"/>
        <v>0.75</v>
      </c>
      <c r="T820" s="12">
        <f t="shared" si="8"/>
        <v>17.46527152</v>
      </c>
      <c r="U820" s="145"/>
    </row>
    <row r="821">
      <c r="A821" s="58"/>
      <c r="B821" s="58"/>
      <c r="C821" s="58"/>
      <c r="D821" s="15" t="s">
        <v>19</v>
      </c>
      <c r="E821" s="15" t="s">
        <v>3269</v>
      </c>
      <c r="F821" s="15" t="s">
        <v>1473</v>
      </c>
      <c r="G821" s="15" t="s">
        <v>2556</v>
      </c>
      <c r="H821" s="15">
        <v>0.0</v>
      </c>
      <c r="I821" s="15" t="s">
        <v>44</v>
      </c>
      <c r="J821" s="15" t="s">
        <v>22</v>
      </c>
      <c r="K821" s="15" t="s">
        <v>225</v>
      </c>
      <c r="L821" s="15" t="s">
        <v>24</v>
      </c>
      <c r="M821" s="16">
        <v>0.25</v>
      </c>
      <c r="N821" s="16">
        <v>0.25</v>
      </c>
      <c r="O821" s="16">
        <v>0.25</v>
      </c>
      <c r="P821" s="17">
        <v>45185.0</v>
      </c>
      <c r="Q821" s="18">
        <v>1.775</v>
      </c>
      <c r="R821" s="15" t="s">
        <v>25</v>
      </c>
      <c r="S821" s="19">
        <f t="shared" si="1"/>
        <v>-0.25</v>
      </c>
      <c r="T821" s="19">
        <f t="shared" si="8"/>
        <v>17.21527152</v>
      </c>
      <c r="U821" s="144"/>
    </row>
    <row r="822">
      <c r="A822" s="59"/>
      <c r="B822" s="59"/>
      <c r="C822" s="59"/>
      <c r="D822" s="8" t="s">
        <v>19</v>
      </c>
      <c r="E822" s="8" t="s">
        <v>3270</v>
      </c>
      <c r="F822" s="8"/>
      <c r="G822" s="8"/>
      <c r="H822" s="8" t="s">
        <v>3154</v>
      </c>
      <c r="I822" s="8" t="s">
        <v>101</v>
      </c>
      <c r="J822" s="8" t="s">
        <v>22</v>
      </c>
      <c r="K822" s="8" t="s">
        <v>29</v>
      </c>
      <c r="L822" s="8" t="s">
        <v>24</v>
      </c>
      <c r="M822" s="9">
        <v>-3.5</v>
      </c>
      <c r="N822" s="9">
        <v>0.5</v>
      </c>
      <c r="O822" s="9">
        <v>0.5</v>
      </c>
      <c r="P822" s="10">
        <v>45185.0</v>
      </c>
      <c r="Q822" s="11">
        <v>1.725</v>
      </c>
      <c r="R822" s="8" t="s">
        <v>33</v>
      </c>
      <c r="S822" s="12">
        <f t="shared" si="1"/>
        <v>0.3625</v>
      </c>
      <c r="T822" s="12">
        <f t="shared" si="8"/>
        <v>17.57777152</v>
      </c>
      <c r="U822" s="145"/>
    </row>
    <row r="823">
      <c r="A823" s="58"/>
      <c r="B823" s="58"/>
      <c r="C823" s="58"/>
      <c r="D823" s="15" t="s">
        <v>19</v>
      </c>
      <c r="E823" s="15" t="s">
        <v>3271</v>
      </c>
      <c r="F823" s="15"/>
      <c r="G823" s="15"/>
      <c r="H823" s="15"/>
      <c r="I823" s="15" t="s">
        <v>940</v>
      </c>
      <c r="J823" s="15" t="s">
        <v>598</v>
      </c>
      <c r="K823" s="15" t="s">
        <v>23</v>
      </c>
      <c r="L823" s="15" t="s">
        <v>24</v>
      </c>
      <c r="M823" s="16">
        <v>-10.5</v>
      </c>
      <c r="N823" s="16">
        <v>0.5</v>
      </c>
      <c r="O823" s="16">
        <v>0.5</v>
      </c>
      <c r="P823" s="17">
        <v>45185.0</v>
      </c>
      <c r="Q823" s="18">
        <v>1.875</v>
      </c>
      <c r="R823" s="15" t="s">
        <v>25</v>
      </c>
      <c r="S823" s="19">
        <f t="shared" si="1"/>
        <v>-0.5</v>
      </c>
      <c r="T823" s="19">
        <f t="shared" si="8"/>
        <v>17.07777152</v>
      </c>
      <c r="U823" s="144"/>
    </row>
    <row r="824">
      <c r="A824" s="59"/>
      <c r="B824" s="59"/>
      <c r="C824" s="59"/>
      <c r="D824" s="8" t="s">
        <v>19</v>
      </c>
      <c r="E824" s="8" t="s">
        <v>3272</v>
      </c>
      <c r="F824" s="8" t="s">
        <v>1479</v>
      </c>
      <c r="G824" s="8" t="s">
        <v>2660</v>
      </c>
      <c r="H824" s="8">
        <v>-1.0</v>
      </c>
      <c r="I824" s="8" t="s">
        <v>229</v>
      </c>
      <c r="J824" s="8" t="s">
        <v>22</v>
      </c>
      <c r="K824" s="8" t="s">
        <v>892</v>
      </c>
      <c r="L824" s="8" t="s">
        <v>24</v>
      </c>
      <c r="M824" s="9">
        <v>0.0</v>
      </c>
      <c r="N824" s="9">
        <v>1.0</v>
      </c>
      <c r="O824" s="9">
        <v>1.0</v>
      </c>
      <c r="P824" s="10">
        <v>45185.0</v>
      </c>
      <c r="Q824" s="11">
        <v>1.825</v>
      </c>
      <c r="R824" s="8" t="s">
        <v>33</v>
      </c>
      <c r="S824" s="12">
        <f t="shared" si="1"/>
        <v>0.825</v>
      </c>
      <c r="T824" s="12">
        <f t="shared" si="8"/>
        <v>17.90277152</v>
      </c>
      <c r="U824" s="145"/>
    </row>
    <row r="825">
      <c r="A825" s="58"/>
      <c r="B825" s="58"/>
      <c r="C825" s="58"/>
      <c r="D825" s="15" t="s">
        <v>19</v>
      </c>
      <c r="E825" s="15" t="s">
        <v>3273</v>
      </c>
      <c r="F825" s="15" t="s">
        <v>1473</v>
      </c>
      <c r="G825" s="15" t="s">
        <v>2660</v>
      </c>
      <c r="H825" s="15">
        <v>-1.0</v>
      </c>
      <c r="I825" s="15" t="s">
        <v>115</v>
      </c>
      <c r="J825" s="15" t="s">
        <v>22</v>
      </c>
      <c r="K825" s="15" t="s">
        <v>892</v>
      </c>
      <c r="L825" s="15" t="s">
        <v>1522</v>
      </c>
      <c r="M825" s="16">
        <v>0.0</v>
      </c>
      <c r="N825" s="16">
        <v>1.0</v>
      </c>
      <c r="O825" s="16">
        <v>1.0</v>
      </c>
      <c r="P825" s="17">
        <v>45185.0</v>
      </c>
      <c r="Q825" s="18">
        <v>1.85</v>
      </c>
      <c r="R825" s="15" t="s">
        <v>70</v>
      </c>
      <c r="S825" s="19">
        <f t="shared" si="1"/>
        <v>0</v>
      </c>
      <c r="T825" s="19">
        <f t="shared" si="8"/>
        <v>17.90277152</v>
      </c>
      <c r="U825" s="144"/>
    </row>
    <row r="826">
      <c r="A826" s="59"/>
      <c r="B826" s="59"/>
      <c r="C826" s="59"/>
      <c r="D826" s="8" t="s">
        <v>19</v>
      </c>
      <c r="E826" s="8" t="s">
        <v>3274</v>
      </c>
      <c r="F826" s="8" t="s">
        <v>1473</v>
      </c>
      <c r="G826" s="8"/>
      <c r="H826" s="8"/>
      <c r="I826" s="8" t="s">
        <v>44</v>
      </c>
      <c r="J826" s="8" t="s">
        <v>22</v>
      </c>
      <c r="K826" s="8" t="s">
        <v>1165</v>
      </c>
      <c r="L826" s="8" t="s">
        <v>24</v>
      </c>
      <c r="M826" s="9"/>
      <c r="N826" s="9">
        <v>0.15</v>
      </c>
      <c r="O826" s="9">
        <v>0.15</v>
      </c>
      <c r="P826" s="10">
        <v>45185.0</v>
      </c>
      <c r="Q826" s="11">
        <v>3.25</v>
      </c>
      <c r="R826" s="8" t="s">
        <v>25</v>
      </c>
      <c r="S826" s="12">
        <f t="shared" si="1"/>
        <v>-0.15</v>
      </c>
      <c r="T826" s="12">
        <f t="shared" si="8"/>
        <v>17.75277152</v>
      </c>
      <c r="U826" s="145"/>
    </row>
    <row r="827">
      <c r="A827" s="58"/>
      <c r="B827" s="58"/>
      <c r="C827" s="58"/>
      <c r="D827" s="15" t="s">
        <v>19</v>
      </c>
      <c r="E827" s="15" t="s">
        <v>3275</v>
      </c>
      <c r="F827" s="15" t="s">
        <v>1473</v>
      </c>
      <c r="G827" s="15" t="s">
        <v>2556</v>
      </c>
      <c r="H827" s="15">
        <v>-1.0</v>
      </c>
      <c r="I827" s="15" t="s">
        <v>66</v>
      </c>
      <c r="J827" s="15" t="s">
        <v>22</v>
      </c>
      <c r="K827" s="15" t="s">
        <v>225</v>
      </c>
      <c r="L827" s="15" t="s">
        <v>24</v>
      </c>
      <c r="M827" s="16">
        <v>0.25</v>
      </c>
      <c r="N827" s="16">
        <v>0.25</v>
      </c>
      <c r="O827" s="16">
        <v>0.25</v>
      </c>
      <c r="P827" s="17">
        <v>45185.0</v>
      </c>
      <c r="Q827" s="18">
        <v>1.8</v>
      </c>
      <c r="R827" s="15" t="s">
        <v>33</v>
      </c>
      <c r="S827" s="19">
        <f t="shared" si="1"/>
        <v>0.2</v>
      </c>
      <c r="T827" s="19">
        <f t="shared" si="8"/>
        <v>17.95277152</v>
      </c>
      <c r="U827" s="144"/>
    </row>
    <row r="828">
      <c r="A828" s="59"/>
      <c r="B828" s="59"/>
      <c r="C828" s="59"/>
      <c r="D828" s="8" t="s">
        <v>19</v>
      </c>
      <c r="E828" s="8" t="s">
        <v>3276</v>
      </c>
      <c r="F828" s="8" t="s">
        <v>1473</v>
      </c>
      <c r="G828" s="8" t="s">
        <v>2556</v>
      </c>
      <c r="H828" s="8">
        <v>0.0</v>
      </c>
      <c r="I828" s="8" t="s">
        <v>178</v>
      </c>
      <c r="J828" s="8" t="s">
        <v>22</v>
      </c>
      <c r="K828" s="8" t="s">
        <v>225</v>
      </c>
      <c r="L828" s="8" t="s">
        <v>24</v>
      </c>
      <c r="M828" s="9">
        <v>0.25</v>
      </c>
      <c r="N828" s="9">
        <v>0.75</v>
      </c>
      <c r="O828" s="9">
        <v>0.75</v>
      </c>
      <c r="P828" s="10">
        <v>45185.0</v>
      </c>
      <c r="Q828" s="11">
        <v>1.85</v>
      </c>
      <c r="R828" s="8" t="s">
        <v>33</v>
      </c>
      <c r="S828" s="12">
        <f t="shared" si="1"/>
        <v>0.6375</v>
      </c>
      <c r="T828" s="12">
        <f t="shared" si="8"/>
        <v>18.59027152</v>
      </c>
      <c r="U828" s="145"/>
    </row>
    <row r="829">
      <c r="A829" s="58"/>
      <c r="B829" s="58"/>
      <c r="C829" s="58"/>
      <c r="D829" s="15" t="s">
        <v>19</v>
      </c>
      <c r="E829" s="15" t="s">
        <v>3277</v>
      </c>
      <c r="F829" s="15" t="s">
        <v>1473</v>
      </c>
      <c r="G829" s="15"/>
      <c r="H829" s="15"/>
      <c r="I829" s="15" t="s">
        <v>178</v>
      </c>
      <c r="J829" s="15" t="s">
        <v>22</v>
      </c>
      <c r="K829" s="15" t="s">
        <v>1165</v>
      </c>
      <c r="L829" s="15" t="s">
        <v>24</v>
      </c>
      <c r="M829" s="16"/>
      <c r="N829" s="16">
        <v>0.15</v>
      </c>
      <c r="O829" s="16">
        <v>0.15</v>
      </c>
      <c r="P829" s="17">
        <v>45185.0</v>
      </c>
      <c r="Q829" s="18">
        <v>2.2</v>
      </c>
      <c r="R829" s="15" t="s">
        <v>33</v>
      </c>
      <c r="S829" s="19">
        <f t="shared" si="1"/>
        <v>0.18</v>
      </c>
      <c r="T829" s="19">
        <f t="shared" si="8"/>
        <v>18.77027152</v>
      </c>
      <c r="U829" s="144"/>
    </row>
    <row r="830">
      <c r="A830" s="59"/>
      <c r="B830" s="59"/>
      <c r="C830" s="59"/>
      <c r="D830" s="8" t="s">
        <v>19</v>
      </c>
      <c r="E830" s="8" t="s">
        <v>3278</v>
      </c>
      <c r="F830" s="8"/>
      <c r="G830" s="8"/>
      <c r="H830" s="8" t="s">
        <v>2615</v>
      </c>
      <c r="I830" s="8" t="s">
        <v>99</v>
      </c>
      <c r="J830" s="8" t="s">
        <v>22</v>
      </c>
      <c r="K830" s="8" t="s">
        <v>2939</v>
      </c>
      <c r="L830" s="8" t="s">
        <v>24</v>
      </c>
      <c r="M830" s="9">
        <v>-1.5</v>
      </c>
      <c r="N830" s="9">
        <v>0.25</v>
      </c>
      <c r="O830" s="9">
        <v>0.25</v>
      </c>
      <c r="P830" s="10">
        <v>45185.0</v>
      </c>
      <c r="Q830" s="11">
        <f>0.37/0.25</f>
        <v>1.48</v>
      </c>
      <c r="R830" s="8" t="s">
        <v>33</v>
      </c>
      <c r="S830" s="12">
        <f t="shared" si="1"/>
        <v>0.12</v>
      </c>
      <c r="T830" s="12">
        <f t="shared" si="8"/>
        <v>18.89027152</v>
      </c>
      <c r="U830" s="145"/>
    </row>
    <row r="831">
      <c r="A831" s="58"/>
      <c r="B831" s="58"/>
      <c r="C831" s="58"/>
      <c r="D831" s="15" t="s">
        <v>19</v>
      </c>
      <c r="E831" s="15" t="s">
        <v>3279</v>
      </c>
      <c r="F831" s="15" t="s">
        <v>1479</v>
      </c>
      <c r="G831" s="15" t="s">
        <v>2556</v>
      </c>
      <c r="H831" s="15">
        <v>-1.0</v>
      </c>
      <c r="I831" s="15" t="s">
        <v>1172</v>
      </c>
      <c r="J831" s="15" t="s">
        <v>22</v>
      </c>
      <c r="K831" s="15" t="s">
        <v>225</v>
      </c>
      <c r="L831" s="15" t="s">
        <v>24</v>
      </c>
      <c r="M831" s="16">
        <v>0.5</v>
      </c>
      <c r="N831" s="16">
        <v>0.5</v>
      </c>
      <c r="O831" s="16">
        <v>0.5</v>
      </c>
      <c r="P831" s="17">
        <v>45185.0</v>
      </c>
      <c r="Q831" s="18">
        <v>1.775</v>
      </c>
      <c r="R831" s="15" t="s">
        <v>25</v>
      </c>
      <c r="S831" s="19">
        <f t="shared" si="1"/>
        <v>-0.5</v>
      </c>
      <c r="T831" s="19">
        <f t="shared" si="8"/>
        <v>18.39027152</v>
      </c>
      <c r="U831" s="144"/>
    </row>
    <row r="832">
      <c r="A832" s="59"/>
      <c r="B832" s="59"/>
      <c r="C832" s="59"/>
      <c r="D832" s="8" t="s">
        <v>19</v>
      </c>
      <c r="E832" s="8" t="s">
        <v>3280</v>
      </c>
      <c r="F832" s="8" t="s">
        <v>1479</v>
      </c>
      <c r="G832" s="8"/>
      <c r="H832" s="8"/>
      <c r="I832" s="8" t="s">
        <v>1172</v>
      </c>
      <c r="J832" s="8" t="s">
        <v>22</v>
      </c>
      <c r="K832" s="8" t="s">
        <v>1165</v>
      </c>
      <c r="L832" s="8" t="s">
        <v>24</v>
      </c>
      <c r="M832" s="9"/>
      <c r="N832" s="9">
        <v>0.15</v>
      </c>
      <c r="O832" s="9">
        <v>0.15</v>
      </c>
      <c r="P832" s="10">
        <v>45185.0</v>
      </c>
      <c r="Q832" s="11">
        <v>3.4</v>
      </c>
      <c r="R832" s="8" t="s">
        <v>25</v>
      </c>
      <c r="S832" s="12">
        <f t="shared" si="1"/>
        <v>-0.15</v>
      </c>
      <c r="T832" s="12">
        <f t="shared" si="8"/>
        <v>18.24027152</v>
      </c>
      <c r="U832" s="145"/>
    </row>
    <row r="833">
      <c r="A833" s="58"/>
      <c r="B833" s="58"/>
      <c r="C833" s="58"/>
      <c r="D833" s="15" t="s">
        <v>19</v>
      </c>
      <c r="E833" s="15" t="s">
        <v>3281</v>
      </c>
      <c r="F833" s="15"/>
      <c r="G833" s="15"/>
      <c r="H833" s="15" t="s">
        <v>3121</v>
      </c>
      <c r="I833" s="15" t="s">
        <v>66</v>
      </c>
      <c r="J833" s="15" t="s">
        <v>22</v>
      </c>
      <c r="K833" s="15" t="s">
        <v>29</v>
      </c>
      <c r="L833" s="15" t="s">
        <v>24</v>
      </c>
      <c r="M833" s="16">
        <v>-2.25</v>
      </c>
      <c r="N833" s="16">
        <v>0.5</v>
      </c>
      <c r="O833" s="16">
        <v>0.5</v>
      </c>
      <c r="P833" s="55">
        <v>45185.0</v>
      </c>
      <c r="Q833" s="18">
        <v>1.825</v>
      </c>
      <c r="R833" s="15" t="s">
        <v>33</v>
      </c>
      <c r="S833" s="19">
        <f t="shared" si="1"/>
        <v>0.4125</v>
      </c>
      <c r="T833" s="19">
        <f t="shared" si="8"/>
        <v>18.65277152</v>
      </c>
      <c r="U833" s="144"/>
    </row>
    <row r="834">
      <c r="A834" s="59"/>
      <c r="B834" s="59"/>
      <c r="C834" s="59"/>
      <c r="D834" s="8" t="s">
        <v>19</v>
      </c>
      <c r="E834" s="8" t="s">
        <v>3282</v>
      </c>
      <c r="F834" s="8" t="s">
        <v>1473</v>
      </c>
      <c r="G834" s="8" t="s">
        <v>2556</v>
      </c>
      <c r="H834" s="8">
        <v>0.0</v>
      </c>
      <c r="I834" s="8" t="s">
        <v>66</v>
      </c>
      <c r="J834" s="8" t="s">
        <v>22</v>
      </c>
      <c r="K834" s="8" t="s">
        <v>225</v>
      </c>
      <c r="L834" s="8" t="s">
        <v>24</v>
      </c>
      <c r="M834" s="9">
        <v>0.25</v>
      </c>
      <c r="N834" s="9">
        <v>0.75</v>
      </c>
      <c r="O834" s="9">
        <v>0.75</v>
      </c>
      <c r="P834" s="10">
        <v>45185.0</v>
      </c>
      <c r="Q834" s="11">
        <v>1.9</v>
      </c>
      <c r="R834" s="8" t="s">
        <v>25</v>
      </c>
      <c r="S834" s="12">
        <f t="shared" si="1"/>
        <v>-0.75</v>
      </c>
      <c r="T834" s="12">
        <f t="shared" si="8"/>
        <v>17.90277152</v>
      </c>
      <c r="U834" s="145"/>
    </row>
    <row r="835">
      <c r="A835" s="58"/>
      <c r="B835" s="58"/>
      <c r="C835" s="58"/>
      <c r="D835" s="15" t="s">
        <v>19</v>
      </c>
      <c r="E835" s="15" t="s">
        <v>3283</v>
      </c>
      <c r="F835" s="15" t="s">
        <v>1473</v>
      </c>
      <c r="G835" s="15" t="s">
        <v>2556</v>
      </c>
      <c r="H835" s="15">
        <v>-1.0</v>
      </c>
      <c r="I835" s="15" t="s">
        <v>432</v>
      </c>
      <c r="J835" s="15" t="s">
        <v>22</v>
      </c>
      <c r="K835" s="15" t="s">
        <v>225</v>
      </c>
      <c r="L835" s="15" t="s">
        <v>39</v>
      </c>
      <c r="M835" s="16">
        <v>0.25</v>
      </c>
      <c r="N835" s="16">
        <v>0.5</v>
      </c>
      <c r="O835" s="16">
        <v>0.5</v>
      </c>
      <c r="P835" s="17">
        <v>45185.0</v>
      </c>
      <c r="Q835" s="18">
        <v>1.25</v>
      </c>
      <c r="R835" s="15" t="s">
        <v>33</v>
      </c>
      <c r="S835" s="19">
        <f t="shared" si="1"/>
        <v>0.125</v>
      </c>
      <c r="T835" s="19">
        <f t="shared" si="8"/>
        <v>18.02777152</v>
      </c>
      <c r="U835" s="144"/>
    </row>
    <row r="836">
      <c r="A836" s="59"/>
      <c r="B836" s="59"/>
      <c r="C836" s="59"/>
      <c r="D836" s="8" t="s">
        <v>19</v>
      </c>
      <c r="E836" s="8" t="s">
        <v>3284</v>
      </c>
      <c r="F836" s="8"/>
      <c r="G836" s="8"/>
      <c r="H836" s="8"/>
      <c r="I836" s="8" t="s">
        <v>940</v>
      </c>
      <c r="J836" s="8" t="s">
        <v>22</v>
      </c>
      <c r="K836" s="8" t="s">
        <v>2415</v>
      </c>
      <c r="L836" s="8" t="s">
        <v>24</v>
      </c>
      <c r="M836" s="9">
        <v>10.0</v>
      </c>
      <c r="N836" s="9">
        <v>0.5</v>
      </c>
      <c r="O836" s="9">
        <v>0.5</v>
      </c>
      <c r="P836" s="54">
        <v>45185.0</v>
      </c>
      <c r="Q836" s="11">
        <v>1.825</v>
      </c>
      <c r="R836" s="8" t="s">
        <v>25</v>
      </c>
      <c r="S836" s="12">
        <f t="shared" si="1"/>
        <v>-0.5</v>
      </c>
      <c r="T836" s="12">
        <f t="shared" si="8"/>
        <v>17.52777152</v>
      </c>
      <c r="U836" s="145"/>
    </row>
    <row r="837">
      <c r="A837" s="58"/>
      <c r="B837" s="58"/>
      <c r="C837" s="58"/>
      <c r="D837" s="15" t="s">
        <v>19</v>
      </c>
      <c r="E837" s="15" t="s">
        <v>3285</v>
      </c>
      <c r="F837" s="15" t="s">
        <v>1473</v>
      </c>
      <c r="G837" s="15" t="s">
        <v>2556</v>
      </c>
      <c r="H837" s="15">
        <v>0.0</v>
      </c>
      <c r="I837" s="15" t="s">
        <v>124</v>
      </c>
      <c r="J837" s="15" t="s">
        <v>22</v>
      </c>
      <c r="K837" s="15" t="s">
        <v>225</v>
      </c>
      <c r="L837" s="15" t="s">
        <v>24</v>
      </c>
      <c r="M837" s="16">
        <v>0.5</v>
      </c>
      <c r="N837" s="16">
        <v>0.9</v>
      </c>
      <c r="O837" s="16">
        <v>0.75</v>
      </c>
      <c r="P837" s="17">
        <v>45185.0</v>
      </c>
      <c r="Q837" s="18">
        <v>1.4</v>
      </c>
      <c r="R837" s="15" t="s">
        <v>33</v>
      </c>
      <c r="S837" s="19">
        <f t="shared" si="1"/>
        <v>0.3</v>
      </c>
      <c r="T837" s="19">
        <f t="shared" si="8"/>
        <v>17.82777152</v>
      </c>
      <c r="U837" s="144"/>
    </row>
    <row r="838">
      <c r="A838" s="59"/>
      <c r="B838" s="59"/>
      <c r="C838" s="59"/>
      <c r="D838" s="8" t="s">
        <v>19</v>
      </c>
      <c r="E838" s="8" t="s">
        <v>3286</v>
      </c>
      <c r="F838" s="8" t="s">
        <v>1473</v>
      </c>
      <c r="G838" s="8"/>
      <c r="H838" s="8" t="s">
        <v>3121</v>
      </c>
      <c r="I838" s="8" t="s">
        <v>124</v>
      </c>
      <c r="J838" s="8" t="s">
        <v>22</v>
      </c>
      <c r="K838" s="8" t="s">
        <v>1165</v>
      </c>
      <c r="L838" s="8" t="s">
        <v>24</v>
      </c>
      <c r="M838" s="9"/>
      <c r="N838" s="9">
        <v>0.15</v>
      </c>
      <c r="O838" s="9">
        <v>0.15</v>
      </c>
      <c r="P838" s="10">
        <v>45185.0</v>
      </c>
      <c r="Q838" s="11">
        <v>4.75</v>
      </c>
      <c r="R838" s="8" t="s">
        <v>25</v>
      </c>
      <c r="S838" s="12">
        <f t="shared" si="1"/>
        <v>-0.15</v>
      </c>
      <c r="T838" s="12">
        <f t="shared" si="8"/>
        <v>17.67777152</v>
      </c>
      <c r="U838" s="145"/>
    </row>
    <row r="839">
      <c r="A839" s="58"/>
      <c r="B839" s="58"/>
      <c r="C839" s="58"/>
      <c r="D839" s="15" t="s">
        <v>19</v>
      </c>
      <c r="E839" s="15" t="s">
        <v>3287</v>
      </c>
      <c r="F839" s="15" t="s">
        <v>1479</v>
      </c>
      <c r="G839" s="15" t="s">
        <v>2556</v>
      </c>
      <c r="H839" s="15">
        <v>0.0</v>
      </c>
      <c r="I839" s="15" t="s">
        <v>93</v>
      </c>
      <c r="J839" s="15" t="s">
        <v>22</v>
      </c>
      <c r="K839" s="15" t="s">
        <v>225</v>
      </c>
      <c r="L839" s="15" t="s">
        <v>1522</v>
      </c>
      <c r="M839" s="16">
        <v>0.75</v>
      </c>
      <c r="N839" s="16">
        <v>0.75</v>
      </c>
      <c r="O839" s="16">
        <v>0.75</v>
      </c>
      <c r="P839" s="17">
        <v>45185.0</v>
      </c>
      <c r="Q839" s="18">
        <v>1.07</v>
      </c>
      <c r="R839" s="15" t="s">
        <v>33</v>
      </c>
      <c r="S839" s="19">
        <f t="shared" si="1"/>
        <v>0.0525</v>
      </c>
      <c r="T839" s="19">
        <f t="shared" si="8"/>
        <v>17.73027152</v>
      </c>
      <c r="U839" s="144"/>
    </row>
    <row r="840">
      <c r="A840" s="59"/>
      <c r="B840" s="59"/>
      <c r="C840" s="59"/>
      <c r="D840" s="8" t="s">
        <v>19</v>
      </c>
      <c r="E840" s="8" t="s">
        <v>3288</v>
      </c>
      <c r="F840" s="8" t="s">
        <v>1479</v>
      </c>
      <c r="G840" s="8"/>
      <c r="H840" s="8"/>
      <c r="I840" s="8" t="s">
        <v>93</v>
      </c>
      <c r="J840" s="8" t="s">
        <v>22</v>
      </c>
      <c r="K840" s="8" t="s">
        <v>1165</v>
      </c>
      <c r="L840" s="8" t="s">
        <v>1522</v>
      </c>
      <c r="M840" s="9"/>
      <c r="N840" s="9">
        <v>0.15</v>
      </c>
      <c r="O840" s="9">
        <v>0.15</v>
      </c>
      <c r="P840" s="10">
        <v>45185.0</v>
      </c>
      <c r="Q840" s="11">
        <v>2.63</v>
      </c>
      <c r="R840" s="8" t="s">
        <v>33</v>
      </c>
      <c r="S840" s="12">
        <f t="shared" si="1"/>
        <v>0.2445</v>
      </c>
      <c r="T840" s="12">
        <f t="shared" si="8"/>
        <v>17.97477152</v>
      </c>
      <c r="U840" s="145"/>
    </row>
    <row r="841">
      <c r="A841" s="58"/>
      <c r="B841" s="58"/>
      <c r="C841" s="58"/>
      <c r="D841" s="15" t="s">
        <v>40</v>
      </c>
      <c r="E841" s="15" t="s">
        <v>3289</v>
      </c>
      <c r="F841" s="15" t="s">
        <v>1473</v>
      </c>
      <c r="G841" s="15" t="s">
        <v>2556</v>
      </c>
      <c r="H841" s="15">
        <v>0.0</v>
      </c>
      <c r="I841" s="15" t="s">
        <v>93</v>
      </c>
      <c r="J841" s="15" t="s">
        <v>22</v>
      </c>
      <c r="K841" s="15" t="s">
        <v>225</v>
      </c>
      <c r="L841" s="15" t="s">
        <v>1522</v>
      </c>
      <c r="M841" s="16">
        <v>0.25</v>
      </c>
      <c r="N841" s="16">
        <v>0.05</v>
      </c>
      <c r="O841" s="16">
        <v>0.05</v>
      </c>
      <c r="P841" s="17">
        <v>45185.0</v>
      </c>
      <c r="Q841" s="18">
        <v>1.825</v>
      </c>
      <c r="R841" s="15" t="s">
        <v>25</v>
      </c>
      <c r="S841" s="19">
        <f t="shared" si="1"/>
        <v>-0.05</v>
      </c>
      <c r="T841" s="19">
        <f t="shared" si="8"/>
        <v>17.92477152</v>
      </c>
      <c r="U841" s="144"/>
    </row>
    <row r="842">
      <c r="A842" s="59"/>
      <c r="B842" s="59"/>
      <c r="C842" s="59"/>
      <c r="D842" s="8" t="s">
        <v>40</v>
      </c>
      <c r="E842" s="8" t="s">
        <v>3290</v>
      </c>
      <c r="F842" s="8"/>
      <c r="G842" s="8"/>
      <c r="H842" s="8"/>
      <c r="I842" s="8" t="s">
        <v>78</v>
      </c>
      <c r="J842" s="8" t="s">
        <v>22</v>
      </c>
      <c r="K842" s="8" t="s">
        <v>440</v>
      </c>
      <c r="L842" s="8" t="s">
        <v>39</v>
      </c>
      <c r="M842" s="9">
        <v>0.75</v>
      </c>
      <c r="N842" s="9">
        <v>0.25</v>
      </c>
      <c r="O842" s="9">
        <v>0.25</v>
      </c>
      <c r="P842" s="10">
        <v>45185.0</v>
      </c>
      <c r="Q842" s="11">
        <v>1.85</v>
      </c>
      <c r="R842" s="8" t="s">
        <v>25</v>
      </c>
      <c r="S842" s="12">
        <f t="shared" si="1"/>
        <v>-0.25</v>
      </c>
      <c r="T842" s="12">
        <f t="shared" si="8"/>
        <v>17.67477152</v>
      </c>
      <c r="U842" s="145"/>
    </row>
    <row r="843">
      <c r="A843" s="58"/>
      <c r="B843" s="58"/>
      <c r="C843" s="58"/>
      <c r="D843" s="15" t="s">
        <v>3291</v>
      </c>
      <c r="E843" s="15" t="s">
        <v>3292</v>
      </c>
      <c r="F843" s="15" t="s">
        <v>1473</v>
      </c>
      <c r="G843" s="15" t="s">
        <v>2660</v>
      </c>
      <c r="H843" s="15">
        <v>2</v>
      </c>
      <c r="I843" s="15" t="s">
        <v>66</v>
      </c>
      <c r="J843" s="15" t="s">
        <v>22</v>
      </c>
      <c r="K843" s="15" t="s">
        <v>892</v>
      </c>
      <c r="L843" s="15" t="s">
        <v>24</v>
      </c>
      <c r="M843" s="16">
        <v>0.0</v>
      </c>
      <c r="N843" s="16">
        <v>0.5</v>
      </c>
      <c r="O843" s="16">
        <v>0.5</v>
      </c>
      <c r="P843" s="17">
        <v>45185.0</v>
      </c>
      <c r="Q843" s="18">
        <v>1.85</v>
      </c>
      <c r="R843" s="15" t="s">
        <v>33</v>
      </c>
      <c r="S843" s="19">
        <f t="shared" si="1"/>
        <v>0.425</v>
      </c>
      <c r="T843" s="19">
        <f t="shared" si="8"/>
        <v>18.09977152</v>
      </c>
      <c r="U843" s="144"/>
    </row>
    <row r="844">
      <c r="A844" s="59"/>
      <c r="B844" s="59"/>
      <c r="C844" s="59"/>
      <c r="D844" s="8" t="s">
        <v>19</v>
      </c>
      <c r="E844" s="8" t="s">
        <v>3293</v>
      </c>
      <c r="F844" s="8" t="s">
        <v>1479</v>
      </c>
      <c r="G844" s="8" t="s">
        <v>2556</v>
      </c>
      <c r="H844" s="8">
        <v>0.0</v>
      </c>
      <c r="I844" s="8" t="s">
        <v>513</v>
      </c>
      <c r="J844" s="8" t="s">
        <v>22</v>
      </c>
      <c r="K844" s="8" t="s">
        <v>225</v>
      </c>
      <c r="L844" s="8" t="s">
        <v>24</v>
      </c>
      <c r="M844" s="9">
        <v>0.75</v>
      </c>
      <c r="N844" s="9">
        <v>0.75</v>
      </c>
      <c r="O844" s="9">
        <v>0.75</v>
      </c>
      <c r="P844" s="10">
        <v>45185.0</v>
      </c>
      <c r="Q844" s="11">
        <v>1.65</v>
      </c>
      <c r="R844" s="8" t="s">
        <v>33</v>
      </c>
      <c r="S844" s="12">
        <f t="shared" si="1"/>
        <v>0.4875</v>
      </c>
      <c r="T844" s="12">
        <f t="shared" si="8"/>
        <v>18.58727152</v>
      </c>
      <c r="U844" s="145"/>
    </row>
    <row r="845">
      <c r="A845" s="58"/>
      <c r="B845" s="58"/>
      <c r="C845" s="58"/>
      <c r="D845" s="15" t="s">
        <v>19</v>
      </c>
      <c r="E845" s="15" t="s">
        <v>3294</v>
      </c>
      <c r="F845" s="15" t="s">
        <v>1479</v>
      </c>
      <c r="G845" s="15"/>
      <c r="H845" s="15" t="s">
        <v>3295</v>
      </c>
      <c r="I845" s="15" t="s">
        <v>513</v>
      </c>
      <c r="J845" s="15" t="s">
        <v>22</v>
      </c>
      <c r="K845" s="15" t="s">
        <v>1165</v>
      </c>
      <c r="L845" s="15" t="s">
        <v>24</v>
      </c>
      <c r="M845" s="16"/>
      <c r="N845" s="16">
        <v>0.1</v>
      </c>
      <c r="O845" s="16">
        <v>0.1</v>
      </c>
      <c r="P845" s="17">
        <v>45185.0</v>
      </c>
      <c r="Q845" s="18">
        <v>5.0</v>
      </c>
      <c r="R845" s="15" t="s">
        <v>33</v>
      </c>
      <c r="S845" s="19">
        <f t="shared" si="1"/>
        <v>0.4</v>
      </c>
      <c r="T845" s="19">
        <f t="shared" si="8"/>
        <v>18.98727152</v>
      </c>
      <c r="U845" s="144"/>
    </row>
    <row r="846">
      <c r="A846" s="59"/>
      <c r="B846" s="59"/>
      <c r="C846" s="59"/>
      <c r="D846" s="8" t="s">
        <v>19</v>
      </c>
      <c r="E846" s="8" t="s">
        <v>3296</v>
      </c>
      <c r="F846" s="8" t="s">
        <v>1473</v>
      </c>
      <c r="G846" s="8" t="s">
        <v>2556</v>
      </c>
      <c r="H846" s="8">
        <v>4</v>
      </c>
      <c r="I846" s="8" t="s">
        <v>93</v>
      </c>
      <c r="J846" s="8" t="s">
        <v>22</v>
      </c>
      <c r="K846" s="8" t="s">
        <v>225</v>
      </c>
      <c r="L846" s="8" t="s">
        <v>24</v>
      </c>
      <c r="M846" s="9">
        <v>0.5</v>
      </c>
      <c r="N846" s="9">
        <v>1.0</v>
      </c>
      <c r="O846" s="9">
        <v>1.0</v>
      </c>
      <c r="P846" s="10">
        <v>45186.0</v>
      </c>
      <c r="Q846" s="11">
        <v>1.75</v>
      </c>
      <c r="R846" s="8" t="s">
        <v>33</v>
      </c>
      <c r="S846" s="12">
        <f t="shared" si="1"/>
        <v>0.75</v>
      </c>
      <c r="T846" s="12">
        <f t="shared" si="8"/>
        <v>19.73727152</v>
      </c>
      <c r="U846" s="145"/>
    </row>
    <row r="847">
      <c r="A847" s="58"/>
      <c r="B847" s="58"/>
      <c r="C847" s="58"/>
      <c r="D847" s="15" t="s">
        <v>19</v>
      </c>
      <c r="E847" s="15" t="s">
        <v>3297</v>
      </c>
      <c r="F847" s="15" t="s">
        <v>1473</v>
      </c>
      <c r="G847" s="15" t="s">
        <v>2660</v>
      </c>
      <c r="H847" s="15">
        <v>4</v>
      </c>
      <c r="I847" s="15" t="s">
        <v>93</v>
      </c>
      <c r="J847" s="15" t="s">
        <v>22</v>
      </c>
      <c r="K847" s="15" t="s">
        <v>892</v>
      </c>
      <c r="L847" s="15" t="s">
        <v>24</v>
      </c>
      <c r="M847" s="16">
        <v>0.0</v>
      </c>
      <c r="N847" s="16">
        <v>0.2</v>
      </c>
      <c r="O847" s="16">
        <v>0.2</v>
      </c>
      <c r="P847" s="55">
        <v>45186.0</v>
      </c>
      <c r="Q847" s="18">
        <f>0.38/0.2</f>
        <v>1.9</v>
      </c>
      <c r="R847" s="15" t="s">
        <v>33</v>
      </c>
      <c r="S847" s="19">
        <f t="shared" si="1"/>
        <v>0.18</v>
      </c>
      <c r="T847" s="19">
        <f t="shared" si="8"/>
        <v>19.91727152</v>
      </c>
      <c r="U847" s="144"/>
    </row>
    <row r="848">
      <c r="A848" s="59"/>
      <c r="B848" s="59"/>
      <c r="C848" s="59"/>
      <c r="D848" s="8" t="s">
        <v>19</v>
      </c>
      <c r="E848" s="95" t="s">
        <v>3298</v>
      </c>
      <c r="F848" s="8" t="s">
        <v>1473</v>
      </c>
      <c r="G848" s="8" t="s">
        <v>2556</v>
      </c>
      <c r="H848" s="8">
        <v>5</v>
      </c>
      <c r="I848" s="8" t="s">
        <v>93</v>
      </c>
      <c r="J848" s="8" t="s">
        <v>22</v>
      </c>
      <c r="K848" s="8" t="s">
        <v>225</v>
      </c>
      <c r="L848" s="8" t="s">
        <v>24</v>
      </c>
      <c r="M848" s="9">
        <v>0.25</v>
      </c>
      <c r="N848" s="9">
        <v>0.5</v>
      </c>
      <c r="O848" s="9">
        <v>0.5</v>
      </c>
      <c r="P848" s="10">
        <v>45186.0</v>
      </c>
      <c r="Q848" s="11">
        <f>0.52/0.5</f>
        <v>1.04</v>
      </c>
      <c r="R848" s="8" t="s">
        <v>33</v>
      </c>
      <c r="S848" s="12">
        <f t="shared" si="1"/>
        <v>0.02</v>
      </c>
      <c r="T848" s="12">
        <f t="shared" si="8"/>
        <v>19.93727152</v>
      </c>
      <c r="U848" s="145"/>
    </row>
    <row r="849">
      <c r="A849" s="58"/>
      <c r="B849" s="58"/>
      <c r="C849" s="58"/>
      <c r="D849" s="15" t="s">
        <v>19</v>
      </c>
      <c r="E849" s="15" t="s">
        <v>3299</v>
      </c>
      <c r="F849" s="15" t="s">
        <v>1479</v>
      </c>
      <c r="G849" s="15" t="s">
        <v>2660</v>
      </c>
      <c r="H849" s="15">
        <v>-1.0</v>
      </c>
      <c r="I849" s="15" t="s">
        <v>93</v>
      </c>
      <c r="J849" s="15" t="s">
        <v>22</v>
      </c>
      <c r="K849" s="15" t="s">
        <v>892</v>
      </c>
      <c r="L849" s="15" t="s">
        <v>24</v>
      </c>
      <c r="M849" s="16">
        <v>0.0</v>
      </c>
      <c r="N849" s="16">
        <v>1.0</v>
      </c>
      <c r="O849" s="16">
        <v>1.0</v>
      </c>
      <c r="P849" s="17">
        <v>45186.0</v>
      </c>
      <c r="Q849" s="18">
        <v>1.775</v>
      </c>
      <c r="R849" s="15" t="s">
        <v>70</v>
      </c>
      <c r="S849" s="19">
        <f t="shared" si="1"/>
        <v>0</v>
      </c>
      <c r="T849" s="19">
        <f t="shared" si="8"/>
        <v>19.93727152</v>
      </c>
      <c r="U849" s="144"/>
    </row>
    <row r="850">
      <c r="A850" s="59"/>
      <c r="B850" s="59"/>
      <c r="C850" s="59"/>
      <c r="D850" s="8" t="s">
        <v>19</v>
      </c>
      <c r="E850" s="8" t="s">
        <v>3300</v>
      </c>
      <c r="F850" s="8" t="s">
        <v>1473</v>
      </c>
      <c r="G850" s="8" t="s">
        <v>2556</v>
      </c>
      <c r="H850" s="8">
        <v>-1.0</v>
      </c>
      <c r="I850" s="8" t="s">
        <v>88</v>
      </c>
      <c r="J850" s="8" t="s">
        <v>22</v>
      </c>
      <c r="K850" s="8" t="s">
        <v>225</v>
      </c>
      <c r="L850" s="8" t="s">
        <v>24</v>
      </c>
      <c r="M850" s="9">
        <v>0.25</v>
      </c>
      <c r="N850" s="9">
        <v>0.5</v>
      </c>
      <c r="O850" s="9">
        <v>0.5</v>
      </c>
      <c r="P850" s="10">
        <v>45186.0</v>
      </c>
      <c r="Q850" s="11">
        <v>1.775</v>
      </c>
      <c r="R850" s="8" t="s">
        <v>30</v>
      </c>
      <c r="S850" s="12">
        <f t="shared" si="1"/>
        <v>0.19375</v>
      </c>
      <c r="T850" s="12">
        <f t="shared" si="8"/>
        <v>20.13102152</v>
      </c>
      <c r="U850" s="145"/>
    </row>
    <row r="851">
      <c r="A851" s="58"/>
      <c r="B851" s="58"/>
      <c r="C851" s="58"/>
      <c r="D851" s="15" t="s">
        <v>19</v>
      </c>
      <c r="E851" s="15" t="s">
        <v>3301</v>
      </c>
      <c r="F851" s="15" t="s">
        <v>1479</v>
      </c>
      <c r="G851" s="15" t="s">
        <v>2556</v>
      </c>
      <c r="H851" s="15">
        <v>0.0</v>
      </c>
      <c r="I851" s="15" t="s">
        <v>44</v>
      </c>
      <c r="J851" s="15" t="s">
        <v>22</v>
      </c>
      <c r="K851" s="15" t="s">
        <v>225</v>
      </c>
      <c r="L851" s="15" t="s">
        <v>24</v>
      </c>
      <c r="M851" s="16">
        <v>0.75</v>
      </c>
      <c r="N851" s="16">
        <v>0.5</v>
      </c>
      <c r="O851" s="16">
        <v>0.5</v>
      </c>
      <c r="P851" s="17">
        <v>45186.0</v>
      </c>
      <c r="Q851" s="18">
        <v>1.5</v>
      </c>
      <c r="R851" s="15" t="s">
        <v>33</v>
      </c>
      <c r="S851" s="19">
        <f t="shared" si="1"/>
        <v>0.25</v>
      </c>
      <c r="T851" s="19">
        <f t="shared" si="8"/>
        <v>20.38102152</v>
      </c>
      <c r="U851" s="144"/>
    </row>
    <row r="852">
      <c r="A852" s="59"/>
      <c r="B852" s="59"/>
      <c r="C852" s="59"/>
      <c r="D852" s="8" t="s">
        <v>19</v>
      </c>
      <c r="E852" s="8" t="s">
        <v>3302</v>
      </c>
      <c r="F852" s="8" t="s">
        <v>1473</v>
      </c>
      <c r="G852" s="8" t="s">
        <v>2660</v>
      </c>
      <c r="H852" s="8">
        <v>-1.0</v>
      </c>
      <c r="I852" s="8" t="s">
        <v>50</v>
      </c>
      <c r="J852" s="8" t="s">
        <v>22</v>
      </c>
      <c r="K852" s="8" t="s">
        <v>892</v>
      </c>
      <c r="L852" s="8" t="s">
        <v>1522</v>
      </c>
      <c r="M852" s="9">
        <v>0.0</v>
      </c>
      <c r="N852" s="9">
        <v>0.5</v>
      </c>
      <c r="O852" s="9">
        <v>0.5</v>
      </c>
      <c r="P852" s="10">
        <v>45186.0</v>
      </c>
      <c r="Q852" s="11">
        <v>1.725</v>
      </c>
      <c r="R852" s="8" t="s">
        <v>70</v>
      </c>
      <c r="S852" s="12">
        <f t="shared" si="1"/>
        <v>0</v>
      </c>
      <c r="T852" s="12">
        <f t="shared" si="8"/>
        <v>20.38102152</v>
      </c>
      <c r="U852" s="145"/>
    </row>
    <row r="853">
      <c r="A853" s="58"/>
      <c r="B853" s="58"/>
      <c r="C853" s="58"/>
      <c r="D853" s="15" t="s">
        <v>19</v>
      </c>
      <c r="E853" s="15" t="s">
        <v>3303</v>
      </c>
      <c r="F853" s="15" t="s">
        <v>1479</v>
      </c>
      <c r="G853" s="15"/>
      <c r="H853" s="15"/>
      <c r="I853" s="15" t="s">
        <v>82</v>
      </c>
      <c r="J853" s="15" t="s">
        <v>598</v>
      </c>
      <c r="K853" s="15" t="s">
        <v>23</v>
      </c>
      <c r="L853" s="15" t="s">
        <v>39</v>
      </c>
      <c r="M853" s="16">
        <v>-1.5</v>
      </c>
      <c r="N853" s="16">
        <v>0.1</v>
      </c>
      <c r="O853" s="16">
        <v>0.1</v>
      </c>
      <c r="P853" s="17">
        <v>45186.0</v>
      </c>
      <c r="Q853" s="18">
        <v>1.8</v>
      </c>
      <c r="R853" s="15" t="s">
        <v>25</v>
      </c>
      <c r="S853" s="19">
        <f t="shared" si="1"/>
        <v>-0.1</v>
      </c>
      <c r="T853" s="19">
        <f t="shared" si="8"/>
        <v>20.28102152</v>
      </c>
      <c r="U853" s="144"/>
    </row>
    <row r="854">
      <c r="A854" s="59"/>
      <c r="B854" s="59"/>
      <c r="C854" s="59"/>
      <c r="D854" s="8" t="s">
        <v>19</v>
      </c>
      <c r="E854" s="8" t="s">
        <v>3304</v>
      </c>
      <c r="F854" s="8" t="s">
        <v>1479</v>
      </c>
      <c r="G854" s="8"/>
      <c r="H854" s="8"/>
      <c r="I854" s="8" t="s">
        <v>768</v>
      </c>
      <c r="J854" s="8" t="s">
        <v>598</v>
      </c>
      <c r="K854" s="8" t="s">
        <v>1847</v>
      </c>
      <c r="L854" s="8" t="s">
        <v>39</v>
      </c>
      <c r="M854" s="9">
        <v>-0.5</v>
      </c>
      <c r="N854" s="9">
        <v>0.5</v>
      </c>
      <c r="O854" s="9">
        <v>0.5</v>
      </c>
      <c r="P854" s="10">
        <v>45194.0</v>
      </c>
      <c r="Q854" s="11">
        <v>2.1</v>
      </c>
      <c r="R854" s="8" t="s">
        <v>25</v>
      </c>
      <c r="S854" s="12">
        <f t="shared" si="1"/>
        <v>-0.5</v>
      </c>
      <c r="T854" s="12">
        <f t="shared" si="8"/>
        <v>19.78102152</v>
      </c>
      <c r="U854" s="145"/>
    </row>
    <row r="855">
      <c r="A855" s="58"/>
      <c r="B855" s="58"/>
      <c r="C855" s="58"/>
      <c r="D855" s="15" t="s">
        <v>19</v>
      </c>
      <c r="E855" s="15" t="s">
        <v>3305</v>
      </c>
      <c r="F855" s="15"/>
      <c r="G855" s="15"/>
      <c r="H855" s="15" t="s">
        <v>3306</v>
      </c>
      <c r="I855" s="15" t="s">
        <v>38</v>
      </c>
      <c r="J855" s="15" t="s">
        <v>22</v>
      </c>
      <c r="K855" s="15" t="s">
        <v>29</v>
      </c>
      <c r="L855" s="15" t="s">
        <v>24</v>
      </c>
      <c r="M855" s="16">
        <v>-6.5</v>
      </c>
      <c r="N855" s="16">
        <v>0.5</v>
      </c>
      <c r="O855" s="16">
        <v>0.5</v>
      </c>
      <c r="P855" s="17">
        <v>45188.0</v>
      </c>
      <c r="Q855" s="18">
        <v>1.41</v>
      </c>
      <c r="R855" s="15" t="s">
        <v>33</v>
      </c>
      <c r="S855" s="19">
        <f t="shared" si="1"/>
        <v>0.205</v>
      </c>
      <c r="T855" s="19">
        <f t="shared" si="8"/>
        <v>19.98602152</v>
      </c>
      <c r="U855" s="144"/>
    </row>
    <row r="856">
      <c r="A856" s="59"/>
      <c r="B856" s="59"/>
      <c r="C856" s="59"/>
      <c r="D856" s="8" t="s">
        <v>19</v>
      </c>
      <c r="E856" s="8" t="s">
        <v>3307</v>
      </c>
      <c r="F856" s="8" t="s">
        <v>1473</v>
      </c>
      <c r="G856" s="8" t="s">
        <v>2556</v>
      </c>
      <c r="H856" s="8">
        <v>0.0</v>
      </c>
      <c r="I856" s="8" t="s">
        <v>214</v>
      </c>
      <c r="J856" s="8" t="s">
        <v>22</v>
      </c>
      <c r="K856" s="8" t="s">
        <v>2725</v>
      </c>
      <c r="L856" s="8" t="s">
        <v>1522</v>
      </c>
      <c r="M856" s="9">
        <v>1.75</v>
      </c>
      <c r="N856" s="9">
        <v>0.5</v>
      </c>
      <c r="O856" s="9">
        <v>0.5</v>
      </c>
      <c r="P856" s="10">
        <v>45188.0</v>
      </c>
      <c r="Q856" s="11">
        <f>0.68/0.5</f>
        <v>1.36</v>
      </c>
      <c r="R856" s="8" t="s">
        <v>33</v>
      </c>
      <c r="S856" s="12">
        <f t="shared" si="1"/>
        <v>0.18</v>
      </c>
      <c r="T856" s="12">
        <f t="shared" si="8"/>
        <v>20.16602152</v>
      </c>
      <c r="U856" s="145"/>
    </row>
    <row r="857">
      <c r="A857" s="58"/>
      <c r="B857" s="58"/>
      <c r="C857" s="58"/>
      <c r="D857" s="15" t="s">
        <v>19</v>
      </c>
      <c r="E857" s="15" t="s">
        <v>3308</v>
      </c>
      <c r="F857" s="15" t="s">
        <v>1479</v>
      </c>
      <c r="G857" s="15" t="s">
        <v>2702</v>
      </c>
      <c r="H857" s="15">
        <v>-1.0</v>
      </c>
      <c r="I857" s="15" t="s">
        <v>38</v>
      </c>
      <c r="J857" s="15" t="s">
        <v>22</v>
      </c>
      <c r="K857" s="15" t="s">
        <v>892</v>
      </c>
      <c r="L857" s="15" t="s">
        <v>1522</v>
      </c>
      <c r="M857" s="16">
        <v>0.0</v>
      </c>
      <c r="N857" s="16">
        <v>1.0</v>
      </c>
      <c r="O857" s="16">
        <v>1.0</v>
      </c>
      <c r="P857" s="17">
        <v>45188.0</v>
      </c>
      <c r="Q857" s="18">
        <v>1.9</v>
      </c>
      <c r="R857" s="15" t="s">
        <v>33</v>
      </c>
      <c r="S857" s="19">
        <f t="shared" si="1"/>
        <v>0.9</v>
      </c>
      <c r="T857" s="19">
        <f t="shared" si="8"/>
        <v>21.06602152</v>
      </c>
      <c r="U857" s="144"/>
    </row>
    <row r="858">
      <c r="A858" s="59"/>
      <c r="B858" s="59"/>
      <c r="C858" s="59"/>
      <c r="D858" s="8" t="s">
        <v>19</v>
      </c>
      <c r="E858" s="8" t="s">
        <v>3309</v>
      </c>
      <c r="F858" s="8"/>
      <c r="G858" s="8"/>
      <c r="H858" s="8" t="s">
        <v>3121</v>
      </c>
      <c r="I858" s="8" t="s">
        <v>1961</v>
      </c>
      <c r="J858" s="8" t="s">
        <v>22</v>
      </c>
      <c r="K858" s="8" t="s">
        <v>440</v>
      </c>
      <c r="L858" s="8" t="s">
        <v>39</v>
      </c>
      <c r="M858" s="9">
        <v>1.0</v>
      </c>
      <c r="N858" s="9">
        <v>0.1</v>
      </c>
      <c r="O858" s="9">
        <v>0.1</v>
      </c>
      <c r="P858" s="10">
        <v>45188.0</v>
      </c>
      <c r="Q858" s="11">
        <v>1.625</v>
      </c>
      <c r="R858" s="8" t="s">
        <v>70</v>
      </c>
      <c r="S858" s="12">
        <f t="shared" si="1"/>
        <v>0</v>
      </c>
      <c r="T858" s="12">
        <f t="shared" si="8"/>
        <v>21.06602152</v>
      </c>
      <c r="U858" s="145"/>
    </row>
    <row r="859">
      <c r="A859" s="58"/>
      <c r="B859" s="58"/>
      <c r="C859" s="58"/>
      <c r="D859" s="15" t="s">
        <v>19</v>
      </c>
      <c r="E859" s="15" t="s">
        <v>3310</v>
      </c>
      <c r="F859" s="15" t="s">
        <v>1473</v>
      </c>
      <c r="G859" s="15" t="s">
        <v>2556</v>
      </c>
      <c r="H859" s="15"/>
      <c r="I859" s="15" t="s">
        <v>82</v>
      </c>
      <c r="J859" s="15" t="s">
        <v>598</v>
      </c>
      <c r="K859" s="15" t="s">
        <v>225</v>
      </c>
      <c r="L859" s="15" t="s">
        <v>39</v>
      </c>
      <c r="M859" s="16">
        <v>0.25</v>
      </c>
      <c r="N859" s="16">
        <v>0.25</v>
      </c>
      <c r="O859" s="16">
        <v>0.25</v>
      </c>
      <c r="P859" s="17">
        <v>45189.0</v>
      </c>
      <c r="Q859" s="18">
        <v>1.78</v>
      </c>
      <c r="R859" s="15" t="s">
        <v>33</v>
      </c>
      <c r="S859" s="19">
        <f t="shared" si="1"/>
        <v>0.195</v>
      </c>
      <c r="T859" s="19">
        <f t="shared" si="8"/>
        <v>21.26102152</v>
      </c>
      <c r="U859" s="144"/>
    </row>
    <row r="860">
      <c r="A860" s="59"/>
      <c r="B860" s="59"/>
      <c r="C860" s="59"/>
      <c r="D860" s="8" t="s">
        <v>19</v>
      </c>
      <c r="E860" s="8" t="s">
        <v>3311</v>
      </c>
      <c r="F860" s="8"/>
      <c r="G860" s="8"/>
      <c r="H860" s="8"/>
      <c r="I860" s="8" t="s">
        <v>583</v>
      </c>
      <c r="J860" s="8" t="s">
        <v>22</v>
      </c>
      <c r="K860" s="8" t="s">
        <v>29</v>
      </c>
      <c r="L860" s="8" t="s">
        <v>24</v>
      </c>
      <c r="M860" s="9">
        <v>-2.5</v>
      </c>
      <c r="N860" s="9">
        <v>0.5</v>
      </c>
      <c r="O860" s="9">
        <v>0.5</v>
      </c>
      <c r="P860" s="10">
        <v>45189.0</v>
      </c>
      <c r="Q860" s="11">
        <v>1.3</v>
      </c>
      <c r="R860" s="8" t="s">
        <v>33</v>
      </c>
      <c r="S860" s="12">
        <f t="shared" si="1"/>
        <v>0.15</v>
      </c>
      <c r="T860" s="12">
        <f t="shared" si="8"/>
        <v>21.41102152</v>
      </c>
      <c r="U860" s="145"/>
    </row>
    <row r="861">
      <c r="A861" s="58"/>
      <c r="B861" s="58"/>
      <c r="C861" s="58"/>
      <c r="D861" s="15" t="s">
        <v>19</v>
      </c>
      <c r="E861" s="15" t="s">
        <v>3312</v>
      </c>
      <c r="F861" s="15"/>
      <c r="G861" s="15"/>
      <c r="H861" s="15"/>
      <c r="I861" s="15" t="s">
        <v>121</v>
      </c>
      <c r="J861" s="15" t="s">
        <v>22</v>
      </c>
      <c r="K861" s="15" t="s">
        <v>2634</v>
      </c>
      <c r="L861" s="15" t="s">
        <v>39</v>
      </c>
      <c r="M861" s="16"/>
      <c r="N861" s="16">
        <v>0.25</v>
      </c>
      <c r="O861" s="16">
        <v>0.25</v>
      </c>
      <c r="P861" s="17">
        <v>45189.0</v>
      </c>
      <c r="Q861" s="18">
        <v>2.0</v>
      </c>
      <c r="R861" s="15" t="s">
        <v>33</v>
      </c>
      <c r="S861" s="19">
        <f t="shared" si="1"/>
        <v>0.25</v>
      </c>
      <c r="T861" s="19">
        <f t="shared" si="8"/>
        <v>21.66102152</v>
      </c>
      <c r="U861" s="144"/>
    </row>
    <row r="862">
      <c r="A862" s="59"/>
      <c r="B862" s="59"/>
      <c r="C862" s="59"/>
      <c r="D862" s="8" t="s">
        <v>19</v>
      </c>
      <c r="E862" s="8" t="s">
        <v>3313</v>
      </c>
      <c r="F862" s="8" t="s">
        <v>1473</v>
      </c>
      <c r="G862" s="8" t="s">
        <v>2556</v>
      </c>
      <c r="H862" s="8">
        <v>0.0</v>
      </c>
      <c r="I862" s="8" t="s">
        <v>415</v>
      </c>
      <c r="J862" s="8" t="s">
        <v>22</v>
      </c>
      <c r="K862" s="8" t="s">
        <v>225</v>
      </c>
      <c r="L862" s="8" t="s">
        <v>24</v>
      </c>
      <c r="M862" s="9">
        <v>0.5</v>
      </c>
      <c r="N862" s="9">
        <f t="shared" ref="N862:O862" si="33">0.25-0.11</f>
        <v>0.14</v>
      </c>
      <c r="O862" s="9">
        <f t="shared" si="33"/>
        <v>0.14</v>
      </c>
      <c r="P862" s="10">
        <v>45189.0</v>
      </c>
      <c r="Q862" s="11">
        <v>1.8</v>
      </c>
      <c r="R862" s="8" t="s">
        <v>25</v>
      </c>
      <c r="S862" s="12">
        <f t="shared" si="1"/>
        <v>-0.14</v>
      </c>
      <c r="T862" s="12">
        <f t="shared" si="8"/>
        <v>21.52102152</v>
      </c>
      <c r="U862" s="145"/>
    </row>
    <row r="863">
      <c r="A863" s="58"/>
      <c r="B863" s="58"/>
      <c r="C863" s="58"/>
      <c r="D863" s="15" t="s">
        <v>19</v>
      </c>
      <c r="E863" s="15" t="s">
        <v>3314</v>
      </c>
      <c r="F863" s="15" t="s">
        <v>1479</v>
      </c>
      <c r="G863" s="15" t="s">
        <v>2660</v>
      </c>
      <c r="H863" s="15">
        <v>-2.0</v>
      </c>
      <c r="I863" s="15" t="s">
        <v>463</v>
      </c>
      <c r="J863" s="15" t="s">
        <v>22</v>
      </c>
      <c r="K863" s="15" t="s">
        <v>892</v>
      </c>
      <c r="L863" s="15" t="s">
        <v>24</v>
      </c>
      <c r="M863" s="16">
        <v>0.0</v>
      </c>
      <c r="N863" s="16">
        <v>0.5</v>
      </c>
      <c r="O863" s="16">
        <v>0.5</v>
      </c>
      <c r="P863" s="17">
        <v>45189.0</v>
      </c>
      <c r="Q863" s="18">
        <v>1.67</v>
      </c>
      <c r="R863" s="15" t="s">
        <v>33</v>
      </c>
      <c r="S863" s="19">
        <f t="shared" si="1"/>
        <v>0.335</v>
      </c>
      <c r="T863" s="19">
        <f t="shared" si="8"/>
        <v>21.85602152</v>
      </c>
      <c r="U863" s="144"/>
    </row>
    <row r="864">
      <c r="A864" s="59"/>
      <c r="B864" s="59"/>
      <c r="C864" s="59"/>
      <c r="D864" s="8" t="s">
        <v>40</v>
      </c>
      <c r="E864" s="8" t="s">
        <v>3315</v>
      </c>
      <c r="F864" s="8"/>
      <c r="G864" s="8"/>
      <c r="H864" s="8" t="s">
        <v>2615</v>
      </c>
      <c r="I864" s="8" t="s">
        <v>794</v>
      </c>
      <c r="J864" s="8" t="s">
        <v>22</v>
      </c>
      <c r="K864" s="8" t="s">
        <v>29</v>
      </c>
      <c r="L864" s="8" t="s">
        <v>24</v>
      </c>
      <c r="M864" s="9">
        <v>-4.5</v>
      </c>
      <c r="N864" s="9">
        <v>0.25</v>
      </c>
      <c r="O864" s="9">
        <v>0.25</v>
      </c>
      <c r="P864" s="10">
        <v>45190.0</v>
      </c>
      <c r="Q864" s="11">
        <v>1.85</v>
      </c>
      <c r="R864" s="8" t="s">
        <v>25</v>
      </c>
      <c r="S864" s="12">
        <f t="shared" si="1"/>
        <v>-0.25</v>
      </c>
      <c r="T864" s="12">
        <f t="shared" si="8"/>
        <v>21.60602152</v>
      </c>
      <c r="U864" s="145"/>
    </row>
    <row r="865">
      <c r="A865" s="58"/>
      <c r="B865" s="58"/>
      <c r="C865" s="58"/>
      <c r="D865" s="15" t="s">
        <v>40</v>
      </c>
      <c r="E865" s="15" t="s">
        <v>3316</v>
      </c>
      <c r="F865" s="15" t="s">
        <v>1473</v>
      </c>
      <c r="G865" s="15" t="s">
        <v>2660</v>
      </c>
      <c r="H865" s="15">
        <v>0.0</v>
      </c>
      <c r="I865" s="15" t="s">
        <v>794</v>
      </c>
      <c r="J865" s="15" t="s">
        <v>22</v>
      </c>
      <c r="K865" s="15" t="s">
        <v>892</v>
      </c>
      <c r="L865" s="15" t="s">
        <v>24</v>
      </c>
      <c r="M865" s="16">
        <v>0.0</v>
      </c>
      <c r="N865" s="16">
        <v>1.0</v>
      </c>
      <c r="O865" s="16">
        <v>1.0</v>
      </c>
      <c r="P865" s="55">
        <v>45190.0</v>
      </c>
      <c r="Q865" s="18">
        <v>1.7</v>
      </c>
      <c r="R865" s="15" t="s">
        <v>70</v>
      </c>
      <c r="S865" s="19">
        <f t="shared" si="1"/>
        <v>0</v>
      </c>
      <c r="T865" s="19">
        <f t="shared" si="8"/>
        <v>21.60602152</v>
      </c>
      <c r="U865" s="144"/>
    </row>
    <row r="866">
      <c r="A866" s="59"/>
      <c r="B866" s="59"/>
      <c r="C866" s="59"/>
      <c r="D866" s="8" t="s">
        <v>19</v>
      </c>
      <c r="E866" s="8" t="s">
        <v>3317</v>
      </c>
      <c r="F866" s="8" t="s">
        <v>1479</v>
      </c>
      <c r="G866" s="8" t="s">
        <v>2573</v>
      </c>
      <c r="H866" s="8"/>
      <c r="I866" s="8" t="s">
        <v>316</v>
      </c>
      <c r="J866" s="8" t="s">
        <v>598</v>
      </c>
      <c r="K866" s="8" t="s">
        <v>894</v>
      </c>
      <c r="L866" s="8" t="s">
        <v>1522</v>
      </c>
      <c r="M866" s="9">
        <v>-0.75</v>
      </c>
      <c r="N866" s="9">
        <v>0.5</v>
      </c>
      <c r="O866" s="9">
        <v>0.5</v>
      </c>
      <c r="P866" s="10">
        <v>45190.0</v>
      </c>
      <c r="Q866" s="11">
        <v>1.825</v>
      </c>
      <c r="R866" s="8" t="s">
        <v>25</v>
      </c>
      <c r="S866" s="12">
        <f t="shared" si="1"/>
        <v>-0.5</v>
      </c>
      <c r="T866" s="12">
        <f t="shared" si="8"/>
        <v>21.10602152</v>
      </c>
      <c r="U866" s="145"/>
    </row>
    <row r="867">
      <c r="A867" s="58"/>
      <c r="B867" s="58"/>
      <c r="C867" s="58"/>
      <c r="D867" s="15"/>
      <c r="E867" s="15" t="s">
        <v>3318</v>
      </c>
      <c r="F867" s="15"/>
      <c r="G867" s="15"/>
      <c r="H867" s="15"/>
      <c r="I867" s="15" t="s">
        <v>794</v>
      </c>
      <c r="J867" s="15" t="s">
        <v>598</v>
      </c>
      <c r="K867" s="15" t="s">
        <v>1272</v>
      </c>
      <c r="L867" s="15" t="s">
        <v>24</v>
      </c>
      <c r="M867" s="16"/>
      <c r="N867" s="16">
        <v>0.25</v>
      </c>
      <c r="O867" s="16">
        <v>0.25</v>
      </c>
      <c r="P867" s="17">
        <v>45190.0</v>
      </c>
      <c r="Q867" s="18">
        <v>2.65</v>
      </c>
      <c r="R867" s="15" t="s">
        <v>25</v>
      </c>
      <c r="S867" s="19">
        <f t="shared" si="1"/>
        <v>-0.25</v>
      </c>
      <c r="T867" s="19">
        <f t="shared" si="8"/>
        <v>20.85602152</v>
      </c>
      <c r="U867" s="144"/>
    </row>
    <row r="868">
      <c r="A868" s="59"/>
      <c r="B868" s="59"/>
      <c r="C868" s="59"/>
      <c r="D868" s="8" t="s">
        <v>40</v>
      </c>
      <c r="E868" s="8" t="s">
        <v>3319</v>
      </c>
      <c r="F868" s="114" t="s">
        <v>1473</v>
      </c>
      <c r="G868" s="114" t="s">
        <v>2660</v>
      </c>
      <c r="H868" s="114">
        <v>0.0</v>
      </c>
      <c r="I868" s="8" t="s">
        <v>794</v>
      </c>
      <c r="J868" s="8" t="s">
        <v>22</v>
      </c>
      <c r="K868" s="8" t="s">
        <v>892</v>
      </c>
      <c r="L868" s="8" t="s">
        <v>24</v>
      </c>
      <c r="M868" s="9">
        <v>0.0</v>
      </c>
      <c r="N868" s="9">
        <v>0.75</v>
      </c>
      <c r="O868" s="9">
        <v>0.75</v>
      </c>
      <c r="P868" s="10">
        <v>45190.0</v>
      </c>
      <c r="Q868" s="11">
        <v>1.725</v>
      </c>
      <c r="R868" s="8" t="s">
        <v>70</v>
      </c>
      <c r="S868" s="12">
        <f t="shared" si="1"/>
        <v>0</v>
      </c>
      <c r="T868" s="12">
        <f t="shared" si="8"/>
        <v>20.85602152</v>
      </c>
      <c r="U868" s="145"/>
    </row>
    <row r="869">
      <c r="A869" s="58"/>
      <c r="B869" s="58"/>
      <c r="C869" s="58"/>
      <c r="D869" s="15" t="s">
        <v>40</v>
      </c>
      <c r="E869" s="15" t="s">
        <v>3320</v>
      </c>
      <c r="F869" s="139" t="s">
        <v>1473</v>
      </c>
      <c r="G869" s="139" t="s">
        <v>2660</v>
      </c>
      <c r="H869" s="139">
        <v>0.0</v>
      </c>
      <c r="I869" s="15" t="s">
        <v>794</v>
      </c>
      <c r="J869" s="15" t="s">
        <v>22</v>
      </c>
      <c r="K869" s="15" t="s">
        <v>1165</v>
      </c>
      <c r="L869" s="15" t="s">
        <v>24</v>
      </c>
      <c r="M869" s="16"/>
      <c r="N869" s="16">
        <v>0.1</v>
      </c>
      <c r="O869" s="16">
        <v>0.1</v>
      </c>
      <c r="P869" s="17">
        <v>45190.0</v>
      </c>
      <c r="Q869" s="18">
        <v>2.3</v>
      </c>
      <c r="R869" s="15" t="s">
        <v>33</v>
      </c>
      <c r="S869" s="19">
        <f t="shared" si="1"/>
        <v>0.13</v>
      </c>
      <c r="T869" s="19">
        <f t="shared" si="8"/>
        <v>20.98602152</v>
      </c>
      <c r="U869" s="144"/>
    </row>
    <row r="870">
      <c r="A870" s="59"/>
      <c r="B870" s="59"/>
      <c r="C870" s="59"/>
      <c r="D870" s="8" t="s">
        <v>19</v>
      </c>
      <c r="E870" s="8" t="s">
        <v>3321</v>
      </c>
      <c r="F870" s="8" t="s">
        <v>1479</v>
      </c>
      <c r="G870" s="8" t="s">
        <v>2556</v>
      </c>
      <c r="H870" s="114">
        <v>0.0</v>
      </c>
      <c r="I870" s="8" t="s">
        <v>463</v>
      </c>
      <c r="J870" s="8" t="s">
        <v>22</v>
      </c>
      <c r="K870" s="8" t="s">
        <v>225</v>
      </c>
      <c r="L870" s="8" t="s">
        <v>39</v>
      </c>
      <c r="M870" s="9">
        <v>0.5</v>
      </c>
      <c r="N870" s="9">
        <v>0.5</v>
      </c>
      <c r="O870" s="9">
        <v>0.5</v>
      </c>
      <c r="P870" s="10">
        <v>45190.0</v>
      </c>
      <c r="Q870" s="11">
        <v>1.8</v>
      </c>
      <c r="R870" s="8" t="s">
        <v>33</v>
      </c>
      <c r="S870" s="12">
        <f t="shared" si="1"/>
        <v>0.4</v>
      </c>
      <c r="T870" s="12">
        <f t="shared" si="8"/>
        <v>21.38602152</v>
      </c>
      <c r="U870" s="145"/>
    </row>
    <row r="871">
      <c r="A871" s="58"/>
      <c r="B871" s="58"/>
      <c r="C871" s="58"/>
      <c r="D871" s="15" t="s">
        <v>19</v>
      </c>
      <c r="E871" s="15" t="s">
        <v>3322</v>
      </c>
      <c r="F871" s="15" t="s">
        <v>1479</v>
      </c>
      <c r="G871" s="15" t="s">
        <v>2660</v>
      </c>
      <c r="H871" s="139">
        <v>0.0</v>
      </c>
      <c r="I871" s="15" t="s">
        <v>448</v>
      </c>
      <c r="J871" s="15" t="s">
        <v>22</v>
      </c>
      <c r="K871" s="15" t="s">
        <v>892</v>
      </c>
      <c r="L871" s="15" t="s">
        <v>39</v>
      </c>
      <c r="M871" s="16">
        <v>0.0</v>
      </c>
      <c r="N871" s="16">
        <v>0.75</v>
      </c>
      <c r="O871" s="16">
        <v>0.75</v>
      </c>
      <c r="P871" s="17">
        <v>45190.0</v>
      </c>
      <c r="Q871" s="18">
        <v>1.45</v>
      </c>
      <c r="R871" s="15" t="s">
        <v>33</v>
      </c>
      <c r="S871" s="19">
        <f t="shared" si="1"/>
        <v>0.3375</v>
      </c>
      <c r="T871" s="19">
        <f t="shared" si="8"/>
        <v>21.72352152</v>
      </c>
      <c r="U871" s="144"/>
    </row>
    <row r="872">
      <c r="A872" s="59"/>
      <c r="B872" s="59"/>
      <c r="C872" s="59"/>
      <c r="D872" s="8" t="s">
        <v>19</v>
      </c>
      <c r="E872" s="8" t="s">
        <v>3323</v>
      </c>
      <c r="F872" s="8"/>
      <c r="G872" s="8"/>
      <c r="H872" s="8"/>
      <c r="I872" s="8" t="s">
        <v>82</v>
      </c>
      <c r="J872" s="8" t="s">
        <v>598</v>
      </c>
      <c r="K872" s="8" t="s">
        <v>440</v>
      </c>
      <c r="L872" s="8" t="s">
        <v>39</v>
      </c>
      <c r="M872" s="9">
        <v>2.25</v>
      </c>
      <c r="N872" s="9">
        <v>0.25</v>
      </c>
      <c r="O872" s="9">
        <v>0.25</v>
      </c>
      <c r="P872" s="10">
        <v>45190.0</v>
      </c>
      <c r="Q872" s="11">
        <v>1.94</v>
      </c>
      <c r="R872" s="8" t="s">
        <v>33</v>
      </c>
      <c r="S872" s="12">
        <f t="shared" si="1"/>
        <v>0.235</v>
      </c>
      <c r="T872" s="12">
        <f t="shared" si="8"/>
        <v>21.95852152</v>
      </c>
      <c r="U872" s="145"/>
    </row>
    <row r="873">
      <c r="A873" s="58"/>
      <c r="B873" s="58"/>
      <c r="C873" s="58"/>
      <c r="D873" s="15" t="s">
        <v>19</v>
      </c>
      <c r="E873" s="15" t="s">
        <v>3324</v>
      </c>
      <c r="F873" s="15"/>
      <c r="G873" s="15"/>
      <c r="H873" s="15"/>
      <c r="I873" s="15" t="s">
        <v>82</v>
      </c>
      <c r="J873" s="15" t="s">
        <v>22</v>
      </c>
      <c r="K873" s="15" t="s">
        <v>440</v>
      </c>
      <c r="L873" s="15" t="s">
        <v>39</v>
      </c>
      <c r="M873" s="16">
        <v>0.08</v>
      </c>
      <c r="N873" s="16">
        <v>0.08</v>
      </c>
      <c r="O873" s="16">
        <v>0.08</v>
      </c>
      <c r="P873" s="17">
        <v>45190.0</v>
      </c>
      <c r="Q873" s="18">
        <v>1.833</v>
      </c>
      <c r="R873" s="15" t="s">
        <v>33</v>
      </c>
      <c r="S873" s="19">
        <f t="shared" si="1"/>
        <v>0.06664</v>
      </c>
      <c r="T873" s="19">
        <f t="shared" si="8"/>
        <v>22.02516152</v>
      </c>
      <c r="U873" s="144"/>
    </row>
    <row r="874">
      <c r="A874" s="59"/>
      <c r="B874" s="59"/>
      <c r="C874" s="59"/>
      <c r="D874" s="8" t="s">
        <v>19</v>
      </c>
      <c r="E874" s="8" t="s">
        <v>3325</v>
      </c>
      <c r="F874" s="8"/>
      <c r="G874" s="8"/>
      <c r="H874" s="8"/>
      <c r="I874" s="8" t="s">
        <v>82</v>
      </c>
      <c r="J874" s="8" t="s">
        <v>598</v>
      </c>
      <c r="K874" s="8" t="s">
        <v>23</v>
      </c>
      <c r="L874" s="8" t="s">
        <v>39</v>
      </c>
      <c r="M874" s="9">
        <v>-10.5</v>
      </c>
      <c r="N874" s="9">
        <v>0.5</v>
      </c>
      <c r="O874" s="9">
        <v>0.5</v>
      </c>
      <c r="P874" s="10">
        <v>45191.0</v>
      </c>
      <c r="Q874" s="11">
        <v>1.8</v>
      </c>
      <c r="R874" s="8" t="s">
        <v>33</v>
      </c>
      <c r="S874" s="12">
        <f t="shared" si="1"/>
        <v>0.4</v>
      </c>
      <c r="T874" s="12">
        <f t="shared" si="8"/>
        <v>22.42516152</v>
      </c>
      <c r="U874" s="145"/>
    </row>
    <row r="875">
      <c r="A875" s="58"/>
      <c r="B875" s="58"/>
      <c r="C875" s="58"/>
      <c r="D875" s="15" t="s">
        <v>19</v>
      </c>
      <c r="E875" s="15" t="s">
        <v>3326</v>
      </c>
      <c r="F875" s="15" t="s">
        <v>1473</v>
      </c>
      <c r="G875" s="15" t="s">
        <v>2556</v>
      </c>
      <c r="H875" s="15">
        <v>0.0</v>
      </c>
      <c r="I875" s="15" t="s">
        <v>1025</v>
      </c>
      <c r="J875" s="15" t="s">
        <v>22</v>
      </c>
      <c r="K875" s="15" t="s">
        <v>225</v>
      </c>
      <c r="L875" s="15" t="s">
        <v>24</v>
      </c>
      <c r="M875" s="16">
        <v>0.25</v>
      </c>
      <c r="N875" s="16">
        <v>0.5</v>
      </c>
      <c r="O875" s="16">
        <v>0.5</v>
      </c>
      <c r="P875" s="17">
        <v>45191.0</v>
      </c>
      <c r="Q875" s="18">
        <v>1.16</v>
      </c>
      <c r="R875" s="15" t="s">
        <v>33</v>
      </c>
      <c r="S875" s="19">
        <f t="shared" si="1"/>
        <v>0.08</v>
      </c>
      <c r="T875" s="19">
        <f t="shared" si="8"/>
        <v>22.50516152</v>
      </c>
      <c r="U875" s="144"/>
    </row>
    <row r="876">
      <c r="A876" s="59"/>
      <c r="B876" s="59"/>
      <c r="C876" s="59"/>
      <c r="D876" s="8" t="s">
        <v>19</v>
      </c>
      <c r="E876" s="8" t="s">
        <v>3327</v>
      </c>
      <c r="F876" s="8" t="s">
        <v>1473</v>
      </c>
      <c r="G876" s="8" t="s">
        <v>2556</v>
      </c>
      <c r="H876" s="8">
        <v>0.0</v>
      </c>
      <c r="I876" s="8" t="s">
        <v>354</v>
      </c>
      <c r="J876" s="8" t="s">
        <v>22</v>
      </c>
      <c r="K876" s="8" t="s">
        <v>225</v>
      </c>
      <c r="L876" s="8" t="s">
        <v>24</v>
      </c>
      <c r="M876" s="9">
        <v>0.5</v>
      </c>
      <c r="N876" s="9">
        <v>0.5</v>
      </c>
      <c r="O876" s="9">
        <v>0.5</v>
      </c>
      <c r="P876" s="10">
        <v>45191.0</v>
      </c>
      <c r="Q876" s="11">
        <v>1.95</v>
      </c>
      <c r="R876" s="8" t="s">
        <v>25</v>
      </c>
      <c r="S876" s="12">
        <f t="shared" si="1"/>
        <v>-0.5</v>
      </c>
      <c r="T876" s="12">
        <f t="shared" si="8"/>
        <v>22.00516152</v>
      </c>
      <c r="U876" s="145"/>
    </row>
    <row r="877">
      <c r="A877" s="58"/>
      <c r="B877" s="58"/>
      <c r="C877" s="58"/>
      <c r="D877" s="15" t="s">
        <v>19</v>
      </c>
      <c r="E877" s="15" t="s">
        <v>3328</v>
      </c>
      <c r="F877" s="15" t="s">
        <v>1473</v>
      </c>
      <c r="G877" s="15"/>
      <c r="H877" s="15"/>
      <c r="I877" s="15" t="s">
        <v>354</v>
      </c>
      <c r="J877" s="15" t="s">
        <v>22</v>
      </c>
      <c r="K877" s="15" t="s">
        <v>1165</v>
      </c>
      <c r="L877" s="15" t="s">
        <v>24</v>
      </c>
      <c r="M877" s="16"/>
      <c r="N877" s="16">
        <v>0.1</v>
      </c>
      <c r="O877" s="16">
        <v>0.1</v>
      </c>
      <c r="P877" s="17">
        <v>45191.0</v>
      </c>
      <c r="Q877" s="18">
        <v>4.0</v>
      </c>
      <c r="R877" s="15" t="s">
        <v>25</v>
      </c>
      <c r="S877" s="19">
        <f t="shared" si="1"/>
        <v>-0.1</v>
      </c>
      <c r="T877" s="19">
        <f t="shared" si="8"/>
        <v>21.90516152</v>
      </c>
      <c r="U877" s="144"/>
    </row>
    <row r="878">
      <c r="A878" s="59"/>
      <c r="B878" s="59"/>
      <c r="C878" s="59"/>
      <c r="D878" s="8" t="s">
        <v>19</v>
      </c>
      <c r="E878" s="8" t="s">
        <v>3329</v>
      </c>
      <c r="F878" s="8" t="s">
        <v>1479</v>
      </c>
      <c r="G878" s="8"/>
      <c r="H878" s="8" t="s">
        <v>3121</v>
      </c>
      <c r="I878" s="8" t="s">
        <v>1025</v>
      </c>
      <c r="J878" s="8" t="s">
        <v>22</v>
      </c>
      <c r="K878" s="8" t="s">
        <v>941</v>
      </c>
      <c r="L878" s="8" t="s">
        <v>2688</v>
      </c>
      <c r="M878" s="9">
        <v>0.0</v>
      </c>
      <c r="N878" s="9">
        <v>1.0</v>
      </c>
      <c r="O878" s="9">
        <v>1.0</v>
      </c>
      <c r="P878" s="10">
        <v>45191.0</v>
      </c>
      <c r="Q878" s="11">
        <v>1.725</v>
      </c>
      <c r="R878" s="8" t="s">
        <v>70</v>
      </c>
      <c r="S878" s="12">
        <f t="shared" si="1"/>
        <v>0</v>
      </c>
      <c r="T878" s="12">
        <f t="shared" si="8"/>
        <v>21.90516152</v>
      </c>
      <c r="U878" s="145"/>
    </row>
    <row r="879">
      <c r="A879" s="58"/>
      <c r="B879" s="58"/>
      <c r="C879" s="58"/>
      <c r="D879" s="15" t="s">
        <v>40</v>
      </c>
      <c r="E879" s="15" t="s">
        <v>3330</v>
      </c>
      <c r="F879" s="15" t="s">
        <v>1473</v>
      </c>
      <c r="G879" s="15" t="s">
        <v>2556</v>
      </c>
      <c r="H879" s="15">
        <v>2</v>
      </c>
      <c r="I879" s="15" t="s">
        <v>1961</v>
      </c>
      <c r="J879" s="15" t="s">
        <v>22</v>
      </c>
      <c r="K879" s="15" t="s">
        <v>225</v>
      </c>
      <c r="L879" s="15" t="s">
        <v>39</v>
      </c>
      <c r="M879" s="16">
        <v>0.5</v>
      </c>
      <c r="N879" s="16">
        <v>0.5</v>
      </c>
      <c r="O879" s="16">
        <v>0.5</v>
      </c>
      <c r="P879" s="17">
        <v>45191.0</v>
      </c>
      <c r="Q879" s="18">
        <v>1.93</v>
      </c>
      <c r="R879" s="15" t="s">
        <v>33</v>
      </c>
      <c r="S879" s="19">
        <f t="shared" si="1"/>
        <v>0.465</v>
      </c>
      <c r="T879" s="19">
        <f t="shared" si="8"/>
        <v>22.37016152</v>
      </c>
      <c r="U879" s="144"/>
    </row>
    <row r="880">
      <c r="A880" s="59"/>
      <c r="B880" s="59"/>
      <c r="C880" s="59"/>
      <c r="D880" s="8" t="s">
        <v>40</v>
      </c>
      <c r="E880" s="8" t="s">
        <v>3331</v>
      </c>
      <c r="F880" s="8" t="s">
        <v>1473</v>
      </c>
      <c r="G880" s="8"/>
      <c r="H880" s="8"/>
      <c r="I880" s="8" t="s">
        <v>1961</v>
      </c>
      <c r="J880" s="8" t="s">
        <v>22</v>
      </c>
      <c r="K880" s="8" t="s">
        <v>1165</v>
      </c>
      <c r="L880" s="8" t="s">
        <v>39</v>
      </c>
      <c r="M880" s="9"/>
      <c r="N880" s="9">
        <v>0.1</v>
      </c>
      <c r="O880" s="9">
        <v>0.1</v>
      </c>
      <c r="P880" s="10">
        <v>45191.0</v>
      </c>
      <c r="Q880" s="11">
        <v>2.5</v>
      </c>
      <c r="R880" s="8" t="s">
        <v>25</v>
      </c>
      <c r="S880" s="12">
        <f t="shared" si="1"/>
        <v>-0.1</v>
      </c>
      <c r="T880" s="12">
        <f t="shared" si="8"/>
        <v>22.27016152</v>
      </c>
      <c r="U880" s="145"/>
    </row>
    <row r="881">
      <c r="A881" s="58"/>
      <c r="B881" s="58"/>
      <c r="C881" s="58"/>
      <c r="D881" s="15" t="s">
        <v>40</v>
      </c>
      <c r="E881" s="15" t="s">
        <v>3330</v>
      </c>
      <c r="F881" s="15" t="s">
        <v>1473</v>
      </c>
      <c r="G881" s="15" t="s">
        <v>2556</v>
      </c>
      <c r="H881" s="15">
        <v>2</v>
      </c>
      <c r="I881" s="15" t="s">
        <v>1961</v>
      </c>
      <c r="J881" s="15" t="s">
        <v>22</v>
      </c>
      <c r="K881" s="15" t="s">
        <v>225</v>
      </c>
      <c r="L881" s="15" t="s">
        <v>39</v>
      </c>
      <c r="M881" s="16">
        <v>0.5</v>
      </c>
      <c r="N881" s="16">
        <v>0.25</v>
      </c>
      <c r="O881" s="16">
        <v>0.25</v>
      </c>
      <c r="P881" s="17">
        <v>45191.0</v>
      </c>
      <c r="Q881" s="18">
        <f>0.355/0.25</f>
        <v>1.42</v>
      </c>
      <c r="R881" s="15" t="s">
        <v>33</v>
      </c>
      <c r="S881" s="19">
        <f t="shared" si="1"/>
        <v>0.105</v>
      </c>
      <c r="T881" s="19">
        <f t="shared" si="8"/>
        <v>22.37516152</v>
      </c>
      <c r="U881" s="144"/>
    </row>
    <row r="882">
      <c r="A882" s="59"/>
      <c r="B882" s="59"/>
      <c r="C882" s="59"/>
      <c r="D882" s="8" t="s">
        <v>19</v>
      </c>
      <c r="E882" s="8" t="s">
        <v>3332</v>
      </c>
      <c r="F882" s="8" t="s">
        <v>1479</v>
      </c>
      <c r="G882" s="8" t="s">
        <v>2660</v>
      </c>
      <c r="H882" s="8"/>
      <c r="I882" s="8" t="s">
        <v>172</v>
      </c>
      <c r="J882" s="8" t="s">
        <v>598</v>
      </c>
      <c r="K882" s="8" t="s">
        <v>892</v>
      </c>
      <c r="L882" s="8" t="s">
        <v>1851</v>
      </c>
      <c r="M882" s="9">
        <v>0.0</v>
      </c>
      <c r="N882" s="9">
        <v>0.25</v>
      </c>
      <c r="O882" s="9">
        <v>0.25</v>
      </c>
      <c r="P882" s="10">
        <v>45191.0</v>
      </c>
      <c r="Q882" s="11">
        <v>1.875</v>
      </c>
      <c r="R882" s="8" t="s">
        <v>25</v>
      </c>
      <c r="S882" s="12">
        <f t="shared" si="1"/>
        <v>-0.25</v>
      </c>
      <c r="T882" s="12">
        <f t="shared" si="8"/>
        <v>22.12516152</v>
      </c>
      <c r="U882" s="145"/>
    </row>
    <row r="883">
      <c r="A883" s="58"/>
      <c r="B883" s="58"/>
      <c r="C883" s="58"/>
      <c r="D883" s="15" t="s">
        <v>19</v>
      </c>
      <c r="E883" s="15" t="s">
        <v>3333</v>
      </c>
      <c r="F883" s="15" t="s">
        <v>1479</v>
      </c>
      <c r="G883" s="15" t="s">
        <v>2556</v>
      </c>
      <c r="H883" s="15" t="s">
        <v>3121</v>
      </c>
      <c r="I883" s="15" t="s">
        <v>316</v>
      </c>
      <c r="J883" s="15" t="s">
        <v>22</v>
      </c>
      <c r="K883" s="15" t="s">
        <v>941</v>
      </c>
      <c r="L883" s="15" t="s">
        <v>1522</v>
      </c>
      <c r="M883" s="16">
        <v>0.0</v>
      </c>
      <c r="N883" s="16">
        <v>0.5</v>
      </c>
      <c r="O883" s="16">
        <v>0.5</v>
      </c>
      <c r="P883" s="17">
        <v>45191.0</v>
      </c>
      <c r="Q883" s="18">
        <v>1.8</v>
      </c>
      <c r="R883" s="15" t="s">
        <v>25</v>
      </c>
      <c r="S883" s="19">
        <f t="shared" si="1"/>
        <v>-0.5</v>
      </c>
      <c r="T883" s="19">
        <f t="shared" si="8"/>
        <v>21.62516152</v>
      </c>
      <c r="U883" s="144"/>
    </row>
    <row r="884">
      <c r="A884" s="59"/>
      <c r="B884" s="59"/>
      <c r="C884" s="59"/>
      <c r="D884" s="8" t="s">
        <v>19</v>
      </c>
      <c r="E884" s="8" t="s">
        <v>3334</v>
      </c>
      <c r="F884" s="8" t="s">
        <v>1479</v>
      </c>
      <c r="G884" s="8" t="s">
        <v>2660</v>
      </c>
      <c r="H884" s="8">
        <v>-1.0</v>
      </c>
      <c r="I884" s="8" t="s">
        <v>60</v>
      </c>
      <c r="J884" s="8" t="s">
        <v>22</v>
      </c>
      <c r="K884" s="8" t="s">
        <v>892</v>
      </c>
      <c r="L884" s="8" t="s">
        <v>1851</v>
      </c>
      <c r="M884" s="9">
        <v>0.0</v>
      </c>
      <c r="N884" s="9">
        <v>0.5</v>
      </c>
      <c r="O884" s="9">
        <v>0.5</v>
      </c>
      <c r="P884" s="10">
        <v>45191.0</v>
      </c>
      <c r="Q884" s="11">
        <v>1.8</v>
      </c>
      <c r="R884" s="8" t="s">
        <v>33</v>
      </c>
      <c r="S884" s="12">
        <f t="shared" si="1"/>
        <v>0.4</v>
      </c>
      <c r="T884" s="12">
        <f t="shared" si="8"/>
        <v>22.02516152</v>
      </c>
      <c r="U884" s="145"/>
    </row>
    <row r="885">
      <c r="A885" s="58"/>
      <c r="B885" s="58"/>
      <c r="C885" s="58"/>
      <c r="D885" s="15" t="s">
        <v>19</v>
      </c>
      <c r="E885" s="15" t="s">
        <v>3335</v>
      </c>
      <c r="F885" s="15" t="s">
        <v>1473</v>
      </c>
      <c r="G885" s="15" t="s">
        <v>2556</v>
      </c>
      <c r="H885" s="15">
        <v>-1.0</v>
      </c>
      <c r="I885" s="15" t="s">
        <v>44</v>
      </c>
      <c r="J885" s="15" t="s">
        <v>22</v>
      </c>
      <c r="K885" s="15" t="s">
        <v>225</v>
      </c>
      <c r="L885" s="15" t="s">
        <v>24</v>
      </c>
      <c r="M885" s="16">
        <v>0.75</v>
      </c>
      <c r="N885" s="16">
        <v>1.0</v>
      </c>
      <c r="O885" s="16">
        <v>1.0</v>
      </c>
      <c r="P885" s="17">
        <v>45192.0</v>
      </c>
      <c r="Q885" s="18">
        <v>1.875</v>
      </c>
      <c r="R885" s="15" t="s">
        <v>33</v>
      </c>
      <c r="S885" s="19">
        <f t="shared" si="1"/>
        <v>0.875</v>
      </c>
      <c r="T885" s="19">
        <f t="shared" si="8"/>
        <v>22.90016152</v>
      </c>
      <c r="U885" s="144"/>
    </row>
    <row r="886">
      <c r="A886" s="59"/>
      <c r="B886" s="59"/>
      <c r="C886" s="59"/>
      <c r="D886" s="8" t="s">
        <v>19</v>
      </c>
      <c r="E886" s="8" t="s">
        <v>3336</v>
      </c>
      <c r="F886" s="8"/>
      <c r="G886" s="8"/>
      <c r="H886" s="8"/>
      <c r="I886" s="8" t="s">
        <v>82</v>
      </c>
      <c r="J886" s="8" t="s">
        <v>598</v>
      </c>
      <c r="K886" s="8" t="s">
        <v>2415</v>
      </c>
      <c r="L886" s="8" t="s">
        <v>39</v>
      </c>
      <c r="M886" s="9">
        <v>11.0</v>
      </c>
      <c r="N886" s="9">
        <v>0.5</v>
      </c>
      <c r="O886" s="9">
        <v>0.5</v>
      </c>
      <c r="P886" s="10">
        <v>45192.0</v>
      </c>
      <c r="Q886" s="11">
        <v>1.925</v>
      </c>
      <c r="R886" s="8" t="s">
        <v>33</v>
      </c>
      <c r="S886" s="12">
        <f t="shared" si="1"/>
        <v>0.4625</v>
      </c>
      <c r="T886" s="12">
        <f t="shared" si="8"/>
        <v>23.36266152</v>
      </c>
      <c r="U886" s="145"/>
    </row>
    <row r="887">
      <c r="A887" s="58"/>
      <c r="B887" s="58"/>
      <c r="C887" s="58"/>
      <c r="D887" s="15" t="s">
        <v>19</v>
      </c>
      <c r="E887" s="15" t="s">
        <v>3337</v>
      </c>
      <c r="F887" s="15" t="s">
        <v>1479</v>
      </c>
      <c r="G887" s="15" t="s">
        <v>2660</v>
      </c>
      <c r="H887" s="15">
        <v>-1.0</v>
      </c>
      <c r="I887" s="15" t="s">
        <v>44</v>
      </c>
      <c r="J887" s="15" t="s">
        <v>22</v>
      </c>
      <c r="K887" s="15" t="s">
        <v>892</v>
      </c>
      <c r="L887" s="15" t="s">
        <v>24</v>
      </c>
      <c r="M887" s="16">
        <v>0.0</v>
      </c>
      <c r="N887" s="16">
        <v>0.25</v>
      </c>
      <c r="O887" s="16">
        <v>0.25</v>
      </c>
      <c r="P887" s="55">
        <v>45192.0</v>
      </c>
      <c r="Q887" s="18">
        <v>1.9</v>
      </c>
      <c r="R887" s="15" t="s">
        <v>25</v>
      </c>
      <c r="S887" s="19">
        <f t="shared" si="1"/>
        <v>-0.25</v>
      </c>
      <c r="T887" s="19">
        <f t="shared" si="8"/>
        <v>23.11266152</v>
      </c>
      <c r="U887" s="144"/>
    </row>
    <row r="888">
      <c r="A888" s="59"/>
      <c r="B888" s="59"/>
      <c r="C888" s="59"/>
      <c r="D888" s="8" t="s">
        <v>40</v>
      </c>
      <c r="E888" s="8" t="s">
        <v>3338</v>
      </c>
      <c r="F888" s="8" t="s">
        <v>1479</v>
      </c>
      <c r="G888" s="8"/>
      <c r="H888" s="8" t="s">
        <v>3339</v>
      </c>
      <c r="I888" s="8" t="s">
        <v>794</v>
      </c>
      <c r="J888" s="8" t="s">
        <v>22</v>
      </c>
      <c r="K888" s="8" t="s">
        <v>440</v>
      </c>
      <c r="L888" s="8" t="s">
        <v>24</v>
      </c>
      <c r="M888" s="9">
        <v>1.5</v>
      </c>
      <c r="N888" s="9">
        <v>0.25</v>
      </c>
      <c r="O888" s="9">
        <v>0.25</v>
      </c>
      <c r="P888" s="10">
        <v>45192.0</v>
      </c>
      <c r="Q888" s="11">
        <v>3.75</v>
      </c>
      <c r="R888" s="8" t="s">
        <v>25</v>
      </c>
      <c r="S888" s="12">
        <f t="shared" si="1"/>
        <v>-0.25</v>
      </c>
      <c r="T888" s="12">
        <f t="shared" si="8"/>
        <v>22.86266152</v>
      </c>
      <c r="U888" s="145"/>
    </row>
    <row r="889">
      <c r="A889" s="58"/>
      <c r="B889" s="58"/>
      <c r="C889" s="58"/>
      <c r="D889" s="15" t="s">
        <v>19</v>
      </c>
      <c r="E889" s="15" t="s">
        <v>3340</v>
      </c>
      <c r="F889" s="15" t="s">
        <v>1479</v>
      </c>
      <c r="G889" s="15" t="s">
        <v>2556</v>
      </c>
      <c r="H889" s="15">
        <v>0.0</v>
      </c>
      <c r="I889" s="15" t="s">
        <v>229</v>
      </c>
      <c r="J889" s="15" t="s">
        <v>22</v>
      </c>
      <c r="K889" s="15" t="s">
        <v>941</v>
      </c>
      <c r="L889" s="15" t="s">
        <v>1522</v>
      </c>
      <c r="M889" s="16">
        <v>0.0</v>
      </c>
      <c r="N889" s="16">
        <v>0.75</v>
      </c>
      <c r="O889" s="16">
        <v>0.75</v>
      </c>
      <c r="P889" s="17">
        <v>45192.0</v>
      </c>
      <c r="Q889" s="18">
        <v>1.753</v>
      </c>
      <c r="R889" s="15" t="s">
        <v>33</v>
      </c>
      <c r="S889" s="19">
        <f t="shared" si="1"/>
        <v>0.56475</v>
      </c>
      <c r="T889" s="19">
        <f t="shared" si="8"/>
        <v>23.42741152</v>
      </c>
      <c r="U889" s="144"/>
    </row>
    <row r="890">
      <c r="A890" s="59"/>
      <c r="B890" s="59"/>
      <c r="C890" s="59"/>
      <c r="D890" s="8" t="s">
        <v>19</v>
      </c>
      <c r="E890" s="8" t="s">
        <v>3341</v>
      </c>
      <c r="F890" s="8" t="s">
        <v>1479</v>
      </c>
      <c r="G890" s="8" t="s">
        <v>2556</v>
      </c>
      <c r="H890" s="8">
        <v>0.0</v>
      </c>
      <c r="I890" s="8" t="s">
        <v>229</v>
      </c>
      <c r="J890" s="8" t="s">
        <v>22</v>
      </c>
      <c r="K890" s="8" t="s">
        <v>225</v>
      </c>
      <c r="L890" s="8" t="s">
        <v>24</v>
      </c>
      <c r="M890" s="9">
        <v>0.5</v>
      </c>
      <c r="N890" s="9">
        <v>0.5</v>
      </c>
      <c r="O890" s="9">
        <v>0.5</v>
      </c>
      <c r="P890" s="10">
        <v>45192.0</v>
      </c>
      <c r="Q890" s="11">
        <f>0.615/0.5</f>
        <v>1.23</v>
      </c>
      <c r="R890" s="8" t="s">
        <v>33</v>
      </c>
      <c r="S890" s="12">
        <f t="shared" si="1"/>
        <v>0.115</v>
      </c>
      <c r="T890" s="12">
        <f t="shared" si="8"/>
        <v>23.54241152</v>
      </c>
      <c r="U890" s="145"/>
    </row>
    <row r="891">
      <c r="A891" s="58"/>
      <c r="B891" s="58"/>
      <c r="C891" s="58"/>
      <c r="D891" s="15" t="s">
        <v>19</v>
      </c>
      <c r="E891" s="15" t="s">
        <v>3342</v>
      </c>
      <c r="F891" s="15" t="s">
        <v>1473</v>
      </c>
      <c r="G891" s="15" t="s">
        <v>2556</v>
      </c>
      <c r="H891" s="15">
        <v>0.0</v>
      </c>
      <c r="I891" s="15" t="s">
        <v>525</v>
      </c>
      <c r="J891" s="15" t="s">
        <v>22</v>
      </c>
      <c r="K891" s="15" t="s">
        <v>225</v>
      </c>
      <c r="L891" s="15" t="s">
        <v>24</v>
      </c>
      <c r="M891" s="16">
        <v>0.5</v>
      </c>
      <c r="N891" s="16">
        <v>0.5</v>
      </c>
      <c r="O891" s="16">
        <v>0.5</v>
      </c>
      <c r="P891" s="17">
        <v>45192.0</v>
      </c>
      <c r="Q891" s="18">
        <v>1.725</v>
      </c>
      <c r="R891" s="15" t="s">
        <v>33</v>
      </c>
      <c r="S891" s="19">
        <f t="shared" si="1"/>
        <v>0.3625</v>
      </c>
      <c r="T891" s="19">
        <f t="shared" si="8"/>
        <v>23.90491152</v>
      </c>
      <c r="U891" s="144"/>
    </row>
    <row r="892">
      <c r="A892" s="59"/>
      <c r="B892" s="59"/>
      <c r="C892" s="59"/>
      <c r="D892" s="8" t="s">
        <v>19</v>
      </c>
      <c r="E892" s="8" t="s">
        <v>3343</v>
      </c>
      <c r="F892" s="8" t="s">
        <v>1473</v>
      </c>
      <c r="G892" s="8"/>
      <c r="H892" s="8"/>
      <c r="I892" s="8" t="s">
        <v>525</v>
      </c>
      <c r="J892" s="8" t="s">
        <v>22</v>
      </c>
      <c r="K892" s="8" t="s">
        <v>1165</v>
      </c>
      <c r="L892" s="8" t="s">
        <v>24</v>
      </c>
      <c r="M892" s="9"/>
      <c r="N892" s="9">
        <v>0.15</v>
      </c>
      <c r="O892" s="9">
        <v>0.15</v>
      </c>
      <c r="P892" s="10">
        <v>45192.0</v>
      </c>
      <c r="Q892" s="11">
        <v>2.6</v>
      </c>
      <c r="R892" s="8" t="s">
        <v>33</v>
      </c>
      <c r="S892" s="12">
        <f t="shared" si="1"/>
        <v>0.24</v>
      </c>
      <c r="T892" s="12">
        <f t="shared" si="8"/>
        <v>24.14491152</v>
      </c>
      <c r="U892" s="145"/>
    </row>
    <row r="893">
      <c r="A893" s="58"/>
      <c r="B893" s="58"/>
      <c r="C893" s="58"/>
      <c r="D893" s="15" t="s">
        <v>19</v>
      </c>
      <c r="E893" s="15" t="s">
        <v>3344</v>
      </c>
      <c r="F893" s="15"/>
      <c r="G893" s="15"/>
      <c r="H893" s="15" t="s">
        <v>3242</v>
      </c>
      <c r="I893" s="15" t="s">
        <v>106</v>
      </c>
      <c r="J893" s="15" t="s">
        <v>22</v>
      </c>
      <c r="K893" s="15" t="s">
        <v>29</v>
      </c>
      <c r="L893" s="15" t="s">
        <v>24</v>
      </c>
      <c r="M893" s="16">
        <v>-2.25</v>
      </c>
      <c r="N893" s="16">
        <v>0.25</v>
      </c>
      <c r="O893" s="16">
        <v>0.25</v>
      </c>
      <c r="P893" s="17">
        <v>45192.0</v>
      </c>
      <c r="Q893" s="18">
        <v>1.85</v>
      </c>
      <c r="R893" s="15" t="s">
        <v>25</v>
      </c>
      <c r="S893" s="19">
        <f t="shared" si="1"/>
        <v>-0.25</v>
      </c>
      <c r="T893" s="19">
        <f t="shared" si="8"/>
        <v>23.89491152</v>
      </c>
      <c r="U893" s="144"/>
    </row>
    <row r="894">
      <c r="A894" s="59"/>
      <c r="B894" s="59"/>
      <c r="C894" s="59"/>
      <c r="D894" s="8" t="s">
        <v>19</v>
      </c>
      <c r="E894" s="8" t="s">
        <v>3345</v>
      </c>
      <c r="F894" s="8"/>
      <c r="G894" s="8"/>
      <c r="H894" s="8" t="s">
        <v>2615</v>
      </c>
      <c r="I894" s="8" t="s">
        <v>229</v>
      </c>
      <c r="J894" s="8" t="s">
        <v>22</v>
      </c>
      <c r="K894" s="8" t="s">
        <v>440</v>
      </c>
      <c r="L894" s="8" t="s">
        <v>39</v>
      </c>
      <c r="M894" s="9">
        <v>0.5</v>
      </c>
      <c r="N894" s="9">
        <v>0.25</v>
      </c>
      <c r="O894" s="9">
        <v>0.25</v>
      </c>
      <c r="P894" s="10">
        <v>45192.0</v>
      </c>
      <c r="Q894" s="11">
        <v>1.925</v>
      </c>
      <c r="R894" s="8" t="s">
        <v>33</v>
      </c>
      <c r="S894" s="12">
        <f t="shared" si="1"/>
        <v>0.23125</v>
      </c>
      <c r="T894" s="12">
        <f t="shared" si="8"/>
        <v>24.12616152</v>
      </c>
      <c r="U894" s="145"/>
    </row>
    <row r="895">
      <c r="A895" s="58"/>
      <c r="B895" s="58"/>
      <c r="C895" s="58"/>
      <c r="D895" s="15" t="s">
        <v>19</v>
      </c>
      <c r="E895" s="15" t="s">
        <v>3346</v>
      </c>
      <c r="F895" s="15" t="s">
        <v>1479</v>
      </c>
      <c r="G895" s="15" t="s">
        <v>2660</v>
      </c>
      <c r="H895" s="15">
        <v>0.0</v>
      </c>
      <c r="I895" s="15" t="s">
        <v>229</v>
      </c>
      <c r="J895" s="15" t="s">
        <v>22</v>
      </c>
      <c r="K895" s="15" t="s">
        <v>892</v>
      </c>
      <c r="L895" s="15" t="s">
        <v>24</v>
      </c>
      <c r="M895" s="16">
        <v>0.0</v>
      </c>
      <c r="N895" s="16">
        <v>0.5</v>
      </c>
      <c r="O895" s="16">
        <v>0.5</v>
      </c>
      <c r="P895" s="17">
        <v>45192.0</v>
      </c>
      <c r="Q895" s="18">
        <v>1.775</v>
      </c>
      <c r="R895" s="15" t="s">
        <v>25</v>
      </c>
      <c r="S895" s="19">
        <f t="shared" si="1"/>
        <v>-0.5</v>
      </c>
      <c r="T895" s="19">
        <f t="shared" si="8"/>
        <v>23.62616152</v>
      </c>
      <c r="U895" s="144"/>
    </row>
    <row r="896">
      <c r="A896" s="59"/>
      <c r="B896" s="59"/>
      <c r="C896" s="59"/>
      <c r="D896" s="8" t="s">
        <v>19</v>
      </c>
      <c r="E896" s="8" t="s">
        <v>3347</v>
      </c>
      <c r="F896" s="8" t="s">
        <v>1473</v>
      </c>
      <c r="G896" s="8" t="s">
        <v>2660</v>
      </c>
      <c r="H896" s="8">
        <v>0.0</v>
      </c>
      <c r="I896" s="8" t="s">
        <v>229</v>
      </c>
      <c r="J896" s="8" t="s">
        <v>22</v>
      </c>
      <c r="K896" s="8" t="s">
        <v>892</v>
      </c>
      <c r="L896" s="8" t="s">
        <v>24</v>
      </c>
      <c r="M896" s="9">
        <v>0.0</v>
      </c>
      <c r="N896" s="9">
        <v>0.5</v>
      </c>
      <c r="O896" s="9">
        <v>0.5</v>
      </c>
      <c r="P896" s="10">
        <v>45192.0</v>
      </c>
      <c r="Q896" s="11">
        <f>0.835/0.5</f>
        <v>1.67</v>
      </c>
      <c r="R896" s="8" t="s">
        <v>33</v>
      </c>
      <c r="S896" s="12">
        <f t="shared" si="1"/>
        <v>0.335</v>
      </c>
      <c r="T896" s="12">
        <f t="shared" si="8"/>
        <v>23.96116152</v>
      </c>
      <c r="U896" s="145"/>
    </row>
    <row r="897">
      <c r="A897" s="58"/>
      <c r="B897" s="58"/>
      <c r="C897" s="58"/>
      <c r="D897" s="15" t="s">
        <v>19</v>
      </c>
      <c r="E897" s="15" t="s">
        <v>3348</v>
      </c>
      <c r="F897" s="15" t="s">
        <v>1479</v>
      </c>
      <c r="G897" s="15" t="s">
        <v>2556</v>
      </c>
      <c r="H897" s="15">
        <v>0.0</v>
      </c>
      <c r="I897" s="15" t="s">
        <v>50</v>
      </c>
      <c r="J897" s="15" t="s">
        <v>22</v>
      </c>
      <c r="K897" s="15" t="s">
        <v>941</v>
      </c>
      <c r="L897" s="15" t="s">
        <v>1522</v>
      </c>
      <c r="M897" s="16">
        <v>0.0</v>
      </c>
      <c r="N897" s="16">
        <v>1.0</v>
      </c>
      <c r="O897" s="16">
        <v>1.0</v>
      </c>
      <c r="P897" s="17">
        <v>45192.0</v>
      </c>
      <c r="Q897" s="18">
        <v>1.3</v>
      </c>
      <c r="R897" s="15" t="s">
        <v>33</v>
      </c>
      <c r="S897" s="19">
        <f t="shared" si="1"/>
        <v>0.3</v>
      </c>
      <c r="T897" s="19">
        <f t="shared" si="8"/>
        <v>24.26116152</v>
      </c>
      <c r="U897" s="144"/>
    </row>
    <row r="898">
      <c r="A898" s="59"/>
      <c r="B898" s="59"/>
      <c r="C898" s="59"/>
      <c r="D898" s="8" t="s">
        <v>19</v>
      </c>
      <c r="E898" s="8" t="s">
        <v>3349</v>
      </c>
      <c r="F898" s="8"/>
      <c r="G898" s="8"/>
      <c r="H898" s="8"/>
      <c r="I898" s="8" t="s">
        <v>583</v>
      </c>
      <c r="J898" s="8" t="s">
        <v>22</v>
      </c>
      <c r="K898" s="8" t="s">
        <v>1272</v>
      </c>
      <c r="L898" s="8" t="s">
        <v>24</v>
      </c>
      <c r="M898" s="9"/>
      <c r="N898" s="9">
        <v>0.15</v>
      </c>
      <c r="O898" s="9">
        <v>0.15</v>
      </c>
      <c r="P898" s="10">
        <v>45192.0</v>
      </c>
      <c r="Q898" s="11">
        <f>1.75*1.75</f>
        <v>3.0625</v>
      </c>
      <c r="R898" s="8" t="s">
        <v>25</v>
      </c>
      <c r="S898" s="12">
        <f t="shared" si="1"/>
        <v>-0.15</v>
      </c>
      <c r="T898" s="12">
        <f t="shared" si="8"/>
        <v>24.11116152</v>
      </c>
      <c r="U898" s="145"/>
    </row>
    <row r="899">
      <c r="A899" s="58"/>
      <c r="B899" s="58"/>
      <c r="C899" s="58"/>
      <c r="D899" s="15" t="s">
        <v>19</v>
      </c>
      <c r="E899" s="15" t="s">
        <v>3350</v>
      </c>
      <c r="F899" s="15" t="s">
        <v>1473</v>
      </c>
      <c r="G899" s="15"/>
      <c r="H899" s="15">
        <v>0.0</v>
      </c>
      <c r="I899" s="15" t="s">
        <v>3351</v>
      </c>
      <c r="J899" s="15" t="s">
        <v>22</v>
      </c>
      <c r="K899" s="15" t="s">
        <v>1023</v>
      </c>
      <c r="L899" s="15" t="s">
        <v>1522</v>
      </c>
      <c r="M899" s="16"/>
      <c r="N899" s="16">
        <v>0.5</v>
      </c>
      <c r="O899" s="16">
        <v>0.5</v>
      </c>
      <c r="P899" s="17">
        <v>45192.0</v>
      </c>
      <c r="Q899" s="18">
        <f>0.53/0.5</f>
        <v>1.06</v>
      </c>
      <c r="R899" s="15" t="s">
        <v>33</v>
      </c>
      <c r="S899" s="19">
        <f t="shared" si="1"/>
        <v>0.03</v>
      </c>
      <c r="T899" s="19">
        <f t="shared" si="8"/>
        <v>24.14116152</v>
      </c>
      <c r="U899" s="144"/>
    </row>
    <row r="900">
      <c r="A900" s="59"/>
      <c r="B900" s="59"/>
      <c r="C900" s="59"/>
      <c r="D900" s="8" t="s">
        <v>40</v>
      </c>
      <c r="E900" s="8" t="s">
        <v>3352</v>
      </c>
      <c r="F900" s="8" t="s">
        <v>1473</v>
      </c>
      <c r="G900" s="8" t="s">
        <v>2556</v>
      </c>
      <c r="H900" s="8">
        <v>2</v>
      </c>
      <c r="I900" s="8" t="s">
        <v>93</v>
      </c>
      <c r="J900" s="8" t="s">
        <v>22</v>
      </c>
      <c r="K900" s="8" t="s">
        <v>225</v>
      </c>
      <c r="L900" s="8" t="s">
        <v>24</v>
      </c>
      <c r="M900" s="9">
        <v>0.5</v>
      </c>
      <c r="N900" s="9">
        <v>0.5</v>
      </c>
      <c r="O900" s="9">
        <v>0.5</v>
      </c>
      <c r="P900" s="10">
        <v>45192.0</v>
      </c>
      <c r="Q900" s="11">
        <v>1.975</v>
      </c>
      <c r="R900" s="8" t="s">
        <v>25</v>
      </c>
      <c r="S900" s="12">
        <f t="shared" si="1"/>
        <v>-0.5</v>
      </c>
      <c r="T900" s="12">
        <f t="shared" si="8"/>
        <v>23.64116152</v>
      </c>
      <c r="U900" s="145"/>
    </row>
    <row r="901">
      <c r="A901" s="58"/>
      <c r="B901" s="58"/>
      <c r="C901" s="58"/>
      <c r="D901" s="15" t="s">
        <v>40</v>
      </c>
      <c r="E901" s="15" t="s">
        <v>3353</v>
      </c>
      <c r="F901" s="15" t="s">
        <v>1473</v>
      </c>
      <c r="G901" s="15"/>
      <c r="H901" s="15" t="s">
        <v>3216</v>
      </c>
      <c r="I901" s="15" t="s">
        <v>93</v>
      </c>
      <c r="J901" s="15" t="s">
        <v>22</v>
      </c>
      <c r="K901" s="15" t="s">
        <v>1165</v>
      </c>
      <c r="L901" s="15" t="s">
        <v>24</v>
      </c>
      <c r="M901" s="16"/>
      <c r="N901" s="16">
        <v>0.15</v>
      </c>
      <c r="O901" s="15">
        <v>0.15</v>
      </c>
      <c r="P901" s="55">
        <v>45192.0</v>
      </c>
      <c r="Q901" s="18">
        <v>2.625</v>
      </c>
      <c r="R901" s="15" t="s">
        <v>25</v>
      </c>
      <c r="S901" s="19">
        <f t="shared" si="1"/>
        <v>-0.15</v>
      </c>
      <c r="T901" s="19">
        <f t="shared" si="8"/>
        <v>23.49116152</v>
      </c>
      <c r="U901" s="144"/>
    </row>
    <row r="902">
      <c r="A902" s="59"/>
      <c r="B902" s="59"/>
      <c r="C902" s="59"/>
      <c r="D902" s="8" t="s">
        <v>40</v>
      </c>
      <c r="E902" s="8" t="s">
        <v>3354</v>
      </c>
      <c r="F902" s="8" t="s">
        <v>1473</v>
      </c>
      <c r="G902" s="8" t="s">
        <v>2556</v>
      </c>
      <c r="H902" s="8">
        <v>0.0</v>
      </c>
      <c r="I902" s="8" t="s">
        <v>93</v>
      </c>
      <c r="J902" s="8" t="s">
        <v>22</v>
      </c>
      <c r="K902" s="8" t="s">
        <v>225</v>
      </c>
      <c r="L902" s="8" t="s">
        <v>24</v>
      </c>
      <c r="M902" s="9">
        <v>0.5</v>
      </c>
      <c r="N902" s="9">
        <v>0.75</v>
      </c>
      <c r="O902" s="9">
        <v>0.75</v>
      </c>
      <c r="P902" s="10">
        <v>45192.0</v>
      </c>
      <c r="Q902" s="11">
        <v>1.6</v>
      </c>
      <c r="R902" s="8" t="s">
        <v>33</v>
      </c>
      <c r="S902" s="12">
        <f t="shared" si="1"/>
        <v>0.45</v>
      </c>
      <c r="T902" s="12">
        <f t="shared" si="8"/>
        <v>23.94116152</v>
      </c>
      <c r="U902" s="145"/>
    </row>
    <row r="903">
      <c r="A903" s="58"/>
      <c r="B903" s="58"/>
      <c r="C903" s="58"/>
      <c r="D903" s="15" t="s">
        <v>19</v>
      </c>
      <c r="E903" s="15" t="s">
        <v>3355</v>
      </c>
      <c r="F903" s="15" t="s">
        <v>1479</v>
      </c>
      <c r="G903" s="15" t="s">
        <v>2660</v>
      </c>
      <c r="H903" s="15">
        <v>-1.0</v>
      </c>
      <c r="I903" s="15" t="s">
        <v>316</v>
      </c>
      <c r="J903" s="15" t="s">
        <v>22</v>
      </c>
      <c r="K903" s="15" t="s">
        <v>892</v>
      </c>
      <c r="L903" s="15" t="s">
        <v>1522</v>
      </c>
      <c r="M903" s="16">
        <v>0.0</v>
      </c>
      <c r="N903" s="16">
        <v>0.5</v>
      </c>
      <c r="O903" s="16">
        <v>0.5</v>
      </c>
      <c r="P903" s="17">
        <v>45192.0</v>
      </c>
      <c r="Q903" s="18">
        <v>2.05</v>
      </c>
      <c r="R903" s="15" t="s">
        <v>70</v>
      </c>
      <c r="S903" s="19">
        <f t="shared" si="1"/>
        <v>0</v>
      </c>
      <c r="T903" s="19">
        <f t="shared" si="8"/>
        <v>23.94116152</v>
      </c>
      <c r="U903" s="144"/>
    </row>
    <row r="904">
      <c r="A904" s="59"/>
      <c r="B904" s="59"/>
      <c r="C904" s="59"/>
      <c r="D904" s="8" t="s">
        <v>19</v>
      </c>
      <c r="E904" s="8" t="s">
        <v>3356</v>
      </c>
      <c r="F904" s="8" t="s">
        <v>1479</v>
      </c>
      <c r="G904" s="8" t="s">
        <v>2556</v>
      </c>
      <c r="H904" s="8">
        <v>0.0</v>
      </c>
      <c r="I904" s="8" t="s">
        <v>50</v>
      </c>
      <c r="J904" s="8" t="s">
        <v>22</v>
      </c>
      <c r="K904" s="8" t="s">
        <v>941</v>
      </c>
      <c r="L904" s="8" t="s">
        <v>1522</v>
      </c>
      <c r="M904" s="9">
        <v>0.0</v>
      </c>
      <c r="N904" s="9">
        <v>0.5</v>
      </c>
      <c r="O904" s="9">
        <v>0.5</v>
      </c>
      <c r="P904" s="10">
        <v>45192.0</v>
      </c>
      <c r="Q904" s="11">
        <v>2.2</v>
      </c>
      <c r="R904" s="8" t="s">
        <v>70</v>
      </c>
      <c r="S904" s="12">
        <f t="shared" si="1"/>
        <v>0</v>
      </c>
      <c r="T904" s="12">
        <f t="shared" si="8"/>
        <v>23.94116152</v>
      </c>
      <c r="U904" s="145"/>
    </row>
    <row r="905">
      <c r="A905" s="58"/>
      <c r="B905" s="58"/>
      <c r="C905" s="58"/>
      <c r="D905" s="15" t="s">
        <v>19</v>
      </c>
      <c r="E905" s="15" t="s">
        <v>3357</v>
      </c>
      <c r="F905" s="15"/>
      <c r="G905" s="15"/>
      <c r="H905" s="15" t="s">
        <v>3154</v>
      </c>
      <c r="I905" s="15" t="s">
        <v>3351</v>
      </c>
      <c r="J905" s="15" t="s">
        <v>22</v>
      </c>
      <c r="K905" s="15" t="s">
        <v>440</v>
      </c>
      <c r="L905" s="15" t="s">
        <v>39</v>
      </c>
      <c r="M905" s="16">
        <v>1.5</v>
      </c>
      <c r="N905" s="16">
        <v>0.1</v>
      </c>
      <c r="O905" s="16">
        <v>0.1</v>
      </c>
      <c r="P905" s="17">
        <v>45192.0</v>
      </c>
      <c r="Q905" s="18">
        <v>1.75</v>
      </c>
      <c r="R905" s="15" t="s">
        <v>33</v>
      </c>
      <c r="S905" s="19">
        <f t="shared" si="1"/>
        <v>0.075</v>
      </c>
      <c r="T905" s="19">
        <f t="shared" si="8"/>
        <v>24.01616152</v>
      </c>
      <c r="U905" s="144"/>
    </row>
    <row r="906">
      <c r="A906" s="59"/>
      <c r="B906" s="59"/>
      <c r="C906" s="59"/>
      <c r="D906" s="8" t="s">
        <v>19</v>
      </c>
      <c r="E906" s="8" t="s">
        <v>3358</v>
      </c>
      <c r="F906" s="8"/>
      <c r="G906" s="8"/>
      <c r="H906" s="8"/>
      <c r="I906" s="8" t="s">
        <v>768</v>
      </c>
      <c r="J906" s="8" t="s">
        <v>598</v>
      </c>
      <c r="K906" s="8" t="s">
        <v>440</v>
      </c>
      <c r="L906" s="8"/>
      <c r="M906" s="9">
        <v>11.5</v>
      </c>
      <c r="N906" s="9">
        <v>0.1</v>
      </c>
      <c r="O906" s="9">
        <v>0.1</v>
      </c>
      <c r="P906" s="10">
        <v>45193.0</v>
      </c>
      <c r="Q906" s="11">
        <v>1.909</v>
      </c>
      <c r="R906" s="8" t="s">
        <v>33</v>
      </c>
      <c r="S906" s="12">
        <f t="shared" si="1"/>
        <v>0.0909</v>
      </c>
      <c r="T906" s="12">
        <f t="shared" si="8"/>
        <v>24.10706152</v>
      </c>
      <c r="U906" s="145"/>
    </row>
    <row r="907">
      <c r="A907" s="58"/>
      <c r="B907" s="58"/>
      <c r="C907" s="58"/>
      <c r="D907" s="15" t="s">
        <v>19</v>
      </c>
      <c r="E907" s="15" t="s">
        <v>3359</v>
      </c>
      <c r="F907" s="15"/>
      <c r="G907" s="15"/>
      <c r="H907" s="15"/>
      <c r="I907" s="15" t="s">
        <v>768</v>
      </c>
      <c r="J907" s="15" t="s">
        <v>598</v>
      </c>
      <c r="K907" s="15" t="s">
        <v>440</v>
      </c>
      <c r="L907" s="15"/>
      <c r="M907" s="16">
        <v>54.5</v>
      </c>
      <c r="N907" s="16">
        <v>0.1</v>
      </c>
      <c r="O907" s="16">
        <v>0.1</v>
      </c>
      <c r="P907" s="17">
        <v>45193.0</v>
      </c>
      <c r="Q907" s="18">
        <v>1.909</v>
      </c>
      <c r="R907" s="15" t="s">
        <v>33</v>
      </c>
      <c r="S907" s="19">
        <f t="shared" si="1"/>
        <v>0.0909</v>
      </c>
      <c r="T907" s="19">
        <f t="shared" si="8"/>
        <v>24.19796152</v>
      </c>
      <c r="U907" s="144"/>
    </row>
    <row r="908">
      <c r="A908" s="59"/>
      <c r="B908" s="59"/>
      <c r="C908" s="59"/>
      <c r="D908" s="8" t="s">
        <v>19</v>
      </c>
      <c r="E908" s="8" t="s">
        <v>3360</v>
      </c>
      <c r="F908" s="8"/>
      <c r="G908" s="8"/>
      <c r="H908" s="8"/>
      <c r="I908" s="8" t="s">
        <v>768</v>
      </c>
      <c r="J908" s="8" t="s">
        <v>598</v>
      </c>
      <c r="K908" s="8" t="s">
        <v>440</v>
      </c>
      <c r="L908" s="8"/>
      <c r="M908" s="9">
        <v>0.5</v>
      </c>
      <c r="N908" s="9">
        <v>0.1</v>
      </c>
      <c r="O908" s="9">
        <v>0.1</v>
      </c>
      <c r="P908" s="10">
        <v>45192.0</v>
      </c>
      <c r="Q908" s="11">
        <v>1.8</v>
      </c>
      <c r="R908" s="8" t="s">
        <v>25</v>
      </c>
      <c r="S908" s="12">
        <f t="shared" si="1"/>
        <v>-0.1</v>
      </c>
      <c r="T908" s="12">
        <f t="shared" si="8"/>
        <v>24.09796152</v>
      </c>
      <c r="U908" s="145"/>
    </row>
    <row r="909">
      <c r="A909" s="58"/>
      <c r="B909" s="58"/>
      <c r="C909" s="58"/>
      <c r="D909" s="15" t="s">
        <v>19</v>
      </c>
      <c r="E909" s="15" t="s">
        <v>3361</v>
      </c>
      <c r="F909" s="15"/>
      <c r="G909" s="15"/>
      <c r="H909" s="15"/>
      <c r="I909" s="15" t="s">
        <v>768</v>
      </c>
      <c r="J909" s="15" t="s">
        <v>598</v>
      </c>
      <c r="K909" s="15" t="s">
        <v>2508</v>
      </c>
      <c r="L909" s="15"/>
      <c r="M909" s="16"/>
      <c r="N909" s="16">
        <v>0.1</v>
      </c>
      <c r="O909" s="16">
        <v>0.1</v>
      </c>
      <c r="P909" s="17">
        <v>45193.0</v>
      </c>
      <c r="Q909" s="18">
        <v>2.45</v>
      </c>
      <c r="R909" s="15" t="s">
        <v>33</v>
      </c>
      <c r="S909" s="19">
        <f t="shared" si="1"/>
        <v>0.145</v>
      </c>
      <c r="T909" s="19">
        <f t="shared" si="8"/>
        <v>24.24296152</v>
      </c>
      <c r="U909" s="144"/>
    </row>
    <row r="910">
      <c r="A910" s="59"/>
      <c r="B910" s="59"/>
      <c r="C910" s="59"/>
      <c r="D910" s="8" t="s">
        <v>19</v>
      </c>
      <c r="E910" s="8" t="s">
        <v>3362</v>
      </c>
      <c r="F910" s="8"/>
      <c r="G910" s="8"/>
      <c r="H910" s="8" t="s">
        <v>2615</v>
      </c>
      <c r="I910" s="8" t="s">
        <v>172</v>
      </c>
      <c r="J910" s="8" t="s">
        <v>22</v>
      </c>
      <c r="K910" s="8" t="s">
        <v>29</v>
      </c>
      <c r="L910" s="8" t="s">
        <v>24</v>
      </c>
      <c r="M910" s="9">
        <v>-9.5</v>
      </c>
      <c r="N910" s="9">
        <v>0.25</v>
      </c>
      <c r="O910" s="9">
        <v>0.25</v>
      </c>
      <c r="P910" s="10">
        <v>45192.0</v>
      </c>
      <c r="Q910" s="11">
        <v>1.725</v>
      </c>
      <c r="R910" s="8" t="s">
        <v>70</v>
      </c>
      <c r="S910" s="12">
        <f t="shared" si="1"/>
        <v>0</v>
      </c>
      <c r="T910" s="12">
        <f t="shared" si="8"/>
        <v>24.24296152</v>
      </c>
      <c r="U910" s="145"/>
    </row>
    <row r="911">
      <c r="A911" s="58"/>
      <c r="B911" s="58"/>
      <c r="C911" s="58"/>
      <c r="D911" s="15" t="s">
        <v>40</v>
      </c>
      <c r="E911" s="15" t="s">
        <v>3363</v>
      </c>
      <c r="F911" s="15" t="s">
        <v>1479</v>
      </c>
      <c r="G911" s="15" t="s">
        <v>2556</v>
      </c>
      <c r="H911" s="15">
        <v>0.0</v>
      </c>
      <c r="I911" s="15" t="s">
        <v>908</v>
      </c>
      <c r="J911" s="15" t="s">
        <v>22</v>
      </c>
      <c r="K911" s="15" t="s">
        <v>225</v>
      </c>
      <c r="L911" s="15" t="s">
        <v>24</v>
      </c>
      <c r="M911" s="16">
        <v>0.25</v>
      </c>
      <c r="N911" s="16">
        <v>0.25</v>
      </c>
      <c r="O911" s="16">
        <v>0.25</v>
      </c>
      <c r="P911" s="17">
        <v>45193.0</v>
      </c>
      <c r="Q911" s="18">
        <v>1.9</v>
      </c>
      <c r="R911" s="15" t="s">
        <v>33</v>
      </c>
      <c r="S911" s="19">
        <f t="shared" si="1"/>
        <v>0.225</v>
      </c>
      <c r="T911" s="19">
        <f t="shared" si="8"/>
        <v>24.46796152</v>
      </c>
      <c r="U911" s="144"/>
    </row>
    <row r="912">
      <c r="A912" s="59"/>
      <c r="B912" s="59"/>
      <c r="C912" s="59"/>
      <c r="D912" s="8" t="s">
        <v>19</v>
      </c>
      <c r="E912" s="8" t="s">
        <v>3364</v>
      </c>
      <c r="F912" s="8" t="s">
        <v>1479</v>
      </c>
      <c r="G912" s="8" t="s">
        <v>2556</v>
      </c>
      <c r="H912" s="8">
        <v>0.0</v>
      </c>
      <c r="I912" s="8" t="s">
        <v>82</v>
      </c>
      <c r="J912" s="8" t="s">
        <v>22</v>
      </c>
      <c r="K912" s="8" t="s">
        <v>225</v>
      </c>
      <c r="L912" s="8" t="s">
        <v>39</v>
      </c>
      <c r="M912" s="9">
        <v>0.75</v>
      </c>
      <c r="N912" s="9">
        <v>0.5</v>
      </c>
      <c r="O912" s="9">
        <v>0.5</v>
      </c>
      <c r="P912" s="10">
        <v>45193.0</v>
      </c>
      <c r="Q912" s="11">
        <v>1.025</v>
      </c>
      <c r="R912" s="8" t="s">
        <v>33</v>
      </c>
      <c r="S912" s="12">
        <f t="shared" si="1"/>
        <v>0.0125</v>
      </c>
      <c r="T912" s="12">
        <f t="shared" si="8"/>
        <v>24.48046152</v>
      </c>
      <c r="U912" s="145"/>
    </row>
    <row r="913">
      <c r="A913" s="58"/>
      <c r="B913" s="58"/>
      <c r="C913" s="58"/>
      <c r="D913" s="15" t="s">
        <v>19</v>
      </c>
      <c r="E913" s="15" t="s">
        <v>3365</v>
      </c>
      <c r="F913" s="15" t="s">
        <v>1473</v>
      </c>
      <c r="G913" s="15" t="s">
        <v>2556</v>
      </c>
      <c r="H913" s="15">
        <v>0.0</v>
      </c>
      <c r="I913" s="15" t="s">
        <v>189</v>
      </c>
      <c r="J913" s="15" t="s">
        <v>22</v>
      </c>
      <c r="K913" s="15" t="s">
        <v>225</v>
      </c>
      <c r="L913" s="15" t="s">
        <v>2688</v>
      </c>
      <c r="M913" s="16">
        <v>0.5</v>
      </c>
      <c r="N913" s="16">
        <v>0.25</v>
      </c>
      <c r="O913" s="16">
        <v>0.25</v>
      </c>
      <c r="P913" s="17">
        <v>45193.0</v>
      </c>
      <c r="Q913" s="18">
        <v>1.75</v>
      </c>
      <c r="R913" s="15" t="s">
        <v>33</v>
      </c>
      <c r="S913" s="19">
        <f t="shared" si="1"/>
        <v>0.1875</v>
      </c>
      <c r="T913" s="19">
        <f t="shared" si="8"/>
        <v>24.66796152</v>
      </c>
      <c r="U913" s="144"/>
    </row>
    <row r="914">
      <c r="A914" s="59"/>
      <c r="B914" s="59"/>
      <c r="C914" s="59"/>
      <c r="D914" s="8" t="s">
        <v>19</v>
      </c>
      <c r="E914" s="8" t="s">
        <v>3366</v>
      </c>
      <c r="F914" s="8" t="s">
        <v>1473</v>
      </c>
      <c r="G914" s="8" t="s">
        <v>2556</v>
      </c>
      <c r="H914" s="8">
        <v>0.0</v>
      </c>
      <c r="I914" s="8" t="s">
        <v>44</v>
      </c>
      <c r="J914" s="8" t="s">
        <v>22</v>
      </c>
      <c r="K914" s="8" t="s">
        <v>225</v>
      </c>
      <c r="L914" s="8" t="s">
        <v>24</v>
      </c>
      <c r="M914" s="9">
        <v>0.25</v>
      </c>
      <c r="N914" s="9">
        <v>0.5</v>
      </c>
      <c r="O914" s="9">
        <v>0.5</v>
      </c>
      <c r="P914" s="10">
        <v>45193.0</v>
      </c>
      <c r="Q914" s="11">
        <v>2.02</v>
      </c>
      <c r="R914" s="8" t="s">
        <v>25</v>
      </c>
      <c r="S914" s="12">
        <f t="shared" si="1"/>
        <v>-0.5</v>
      </c>
      <c r="T914" s="12">
        <f t="shared" si="8"/>
        <v>24.16796152</v>
      </c>
      <c r="U914" s="145"/>
    </row>
    <row r="915">
      <c r="A915" s="58"/>
      <c r="B915" s="58"/>
      <c r="C915" s="58"/>
      <c r="D915" s="15" t="s">
        <v>19</v>
      </c>
      <c r="E915" s="15" t="s">
        <v>3367</v>
      </c>
      <c r="F915" s="15" t="s">
        <v>1479</v>
      </c>
      <c r="G915" s="15" t="s">
        <v>2556</v>
      </c>
      <c r="H915" s="15">
        <v>0.0</v>
      </c>
      <c r="I915" s="15" t="s">
        <v>121</v>
      </c>
      <c r="J915" s="15" t="s">
        <v>22</v>
      </c>
      <c r="K915" s="15" t="s">
        <v>225</v>
      </c>
      <c r="L915" s="15" t="s">
        <v>24</v>
      </c>
      <c r="M915" s="16">
        <v>0.75</v>
      </c>
      <c r="N915" s="16">
        <v>0.8</v>
      </c>
      <c r="O915" s="16">
        <v>0.8</v>
      </c>
      <c r="P915" s="17">
        <v>45193.0</v>
      </c>
      <c r="Q915" s="18">
        <v>1.3</v>
      </c>
      <c r="R915" s="15" t="s">
        <v>33</v>
      </c>
      <c r="S915" s="19">
        <f t="shared" si="1"/>
        <v>0.24</v>
      </c>
      <c r="T915" s="19">
        <f t="shared" si="8"/>
        <v>24.40796152</v>
      </c>
      <c r="U915" s="144"/>
    </row>
    <row r="916">
      <c r="A916" s="59"/>
      <c r="B916" s="59"/>
      <c r="C916" s="59"/>
      <c r="D916" s="8" t="s">
        <v>19</v>
      </c>
      <c r="E916" s="8" t="s">
        <v>3368</v>
      </c>
      <c r="F916" s="8" t="s">
        <v>1479</v>
      </c>
      <c r="G916" s="8" t="s">
        <v>2556</v>
      </c>
      <c r="H916" s="8">
        <v>0.0</v>
      </c>
      <c r="I916" s="8" t="s">
        <v>121</v>
      </c>
      <c r="J916" s="8" t="s">
        <v>22</v>
      </c>
      <c r="K916" s="8" t="s">
        <v>941</v>
      </c>
      <c r="L916" s="8" t="s">
        <v>24</v>
      </c>
      <c r="M916" s="9">
        <v>0.0</v>
      </c>
      <c r="N916" s="9">
        <v>0.2</v>
      </c>
      <c r="O916" s="9">
        <v>0.2</v>
      </c>
      <c r="P916" s="10">
        <v>45193.0</v>
      </c>
      <c r="Q916" s="11">
        <v>3.12</v>
      </c>
      <c r="R916" s="8" t="s">
        <v>33</v>
      </c>
      <c r="S916" s="12">
        <f t="shared" si="1"/>
        <v>0.424</v>
      </c>
      <c r="T916" s="12">
        <f t="shared" si="8"/>
        <v>24.83196152</v>
      </c>
      <c r="U916" s="145"/>
    </row>
    <row r="917">
      <c r="A917" s="58"/>
      <c r="B917" s="58"/>
      <c r="C917" s="58"/>
      <c r="D917" s="15" t="s">
        <v>19</v>
      </c>
      <c r="E917" s="15" t="s">
        <v>3369</v>
      </c>
      <c r="F917" s="15" t="s">
        <v>1473</v>
      </c>
      <c r="G917" s="15" t="s">
        <v>2660</v>
      </c>
      <c r="H917" s="15">
        <f>1</f>
        <v>1</v>
      </c>
      <c r="I917" s="15" t="s">
        <v>44</v>
      </c>
      <c r="J917" s="15" t="s">
        <v>22</v>
      </c>
      <c r="K917" s="15" t="s">
        <v>892</v>
      </c>
      <c r="L917" s="15" t="s">
        <v>1522</v>
      </c>
      <c r="M917" s="16">
        <v>0.0</v>
      </c>
      <c r="N917" s="16">
        <v>1.0</v>
      </c>
      <c r="O917" s="16">
        <v>1.0</v>
      </c>
      <c r="P917" s="17">
        <v>45193.0</v>
      </c>
      <c r="Q917" s="18">
        <v>1.95</v>
      </c>
      <c r="R917" s="15" t="s">
        <v>70</v>
      </c>
      <c r="S917" s="19">
        <f t="shared" si="1"/>
        <v>0</v>
      </c>
      <c r="T917" s="19">
        <f t="shared" si="8"/>
        <v>24.83196152</v>
      </c>
      <c r="U917" s="144"/>
    </row>
    <row r="918">
      <c r="A918" s="59"/>
      <c r="B918" s="59"/>
      <c r="C918" s="59"/>
      <c r="D918" s="8" t="s">
        <v>40</v>
      </c>
      <c r="E918" s="8" t="s">
        <v>3370</v>
      </c>
      <c r="F918" s="8" t="s">
        <v>1479</v>
      </c>
      <c r="G918" s="8" t="s">
        <v>2556</v>
      </c>
      <c r="H918" s="8">
        <v>-1.0</v>
      </c>
      <c r="I918" s="8" t="s">
        <v>82</v>
      </c>
      <c r="J918" s="8" t="s">
        <v>22</v>
      </c>
      <c r="K918" s="8" t="s">
        <v>225</v>
      </c>
      <c r="L918" s="8" t="s">
        <v>1522</v>
      </c>
      <c r="M918" s="9">
        <v>2.0</v>
      </c>
      <c r="N918" s="9">
        <v>0.5</v>
      </c>
      <c r="O918" s="9">
        <v>0.5</v>
      </c>
      <c r="P918" s="10">
        <v>45193.0</v>
      </c>
      <c r="Q918" s="11">
        <v>1.04</v>
      </c>
      <c r="R918" s="8" t="s">
        <v>33</v>
      </c>
      <c r="S918" s="12">
        <f t="shared" si="1"/>
        <v>0.02</v>
      </c>
      <c r="T918" s="12">
        <f t="shared" si="8"/>
        <v>24.85196152</v>
      </c>
      <c r="U918" s="145"/>
    </row>
    <row r="919">
      <c r="A919" s="58"/>
      <c r="B919" s="58"/>
      <c r="C919" s="58"/>
      <c r="D919" s="15" t="s">
        <v>19</v>
      </c>
      <c r="E919" s="15" t="s">
        <v>3371</v>
      </c>
      <c r="F919" s="15" t="s">
        <v>1473</v>
      </c>
      <c r="G919" s="15" t="s">
        <v>2556</v>
      </c>
      <c r="H919" s="15">
        <v>0.0</v>
      </c>
      <c r="I919" s="15" t="s">
        <v>48</v>
      </c>
      <c r="J919" s="15" t="s">
        <v>22</v>
      </c>
      <c r="K919" s="15" t="s">
        <v>225</v>
      </c>
      <c r="L919" s="15" t="s">
        <v>24</v>
      </c>
      <c r="M919" s="16">
        <v>0.25</v>
      </c>
      <c r="N919" s="16">
        <v>0.5</v>
      </c>
      <c r="O919" s="16">
        <v>0.5</v>
      </c>
      <c r="P919" s="17">
        <v>45193.0</v>
      </c>
      <c r="Q919" s="18">
        <f>1.13</f>
        <v>1.13</v>
      </c>
      <c r="R919" s="15" t="s">
        <v>33</v>
      </c>
      <c r="S919" s="19">
        <f t="shared" si="1"/>
        <v>0.065</v>
      </c>
      <c r="T919" s="19">
        <f t="shared" si="8"/>
        <v>24.91696152</v>
      </c>
      <c r="U919" s="144"/>
    </row>
    <row r="920">
      <c r="A920" s="59"/>
      <c r="B920" s="59"/>
      <c r="C920" s="59"/>
      <c r="D920" s="8" t="s">
        <v>19</v>
      </c>
      <c r="E920" s="8" t="s">
        <v>3372</v>
      </c>
      <c r="F920" s="8" t="s">
        <v>1473</v>
      </c>
      <c r="G920" s="8" t="s">
        <v>2556</v>
      </c>
      <c r="H920" s="8">
        <v>0.0</v>
      </c>
      <c r="I920" s="8" t="s">
        <v>121</v>
      </c>
      <c r="J920" s="8" t="s">
        <v>22</v>
      </c>
      <c r="K920" s="8" t="s">
        <v>941</v>
      </c>
      <c r="L920" s="8" t="s">
        <v>24</v>
      </c>
      <c r="M920" s="9">
        <v>0.0</v>
      </c>
      <c r="N920" s="9">
        <v>0.5</v>
      </c>
      <c r="O920" s="9">
        <v>0.5</v>
      </c>
      <c r="P920" s="10">
        <v>45193.0</v>
      </c>
      <c r="Q920" s="11">
        <v>2.5</v>
      </c>
      <c r="R920" s="8" t="s">
        <v>70</v>
      </c>
      <c r="S920" s="12">
        <f t="shared" si="1"/>
        <v>0</v>
      </c>
      <c r="T920" s="12">
        <f t="shared" si="8"/>
        <v>24.91696152</v>
      </c>
      <c r="U920" s="145"/>
    </row>
    <row r="921">
      <c r="A921" s="58"/>
      <c r="B921" s="58"/>
      <c r="C921" s="58"/>
      <c r="D921" s="15" t="s">
        <v>19</v>
      </c>
      <c r="E921" s="15" t="s">
        <v>3373</v>
      </c>
      <c r="F921" s="15" t="s">
        <v>1473</v>
      </c>
      <c r="G921" s="15"/>
      <c r="H921" s="15"/>
      <c r="I921" s="15" t="s">
        <v>82</v>
      </c>
      <c r="J921" s="15" t="s">
        <v>598</v>
      </c>
      <c r="K921" s="15" t="s">
        <v>2776</v>
      </c>
      <c r="L921" s="15" t="s">
        <v>39</v>
      </c>
      <c r="M921" s="16">
        <v>0.0</v>
      </c>
      <c r="N921" s="16">
        <v>0.2</v>
      </c>
      <c r="O921" s="16">
        <v>0.2</v>
      </c>
      <c r="P921" s="17">
        <v>45193.0</v>
      </c>
      <c r="Q921" s="18">
        <v>2.1</v>
      </c>
      <c r="R921" s="15" t="s">
        <v>25</v>
      </c>
      <c r="S921" s="19">
        <f t="shared" si="1"/>
        <v>-0.2</v>
      </c>
      <c r="T921" s="19">
        <f t="shared" si="8"/>
        <v>24.71696152</v>
      </c>
      <c r="U921" s="144"/>
    </row>
    <row r="922">
      <c r="A922" s="59"/>
      <c r="B922" s="59"/>
      <c r="C922" s="59"/>
      <c r="D922" s="8" t="s">
        <v>19</v>
      </c>
      <c r="E922" s="8" t="s">
        <v>3374</v>
      </c>
      <c r="F922" s="8" t="s">
        <v>1473</v>
      </c>
      <c r="G922" s="8" t="s">
        <v>2556</v>
      </c>
      <c r="H922" s="8">
        <v>0.0</v>
      </c>
      <c r="I922" s="8" t="s">
        <v>93</v>
      </c>
      <c r="J922" s="8" t="s">
        <v>22</v>
      </c>
      <c r="K922" s="8" t="s">
        <v>225</v>
      </c>
      <c r="L922" s="8" t="s">
        <v>24</v>
      </c>
      <c r="M922" s="9">
        <v>0.25</v>
      </c>
      <c r="N922" s="9">
        <v>0.5</v>
      </c>
      <c r="O922" s="9">
        <v>0.5</v>
      </c>
      <c r="P922" s="10">
        <v>45193.0</v>
      </c>
      <c r="Q922" s="11">
        <v>1.33</v>
      </c>
      <c r="R922" s="8" t="s">
        <v>33</v>
      </c>
      <c r="S922" s="12">
        <f t="shared" si="1"/>
        <v>0.165</v>
      </c>
      <c r="T922" s="12">
        <f t="shared" si="8"/>
        <v>24.88196152</v>
      </c>
      <c r="U922" s="145"/>
    </row>
    <row r="923">
      <c r="A923" s="58"/>
      <c r="B923" s="58"/>
      <c r="C923" s="58"/>
      <c r="D923" s="15" t="s">
        <v>19</v>
      </c>
      <c r="E923" s="15" t="s">
        <v>3375</v>
      </c>
      <c r="F923" s="15"/>
      <c r="G923" s="15"/>
      <c r="H923" s="15"/>
      <c r="I923" s="15" t="s">
        <v>82</v>
      </c>
      <c r="J923" s="15" t="s">
        <v>598</v>
      </c>
      <c r="K923" s="15" t="s">
        <v>3376</v>
      </c>
      <c r="L923" s="15" t="s">
        <v>24</v>
      </c>
      <c r="M923" s="16">
        <v>-26.5</v>
      </c>
      <c r="N923" s="16">
        <v>0.3</v>
      </c>
      <c r="O923" s="16">
        <v>0.3</v>
      </c>
      <c r="P923" s="17">
        <v>45193.0</v>
      </c>
      <c r="Q923" s="18">
        <v>1.825</v>
      </c>
      <c r="R923" s="15" t="s">
        <v>33</v>
      </c>
      <c r="S923" s="19">
        <f t="shared" si="1"/>
        <v>0.2475</v>
      </c>
      <c r="T923" s="19">
        <f t="shared" si="8"/>
        <v>25.12946152</v>
      </c>
      <c r="U923" s="144"/>
    </row>
    <row r="924">
      <c r="A924" s="59"/>
      <c r="B924" s="59"/>
      <c r="C924" s="59"/>
      <c r="D924" s="8" t="s">
        <v>19</v>
      </c>
      <c r="E924" s="8" t="s">
        <v>3377</v>
      </c>
      <c r="F924" s="8" t="s">
        <v>1473</v>
      </c>
      <c r="G924" s="8"/>
      <c r="H924" s="8"/>
      <c r="I924" s="8" t="s">
        <v>93</v>
      </c>
      <c r="J924" s="8" t="s">
        <v>22</v>
      </c>
      <c r="K924" s="8" t="s">
        <v>1165</v>
      </c>
      <c r="L924" s="8" t="s">
        <v>24</v>
      </c>
      <c r="M924" s="9"/>
      <c r="N924" s="9">
        <v>0.1</v>
      </c>
      <c r="O924" s="9">
        <v>0.1</v>
      </c>
      <c r="P924" s="10">
        <v>45193.0</v>
      </c>
      <c r="Q924" s="11">
        <v>4.0</v>
      </c>
      <c r="R924" s="8" t="s">
        <v>25</v>
      </c>
      <c r="S924" s="12">
        <f t="shared" si="1"/>
        <v>-0.1</v>
      </c>
      <c r="T924" s="12">
        <f t="shared" si="8"/>
        <v>25.02946152</v>
      </c>
      <c r="U924" s="145"/>
    </row>
    <row r="925">
      <c r="A925" s="58"/>
      <c r="B925" s="58"/>
      <c r="C925" s="58"/>
      <c r="D925" s="15" t="s">
        <v>40</v>
      </c>
      <c r="E925" s="15" t="s">
        <v>3378</v>
      </c>
      <c r="F925" s="15" t="s">
        <v>1473</v>
      </c>
      <c r="G925" s="15" t="s">
        <v>2556</v>
      </c>
      <c r="H925" s="15">
        <v>0.0</v>
      </c>
      <c r="I925" s="15" t="s">
        <v>920</v>
      </c>
      <c r="J925" s="15" t="s">
        <v>22</v>
      </c>
      <c r="K925" s="15" t="s">
        <v>225</v>
      </c>
      <c r="L925" s="15" t="s">
        <v>1851</v>
      </c>
      <c r="M925" s="16">
        <v>0.75</v>
      </c>
      <c r="N925" s="16">
        <v>0.5</v>
      </c>
      <c r="O925" s="16">
        <f>0.889*0.5</f>
        <v>0.4445</v>
      </c>
      <c r="P925" s="17">
        <v>45195.0</v>
      </c>
      <c r="Q925" s="18">
        <v>1.825</v>
      </c>
      <c r="R925" s="15" t="s">
        <v>25</v>
      </c>
      <c r="S925" s="19">
        <f t="shared" si="1"/>
        <v>-0.4445</v>
      </c>
      <c r="T925" s="19">
        <f t="shared" si="8"/>
        <v>24.58496152</v>
      </c>
      <c r="U925" s="144"/>
    </row>
    <row r="926">
      <c r="A926" s="59"/>
      <c r="B926" s="59"/>
      <c r="C926" s="59"/>
      <c r="D926" s="8" t="s">
        <v>40</v>
      </c>
      <c r="E926" s="8" t="s">
        <v>3379</v>
      </c>
      <c r="F926" s="8" t="s">
        <v>1473</v>
      </c>
      <c r="G926" s="8"/>
      <c r="H926" s="8">
        <v>0.0</v>
      </c>
      <c r="I926" s="8" t="s">
        <v>920</v>
      </c>
      <c r="J926" s="8" t="s">
        <v>22</v>
      </c>
      <c r="K926" s="8" t="s">
        <v>1165</v>
      </c>
      <c r="L926" s="8" t="s">
        <v>1851</v>
      </c>
      <c r="M926" s="9"/>
      <c r="N926" s="9">
        <v>0.15</v>
      </c>
      <c r="O926" s="9">
        <f>0.944*0.15</f>
        <v>0.1416</v>
      </c>
      <c r="P926" s="10">
        <v>45195.0</v>
      </c>
      <c r="Q926" s="11">
        <v>2.75</v>
      </c>
      <c r="R926" s="8" t="s">
        <v>25</v>
      </c>
      <c r="S926" s="12">
        <f t="shared" si="1"/>
        <v>-0.1416</v>
      </c>
      <c r="T926" s="12">
        <f t="shared" si="8"/>
        <v>24.44336152</v>
      </c>
      <c r="U926" s="145"/>
    </row>
    <row r="927">
      <c r="A927" s="58"/>
      <c r="B927" s="58"/>
      <c r="C927" s="58"/>
      <c r="D927" s="15" t="s">
        <v>40</v>
      </c>
      <c r="E927" s="15" t="s">
        <v>3380</v>
      </c>
      <c r="F927" s="15" t="s">
        <v>1473</v>
      </c>
      <c r="G927" s="15" t="s">
        <v>2556</v>
      </c>
      <c r="H927" s="15">
        <v>0.0</v>
      </c>
      <c r="I927" s="15" t="s">
        <v>920</v>
      </c>
      <c r="J927" s="15" t="s">
        <v>22</v>
      </c>
      <c r="K927" s="15" t="s">
        <v>225</v>
      </c>
      <c r="L927" s="15" t="s">
        <v>1851</v>
      </c>
      <c r="M927" s="16">
        <v>0.5</v>
      </c>
      <c r="N927" s="16">
        <v>0.25</v>
      </c>
      <c r="O927" s="16">
        <f>0.944*0.25</f>
        <v>0.236</v>
      </c>
      <c r="P927" s="17">
        <v>45195.0</v>
      </c>
      <c r="Q927" s="18">
        <v>1.95</v>
      </c>
      <c r="R927" s="15" t="s">
        <v>25</v>
      </c>
      <c r="S927" s="19">
        <f t="shared" si="1"/>
        <v>-0.236</v>
      </c>
      <c r="T927" s="19">
        <f t="shared" si="8"/>
        <v>24.20736152</v>
      </c>
      <c r="U927" s="144"/>
    </row>
    <row r="928">
      <c r="A928" s="59"/>
      <c r="B928" s="59"/>
      <c r="C928" s="59"/>
      <c r="D928" s="8" t="s">
        <v>40</v>
      </c>
      <c r="E928" s="8" t="s">
        <v>3381</v>
      </c>
      <c r="F928" s="8" t="s">
        <v>1473</v>
      </c>
      <c r="G928" s="8"/>
      <c r="H928" s="8" t="s">
        <v>3382</v>
      </c>
      <c r="I928" s="8" t="s">
        <v>1961</v>
      </c>
      <c r="J928" s="8" t="s">
        <v>22</v>
      </c>
      <c r="K928" s="8" t="s">
        <v>1165</v>
      </c>
      <c r="L928" s="8" t="s">
        <v>24</v>
      </c>
      <c r="M928" s="9"/>
      <c r="N928" s="9">
        <v>0.1</v>
      </c>
      <c r="O928" s="9">
        <f>0.944*0.1</f>
        <v>0.0944</v>
      </c>
      <c r="P928" s="10">
        <v>45195.0</v>
      </c>
      <c r="Q928" s="11">
        <v>8.0</v>
      </c>
      <c r="R928" s="8" t="s">
        <v>25</v>
      </c>
      <c r="S928" s="12">
        <f t="shared" si="1"/>
        <v>-0.0944</v>
      </c>
      <c r="T928" s="12">
        <f t="shared" si="8"/>
        <v>24.11296152</v>
      </c>
      <c r="U928" s="145"/>
    </row>
    <row r="929">
      <c r="A929" s="58"/>
      <c r="B929" s="58"/>
      <c r="C929" s="58"/>
      <c r="D929" s="15" t="s">
        <v>19</v>
      </c>
      <c r="E929" s="15" t="s">
        <v>3383</v>
      </c>
      <c r="F929" s="15" t="s">
        <v>1479</v>
      </c>
      <c r="G929" s="15" t="s">
        <v>2556</v>
      </c>
      <c r="H929" s="15">
        <v>0.0</v>
      </c>
      <c r="I929" s="15" t="s">
        <v>44</v>
      </c>
      <c r="J929" s="15" t="s">
        <v>22</v>
      </c>
      <c r="K929" s="15" t="s">
        <v>941</v>
      </c>
      <c r="L929" s="15" t="s">
        <v>1522</v>
      </c>
      <c r="M929" s="16">
        <v>0.0</v>
      </c>
      <c r="N929" s="16">
        <v>0.5</v>
      </c>
      <c r="O929" s="16">
        <v>0.5</v>
      </c>
      <c r="P929" s="17">
        <v>45195.0</v>
      </c>
      <c r="Q929" s="18">
        <v>1.9</v>
      </c>
      <c r="R929" s="15" t="s">
        <v>33</v>
      </c>
      <c r="S929" s="19">
        <f t="shared" si="1"/>
        <v>0.45</v>
      </c>
      <c r="T929" s="19">
        <f t="shared" si="8"/>
        <v>24.56296152</v>
      </c>
      <c r="U929" s="144"/>
    </row>
    <row r="930">
      <c r="A930" s="59"/>
      <c r="B930" s="59"/>
      <c r="C930" s="59"/>
      <c r="D930" s="8" t="s">
        <v>19</v>
      </c>
      <c r="E930" s="8" t="s">
        <v>3384</v>
      </c>
      <c r="F930" s="8" t="s">
        <v>1479</v>
      </c>
      <c r="G930" s="8" t="s">
        <v>2556</v>
      </c>
      <c r="H930" s="8">
        <v>0.0</v>
      </c>
      <c r="I930" s="8" t="s">
        <v>44</v>
      </c>
      <c r="J930" s="8" t="s">
        <v>22</v>
      </c>
      <c r="K930" s="8" t="s">
        <v>225</v>
      </c>
      <c r="L930" s="8" t="s">
        <v>1522</v>
      </c>
      <c r="M930" s="9">
        <v>0.25</v>
      </c>
      <c r="N930" s="9">
        <v>0.5</v>
      </c>
      <c r="O930" s="9">
        <v>0.5</v>
      </c>
      <c r="P930" s="10">
        <v>45195.0</v>
      </c>
      <c r="Q930" s="11">
        <f>0.605/0.5</f>
        <v>1.21</v>
      </c>
      <c r="R930" s="8" t="s">
        <v>33</v>
      </c>
      <c r="S930" s="12">
        <f t="shared" si="1"/>
        <v>0.105</v>
      </c>
      <c r="T930" s="12">
        <f t="shared" si="8"/>
        <v>24.66796152</v>
      </c>
      <c r="U930" s="145"/>
    </row>
    <row r="931">
      <c r="A931" s="58"/>
      <c r="B931" s="58"/>
      <c r="C931" s="58"/>
      <c r="D931" s="15" t="s">
        <v>40</v>
      </c>
      <c r="E931" s="15" t="s">
        <v>3385</v>
      </c>
      <c r="F931" s="15" t="s">
        <v>1473</v>
      </c>
      <c r="G931" s="15" t="s">
        <v>2556</v>
      </c>
      <c r="H931" s="15">
        <v>-1.0</v>
      </c>
      <c r="I931" s="15" t="s">
        <v>2456</v>
      </c>
      <c r="J931" s="15" t="s">
        <v>22</v>
      </c>
      <c r="K931" s="15" t="s">
        <v>225</v>
      </c>
      <c r="L931" s="15" t="s">
        <v>1522</v>
      </c>
      <c r="M931" s="16">
        <v>1.0</v>
      </c>
      <c r="N931" s="16">
        <v>0.5</v>
      </c>
      <c r="O931" s="16">
        <v>0.5</v>
      </c>
      <c r="P931" s="17">
        <v>45195.0</v>
      </c>
      <c r="Q931" s="18">
        <v>1.95</v>
      </c>
      <c r="R931" s="15" t="s">
        <v>33</v>
      </c>
      <c r="S931" s="19">
        <f t="shared" si="1"/>
        <v>0.475</v>
      </c>
      <c r="T931" s="19">
        <f t="shared" si="8"/>
        <v>25.14296152</v>
      </c>
      <c r="U931" s="144"/>
    </row>
    <row r="932">
      <c r="A932" s="59"/>
      <c r="B932" s="59"/>
      <c r="C932" s="59"/>
      <c r="D932" s="8" t="s">
        <v>19</v>
      </c>
      <c r="E932" s="8" t="s">
        <v>3386</v>
      </c>
      <c r="F932" s="8" t="s">
        <v>1479</v>
      </c>
      <c r="G932" s="8" t="s">
        <v>2556</v>
      </c>
      <c r="H932" s="8">
        <v>0.0</v>
      </c>
      <c r="I932" s="8" t="s">
        <v>463</v>
      </c>
      <c r="J932" s="8" t="s">
        <v>22</v>
      </c>
      <c r="K932" s="8" t="s">
        <v>225</v>
      </c>
      <c r="L932" s="8" t="s">
        <v>24</v>
      </c>
      <c r="M932" s="9">
        <v>0.5</v>
      </c>
      <c r="N932" s="9">
        <v>0.5</v>
      </c>
      <c r="O932" s="9">
        <v>0.5</v>
      </c>
      <c r="P932" s="10">
        <v>45195.0</v>
      </c>
      <c r="Q932" s="11">
        <f>0.315/0.25</f>
        <v>1.26</v>
      </c>
      <c r="R932" s="8" t="s">
        <v>33</v>
      </c>
      <c r="S932" s="12">
        <f t="shared" si="1"/>
        <v>0.13</v>
      </c>
      <c r="T932" s="12">
        <f t="shared" si="8"/>
        <v>25.27296152</v>
      </c>
      <c r="U932" s="145"/>
    </row>
    <row r="933">
      <c r="A933" s="58"/>
      <c r="B933" s="58"/>
      <c r="C933" s="58"/>
      <c r="D933" s="15" t="s">
        <v>19</v>
      </c>
      <c r="E933" s="15" t="s">
        <v>3387</v>
      </c>
      <c r="F933" s="15" t="s">
        <v>1479</v>
      </c>
      <c r="G933" s="15"/>
      <c r="H933" s="15"/>
      <c r="I933" s="15" t="s">
        <v>82</v>
      </c>
      <c r="J933" s="15" t="s">
        <v>598</v>
      </c>
      <c r="K933" s="15" t="s">
        <v>3388</v>
      </c>
      <c r="L933" s="15" t="s">
        <v>39</v>
      </c>
      <c r="M933" s="16">
        <v>-0.5</v>
      </c>
      <c r="N933" s="16">
        <v>0.25</v>
      </c>
      <c r="O933" s="16">
        <v>0.25</v>
      </c>
      <c r="P933" s="17">
        <v>45195.0</v>
      </c>
      <c r="Q933" s="18">
        <v>1.775</v>
      </c>
      <c r="R933" s="15" t="s">
        <v>25</v>
      </c>
      <c r="S933" s="19">
        <f t="shared" si="1"/>
        <v>-0.25</v>
      </c>
      <c r="T933" s="19">
        <f t="shared" si="8"/>
        <v>25.02296152</v>
      </c>
      <c r="U933" s="144"/>
    </row>
    <row r="934">
      <c r="A934" s="59"/>
      <c r="B934" s="59"/>
      <c r="C934" s="59"/>
      <c r="D934" s="8" t="s">
        <v>19</v>
      </c>
      <c r="E934" s="8" t="s">
        <v>3386</v>
      </c>
      <c r="F934" s="8" t="s">
        <v>1479</v>
      </c>
      <c r="G934" s="8" t="s">
        <v>2556</v>
      </c>
      <c r="H934" s="8">
        <v>-1.0</v>
      </c>
      <c r="I934" s="8" t="s">
        <v>463</v>
      </c>
      <c r="J934" s="8" t="s">
        <v>22</v>
      </c>
      <c r="K934" s="8" t="s">
        <v>225</v>
      </c>
      <c r="L934" s="8" t="s">
        <v>24</v>
      </c>
      <c r="M934" s="9">
        <v>0.5</v>
      </c>
      <c r="N934" s="9">
        <v>0.25</v>
      </c>
      <c r="O934" s="9">
        <v>0.25</v>
      </c>
      <c r="P934" s="10">
        <v>45195.0</v>
      </c>
      <c r="Q934" s="11">
        <v>1.825</v>
      </c>
      <c r="R934" s="8" t="s">
        <v>33</v>
      </c>
      <c r="S934" s="12">
        <f t="shared" si="1"/>
        <v>0.20625</v>
      </c>
      <c r="T934" s="12">
        <f t="shared" si="8"/>
        <v>25.22921152</v>
      </c>
      <c r="U934" s="145"/>
    </row>
    <row r="935">
      <c r="A935" s="58"/>
      <c r="B935" s="58"/>
      <c r="C935" s="58"/>
      <c r="D935" s="15" t="s">
        <v>19</v>
      </c>
      <c r="E935" s="15" t="s">
        <v>3389</v>
      </c>
      <c r="F935" s="15" t="s">
        <v>1473</v>
      </c>
      <c r="G935" s="15" t="s">
        <v>2660</v>
      </c>
      <c r="H935" s="15">
        <v>0.0</v>
      </c>
      <c r="I935" s="15" t="s">
        <v>96</v>
      </c>
      <c r="J935" s="15" t="s">
        <v>22</v>
      </c>
      <c r="K935" s="15" t="s">
        <v>892</v>
      </c>
      <c r="L935" s="15" t="s">
        <v>24</v>
      </c>
      <c r="M935" s="16">
        <v>0.0</v>
      </c>
      <c r="N935" s="16">
        <v>0.6</v>
      </c>
      <c r="O935" s="16">
        <v>0.6</v>
      </c>
      <c r="P935" s="17">
        <v>45196.0</v>
      </c>
      <c r="Q935" s="18">
        <v>1.9</v>
      </c>
      <c r="R935" s="15" t="s">
        <v>25</v>
      </c>
      <c r="S935" s="19">
        <f t="shared" si="1"/>
        <v>-0.6</v>
      </c>
      <c r="T935" s="19">
        <f t="shared" si="8"/>
        <v>24.62921152</v>
      </c>
      <c r="U935" s="144"/>
    </row>
    <row r="936">
      <c r="A936" s="59"/>
      <c r="B936" s="59"/>
      <c r="C936" s="59"/>
      <c r="D936" s="8" t="s">
        <v>19</v>
      </c>
      <c r="E936" s="8" t="s">
        <v>3390</v>
      </c>
      <c r="F936" s="8" t="s">
        <v>1473</v>
      </c>
      <c r="G936" s="8" t="s">
        <v>2556</v>
      </c>
      <c r="H936" s="8"/>
      <c r="I936" s="8" t="s">
        <v>82</v>
      </c>
      <c r="J936" s="8" t="s">
        <v>598</v>
      </c>
      <c r="K936" s="8" t="s">
        <v>3248</v>
      </c>
      <c r="L936" s="8" t="s">
        <v>39</v>
      </c>
      <c r="M936" s="9">
        <v>3.5</v>
      </c>
      <c r="N936" s="9">
        <v>0.5</v>
      </c>
      <c r="O936" s="9">
        <v>0.5</v>
      </c>
      <c r="P936" s="10">
        <v>45196.0</v>
      </c>
      <c r="Q936" s="11">
        <v>1.95</v>
      </c>
      <c r="R936" s="8" t="s">
        <v>33</v>
      </c>
      <c r="S936" s="12">
        <f t="shared" si="1"/>
        <v>0.475</v>
      </c>
      <c r="T936" s="12">
        <f t="shared" si="8"/>
        <v>25.10421152</v>
      </c>
      <c r="U936" s="145"/>
    </row>
    <row r="937">
      <c r="A937" s="58"/>
      <c r="B937" s="58"/>
      <c r="C937" s="58"/>
      <c r="D937" s="15" t="s">
        <v>19</v>
      </c>
      <c r="E937" s="15" t="s">
        <v>3391</v>
      </c>
      <c r="F937" s="15" t="s">
        <v>1473</v>
      </c>
      <c r="G937" s="15" t="s">
        <v>2556</v>
      </c>
      <c r="H937" s="15">
        <v>-1.0</v>
      </c>
      <c r="I937" s="15" t="s">
        <v>923</v>
      </c>
      <c r="J937" s="15" t="s">
        <v>22</v>
      </c>
      <c r="K937" s="15" t="s">
        <v>225</v>
      </c>
      <c r="L937" s="15" t="s">
        <v>24</v>
      </c>
      <c r="M937" s="16">
        <v>0.5</v>
      </c>
      <c r="N937" s="16">
        <v>0.9</v>
      </c>
      <c r="O937" s="16">
        <v>0.9</v>
      </c>
      <c r="P937" s="17">
        <v>45196.0</v>
      </c>
      <c r="Q937" s="18">
        <f>(1.825+1.825+0.41/0.25+0.41/0.25)/4</f>
        <v>1.7325</v>
      </c>
      <c r="R937" s="15" t="s">
        <v>33</v>
      </c>
      <c r="S937" s="19">
        <f t="shared" si="1"/>
        <v>0.65925</v>
      </c>
      <c r="T937" s="19">
        <f t="shared" si="8"/>
        <v>25.76346152</v>
      </c>
      <c r="U937" s="144"/>
    </row>
    <row r="938">
      <c r="A938" s="59"/>
      <c r="B938" s="59"/>
      <c r="C938" s="59"/>
      <c r="D938" s="8" t="s">
        <v>19</v>
      </c>
      <c r="E938" s="8" t="s">
        <v>3392</v>
      </c>
      <c r="F938" s="8" t="s">
        <v>1473</v>
      </c>
      <c r="G938" s="8" t="s">
        <v>2556</v>
      </c>
      <c r="H938" s="8" t="s">
        <v>3154</v>
      </c>
      <c r="I938" s="8" t="s">
        <v>923</v>
      </c>
      <c r="J938" s="8" t="s">
        <v>22</v>
      </c>
      <c r="K938" s="8" t="s">
        <v>1165</v>
      </c>
      <c r="L938" s="8" t="s">
        <v>24</v>
      </c>
      <c r="M938" s="9"/>
      <c r="N938" s="9">
        <v>0.1</v>
      </c>
      <c r="O938" s="9">
        <v>0.1</v>
      </c>
      <c r="P938" s="10">
        <v>45196.0</v>
      </c>
      <c r="Q938" s="11">
        <v>6.0</v>
      </c>
      <c r="R938" s="8" t="s">
        <v>25</v>
      </c>
      <c r="S938" s="12">
        <f t="shared" si="1"/>
        <v>-0.1</v>
      </c>
      <c r="T938" s="12">
        <f t="shared" si="8"/>
        <v>25.66346152</v>
      </c>
      <c r="U938" s="145"/>
    </row>
    <row r="939">
      <c r="A939" s="58"/>
      <c r="B939" s="58"/>
      <c r="C939" s="58"/>
      <c r="D939" s="15" t="s">
        <v>19</v>
      </c>
      <c r="E939" s="15" t="s">
        <v>3393</v>
      </c>
      <c r="F939" s="15" t="s">
        <v>1479</v>
      </c>
      <c r="G939" s="15" t="s">
        <v>2556</v>
      </c>
      <c r="H939" s="15">
        <v>0.0</v>
      </c>
      <c r="I939" s="15" t="s">
        <v>448</v>
      </c>
      <c r="J939" s="15" t="s">
        <v>22</v>
      </c>
      <c r="K939" s="15" t="s">
        <v>225</v>
      </c>
      <c r="L939" s="15" t="s">
        <v>24</v>
      </c>
      <c r="M939" s="16">
        <v>0.25</v>
      </c>
      <c r="N939" s="16">
        <v>0.75</v>
      </c>
      <c r="O939" s="16">
        <v>0.75</v>
      </c>
      <c r="P939" s="17">
        <v>45196.0</v>
      </c>
      <c r="Q939" s="18">
        <v>1.975</v>
      </c>
      <c r="R939" s="15" t="s">
        <v>33</v>
      </c>
      <c r="S939" s="19">
        <f t="shared" si="1"/>
        <v>0.73125</v>
      </c>
      <c r="T939" s="19">
        <f t="shared" si="8"/>
        <v>26.39471152</v>
      </c>
      <c r="U939" s="144"/>
    </row>
    <row r="940">
      <c r="A940" s="59"/>
      <c r="B940" s="59"/>
      <c r="C940" s="59"/>
      <c r="D940" s="8" t="s">
        <v>19</v>
      </c>
      <c r="E940" s="8" t="s">
        <v>3394</v>
      </c>
      <c r="F940" s="8" t="s">
        <v>1479</v>
      </c>
      <c r="G940" s="8" t="s">
        <v>2556</v>
      </c>
      <c r="H940" s="8">
        <v>0.0</v>
      </c>
      <c r="I940" s="8" t="s">
        <v>448</v>
      </c>
      <c r="J940" s="8" t="s">
        <v>22</v>
      </c>
      <c r="K940" s="8" t="s">
        <v>941</v>
      </c>
      <c r="L940" s="8" t="s">
        <v>24</v>
      </c>
      <c r="M940" s="9">
        <v>0.0</v>
      </c>
      <c r="N940" s="9">
        <v>0.25</v>
      </c>
      <c r="O940" s="9">
        <v>0.25</v>
      </c>
      <c r="P940" s="10">
        <v>45196.0</v>
      </c>
      <c r="Q940" s="11">
        <v>2.625</v>
      </c>
      <c r="R940" s="8" t="s">
        <v>33</v>
      </c>
      <c r="S940" s="12">
        <f t="shared" si="1"/>
        <v>0.40625</v>
      </c>
      <c r="T940" s="12">
        <f t="shared" si="8"/>
        <v>26.80096152</v>
      </c>
      <c r="U940" s="145"/>
    </row>
    <row r="941">
      <c r="A941" s="58"/>
      <c r="B941" s="58"/>
      <c r="C941" s="58"/>
      <c r="D941" s="15" t="s">
        <v>19</v>
      </c>
      <c r="E941" s="15" t="s">
        <v>3395</v>
      </c>
      <c r="F941" s="15" t="s">
        <v>1473</v>
      </c>
      <c r="G941" s="15" t="s">
        <v>2556</v>
      </c>
      <c r="H941" s="15">
        <v>0.0</v>
      </c>
      <c r="I941" s="15" t="s">
        <v>101</v>
      </c>
      <c r="J941" s="15" t="s">
        <v>22</v>
      </c>
      <c r="K941" s="15" t="s">
        <v>225</v>
      </c>
      <c r="L941" s="15" t="s">
        <v>24</v>
      </c>
      <c r="M941" s="16">
        <v>0.25</v>
      </c>
      <c r="N941" s="16">
        <v>0.75</v>
      </c>
      <c r="O941" s="16">
        <v>0.75</v>
      </c>
      <c r="P941" s="17">
        <v>45196.0</v>
      </c>
      <c r="Q941" s="18">
        <v>1.925</v>
      </c>
      <c r="R941" s="15" t="s">
        <v>33</v>
      </c>
      <c r="S941" s="19">
        <f t="shared" si="1"/>
        <v>0.69375</v>
      </c>
      <c r="T941" s="19">
        <f t="shared" si="8"/>
        <v>27.49471152</v>
      </c>
      <c r="U941" s="144"/>
    </row>
    <row r="942">
      <c r="A942" s="59"/>
      <c r="B942" s="59"/>
      <c r="C942" s="59"/>
      <c r="D942" s="8" t="s">
        <v>19</v>
      </c>
      <c r="E942" s="8" t="s">
        <v>3396</v>
      </c>
      <c r="F942" s="8" t="s">
        <v>1473</v>
      </c>
      <c r="G942" s="8" t="s">
        <v>2556</v>
      </c>
      <c r="H942" s="8" t="s">
        <v>3397</v>
      </c>
      <c r="I942" s="8" t="s">
        <v>101</v>
      </c>
      <c r="J942" s="8" t="s">
        <v>22</v>
      </c>
      <c r="K942" s="8" t="s">
        <v>1165</v>
      </c>
      <c r="L942" s="8" t="s">
        <v>24</v>
      </c>
      <c r="M942" s="9"/>
      <c r="N942" s="9">
        <v>0.1</v>
      </c>
      <c r="O942" s="9">
        <v>0.1</v>
      </c>
      <c r="P942" s="10">
        <v>45196.0</v>
      </c>
      <c r="Q942" s="11">
        <v>3.75</v>
      </c>
      <c r="R942" s="8" t="s">
        <v>33</v>
      </c>
      <c r="S942" s="12">
        <f t="shared" si="1"/>
        <v>0.275</v>
      </c>
      <c r="T942" s="12">
        <f t="shared" si="8"/>
        <v>27.76971152</v>
      </c>
      <c r="U942" s="145"/>
    </row>
    <row r="943">
      <c r="A943" s="58"/>
      <c r="B943" s="58"/>
      <c r="C943" s="58"/>
      <c r="D943" s="15" t="s">
        <v>19</v>
      </c>
      <c r="E943" s="15" t="s">
        <v>3398</v>
      </c>
      <c r="F943" s="15" t="s">
        <v>1479</v>
      </c>
      <c r="G943" s="15" t="s">
        <v>2556</v>
      </c>
      <c r="H943" s="15">
        <v>0.0</v>
      </c>
      <c r="I943" s="15" t="s">
        <v>121</v>
      </c>
      <c r="J943" s="15" t="s">
        <v>22</v>
      </c>
      <c r="K943" s="15" t="s">
        <v>225</v>
      </c>
      <c r="L943" s="15" t="s">
        <v>39</v>
      </c>
      <c r="M943" s="16">
        <v>0.5</v>
      </c>
      <c r="N943" s="16">
        <v>0.25</v>
      </c>
      <c r="O943" s="16">
        <v>0.25</v>
      </c>
      <c r="P943" s="17">
        <v>45196.0</v>
      </c>
      <c r="Q943" s="18">
        <v>1.975</v>
      </c>
      <c r="R943" s="15" t="s">
        <v>25</v>
      </c>
      <c r="S943" s="19">
        <f t="shared" si="1"/>
        <v>-0.25</v>
      </c>
      <c r="T943" s="19">
        <f t="shared" si="8"/>
        <v>27.51971152</v>
      </c>
      <c r="U943" s="144"/>
    </row>
    <row r="944">
      <c r="A944" s="59"/>
      <c r="B944" s="59"/>
      <c r="C944" s="59"/>
      <c r="D944" s="8" t="s">
        <v>19</v>
      </c>
      <c r="E944" s="8" t="s">
        <v>3399</v>
      </c>
      <c r="F944" s="8" t="s">
        <v>1479</v>
      </c>
      <c r="G944" s="8" t="s">
        <v>2660</v>
      </c>
      <c r="H944" s="8">
        <v>0.0</v>
      </c>
      <c r="I944" s="8" t="s">
        <v>167</v>
      </c>
      <c r="J944" s="8" t="s">
        <v>22</v>
      </c>
      <c r="K944" s="8" t="s">
        <v>892</v>
      </c>
      <c r="L944" s="8" t="s">
        <v>24</v>
      </c>
      <c r="M944" s="9">
        <v>0.0</v>
      </c>
      <c r="N944" s="9">
        <v>1.0</v>
      </c>
      <c r="O944" s="9">
        <v>1.0</v>
      </c>
      <c r="P944" s="10">
        <v>45196.0</v>
      </c>
      <c r="Q944" s="11">
        <v>1.114</v>
      </c>
      <c r="R944" s="8" t="s">
        <v>33</v>
      </c>
      <c r="S944" s="12">
        <f t="shared" si="1"/>
        <v>0.114</v>
      </c>
      <c r="T944" s="12">
        <f t="shared" si="8"/>
        <v>27.63371152</v>
      </c>
      <c r="U944" s="145"/>
    </row>
    <row r="945">
      <c r="A945" s="58"/>
      <c r="B945" s="58"/>
      <c r="C945" s="58"/>
      <c r="D945" s="15" t="s">
        <v>19</v>
      </c>
      <c r="E945" s="15" t="s">
        <v>3400</v>
      </c>
      <c r="F945" s="15" t="s">
        <v>1479</v>
      </c>
      <c r="G945" s="15" t="s">
        <v>2660</v>
      </c>
      <c r="H945" s="15">
        <f>1</f>
        <v>1</v>
      </c>
      <c r="I945" s="15" t="s">
        <v>82</v>
      </c>
      <c r="J945" s="15" t="s">
        <v>22</v>
      </c>
      <c r="K945" s="15" t="s">
        <v>892</v>
      </c>
      <c r="L945" s="15" t="s">
        <v>1851</v>
      </c>
      <c r="M945" s="16">
        <v>0.0</v>
      </c>
      <c r="N945" s="16">
        <v>0.5</v>
      </c>
      <c r="O945" s="16">
        <v>0.5</v>
      </c>
      <c r="P945" s="17">
        <v>45196.0</v>
      </c>
      <c r="Q945" s="18">
        <v>1.75</v>
      </c>
      <c r="R945" s="15" t="s">
        <v>25</v>
      </c>
      <c r="S945" s="19">
        <f t="shared" si="1"/>
        <v>-0.5</v>
      </c>
      <c r="T945" s="19">
        <f t="shared" si="8"/>
        <v>27.13371152</v>
      </c>
      <c r="U945" s="144"/>
    </row>
    <row r="946">
      <c r="A946" s="59"/>
      <c r="B946" s="59"/>
      <c r="C946" s="59"/>
      <c r="D946" s="8" t="s">
        <v>19</v>
      </c>
      <c r="E946" s="8" t="s">
        <v>3401</v>
      </c>
      <c r="F946" s="8" t="s">
        <v>1473</v>
      </c>
      <c r="G946" s="8" t="s">
        <v>2660</v>
      </c>
      <c r="H946" s="8">
        <v>-1.0</v>
      </c>
      <c r="I946" s="8" t="s">
        <v>93</v>
      </c>
      <c r="J946" s="8" t="s">
        <v>22</v>
      </c>
      <c r="K946" s="8" t="s">
        <v>892</v>
      </c>
      <c r="L946" s="8" t="s">
        <v>24</v>
      </c>
      <c r="M946" s="9">
        <v>0.0</v>
      </c>
      <c r="N946" s="9">
        <v>0.5</v>
      </c>
      <c r="O946" s="9">
        <v>0.5</v>
      </c>
      <c r="P946" s="10">
        <v>45196.0</v>
      </c>
      <c r="Q946" s="11">
        <v>1.9</v>
      </c>
      <c r="R946" s="8" t="s">
        <v>25</v>
      </c>
      <c r="S946" s="12">
        <f t="shared" si="1"/>
        <v>-0.5</v>
      </c>
      <c r="T946" s="12">
        <f t="shared" si="8"/>
        <v>26.63371152</v>
      </c>
      <c r="U946" s="145"/>
    </row>
    <row r="947">
      <c r="A947" s="58"/>
      <c r="B947" s="58"/>
      <c r="C947" s="58"/>
      <c r="D947" s="15" t="s">
        <v>40</v>
      </c>
      <c r="E947" s="15" t="s">
        <v>3402</v>
      </c>
      <c r="F947" s="15"/>
      <c r="G947" s="15"/>
      <c r="H947" s="15" t="s">
        <v>2615</v>
      </c>
      <c r="I947" s="15" t="s">
        <v>3403</v>
      </c>
      <c r="J947" s="15" t="s">
        <v>22</v>
      </c>
      <c r="K947" s="15" t="s">
        <v>29</v>
      </c>
      <c r="L947" s="15" t="s">
        <v>39</v>
      </c>
      <c r="M947" s="16">
        <v>-5.5</v>
      </c>
      <c r="N947" s="16">
        <v>0.25</v>
      </c>
      <c r="O947" s="16">
        <v>0.25</v>
      </c>
      <c r="P947" s="17">
        <v>45197.0</v>
      </c>
      <c r="Q947" s="18">
        <v>1.675</v>
      </c>
      <c r="R947" s="15" t="s">
        <v>33</v>
      </c>
      <c r="S947" s="19">
        <f t="shared" si="1"/>
        <v>0.16875</v>
      </c>
      <c r="T947" s="19">
        <f t="shared" si="8"/>
        <v>26.80246152</v>
      </c>
      <c r="U947" s="144"/>
    </row>
    <row r="948">
      <c r="A948" s="59"/>
      <c r="B948" s="59"/>
      <c r="C948" s="59"/>
      <c r="D948" s="8" t="s">
        <v>19</v>
      </c>
      <c r="E948" s="8" t="s">
        <v>3404</v>
      </c>
      <c r="F948" s="8" t="s">
        <v>1479</v>
      </c>
      <c r="G948" s="8" t="s">
        <v>2556</v>
      </c>
      <c r="H948" s="8">
        <v>0.0</v>
      </c>
      <c r="I948" s="8" t="s">
        <v>101</v>
      </c>
      <c r="J948" s="8" t="s">
        <v>22</v>
      </c>
      <c r="K948" s="8" t="s">
        <v>225</v>
      </c>
      <c r="L948" s="8" t="s">
        <v>24</v>
      </c>
      <c r="M948" s="9">
        <v>0.5</v>
      </c>
      <c r="N948" s="9">
        <v>0.5</v>
      </c>
      <c r="O948" s="9">
        <f>0.478*0.5</f>
        <v>0.239</v>
      </c>
      <c r="P948" s="10">
        <v>45197.0</v>
      </c>
      <c r="Q948" s="11">
        <f>0.63/0.5</f>
        <v>1.26</v>
      </c>
      <c r="R948" s="8" t="s">
        <v>33</v>
      </c>
      <c r="S948" s="12">
        <f t="shared" si="1"/>
        <v>0.06214</v>
      </c>
      <c r="T948" s="12">
        <f t="shared" si="8"/>
        <v>26.86460152</v>
      </c>
      <c r="U948" s="145"/>
    </row>
    <row r="949">
      <c r="A949" s="58"/>
      <c r="B949" s="58"/>
      <c r="C949" s="58"/>
      <c r="D949" s="15" t="s">
        <v>19</v>
      </c>
      <c r="E949" s="15" t="s">
        <v>3405</v>
      </c>
      <c r="F949" s="15" t="s">
        <v>1479</v>
      </c>
      <c r="G949" s="15" t="s">
        <v>2556</v>
      </c>
      <c r="H949" s="15"/>
      <c r="I949" s="15" t="s">
        <v>101</v>
      </c>
      <c r="J949" s="15" t="s">
        <v>22</v>
      </c>
      <c r="K949" s="15" t="s">
        <v>941</v>
      </c>
      <c r="L949" s="15" t="s">
        <v>24</v>
      </c>
      <c r="M949" s="16">
        <v>0.0</v>
      </c>
      <c r="N949" s="16">
        <v>0.25</v>
      </c>
      <c r="O949" s="16">
        <f>0.913*0.25</f>
        <v>0.22825</v>
      </c>
      <c r="P949" s="17">
        <v>45197.0</v>
      </c>
      <c r="Q949" s="18">
        <v>2.0</v>
      </c>
      <c r="R949" s="15" t="s">
        <v>70</v>
      </c>
      <c r="S949" s="19">
        <f t="shared" si="1"/>
        <v>0</v>
      </c>
      <c r="T949" s="19">
        <f t="shared" si="8"/>
        <v>26.86460152</v>
      </c>
      <c r="U949" s="144"/>
    </row>
    <row r="950">
      <c r="A950" s="59"/>
      <c r="B950" s="59"/>
      <c r="C950" s="59"/>
      <c r="D950" s="8" t="s">
        <v>19</v>
      </c>
      <c r="E950" s="8" t="s">
        <v>3406</v>
      </c>
      <c r="F950" s="8" t="s">
        <v>1479</v>
      </c>
      <c r="G950" s="8"/>
      <c r="H950" s="8"/>
      <c r="I950" s="8" t="s">
        <v>920</v>
      </c>
      <c r="J950" s="8" t="s">
        <v>22</v>
      </c>
      <c r="K950" s="8" t="s">
        <v>1847</v>
      </c>
      <c r="L950" s="8" t="s">
        <v>1522</v>
      </c>
      <c r="M950" s="9">
        <v>-0.5</v>
      </c>
      <c r="N950" s="9">
        <v>0.25</v>
      </c>
      <c r="O950" s="9">
        <v>0.25</v>
      </c>
      <c r="P950" s="10">
        <v>45197.0</v>
      </c>
      <c r="Q950" s="11">
        <v>1.75</v>
      </c>
      <c r="R950" s="8" t="s">
        <v>25</v>
      </c>
      <c r="S950" s="12">
        <f t="shared" si="1"/>
        <v>-0.25</v>
      </c>
      <c r="T950" s="12">
        <f t="shared" si="8"/>
        <v>26.61460152</v>
      </c>
      <c r="U950" s="145"/>
    </row>
    <row r="951">
      <c r="A951" s="58"/>
      <c r="B951" s="58"/>
      <c r="C951" s="58"/>
      <c r="D951" s="15" t="s">
        <v>19</v>
      </c>
      <c r="E951" s="15" t="s">
        <v>3407</v>
      </c>
      <c r="F951" s="15" t="s">
        <v>1479</v>
      </c>
      <c r="G951" s="15" t="s">
        <v>2556</v>
      </c>
      <c r="H951" s="15">
        <v>0.0</v>
      </c>
      <c r="I951" s="15" t="s">
        <v>93</v>
      </c>
      <c r="J951" s="15" t="s">
        <v>22</v>
      </c>
      <c r="K951" s="15" t="s">
        <v>225</v>
      </c>
      <c r="L951" s="15" t="s">
        <v>24</v>
      </c>
      <c r="M951" s="16">
        <v>0.5</v>
      </c>
      <c r="N951" s="16">
        <v>0.75</v>
      </c>
      <c r="O951" s="16">
        <v>0.75</v>
      </c>
      <c r="P951" s="17">
        <v>45197.0</v>
      </c>
      <c r="Q951" s="18">
        <v>1.443</v>
      </c>
      <c r="R951" s="15" t="s">
        <v>33</v>
      </c>
      <c r="S951" s="19">
        <f t="shared" si="1"/>
        <v>0.33225</v>
      </c>
      <c r="T951" s="19">
        <f t="shared" si="8"/>
        <v>26.94685152</v>
      </c>
      <c r="U951" s="144"/>
    </row>
    <row r="952">
      <c r="A952" s="59"/>
      <c r="B952" s="59"/>
      <c r="C952" s="59"/>
      <c r="D952" s="8" t="s">
        <v>19</v>
      </c>
      <c r="E952" s="8" t="s">
        <v>3408</v>
      </c>
      <c r="F952" s="8" t="s">
        <v>1479</v>
      </c>
      <c r="G952" s="8" t="s">
        <v>2556</v>
      </c>
      <c r="H952" s="8" t="s">
        <v>3121</v>
      </c>
      <c r="I952" s="8" t="s">
        <v>93</v>
      </c>
      <c r="J952" s="8" t="s">
        <v>22</v>
      </c>
      <c r="K952" s="8" t="s">
        <v>1165</v>
      </c>
      <c r="L952" s="8" t="s">
        <v>24</v>
      </c>
      <c r="M952" s="9"/>
      <c r="N952" s="9">
        <v>0.15</v>
      </c>
      <c r="O952" s="9">
        <v>0.15</v>
      </c>
      <c r="P952" s="10">
        <v>45197.0</v>
      </c>
      <c r="Q952" s="11">
        <v>3.2</v>
      </c>
      <c r="R952" s="8" t="s">
        <v>33</v>
      </c>
      <c r="S952" s="12">
        <f t="shared" si="1"/>
        <v>0.33</v>
      </c>
      <c r="T952" s="12">
        <f t="shared" si="8"/>
        <v>27.27685152</v>
      </c>
      <c r="U952" s="145"/>
    </row>
    <row r="953">
      <c r="A953" s="58"/>
      <c r="B953" s="58"/>
      <c r="C953" s="58"/>
      <c r="D953" s="15" t="s">
        <v>19</v>
      </c>
      <c r="E953" s="15" t="s">
        <v>3409</v>
      </c>
      <c r="F953" s="15"/>
      <c r="G953" s="15"/>
      <c r="H953" s="15"/>
      <c r="I953" s="15" t="s">
        <v>768</v>
      </c>
      <c r="J953" s="15" t="s">
        <v>598</v>
      </c>
      <c r="K953" s="15" t="s">
        <v>29</v>
      </c>
      <c r="L953" s="15" t="s">
        <v>24</v>
      </c>
      <c r="M953" s="16">
        <v>-15.5</v>
      </c>
      <c r="N953" s="16">
        <v>0.25</v>
      </c>
      <c r="O953" s="16">
        <v>0.25</v>
      </c>
      <c r="P953" s="55">
        <v>45197.0</v>
      </c>
      <c r="Q953" s="18">
        <v>1.9</v>
      </c>
      <c r="R953" s="15" t="s">
        <v>33</v>
      </c>
      <c r="S953" s="19">
        <f t="shared" si="1"/>
        <v>0.225</v>
      </c>
      <c r="T953" s="19">
        <f t="shared" si="8"/>
        <v>27.50185152</v>
      </c>
      <c r="U953" s="144"/>
    </row>
    <row r="954">
      <c r="A954" s="59"/>
      <c r="B954" s="59"/>
      <c r="C954" s="59"/>
      <c r="D954" s="8" t="s">
        <v>19</v>
      </c>
      <c r="E954" s="8" t="s">
        <v>3410</v>
      </c>
      <c r="F954" s="8"/>
      <c r="G954" s="8"/>
      <c r="H954" s="8"/>
      <c r="I954" s="8" t="s">
        <v>316</v>
      </c>
      <c r="J954" s="8" t="s">
        <v>22</v>
      </c>
      <c r="K954" s="8" t="s">
        <v>29</v>
      </c>
      <c r="L954" s="8" t="s">
        <v>24</v>
      </c>
      <c r="M954" s="9">
        <v>-4.5</v>
      </c>
      <c r="N954" s="9">
        <v>0.25</v>
      </c>
      <c r="O954" s="9">
        <v>0.25</v>
      </c>
      <c r="P954" s="10">
        <v>45197.0</v>
      </c>
      <c r="Q954" s="11">
        <v>1.636</v>
      </c>
      <c r="R954" s="8" t="s">
        <v>33</v>
      </c>
      <c r="S954" s="12">
        <f t="shared" si="1"/>
        <v>0.159</v>
      </c>
      <c r="T954" s="12">
        <f t="shared" si="8"/>
        <v>27.66085152</v>
      </c>
      <c r="U954" s="145"/>
    </row>
    <row r="955">
      <c r="A955" s="58"/>
      <c r="B955" s="58"/>
      <c r="C955" s="58"/>
      <c r="D955" s="15" t="s">
        <v>19</v>
      </c>
      <c r="E955" s="15" t="s">
        <v>3411</v>
      </c>
      <c r="F955" s="15" t="s">
        <v>1473</v>
      </c>
      <c r="G955" s="15" t="s">
        <v>2556</v>
      </c>
      <c r="H955" s="15">
        <v>2</v>
      </c>
      <c r="I955" s="15" t="s">
        <v>44</v>
      </c>
      <c r="J955" s="15" t="s">
        <v>22</v>
      </c>
      <c r="K955" s="15" t="s">
        <v>225</v>
      </c>
      <c r="L955" s="15" t="s">
        <v>1522</v>
      </c>
      <c r="M955" s="16">
        <v>1.0</v>
      </c>
      <c r="N955" s="16">
        <v>0.5</v>
      </c>
      <c r="O955" s="16">
        <v>0.5</v>
      </c>
      <c r="P955" s="17">
        <v>45197.0</v>
      </c>
      <c r="Q955" s="18">
        <v>1.039</v>
      </c>
      <c r="R955" s="15" t="s">
        <v>33</v>
      </c>
      <c r="S955" s="19">
        <f t="shared" si="1"/>
        <v>0.0195</v>
      </c>
      <c r="T955" s="19">
        <f t="shared" si="8"/>
        <v>27.68035152</v>
      </c>
      <c r="U955" s="144"/>
    </row>
    <row r="956">
      <c r="A956" s="59"/>
      <c r="B956" s="59"/>
      <c r="C956" s="59"/>
      <c r="D956" s="8" t="s">
        <v>19</v>
      </c>
      <c r="E956" s="8" t="s">
        <v>3412</v>
      </c>
      <c r="F956" s="8" t="s">
        <v>1479</v>
      </c>
      <c r="G956" s="8" t="s">
        <v>2556</v>
      </c>
      <c r="H956" s="8">
        <v>0.0</v>
      </c>
      <c r="I956" s="8" t="s">
        <v>48</v>
      </c>
      <c r="J956" s="8" t="s">
        <v>22</v>
      </c>
      <c r="K956" s="8" t="s">
        <v>225</v>
      </c>
      <c r="L956" s="8" t="s">
        <v>24</v>
      </c>
      <c r="M956" s="9">
        <v>0.5</v>
      </c>
      <c r="N956" s="9">
        <v>0.25</v>
      </c>
      <c r="O956" s="9">
        <v>0.25</v>
      </c>
      <c r="P956" s="10">
        <v>45198.0</v>
      </c>
      <c r="Q956" s="11">
        <v>1.725</v>
      </c>
      <c r="R956" s="8" t="s">
        <v>25</v>
      </c>
      <c r="S956" s="12">
        <f t="shared" si="1"/>
        <v>-0.25</v>
      </c>
      <c r="T956" s="12">
        <f t="shared" si="8"/>
        <v>27.43035152</v>
      </c>
      <c r="U956" s="145"/>
    </row>
    <row r="957">
      <c r="A957" s="58"/>
      <c r="B957" s="58"/>
      <c r="C957" s="58"/>
      <c r="D957" s="15" t="s">
        <v>19</v>
      </c>
      <c r="E957" s="15" t="s">
        <v>3413</v>
      </c>
      <c r="F957" s="15" t="s">
        <v>1473</v>
      </c>
      <c r="G957" s="15" t="s">
        <v>2556</v>
      </c>
      <c r="H957" s="15">
        <v>-1.0</v>
      </c>
      <c r="I957" s="15" t="s">
        <v>1006</v>
      </c>
      <c r="J957" s="15" t="s">
        <v>22</v>
      </c>
      <c r="K957" s="15" t="s">
        <v>225</v>
      </c>
      <c r="L957" s="15" t="s">
        <v>24</v>
      </c>
      <c r="M957" s="16">
        <v>0.5</v>
      </c>
      <c r="N957" s="16">
        <v>0.5</v>
      </c>
      <c r="O957" s="16">
        <v>0.302</v>
      </c>
      <c r="P957" s="17">
        <v>45198.0</v>
      </c>
      <c r="Q957" s="18">
        <v>1.725</v>
      </c>
      <c r="R957" s="15" t="s">
        <v>33</v>
      </c>
      <c r="S957" s="19">
        <f t="shared" si="1"/>
        <v>0.21895</v>
      </c>
      <c r="T957" s="19">
        <f t="shared" si="8"/>
        <v>27.64930152</v>
      </c>
      <c r="U957" s="144"/>
    </row>
    <row r="958">
      <c r="A958" s="59"/>
      <c r="B958" s="59"/>
      <c r="C958" s="59"/>
      <c r="D958" s="8" t="s">
        <v>19</v>
      </c>
      <c r="E958" s="8" t="s">
        <v>3414</v>
      </c>
      <c r="F958" s="8" t="s">
        <v>1473</v>
      </c>
      <c r="G958" s="8" t="s">
        <v>2556</v>
      </c>
      <c r="H958" s="8">
        <v>-1.0</v>
      </c>
      <c r="I958" s="8" t="s">
        <v>1031</v>
      </c>
      <c r="J958" s="8" t="s">
        <v>22</v>
      </c>
      <c r="K958" s="8" t="s">
        <v>225</v>
      </c>
      <c r="L958" s="8" t="s">
        <v>24</v>
      </c>
      <c r="M958" s="9">
        <v>0.5</v>
      </c>
      <c r="N958" s="9">
        <v>0.5</v>
      </c>
      <c r="O958" s="9">
        <v>0.5</v>
      </c>
      <c r="P958" s="10">
        <v>45198.0</v>
      </c>
      <c r="Q958" s="11">
        <v>1.75</v>
      </c>
      <c r="R958" s="8" t="s">
        <v>25</v>
      </c>
      <c r="S958" s="12">
        <f t="shared" si="1"/>
        <v>-0.5</v>
      </c>
      <c r="T958" s="12">
        <f t="shared" si="8"/>
        <v>27.14930152</v>
      </c>
      <c r="U958" s="145"/>
    </row>
    <row r="959">
      <c r="A959" s="58"/>
      <c r="B959" s="58"/>
      <c r="C959" s="58"/>
      <c r="D959" s="15" t="s">
        <v>19</v>
      </c>
      <c r="E959" s="15" t="s">
        <v>3415</v>
      </c>
      <c r="F959" s="15" t="s">
        <v>1473</v>
      </c>
      <c r="G959" s="15" t="s">
        <v>2660</v>
      </c>
      <c r="H959" s="15">
        <v>-1.0</v>
      </c>
      <c r="I959" s="15" t="s">
        <v>1006</v>
      </c>
      <c r="J959" s="15" t="s">
        <v>22</v>
      </c>
      <c r="K959" s="15" t="s">
        <v>892</v>
      </c>
      <c r="L959" s="15" t="s">
        <v>24</v>
      </c>
      <c r="M959" s="16">
        <v>0.0</v>
      </c>
      <c r="N959" s="16">
        <v>0.15</v>
      </c>
      <c r="O959" s="16">
        <v>0.15</v>
      </c>
      <c r="P959" s="17">
        <v>45198.0</v>
      </c>
      <c r="Q959" s="18">
        <v>2.1</v>
      </c>
      <c r="R959" s="15" t="s">
        <v>33</v>
      </c>
      <c r="S959" s="19">
        <f t="shared" si="1"/>
        <v>0.165</v>
      </c>
      <c r="T959" s="19">
        <f t="shared" si="8"/>
        <v>27.31430152</v>
      </c>
      <c r="U959" s="144"/>
    </row>
    <row r="960">
      <c r="A960" s="59"/>
      <c r="B960" s="59"/>
      <c r="C960" s="59"/>
      <c r="D960" s="8" t="s">
        <v>19</v>
      </c>
      <c r="E960" s="8" t="s">
        <v>3416</v>
      </c>
      <c r="F960" s="8" t="s">
        <v>1473</v>
      </c>
      <c r="G960" s="8" t="s">
        <v>2660</v>
      </c>
      <c r="H960" s="8">
        <v>-2.0</v>
      </c>
      <c r="I960" s="8" t="s">
        <v>101</v>
      </c>
      <c r="J960" s="8" t="s">
        <v>22</v>
      </c>
      <c r="K960" s="8" t="s">
        <v>892</v>
      </c>
      <c r="L960" s="8" t="s">
        <v>24</v>
      </c>
      <c r="M960" s="9">
        <v>0.0</v>
      </c>
      <c r="N960" s="9">
        <v>0.75</v>
      </c>
      <c r="O960" s="9">
        <v>0.75</v>
      </c>
      <c r="P960" s="10">
        <v>45198.0</v>
      </c>
      <c r="Q960" s="11">
        <v>2.0</v>
      </c>
      <c r="R960" s="8" t="s">
        <v>25</v>
      </c>
      <c r="S960" s="12">
        <f t="shared" si="1"/>
        <v>-0.75</v>
      </c>
      <c r="T960" s="12">
        <f t="shared" si="8"/>
        <v>26.56430152</v>
      </c>
      <c r="U960" s="145"/>
    </row>
    <row r="961">
      <c r="A961" s="58"/>
      <c r="B961" s="58"/>
      <c r="C961" s="58"/>
      <c r="D961" s="15" t="s">
        <v>19</v>
      </c>
      <c r="E961" s="15" t="s">
        <v>3417</v>
      </c>
      <c r="F961" s="15" t="s">
        <v>1479</v>
      </c>
      <c r="G961" s="15" t="s">
        <v>2660</v>
      </c>
      <c r="H961" s="15">
        <v>-1.0</v>
      </c>
      <c r="I961" s="15" t="s">
        <v>96</v>
      </c>
      <c r="J961" s="15" t="s">
        <v>22</v>
      </c>
      <c r="K961" s="15" t="s">
        <v>892</v>
      </c>
      <c r="L961" s="15" t="s">
        <v>24</v>
      </c>
      <c r="M961" s="16">
        <v>0.0</v>
      </c>
      <c r="N961" s="16">
        <v>0.75</v>
      </c>
      <c r="O961" s="16">
        <v>0.75</v>
      </c>
      <c r="P961" s="17">
        <v>45198.0</v>
      </c>
      <c r="Q961" s="18">
        <v>1.806</v>
      </c>
      <c r="R961" s="15" t="s">
        <v>33</v>
      </c>
      <c r="S961" s="19">
        <f t="shared" si="1"/>
        <v>0.6045</v>
      </c>
      <c r="T961" s="19">
        <f t="shared" si="8"/>
        <v>27.16880152</v>
      </c>
      <c r="U961" s="144"/>
    </row>
    <row r="962">
      <c r="A962" s="59"/>
      <c r="B962" s="59"/>
      <c r="C962" s="59"/>
      <c r="D962" s="8" t="s">
        <v>19</v>
      </c>
      <c r="E962" s="8" t="s">
        <v>3418</v>
      </c>
      <c r="F962" s="8" t="s">
        <v>1473</v>
      </c>
      <c r="G962" s="8" t="s">
        <v>2556</v>
      </c>
      <c r="H962" s="8"/>
      <c r="I962" s="8" t="s">
        <v>172</v>
      </c>
      <c r="J962" s="8" t="s">
        <v>598</v>
      </c>
      <c r="K962" s="8" t="s">
        <v>941</v>
      </c>
      <c r="L962" s="8" t="s">
        <v>1522</v>
      </c>
      <c r="M962" s="9">
        <v>0.0</v>
      </c>
      <c r="N962" s="9">
        <v>0.5</v>
      </c>
      <c r="O962" s="9">
        <v>0.5</v>
      </c>
      <c r="P962" s="10">
        <v>45198.0</v>
      </c>
      <c r="Q962" s="11">
        <v>1.727</v>
      </c>
      <c r="R962" s="8" t="s">
        <v>70</v>
      </c>
      <c r="S962" s="12">
        <f t="shared" si="1"/>
        <v>0</v>
      </c>
      <c r="T962" s="12">
        <f t="shared" si="8"/>
        <v>27.16880152</v>
      </c>
      <c r="U962" s="145"/>
    </row>
    <row r="963">
      <c r="A963" s="58"/>
      <c r="B963" s="58"/>
      <c r="C963" s="58"/>
      <c r="D963" s="15" t="s">
        <v>19</v>
      </c>
      <c r="E963" s="15" t="s">
        <v>3419</v>
      </c>
      <c r="F963" s="15" t="s">
        <v>1473</v>
      </c>
      <c r="G963" s="15" t="s">
        <v>2556</v>
      </c>
      <c r="H963" s="15">
        <v>0.0</v>
      </c>
      <c r="I963" s="15" t="s">
        <v>44</v>
      </c>
      <c r="J963" s="15" t="s">
        <v>22</v>
      </c>
      <c r="K963" s="15" t="s">
        <v>225</v>
      </c>
      <c r="L963" s="15" t="s">
        <v>24</v>
      </c>
      <c r="M963" s="16">
        <v>0.25</v>
      </c>
      <c r="N963" s="16">
        <v>0.75</v>
      </c>
      <c r="O963" s="16">
        <v>0.75</v>
      </c>
      <c r="P963" s="17">
        <v>45198.0</v>
      </c>
      <c r="Q963" s="18">
        <v>1.323</v>
      </c>
      <c r="R963" s="15" t="s">
        <v>33</v>
      </c>
      <c r="S963" s="19">
        <f t="shared" si="1"/>
        <v>0.24225</v>
      </c>
      <c r="T963" s="19">
        <f t="shared" si="8"/>
        <v>27.41105152</v>
      </c>
      <c r="U963" s="144"/>
    </row>
    <row r="964">
      <c r="A964" s="59"/>
      <c r="B964" s="59"/>
      <c r="C964" s="59"/>
      <c r="D964" s="8" t="s">
        <v>19</v>
      </c>
      <c r="E964" s="8" t="s">
        <v>3420</v>
      </c>
      <c r="F964" s="8" t="s">
        <v>1473</v>
      </c>
      <c r="G964" s="8" t="s">
        <v>2556</v>
      </c>
      <c r="H964" s="8" t="s">
        <v>3242</v>
      </c>
      <c r="I964" s="8" t="s">
        <v>44</v>
      </c>
      <c r="J964" s="8" t="s">
        <v>22</v>
      </c>
      <c r="K964" s="8" t="s">
        <v>1165</v>
      </c>
      <c r="L964" s="8" t="s">
        <v>39</v>
      </c>
      <c r="M964" s="9"/>
      <c r="N964" s="9">
        <v>0.1</v>
      </c>
      <c r="O964" s="9">
        <v>0.1</v>
      </c>
      <c r="P964" s="10">
        <v>45198.0</v>
      </c>
      <c r="Q964" s="11">
        <v>5.0</v>
      </c>
      <c r="R964" s="8" t="s">
        <v>33</v>
      </c>
      <c r="S964" s="12">
        <f t="shared" si="1"/>
        <v>0.4</v>
      </c>
      <c r="T964" s="12">
        <f t="shared" si="8"/>
        <v>27.81105152</v>
      </c>
      <c r="U964" s="145"/>
    </row>
    <row r="965">
      <c r="A965" s="58"/>
      <c r="B965" s="58"/>
      <c r="C965" s="58"/>
      <c r="D965" s="15" t="s">
        <v>19</v>
      </c>
      <c r="E965" s="15" t="s">
        <v>3421</v>
      </c>
      <c r="F965" s="15" t="s">
        <v>1479</v>
      </c>
      <c r="G965" s="15" t="s">
        <v>2556</v>
      </c>
      <c r="H965" s="15">
        <v>0.0</v>
      </c>
      <c r="I965" s="15" t="s">
        <v>44</v>
      </c>
      <c r="J965" s="15" t="s">
        <v>22</v>
      </c>
      <c r="K965" s="15" t="s">
        <v>225</v>
      </c>
      <c r="L965" s="15" t="s">
        <v>24</v>
      </c>
      <c r="M965" s="16">
        <v>1.75</v>
      </c>
      <c r="N965" s="16">
        <v>0.5</v>
      </c>
      <c r="O965" s="16">
        <v>0.5</v>
      </c>
      <c r="P965" s="17">
        <v>45198.0</v>
      </c>
      <c r="Q965" s="18">
        <v>1.875</v>
      </c>
      <c r="R965" s="15" t="s">
        <v>25</v>
      </c>
      <c r="S965" s="19">
        <f t="shared" si="1"/>
        <v>-0.5</v>
      </c>
      <c r="T965" s="19">
        <f t="shared" si="8"/>
        <v>27.31105152</v>
      </c>
      <c r="U965" s="144"/>
    </row>
    <row r="966">
      <c r="A966" s="59"/>
      <c r="B966" s="59"/>
      <c r="C966" s="59"/>
      <c r="D966" s="8" t="s">
        <v>19</v>
      </c>
      <c r="E966" s="8" t="s">
        <v>3422</v>
      </c>
      <c r="F966" s="8" t="s">
        <v>1479</v>
      </c>
      <c r="G966" s="8" t="s">
        <v>2660</v>
      </c>
      <c r="H966" s="8">
        <f>1</f>
        <v>1</v>
      </c>
      <c r="I966" s="8" t="s">
        <v>44</v>
      </c>
      <c r="J966" s="8" t="s">
        <v>22</v>
      </c>
      <c r="K966" s="8" t="s">
        <v>892</v>
      </c>
      <c r="L966" s="8" t="s">
        <v>24</v>
      </c>
      <c r="M966" s="9">
        <v>0.0</v>
      </c>
      <c r="N966" s="9">
        <v>0.5</v>
      </c>
      <c r="O966" s="9">
        <v>0.5</v>
      </c>
      <c r="P966" s="10">
        <v>45198.0</v>
      </c>
      <c r="Q966" s="11">
        <v>1.725</v>
      </c>
      <c r="R966" s="8" t="s">
        <v>70</v>
      </c>
      <c r="S966" s="12">
        <f t="shared" si="1"/>
        <v>0</v>
      </c>
      <c r="T966" s="12">
        <f t="shared" si="8"/>
        <v>27.31105152</v>
      </c>
      <c r="U966" s="145"/>
    </row>
    <row r="967">
      <c r="A967" s="58"/>
      <c r="B967" s="58"/>
      <c r="C967" s="58"/>
      <c r="D967" s="15" t="s">
        <v>19</v>
      </c>
      <c r="E967" s="15" t="s">
        <v>3423</v>
      </c>
      <c r="F967" s="15" t="s">
        <v>1473</v>
      </c>
      <c r="G967" s="15" t="s">
        <v>2556</v>
      </c>
      <c r="H967" s="15">
        <v>-1.0</v>
      </c>
      <c r="I967" s="15" t="s">
        <v>644</v>
      </c>
      <c r="J967" s="15" t="s">
        <v>22</v>
      </c>
      <c r="K967" s="15" t="s">
        <v>225</v>
      </c>
      <c r="L967" s="15" t="s">
        <v>24</v>
      </c>
      <c r="M967" s="16">
        <v>0.5</v>
      </c>
      <c r="N967" s="16">
        <v>0.5</v>
      </c>
      <c r="O967" s="16">
        <v>0.5</v>
      </c>
      <c r="P967" s="17">
        <v>45198.0</v>
      </c>
      <c r="Q967" s="18">
        <v>1.521</v>
      </c>
      <c r="R967" s="15" t="s">
        <v>33</v>
      </c>
      <c r="S967" s="19">
        <f t="shared" si="1"/>
        <v>0.2605</v>
      </c>
      <c r="T967" s="19">
        <f t="shared" si="8"/>
        <v>27.57155152</v>
      </c>
      <c r="U967" s="144"/>
    </row>
    <row r="968">
      <c r="A968" s="59"/>
      <c r="B968" s="59"/>
      <c r="C968" s="59"/>
      <c r="D968" s="8" t="s">
        <v>19</v>
      </c>
      <c r="E968" s="8" t="s">
        <v>3424</v>
      </c>
      <c r="F968" s="8" t="s">
        <v>1473</v>
      </c>
      <c r="G968" s="8" t="s">
        <v>2556</v>
      </c>
      <c r="H968" s="8" t="s">
        <v>3154</v>
      </c>
      <c r="I968" s="8" t="s">
        <v>644</v>
      </c>
      <c r="J968" s="8" t="s">
        <v>22</v>
      </c>
      <c r="K968" s="8" t="s">
        <v>1165</v>
      </c>
      <c r="L968" s="8" t="s">
        <v>24</v>
      </c>
      <c r="M968" s="9"/>
      <c r="N968" s="9">
        <v>0.1</v>
      </c>
      <c r="O968" s="9">
        <v>0.1</v>
      </c>
      <c r="P968" s="10">
        <v>45198.0</v>
      </c>
      <c r="Q968" s="11">
        <v>5.5</v>
      </c>
      <c r="R968" s="8" t="s">
        <v>25</v>
      </c>
      <c r="S968" s="12">
        <f t="shared" si="1"/>
        <v>-0.1</v>
      </c>
      <c r="T968" s="12">
        <f t="shared" si="8"/>
        <v>27.47155152</v>
      </c>
      <c r="U968" s="145"/>
    </row>
    <row r="969">
      <c r="A969" s="58"/>
      <c r="B969" s="58"/>
      <c r="C969" s="58"/>
      <c r="D969" s="15" t="s">
        <v>19</v>
      </c>
      <c r="E969" s="15" t="s">
        <v>3425</v>
      </c>
      <c r="F969" s="15" t="s">
        <v>1479</v>
      </c>
      <c r="G969" s="15" t="s">
        <v>2556</v>
      </c>
      <c r="H969" s="15">
        <v>3</v>
      </c>
      <c r="I969" s="15" t="s">
        <v>583</v>
      </c>
      <c r="J969" s="15" t="s">
        <v>22</v>
      </c>
      <c r="K969" s="15" t="s">
        <v>225</v>
      </c>
      <c r="L969" s="15" t="s">
        <v>24</v>
      </c>
      <c r="M969" s="16">
        <v>0.25</v>
      </c>
      <c r="N969" s="16">
        <v>0.5</v>
      </c>
      <c r="O969" s="16">
        <v>0.5</v>
      </c>
      <c r="P969" s="17">
        <v>45199.0</v>
      </c>
      <c r="Q969" s="18">
        <v>1.2156</v>
      </c>
      <c r="R969" s="15" t="s">
        <v>33</v>
      </c>
      <c r="S969" s="19">
        <f t="shared" si="1"/>
        <v>0.1078</v>
      </c>
      <c r="T969" s="19">
        <f t="shared" si="8"/>
        <v>27.57935152</v>
      </c>
      <c r="U969" s="144"/>
    </row>
    <row r="970">
      <c r="A970" s="59"/>
      <c r="B970" s="59"/>
      <c r="C970" s="59"/>
      <c r="D970" s="8" t="s">
        <v>19</v>
      </c>
      <c r="E970" s="8" t="s">
        <v>3426</v>
      </c>
      <c r="F970" s="8" t="s">
        <v>1473</v>
      </c>
      <c r="G970" s="8" t="s">
        <v>2660</v>
      </c>
      <c r="H970" s="8">
        <v>-2.0</v>
      </c>
      <c r="I970" s="8" t="s">
        <v>48</v>
      </c>
      <c r="J970" s="8" t="s">
        <v>22</v>
      </c>
      <c r="K970" s="8" t="s">
        <v>892</v>
      </c>
      <c r="L970" s="8" t="s">
        <v>24</v>
      </c>
      <c r="M970" s="9">
        <v>0.0</v>
      </c>
      <c r="N970" s="9">
        <v>0.5</v>
      </c>
      <c r="O970" s="9">
        <v>0.5</v>
      </c>
      <c r="P970" s="10">
        <v>45199.0</v>
      </c>
      <c r="Q970" s="11">
        <v>1.925</v>
      </c>
      <c r="R970" s="8" t="s">
        <v>33</v>
      </c>
      <c r="S970" s="12">
        <f t="shared" si="1"/>
        <v>0.4625</v>
      </c>
      <c r="T970" s="12">
        <f t="shared" si="8"/>
        <v>28.04185152</v>
      </c>
      <c r="U970" s="145"/>
    </row>
    <row r="971">
      <c r="A971" s="58"/>
      <c r="B971" s="58"/>
      <c r="C971" s="58"/>
      <c r="D971" s="15" t="s">
        <v>19</v>
      </c>
      <c r="E971" s="15" t="s">
        <v>3427</v>
      </c>
      <c r="F971" s="15"/>
      <c r="G971" s="15"/>
      <c r="H971" s="15"/>
      <c r="I971" s="15" t="s">
        <v>1043</v>
      </c>
      <c r="J971" s="15" t="s">
        <v>598</v>
      </c>
      <c r="K971" s="15" t="s">
        <v>29</v>
      </c>
      <c r="L971" s="15" t="s">
        <v>24</v>
      </c>
      <c r="M971" s="16">
        <v>-3.25</v>
      </c>
      <c r="N971" s="16">
        <v>0.25</v>
      </c>
      <c r="O971" s="16">
        <v>0.25</v>
      </c>
      <c r="P971" s="17">
        <v>45199.0</v>
      </c>
      <c r="Q971" s="18">
        <v>1.95</v>
      </c>
      <c r="R971" s="15" t="s">
        <v>33</v>
      </c>
      <c r="S971" s="19">
        <f t="shared" si="1"/>
        <v>0.2375</v>
      </c>
      <c r="T971" s="19">
        <f t="shared" si="8"/>
        <v>28.27935152</v>
      </c>
      <c r="U971" s="144"/>
    </row>
    <row r="972">
      <c r="A972" s="59"/>
      <c r="B972" s="59"/>
      <c r="C972" s="59"/>
      <c r="D972" s="8" t="s">
        <v>19</v>
      </c>
      <c r="E972" s="8" t="s">
        <v>3428</v>
      </c>
      <c r="F972" s="8"/>
      <c r="G972" s="8"/>
      <c r="H972" s="8"/>
      <c r="I972" s="8" t="s">
        <v>1043</v>
      </c>
      <c r="J972" s="8" t="s">
        <v>598</v>
      </c>
      <c r="K972" s="8" t="s">
        <v>29</v>
      </c>
      <c r="L972" s="8" t="s">
        <v>24</v>
      </c>
      <c r="M972" s="9">
        <v>-2.5</v>
      </c>
      <c r="N972" s="9">
        <v>0.2</v>
      </c>
      <c r="O972" s="9">
        <v>0.2</v>
      </c>
      <c r="P972" s="10">
        <v>45199.0</v>
      </c>
      <c r="Q972" s="11">
        <v>2.5</v>
      </c>
      <c r="R972" s="8" t="s">
        <v>33</v>
      </c>
      <c r="S972" s="12">
        <f t="shared" si="1"/>
        <v>0.3</v>
      </c>
      <c r="T972" s="12">
        <f t="shared" si="8"/>
        <v>28.57935152</v>
      </c>
      <c r="U972" s="145"/>
    </row>
    <row r="973">
      <c r="A973" s="58"/>
      <c r="B973" s="58"/>
      <c r="C973" s="58"/>
      <c r="D973" s="15" t="s">
        <v>19</v>
      </c>
      <c r="E973" s="15" t="s">
        <v>3429</v>
      </c>
      <c r="F973" s="15"/>
      <c r="G973" s="15"/>
      <c r="H973" s="15"/>
      <c r="I973" s="15" t="s">
        <v>1043</v>
      </c>
      <c r="J973" s="15" t="s">
        <v>598</v>
      </c>
      <c r="K973" s="15" t="s">
        <v>29</v>
      </c>
      <c r="L973" s="15" t="s">
        <v>24</v>
      </c>
      <c r="M973" s="16">
        <v>-0.5</v>
      </c>
      <c r="N973" s="16">
        <v>0.05</v>
      </c>
      <c r="O973" s="16">
        <v>0.05</v>
      </c>
      <c r="P973" s="17">
        <v>45199.0</v>
      </c>
      <c r="Q973" s="18">
        <v>15.0</v>
      </c>
      <c r="R973" s="15" t="s">
        <v>25</v>
      </c>
      <c r="S973" s="19">
        <f t="shared" si="1"/>
        <v>-0.05</v>
      </c>
      <c r="T973" s="19">
        <f t="shared" si="8"/>
        <v>28.52935152</v>
      </c>
      <c r="U973" s="144"/>
    </row>
    <row r="974">
      <c r="A974" s="59"/>
      <c r="B974" s="59"/>
      <c r="C974" s="59"/>
      <c r="D974" s="8" t="s">
        <v>19</v>
      </c>
      <c r="E974" s="8" t="s">
        <v>3430</v>
      </c>
      <c r="F974" s="8" t="s">
        <v>1479</v>
      </c>
      <c r="G974" s="8" t="s">
        <v>2556</v>
      </c>
      <c r="H974" s="8">
        <v>0.0</v>
      </c>
      <c r="I974" s="8" t="s">
        <v>48</v>
      </c>
      <c r="J974" s="8" t="s">
        <v>22</v>
      </c>
      <c r="K974" s="8" t="s">
        <v>225</v>
      </c>
      <c r="L974" s="8" t="s">
        <v>24</v>
      </c>
      <c r="M974" s="9">
        <v>0.25</v>
      </c>
      <c r="N974" s="9">
        <v>0.25</v>
      </c>
      <c r="O974" s="9">
        <v>0.25</v>
      </c>
      <c r="P974" s="10">
        <v>45199.0</v>
      </c>
      <c r="Q974" s="11">
        <v>1.8</v>
      </c>
      <c r="R974" s="8" t="s">
        <v>30</v>
      </c>
      <c r="S974" s="12">
        <f t="shared" si="1"/>
        <v>0.1</v>
      </c>
      <c r="T974" s="12">
        <f t="shared" si="8"/>
        <v>28.62935152</v>
      </c>
      <c r="U974" s="145"/>
    </row>
    <row r="975">
      <c r="A975" s="58"/>
      <c r="B975" s="58"/>
      <c r="C975" s="58"/>
      <c r="D975" s="15" t="s">
        <v>19</v>
      </c>
      <c r="E975" s="15" t="s">
        <v>3431</v>
      </c>
      <c r="F975" s="15" t="s">
        <v>1479</v>
      </c>
      <c r="G975" s="15" t="s">
        <v>2556</v>
      </c>
      <c r="H975" s="15">
        <v>0.0</v>
      </c>
      <c r="I975" s="15" t="s">
        <v>48</v>
      </c>
      <c r="J975" s="15" t="s">
        <v>22</v>
      </c>
      <c r="K975" s="15" t="s">
        <v>225</v>
      </c>
      <c r="L975" s="15" t="s">
        <v>24</v>
      </c>
      <c r="M975" s="16">
        <v>0.0</v>
      </c>
      <c r="N975" s="16">
        <v>0.25</v>
      </c>
      <c r="O975" s="16">
        <v>0.25</v>
      </c>
      <c r="P975" s="17">
        <v>45199.0</v>
      </c>
      <c r="Q975" s="18">
        <v>2.25</v>
      </c>
      <c r="R975" s="15" t="s">
        <v>70</v>
      </c>
      <c r="S975" s="19">
        <f t="shared" si="1"/>
        <v>0</v>
      </c>
      <c r="T975" s="19">
        <f t="shared" si="8"/>
        <v>28.62935152</v>
      </c>
      <c r="U975" s="144"/>
    </row>
    <row r="976">
      <c r="A976" s="59"/>
      <c r="B976" s="59"/>
      <c r="C976" s="59"/>
      <c r="D976" s="8" t="s">
        <v>19</v>
      </c>
      <c r="E976" s="8" t="s">
        <v>3432</v>
      </c>
      <c r="F976" s="8" t="s">
        <v>1479</v>
      </c>
      <c r="G976" s="8" t="s">
        <v>2556</v>
      </c>
      <c r="H976" s="8">
        <v>0.0</v>
      </c>
      <c r="I976" s="8" t="s">
        <v>48</v>
      </c>
      <c r="J976" s="8" t="s">
        <v>22</v>
      </c>
      <c r="K976" s="8" t="s">
        <v>1165</v>
      </c>
      <c r="L976" s="8" t="s">
        <v>24</v>
      </c>
      <c r="M976" s="9"/>
      <c r="N976" s="9">
        <v>0.1</v>
      </c>
      <c r="O976" s="9">
        <v>0.1</v>
      </c>
      <c r="P976" s="10">
        <v>45199.0</v>
      </c>
      <c r="Q976" s="11">
        <v>2.6</v>
      </c>
      <c r="R976" s="8" t="s">
        <v>33</v>
      </c>
      <c r="S976" s="12">
        <f t="shared" si="1"/>
        <v>0.16</v>
      </c>
      <c r="T976" s="12">
        <f t="shared" si="8"/>
        <v>28.78935152</v>
      </c>
      <c r="U976" s="145"/>
    </row>
    <row r="977">
      <c r="A977" s="58"/>
      <c r="B977" s="58"/>
      <c r="C977" s="58"/>
      <c r="D977" s="15" t="s">
        <v>19</v>
      </c>
      <c r="E977" s="15" t="s">
        <v>3433</v>
      </c>
      <c r="F977" s="15" t="s">
        <v>1479</v>
      </c>
      <c r="G977" s="15" t="s">
        <v>2660</v>
      </c>
      <c r="H977" s="15">
        <v>0.0</v>
      </c>
      <c r="I977" s="15" t="s">
        <v>50</v>
      </c>
      <c r="J977" s="15" t="s">
        <v>22</v>
      </c>
      <c r="K977" s="15" t="s">
        <v>892</v>
      </c>
      <c r="L977" s="15" t="s">
        <v>24</v>
      </c>
      <c r="M977" s="16">
        <v>0.0</v>
      </c>
      <c r="N977" s="16">
        <v>0.5</v>
      </c>
      <c r="O977" s="16">
        <v>0.5</v>
      </c>
      <c r="P977" s="17">
        <v>45199.0</v>
      </c>
      <c r="Q977" s="18">
        <v>1.8</v>
      </c>
      <c r="R977" s="15" t="s">
        <v>25</v>
      </c>
      <c r="S977" s="19">
        <f t="shared" si="1"/>
        <v>-0.5</v>
      </c>
      <c r="T977" s="19">
        <f t="shared" si="8"/>
        <v>28.28935152</v>
      </c>
      <c r="U977" s="144"/>
    </row>
    <row r="978">
      <c r="A978" s="59"/>
      <c r="B978" s="59"/>
      <c r="C978" s="59"/>
      <c r="D978" s="8" t="s">
        <v>19</v>
      </c>
      <c r="E978" s="8" t="s">
        <v>3434</v>
      </c>
      <c r="F978" s="8" t="s">
        <v>1473</v>
      </c>
      <c r="G978" s="8" t="s">
        <v>2556</v>
      </c>
      <c r="H978" s="8">
        <v>0.0</v>
      </c>
      <c r="I978" s="8" t="s">
        <v>401</v>
      </c>
      <c r="J978" s="8" t="s">
        <v>22</v>
      </c>
      <c r="K978" s="8" t="s">
        <v>941</v>
      </c>
      <c r="L978" s="8" t="s">
        <v>24</v>
      </c>
      <c r="M978" s="9">
        <v>0.0</v>
      </c>
      <c r="N978" s="9">
        <v>0.5</v>
      </c>
      <c r="O978" s="9">
        <v>0.5</v>
      </c>
      <c r="P978" s="10">
        <v>45199.0</v>
      </c>
      <c r="Q978" s="11">
        <v>1.833</v>
      </c>
      <c r="R978" s="8" t="s">
        <v>33</v>
      </c>
      <c r="S978" s="12">
        <f t="shared" si="1"/>
        <v>0.4165</v>
      </c>
      <c r="T978" s="12">
        <f t="shared" si="8"/>
        <v>28.70585152</v>
      </c>
      <c r="U978" s="145"/>
    </row>
    <row r="979">
      <c r="A979" s="58"/>
      <c r="B979" s="58"/>
      <c r="C979" s="58"/>
      <c r="D979" s="15" t="s">
        <v>19</v>
      </c>
      <c r="E979" s="15" t="s">
        <v>3435</v>
      </c>
      <c r="F979" s="15" t="s">
        <v>1473</v>
      </c>
      <c r="G979" s="15" t="s">
        <v>2556</v>
      </c>
      <c r="H979" s="15">
        <v>2</v>
      </c>
      <c r="I979" s="15" t="s">
        <v>401</v>
      </c>
      <c r="J979" s="15" t="s">
        <v>22</v>
      </c>
      <c r="K979" s="15" t="s">
        <v>892</v>
      </c>
      <c r="L979" s="15" t="s">
        <v>24</v>
      </c>
      <c r="M979" s="16">
        <v>0.0</v>
      </c>
      <c r="N979" s="16">
        <v>0.25</v>
      </c>
      <c r="O979" s="16">
        <v>0.25</v>
      </c>
      <c r="P979" s="17">
        <v>45199.0</v>
      </c>
      <c r="Q979" s="18">
        <v>1.75</v>
      </c>
      <c r="R979" s="15" t="s">
        <v>25</v>
      </c>
      <c r="S979" s="19">
        <f t="shared" si="1"/>
        <v>-0.25</v>
      </c>
      <c r="T979" s="19">
        <f t="shared" si="8"/>
        <v>28.45585152</v>
      </c>
      <c r="U979" s="144"/>
    </row>
    <row r="980">
      <c r="A980" s="59"/>
      <c r="B980" s="59"/>
      <c r="C980" s="59"/>
      <c r="D980" s="8" t="s">
        <v>19</v>
      </c>
      <c r="E980" s="8" t="s">
        <v>3436</v>
      </c>
      <c r="F980" s="8" t="s">
        <v>1473</v>
      </c>
      <c r="G980" s="8" t="s">
        <v>2556</v>
      </c>
      <c r="H980" s="8">
        <v>0.0</v>
      </c>
      <c r="I980" s="8" t="s">
        <v>525</v>
      </c>
      <c r="J980" s="8" t="s">
        <v>22</v>
      </c>
      <c r="K980" s="8" t="s">
        <v>892</v>
      </c>
      <c r="L980" s="8" t="s">
        <v>24</v>
      </c>
      <c r="M980" s="9">
        <v>0.0</v>
      </c>
      <c r="N980" s="9">
        <v>0.5</v>
      </c>
      <c r="O980" s="9">
        <v>0.5</v>
      </c>
      <c r="P980" s="10">
        <v>45199.0</v>
      </c>
      <c r="Q980" s="11">
        <v>1.825</v>
      </c>
      <c r="R980" s="8" t="s">
        <v>25</v>
      </c>
      <c r="S980" s="12">
        <f t="shared" si="1"/>
        <v>-0.5</v>
      </c>
      <c r="T980" s="12">
        <f t="shared" si="8"/>
        <v>27.95585152</v>
      </c>
      <c r="U980" s="145"/>
    </row>
    <row r="981">
      <c r="A981" s="58"/>
      <c r="B981" s="58"/>
      <c r="C981" s="58"/>
      <c r="D981" s="15" t="s">
        <v>19</v>
      </c>
      <c r="E981" s="15" t="s">
        <v>3437</v>
      </c>
      <c r="F981" s="15" t="s">
        <v>1479</v>
      </c>
      <c r="G981" s="15" t="s">
        <v>2660</v>
      </c>
      <c r="H981" s="15">
        <v>0.0</v>
      </c>
      <c r="I981" s="15" t="s">
        <v>624</v>
      </c>
      <c r="J981" s="15" t="s">
        <v>22</v>
      </c>
      <c r="K981" s="15" t="s">
        <v>892</v>
      </c>
      <c r="L981" s="15" t="s">
        <v>24</v>
      </c>
      <c r="M981" s="16">
        <v>0.0</v>
      </c>
      <c r="N981" s="16">
        <v>0.5</v>
      </c>
      <c r="O981" s="16">
        <v>0.5</v>
      </c>
      <c r="P981" s="17">
        <v>45199.0</v>
      </c>
      <c r="Q981" s="18">
        <v>1.7</v>
      </c>
      <c r="R981" s="15" t="s">
        <v>33</v>
      </c>
      <c r="S981" s="19">
        <f t="shared" si="1"/>
        <v>0.35</v>
      </c>
      <c r="T981" s="19">
        <f t="shared" si="8"/>
        <v>28.30585152</v>
      </c>
      <c r="U981" s="144"/>
    </row>
    <row r="982">
      <c r="A982" s="59"/>
      <c r="B982" s="59"/>
      <c r="C982" s="59"/>
      <c r="D982" s="8" t="s">
        <v>19</v>
      </c>
      <c r="E982" s="8" t="s">
        <v>3438</v>
      </c>
      <c r="F982" s="8" t="s">
        <v>1479</v>
      </c>
      <c r="G982" s="8" t="s">
        <v>2660</v>
      </c>
      <c r="H982" s="8">
        <v>0.0</v>
      </c>
      <c r="I982" s="8" t="s">
        <v>1025</v>
      </c>
      <c r="J982" s="8" t="s">
        <v>22</v>
      </c>
      <c r="K982" s="8" t="s">
        <v>941</v>
      </c>
      <c r="L982" s="8" t="s">
        <v>24</v>
      </c>
      <c r="M982" s="9">
        <v>0.0</v>
      </c>
      <c r="N982" s="9">
        <v>0.5</v>
      </c>
      <c r="O982" s="9">
        <v>0.5</v>
      </c>
      <c r="P982" s="10">
        <v>45199.0</v>
      </c>
      <c r="Q982" s="11">
        <v>1.8</v>
      </c>
      <c r="R982" s="8" t="s">
        <v>70</v>
      </c>
      <c r="S982" s="12">
        <f t="shared" si="1"/>
        <v>0</v>
      </c>
      <c r="T982" s="12">
        <f t="shared" si="8"/>
        <v>28.30585152</v>
      </c>
      <c r="U982" s="145"/>
    </row>
    <row r="983">
      <c r="A983" s="58"/>
      <c r="B983" s="58"/>
      <c r="C983" s="58"/>
      <c r="D983" s="15" t="s">
        <v>19</v>
      </c>
      <c r="E983" s="15" t="s">
        <v>3439</v>
      </c>
      <c r="F983" s="15" t="s">
        <v>1473</v>
      </c>
      <c r="G983" s="15" t="s">
        <v>2556</v>
      </c>
      <c r="H983" s="15">
        <v>0.0</v>
      </c>
      <c r="I983" s="15" t="s">
        <v>93</v>
      </c>
      <c r="J983" s="15" t="s">
        <v>22</v>
      </c>
      <c r="K983" s="15" t="s">
        <v>225</v>
      </c>
      <c r="L983" s="15" t="s">
        <v>24</v>
      </c>
      <c r="M983" s="16">
        <v>0.75</v>
      </c>
      <c r="N983" s="16">
        <v>0.5</v>
      </c>
      <c r="O983" s="16">
        <v>0.5</v>
      </c>
      <c r="P983" s="17">
        <v>45199.0</v>
      </c>
      <c r="Q983" s="18">
        <v>1.8</v>
      </c>
      <c r="R983" s="15" t="s">
        <v>25</v>
      </c>
      <c r="S983" s="19">
        <f t="shared" si="1"/>
        <v>-0.5</v>
      </c>
      <c r="T983" s="19">
        <f t="shared" si="8"/>
        <v>27.80585152</v>
      </c>
      <c r="U983" s="144"/>
    </row>
    <row r="984">
      <c r="A984" s="59"/>
      <c r="B984" s="59"/>
      <c r="C984" s="59"/>
      <c r="D984" s="8" t="s">
        <v>19</v>
      </c>
      <c r="E984" s="8" t="s">
        <v>3440</v>
      </c>
      <c r="F984" s="8"/>
      <c r="G984" s="8"/>
      <c r="H984" s="8">
        <v>0.0</v>
      </c>
      <c r="I984" s="8" t="s">
        <v>93</v>
      </c>
      <c r="J984" s="8" t="s">
        <v>22</v>
      </c>
      <c r="K984" s="8" t="s">
        <v>440</v>
      </c>
      <c r="L984" s="8" t="s">
        <v>39</v>
      </c>
      <c r="M984" s="9">
        <v>0.5</v>
      </c>
      <c r="N984" s="9">
        <v>0.1</v>
      </c>
      <c r="O984" s="9">
        <v>0.1</v>
      </c>
      <c r="P984" s="10">
        <v>45199.0</v>
      </c>
      <c r="Q984" s="11">
        <v>1.75</v>
      </c>
      <c r="R984" s="8" t="s">
        <v>33</v>
      </c>
      <c r="S984" s="12">
        <f t="shared" si="1"/>
        <v>0.075</v>
      </c>
      <c r="T984" s="12">
        <f t="shared" si="8"/>
        <v>27.88085152</v>
      </c>
      <c r="U984" s="145"/>
    </row>
    <row r="985">
      <c r="A985" s="58"/>
      <c r="B985" s="58"/>
      <c r="C985" s="58"/>
      <c r="D985" s="15" t="s">
        <v>40</v>
      </c>
      <c r="E985" s="15" t="s">
        <v>3441</v>
      </c>
      <c r="F985" s="15" t="s">
        <v>1479</v>
      </c>
      <c r="G985" s="15" t="s">
        <v>2660</v>
      </c>
      <c r="H985" s="15">
        <v>0.0</v>
      </c>
      <c r="I985" s="15" t="s">
        <v>93</v>
      </c>
      <c r="J985" s="15" t="s">
        <v>22</v>
      </c>
      <c r="K985" s="15" t="s">
        <v>892</v>
      </c>
      <c r="L985" s="15" t="s">
        <v>24</v>
      </c>
      <c r="M985" s="16">
        <v>0.0</v>
      </c>
      <c r="N985" s="16">
        <v>0.75</v>
      </c>
      <c r="O985" s="16">
        <v>0.75</v>
      </c>
      <c r="P985" s="17">
        <v>45199.0</v>
      </c>
      <c r="Q985" s="18">
        <v>1.825</v>
      </c>
      <c r="R985" s="15" t="s">
        <v>33</v>
      </c>
      <c r="S985" s="19">
        <f t="shared" si="1"/>
        <v>0.61875</v>
      </c>
      <c r="T985" s="19">
        <f t="shared" si="8"/>
        <v>28.49960152</v>
      </c>
      <c r="U985" s="144"/>
    </row>
    <row r="986">
      <c r="A986" s="59"/>
      <c r="B986" s="59"/>
      <c r="C986" s="59"/>
      <c r="D986" s="8" t="s">
        <v>19</v>
      </c>
      <c r="E986" s="8" t="s">
        <v>3442</v>
      </c>
      <c r="F986" s="8"/>
      <c r="G986" s="8"/>
      <c r="H986" s="8"/>
      <c r="I986" s="8" t="s">
        <v>1025</v>
      </c>
      <c r="J986" s="8" t="s">
        <v>22</v>
      </c>
      <c r="K986" s="8" t="s">
        <v>440</v>
      </c>
      <c r="L986" s="8" t="s">
        <v>24</v>
      </c>
      <c r="M986" s="9">
        <v>0.5</v>
      </c>
      <c r="N986" s="9">
        <v>0.25</v>
      </c>
      <c r="O986" s="9">
        <v>0.25</v>
      </c>
      <c r="P986" s="10">
        <v>45199.0</v>
      </c>
      <c r="Q986" s="11">
        <v>1.8</v>
      </c>
      <c r="R986" s="8" t="s">
        <v>25</v>
      </c>
      <c r="S986" s="12">
        <f t="shared" si="1"/>
        <v>-0.25</v>
      </c>
      <c r="T986" s="12">
        <f t="shared" si="8"/>
        <v>28.24960152</v>
      </c>
      <c r="U986" s="145"/>
    </row>
    <row r="987">
      <c r="A987" s="58"/>
      <c r="B987" s="58"/>
      <c r="C987" s="58"/>
      <c r="D987" s="15" t="s">
        <v>19</v>
      </c>
      <c r="E987" s="96" t="s">
        <v>3443</v>
      </c>
      <c r="F987" s="139" t="s">
        <v>1473</v>
      </c>
      <c r="G987" s="139" t="s">
        <v>2660</v>
      </c>
      <c r="H987" s="139">
        <v>-1.0</v>
      </c>
      <c r="I987" s="15" t="s">
        <v>273</v>
      </c>
      <c r="J987" s="15" t="s">
        <v>22</v>
      </c>
      <c r="K987" s="15" t="s">
        <v>892</v>
      </c>
      <c r="L987" s="15" t="s">
        <v>24</v>
      </c>
      <c r="M987" s="16">
        <v>0.0</v>
      </c>
      <c r="N987" s="16">
        <v>0.25</v>
      </c>
      <c r="O987" s="16">
        <v>0.25</v>
      </c>
      <c r="P987" s="17">
        <v>45199.0</v>
      </c>
      <c r="Q987" s="18">
        <v>2.2</v>
      </c>
      <c r="R987" s="15" t="s">
        <v>70</v>
      </c>
      <c r="S987" s="19">
        <f t="shared" si="1"/>
        <v>0</v>
      </c>
      <c r="T987" s="19">
        <f t="shared" si="8"/>
        <v>28.24960152</v>
      </c>
      <c r="U987" s="144"/>
    </row>
    <row r="988">
      <c r="A988" s="59"/>
      <c r="B988" s="59"/>
      <c r="C988" s="59"/>
      <c r="D988" s="8" t="s">
        <v>19</v>
      </c>
      <c r="E988" s="8" t="s">
        <v>3444</v>
      </c>
      <c r="F988" s="8"/>
      <c r="G988" s="8"/>
      <c r="H988" s="8"/>
      <c r="I988" s="8" t="s">
        <v>82</v>
      </c>
      <c r="J988" s="8" t="s">
        <v>598</v>
      </c>
      <c r="K988" s="8" t="s">
        <v>23</v>
      </c>
      <c r="L988" s="8" t="s">
        <v>39</v>
      </c>
      <c r="M988" s="9">
        <v>-11.0</v>
      </c>
      <c r="N988" s="9">
        <v>0.5</v>
      </c>
      <c r="O988" s="9">
        <v>0.5</v>
      </c>
      <c r="P988" s="10">
        <v>45200.0</v>
      </c>
      <c r="Q988" s="11">
        <v>1.8</v>
      </c>
      <c r="R988" s="8" t="s">
        <v>25</v>
      </c>
      <c r="S988" s="12">
        <f t="shared" si="1"/>
        <v>-0.5</v>
      </c>
      <c r="T988" s="12">
        <f t="shared" si="8"/>
        <v>27.74960152</v>
      </c>
      <c r="U988" s="145"/>
    </row>
    <row r="989">
      <c r="A989" s="58"/>
      <c r="B989" s="58"/>
      <c r="C989" s="58"/>
      <c r="D989" s="15" t="s">
        <v>19</v>
      </c>
      <c r="E989" s="15" t="s">
        <v>3445</v>
      </c>
      <c r="F989" s="15"/>
      <c r="G989" s="15"/>
      <c r="H989" s="15"/>
      <c r="I989" s="15" t="s">
        <v>82</v>
      </c>
      <c r="J989" s="15" t="s">
        <v>598</v>
      </c>
      <c r="K989" s="15" t="s">
        <v>2415</v>
      </c>
      <c r="L989" s="15" t="s">
        <v>39</v>
      </c>
      <c r="M989" s="16">
        <v>10.5</v>
      </c>
      <c r="N989" s="16">
        <v>0.5</v>
      </c>
      <c r="O989" s="16">
        <v>0.5</v>
      </c>
      <c r="P989" s="17">
        <v>45200.0</v>
      </c>
      <c r="Q989" s="18">
        <v>1.8</v>
      </c>
      <c r="R989" s="15" t="s">
        <v>33</v>
      </c>
      <c r="S989" s="19">
        <f t="shared" si="1"/>
        <v>0.4</v>
      </c>
      <c r="T989" s="19">
        <f t="shared" si="8"/>
        <v>28.14960152</v>
      </c>
      <c r="U989" s="144"/>
    </row>
    <row r="990">
      <c r="A990" s="59"/>
      <c r="B990" s="59"/>
      <c r="C990" s="59"/>
      <c r="D990" s="8" t="s">
        <v>19</v>
      </c>
      <c r="E990" s="8" t="s">
        <v>3446</v>
      </c>
      <c r="F990" s="8"/>
      <c r="G990" s="8"/>
      <c r="H990" s="8"/>
      <c r="I990" s="8" t="s">
        <v>768</v>
      </c>
      <c r="J990" s="8" t="s">
        <v>598</v>
      </c>
      <c r="K990" s="8" t="s">
        <v>440</v>
      </c>
      <c r="L990" s="8"/>
      <c r="M990" s="9">
        <v>8.5</v>
      </c>
      <c r="N990" s="9">
        <v>0.25</v>
      </c>
      <c r="O990" s="9">
        <v>0.25</v>
      </c>
      <c r="P990" s="10">
        <v>45200.0</v>
      </c>
      <c r="Q990" s="11">
        <v>1.91</v>
      </c>
      <c r="R990" s="8" t="s">
        <v>33</v>
      </c>
      <c r="S990" s="12">
        <f t="shared" si="1"/>
        <v>0.2275</v>
      </c>
      <c r="T990" s="12">
        <f t="shared" si="8"/>
        <v>28.37710152</v>
      </c>
      <c r="U990" s="145"/>
    </row>
    <row r="991">
      <c r="A991" s="58"/>
      <c r="B991" s="58"/>
      <c r="C991" s="58"/>
      <c r="D991" s="15" t="s">
        <v>19</v>
      </c>
      <c r="E991" s="15" t="s">
        <v>3447</v>
      </c>
      <c r="F991" s="15"/>
      <c r="G991" s="15"/>
      <c r="H991" s="15"/>
      <c r="I991" s="15" t="s">
        <v>768</v>
      </c>
      <c r="J991" s="15" t="s">
        <v>598</v>
      </c>
      <c r="K991" s="15" t="s">
        <v>1272</v>
      </c>
      <c r="L991" s="15"/>
      <c r="M991" s="16"/>
      <c r="N991" s="16">
        <v>0.15</v>
      </c>
      <c r="O991" s="16">
        <v>0.15</v>
      </c>
      <c r="P991" s="17">
        <v>45200.0</v>
      </c>
      <c r="Q991" s="18">
        <v>3.5</v>
      </c>
      <c r="R991" s="15" t="s">
        <v>25</v>
      </c>
      <c r="S991" s="19">
        <f t="shared" si="1"/>
        <v>-0.15</v>
      </c>
      <c r="T991" s="19">
        <f t="shared" si="8"/>
        <v>28.22710152</v>
      </c>
      <c r="U991" s="144"/>
    </row>
    <row r="992">
      <c r="A992" s="59"/>
      <c r="B992" s="59"/>
      <c r="C992" s="59"/>
      <c r="D992" s="8" t="s">
        <v>19</v>
      </c>
      <c r="E992" s="8" t="s">
        <v>3448</v>
      </c>
      <c r="F992" s="8"/>
      <c r="G992" s="8"/>
      <c r="H992" s="8"/>
      <c r="I992" s="8" t="s">
        <v>768</v>
      </c>
      <c r="J992" s="8" t="s">
        <v>598</v>
      </c>
      <c r="K992" s="8" t="s">
        <v>440</v>
      </c>
      <c r="L992" s="8"/>
      <c r="M992" s="9">
        <v>73.5</v>
      </c>
      <c r="N992" s="9">
        <v>0.25</v>
      </c>
      <c r="O992" s="9">
        <v>0.25</v>
      </c>
      <c r="P992" s="10">
        <v>45200.0</v>
      </c>
      <c r="Q992" s="11">
        <v>1.91</v>
      </c>
      <c r="R992" s="8" t="s">
        <v>25</v>
      </c>
      <c r="S992" s="12">
        <f t="shared" si="1"/>
        <v>-0.25</v>
      </c>
      <c r="T992" s="12">
        <f t="shared" si="8"/>
        <v>27.97710152</v>
      </c>
      <c r="U992" s="145"/>
    </row>
    <row r="993">
      <c r="A993" s="58"/>
      <c r="B993" s="58"/>
      <c r="C993" s="58"/>
      <c r="D993" s="15" t="s">
        <v>19</v>
      </c>
      <c r="E993" s="15" t="s">
        <v>3449</v>
      </c>
      <c r="F993" s="15"/>
      <c r="G993" s="15"/>
      <c r="H993" s="15"/>
      <c r="I993" s="15" t="s">
        <v>768</v>
      </c>
      <c r="J993" s="15" t="s">
        <v>598</v>
      </c>
      <c r="K993" s="15" t="s">
        <v>440</v>
      </c>
      <c r="L993" s="15"/>
      <c r="M993" s="16">
        <v>66.5</v>
      </c>
      <c r="N993" s="16">
        <v>0.25</v>
      </c>
      <c r="O993" s="16">
        <v>0.25</v>
      </c>
      <c r="P993" s="17">
        <v>45200.0</v>
      </c>
      <c r="Q993" s="18">
        <v>1.83</v>
      </c>
      <c r="R993" s="15" t="s">
        <v>25</v>
      </c>
      <c r="S993" s="19">
        <f t="shared" si="1"/>
        <v>-0.25</v>
      </c>
      <c r="T993" s="19">
        <f t="shared" si="8"/>
        <v>27.72710152</v>
      </c>
      <c r="U993" s="144"/>
    </row>
    <row r="994">
      <c r="A994" s="59"/>
      <c r="B994" s="59"/>
      <c r="C994" s="59"/>
      <c r="D994" s="8" t="s">
        <v>19</v>
      </c>
      <c r="E994" s="8" t="s">
        <v>3450</v>
      </c>
      <c r="F994" s="8"/>
      <c r="G994" s="8"/>
      <c r="H994" s="8"/>
      <c r="I994" s="8" t="s">
        <v>768</v>
      </c>
      <c r="J994" s="8" t="s">
        <v>598</v>
      </c>
      <c r="K994" s="8" t="s">
        <v>440</v>
      </c>
      <c r="L994" s="8"/>
      <c r="M994" s="9">
        <v>4.5</v>
      </c>
      <c r="N994" s="9">
        <v>0.25</v>
      </c>
      <c r="O994" s="9">
        <v>0.25</v>
      </c>
      <c r="P994" s="10">
        <v>45200.0</v>
      </c>
      <c r="Q994" s="11">
        <v>1.76</v>
      </c>
      <c r="R994" s="8" t="s">
        <v>33</v>
      </c>
      <c r="S994" s="12">
        <f t="shared" si="1"/>
        <v>0.19</v>
      </c>
      <c r="T994" s="12">
        <f t="shared" si="8"/>
        <v>27.91710152</v>
      </c>
      <c r="U994" s="145"/>
    </row>
    <row r="995">
      <c r="A995" s="58"/>
      <c r="B995" s="58"/>
      <c r="C995" s="58"/>
      <c r="D995" s="15" t="s">
        <v>19</v>
      </c>
      <c r="E995" s="15" t="s">
        <v>3451</v>
      </c>
      <c r="F995" s="15" t="s">
        <v>1473</v>
      </c>
      <c r="G995" s="15" t="s">
        <v>2556</v>
      </c>
      <c r="H995" s="15">
        <f>1</f>
        <v>1</v>
      </c>
      <c r="I995" s="15" t="s">
        <v>93</v>
      </c>
      <c r="J995" s="15" t="s">
        <v>22</v>
      </c>
      <c r="K995" s="15" t="s">
        <v>1847</v>
      </c>
      <c r="L995" s="15" t="s">
        <v>1522</v>
      </c>
      <c r="M995" s="16">
        <v>-0.5</v>
      </c>
      <c r="N995" s="16">
        <v>0.5</v>
      </c>
      <c r="O995" s="16">
        <v>0.5</v>
      </c>
      <c r="P995" s="17">
        <v>45200.0</v>
      </c>
      <c r="Q995" s="18">
        <v>2.2</v>
      </c>
      <c r="R995" s="15" t="s">
        <v>33</v>
      </c>
      <c r="S995" s="19">
        <f t="shared" si="1"/>
        <v>0.6</v>
      </c>
      <c r="T995" s="19">
        <f t="shared" si="8"/>
        <v>28.51710152</v>
      </c>
      <c r="U995" s="144"/>
    </row>
    <row r="996">
      <c r="A996" s="59"/>
      <c r="B996" s="59"/>
      <c r="C996" s="59"/>
      <c r="D996" s="8" t="s">
        <v>19</v>
      </c>
      <c r="E996" s="8" t="s">
        <v>3452</v>
      </c>
      <c r="F996" s="8" t="s">
        <v>1473</v>
      </c>
      <c r="G996" s="8" t="s">
        <v>2556</v>
      </c>
      <c r="H996" s="8">
        <v>0.0</v>
      </c>
      <c r="I996" s="8" t="s">
        <v>93</v>
      </c>
      <c r="J996" s="8" t="s">
        <v>22</v>
      </c>
      <c r="K996" s="8" t="s">
        <v>225</v>
      </c>
      <c r="L996" s="8" t="s">
        <v>1522</v>
      </c>
      <c r="M996" s="9">
        <v>0.25</v>
      </c>
      <c r="N996" s="9">
        <v>0.25</v>
      </c>
      <c r="O996" s="9">
        <v>0.25</v>
      </c>
      <c r="P996" s="10">
        <v>45200.0</v>
      </c>
      <c r="Q996" s="11">
        <v>1.85</v>
      </c>
      <c r="R996" s="8" t="s">
        <v>33</v>
      </c>
      <c r="S996" s="12">
        <f t="shared" si="1"/>
        <v>0.2125</v>
      </c>
      <c r="T996" s="12">
        <f t="shared" si="8"/>
        <v>28.72960152</v>
      </c>
      <c r="U996" s="145"/>
    </row>
    <row r="997">
      <c r="A997" s="58"/>
      <c r="B997" s="58"/>
      <c r="C997" s="58"/>
      <c r="D997" s="15" t="s">
        <v>19</v>
      </c>
      <c r="E997" s="15" t="s">
        <v>3453</v>
      </c>
      <c r="F997" s="15" t="s">
        <v>1473</v>
      </c>
      <c r="G997" s="15" t="s">
        <v>2556</v>
      </c>
      <c r="H997" s="15">
        <v>0.0</v>
      </c>
      <c r="I997" s="15" t="s">
        <v>48</v>
      </c>
      <c r="J997" s="15" t="s">
        <v>22</v>
      </c>
      <c r="K997" s="15" t="s">
        <v>225</v>
      </c>
      <c r="L997" s="15" t="s">
        <v>24</v>
      </c>
      <c r="M997" s="16">
        <v>0.25</v>
      </c>
      <c r="N997" s="16">
        <v>0.5</v>
      </c>
      <c r="O997" s="16">
        <v>0.5</v>
      </c>
      <c r="P997" s="17">
        <v>45200.0</v>
      </c>
      <c r="Q997" s="18">
        <v>2.1</v>
      </c>
      <c r="R997" s="15" t="s">
        <v>25</v>
      </c>
      <c r="S997" s="19">
        <f t="shared" si="1"/>
        <v>-0.5</v>
      </c>
      <c r="T997" s="19">
        <f t="shared" si="8"/>
        <v>28.22960152</v>
      </c>
      <c r="U997" s="144"/>
    </row>
    <row r="998">
      <c r="A998" s="59"/>
      <c r="B998" s="59"/>
      <c r="C998" s="59"/>
      <c r="D998" s="8" t="s">
        <v>19</v>
      </c>
      <c r="E998" s="8" t="s">
        <v>3454</v>
      </c>
      <c r="F998" s="8" t="s">
        <v>1473</v>
      </c>
      <c r="G998" s="8" t="s">
        <v>2556</v>
      </c>
      <c r="H998" s="8">
        <v>0.0</v>
      </c>
      <c r="I998" s="8" t="s">
        <v>48</v>
      </c>
      <c r="J998" s="8" t="s">
        <v>22</v>
      </c>
      <c r="K998" s="8" t="s">
        <v>1165</v>
      </c>
      <c r="L998" s="8" t="s">
        <v>24</v>
      </c>
      <c r="M998" s="9"/>
      <c r="N998" s="9">
        <v>0.1</v>
      </c>
      <c r="O998" s="9">
        <v>0.1</v>
      </c>
      <c r="P998" s="10">
        <v>45200.0</v>
      </c>
      <c r="Q998" s="11">
        <v>4.5</v>
      </c>
      <c r="R998" s="8" t="s">
        <v>25</v>
      </c>
      <c r="S998" s="12">
        <f t="shared" si="1"/>
        <v>-0.1</v>
      </c>
      <c r="T998" s="12">
        <f t="shared" si="8"/>
        <v>28.12960152</v>
      </c>
      <c r="U998" s="145"/>
    </row>
    <row r="999">
      <c r="A999" s="29"/>
      <c r="B999" s="29"/>
      <c r="C999" s="29"/>
      <c r="D999" s="15" t="s">
        <v>19</v>
      </c>
      <c r="E999" s="15" t="s">
        <v>3455</v>
      </c>
      <c r="F999" s="15" t="s">
        <v>1473</v>
      </c>
      <c r="G999" s="15" t="s">
        <v>2556</v>
      </c>
      <c r="H999" s="15">
        <v>0.0</v>
      </c>
      <c r="I999" s="15" t="s">
        <v>229</v>
      </c>
      <c r="J999" s="15" t="s">
        <v>22</v>
      </c>
      <c r="K999" s="15" t="s">
        <v>941</v>
      </c>
      <c r="L999" s="15" t="s">
        <v>1522</v>
      </c>
      <c r="M999" s="16">
        <v>0.0</v>
      </c>
      <c r="N999" s="16">
        <v>0.5</v>
      </c>
      <c r="O999" s="16">
        <v>0.5</v>
      </c>
      <c r="P999" s="17">
        <v>45200.0</v>
      </c>
      <c r="Q999" s="18">
        <v>2.0</v>
      </c>
      <c r="R999" s="15" t="s">
        <v>70</v>
      </c>
      <c r="S999" s="19">
        <f t="shared" si="1"/>
        <v>0</v>
      </c>
      <c r="T999" s="19">
        <f t="shared" si="8"/>
        <v>28.12960152</v>
      </c>
      <c r="U999" s="144"/>
    </row>
    <row r="1000">
      <c r="A1000" s="107"/>
      <c r="B1000" s="107"/>
      <c r="C1000" s="107"/>
      <c r="D1000" s="8" t="s">
        <v>19</v>
      </c>
      <c r="E1000" s="8" t="s">
        <v>3456</v>
      </c>
      <c r="F1000" s="8" t="s">
        <v>1473</v>
      </c>
      <c r="G1000" s="8" t="s">
        <v>2556</v>
      </c>
      <c r="H1000" s="8">
        <v>0.0</v>
      </c>
      <c r="I1000" s="8" t="s">
        <v>207</v>
      </c>
      <c r="J1000" s="8" t="s">
        <v>22</v>
      </c>
      <c r="K1000" s="8" t="s">
        <v>941</v>
      </c>
      <c r="L1000" s="8" t="s">
        <v>1522</v>
      </c>
      <c r="M1000" s="9">
        <v>0.0</v>
      </c>
      <c r="N1000" s="9">
        <v>0.5</v>
      </c>
      <c r="O1000" s="9">
        <v>0.5</v>
      </c>
      <c r="P1000" s="10">
        <v>45200.0</v>
      </c>
      <c r="Q1000" s="11">
        <f>494.46/300</f>
        <v>1.6482</v>
      </c>
      <c r="R1000" s="8" t="s">
        <v>33</v>
      </c>
      <c r="S1000" s="12">
        <f t="shared" si="1"/>
        <v>0.3241</v>
      </c>
      <c r="T1000" s="12">
        <f t="shared" si="8"/>
        <v>28.45370152</v>
      </c>
      <c r="U1000" s="145"/>
    </row>
    <row r="1001">
      <c r="A1001" s="29"/>
      <c r="B1001" s="29"/>
      <c r="C1001" s="29"/>
      <c r="D1001" s="15" t="s">
        <v>19</v>
      </c>
      <c r="E1001" s="15" t="s">
        <v>3457</v>
      </c>
      <c r="F1001" s="15" t="s">
        <v>1473</v>
      </c>
      <c r="G1001" s="15" t="s">
        <v>2556</v>
      </c>
      <c r="H1001" s="15">
        <v>0.0</v>
      </c>
      <c r="I1001" s="15" t="s">
        <v>193</v>
      </c>
      <c r="J1001" s="15" t="s">
        <v>22</v>
      </c>
      <c r="K1001" s="15" t="s">
        <v>225</v>
      </c>
      <c r="L1001" s="15" t="s">
        <v>24</v>
      </c>
      <c r="M1001" s="16">
        <v>0.5</v>
      </c>
      <c r="N1001" s="16">
        <v>0.75</v>
      </c>
      <c r="O1001" s="16">
        <v>0.75</v>
      </c>
      <c r="P1001" s="17">
        <v>45200.0</v>
      </c>
      <c r="Q1001" s="18">
        <v>1.631</v>
      </c>
      <c r="R1001" s="15" t="s">
        <v>33</v>
      </c>
      <c r="S1001" s="19">
        <f t="shared" si="1"/>
        <v>0.47325</v>
      </c>
      <c r="T1001" s="19">
        <f t="shared" si="8"/>
        <v>28.92695152</v>
      </c>
      <c r="U1001" s="144"/>
    </row>
    <row r="1002">
      <c r="A1002" s="107"/>
      <c r="B1002" s="107"/>
      <c r="C1002" s="107"/>
      <c r="D1002" s="8" t="s">
        <v>19</v>
      </c>
      <c r="E1002" s="8" t="s">
        <v>3458</v>
      </c>
      <c r="F1002" s="8" t="s">
        <v>1473</v>
      </c>
      <c r="G1002" s="8" t="s">
        <v>2556</v>
      </c>
      <c r="H1002" s="8">
        <v>0.0</v>
      </c>
      <c r="I1002" s="8" t="s">
        <v>193</v>
      </c>
      <c r="J1002" s="8" t="s">
        <v>22</v>
      </c>
      <c r="K1002" s="8" t="s">
        <v>1165</v>
      </c>
      <c r="L1002" s="8" t="s">
        <v>24</v>
      </c>
      <c r="M1002" s="9"/>
      <c r="N1002" s="9">
        <v>0.1</v>
      </c>
      <c r="O1002" s="9">
        <v>0.1</v>
      </c>
      <c r="P1002" s="10">
        <v>45200.0</v>
      </c>
      <c r="Q1002" s="11">
        <v>3.2</v>
      </c>
      <c r="R1002" s="8" t="s">
        <v>25</v>
      </c>
      <c r="S1002" s="12">
        <f t="shared" si="1"/>
        <v>-0.1</v>
      </c>
      <c r="T1002" s="12">
        <f t="shared" si="8"/>
        <v>28.82695152</v>
      </c>
      <c r="U1002" s="145"/>
    </row>
    <row r="1003">
      <c r="A1003" s="29"/>
      <c r="B1003" s="29"/>
      <c r="C1003" s="29"/>
      <c r="D1003" s="15" t="s">
        <v>19</v>
      </c>
      <c r="E1003" s="15" t="s">
        <v>3459</v>
      </c>
      <c r="F1003" s="15" t="s">
        <v>1473</v>
      </c>
      <c r="G1003" s="15" t="s">
        <v>2556</v>
      </c>
      <c r="H1003" s="15">
        <v>0.0</v>
      </c>
      <c r="I1003" s="15" t="s">
        <v>229</v>
      </c>
      <c r="J1003" s="15" t="s">
        <v>22</v>
      </c>
      <c r="K1003" s="15" t="s">
        <v>941</v>
      </c>
      <c r="L1003" s="15" t="s">
        <v>3460</v>
      </c>
      <c r="M1003" s="16">
        <v>0.0</v>
      </c>
      <c r="N1003" s="16">
        <v>0.5</v>
      </c>
      <c r="O1003" s="16">
        <v>0.5</v>
      </c>
      <c r="P1003" s="17">
        <v>45200.0</v>
      </c>
      <c r="Q1003" s="18">
        <v>1.725</v>
      </c>
      <c r="R1003" s="15" t="s">
        <v>70</v>
      </c>
      <c r="S1003" s="19">
        <f t="shared" si="1"/>
        <v>0</v>
      </c>
      <c r="T1003" s="19">
        <f t="shared" si="8"/>
        <v>28.82695152</v>
      </c>
      <c r="U1003" s="144"/>
    </row>
    <row r="1004">
      <c r="A1004" s="107"/>
      <c r="B1004" s="107"/>
      <c r="C1004" s="107"/>
      <c r="D1004" s="8" t="s">
        <v>19</v>
      </c>
      <c r="E1004" s="8" t="s">
        <v>3461</v>
      </c>
      <c r="F1004" s="8" t="s">
        <v>1473</v>
      </c>
      <c r="G1004" s="8" t="s">
        <v>2556</v>
      </c>
      <c r="H1004" s="8">
        <v>0.0</v>
      </c>
      <c r="I1004" s="8" t="s">
        <v>48</v>
      </c>
      <c r="J1004" s="8" t="s">
        <v>22</v>
      </c>
      <c r="K1004" s="8" t="s">
        <v>941</v>
      </c>
      <c r="L1004" s="8" t="s">
        <v>24</v>
      </c>
      <c r="M1004" s="9">
        <v>0.0</v>
      </c>
      <c r="N1004" s="9">
        <v>1.0</v>
      </c>
      <c r="O1004" s="9">
        <v>1.0</v>
      </c>
      <c r="P1004" s="10">
        <v>45200.0</v>
      </c>
      <c r="Q1004" s="11">
        <v>1.907</v>
      </c>
      <c r="R1004" s="8" t="s">
        <v>33</v>
      </c>
      <c r="S1004" s="12">
        <f t="shared" si="1"/>
        <v>0.907</v>
      </c>
      <c r="T1004" s="12">
        <f t="shared" si="8"/>
        <v>29.73395152</v>
      </c>
      <c r="U1004" s="145"/>
    </row>
    <row r="1005">
      <c r="A1005" s="29"/>
      <c r="B1005" s="29"/>
      <c r="C1005" s="29"/>
      <c r="D1005" s="15" t="s">
        <v>19</v>
      </c>
      <c r="E1005" s="15" t="s">
        <v>3462</v>
      </c>
      <c r="F1005" s="15" t="s">
        <v>1473</v>
      </c>
      <c r="G1005" s="15" t="s">
        <v>2556</v>
      </c>
      <c r="H1005" s="15" t="s">
        <v>3154</v>
      </c>
      <c r="I1005" s="15" t="s">
        <v>115</v>
      </c>
      <c r="J1005" s="15" t="s">
        <v>22</v>
      </c>
      <c r="K1005" s="15" t="s">
        <v>1165</v>
      </c>
      <c r="L1005" s="15" t="s">
        <v>24</v>
      </c>
      <c r="M1005" s="16"/>
      <c r="N1005" s="16">
        <v>0.15</v>
      </c>
      <c r="O1005" s="16">
        <v>0.15</v>
      </c>
      <c r="P1005" s="17">
        <v>45200.0</v>
      </c>
      <c r="Q1005" s="18">
        <v>3.75</v>
      </c>
      <c r="R1005" s="15" t="s">
        <v>33</v>
      </c>
      <c r="S1005" s="19">
        <f t="shared" si="1"/>
        <v>0.4125</v>
      </c>
      <c r="T1005" s="19">
        <f t="shared" si="8"/>
        <v>30.14645152</v>
      </c>
      <c r="U1005" s="144"/>
    </row>
    <row r="1006">
      <c r="A1006" s="107"/>
      <c r="B1006" s="107"/>
      <c r="C1006" s="107"/>
      <c r="D1006" s="8" t="s">
        <v>40</v>
      </c>
      <c r="E1006" s="8" t="s">
        <v>3463</v>
      </c>
      <c r="F1006" s="8" t="s">
        <v>1473</v>
      </c>
      <c r="G1006" s="8" t="s">
        <v>2556</v>
      </c>
      <c r="H1006" s="8">
        <v>0.0</v>
      </c>
      <c r="I1006" s="8" t="s">
        <v>187</v>
      </c>
      <c r="J1006" s="8" t="s">
        <v>22</v>
      </c>
      <c r="K1006" s="8" t="s">
        <v>225</v>
      </c>
      <c r="L1006" s="8" t="s">
        <v>24</v>
      </c>
      <c r="M1006" s="9">
        <v>1.0</v>
      </c>
      <c r="N1006" s="9">
        <v>0.5</v>
      </c>
      <c r="O1006" s="9">
        <v>0.5</v>
      </c>
      <c r="P1006" s="10">
        <v>45200.0</v>
      </c>
      <c r="Q1006" s="11">
        <v>2.0</v>
      </c>
      <c r="R1006" s="8" t="s">
        <v>70</v>
      </c>
      <c r="S1006" s="12">
        <f t="shared" si="1"/>
        <v>0</v>
      </c>
      <c r="T1006" s="12">
        <f t="shared" si="8"/>
        <v>30.14645152</v>
      </c>
      <c r="U1006" s="145"/>
    </row>
    <row r="1007">
      <c r="A1007" s="29"/>
      <c r="B1007" s="29"/>
      <c r="C1007" s="29"/>
      <c r="D1007" s="15" t="s">
        <v>40</v>
      </c>
      <c r="E1007" s="15" t="s">
        <v>3464</v>
      </c>
      <c r="F1007" s="15" t="s">
        <v>1473</v>
      </c>
      <c r="G1007" s="15" t="s">
        <v>2556</v>
      </c>
      <c r="H1007" s="15">
        <v>0.0</v>
      </c>
      <c r="I1007" s="15" t="s">
        <v>187</v>
      </c>
      <c r="J1007" s="15" t="s">
        <v>22</v>
      </c>
      <c r="K1007" s="15" t="s">
        <v>1023</v>
      </c>
      <c r="L1007" s="15" t="s">
        <v>24</v>
      </c>
      <c r="M1007" s="16"/>
      <c r="N1007" s="16">
        <v>0.1</v>
      </c>
      <c r="O1007" s="16">
        <v>0.1</v>
      </c>
      <c r="P1007" s="17">
        <v>45200.0</v>
      </c>
      <c r="Q1007" s="18">
        <v>2.5</v>
      </c>
      <c r="R1007" s="15" t="s">
        <v>25</v>
      </c>
      <c r="S1007" s="19">
        <f t="shared" si="1"/>
        <v>-0.1</v>
      </c>
      <c r="T1007" s="19">
        <f t="shared" si="8"/>
        <v>30.04645152</v>
      </c>
      <c r="U1007" s="144"/>
    </row>
    <row r="1008">
      <c r="A1008" s="107"/>
      <c r="B1008" s="107"/>
      <c r="C1008" s="107"/>
      <c r="D1008" s="8" t="s">
        <v>19</v>
      </c>
      <c r="E1008" s="8" t="s">
        <v>3465</v>
      </c>
      <c r="F1008" s="8" t="s">
        <v>1479</v>
      </c>
      <c r="G1008" s="8" t="s">
        <v>2660</v>
      </c>
      <c r="H1008" s="8">
        <v>2</v>
      </c>
      <c r="I1008" s="8" t="s">
        <v>60</v>
      </c>
      <c r="J1008" s="8" t="s">
        <v>22</v>
      </c>
      <c r="K1008" s="8" t="s">
        <v>1150</v>
      </c>
      <c r="L1008" s="8" t="s">
        <v>1522</v>
      </c>
      <c r="M1008" s="9">
        <v>0.0</v>
      </c>
      <c r="N1008" s="9">
        <v>0.5</v>
      </c>
      <c r="O1008" s="9">
        <v>0.5</v>
      </c>
      <c r="P1008" s="10">
        <v>45200.0</v>
      </c>
      <c r="Q1008" s="11">
        <v>1.8</v>
      </c>
      <c r="R1008" s="8" t="s">
        <v>70</v>
      </c>
      <c r="S1008" s="12">
        <f t="shared" si="1"/>
        <v>0</v>
      </c>
      <c r="T1008" s="12">
        <f t="shared" si="8"/>
        <v>30.04645152</v>
      </c>
      <c r="U1008" s="145"/>
    </row>
    <row r="1009">
      <c r="A1009" s="29"/>
      <c r="B1009" s="29"/>
      <c r="C1009" s="29"/>
      <c r="D1009" s="15" t="s">
        <v>40</v>
      </c>
      <c r="E1009" s="15" t="s">
        <v>3466</v>
      </c>
      <c r="F1009" s="15"/>
      <c r="G1009" s="15"/>
      <c r="H1009" s="15"/>
      <c r="I1009" s="15" t="s">
        <v>38</v>
      </c>
      <c r="J1009" s="15" t="s">
        <v>22</v>
      </c>
      <c r="K1009" s="15" t="s">
        <v>1272</v>
      </c>
      <c r="L1009" s="15" t="s">
        <v>1522</v>
      </c>
      <c r="M1009" s="16"/>
      <c r="N1009" s="16">
        <v>0.25</v>
      </c>
      <c r="O1009" s="16">
        <v>0.25</v>
      </c>
      <c r="P1009" s="17">
        <v>45200.0</v>
      </c>
      <c r="Q1009" s="18">
        <f>1.95*1.95</f>
        <v>3.8025</v>
      </c>
      <c r="R1009" s="15" t="s">
        <v>25</v>
      </c>
      <c r="S1009" s="19">
        <f t="shared" si="1"/>
        <v>-0.25</v>
      </c>
      <c r="T1009" s="19">
        <f t="shared" si="8"/>
        <v>29.79645152</v>
      </c>
      <c r="U1009" s="144"/>
    </row>
    <row r="1010">
      <c r="A1010" s="107"/>
      <c r="B1010" s="107"/>
      <c r="C1010" s="107"/>
      <c r="D1010" s="8" t="s">
        <v>19</v>
      </c>
      <c r="E1010" s="8" t="s">
        <v>3467</v>
      </c>
      <c r="F1010" s="8" t="s">
        <v>1473</v>
      </c>
      <c r="G1010" s="8" t="s">
        <v>2660</v>
      </c>
      <c r="H1010" s="8">
        <v>-1.0</v>
      </c>
      <c r="I1010" s="8" t="s">
        <v>82</v>
      </c>
      <c r="J1010" s="8" t="s">
        <v>22</v>
      </c>
      <c r="K1010" s="8" t="s">
        <v>892</v>
      </c>
      <c r="L1010" s="8" t="s">
        <v>24</v>
      </c>
      <c r="M1010" s="9">
        <v>0.0</v>
      </c>
      <c r="N1010" s="9">
        <v>0.5</v>
      </c>
      <c r="O1010" s="9">
        <v>0.5</v>
      </c>
      <c r="P1010" s="10">
        <v>45200.0</v>
      </c>
      <c r="Q1010" s="11">
        <v>1.873</v>
      </c>
      <c r="R1010" s="8" t="s">
        <v>33</v>
      </c>
      <c r="S1010" s="12">
        <f t="shared" si="1"/>
        <v>0.4365</v>
      </c>
      <c r="T1010" s="12">
        <f t="shared" si="8"/>
        <v>30.23295152</v>
      </c>
      <c r="U1010" s="145"/>
    </row>
    <row r="1011">
      <c r="A1011" s="29"/>
      <c r="B1011" s="29"/>
      <c r="C1011" s="29"/>
      <c r="D1011" s="15" t="s">
        <v>40</v>
      </c>
      <c r="E1011" s="15" t="s">
        <v>3468</v>
      </c>
      <c r="F1011" s="15" t="s">
        <v>1473</v>
      </c>
      <c r="G1011" s="15" t="s">
        <v>2573</v>
      </c>
      <c r="H1011" s="15">
        <v>6</v>
      </c>
      <c r="I1011" s="15" t="s">
        <v>38</v>
      </c>
      <c r="J1011" s="15" t="s">
        <v>22</v>
      </c>
      <c r="K1011" s="15" t="s">
        <v>894</v>
      </c>
      <c r="L1011" s="15" t="s">
        <v>1522</v>
      </c>
      <c r="M1011" s="16">
        <v>-0.25</v>
      </c>
      <c r="N1011" s="16">
        <v>0.25</v>
      </c>
      <c r="O1011" s="16">
        <v>0.25</v>
      </c>
      <c r="P1011" s="17">
        <v>45200.0</v>
      </c>
      <c r="Q1011" s="18">
        <v>1.9</v>
      </c>
      <c r="R1011" s="15" t="s">
        <v>79</v>
      </c>
      <c r="S1011" s="19">
        <f t="shared" si="1"/>
        <v>-0.125</v>
      </c>
      <c r="T1011" s="19">
        <f t="shared" si="8"/>
        <v>30.10795152</v>
      </c>
      <c r="U1011" s="144"/>
    </row>
    <row r="1012">
      <c r="A1012" s="107"/>
      <c r="B1012" s="107"/>
      <c r="C1012" s="107"/>
      <c r="D1012" s="8" t="s">
        <v>19</v>
      </c>
      <c r="E1012" s="8" t="s">
        <v>3469</v>
      </c>
      <c r="F1012" s="8" t="s">
        <v>1479</v>
      </c>
      <c r="G1012" s="8" t="s">
        <v>2660</v>
      </c>
      <c r="H1012" s="8">
        <v>-1.0</v>
      </c>
      <c r="I1012" s="8" t="s">
        <v>229</v>
      </c>
      <c r="J1012" s="8" t="s">
        <v>22</v>
      </c>
      <c r="K1012" s="8" t="s">
        <v>892</v>
      </c>
      <c r="L1012" s="8" t="s">
        <v>24</v>
      </c>
      <c r="M1012" s="9">
        <v>0.0</v>
      </c>
      <c r="N1012" s="9">
        <v>0.5</v>
      </c>
      <c r="O1012" s="9">
        <v>0.5</v>
      </c>
      <c r="P1012" s="10">
        <v>45200.0</v>
      </c>
      <c r="Q1012" s="11">
        <v>1.675</v>
      </c>
      <c r="R1012" s="8" t="s">
        <v>33</v>
      </c>
      <c r="S1012" s="12">
        <f t="shared" si="1"/>
        <v>0.3375</v>
      </c>
      <c r="T1012" s="12">
        <f t="shared" si="8"/>
        <v>30.44545152</v>
      </c>
      <c r="U1012" s="145"/>
    </row>
    <row r="1013">
      <c r="A1013" s="29"/>
      <c r="B1013" s="29"/>
      <c r="C1013" s="29"/>
      <c r="D1013" s="15" t="s">
        <v>19</v>
      </c>
      <c r="E1013" s="15" t="s">
        <v>3470</v>
      </c>
      <c r="F1013" s="15" t="s">
        <v>1479</v>
      </c>
      <c r="G1013" s="15" t="s">
        <v>2556</v>
      </c>
      <c r="H1013" s="15">
        <v>-1.0</v>
      </c>
      <c r="I1013" s="15" t="s">
        <v>229</v>
      </c>
      <c r="J1013" s="15" t="s">
        <v>22</v>
      </c>
      <c r="K1013" s="15" t="s">
        <v>1165</v>
      </c>
      <c r="L1013" s="15" t="s">
        <v>24</v>
      </c>
      <c r="M1013" s="16"/>
      <c r="N1013" s="16">
        <v>0.15</v>
      </c>
      <c r="O1013" s="16">
        <v>0.15</v>
      </c>
      <c r="P1013" s="17">
        <v>45200.0</v>
      </c>
      <c r="Q1013" s="18">
        <v>2.75</v>
      </c>
      <c r="R1013" s="15" t="s">
        <v>33</v>
      </c>
      <c r="S1013" s="19">
        <f t="shared" si="1"/>
        <v>0.2625</v>
      </c>
      <c r="T1013" s="19">
        <f t="shared" si="8"/>
        <v>30.70795152</v>
      </c>
      <c r="U1013" s="144"/>
    </row>
    <row r="1014">
      <c r="A1014" s="107"/>
      <c r="B1014" s="107"/>
      <c r="C1014" s="107"/>
      <c r="D1014" s="8" t="s">
        <v>19</v>
      </c>
      <c r="E1014" s="8" t="s">
        <v>3471</v>
      </c>
      <c r="F1014" s="8"/>
      <c r="G1014" s="8"/>
      <c r="H1014" s="8"/>
      <c r="I1014" s="8" t="s">
        <v>82</v>
      </c>
      <c r="J1014" s="8" t="s">
        <v>598</v>
      </c>
      <c r="K1014" s="8" t="s">
        <v>440</v>
      </c>
      <c r="L1014" s="8" t="s">
        <v>39</v>
      </c>
      <c r="M1014" s="9">
        <v>2.0</v>
      </c>
      <c r="N1014" s="9">
        <v>0.25</v>
      </c>
      <c r="O1014" s="9">
        <v>0.25</v>
      </c>
      <c r="P1014" s="10">
        <v>45200.0</v>
      </c>
      <c r="Q1014" s="11">
        <v>1.75</v>
      </c>
      <c r="R1014" s="8" t="s">
        <v>70</v>
      </c>
      <c r="S1014" s="12">
        <f t="shared" si="1"/>
        <v>0</v>
      </c>
      <c r="T1014" s="12">
        <f t="shared" si="8"/>
        <v>30.70795152</v>
      </c>
      <c r="U1014" s="145"/>
    </row>
    <row r="1015">
      <c r="A1015" s="29"/>
      <c r="B1015" s="29"/>
      <c r="C1015" s="29"/>
      <c r="D1015" s="15" t="s">
        <v>19</v>
      </c>
      <c r="E1015" s="15" t="s">
        <v>3472</v>
      </c>
      <c r="F1015" s="15" t="s">
        <v>1473</v>
      </c>
      <c r="G1015" s="15" t="s">
        <v>2556</v>
      </c>
      <c r="H1015" s="15">
        <v>0.0</v>
      </c>
      <c r="I1015" s="15" t="s">
        <v>635</v>
      </c>
      <c r="J1015" s="15" t="s">
        <v>22</v>
      </c>
      <c r="K1015" s="15" t="s">
        <v>225</v>
      </c>
      <c r="L1015" s="15" t="s">
        <v>24</v>
      </c>
      <c r="M1015" s="16">
        <v>0.5</v>
      </c>
      <c r="N1015" s="16">
        <v>0.25</v>
      </c>
      <c r="O1015" s="16">
        <v>0.25</v>
      </c>
      <c r="P1015" s="17">
        <v>45200.0</v>
      </c>
      <c r="Q1015" s="18">
        <v>1.7</v>
      </c>
      <c r="R1015" s="15" t="s">
        <v>70</v>
      </c>
      <c r="S1015" s="19">
        <f t="shared" si="1"/>
        <v>0</v>
      </c>
      <c r="T1015" s="19">
        <f t="shared" si="8"/>
        <v>30.70795152</v>
      </c>
      <c r="U1015" s="144"/>
    </row>
    <row r="1016">
      <c r="A1016" s="107"/>
      <c r="B1016" s="107"/>
      <c r="C1016" s="107"/>
      <c r="D1016" s="8" t="s">
        <v>19</v>
      </c>
      <c r="E1016" s="8" t="s">
        <v>3473</v>
      </c>
      <c r="F1016" s="8" t="s">
        <v>1473</v>
      </c>
      <c r="G1016" s="8" t="s">
        <v>2660</v>
      </c>
      <c r="H1016" s="8">
        <v>0.0</v>
      </c>
      <c r="I1016" s="8" t="s">
        <v>121</v>
      </c>
      <c r="J1016" s="8" t="s">
        <v>22</v>
      </c>
      <c r="K1016" s="8" t="s">
        <v>892</v>
      </c>
      <c r="L1016" s="8" t="s">
        <v>24</v>
      </c>
      <c r="M1016" s="9">
        <v>0.0</v>
      </c>
      <c r="N1016" s="9">
        <v>0.5</v>
      </c>
      <c r="O1016" s="9">
        <v>0.5</v>
      </c>
      <c r="P1016" s="10">
        <v>45200.0</v>
      </c>
      <c r="Q1016" s="11">
        <v>1.925</v>
      </c>
      <c r="R1016" s="8" t="s">
        <v>70</v>
      </c>
      <c r="S1016" s="12">
        <f t="shared" si="1"/>
        <v>0</v>
      </c>
      <c r="T1016" s="12">
        <f t="shared" si="8"/>
        <v>30.70795152</v>
      </c>
      <c r="U1016" s="145"/>
    </row>
    <row r="1017">
      <c r="A1017" s="29"/>
      <c r="B1017" s="29"/>
      <c r="C1017" s="29"/>
      <c r="D1017" s="15" t="s">
        <v>19</v>
      </c>
      <c r="E1017" s="15" t="s">
        <v>3474</v>
      </c>
      <c r="F1017" s="15" t="s">
        <v>1473</v>
      </c>
      <c r="G1017" s="15"/>
      <c r="H1017" s="15"/>
      <c r="I1017" s="15" t="s">
        <v>1961</v>
      </c>
      <c r="J1017" s="15" t="s">
        <v>598</v>
      </c>
      <c r="K1017" s="15" t="s">
        <v>1847</v>
      </c>
      <c r="L1017" s="15" t="s">
        <v>39</v>
      </c>
      <c r="M1017" s="16">
        <v>-0.5</v>
      </c>
      <c r="N1017" s="16">
        <v>0.1</v>
      </c>
      <c r="O1017" s="16">
        <v>0.1</v>
      </c>
      <c r="P1017" s="17">
        <v>45202.0</v>
      </c>
      <c r="Q1017" s="18">
        <v>1.7</v>
      </c>
      <c r="R1017" s="15" t="s">
        <v>25</v>
      </c>
      <c r="S1017" s="19">
        <f t="shared" si="1"/>
        <v>-0.1</v>
      </c>
      <c r="T1017" s="19">
        <f t="shared" si="8"/>
        <v>30.60795152</v>
      </c>
      <c r="U1017" s="144"/>
    </row>
    <row r="1018">
      <c r="A1018" s="107"/>
      <c r="B1018" s="107"/>
      <c r="C1018" s="107"/>
      <c r="D1018" s="8" t="s">
        <v>19</v>
      </c>
      <c r="E1018" s="8" t="s">
        <v>3475</v>
      </c>
      <c r="F1018" s="8" t="s">
        <v>1473</v>
      </c>
      <c r="G1018" s="8" t="s">
        <v>2660</v>
      </c>
      <c r="H1018" s="8">
        <v>0.0</v>
      </c>
      <c r="I1018" s="8" t="s">
        <v>3476</v>
      </c>
      <c r="J1018" s="8" t="s">
        <v>22</v>
      </c>
      <c r="K1018" s="8" t="s">
        <v>892</v>
      </c>
      <c r="L1018" s="8" t="s">
        <v>24</v>
      </c>
      <c r="M1018" s="9">
        <v>0.0</v>
      </c>
      <c r="N1018" s="9">
        <v>0.75</v>
      </c>
      <c r="O1018" s="9">
        <v>0.75</v>
      </c>
      <c r="P1018" s="10">
        <v>45202.0</v>
      </c>
      <c r="Q1018" s="11">
        <v>1.9</v>
      </c>
      <c r="R1018" s="8" t="s">
        <v>25</v>
      </c>
      <c r="S1018" s="12">
        <f t="shared" si="1"/>
        <v>-0.75</v>
      </c>
      <c r="T1018" s="12">
        <f t="shared" si="8"/>
        <v>29.85795152</v>
      </c>
      <c r="U1018" s="145"/>
    </row>
    <row r="1019">
      <c r="A1019" s="29"/>
      <c r="B1019" s="29"/>
      <c r="C1019" s="29"/>
      <c r="D1019" s="15" t="s">
        <v>19</v>
      </c>
      <c r="E1019" s="15" t="s">
        <v>3477</v>
      </c>
      <c r="F1019" s="15" t="s">
        <v>1473</v>
      </c>
      <c r="G1019" s="15" t="s">
        <v>2556</v>
      </c>
      <c r="H1019" s="15">
        <f t="shared" ref="H1019:H1020" si="34">1</f>
        <v>1</v>
      </c>
      <c r="I1019" s="15" t="s">
        <v>703</v>
      </c>
      <c r="J1019" s="15" t="s">
        <v>22</v>
      </c>
      <c r="K1019" s="15" t="s">
        <v>225</v>
      </c>
      <c r="L1019" s="15" t="s">
        <v>39</v>
      </c>
      <c r="M1019" s="16">
        <v>0.5</v>
      </c>
      <c r="N1019" s="16">
        <v>0.5</v>
      </c>
      <c r="O1019" s="16">
        <v>0.5</v>
      </c>
      <c r="P1019" s="17">
        <v>45202.0</v>
      </c>
      <c r="Q1019" s="18">
        <v>1.788</v>
      </c>
      <c r="R1019" s="15" t="s">
        <v>33</v>
      </c>
      <c r="S1019" s="19">
        <f t="shared" si="1"/>
        <v>0.394</v>
      </c>
      <c r="T1019" s="19">
        <f t="shared" si="8"/>
        <v>30.25195152</v>
      </c>
      <c r="U1019" s="144"/>
    </row>
    <row r="1020">
      <c r="A1020" s="107"/>
      <c r="B1020" s="107"/>
      <c r="C1020" s="107"/>
      <c r="D1020" s="8" t="s">
        <v>19</v>
      </c>
      <c r="E1020" s="8" t="s">
        <v>3478</v>
      </c>
      <c r="F1020" s="8" t="s">
        <v>1473</v>
      </c>
      <c r="G1020" s="8" t="s">
        <v>2556</v>
      </c>
      <c r="H1020" s="8">
        <f t="shared" si="34"/>
        <v>1</v>
      </c>
      <c r="I1020" s="8" t="s">
        <v>703</v>
      </c>
      <c r="J1020" s="8" t="s">
        <v>22</v>
      </c>
      <c r="K1020" s="8" t="s">
        <v>225</v>
      </c>
      <c r="L1020" s="8" t="s">
        <v>39</v>
      </c>
      <c r="M1020" s="9">
        <v>0.25</v>
      </c>
      <c r="N1020" s="9">
        <v>0.5</v>
      </c>
      <c r="O1020" s="9">
        <v>0.5</v>
      </c>
      <c r="P1020" s="10">
        <v>45202.0</v>
      </c>
      <c r="Q1020" s="11">
        <v>1.85</v>
      </c>
      <c r="R1020" s="8" t="s">
        <v>30</v>
      </c>
      <c r="S1020" s="12">
        <f t="shared" si="1"/>
        <v>0.2125</v>
      </c>
      <c r="T1020" s="12">
        <f t="shared" si="8"/>
        <v>30.46445152</v>
      </c>
      <c r="U1020" s="145"/>
    </row>
    <row r="1021">
      <c r="A1021" s="29"/>
      <c r="B1021" s="29"/>
      <c r="C1021" s="29"/>
      <c r="D1021" s="15" t="s">
        <v>19</v>
      </c>
      <c r="E1021" s="15" t="s">
        <v>3479</v>
      </c>
      <c r="F1021" s="15" t="s">
        <v>1479</v>
      </c>
      <c r="G1021" s="15"/>
      <c r="H1021" s="15"/>
      <c r="I1021" s="15" t="s">
        <v>1961</v>
      </c>
      <c r="J1021" s="15" t="s">
        <v>598</v>
      </c>
      <c r="K1021" s="15" t="s">
        <v>23</v>
      </c>
      <c r="L1021" s="15" t="s">
        <v>1522</v>
      </c>
      <c r="M1021" s="16">
        <v>-1.5</v>
      </c>
      <c r="N1021" s="16">
        <v>0.5</v>
      </c>
      <c r="O1021" s="16">
        <v>0.5</v>
      </c>
      <c r="P1021" s="17">
        <v>45202.0</v>
      </c>
      <c r="Q1021" s="18">
        <v>2.0</v>
      </c>
      <c r="R1021" s="15" t="s">
        <v>25</v>
      </c>
      <c r="S1021" s="19">
        <f t="shared" si="1"/>
        <v>-0.5</v>
      </c>
      <c r="T1021" s="19">
        <f t="shared" si="8"/>
        <v>29.96445152</v>
      </c>
      <c r="U1021" s="144"/>
    </row>
    <row r="1022">
      <c r="A1022" s="107"/>
      <c r="B1022" s="107"/>
      <c r="C1022" s="107"/>
      <c r="D1022" s="8" t="s">
        <v>19</v>
      </c>
      <c r="E1022" s="8" t="s">
        <v>3480</v>
      </c>
      <c r="F1022" s="8"/>
      <c r="G1022" s="8"/>
      <c r="H1022" s="8" t="s">
        <v>2615</v>
      </c>
      <c r="I1022" s="8" t="s">
        <v>1961</v>
      </c>
      <c r="J1022" s="8" t="s">
        <v>22</v>
      </c>
      <c r="K1022" s="8" t="s">
        <v>29</v>
      </c>
      <c r="L1022" s="8" t="s">
        <v>1522</v>
      </c>
      <c r="M1022" s="9">
        <v>-0.5</v>
      </c>
      <c r="N1022" s="9">
        <v>0.25</v>
      </c>
      <c r="O1022" s="9">
        <v>0.25</v>
      </c>
      <c r="P1022" s="10">
        <v>45202.0</v>
      </c>
      <c r="Q1022" s="11">
        <v>1.75</v>
      </c>
      <c r="R1022" s="8" t="s">
        <v>33</v>
      </c>
      <c r="S1022" s="12">
        <f t="shared" si="1"/>
        <v>0.1875</v>
      </c>
      <c r="T1022" s="12">
        <f t="shared" si="8"/>
        <v>30.15195152</v>
      </c>
      <c r="U1022" s="145"/>
    </row>
    <row r="1023">
      <c r="A1023" s="29"/>
      <c r="B1023" s="29"/>
      <c r="C1023" s="29"/>
      <c r="D1023" s="15" t="s">
        <v>19</v>
      </c>
      <c r="E1023" s="15" t="s">
        <v>3481</v>
      </c>
      <c r="F1023" s="15" t="s">
        <v>1473</v>
      </c>
      <c r="G1023" s="15" t="s">
        <v>2660</v>
      </c>
      <c r="H1023" s="15">
        <v>0.0</v>
      </c>
      <c r="I1023" s="15" t="s">
        <v>167</v>
      </c>
      <c r="J1023" s="15" t="s">
        <v>22</v>
      </c>
      <c r="K1023" s="15" t="s">
        <v>1150</v>
      </c>
      <c r="L1023" s="15" t="s">
        <v>1522</v>
      </c>
      <c r="M1023" s="16">
        <v>0.0</v>
      </c>
      <c r="N1023" s="16">
        <v>0.03</v>
      </c>
      <c r="O1023" s="16">
        <v>0.03</v>
      </c>
      <c r="P1023" s="17">
        <v>45202.0</v>
      </c>
      <c r="Q1023" s="18">
        <v>1.725</v>
      </c>
      <c r="R1023" s="15" t="s">
        <v>25</v>
      </c>
      <c r="S1023" s="19">
        <f t="shared" si="1"/>
        <v>-0.03</v>
      </c>
      <c r="T1023" s="19">
        <f t="shared" si="8"/>
        <v>30.12195152</v>
      </c>
      <c r="U1023" s="144"/>
    </row>
    <row r="1024">
      <c r="A1024" s="107"/>
      <c r="B1024" s="107"/>
      <c r="C1024" s="107"/>
      <c r="D1024" s="8" t="s">
        <v>19</v>
      </c>
      <c r="E1024" s="8" t="s">
        <v>3482</v>
      </c>
      <c r="F1024" s="8" t="s">
        <v>1473</v>
      </c>
      <c r="G1024" s="8" t="s">
        <v>2556</v>
      </c>
      <c r="H1024" s="8">
        <v>0.0</v>
      </c>
      <c r="I1024" s="8" t="s">
        <v>74</v>
      </c>
      <c r="J1024" s="8" t="s">
        <v>22</v>
      </c>
      <c r="K1024" s="8" t="s">
        <v>892</v>
      </c>
      <c r="L1024" s="8" t="s">
        <v>1851</v>
      </c>
      <c r="M1024" s="9">
        <v>0.5</v>
      </c>
      <c r="N1024" s="9">
        <v>0.5</v>
      </c>
      <c r="O1024" s="9">
        <v>0.5</v>
      </c>
      <c r="P1024" s="10">
        <v>45202.0</v>
      </c>
      <c r="Q1024" s="11">
        <v>1.95</v>
      </c>
      <c r="R1024" s="8" t="s">
        <v>70</v>
      </c>
      <c r="S1024" s="12">
        <f t="shared" si="1"/>
        <v>0</v>
      </c>
      <c r="T1024" s="12">
        <f t="shared" si="8"/>
        <v>30.12195152</v>
      </c>
      <c r="U1024" s="145"/>
    </row>
    <row r="1025">
      <c r="A1025" s="29"/>
      <c r="B1025" s="29"/>
      <c r="C1025" s="29"/>
      <c r="D1025" s="15" t="s">
        <v>19</v>
      </c>
      <c r="E1025" s="15" t="s">
        <v>3483</v>
      </c>
      <c r="F1025" s="15" t="s">
        <v>1473</v>
      </c>
      <c r="G1025" s="15"/>
      <c r="H1025" s="15">
        <v>0.0</v>
      </c>
      <c r="I1025" s="15" t="s">
        <v>121</v>
      </c>
      <c r="J1025" s="15" t="s">
        <v>598</v>
      </c>
      <c r="K1025" s="15" t="s">
        <v>941</v>
      </c>
      <c r="L1025" s="15" t="s">
        <v>1522</v>
      </c>
      <c r="M1025" s="16">
        <v>0.0</v>
      </c>
      <c r="N1025" s="16">
        <v>0.5</v>
      </c>
      <c r="O1025" s="16">
        <v>0.5</v>
      </c>
      <c r="P1025" s="17">
        <v>45202.0</v>
      </c>
      <c r="Q1025" s="18">
        <v>1.8</v>
      </c>
      <c r="R1025" s="15" t="s">
        <v>33</v>
      </c>
      <c r="S1025" s="19">
        <f t="shared" si="1"/>
        <v>0.4</v>
      </c>
      <c r="T1025" s="19">
        <f t="shared" si="8"/>
        <v>30.52195152</v>
      </c>
      <c r="U1025" s="144"/>
    </row>
    <row r="1026">
      <c r="A1026" s="107"/>
      <c r="B1026" s="107"/>
      <c r="C1026" s="107"/>
      <c r="D1026" s="8" t="s">
        <v>19</v>
      </c>
      <c r="E1026" s="8" t="s">
        <v>3484</v>
      </c>
      <c r="F1026" s="8" t="s">
        <v>1473</v>
      </c>
      <c r="G1026" s="8" t="s">
        <v>2556</v>
      </c>
      <c r="H1026" s="8">
        <v>0.0</v>
      </c>
      <c r="I1026" s="8" t="s">
        <v>74</v>
      </c>
      <c r="J1026" s="8" t="s">
        <v>22</v>
      </c>
      <c r="K1026" s="8" t="s">
        <v>1165</v>
      </c>
      <c r="L1026" s="8" t="s">
        <v>1851</v>
      </c>
      <c r="M1026" s="9"/>
      <c r="N1026" s="9">
        <v>0.1</v>
      </c>
      <c r="O1026" s="9">
        <v>0.1</v>
      </c>
      <c r="P1026" s="10">
        <v>45202.0</v>
      </c>
      <c r="Q1026" s="11">
        <v>3.1</v>
      </c>
      <c r="R1026" s="8" t="s">
        <v>70</v>
      </c>
      <c r="S1026" s="12">
        <f t="shared" si="1"/>
        <v>0</v>
      </c>
      <c r="T1026" s="12">
        <f t="shared" si="8"/>
        <v>30.52195152</v>
      </c>
      <c r="U1026" s="145"/>
    </row>
    <row r="1027">
      <c r="A1027" s="29"/>
      <c r="B1027" s="29"/>
      <c r="C1027" s="29"/>
      <c r="D1027" s="15" t="s">
        <v>19</v>
      </c>
      <c r="E1027" s="15" t="s">
        <v>3485</v>
      </c>
      <c r="F1027" s="15"/>
      <c r="G1027" s="15"/>
      <c r="H1027" s="15"/>
      <c r="I1027" s="15" t="s">
        <v>82</v>
      </c>
      <c r="J1027" s="15" t="s">
        <v>598</v>
      </c>
      <c r="K1027" s="15" t="s">
        <v>2415</v>
      </c>
      <c r="L1027" s="15" t="s">
        <v>39</v>
      </c>
      <c r="M1027" s="16">
        <v>10.5</v>
      </c>
      <c r="N1027" s="16">
        <v>0.5</v>
      </c>
      <c r="O1027" s="16">
        <v>0.5</v>
      </c>
      <c r="P1027" s="17">
        <v>45202.0</v>
      </c>
      <c r="Q1027" s="18">
        <v>1.875</v>
      </c>
      <c r="R1027" s="15" t="s">
        <v>25</v>
      </c>
      <c r="S1027" s="19">
        <f t="shared" si="1"/>
        <v>-0.5</v>
      </c>
      <c r="T1027" s="19">
        <f t="shared" si="8"/>
        <v>30.02195152</v>
      </c>
      <c r="U1027" s="144"/>
    </row>
    <row r="1028">
      <c r="A1028" s="107"/>
      <c r="B1028" s="107"/>
      <c r="C1028" s="107"/>
      <c r="D1028" s="8" t="s">
        <v>40</v>
      </c>
      <c r="E1028" s="8" t="s">
        <v>3486</v>
      </c>
      <c r="F1028" s="8" t="s">
        <v>1473</v>
      </c>
      <c r="G1028" s="8" t="s">
        <v>2660</v>
      </c>
      <c r="H1028" s="8">
        <v>0.0</v>
      </c>
      <c r="I1028" s="8" t="s">
        <v>1319</v>
      </c>
      <c r="J1028" s="8" t="s">
        <v>22</v>
      </c>
      <c r="K1028" s="8" t="s">
        <v>892</v>
      </c>
      <c r="L1028" s="8" t="s">
        <v>1522</v>
      </c>
      <c r="M1028" s="9">
        <v>0.0</v>
      </c>
      <c r="N1028" s="9">
        <v>0.25</v>
      </c>
      <c r="O1028" s="9">
        <v>0.25</v>
      </c>
      <c r="P1028" s="10">
        <v>45203.0</v>
      </c>
      <c r="Q1028" s="11">
        <v>1.85</v>
      </c>
      <c r="R1028" s="8" t="s">
        <v>33</v>
      </c>
      <c r="S1028" s="12">
        <f t="shared" si="1"/>
        <v>0.2125</v>
      </c>
      <c r="T1028" s="12">
        <f t="shared" si="8"/>
        <v>30.23445152</v>
      </c>
      <c r="U1028" s="145"/>
    </row>
    <row r="1029">
      <c r="A1029" s="29"/>
      <c r="B1029" s="29"/>
      <c r="C1029" s="29"/>
      <c r="D1029" s="15" t="s">
        <v>19</v>
      </c>
      <c r="E1029" s="15" t="s">
        <v>3487</v>
      </c>
      <c r="F1029" s="15" t="s">
        <v>1473</v>
      </c>
      <c r="G1029" s="15" t="s">
        <v>2556</v>
      </c>
      <c r="H1029" s="15">
        <v>0.0</v>
      </c>
      <c r="I1029" s="15" t="s">
        <v>48</v>
      </c>
      <c r="J1029" s="15" t="s">
        <v>22</v>
      </c>
      <c r="K1029" s="15" t="s">
        <v>225</v>
      </c>
      <c r="L1029" s="15" t="s">
        <v>24</v>
      </c>
      <c r="M1029" s="16">
        <v>0.25</v>
      </c>
      <c r="N1029" s="16">
        <v>0.75</v>
      </c>
      <c r="O1029" s="16">
        <v>0.51</v>
      </c>
      <c r="P1029" s="17">
        <v>45203.0</v>
      </c>
      <c r="Q1029" s="18">
        <v>2.02</v>
      </c>
      <c r="R1029" s="15" t="s">
        <v>25</v>
      </c>
      <c r="S1029" s="19">
        <f t="shared" si="1"/>
        <v>-0.51</v>
      </c>
      <c r="T1029" s="19">
        <f t="shared" si="8"/>
        <v>29.72445152</v>
      </c>
      <c r="U1029" s="144"/>
    </row>
    <row r="1030">
      <c r="A1030" s="107"/>
      <c r="B1030" s="107"/>
      <c r="C1030" s="107"/>
      <c r="D1030" s="8" t="s">
        <v>19</v>
      </c>
      <c r="E1030" s="8" t="s">
        <v>3488</v>
      </c>
      <c r="F1030" s="8" t="s">
        <v>1473</v>
      </c>
      <c r="G1030" s="8" t="s">
        <v>2556</v>
      </c>
      <c r="H1030" s="8">
        <v>-1.0</v>
      </c>
      <c r="I1030" s="8" t="s">
        <v>48</v>
      </c>
      <c r="J1030" s="8" t="s">
        <v>22</v>
      </c>
      <c r="K1030" s="8" t="s">
        <v>225</v>
      </c>
      <c r="L1030" s="8" t="s">
        <v>24</v>
      </c>
      <c r="M1030" s="9">
        <v>0.5</v>
      </c>
      <c r="N1030" s="9">
        <v>0.5</v>
      </c>
      <c r="O1030" s="9">
        <v>0.5</v>
      </c>
      <c r="P1030" s="10">
        <v>45203.0</v>
      </c>
      <c r="Q1030" s="11">
        <v>1.215</v>
      </c>
      <c r="R1030" s="8" t="s">
        <v>33</v>
      </c>
      <c r="S1030" s="12">
        <f t="shared" si="1"/>
        <v>0.1075</v>
      </c>
      <c r="T1030" s="12">
        <f t="shared" si="8"/>
        <v>29.83195152</v>
      </c>
      <c r="U1030" s="145"/>
    </row>
    <row r="1031">
      <c r="A1031" s="29"/>
      <c r="B1031" s="29"/>
      <c r="C1031" s="29"/>
      <c r="D1031" s="15" t="s">
        <v>19</v>
      </c>
      <c r="E1031" s="15" t="s">
        <v>3489</v>
      </c>
      <c r="F1031" s="15" t="s">
        <v>1479</v>
      </c>
      <c r="G1031" s="15" t="s">
        <v>2660</v>
      </c>
      <c r="H1031" s="15">
        <f>1</f>
        <v>1</v>
      </c>
      <c r="I1031" s="15" t="s">
        <v>48</v>
      </c>
      <c r="J1031" s="15" t="s">
        <v>22</v>
      </c>
      <c r="K1031" s="15" t="s">
        <v>892</v>
      </c>
      <c r="L1031" s="15" t="s">
        <v>24</v>
      </c>
      <c r="M1031" s="16">
        <v>0.0</v>
      </c>
      <c r="N1031" s="16">
        <v>1.0</v>
      </c>
      <c r="O1031" s="16">
        <v>0.72</v>
      </c>
      <c r="P1031" s="17">
        <v>45203.0</v>
      </c>
      <c r="Q1031" s="18">
        <v>1.875</v>
      </c>
      <c r="R1031" s="15" t="s">
        <v>25</v>
      </c>
      <c r="S1031" s="19">
        <f t="shared" si="1"/>
        <v>-0.72</v>
      </c>
      <c r="T1031" s="19">
        <f t="shared" si="8"/>
        <v>29.11195152</v>
      </c>
      <c r="U1031" s="144"/>
    </row>
    <row r="1032">
      <c r="A1032" s="107"/>
      <c r="B1032" s="107"/>
      <c r="C1032" s="107"/>
      <c r="D1032" s="8" t="s">
        <v>19</v>
      </c>
      <c r="E1032" s="8" t="s">
        <v>3490</v>
      </c>
      <c r="F1032" s="8" t="s">
        <v>1479</v>
      </c>
      <c r="G1032" s="8" t="s">
        <v>2660</v>
      </c>
      <c r="H1032" s="8">
        <v>-1.0</v>
      </c>
      <c r="I1032" s="8" t="s">
        <v>1201</v>
      </c>
      <c r="J1032" s="8" t="s">
        <v>22</v>
      </c>
      <c r="K1032" s="8" t="s">
        <v>892</v>
      </c>
      <c r="L1032" s="8" t="s">
        <v>24</v>
      </c>
      <c r="M1032" s="9">
        <v>0.0</v>
      </c>
      <c r="N1032" s="9">
        <v>0.75</v>
      </c>
      <c r="O1032" s="9">
        <v>0.75</v>
      </c>
      <c r="P1032" s="10">
        <v>45203.0</v>
      </c>
      <c r="Q1032" s="11">
        <v>1.9</v>
      </c>
      <c r="R1032" s="8" t="s">
        <v>25</v>
      </c>
      <c r="S1032" s="12">
        <f t="shared" si="1"/>
        <v>-0.75</v>
      </c>
      <c r="T1032" s="12">
        <f t="shared" si="8"/>
        <v>28.36195152</v>
      </c>
      <c r="U1032" s="145"/>
    </row>
    <row r="1033">
      <c r="A1033" s="29"/>
      <c r="B1033" s="29"/>
      <c r="C1033" s="29"/>
      <c r="D1033" s="15" t="s">
        <v>19</v>
      </c>
      <c r="E1033" s="15" t="s">
        <v>3491</v>
      </c>
      <c r="F1033" s="15" t="s">
        <v>1473</v>
      </c>
      <c r="G1033" s="15" t="s">
        <v>2556</v>
      </c>
      <c r="H1033" s="15">
        <v>0.0</v>
      </c>
      <c r="I1033" s="15" t="s">
        <v>42</v>
      </c>
      <c r="J1033" s="15" t="s">
        <v>22</v>
      </c>
      <c r="K1033" s="15" t="s">
        <v>225</v>
      </c>
      <c r="L1033" s="15" t="s">
        <v>24</v>
      </c>
      <c r="M1033" s="16">
        <v>0.5</v>
      </c>
      <c r="N1033" s="16">
        <v>0.5</v>
      </c>
      <c r="O1033" s="16">
        <v>0.5</v>
      </c>
      <c r="P1033" s="17">
        <v>45203.0</v>
      </c>
      <c r="Q1033" s="18">
        <v>1.658</v>
      </c>
      <c r="R1033" s="15" t="s">
        <v>33</v>
      </c>
      <c r="S1033" s="19">
        <f t="shared" si="1"/>
        <v>0.329</v>
      </c>
      <c r="T1033" s="19">
        <f t="shared" si="8"/>
        <v>28.69095152</v>
      </c>
      <c r="U1033" s="144"/>
    </row>
    <row r="1034">
      <c r="A1034" s="107"/>
      <c r="B1034" s="107"/>
      <c r="C1034" s="107"/>
      <c r="D1034" s="8" t="s">
        <v>19</v>
      </c>
      <c r="E1034" s="8" t="s">
        <v>3492</v>
      </c>
      <c r="F1034" s="8"/>
      <c r="G1034" s="8"/>
      <c r="H1034" s="8"/>
      <c r="I1034" s="8" t="s">
        <v>82</v>
      </c>
      <c r="J1034" s="8" t="s">
        <v>22</v>
      </c>
      <c r="K1034" s="8" t="s">
        <v>29</v>
      </c>
      <c r="L1034" s="8" t="s">
        <v>39</v>
      </c>
      <c r="M1034" s="9">
        <v>-2.75</v>
      </c>
      <c r="N1034" s="9">
        <v>0.5</v>
      </c>
      <c r="O1034" s="9">
        <v>0.5</v>
      </c>
      <c r="P1034" s="10">
        <v>45203.0</v>
      </c>
      <c r="Q1034" s="11">
        <v>2.0</v>
      </c>
      <c r="R1034" s="8" t="s">
        <v>79</v>
      </c>
      <c r="S1034" s="12">
        <f t="shared" si="1"/>
        <v>-0.25</v>
      </c>
      <c r="T1034" s="12">
        <f t="shared" si="8"/>
        <v>28.44095152</v>
      </c>
      <c r="U1034" s="145"/>
    </row>
    <row r="1035">
      <c r="A1035" s="29"/>
      <c r="B1035" s="29"/>
      <c r="C1035" s="29"/>
      <c r="D1035" s="15" t="s">
        <v>19</v>
      </c>
      <c r="E1035" s="15" t="s">
        <v>3493</v>
      </c>
      <c r="F1035" s="15" t="s">
        <v>1473</v>
      </c>
      <c r="G1035" s="15" t="s">
        <v>2556</v>
      </c>
      <c r="H1035" s="15">
        <v>0.0</v>
      </c>
      <c r="I1035" s="15" t="s">
        <v>178</v>
      </c>
      <c r="J1035" s="15" t="s">
        <v>22</v>
      </c>
      <c r="K1035" s="15" t="s">
        <v>225</v>
      </c>
      <c r="L1035" s="15" t="s">
        <v>24</v>
      </c>
      <c r="M1035" s="16">
        <v>0.5</v>
      </c>
      <c r="N1035" s="16">
        <v>0.5</v>
      </c>
      <c r="O1035" s="16">
        <v>0.5</v>
      </c>
      <c r="P1035" s="17">
        <v>45203.0</v>
      </c>
      <c r="Q1035" s="18">
        <v>1.4</v>
      </c>
      <c r="R1035" s="15" t="s">
        <v>33</v>
      </c>
      <c r="S1035" s="19">
        <f t="shared" si="1"/>
        <v>0.2</v>
      </c>
      <c r="T1035" s="19">
        <f t="shared" si="8"/>
        <v>28.64095152</v>
      </c>
      <c r="U1035" s="144"/>
    </row>
    <row r="1036">
      <c r="A1036" s="107"/>
      <c r="B1036" s="107"/>
      <c r="C1036" s="107"/>
      <c r="D1036" s="8" t="s">
        <v>19</v>
      </c>
      <c r="E1036" s="8" t="s">
        <v>3494</v>
      </c>
      <c r="F1036" s="8"/>
      <c r="G1036" s="8"/>
      <c r="H1036" s="8"/>
      <c r="I1036" s="8" t="s">
        <v>1961</v>
      </c>
      <c r="J1036" s="8" t="s">
        <v>598</v>
      </c>
      <c r="K1036" s="8" t="s">
        <v>23</v>
      </c>
      <c r="L1036" s="8" t="s">
        <v>1522</v>
      </c>
      <c r="M1036" s="9">
        <v>-9.5</v>
      </c>
      <c r="N1036" s="9">
        <v>0.5</v>
      </c>
      <c r="O1036" s="9">
        <v>0.5</v>
      </c>
      <c r="P1036" s="10">
        <v>45203.0</v>
      </c>
      <c r="Q1036" s="11">
        <v>1.8</v>
      </c>
      <c r="R1036" s="8" t="s">
        <v>33</v>
      </c>
      <c r="S1036" s="12">
        <f t="shared" si="1"/>
        <v>0.4</v>
      </c>
      <c r="T1036" s="12">
        <f t="shared" si="8"/>
        <v>29.04095152</v>
      </c>
      <c r="U1036" s="145"/>
    </row>
    <row r="1037">
      <c r="A1037" s="29"/>
      <c r="B1037" s="29"/>
      <c r="C1037" s="29"/>
      <c r="D1037" s="15" t="s">
        <v>19</v>
      </c>
      <c r="E1037" s="15" t="s">
        <v>3495</v>
      </c>
      <c r="F1037" s="15" t="s">
        <v>1473</v>
      </c>
      <c r="G1037" s="15" t="s">
        <v>2556</v>
      </c>
      <c r="H1037" s="15">
        <v>-1.0</v>
      </c>
      <c r="I1037" s="15" t="s">
        <v>93</v>
      </c>
      <c r="J1037" s="15" t="s">
        <v>22</v>
      </c>
      <c r="K1037" s="15" t="s">
        <v>225</v>
      </c>
      <c r="L1037" s="15" t="s">
        <v>24</v>
      </c>
      <c r="M1037" s="16">
        <v>0.25</v>
      </c>
      <c r="N1037" s="16">
        <v>0.75</v>
      </c>
      <c r="O1037" s="16">
        <v>0.75</v>
      </c>
      <c r="P1037" s="17">
        <v>45203.0</v>
      </c>
      <c r="Q1037" s="18">
        <v>1.75</v>
      </c>
      <c r="R1037" s="15" t="s">
        <v>25</v>
      </c>
      <c r="S1037" s="19">
        <f t="shared" si="1"/>
        <v>-0.75</v>
      </c>
      <c r="T1037" s="19">
        <f t="shared" si="8"/>
        <v>28.29095152</v>
      </c>
      <c r="U1037" s="144"/>
    </row>
    <row r="1038">
      <c r="A1038" s="107"/>
      <c r="B1038" s="107"/>
      <c r="C1038" s="107"/>
      <c r="D1038" s="8" t="s">
        <v>19</v>
      </c>
      <c r="E1038" s="8" t="s">
        <v>3496</v>
      </c>
      <c r="F1038" s="8" t="s">
        <v>1479</v>
      </c>
      <c r="G1038" s="8" t="s">
        <v>2660</v>
      </c>
      <c r="H1038" s="8"/>
      <c r="I1038" s="8" t="s">
        <v>1961</v>
      </c>
      <c r="J1038" s="8" t="s">
        <v>598</v>
      </c>
      <c r="K1038" s="8" t="s">
        <v>3031</v>
      </c>
      <c r="L1038" s="8" t="s">
        <v>1522</v>
      </c>
      <c r="M1038" s="9">
        <v>0.0</v>
      </c>
      <c r="N1038" s="9">
        <v>0.5</v>
      </c>
      <c r="O1038" s="9">
        <v>0.5</v>
      </c>
      <c r="P1038" s="10">
        <v>45204.0</v>
      </c>
      <c r="Q1038" s="11">
        <v>1.8</v>
      </c>
      <c r="R1038" s="8" t="s">
        <v>25</v>
      </c>
      <c r="S1038" s="12">
        <f t="shared" si="1"/>
        <v>-0.5</v>
      </c>
      <c r="T1038" s="12">
        <f t="shared" si="8"/>
        <v>27.79095152</v>
      </c>
      <c r="U1038" s="145"/>
    </row>
    <row r="1039">
      <c r="A1039" s="29"/>
      <c r="B1039" s="29"/>
      <c r="C1039" s="29"/>
      <c r="D1039" s="15" t="s">
        <v>19</v>
      </c>
      <c r="E1039" s="15" t="s">
        <v>3497</v>
      </c>
      <c r="F1039" s="15" t="s">
        <v>1479</v>
      </c>
      <c r="G1039" s="15" t="s">
        <v>2660</v>
      </c>
      <c r="H1039" s="15">
        <v>-1.0</v>
      </c>
      <c r="I1039" s="15" t="s">
        <v>853</v>
      </c>
      <c r="J1039" s="15" t="s">
        <v>22</v>
      </c>
      <c r="K1039" s="15" t="s">
        <v>892</v>
      </c>
      <c r="L1039" s="15" t="s">
        <v>24</v>
      </c>
      <c r="M1039" s="16">
        <v>0.0</v>
      </c>
      <c r="N1039" s="16">
        <v>0.5</v>
      </c>
      <c r="O1039" s="16">
        <v>0.5</v>
      </c>
      <c r="P1039" s="17">
        <v>45204.0</v>
      </c>
      <c r="Q1039" s="18">
        <v>2.02</v>
      </c>
      <c r="R1039" s="15" t="s">
        <v>70</v>
      </c>
      <c r="S1039" s="19">
        <f t="shared" si="1"/>
        <v>0</v>
      </c>
      <c r="T1039" s="19">
        <f t="shared" si="8"/>
        <v>27.79095152</v>
      </c>
      <c r="U1039" s="144"/>
    </row>
    <row r="1040">
      <c r="A1040" s="107"/>
      <c r="B1040" s="107"/>
      <c r="C1040" s="107"/>
      <c r="D1040" s="8" t="s">
        <v>19</v>
      </c>
      <c r="E1040" s="8" t="s">
        <v>3498</v>
      </c>
      <c r="F1040" s="8" t="s">
        <v>1479</v>
      </c>
      <c r="G1040" s="8"/>
      <c r="H1040" s="8"/>
      <c r="I1040" s="8" t="s">
        <v>820</v>
      </c>
      <c r="J1040" s="8" t="s">
        <v>598</v>
      </c>
      <c r="K1040" s="8" t="s">
        <v>1023</v>
      </c>
      <c r="L1040" s="8" t="s">
        <v>1522</v>
      </c>
      <c r="M1040" s="9">
        <v>0.5</v>
      </c>
      <c r="N1040" s="9">
        <v>1.0</v>
      </c>
      <c r="O1040" s="9">
        <f>0.75+0.25*4/26</f>
        <v>0.7884615385</v>
      </c>
      <c r="P1040" s="10">
        <v>45204.0</v>
      </c>
      <c r="Q1040" s="11">
        <v>1.8</v>
      </c>
      <c r="R1040" s="8" t="s">
        <v>33</v>
      </c>
      <c r="S1040" s="12">
        <f t="shared" si="1"/>
        <v>0.6307692308</v>
      </c>
      <c r="T1040" s="12">
        <f t="shared" si="8"/>
        <v>28.42172075</v>
      </c>
      <c r="U1040" s="145"/>
    </row>
    <row r="1041">
      <c r="A1041" s="29"/>
      <c r="B1041" s="29"/>
      <c r="C1041" s="29"/>
      <c r="D1041" s="15" t="s">
        <v>19</v>
      </c>
      <c r="E1041" s="15" t="s">
        <v>3499</v>
      </c>
      <c r="F1041" s="15" t="s">
        <v>1479</v>
      </c>
      <c r="G1041" s="15" t="s">
        <v>2556</v>
      </c>
      <c r="H1041" s="15">
        <v>0.0</v>
      </c>
      <c r="I1041" s="15" t="s">
        <v>167</v>
      </c>
      <c r="J1041" s="15" t="s">
        <v>22</v>
      </c>
      <c r="K1041" s="15" t="s">
        <v>225</v>
      </c>
      <c r="L1041" s="15" t="s">
        <v>39</v>
      </c>
      <c r="M1041" s="16">
        <v>0.25</v>
      </c>
      <c r="N1041" s="16">
        <v>0.5</v>
      </c>
      <c r="O1041" s="16">
        <v>0.5</v>
      </c>
      <c r="P1041" s="17">
        <v>45204.0</v>
      </c>
      <c r="Q1041" s="18">
        <v>1.318</v>
      </c>
      <c r="R1041" s="15" t="s">
        <v>33</v>
      </c>
      <c r="S1041" s="19">
        <f t="shared" si="1"/>
        <v>0.159</v>
      </c>
      <c r="T1041" s="19">
        <f t="shared" si="8"/>
        <v>28.58072075</v>
      </c>
      <c r="U1041" s="144"/>
    </row>
    <row r="1042">
      <c r="A1042" s="107"/>
      <c r="B1042" s="107"/>
      <c r="C1042" s="107"/>
      <c r="D1042" s="8" t="s">
        <v>19</v>
      </c>
      <c r="E1042" s="8" t="s">
        <v>3500</v>
      </c>
      <c r="F1042" s="8"/>
      <c r="G1042" s="8"/>
      <c r="H1042" s="8">
        <v>0.0</v>
      </c>
      <c r="I1042" s="8" t="s">
        <v>463</v>
      </c>
      <c r="J1042" s="8" t="s">
        <v>22</v>
      </c>
      <c r="K1042" s="8" t="s">
        <v>29</v>
      </c>
      <c r="L1042" s="8" t="s">
        <v>39</v>
      </c>
      <c r="M1042" s="9">
        <v>-3.5</v>
      </c>
      <c r="N1042" s="9">
        <v>0.75</v>
      </c>
      <c r="O1042" s="9">
        <v>0.75</v>
      </c>
      <c r="P1042" s="10">
        <v>45204.0</v>
      </c>
      <c r="Q1042" s="11">
        <v>1.61</v>
      </c>
      <c r="R1042" s="8" t="s">
        <v>33</v>
      </c>
      <c r="S1042" s="12">
        <f t="shared" si="1"/>
        <v>0.4575</v>
      </c>
      <c r="T1042" s="12">
        <f t="shared" si="8"/>
        <v>29.03822075</v>
      </c>
      <c r="U1042" s="145"/>
    </row>
    <row r="1043">
      <c r="A1043" s="29"/>
      <c r="B1043" s="29"/>
      <c r="C1043" s="29"/>
      <c r="D1043" s="15" t="s">
        <v>19</v>
      </c>
      <c r="E1043" s="15" t="s">
        <v>3501</v>
      </c>
      <c r="F1043" s="15" t="s">
        <v>1479</v>
      </c>
      <c r="G1043" s="15" t="s">
        <v>2556</v>
      </c>
      <c r="H1043" s="15">
        <v>2</v>
      </c>
      <c r="I1043" s="15" t="s">
        <v>463</v>
      </c>
      <c r="J1043" s="15" t="s">
        <v>22</v>
      </c>
      <c r="K1043" s="15" t="s">
        <v>1165</v>
      </c>
      <c r="L1043" s="15" t="s">
        <v>1851</v>
      </c>
      <c r="M1043" s="16"/>
      <c r="N1043" s="16">
        <v>0.25</v>
      </c>
      <c r="O1043" s="16">
        <v>0.25</v>
      </c>
      <c r="P1043" s="17">
        <v>45204.0</v>
      </c>
      <c r="Q1043" s="18">
        <v>3.2</v>
      </c>
      <c r="R1043" s="15" t="s">
        <v>33</v>
      </c>
      <c r="S1043" s="19">
        <f t="shared" si="1"/>
        <v>0.55</v>
      </c>
      <c r="T1043" s="19">
        <f t="shared" si="8"/>
        <v>29.58822075</v>
      </c>
      <c r="U1043" s="144"/>
    </row>
    <row r="1044">
      <c r="A1044" s="107"/>
      <c r="B1044" s="107"/>
      <c r="C1044" s="107"/>
      <c r="D1044" s="8" t="s">
        <v>19</v>
      </c>
      <c r="E1044" s="8" t="s">
        <v>3502</v>
      </c>
      <c r="F1044" s="8" t="s">
        <v>1479</v>
      </c>
      <c r="G1044" s="8"/>
      <c r="H1044" s="8"/>
      <c r="I1044" s="8" t="s">
        <v>82</v>
      </c>
      <c r="J1044" s="8" t="s">
        <v>598</v>
      </c>
      <c r="K1044" s="8" t="s">
        <v>1847</v>
      </c>
      <c r="L1044" s="8" t="s">
        <v>39</v>
      </c>
      <c r="M1044" s="9">
        <v>-0.5</v>
      </c>
      <c r="N1044" s="9">
        <v>0.1</v>
      </c>
      <c r="O1044" s="9">
        <v>0.1</v>
      </c>
      <c r="P1044" s="10">
        <v>45204.0</v>
      </c>
      <c r="Q1044" s="11">
        <v>1.7</v>
      </c>
      <c r="R1044" s="8" t="s">
        <v>25</v>
      </c>
      <c r="S1044" s="12">
        <f t="shared" si="1"/>
        <v>-0.1</v>
      </c>
      <c r="T1044" s="12">
        <f t="shared" si="8"/>
        <v>29.48822075</v>
      </c>
      <c r="U1044" s="145"/>
    </row>
    <row r="1045">
      <c r="A1045" s="29"/>
      <c r="B1045" s="29"/>
      <c r="C1045" s="29"/>
      <c r="D1045" s="15" t="s">
        <v>19</v>
      </c>
      <c r="E1045" s="15" t="s">
        <v>3503</v>
      </c>
      <c r="F1045" s="15" t="s">
        <v>1479</v>
      </c>
      <c r="G1045" s="15" t="s">
        <v>2660</v>
      </c>
      <c r="H1045" s="15">
        <v>-1.0</v>
      </c>
      <c r="I1045" s="15" t="s">
        <v>372</v>
      </c>
      <c r="J1045" s="15" t="s">
        <v>22</v>
      </c>
      <c r="K1045" s="15" t="s">
        <v>892</v>
      </c>
      <c r="L1045" s="15" t="s">
        <v>24</v>
      </c>
      <c r="M1045" s="16">
        <v>0.0</v>
      </c>
      <c r="N1045" s="16">
        <v>0.25</v>
      </c>
      <c r="O1045" s="16">
        <v>0.25</v>
      </c>
      <c r="P1045" s="17">
        <v>45205.0</v>
      </c>
      <c r="Q1045" s="18">
        <v>2.15</v>
      </c>
      <c r="R1045" s="15" t="s">
        <v>25</v>
      </c>
      <c r="S1045" s="19">
        <f t="shared" si="1"/>
        <v>-0.25</v>
      </c>
      <c r="T1045" s="19">
        <f t="shared" si="8"/>
        <v>29.23822075</v>
      </c>
      <c r="U1045" s="144"/>
    </row>
    <row r="1046">
      <c r="A1046" s="107"/>
      <c r="B1046" s="107"/>
      <c r="C1046" s="107"/>
      <c r="D1046" s="8" t="s">
        <v>19</v>
      </c>
      <c r="E1046" s="8" t="s">
        <v>3504</v>
      </c>
      <c r="F1046" s="8" t="s">
        <v>1479</v>
      </c>
      <c r="G1046" s="8" t="s">
        <v>2660</v>
      </c>
      <c r="H1046" s="8">
        <f>1</f>
        <v>1</v>
      </c>
      <c r="I1046" s="8" t="s">
        <v>642</v>
      </c>
      <c r="J1046" s="8" t="s">
        <v>22</v>
      </c>
      <c r="K1046" s="8" t="s">
        <v>892</v>
      </c>
      <c r="L1046" s="8" t="s">
        <v>24</v>
      </c>
      <c r="M1046" s="9">
        <v>0.0</v>
      </c>
      <c r="N1046" s="9">
        <v>1.0</v>
      </c>
      <c r="O1046" s="9">
        <v>1.0</v>
      </c>
      <c r="P1046" s="10">
        <v>45205.0</v>
      </c>
      <c r="Q1046" s="11">
        <v>1.39</v>
      </c>
      <c r="R1046" s="8" t="s">
        <v>33</v>
      </c>
      <c r="S1046" s="12">
        <f t="shared" si="1"/>
        <v>0.39</v>
      </c>
      <c r="T1046" s="12">
        <f t="shared" si="8"/>
        <v>29.62822075</v>
      </c>
      <c r="U1046" s="145"/>
    </row>
    <row r="1047">
      <c r="A1047" s="29"/>
      <c r="B1047" s="29"/>
      <c r="C1047" s="29"/>
      <c r="D1047" s="15" t="s">
        <v>19</v>
      </c>
      <c r="E1047" s="15" t="s">
        <v>3505</v>
      </c>
      <c r="F1047" s="15" t="s">
        <v>1473</v>
      </c>
      <c r="G1047" s="15" t="s">
        <v>2556</v>
      </c>
      <c r="H1047" s="15">
        <v>0.0</v>
      </c>
      <c r="I1047" s="15" t="s">
        <v>96</v>
      </c>
      <c r="J1047" s="15" t="s">
        <v>22</v>
      </c>
      <c r="K1047" s="15" t="s">
        <v>225</v>
      </c>
      <c r="L1047" s="15" t="s">
        <v>24</v>
      </c>
      <c r="M1047" s="16">
        <v>0.25</v>
      </c>
      <c r="N1047" s="16">
        <v>0.25</v>
      </c>
      <c r="O1047" s="16">
        <v>0.25</v>
      </c>
      <c r="P1047" s="17">
        <v>45205.0</v>
      </c>
      <c r="Q1047" s="18">
        <v>1.725</v>
      </c>
      <c r="R1047" s="15" t="s">
        <v>25</v>
      </c>
      <c r="S1047" s="19">
        <f t="shared" si="1"/>
        <v>-0.25</v>
      </c>
      <c r="T1047" s="19">
        <f t="shared" si="8"/>
        <v>29.37822075</v>
      </c>
      <c r="U1047" s="144"/>
    </row>
    <row r="1048">
      <c r="A1048" s="107"/>
      <c r="B1048" s="107"/>
      <c r="C1048" s="107"/>
      <c r="D1048" s="8" t="s">
        <v>19</v>
      </c>
      <c r="E1048" s="8" t="s">
        <v>3506</v>
      </c>
      <c r="F1048" s="8" t="s">
        <v>1479</v>
      </c>
      <c r="G1048" s="8" t="s">
        <v>2660</v>
      </c>
      <c r="H1048" s="8">
        <v>0.0</v>
      </c>
      <c r="I1048" s="8" t="s">
        <v>121</v>
      </c>
      <c r="J1048" s="8" t="s">
        <v>22</v>
      </c>
      <c r="K1048" s="8" t="s">
        <v>3031</v>
      </c>
      <c r="L1048" s="8" t="s">
        <v>1522</v>
      </c>
      <c r="M1048" s="9">
        <v>0.0</v>
      </c>
      <c r="N1048" s="9">
        <v>0.5</v>
      </c>
      <c r="O1048" s="9">
        <v>0.5</v>
      </c>
      <c r="P1048" s="10">
        <v>45205.0</v>
      </c>
      <c r="Q1048" s="11">
        <v>1.95</v>
      </c>
      <c r="R1048" s="8" t="s">
        <v>25</v>
      </c>
      <c r="S1048" s="12">
        <f t="shared" si="1"/>
        <v>-0.5</v>
      </c>
      <c r="T1048" s="12">
        <f t="shared" si="8"/>
        <v>28.87822075</v>
      </c>
      <c r="U1048" s="145"/>
    </row>
    <row r="1049">
      <c r="A1049" s="29"/>
      <c r="B1049" s="29"/>
      <c r="C1049" s="29"/>
      <c r="D1049" s="15" t="s">
        <v>19</v>
      </c>
      <c r="E1049" s="15" t="s">
        <v>3507</v>
      </c>
      <c r="F1049" s="15" t="s">
        <v>1473</v>
      </c>
      <c r="G1049" s="15" t="s">
        <v>2556</v>
      </c>
      <c r="H1049" s="15">
        <v>-1.0</v>
      </c>
      <c r="I1049" s="15" t="s">
        <v>940</v>
      </c>
      <c r="J1049" s="15" t="s">
        <v>22</v>
      </c>
      <c r="K1049" s="15" t="s">
        <v>225</v>
      </c>
      <c r="L1049" s="15" t="s">
        <v>39</v>
      </c>
      <c r="M1049" s="16">
        <v>0.25</v>
      </c>
      <c r="N1049" s="16">
        <v>0.5</v>
      </c>
      <c r="O1049" s="16">
        <v>0.5</v>
      </c>
      <c r="P1049" s="17">
        <v>45205.0</v>
      </c>
      <c r="Q1049" s="18">
        <v>1.775</v>
      </c>
      <c r="R1049" s="15" t="s">
        <v>30</v>
      </c>
      <c r="S1049" s="19">
        <f t="shared" si="1"/>
        <v>0.19375</v>
      </c>
      <c r="T1049" s="19">
        <f t="shared" si="8"/>
        <v>29.07197075</v>
      </c>
      <c r="U1049" s="144"/>
    </row>
    <row r="1050">
      <c r="A1050" s="107"/>
      <c r="B1050" s="107"/>
      <c r="C1050" s="107"/>
      <c r="D1050" s="8" t="s">
        <v>19</v>
      </c>
      <c r="E1050" s="8" t="s">
        <v>3508</v>
      </c>
      <c r="F1050" s="8" t="s">
        <v>1479</v>
      </c>
      <c r="G1050" s="8" t="s">
        <v>2556</v>
      </c>
      <c r="H1050" s="8">
        <f t="shared" ref="H1050:H1052" si="35">1</f>
        <v>1</v>
      </c>
      <c r="I1050" s="8" t="s">
        <v>616</v>
      </c>
      <c r="J1050" s="8" t="s">
        <v>22</v>
      </c>
      <c r="K1050" s="8" t="s">
        <v>225</v>
      </c>
      <c r="L1050" s="8" t="s">
        <v>24</v>
      </c>
      <c r="M1050" s="9">
        <v>0.5</v>
      </c>
      <c r="N1050" s="9">
        <v>0.75</v>
      </c>
      <c r="O1050" s="9">
        <v>0.75</v>
      </c>
      <c r="P1050" s="10">
        <v>45205.0</v>
      </c>
      <c r="Q1050" s="11">
        <v>1.503</v>
      </c>
      <c r="R1050" s="8" t="s">
        <v>33</v>
      </c>
      <c r="S1050" s="12">
        <f t="shared" si="1"/>
        <v>0.37725</v>
      </c>
      <c r="T1050" s="12">
        <f t="shared" si="8"/>
        <v>29.44922075</v>
      </c>
      <c r="U1050" s="145"/>
    </row>
    <row r="1051">
      <c r="A1051" s="29"/>
      <c r="B1051" s="29"/>
      <c r="C1051" s="29"/>
      <c r="D1051" s="15" t="s">
        <v>19</v>
      </c>
      <c r="E1051" s="15" t="s">
        <v>3509</v>
      </c>
      <c r="F1051" s="15" t="s">
        <v>1479</v>
      </c>
      <c r="G1051" s="15" t="s">
        <v>2556</v>
      </c>
      <c r="H1051" s="15">
        <f t="shared" si="35"/>
        <v>1</v>
      </c>
      <c r="I1051" s="15" t="s">
        <v>616</v>
      </c>
      <c r="J1051" s="15" t="s">
        <v>22</v>
      </c>
      <c r="K1051" s="15" t="s">
        <v>225</v>
      </c>
      <c r="L1051" s="15" t="s">
        <v>24</v>
      </c>
      <c r="M1051" s="16">
        <v>0.25</v>
      </c>
      <c r="N1051" s="16">
        <v>0.15</v>
      </c>
      <c r="O1051" s="16">
        <v>0.15</v>
      </c>
      <c r="P1051" s="17">
        <v>45205.0</v>
      </c>
      <c r="Q1051" s="18">
        <v>2.05</v>
      </c>
      <c r="R1051" s="15" t="s">
        <v>30</v>
      </c>
      <c r="S1051" s="19">
        <f t="shared" si="1"/>
        <v>0.07875</v>
      </c>
      <c r="T1051" s="19">
        <f t="shared" si="8"/>
        <v>29.52797075</v>
      </c>
      <c r="U1051" s="144"/>
    </row>
    <row r="1052">
      <c r="A1052" s="107"/>
      <c r="B1052" s="107"/>
      <c r="C1052" s="107"/>
      <c r="D1052" s="8" t="s">
        <v>19</v>
      </c>
      <c r="E1052" s="8" t="s">
        <v>3510</v>
      </c>
      <c r="F1052" s="8" t="s">
        <v>1479</v>
      </c>
      <c r="G1052" s="8" t="s">
        <v>2556</v>
      </c>
      <c r="H1052" s="8">
        <f t="shared" si="35"/>
        <v>1</v>
      </c>
      <c r="I1052" s="8" t="s">
        <v>616</v>
      </c>
      <c r="J1052" s="8" t="s">
        <v>22</v>
      </c>
      <c r="K1052" s="8" t="s">
        <v>1165</v>
      </c>
      <c r="L1052" s="8" t="s">
        <v>24</v>
      </c>
      <c r="M1052" s="9"/>
      <c r="N1052" s="9">
        <v>0.1</v>
      </c>
      <c r="O1052" s="9">
        <v>0.1</v>
      </c>
      <c r="P1052" s="10">
        <v>45205.0</v>
      </c>
      <c r="Q1052" s="11">
        <v>3.0</v>
      </c>
      <c r="R1052" s="8" t="s">
        <v>25</v>
      </c>
      <c r="S1052" s="12">
        <f t="shared" si="1"/>
        <v>-0.1</v>
      </c>
      <c r="T1052" s="12">
        <f t="shared" si="8"/>
        <v>29.42797075</v>
      </c>
      <c r="U1052" s="145"/>
    </row>
    <row r="1053">
      <c r="A1053" s="29"/>
      <c r="B1053" s="29"/>
      <c r="C1053" s="29"/>
      <c r="D1053" s="15" t="s">
        <v>40</v>
      </c>
      <c r="E1053" s="15" t="s">
        <v>3511</v>
      </c>
      <c r="F1053" s="15" t="s">
        <v>1473</v>
      </c>
      <c r="G1053" s="15"/>
      <c r="H1053" s="15"/>
      <c r="I1053" s="15" t="s">
        <v>38</v>
      </c>
      <c r="J1053" s="15" t="s">
        <v>598</v>
      </c>
      <c r="K1053" s="15" t="s">
        <v>941</v>
      </c>
      <c r="L1053" s="15" t="s">
        <v>1522</v>
      </c>
      <c r="M1053" s="16">
        <v>0.0</v>
      </c>
      <c r="N1053" s="16">
        <v>1.0</v>
      </c>
      <c r="O1053" s="16">
        <v>1.0</v>
      </c>
      <c r="P1053" s="17">
        <v>45205.0</v>
      </c>
      <c r="Q1053" s="18">
        <v>1.8</v>
      </c>
      <c r="R1053" s="15" t="s">
        <v>70</v>
      </c>
      <c r="S1053" s="19">
        <f t="shared" si="1"/>
        <v>0</v>
      </c>
      <c r="T1053" s="19">
        <f t="shared" si="8"/>
        <v>29.42797075</v>
      </c>
      <c r="U1053" s="144"/>
    </row>
    <row r="1054">
      <c r="A1054" s="107"/>
      <c r="B1054" s="107"/>
      <c r="C1054" s="107"/>
      <c r="D1054" s="8" t="s">
        <v>19</v>
      </c>
      <c r="E1054" s="8" t="s">
        <v>3512</v>
      </c>
      <c r="F1054" s="8" t="s">
        <v>1473</v>
      </c>
      <c r="G1054" s="8" t="s">
        <v>2556</v>
      </c>
      <c r="H1054" s="8">
        <v>0.0</v>
      </c>
      <c r="I1054" s="8" t="s">
        <v>99</v>
      </c>
      <c r="J1054" s="8" t="s">
        <v>22</v>
      </c>
      <c r="K1054" s="8" t="s">
        <v>225</v>
      </c>
      <c r="L1054" s="8" t="s">
        <v>24</v>
      </c>
      <c r="M1054" s="9">
        <v>0.5</v>
      </c>
      <c r="N1054" s="9">
        <v>1.0</v>
      </c>
      <c r="O1054" s="9">
        <v>1.0</v>
      </c>
      <c r="P1054" s="10">
        <v>45206.0</v>
      </c>
      <c r="Q1054" s="11">
        <v>2.0</v>
      </c>
      <c r="R1054" s="8" t="s">
        <v>25</v>
      </c>
      <c r="S1054" s="12">
        <f t="shared" si="1"/>
        <v>-1</v>
      </c>
      <c r="T1054" s="12">
        <f t="shared" si="8"/>
        <v>28.42797075</v>
      </c>
      <c r="U1054" s="145"/>
    </row>
    <row r="1055">
      <c r="A1055" s="29"/>
      <c r="B1055" s="29"/>
      <c r="C1055" s="29"/>
      <c r="D1055" s="15" t="s">
        <v>19</v>
      </c>
      <c r="E1055" s="15" t="s">
        <v>3513</v>
      </c>
      <c r="F1055" s="15" t="s">
        <v>1473</v>
      </c>
      <c r="G1055" s="15" t="s">
        <v>2556</v>
      </c>
      <c r="H1055" s="15">
        <v>0.0</v>
      </c>
      <c r="I1055" s="15" t="s">
        <v>99</v>
      </c>
      <c r="J1055" s="15" t="s">
        <v>22</v>
      </c>
      <c r="K1055" s="15" t="s">
        <v>1165</v>
      </c>
      <c r="L1055" s="15" t="s">
        <v>24</v>
      </c>
      <c r="M1055" s="16"/>
      <c r="N1055" s="16">
        <v>0.1</v>
      </c>
      <c r="O1055" s="16">
        <v>0.1</v>
      </c>
      <c r="P1055" s="17">
        <v>45206.0</v>
      </c>
      <c r="Q1055" s="18">
        <v>3.0</v>
      </c>
      <c r="R1055" s="15" t="s">
        <v>25</v>
      </c>
      <c r="S1055" s="19">
        <f t="shared" si="1"/>
        <v>-0.1</v>
      </c>
      <c r="T1055" s="19">
        <f t="shared" si="8"/>
        <v>28.32797075</v>
      </c>
      <c r="U1055" s="144"/>
    </row>
    <row r="1056">
      <c r="A1056" s="107"/>
      <c r="B1056" s="107"/>
      <c r="C1056" s="107"/>
      <c r="D1056" s="8" t="s">
        <v>19</v>
      </c>
      <c r="E1056" s="8" t="s">
        <v>3514</v>
      </c>
      <c r="F1056" s="8"/>
      <c r="G1056" s="8"/>
      <c r="H1056" s="8"/>
      <c r="I1056" s="8" t="s">
        <v>38</v>
      </c>
      <c r="J1056" s="8" t="s">
        <v>22</v>
      </c>
      <c r="K1056" s="8" t="s">
        <v>3515</v>
      </c>
      <c r="L1056" s="8" t="s">
        <v>39</v>
      </c>
      <c r="M1056" s="9">
        <v>0.75</v>
      </c>
      <c r="N1056" s="9">
        <v>0.1</v>
      </c>
      <c r="O1056" s="9">
        <v>0.1</v>
      </c>
      <c r="P1056" s="10">
        <v>45206.0</v>
      </c>
      <c r="Q1056" s="11">
        <v>1.75</v>
      </c>
      <c r="R1056" s="8" t="s">
        <v>25</v>
      </c>
      <c r="S1056" s="12">
        <f t="shared" si="1"/>
        <v>-0.1</v>
      </c>
      <c r="T1056" s="12">
        <f t="shared" si="8"/>
        <v>28.22797075</v>
      </c>
      <c r="U1056" s="145"/>
    </row>
    <row r="1057">
      <c r="A1057" s="29"/>
      <c r="B1057" s="29"/>
      <c r="C1057" s="29"/>
      <c r="D1057" s="15" t="s">
        <v>19</v>
      </c>
      <c r="E1057" s="15" t="s">
        <v>3516</v>
      </c>
      <c r="F1057" s="15" t="s">
        <v>1473</v>
      </c>
      <c r="G1057" s="15" t="s">
        <v>2660</v>
      </c>
      <c r="H1057" s="15">
        <v>-1.0</v>
      </c>
      <c r="I1057" s="15" t="s">
        <v>93</v>
      </c>
      <c r="J1057" s="15" t="s">
        <v>22</v>
      </c>
      <c r="K1057" s="15" t="s">
        <v>892</v>
      </c>
      <c r="L1057" s="15" t="s">
        <v>24</v>
      </c>
      <c r="M1057" s="16">
        <v>0.0</v>
      </c>
      <c r="N1057" s="16">
        <v>0.75</v>
      </c>
      <c r="O1057" s="16">
        <v>0.75</v>
      </c>
      <c r="P1057" s="17">
        <v>45206.0</v>
      </c>
      <c r="Q1057" s="18">
        <v>2.0</v>
      </c>
      <c r="R1057" s="15" t="s">
        <v>70</v>
      </c>
      <c r="S1057" s="19">
        <f t="shared" si="1"/>
        <v>0</v>
      </c>
      <c r="T1057" s="19">
        <f t="shared" si="8"/>
        <v>28.22797075</v>
      </c>
      <c r="U1057" s="144"/>
    </row>
    <row r="1058">
      <c r="A1058" s="107"/>
      <c r="B1058" s="107"/>
      <c r="C1058" s="107"/>
      <c r="D1058" s="8" t="s">
        <v>19</v>
      </c>
      <c r="E1058" s="8" t="s">
        <v>3517</v>
      </c>
      <c r="F1058" s="8" t="s">
        <v>1473</v>
      </c>
      <c r="G1058" s="8" t="s">
        <v>2556</v>
      </c>
      <c r="H1058" s="8">
        <f t="shared" ref="H1058:H1059" si="36">1</f>
        <v>1</v>
      </c>
      <c r="I1058" s="8" t="s">
        <v>48</v>
      </c>
      <c r="J1058" s="8" t="s">
        <v>22</v>
      </c>
      <c r="K1058" s="8" t="s">
        <v>1165</v>
      </c>
      <c r="L1058" s="8" t="s">
        <v>24</v>
      </c>
      <c r="M1058" s="9"/>
      <c r="N1058" s="9">
        <v>0.1</v>
      </c>
      <c r="O1058" s="9">
        <v>0.1</v>
      </c>
      <c r="P1058" s="10">
        <v>45206.0</v>
      </c>
      <c r="Q1058" s="11">
        <v>6.5</v>
      </c>
      <c r="R1058" s="8" t="s">
        <v>25</v>
      </c>
      <c r="S1058" s="12">
        <f t="shared" si="1"/>
        <v>-0.1</v>
      </c>
      <c r="T1058" s="12">
        <f t="shared" si="8"/>
        <v>28.12797075</v>
      </c>
      <c r="U1058" s="145"/>
    </row>
    <row r="1059">
      <c r="A1059" s="29"/>
      <c r="B1059" s="29"/>
      <c r="C1059" s="29"/>
      <c r="D1059" s="15" t="s">
        <v>19</v>
      </c>
      <c r="E1059" s="15" t="s">
        <v>3518</v>
      </c>
      <c r="F1059" s="15" t="s">
        <v>1473</v>
      </c>
      <c r="G1059" s="15" t="s">
        <v>2660</v>
      </c>
      <c r="H1059" s="15">
        <f t="shared" si="36"/>
        <v>1</v>
      </c>
      <c r="I1059" s="15" t="s">
        <v>48</v>
      </c>
      <c r="J1059" s="15" t="s">
        <v>22</v>
      </c>
      <c r="K1059" s="15" t="s">
        <v>225</v>
      </c>
      <c r="L1059" s="15" t="s">
        <v>24</v>
      </c>
      <c r="M1059" s="16">
        <v>1.5</v>
      </c>
      <c r="N1059" s="16">
        <v>0.75</v>
      </c>
      <c r="O1059" s="16">
        <v>0.75</v>
      </c>
      <c r="P1059" s="17">
        <v>45206.0</v>
      </c>
      <c r="Q1059" s="18">
        <v>1.26</v>
      </c>
      <c r="R1059" s="15" t="s">
        <v>33</v>
      </c>
      <c r="S1059" s="19">
        <f t="shared" si="1"/>
        <v>0.195</v>
      </c>
      <c r="T1059" s="19">
        <f t="shared" si="8"/>
        <v>28.32297075</v>
      </c>
      <c r="U1059" s="144"/>
    </row>
    <row r="1060">
      <c r="A1060" s="107"/>
      <c r="B1060" s="107"/>
      <c r="C1060" s="107"/>
      <c r="D1060" s="8" t="s">
        <v>19</v>
      </c>
      <c r="E1060" s="8" t="s">
        <v>3519</v>
      </c>
      <c r="F1060" s="8"/>
      <c r="G1060" s="8"/>
      <c r="H1060" s="8"/>
      <c r="I1060" s="8" t="s">
        <v>121</v>
      </c>
      <c r="J1060" s="8" t="s">
        <v>598</v>
      </c>
      <c r="K1060" s="8" t="s">
        <v>2415</v>
      </c>
      <c r="L1060" s="8" t="s">
        <v>1522</v>
      </c>
      <c r="M1060" s="9">
        <v>9.0</v>
      </c>
      <c r="N1060" s="9">
        <v>1.0</v>
      </c>
      <c r="O1060" s="9">
        <v>1.0</v>
      </c>
      <c r="P1060" s="10">
        <v>45206.0</v>
      </c>
      <c r="Q1060" s="11">
        <v>1.875</v>
      </c>
      <c r="R1060" s="8" t="s">
        <v>33</v>
      </c>
      <c r="S1060" s="12">
        <f t="shared" si="1"/>
        <v>0.875</v>
      </c>
      <c r="T1060" s="12">
        <f t="shared" si="8"/>
        <v>29.19797075</v>
      </c>
      <c r="U1060" s="145"/>
    </row>
    <row r="1061">
      <c r="A1061" s="29"/>
      <c r="B1061" s="29"/>
      <c r="C1061" s="29"/>
      <c r="D1061" s="15" t="s">
        <v>19</v>
      </c>
      <c r="E1061" s="15" t="s">
        <v>3520</v>
      </c>
      <c r="F1061" s="15"/>
      <c r="G1061" s="15"/>
      <c r="H1061" s="15"/>
      <c r="I1061" s="15" t="s">
        <v>38</v>
      </c>
      <c r="J1061" s="15" t="s">
        <v>22</v>
      </c>
      <c r="K1061" s="15" t="s">
        <v>440</v>
      </c>
      <c r="L1061" s="15" t="s">
        <v>39</v>
      </c>
      <c r="M1061" s="16">
        <v>2.0</v>
      </c>
      <c r="N1061" s="16">
        <v>0.15</v>
      </c>
      <c r="O1061" s="16">
        <v>0.15</v>
      </c>
      <c r="P1061" s="17">
        <v>45206.0</v>
      </c>
      <c r="Q1061" s="18">
        <v>1.85</v>
      </c>
      <c r="R1061" s="15" t="s">
        <v>25</v>
      </c>
      <c r="S1061" s="19">
        <f t="shared" si="1"/>
        <v>-0.15</v>
      </c>
      <c r="T1061" s="19">
        <f t="shared" si="8"/>
        <v>29.04797075</v>
      </c>
      <c r="U1061" s="144"/>
    </row>
    <row r="1062">
      <c r="A1062" s="107"/>
      <c r="B1062" s="107"/>
      <c r="C1062" s="107"/>
      <c r="D1062" s="8" t="s">
        <v>19</v>
      </c>
      <c r="E1062" s="8" t="s">
        <v>3521</v>
      </c>
      <c r="F1062" s="8" t="s">
        <v>1479</v>
      </c>
      <c r="G1062" s="8" t="s">
        <v>2660</v>
      </c>
      <c r="H1062" s="8">
        <v>-1.0</v>
      </c>
      <c r="I1062" s="8" t="s">
        <v>44</v>
      </c>
      <c r="J1062" s="8" t="s">
        <v>22</v>
      </c>
      <c r="K1062" s="8" t="s">
        <v>892</v>
      </c>
      <c r="L1062" s="8" t="s">
        <v>24</v>
      </c>
      <c r="M1062" s="9">
        <v>0.0</v>
      </c>
      <c r="N1062" s="9">
        <v>1.0</v>
      </c>
      <c r="O1062" s="9">
        <v>1.0</v>
      </c>
      <c r="P1062" s="10">
        <v>45206.0</v>
      </c>
      <c r="Q1062" s="11">
        <v>1.775</v>
      </c>
      <c r="R1062" s="8" t="s">
        <v>33</v>
      </c>
      <c r="S1062" s="12">
        <f t="shared" si="1"/>
        <v>0.775</v>
      </c>
      <c r="T1062" s="12">
        <f t="shared" si="8"/>
        <v>29.82297075</v>
      </c>
      <c r="U1062" s="145"/>
    </row>
    <row r="1063">
      <c r="A1063" s="29"/>
      <c r="B1063" s="29"/>
      <c r="C1063" s="29"/>
      <c r="D1063" s="15" t="s">
        <v>19</v>
      </c>
      <c r="E1063" s="15" t="s">
        <v>3522</v>
      </c>
      <c r="F1063" s="15" t="s">
        <v>1473</v>
      </c>
      <c r="G1063" s="15" t="s">
        <v>2556</v>
      </c>
      <c r="H1063" s="15">
        <v>-1.0</v>
      </c>
      <c r="I1063" s="15" t="s">
        <v>448</v>
      </c>
      <c r="J1063" s="15" t="s">
        <v>22</v>
      </c>
      <c r="K1063" s="15" t="s">
        <v>225</v>
      </c>
      <c r="L1063" s="15" t="s">
        <v>24</v>
      </c>
      <c r="M1063" s="16">
        <v>0.25</v>
      </c>
      <c r="N1063" s="16">
        <v>0.5</v>
      </c>
      <c r="O1063" s="16">
        <v>0.5</v>
      </c>
      <c r="P1063" s="17">
        <v>45206.0</v>
      </c>
      <c r="Q1063" s="18">
        <v>1.7</v>
      </c>
      <c r="R1063" s="15" t="s">
        <v>70</v>
      </c>
      <c r="S1063" s="19">
        <f t="shared" si="1"/>
        <v>0</v>
      </c>
      <c r="T1063" s="19">
        <f t="shared" si="8"/>
        <v>29.82297075</v>
      </c>
      <c r="U1063" s="144"/>
    </row>
    <row r="1064">
      <c r="A1064" s="107"/>
      <c r="B1064" s="107"/>
      <c r="C1064" s="107"/>
      <c r="D1064" s="8" t="s">
        <v>19</v>
      </c>
      <c r="E1064" s="8" t="s">
        <v>3523</v>
      </c>
      <c r="F1064" s="8" t="s">
        <v>1473</v>
      </c>
      <c r="G1064" s="8" t="s">
        <v>2556</v>
      </c>
      <c r="H1064" s="8">
        <v>0.0</v>
      </c>
      <c r="I1064" s="8" t="s">
        <v>50</v>
      </c>
      <c r="J1064" s="8" t="s">
        <v>22</v>
      </c>
      <c r="K1064" s="8" t="s">
        <v>225</v>
      </c>
      <c r="L1064" s="8" t="s">
        <v>24</v>
      </c>
      <c r="M1064" s="9">
        <v>0.5</v>
      </c>
      <c r="N1064" s="9">
        <v>0.5</v>
      </c>
      <c r="O1064" s="9">
        <v>0.5</v>
      </c>
      <c r="P1064" s="10">
        <v>45206.0</v>
      </c>
      <c r="Q1064" s="11">
        <v>1.489</v>
      </c>
      <c r="R1064" s="8" t="s">
        <v>33</v>
      </c>
      <c r="S1064" s="12">
        <f t="shared" si="1"/>
        <v>0.2445</v>
      </c>
      <c r="T1064" s="12">
        <f t="shared" si="8"/>
        <v>30.06747075</v>
      </c>
      <c r="U1064" s="145"/>
    </row>
    <row r="1065">
      <c r="A1065" s="29"/>
      <c r="B1065" s="29"/>
      <c r="C1065" s="29"/>
      <c r="D1065" s="15" t="s">
        <v>19</v>
      </c>
      <c r="E1065" s="15" t="s">
        <v>3524</v>
      </c>
      <c r="F1065" s="15" t="s">
        <v>1473</v>
      </c>
      <c r="G1065" s="15" t="s">
        <v>2556</v>
      </c>
      <c r="H1065" s="15">
        <v>0.0</v>
      </c>
      <c r="I1065" s="15" t="s">
        <v>50</v>
      </c>
      <c r="J1065" s="15" t="s">
        <v>22</v>
      </c>
      <c r="K1065" s="15" t="s">
        <v>1165</v>
      </c>
      <c r="L1065" s="15" t="s">
        <v>24</v>
      </c>
      <c r="M1065" s="16"/>
      <c r="N1065" s="16">
        <v>0.1</v>
      </c>
      <c r="O1065" s="16">
        <v>0.1</v>
      </c>
      <c r="P1065" s="17">
        <v>45206.0</v>
      </c>
      <c r="Q1065" s="18">
        <v>3.0</v>
      </c>
      <c r="R1065" s="15" t="s">
        <v>25</v>
      </c>
      <c r="S1065" s="19">
        <f t="shared" si="1"/>
        <v>-0.1</v>
      </c>
      <c r="T1065" s="19">
        <f t="shared" si="8"/>
        <v>29.96747075</v>
      </c>
      <c r="U1065" s="144"/>
    </row>
    <row r="1066">
      <c r="A1066" s="107"/>
      <c r="B1066" s="107"/>
      <c r="C1066" s="107"/>
      <c r="D1066" s="8" t="s">
        <v>19</v>
      </c>
      <c r="E1066" s="8" t="s">
        <v>3525</v>
      </c>
      <c r="F1066" s="8" t="s">
        <v>1473</v>
      </c>
      <c r="G1066" s="8" t="s">
        <v>2556</v>
      </c>
      <c r="H1066" s="8">
        <v>0.0</v>
      </c>
      <c r="I1066" s="8" t="s">
        <v>659</v>
      </c>
      <c r="J1066" s="8" t="s">
        <v>22</v>
      </c>
      <c r="K1066" s="8" t="s">
        <v>225</v>
      </c>
      <c r="L1066" s="8" t="s">
        <v>24</v>
      </c>
      <c r="M1066" s="9">
        <v>1.5</v>
      </c>
      <c r="N1066" s="9">
        <v>0.5</v>
      </c>
      <c r="O1066" s="9">
        <v>0.5</v>
      </c>
      <c r="P1066" s="54">
        <v>45206.0</v>
      </c>
      <c r="Q1066" s="11">
        <v>1.5557</v>
      </c>
      <c r="R1066" s="8" t="s">
        <v>33</v>
      </c>
      <c r="S1066" s="12">
        <f t="shared" si="1"/>
        <v>0.27785</v>
      </c>
      <c r="T1066" s="12">
        <f t="shared" si="8"/>
        <v>30.24532075</v>
      </c>
      <c r="U1066" s="145"/>
    </row>
    <row r="1067">
      <c r="A1067" s="29"/>
      <c r="B1067" s="29"/>
      <c r="C1067" s="29"/>
      <c r="D1067" s="15" t="s">
        <v>19</v>
      </c>
      <c r="E1067" s="15" t="s">
        <v>3526</v>
      </c>
      <c r="F1067" s="15"/>
      <c r="G1067" s="15"/>
      <c r="H1067" s="15"/>
      <c r="I1067" s="15" t="s">
        <v>82</v>
      </c>
      <c r="J1067" s="15" t="s">
        <v>598</v>
      </c>
      <c r="K1067" s="15" t="s">
        <v>2415</v>
      </c>
      <c r="L1067" s="15" t="s">
        <v>39</v>
      </c>
      <c r="M1067" s="16">
        <v>10.0</v>
      </c>
      <c r="N1067" s="16">
        <v>0.5</v>
      </c>
      <c r="O1067" s="16">
        <v>0.5</v>
      </c>
      <c r="P1067" s="55">
        <v>45206.0</v>
      </c>
      <c r="Q1067" s="18">
        <v>1.8</v>
      </c>
      <c r="R1067" s="15" t="s">
        <v>33</v>
      </c>
      <c r="S1067" s="19">
        <f t="shared" si="1"/>
        <v>0.4</v>
      </c>
      <c r="T1067" s="19">
        <f t="shared" si="8"/>
        <v>30.64532075</v>
      </c>
      <c r="U1067" s="144"/>
    </row>
    <row r="1068">
      <c r="A1068" s="107"/>
      <c r="B1068" s="107"/>
      <c r="C1068" s="107"/>
      <c r="D1068" s="8" t="s">
        <v>19</v>
      </c>
      <c r="E1068" s="8" t="s">
        <v>3527</v>
      </c>
      <c r="F1068" s="8"/>
      <c r="G1068" s="8"/>
      <c r="H1068" s="8"/>
      <c r="I1068" s="8" t="s">
        <v>768</v>
      </c>
      <c r="J1068" s="8" t="s">
        <v>598</v>
      </c>
      <c r="K1068" s="8" t="s">
        <v>440</v>
      </c>
      <c r="L1068" s="8" t="s">
        <v>39</v>
      </c>
      <c r="M1068" s="8">
        <v>4.5</v>
      </c>
      <c r="N1068" s="9">
        <v>0.25</v>
      </c>
      <c r="O1068" s="9">
        <v>0.25</v>
      </c>
      <c r="P1068" s="54">
        <v>45207.0</v>
      </c>
      <c r="Q1068" s="11">
        <v>1.71</v>
      </c>
      <c r="R1068" s="8" t="s">
        <v>33</v>
      </c>
      <c r="S1068" s="12">
        <f t="shared" si="1"/>
        <v>0.1775</v>
      </c>
      <c r="T1068" s="12">
        <f t="shared" si="8"/>
        <v>30.82282075</v>
      </c>
      <c r="U1068" s="145"/>
    </row>
    <row r="1069">
      <c r="A1069" s="29"/>
      <c r="B1069" s="29"/>
      <c r="C1069" s="29"/>
      <c r="D1069" s="15" t="s">
        <v>19</v>
      </c>
      <c r="E1069" s="15" t="s">
        <v>3528</v>
      </c>
      <c r="F1069" s="15"/>
      <c r="G1069" s="15"/>
      <c r="H1069" s="15"/>
      <c r="I1069" s="15" t="s">
        <v>768</v>
      </c>
      <c r="J1069" s="15" t="s">
        <v>598</v>
      </c>
      <c r="K1069" s="15" t="s">
        <v>440</v>
      </c>
      <c r="L1069" s="15" t="s">
        <v>39</v>
      </c>
      <c r="M1069" s="16">
        <v>50.5</v>
      </c>
      <c r="N1069" s="16">
        <v>0.25</v>
      </c>
      <c r="O1069" s="16">
        <v>0.25</v>
      </c>
      <c r="P1069" s="17">
        <v>45207.0</v>
      </c>
      <c r="Q1069" s="18">
        <v>1.83</v>
      </c>
      <c r="R1069" s="15" t="s">
        <v>33</v>
      </c>
      <c r="S1069" s="19">
        <f t="shared" si="1"/>
        <v>0.2075</v>
      </c>
      <c r="T1069" s="19">
        <f t="shared" si="8"/>
        <v>31.03032075</v>
      </c>
      <c r="U1069" s="144"/>
    </row>
    <row r="1070">
      <c r="A1070" s="107"/>
      <c r="B1070" s="107"/>
      <c r="C1070" s="107"/>
      <c r="D1070" s="8" t="s">
        <v>19</v>
      </c>
      <c r="E1070" s="8" t="s">
        <v>3529</v>
      </c>
      <c r="F1070" s="8"/>
      <c r="G1070" s="8"/>
      <c r="H1070" s="8"/>
      <c r="I1070" s="8" t="s">
        <v>82</v>
      </c>
      <c r="J1070" s="8" t="s">
        <v>22</v>
      </c>
      <c r="K1070" s="8" t="s">
        <v>29</v>
      </c>
      <c r="L1070" s="8" t="s">
        <v>39</v>
      </c>
      <c r="M1070" s="9">
        <v>-2.5</v>
      </c>
      <c r="N1070" s="9">
        <v>0.5</v>
      </c>
      <c r="O1070" s="9">
        <v>0.5</v>
      </c>
      <c r="P1070" s="10">
        <v>45206.0</v>
      </c>
      <c r="Q1070" s="11">
        <v>1.85</v>
      </c>
      <c r="R1070" s="8" t="s">
        <v>25</v>
      </c>
      <c r="S1070" s="12">
        <f t="shared" si="1"/>
        <v>-0.5</v>
      </c>
      <c r="T1070" s="12">
        <f t="shared" si="8"/>
        <v>30.53032075</v>
      </c>
      <c r="U1070" s="145"/>
    </row>
    <row r="1071">
      <c r="A1071" s="29"/>
      <c r="B1071" s="29"/>
      <c r="C1071" s="29"/>
      <c r="D1071" s="15" t="s">
        <v>19</v>
      </c>
      <c r="E1071" s="15" t="s">
        <v>3530</v>
      </c>
      <c r="F1071" s="15" t="s">
        <v>1473</v>
      </c>
      <c r="G1071" s="15"/>
      <c r="H1071" s="15">
        <v>0.0</v>
      </c>
      <c r="I1071" s="15" t="s">
        <v>121</v>
      </c>
      <c r="J1071" s="15" t="s">
        <v>22</v>
      </c>
      <c r="K1071" s="15" t="s">
        <v>23</v>
      </c>
      <c r="L1071" s="15" t="s">
        <v>1522</v>
      </c>
      <c r="M1071" s="16">
        <v>-0.5</v>
      </c>
      <c r="N1071" s="16">
        <v>0.5</v>
      </c>
      <c r="O1071" s="16">
        <f>0.5*16/21</f>
        <v>0.380952381</v>
      </c>
      <c r="P1071" s="17">
        <v>45206.0</v>
      </c>
      <c r="Q1071" s="18">
        <v>1.9</v>
      </c>
      <c r="R1071" s="15" t="s">
        <v>25</v>
      </c>
      <c r="S1071" s="19">
        <f t="shared" si="1"/>
        <v>-0.380952381</v>
      </c>
      <c r="T1071" s="19">
        <f t="shared" si="8"/>
        <v>30.14936837</v>
      </c>
      <c r="U1071" s="144"/>
    </row>
    <row r="1072">
      <c r="A1072" s="107"/>
      <c r="B1072" s="107"/>
      <c r="C1072" s="107"/>
      <c r="D1072" s="8" t="s">
        <v>40</v>
      </c>
      <c r="E1072" s="8" t="s">
        <v>3531</v>
      </c>
      <c r="F1072" s="8" t="s">
        <v>1479</v>
      </c>
      <c r="G1072" s="8" t="s">
        <v>2556</v>
      </c>
      <c r="H1072" s="8">
        <v>0.0</v>
      </c>
      <c r="I1072" s="8" t="s">
        <v>60</v>
      </c>
      <c r="J1072" s="8" t="s">
        <v>22</v>
      </c>
      <c r="K1072" s="8" t="s">
        <v>225</v>
      </c>
      <c r="L1072" s="8" t="s">
        <v>24</v>
      </c>
      <c r="M1072" s="9">
        <v>0.5</v>
      </c>
      <c r="N1072" s="9">
        <v>1.0</v>
      </c>
      <c r="O1072" s="9">
        <v>1.0</v>
      </c>
      <c r="P1072" s="10">
        <v>45206.0</v>
      </c>
      <c r="Q1072" s="11">
        <v>2.0</v>
      </c>
      <c r="R1072" s="8" t="s">
        <v>30</v>
      </c>
      <c r="S1072" s="12">
        <f t="shared" si="1"/>
        <v>0.5</v>
      </c>
      <c r="T1072" s="12">
        <f t="shared" si="8"/>
        <v>30.64936837</v>
      </c>
      <c r="U1072" s="145"/>
    </row>
    <row r="1073">
      <c r="A1073" s="29"/>
      <c r="B1073" s="29"/>
      <c r="C1073" s="29"/>
      <c r="D1073" s="15" t="s">
        <v>19</v>
      </c>
      <c r="E1073" s="15" t="s">
        <v>3532</v>
      </c>
      <c r="F1073" s="15"/>
      <c r="G1073" s="15"/>
      <c r="H1073" s="15"/>
      <c r="I1073" s="15" t="s">
        <v>82</v>
      </c>
      <c r="J1073" s="15" t="s">
        <v>598</v>
      </c>
      <c r="K1073" s="15" t="s">
        <v>2415</v>
      </c>
      <c r="L1073" s="15" t="s">
        <v>39</v>
      </c>
      <c r="M1073" s="16">
        <v>10.5</v>
      </c>
      <c r="N1073" s="16">
        <v>0.5</v>
      </c>
      <c r="O1073" s="16">
        <v>0.5</v>
      </c>
      <c r="P1073" s="17">
        <v>45207.0</v>
      </c>
      <c r="Q1073" s="18">
        <v>1.825</v>
      </c>
      <c r="R1073" s="15" t="s">
        <v>33</v>
      </c>
      <c r="S1073" s="19">
        <f t="shared" si="1"/>
        <v>0.4125</v>
      </c>
      <c r="T1073" s="19">
        <f t="shared" si="8"/>
        <v>31.06186837</v>
      </c>
      <c r="U1073" s="144"/>
    </row>
    <row r="1074">
      <c r="A1074" s="107"/>
      <c r="B1074" s="107"/>
      <c r="C1074" s="107"/>
      <c r="D1074" s="8" t="s">
        <v>40</v>
      </c>
      <c r="E1074" s="8" t="s">
        <v>3533</v>
      </c>
      <c r="F1074" s="8" t="s">
        <v>1479</v>
      </c>
      <c r="G1074" s="8"/>
      <c r="H1074" s="8">
        <v>2</v>
      </c>
      <c r="I1074" s="8" t="s">
        <v>38</v>
      </c>
      <c r="J1074" s="8" t="s">
        <v>22</v>
      </c>
      <c r="K1074" s="8" t="s">
        <v>3031</v>
      </c>
      <c r="L1074" s="8" t="s">
        <v>1522</v>
      </c>
      <c r="M1074" s="9">
        <v>0.0</v>
      </c>
      <c r="N1074" s="9">
        <v>0.25</v>
      </c>
      <c r="O1074" s="9">
        <v>0.25</v>
      </c>
      <c r="P1074" s="10">
        <v>45207.0</v>
      </c>
      <c r="Q1074" s="11">
        <v>1.85</v>
      </c>
      <c r="R1074" s="8" t="s">
        <v>33</v>
      </c>
      <c r="S1074" s="12">
        <f t="shared" si="1"/>
        <v>0.2125</v>
      </c>
      <c r="T1074" s="12">
        <f t="shared" si="8"/>
        <v>31.27436837</v>
      </c>
      <c r="U1074" s="145"/>
    </row>
    <row r="1075">
      <c r="A1075" s="29"/>
      <c r="B1075" s="29"/>
      <c r="C1075" s="29"/>
      <c r="D1075" s="15" t="s">
        <v>40</v>
      </c>
      <c r="E1075" s="15" t="s">
        <v>3534</v>
      </c>
      <c r="F1075" s="15" t="s">
        <v>1473</v>
      </c>
      <c r="G1075" s="15" t="s">
        <v>2556</v>
      </c>
      <c r="H1075" s="15">
        <v>2</v>
      </c>
      <c r="I1075" s="15" t="s">
        <v>93</v>
      </c>
      <c r="J1075" s="15" t="s">
        <v>22</v>
      </c>
      <c r="K1075" s="15" t="s">
        <v>225</v>
      </c>
      <c r="L1075" s="15" t="s">
        <v>24</v>
      </c>
      <c r="M1075" s="16">
        <v>0.25</v>
      </c>
      <c r="N1075" s="16">
        <v>0.5</v>
      </c>
      <c r="O1075" s="16">
        <v>0.5</v>
      </c>
      <c r="P1075" s="17">
        <v>45207.0</v>
      </c>
      <c r="Q1075" s="18">
        <v>1.7</v>
      </c>
      <c r="R1075" s="15" t="s">
        <v>25</v>
      </c>
      <c r="S1075" s="19">
        <f t="shared" si="1"/>
        <v>-0.5</v>
      </c>
      <c r="T1075" s="19">
        <f t="shared" si="8"/>
        <v>30.77436837</v>
      </c>
      <c r="U1075" s="144"/>
    </row>
    <row r="1076">
      <c r="A1076" s="107"/>
      <c r="B1076" s="107"/>
      <c r="C1076" s="107"/>
      <c r="D1076" s="8" t="s">
        <v>19</v>
      </c>
      <c r="E1076" s="8" t="s">
        <v>3535</v>
      </c>
      <c r="F1076" s="8" t="s">
        <v>1473</v>
      </c>
      <c r="G1076" s="8"/>
      <c r="H1076" s="8"/>
      <c r="I1076" s="8" t="s">
        <v>121</v>
      </c>
      <c r="J1076" s="8" t="s">
        <v>22</v>
      </c>
      <c r="K1076" s="8" t="s">
        <v>1847</v>
      </c>
      <c r="L1076" s="8" t="s">
        <v>1851</v>
      </c>
      <c r="M1076" s="9">
        <v>-0.5</v>
      </c>
      <c r="N1076" s="9">
        <v>0.1</v>
      </c>
      <c r="O1076" s="9">
        <v>0.1</v>
      </c>
      <c r="P1076" s="10">
        <v>45207.0</v>
      </c>
      <c r="Q1076" s="11">
        <v>1.725</v>
      </c>
      <c r="R1076" s="8" t="s">
        <v>33</v>
      </c>
      <c r="S1076" s="12">
        <f t="shared" si="1"/>
        <v>0.0725</v>
      </c>
      <c r="T1076" s="12">
        <f t="shared" si="8"/>
        <v>30.84686837</v>
      </c>
      <c r="U1076" s="145"/>
    </row>
    <row r="1077">
      <c r="A1077" s="29"/>
      <c r="B1077" s="29"/>
      <c r="C1077" s="29"/>
      <c r="D1077" s="15" t="s">
        <v>40</v>
      </c>
      <c r="E1077" s="15" t="s">
        <v>3536</v>
      </c>
      <c r="F1077" s="15" t="s">
        <v>1479</v>
      </c>
      <c r="G1077" s="15"/>
      <c r="H1077" s="15"/>
      <c r="I1077" s="15" t="s">
        <v>101</v>
      </c>
      <c r="J1077" s="15" t="s">
        <v>22</v>
      </c>
      <c r="K1077" s="15" t="s">
        <v>1847</v>
      </c>
      <c r="L1077" s="15" t="s">
        <v>1851</v>
      </c>
      <c r="M1077" s="16">
        <v>-0.5</v>
      </c>
      <c r="N1077" s="16">
        <v>0.5</v>
      </c>
      <c r="O1077" s="16">
        <f>0.5*4/22</f>
        <v>0.09090909091</v>
      </c>
      <c r="P1077" s="17">
        <v>45207.0</v>
      </c>
      <c r="Q1077" s="18">
        <v>1.725</v>
      </c>
      <c r="R1077" s="15" t="s">
        <v>25</v>
      </c>
      <c r="S1077" s="19">
        <f t="shared" si="1"/>
        <v>-0.09090909091</v>
      </c>
      <c r="T1077" s="19">
        <f t="shared" si="8"/>
        <v>30.75595928</v>
      </c>
      <c r="U1077" s="144"/>
    </row>
    <row r="1078">
      <c r="A1078" s="107"/>
      <c r="B1078" s="107"/>
      <c r="C1078" s="107"/>
      <c r="D1078" s="8" t="s">
        <v>19</v>
      </c>
      <c r="E1078" s="8" t="s">
        <v>3537</v>
      </c>
      <c r="F1078" s="8" t="s">
        <v>1473</v>
      </c>
      <c r="G1078" s="8" t="s">
        <v>2556</v>
      </c>
      <c r="H1078" s="8">
        <v>-1.0</v>
      </c>
      <c r="I1078" s="8" t="s">
        <v>369</v>
      </c>
      <c r="J1078" s="8" t="s">
        <v>22</v>
      </c>
      <c r="K1078" s="8" t="s">
        <v>225</v>
      </c>
      <c r="L1078" s="8" t="s">
        <v>24</v>
      </c>
      <c r="M1078" s="9">
        <v>0.25</v>
      </c>
      <c r="N1078" s="9">
        <v>0.75</v>
      </c>
      <c r="O1078" s="9">
        <v>0.75</v>
      </c>
      <c r="P1078" s="10">
        <v>45207.0</v>
      </c>
      <c r="Q1078" s="11">
        <v>1.925</v>
      </c>
      <c r="R1078" s="8" t="s">
        <v>30</v>
      </c>
      <c r="S1078" s="12">
        <f t="shared" si="1"/>
        <v>0.346875</v>
      </c>
      <c r="T1078" s="12">
        <f t="shared" si="8"/>
        <v>31.10283428</v>
      </c>
      <c r="U1078" s="145"/>
    </row>
    <row r="1079">
      <c r="A1079" s="29"/>
      <c r="B1079" s="29"/>
      <c r="C1079" s="29"/>
      <c r="D1079" s="15" t="s">
        <v>19</v>
      </c>
      <c r="E1079" s="15" t="s">
        <v>3538</v>
      </c>
      <c r="F1079" s="15" t="s">
        <v>1473</v>
      </c>
      <c r="G1079" s="15" t="s">
        <v>2556</v>
      </c>
      <c r="H1079" s="15">
        <v>-1.0</v>
      </c>
      <c r="I1079" s="15" t="s">
        <v>369</v>
      </c>
      <c r="J1079" s="15" t="s">
        <v>22</v>
      </c>
      <c r="K1079" s="15" t="s">
        <v>1165</v>
      </c>
      <c r="L1079" s="15" t="s">
        <v>24</v>
      </c>
      <c r="M1079" s="16"/>
      <c r="N1079" s="16">
        <v>0.1</v>
      </c>
      <c r="O1079" s="16">
        <v>0.1</v>
      </c>
      <c r="P1079" s="17">
        <v>45207.0</v>
      </c>
      <c r="Q1079" s="18">
        <v>5.5</v>
      </c>
      <c r="R1079" s="15" t="s">
        <v>25</v>
      </c>
      <c r="S1079" s="19">
        <f t="shared" si="1"/>
        <v>-0.1</v>
      </c>
      <c r="T1079" s="19">
        <f t="shared" si="8"/>
        <v>31.00283428</v>
      </c>
      <c r="U1079" s="144"/>
    </row>
    <row r="1080">
      <c r="A1080" s="107"/>
      <c r="B1080" s="107"/>
      <c r="C1080" s="107"/>
      <c r="D1080" s="8" t="s">
        <v>40</v>
      </c>
      <c r="E1080" s="8" t="s">
        <v>3539</v>
      </c>
      <c r="F1080" s="8" t="s">
        <v>1473</v>
      </c>
      <c r="G1080" s="8" t="s">
        <v>2556</v>
      </c>
      <c r="H1080" s="8">
        <v>-1.0</v>
      </c>
      <c r="I1080" s="8" t="s">
        <v>106</v>
      </c>
      <c r="J1080" s="8" t="s">
        <v>22</v>
      </c>
      <c r="K1080" s="8" t="s">
        <v>225</v>
      </c>
      <c r="L1080" s="8" t="s">
        <v>24</v>
      </c>
      <c r="M1080" s="9">
        <v>0.5</v>
      </c>
      <c r="N1080" s="9">
        <v>0.5</v>
      </c>
      <c r="O1080" s="9">
        <v>0.5</v>
      </c>
      <c r="P1080" s="10">
        <v>45207.0</v>
      </c>
      <c r="Q1080" s="11">
        <v>1.597</v>
      </c>
      <c r="R1080" s="8" t="s">
        <v>33</v>
      </c>
      <c r="S1080" s="12">
        <f t="shared" si="1"/>
        <v>0.2985</v>
      </c>
      <c r="T1080" s="12">
        <f t="shared" si="8"/>
        <v>31.30133428</v>
      </c>
      <c r="U1080" s="145"/>
    </row>
    <row r="1081">
      <c r="A1081" s="29"/>
      <c r="B1081" s="29"/>
      <c r="C1081" s="29"/>
      <c r="D1081" s="15" t="s">
        <v>19</v>
      </c>
      <c r="E1081" s="15" t="s">
        <v>3540</v>
      </c>
      <c r="F1081" s="15" t="s">
        <v>1479</v>
      </c>
      <c r="G1081" s="15" t="s">
        <v>2660</v>
      </c>
      <c r="H1081" s="15">
        <f>1</f>
        <v>1</v>
      </c>
      <c r="I1081" s="15" t="s">
        <v>1006</v>
      </c>
      <c r="J1081" s="15" t="s">
        <v>22</v>
      </c>
      <c r="K1081" s="15" t="s">
        <v>892</v>
      </c>
      <c r="L1081" s="15" t="s">
        <v>24</v>
      </c>
      <c r="M1081" s="16">
        <v>0.0</v>
      </c>
      <c r="N1081" s="16">
        <v>0.75</v>
      </c>
      <c r="O1081" s="16">
        <v>0.75</v>
      </c>
      <c r="P1081" s="17">
        <v>45207.0</v>
      </c>
      <c r="Q1081" s="18">
        <v>1.825</v>
      </c>
      <c r="R1081" s="15" t="s">
        <v>33</v>
      </c>
      <c r="S1081" s="19">
        <f t="shared" si="1"/>
        <v>0.61875</v>
      </c>
      <c r="T1081" s="19">
        <f t="shared" si="8"/>
        <v>31.92008428</v>
      </c>
      <c r="U1081" s="144"/>
    </row>
    <row r="1082">
      <c r="A1082" s="107"/>
      <c r="B1082" s="107"/>
      <c r="C1082" s="107"/>
      <c r="D1082" s="8" t="s">
        <v>19</v>
      </c>
      <c r="E1082" s="8" t="s">
        <v>3541</v>
      </c>
      <c r="F1082" s="8" t="s">
        <v>1473</v>
      </c>
      <c r="G1082" s="8" t="s">
        <v>2556</v>
      </c>
      <c r="H1082" s="8">
        <v>-2.0</v>
      </c>
      <c r="I1082" s="8" t="s">
        <v>115</v>
      </c>
      <c r="J1082" s="8" t="s">
        <v>22</v>
      </c>
      <c r="K1082" s="8" t="s">
        <v>225</v>
      </c>
      <c r="L1082" s="8" t="s">
        <v>24</v>
      </c>
      <c r="M1082" s="9">
        <v>0.25</v>
      </c>
      <c r="N1082" s="9">
        <v>0.75</v>
      </c>
      <c r="O1082" s="9">
        <v>0.75</v>
      </c>
      <c r="P1082" s="54">
        <v>45207.0</v>
      </c>
      <c r="Q1082" s="11">
        <v>1.75</v>
      </c>
      <c r="R1082" s="8" t="s">
        <v>30</v>
      </c>
      <c r="S1082" s="12">
        <f t="shared" si="1"/>
        <v>0.28125</v>
      </c>
      <c r="T1082" s="12">
        <f t="shared" si="8"/>
        <v>32.20133428</v>
      </c>
      <c r="U1082" s="145"/>
    </row>
    <row r="1083">
      <c r="A1083" s="29"/>
      <c r="B1083" s="29"/>
      <c r="C1083" s="29"/>
      <c r="D1083" s="15" t="s">
        <v>19</v>
      </c>
      <c r="E1083" s="15" t="s">
        <v>3542</v>
      </c>
      <c r="F1083" s="15" t="s">
        <v>1473</v>
      </c>
      <c r="G1083" s="15" t="s">
        <v>2556</v>
      </c>
      <c r="H1083" s="15">
        <v>0.0</v>
      </c>
      <c r="I1083" s="15" t="s">
        <v>1031</v>
      </c>
      <c r="J1083" s="15" t="s">
        <v>22</v>
      </c>
      <c r="K1083" s="15" t="s">
        <v>225</v>
      </c>
      <c r="L1083" s="15" t="s">
        <v>24</v>
      </c>
      <c r="M1083" s="16">
        <v>0.25</v>
      </c>
      <c r="N1083" s="16">
        <v>0.75</v>
      </c>
      <c r="O1083" s="16">
        <v>0.75</v>
      </c>
      <c r="P1083" s="17">
        <v>45207.0</v>
      </c>
      <c r="Q1083" s="18">
        <v>1.8</v>
      </c>
      <c r="R1083" s="15" t="s">
        <v>33</v>
      </c>
      <c r="S1083" s="19">
        <f t="shared" si="1"/>
        <v>0.6</v>
      </c>
      <c r="T1083" s="19">
        <f t="shared" si="8"/>
        <v>32.80133428</v>
      </c>
      <c r="U1083" s="144"/>
    </row>
    <row r="1084">
      <c r="A1084" s="107"/>
      <c r="B1084" s="107"/>
      <c r="C1084" s="107"/>
      <c r="D1084" s="8" t="s">
        <v>19</v>
      </c>
      <c r="E1084" s="8" t="s">
        <v>3543</v>
      </c>
      <c r="F1084" s="8"/>
      <c r="G1084" s="8"/>
      <c r="H1084" s="8"/>
      <c r="I1084" s="8" t="s">
        <v>38</v>
      </c>
      <c r="J1084" s="8" t="s">
        <v>22</v>
      </c>
      <c r="K1084" s="8" t="s">
        <v>440</v>
      </c>
      <c r="L1084" s="8" t="s">
        <v>39</v>
      </c>
      <c r="M1084" s="9">
        <v>4.25</v>
      </c>
      <c r="N1084" s="9">
        <v>0.1</v>
      </c>
      <c r="O1084" s="9">
        <v>0.1</v>
      </c>
      <c r="P1084" s="10">
        <v>45207.0</v>
      </c>
      <c r="Q1084" s="11">
        <v>1.84</v>
      </c>
      <c r="R1084" s="8" t="s">
        <v>79</v>
      </c>
      <c r="S1084" s="12">
        <f t="shared" si="1"/>
        <v>-0.05</v>
      </c>
      <c r="T1084" s="12">
        <f t="shared" si="8"/>
        <v>32.75133428</v>
      </c>
      <c r="U1084" s="145"/>
    </row>
    <row r="1085">
      <c r="A1085" s="29"/>
      <c r="B1085" s="29"/>
      <c r="C1085" s="29"/>
      <c r="D1085" s="15" t="s">
        <v>19</v>
      </c>
      <c r="E1085" s="15" t="s">
        <v>3544</v>
      </c>
      <c r="F1085" s="15" t="s">
        <v>1479</v>
      </c>
      <c r="G1085" s="15"/>
      <c r="H1085" s="15">
        <v>0.0</v>
      </c>
      <c r="I1085" s="15" t="s">
        <v>316</v>
      </c>
      <c r="J1085" s="15" t="s">
        <v>22</v>
      </c>
      <c r="K1085" s="15" t="s">
        <v>941</v>
      </c>
      <c r="L1085" s="15" t="s">
        <v>1522</v>
      </c>
      <c r="M1085" s="16">
        <v>0.0</v>
      </c>
      <c r="N1085" s="16">
        <v>1.0</v>
      </c>
      <c r="O1085" s="16">
        <v>0.931</v>
      </c>
      <c r="P1085" s="17">
        <v>45207.0</v>
      </c>
      <c r="Q1085" s="18">
        <v>1.45</v>
      </c>
      <c r="R1085" s="15" t="s">
        <v>33</v>
      </c>
      <c r="S1085" s="19">
        <f t="shared" si="1"/>
        <v>0.41895</v>
      </c>
      <c r="T1085" s="19">
        <f t="shared" si="8"/>
        <v>33.17028428</v>
      </c>
      <c r="U1085" s="144"/>
    </row>
    <row r="1086">
      <c r="A1086" s="107"/>
      <c r="B1086" s="107"/>
      <c r="C1086" s="107"/>
      <c r="D1086" s="8" t="s">
        <v>19</v>
      </c>
      <c r="E1086" s="8" t="s">
        <v>3545</v>
      </c>
      <c r="F1086" s="8" t="s">
        <v>1479</v>
      </c>
      <c r="G1086" s="8" t="s">
        <v>2660</v>
      </c>
      <c r="H1086" s="8">
        <v>-1.0</v>
      </c>
      <c r="I1086" s="8" t="s">
        <v>99</v>
      </c>
      <c r="J1086" s="8" t="s">
        <v>22</v>
      </c>
      <c r="K1086" s="8" t="s">
        <v>892</v>
      </c>
      <c r="L1086" s="8" t="s">
        <v>24</v>
      </c>
      <c r="M1086" s="9">
        <v>0.0</v>
      </c>
      <c r="N1086" s="9">
        <v>0.25</v>
      </c>
      <c r="O1086" s="9">
        <v>0.25</v>
      </c>
      <c r="P1086" s="10">
        <v>45207.0</v>
      </c>
      <c r="Q1086" s="11">
        <v>1.7</v>
      </c>
      <c r="R1086" s="8" t="s">
        <v>70</v>
      </c>
      <c r="S1086" s="12">
        <f t="shared" si="1"/>
        <v>0</v>
      </c>
      <c r="T1086" s="12">
        <f t="shared" si="8"/>
        <v>33.17028428</v>
      </c>
      <c r="U1086" s="145"/>
    </row>
    <row r="1087">
      <c r="A1087" s="29"/>
      <c r="B1087" s="29"/>
      <c r="C1087" s="29"/>
      <c r="D1087" s="15" t="s">
        <v>19</v>
      </c>
      <c r="E1087" s="15" t="s">
        <v>3546</v>
      </c>
      <c r="F1087" s="15" t="s">
        <v>1479</v>
      </c>
      <c r="G1087" s="15"/>
      <c r="H1087" s="15">
        <v>0.0</v>
      </c>
      <c r="I1087" s="15" t="s">
        <v>38</v>
      </c>
      <c r="J1087" s="15" t="s">
        <v>22</v>
      </c>
      <c r="K1087" s="15" t="s">
        <v>440</v>
      </c>
      <c r="L1087" s="15" t="s">
        <v>39</v>
      </c>
      <c r="M1087" s="16">
        <v>2.5</v>
      </c>
      <c r="N1087" s="16">
        <v>0.25</v>
      </c>
      <c r="O1087" s="16">
        <v>0.25</v>
      </c>
      <c r="P1087" s="17">
        <v>45207.0</v>
      </c>
      <c r="Q1087" s="18">
        <v>2.0</v>
      </c>
      <c r="R1087" s="15" t="s">
        <v>25</v>
      </c>
      <c r="S1087" s="19">
        <f t="shared" si="1"/>
        <v>-0.25</v>
      </c>
      <c r="T1087" s="19">
        <f t="shared" si="8"/>
        <v>32.92028428</v>
      </c>
      <c r="U1087" s="144"/>
    </row>
    <row r="1088">
      <c r="A1088" s="107"/>
      <c r="B1088" s="107"/>
      <c r="C1088" s="107"/>
      <c r="D1088" s="8" t="s">
        <v>19</v>
      </c>
      <c r="E1088" s="8" t="s">
        <v>3547</v>
      </c>
      <c r="F1088" s="8" t="s">
        <v>1473</v>
      </c>
      <c r="G1088" s="8" t="s">
        <v>2660</v>
      </c>
      <c r="H1088" s="8">
        <v>2</v>
      </c>
      <c r="I1088" s="8" t="s">
        <v>96</v>
      </c>
      <c r="J1088" s="8" t="s">
        <v>22</v>
      </c>
      <c r="K1088" s="8" t="s">
        <v>892</v>
      </c>
      <c r="L1088" s="8" t="s">
        <v>24</v>
      </c>
      <c r="M1088" s="9">
        <v>0.0</v>
      </c>
      <c r="N1088" s="9">
        <v>0.5</v>
      </c>
      <c r="O1088" s="9">
        <v>0.5</v>
      </c>
      <c r="P1088" s="10">
        <v>45209.0</v>
      </c>
      <c r="Q1088" s="11">
        <v>2.25</v>
      </c>
      <c r="R1088" s="8" t="s">
        <v>70</v>
      </c>
      <c r="S1088" s="12">
        <f t="shared" si="1"/>
        <v>0</v>
      </c>
      <c r="T1088" s="12">
        <f t="shared" si="8"/>
        <v>32.92028428</v>
      </c>
      <c r="U1088" s="145"/>
    </row>
    <row r="1089">
      <c r="A1089" s="29"/>
      <c r="B1089" s="29"/>
      <c r="C1089" s="29"/>
      <c r="D1089" s="15" t="s">
        <v>19</v>
      </c>
      <c r="E1089" s="15" t="s">
        <v>3548</v>
      </c>
      <c r="F1089" s="15" t="s">
        <v>1473</v>
      </c>
      <c r="G1089" s="15" t="s">
        <v>2660</v>
      </c>
      <c r="H1089" s="15">
        <v>0.0</v>
      </c>
      <c r="I1089" s="15" t="s">
        <v>74</v>
      </c>
      <c r="J1089" s="15" t="s">
        <v>22</v>
      </c>
      <c r="K1089" s="15" t="s">
        <v>1150</v>
      </c>
      <c r="L1089" s="15" t="s">
        <v>1851</v>
      </c>
      <c r="M1089" s="16">
        <v>0.0</v>
      </c>
      <c r="N1089" s="16">
        <v>0.25</v>
      </c>
      <c r="O1089" s="16">
        <f>0.208*0.25</f>
        <v>0.052</v>
      </c>
      <c r="P1089" s="17">
        <v>45209.0</v>
      </c>
      <c r="Q1089" s="18">
        <v>1.75</v>
      </c>
      <c r="R1089" s="15" t="s">
        <v>33</v>
      </c>
      <c r="S1089" s="19">
        <f t="shared" si="1"/>
        <v>0.039</v>
      </c>
      <c r="T1089" s="19">
        <f t="shared" si="8"/>
        <v>32.95928428</v>
      </c>
      <c r="U1089" s="144"/>
    </row>
    <row r="1090">
      <c r="A1090" s="107"/>
      <c r="B1090" s="107"/>
      <c r="C1090" s="107"/>
      <c r="D1090" s="8" t="s">
        <v>19</v>
      </c>
      <c r="E1090" s="8" t="s">
        <v>3549</v>
      </c>
      <c r="F1090" s="8" t="s">
        <v>1479</v>
      </c>
      <c r="G1090" s="8" t="s">
        <v>2660</v>
      </c>
      <c r="H1090" s="8">
        <v>0.0</v>
      </c>
      <c r="I1090" s="8" t="s">
        <v>397</v>
      </c>
      <c r="J1090" s="8" t="s">
        <v>22</v>
      </c>
      <c r="K1090" s="8" t="s">
        <v>892</v>
      </c>
      <c r="L1090" s="8" t="s">
        <v>24</v>
      </c>
      <c r="M1090" s="9">
        <v>0.0</v>
      </c>
      <c r="N1090" s="9">
        <v>1.0</v>
      </c>
      <c r="O1090" s="9">
        <v>1.0</v>
      </c>
      <c r="P1090" s="54">
        <v>45210.0</v>
      </c>
      <c r="Q1090" s="11">
        <v>1.75</v>
      </c>
      <c r="R1090" s="8" t="s">
        <v>70</v>
      </c>
      <c r="S1090" s="12">
        <f t="shared" si="1"/>
        <v>0</v>
      </c>
      <c r="T1090" s="12">
        <f t="shared" si="8"/>
        <v>32.95928428</v>
      </c>
      <c r="U1090" s="145"/>
    </row>
    <row r="1091">
      <c r="A1091" s="29"/>
      <c r="B1091" s="29"/>
      <c r="C1091" s="29"/>
      <c r="D1091" s="15" t="s">
        <v>19</v>
      </c>
      <c r="E1091" s="15" t="s">
        <v>3550</v>
      </c>
      <c r="F1091" s="15"/>
      <c r="G1091" s="15"/>
      <c r="H1091" s="15"/>
      <c r="I1091" s="15" t="s">
        <v>448</v>
      </c>
      <c r="J1091" s="15" t="s">
        <v>22</v>
      </c>
      <c r="K1091" s="15" t="s">
        <v>29</v>
      </c>
      <c r="L1091" s="15" t="s">
        <v>39</v>
      </c>
      <c r="M1091" s="16">
        <v>-6.5</v>
      </c>
      <c r="N1091" s="16">
        <v>0.25</v>
      </c>
      <c r="O1091" s="16">
        <v>0.25</v>
      </c>
      <c r="P1091" s="17">
        <v>45210.0</v>
      </c>
      <c r="Q1091" s="18">
        <v>1.725</v>
      </c>
      <c r="R1091" s="15" t="s">
        <v>33</v>
      </c>
      <c r="S1091" s="19">
        <f t="shared" si="1"/>
        <v>0.18125</v>
      </c>
      <c r="T1091" s="19">
        <f t="shared" si="8"/>
        <v>33.14053428</v>
      </c>
      <c r="U1091" s="144"/>
    </row>
    <row r="1092">
      <c r="A1092" s="107"/>
      <c r="B1092" s="107"/>
      <c r="C1092" s="107"/>
      <c r="D1092" s="8" t="s">
        <v>19</v>
      </c>
      <c r="E1092" s="8" t="s">
        <v>3551</v>
      </c>
      <c r="F1092" s="8"/>
      <c r="G1092" s="8"/>
      <c r="H1092" s="8"/>
      <c r="I1092" s="8" t="s">
        <v>448</v>
      </c>
      <c r="J1092" s="8" t="s">
        <v>22</v>
      </c>
      <c r="K1092" s="8" t="s">
        <v>29</v>
      </c>
      <c r="L1092" s="8" t="s">
        <v>39</v>
      </c>
      <c r="M1092" s="9">
        <v>-6.25</v>
      </c>
      <c r="N1092" s="9">
        <v>0.5</v>
      </c>
      <c r="O1092" s="9">
        <v>0.5</v>
      </c>
      <c r="P1092" s="10">
        <v>45210.0</v>
      </c>
      <c r="Q1092" s="11">
        <v>1.8</v>
      </c>
      <c r="R1092" s="8" t="s">
        <v>30</v>
      </c>
      <c r="S1092" s="12">
        <f t="shared" si="1"/>
        <v>0.2</v>
      </c>
      <c r="T1092" s="12">
        <f t="shared" si="8"/>
        <v>33.34053428</v>
      </c>
      <c r="U1092" s="145"/>
    </row>
    <row r="1093">
      <c r="A1093" s="29"/>
      <c r="B1093" s="29"/>
      <c r="C1093" s="29"/>
      <c r="D1093" s="15" t="s">
        <v>40</v>
      </c>
      <c r="E1093" s="15" t="s">
        <v>3552</v>
      </c>
      <c r="F1093" s="15" t="s">
        <v>1479</v>
      </c>
      <c r="G1093" s="15" t="s">
        <v>2660</v>
      </c>
      <c r="H1093" s="15">
        <v>-1.0</v>
      </c>
      <c r="I1093" s="15" t="s">
        <v>121</v>
      </c>
      <c r="J1093" s="15" t="s">
        <v>22</v>
      </c>
      <c r="K1093" s="15" t="s">
        <v>892</v>
      </c>
      <c r="L1093" s="15" t="s">
        <v>1851</v>
      </c>
      <c r="M1093" s="16">
        <v>0.0</v>
      </c>
      <c r="N1093" s="16">
        <v>1.0</v>
      </c>
      <c r="O1093" s="16">
        <v>1.0</v>
      </c>
      <c r="P1093" s="17">
        <v>45210.0</v>
      </c>
      <c r="Q1093" s="18">
        <v>2.05</v>
      </c>
      <c r="R1093" s="15" t="s">
        <v>70</v>
      </c>
      <c r="S1093" s="19">
        <f t="shared" si="1"/>
        <v>0</v>
      </c>
      <c r="T1093" s="19">
        <f t="shared" si="8"/>
        <v>33.34053428</v>
      </c>
      <c r="U1093" s="144"/>
    </row>
    <row r="1094">
      <c r="A1094" s="107"/>
      <c r="B1094" s="107"/>
      <c r="C1094" s="107"/>
      <c r="D1094" s="8" t="s">
        <v>19</v>
      </c>
      <c r="E1094" s="8" t="s">
        <v>3553</v>
      </c>
      <c r="F1094" s="8"/>
      <c r="G1094" s="8"/>
      <c r="H1094" s="8" t="s">
        <v>2615</v>
      </c>
      <c r="I1094" s="8" t="s">
        <v>448</v>
      </c>
      <c r="J1094" s="8" t="s">
        <v>22</v>
      </c>
      <c r="K1094" s="8" t="s">
        <v>29</v>
      </c>
      <c r="L1094" s="8" t="s">
        <v>39</v>
      </c>
      <c r="M1094" s="9">
        <v>-5.5</v>
      </c>
      <c r="N1094" s="9">
        <v>0.25</v>
      </c>
      <c r="O1094" s="9">
        <v>0.25</v>
      </c>
      <c r="P1094" s="10">
        <v>45210.0</v>
      </c>
      <c r="Q1094" s="11">
        <v>1.775</v>
      </c>
      <c r="R1094" s="8" t="s">
        <v>25</v>
      </c>
      <c r="S1094" s="12">
        <f t="shared" si="1"/>
        <v>-0.25</v>
      </c>
      <c r="T1094" s="12">
        <f t="shared" si="8"/>
        <v>33.09053428</v>
      </c>
      <c r="U1094" s="145"/>
    </row>
    <row r="1095">
      <c r="A1095" s="29"/>
      <c r="B1095" s="29"/>
      <c r="C1095" s="29"/>
      <c r="D1095" s="15" t="s">
        <v>19</v>
      </c>
      <c r="E1095" s="15" t="s">
        <v>3554</v>
      </c>
      <c r="F1095" s="15" t="s">
        <v>1473</v>
      </c>
      <c r="G1095" s="15" t="s">
        <v>2556</v>
      </c>
      <c r="H1095" s="15" t="s">
        <v>2723</v>
      </c>
      <c r="I1095" s="15" t="s">
        <v>93</v>
      </c>
      <c r="J1095" s="15" t="s">
        <v>22</v>
      </c>
      <c r="K1095" s="15" t="s">
        <v>225</v>
      </c>
      <c r="L1095" s="15" t="s">
        <v>39</v>
      </c>
      <c r="M1095" s="16">
        <v>0.5</v>
      </c>
      <c r="N1095" s="16">
        <v>1.0</v>
      </c>
      <c r="O1095" s="16">
        <v>1.0</v>
      </c>
      <c r="P1095" s="17">
        <v>45210.0</v>
      </c>
      <c r="Q1095" s="18">
        <v>1.612</v>
      </c>
      <c r="R1095" s="15" t="s">
        <v>33</v>
      </c>
      <c r="S1095" s="19">
        <f t="shared" si="1"/>
        <v>0.612</v>
      </c>
      <c r="T1095" s="19">
        <f t="shared" si="8"/>
        <v>33.70253428</v>
      </c>
      <c r="U1095" s="144"/>
    </row>
    <row r="1096">
      <c r="A1096" s="107"/>
      <c r="B1096" s="107"/>
      <c r="C1096" s="107"/>
      <c r="D1096" s="8" t="s">
        <v>19</v>
      </c>
      <c r="E1096" s="8" t="s">
        <v>3555</v>
      </c>
      <c r="F1096" s="8" t="s">
        <v>1473</v>
      </c>
      <c r="G1096" s="8" t="s">
        <v>2573</v>
      </c>
      <c r="H1096" s="8">
        <v>0.0</v>
      </c>
      <c r="I1096" s="8" t="s">
        <v>794</v>
      </c>
      <c r="J1096" s="8" t="s">
        <v>22</v>
      </c>
      <c r="K1096" s="8" t="s">
        <v>894</v>
      </c>
      <c r="L1096" s="8" t="s">
        <v>24</v>
      </c>
      <c r="M1096" s="9">
        <v>-0.25</v>
      </c>
      <c r="N1096" s="9">
        <v>0.25</v>
      </c>
      <c r="O1096" s="9">
        <v>0.25</v>
      </c>
      <c r="P1096" s="10">
        <v>45210.0</v>
      </c>
      <c r="Q1096" s="11">
        <v>1.7</v>
      </c>
      <c r="R1096" s="8" t="s">
        <v>25</v>
      </c>
      <c r="S1096" s="12">
        <f t="shared" si="1"/>
        <v>-0.25</v>
      </c>
      <c r="T1096" s="12">
        <f t="shared" si="8"/>
        <v>33.45253428</v>
      </c>
      <c r="U1096" s="145"/>
    </row>
    <row r="1097">
      <c r="A1097" s="29"/>
      <c r="B1097" s="29"/>
      <c r="C1097" s="29"/>
      <c r="D1097" s="15" t="s">
        <v>19</v>
      </c>
      <c r="E1097" s="15" t="s">
        <v>3556</v>
      </c>
      <c r="F1097" s="15" t="s">
        <v>1473</v>
      </c>
      <c r="G1097" s="15" t="s">
        <v>2660</v>
      </c>
      <c r="H1097" s="15">
        <v>-2.0</v>
      </c>
      <c r="I1097" s="15" t="s">
        <v>106</v>
      </c>
      <c r="J1097" s="15" t="s">
        <v>22</v>
      </c>
      <c r="K1097" s="15" t="s">
        <v>892</v>
      </c>
      <c r="L1097" s="15" t="s">
        <v>1522</v>
      </c>
      <c r="M1097" s="16">
        <v>0.0</v>
      </c>
      <c r="N1097" s="16">
        <v>0.25</v>
      </c>
      <c r="O1097" s="16">
        <v>0.25</v>
      </c>
      <c r="P1097" s="17">
        <v>45210.0</v>
      </c>
      <c r="Q1097" s="18">
        <v>1.9</v>
      </c>
      <c r="R1097" s="15" t="s">
        <v>33</v>
      </c>
      <c r="S1097" s="19">
        <f t="shared" si="1"/>
        <v>0.225</v>
      </c>
      <c r="T1097" s="19">
        <f t="shared" si="8"/>
        <v>33.67753428</v>
      </c>
      <c r="U1097" s="144"/>
    </row>
    <row r="1098">
      <c r="A1098" s="107"/>
      <c r="B1098" s="107"/>
      <c r="C1098" s="107"/>
      <c r="D1098" s="8" t="s">
        <v>40</v>
      </c>
      <c r="E1098" s="8" t="s">
        <v>3557</v>
      </c>
      <c r="F1098" s="8" t="s">
        <v>1473</v>
      </c>
      <c r="G1098" s="8" t="s">
        <v>2660</v>
      </c>
      <c r="H1098" s="8">
        <v>0.0</v>
      </c>
      <c r="I1098" s="8" t="s">
        <v>1961</v>
      </c>
      <c r="J1098" s="8" t="s">
        <v>598</v>
      </c>
      <c r="K1098" s="8" t="s">
        <v>892</v>
      </c>
      <c r="L1098" s="8" t="s">
        <v>1851</v>
      </c>
      <c r="M1098" s="9">
        <v>0.0</v>
      </c>
      <c r="N1098" s="9">
        <v>0.5</v>
      </c>
      <c r="O1098" s="9">
        <v>0.5</v>
      </c>
      <c r="P1098" s="10">
        <v>45210.0</v>
      </c>
      <c r="Q1098" s="11">
        <v>1.725</v>
      </c>
      <c r="R1098" s="8" t="s">
        <v>33</v>
      </c>
      <c r="S1098" s="12">
        <f t="shared" si="1"/>
        <v>0.3625</v>
      </c>
      <c r="T1098" s="12">
        <f t="shared" si="8"/>
        <v>34.04003428</v>
      </c>
      <c r="U1098" s="145"/>
    </row>
    <row r="1099">
      <c r="A1099" s="29"/>
      <c r="B1099" s="29"/>
      <c r="C1099" s="29"/>
      <c r="D1099" s="15" t="s">
        <v>40</v>
      </c>
      <c r="E1099" s="15" t="s">
        <v>3558</v>
      </c>
      <c r="F1099" s="15" t="s">
        <v>1473</v>
      </c>
      <c r="G1099" s="15" t="s">
        <v>2556</v>
      </c>
      <c r="H1099" s="15">
        <f>1</f>
        <v>1</v>
      </c>
      <c r="I1099" s="15" t="s">
        <v>38</v>
      </c>
      <c r="J1099" s="15" t="s">
        <v>22</v>
      </c>
      <c r="K1099" s="15" t="s">
        <v>225</v>
      </c>
      <c r="L1099" s="15" t="s">
        <v>39</v>
      </c>
      <c r="M1099" s="16">
        <v>0.25</v>
      </c>
      <c r="N1099" s="16">
        <v>0.5</v>
      </c>
      <c r="O1099" s="16">
        <v>0.5</v>
      </c>
      <c r="P1099" s="17">
        <v>45210.0</v>
      </c>
      <c r="Q1099" s="18">
        <v>1.9</v>
      </c>
      <c r="R1099" s="15" t="s">
        <v>33</v>
      </c>
      <c r="S1099" s="19">
        <f t="shared" si="1"/>
        <v>0.45</v>
      </c>
      <c r="T1099" s="19">
        <f t="shared" si="8"/>
        <v>34.49003428</v>
      </c>
      <c r="U1099" s="144"/>
    </row>
    <row r="1100">
      <c r="A1100" s="107"/>
      <c r="B1100" s="107"/>
      <c r="C1100" s="107"/>
      <c r="D1100" s="8" t="s">
        <v>19</v>
      </c>
      <c r="E1100" s="8" t="s">
        <v>3559</v>
      </c>
      <c r="F1100" s="8" t="s">
        <v>1479</v>
      </c>
      <c r="G1100" s="8" t="s">
        <v>2556</v>
      </c>
      <c r="H1100" s="8">
        <v>-1.0</v>
      </c>
      <c r="I1100" s="8" t="s">
        <v>82</v>
      </c>
      <c r="J1100" s="8" t="s">
        <v>22</v>
      </c>
      <c r="K1100" s="8" t="s">
        <v>225</v>
      </c>
      <c r="L1100" s="8" t="s">
        <v>24</v>
      </c>
      <c r="M1100" s="9">
        <v>2.75</v>
      </c>
      <c r="N1100" s="9">
        <v>0.5</v>
      </c>
      <c r="O1100" s="9">
        <v>0.5</v>
      </c>
      <c r="P1100" s="10">
        <v>45211.0</v>
      </c>
      <c r="Q1100" s="11">
        <v>1.9</v>
      </c>
      <c r="R1100" s="8" t="s">
        <v>25</v>
      </c>
      <c r="S1100" s="12">
        <f t="shared" si="1"/>
        <v>-0.5</v>
      </c>
      <c r="T1100" s="12">
        <f t="shared" si="8"/>
        <v>33.99003428</v>
      </c>
      <c r="U1100" s="145"/>
    </row>
    <row r="1101">
      <c r="A1101" s="29"/>
      <c r="B1101" s="29"/>
      <c r="C1101" s="29"/>
      <c r="D1101" s="15" t="s">
        <v>19</v>
      </c>
      <c r="E1101" s="15" t="s">
        <v>3560</v>
      </c>
      <c r="F1101" s="15" t="s">
        <v>1479</v>
      </c>
      <c r="G1101" s="15" t="s">
        <v>2556</v>
      </c>
      <c r="H1101" s="15">
        <v>-2.0</v>
      </c>
      <c r="I1101" s="15" t="s">
        <v>1031</v>
      </c>
      <c r="J1101" s="15" t="s">
        <v>22</v>
      </c>
      <c r="K1101" s="15" t="s">
        <v>225</v>
      </c>
      <c r="L1101" s="15" t="s">
        <v>24</v>
      </c>
      <c r="M1101" s="16">
        <v>0.5</v>
      </c>
      <c r="N1101" s="16">
        <v>1.0</v>
      </c>
      <c r="O1101" s="16">
        <v>1.0</v>
      </c>
      <c r="P1101" s="17">
        <v>45211.0</v>
      </c>
      <c r="Q1101" s="18">
        <v>1.775</v>
      </c>
      <c r="R1101" s="15" t="s">
        <v>25</v>
      </c>
      <c r="S1101" s="19">
        <f t="shared" si="1"/>
        <v>-1</v>
      </c>
      <c r="T1101" s="19">
        <f t="shared" si="8"/>
        <v>32.99003428</v>
      </c>
      <c r="U1101" s="144"/>
    </row>
    <row r="1102">
      <c r="A1102" s="107"/>
      <c r="B1102" s="107"/>
      <c r="C1102" s="107"/>
      <c r="D1102" s="8" t="s">
        <v>19</v>
      </c>
      <c r="E1102" s="8" t="s">
        <v>3561</v>
      </c>
      <c r="F1102" s="8" t="s">
        <v>1479</v>
      </c>
      <c r="G1102" s="8" t="s">
        <v>2573</v>
      </c>
      <c r="H1102" s="8">
        <v>0.0</v>
      </c>
      <c r="I1102" s="8" t="s">
        <v>82</v>
      </c>
      <c r="J1102" s="8" t="s">
        <v>598</v>
      </c>
      <c r="K1102" s="8" t="s">
        <v>894</v>
      </c>
      <c r="L1102" s="8" t="s">
        <v>39</v>
      </c>
      <c r="M1102" s="9">
        <v>-2.25</v>
      </c>
      <c r="N1102" s="9">
        <v>0.25</v>
      </c>
      <c r="O1102" s="9">
        <v>0.25</v>
      </c>
      <c r="P1102" s="10">
        <v>45211.0</v>
      </c>
      <c r="Q1102" s="11">
        <v>1.725</v>
      </c>
      <c r="R1102" s="8" t="s">
        <v>25</v>
      </c>
      <c r="S1102" s="12">
        <f t="shared" si="1"/>
        <v>-0.25</v>
      </c>
      <c r="T1102" s="12">
        <f t="shared" si="8"/>
        <v>32.74003428</v>
      </c>
      <c r="U1102" s="145"/>
    </row>
    <row r="1103">
      <c r="A1103" s="29"/>
      <c r="B1103" s="29"/>
      <c r="C1103" s="29"/>
      <c r="D1103" s="15" t="s">
        <v>19</v>
      </c>
      <c r="E1103" s="15" t="s">
        <v>3562</v>
      </c>
      <c r="F1103" s="15" t="s">
        <v>1473</v>
      </c>
      <c r="G1103" s="15" t="s">
        <v>2660</v>
      </c>
      <c r="H1103" s="15">
        <v>0.0</v>
      </c>
      <c r="I1103" s="15" t="s">
        <v>1031</v>
      </c>
      <c r="J1103" s="15" t="s">
        <v>22</v>
      </c>
      <c r="K1103" s="15" t="s">
        <v>892</v>
      </c>
      <c r="L1103" s="15" t="s">
        <v>24</v>
      </c>
      <c r="M1103" s="16">
        <v>0.0</v>
      </c>
      <c r="N1103" s="16">
        <v>1.0</v>
      </c>
      <c r="O1103" s="16">
        <v>1.0</v>
      </c>
      <c r="P1103" s="17">
        <v>45211.0</v>
      </c>
      <c r="Q1103" s="18">
        <v>1.85</v>
      </c>
      <c r="R1103" s="15" t="s">
        <v>70</v>
      </c>
      <c r="S1103" s="19">
        <f t="shared" si="1"/>
        <v>0</v>
      </c>
      <c r="T1103" s="19">
        <f t="shared" si="8"/>
        <v>32.74003428</v>
      </c>
      <c r="U1103" s="144"/>
    </row>
    <row r="1104">
      <c r="A1104" s="107"/>
      <c r="B1104" s="107"/>
      <c r="C1104" s="107"/>
      <c r="D1104" s="8" t="s">
        <v>19</v>
      </c>
      <c r="E1104" s="8" t="s">
        <v>3563</v>
      </c>
      <c r="F1104" s="8"/>
      <c r="G1104" s="8"/>
      <c r="H1104" s="8"/>
      <c r="I1104" s="8" t="s">
        <v>794</v>
      </c>
      <c r="J1104" s="8" t="s">
        <v>598</v>
      </c>
      <c r="K1104" s="8" t="s">
        <v>29</v>
      </c>
      <c r="L1104" s="8" t="s">
        <v>1522</v>
      </c>
      <c r="M1104" s="9">
        <v>-2.75</v>
      </c>
      <c r="N1104" s="9">
        <v>1.0</v>
      </c>
      <c r="O1104" s="9">
        <v>1.0</v>
      </c>
      <c r="P1104" s="10">
        <v>45211.0</v>
      </c>
      <c r="Q1104" s="11">
        <v>2.0</v>
      </c>
      <c r="R1104" s="8" t="s">
        <v>25</v>
      </c>
      <c r="S1104" s="12">
        <f t="shared" si="1"/>
        <v>-1</v>
      </c>
      <c r="T1104" s="12">
        <f t="shared" si="8"/>
        <v>31.74003428</v>
      </c>
      <c r="U1104" s="145"/>
    </row>
    <row r="1105">
      <c r="A1105" s="29"/>
      <c r="B1105" s="29"/>
      <c r="C1105" s="29"/>
      <c r="D1105" s="15" t="s">
        <v>19</v>
      </c>
      <c r="E1105" s="15" t="s">
        <v>3564</v>
      </c>
      <c r="F1105" s="15" t="s">
        <v>1473</v>
      </c>
      <c r="G1105" s="15" t="s">
        <v>2556</v>
      </c>
      <c r="H1105" s="15">
        <v>0.0</v>
      </c>
      <c r="I1105" s="15" t="s">
        <v>794</v>
      </c>
      <c r="J1105" s="15" t="s">
        <v>22</v>
      </c>
      <c r="K1105" s="15" t="s">
        <v>225</v>
      </c>
      <c r="L1105" s="15" t="s">
        <v>39</v>
      </c>
      <c r="M1105" s="16">
        <v>0.5</v>
      </c>
      <c r="N1105" s="16">
        <v>0.5</v>
      </c>
      <c r="O1105" s="16">
        <v>0.5</v>
      </c>
      <c r="P1105" s="17">
        <v>45211.0</v>
      </c>
      <c r="Q1105" s="18">
        <v>1.95</v>
      </c>
      <c r="R1105" s="15" t="s">
        <v>25</v>
      </c>
      <c r="S1105" s="19">
        <f t="shared" si="1"/>
        <v>-0.5</v>
      </c>
      <c r="T1105" s="19">
        <f t="shared" si="8"/>
        <v>31.24003428</v>
      </c>
      <c r="U1105" s="144"/>
    </row>
    <row r="1106">
      <c r="A1106" s="107"/>
      <c r="B1106" s="107"/>
      <c r="C1106" s="107"/>
      <c r="D1106" s="8" t="s">
        <v>19</v>
      </c>
      <c r="E1106" s="8" t="s">
        <v>3565</v>
      </c>
      <c r="F1106" s="8" t="s">
        <v>1479</v>
      </c>
      <c r="G1106" s="8" t="s">
        <v>2660</v>
      </c>
      <c r="H1106" s="8">
        <v>-2.0</v>
      </c>
      <c r="I1106" s="8" t="s">
        <v>28</v>
      </c>
      <c r="J1106" s="8" t="s">
        <v>22</v>
      </c>
      <c r="K1106" s="8" t="s">
        <v>892</v>
      </c>
      <c r="L1106" s="8" t="s">
        <v>1851</v>
      </c>
      <c r="M1106" s="9">
        <v>0.0</v>
      </c>
      <c r="N1106" s="9">
        <v>0.75</v>
      </c>
      <c r="O1106" s="9">
        <v>0.75</v>
      </c>
      <c r="P1106" s="10">
        <v>45211.0</v>
      </c>
      <c r="Q1106" s="11">
        <v>2.0</v>
      </c>
      <c r="R1106" s="8" t="s">
        <v>70</v>
      </c>
      <c r="S1106" s="12">
        <f t="shared" si="1"/>
        <v>0</v>
      </c>
      <c r="T1106" s="12">
        <f t="shared" si="8"/>
        <v>31.24003428</v>
      </c>
      <c r="U1106" s="145"/>
    </row>
    <row r="1107">
      <c r="A1107" s="29"/>
      <c r="B1107" s="29"/>
      <c r="C1107" s="29"/>
      <c r="D1107" s="15" t="s">
        <v>19</v>
      </c>
      <c r="E1107" s="15" t="s">
        <v>3566</v>
      </c>
      <c r="F1107" s="15" t="s">
        <v>1473</v>
      </c>
      <c r="G1107" s="15" t="s">
        <v>2660</v>
      </c>
      <c r="H1107" s="15">
        <v>0.0</v>
      </c>
      <c r="I1107" s="15" t="s">
        <v>78</v>
      </c>
      <c r="J1107" s="15" t="s">
        <v>22</v>
      </c>
      <c r="K1107" s="15" t="s">
        <v>1150</v>
      </c>
      <c r="L1107" s="15" t="s">
        <v>1522</v>
      </c>
      <c r="M1107" s="16">
        <v>0.0</v>
      </c>
      <c r="N1107" s="16">
        <v>0.5</v>
      </c>
      <c r="O1107" s="16">
        <v>0.5</v>
      </c>
      <c r="P1107" s="17">
        <v>45212.0</v>
      </c>
      <c r="Q1107" s="18">
        <v>2.08</v>
      </c>
      <c r="R1107" s="15" t="s">
        <v>25</v>
      </c>
      <c r="S1107" s="19">
        <f t="shared" si="1"/>
        <v>-0.5</v>
      </c>
      <c r="T1107" s="19">
        <f t="shared" si="8"/>
        <v>30.74003428</v>
      </c>
      <c r="U1107" s="144"/>
    </row>
    <row r="1108">
      <c r="A1108" s="107"/>
      <c r="B1108" s="107"/>
      <c r="C1108" s="107"/>
      <c r="D1108" s="8" t="s">
        <v>19</v>
      </c>
      <c r="E1108" s="8" t="s">
        <v>3567</v>
      </c>
      <c r="F1108" s="8" t="s">
        <v>1479</v>
      </c>
      <c r="G1108" s="8" t="s">
        <v>2556</v>
      </c>
      <c r="H1108" s="8">
        <v>0.0</v>
      </c>
      <c r="I1108" s="8" t="s">
        <v>583</v>
      </c>
      <c r="J1108" s="8" t="s">
        <v>22</v>
      </c>
      <c r="K1108" s="8" t="s">
        <v>225</v>
      </c>
      <c r="L1108" s="8" t="s">
        <v>24</v>
      </c>
      <c r="M1108" s="9">
        <v>1.25</v>
      </c>
      <c r="N1108" s="9">
        <v>0.9</v>
      </c>
      <c r="O1108" s="9">
        <v>0.9</v>
      </c>
      <c r="P1108" s="54">
        <v>45212.0</v>
      </c>
      <c r="Q1108" s="11">
        <v>1.85</v>
      </c>
      <c r="R1108" s="8" t="s">
        <v>30</v>
      </c>
      <c r="S1108" s="12">
        <f t="shared" si="1"/>
        <v>0.3825</v>
      </c>
      <c r="T1108" s="12">
        <f t="shared" si="8"/>
        <v>31.12253428</v>
      </c>
      <c r="U1108" s="145"/>
    </row>
    <row r="1109">
      <c r="A1109" s="29"/>
      <c r="B1109" s="29"/>
      <c r="C1109" s="29"/>
      <c r="D1109" s="15" t="s">
        <v>19</v>
      </c>
      <c r="E1109" s="15" t="s">
        <v>3568</v>
      </c>
      <c r="F1109" s="15" t="s">
        <v>1479</v>
      </c>
      <c r="G1109" s="15"/>
      <c r="H1109" s="15">
        <v>0.0</v>
      </c>
      <c r="I1109" s="15" t="s">
        <v>583</v>
      </c>
      <c r="J1109" s="15" t="s">
        <v>22</v>
      </c>
      <c r="K1109" s="15" t="s">
        <v>1165</v>
      </c>
      <c r="L1109" s="15" t="s">
        <v>24</v>
      </c>
      <c r="M1109" s="16"/>
      <c r="N1109" s="16">
        <v>0.1</v>
      </c>
      <c r="O1109" s="16">
        <v>0.1</v>
      </c>
      <c r="P1109" s="17">
        <v>45212.0</v>
      </c>
      <c r="Q1109" s="18">
        <v>5.5</v>
      </c>
      <c r="R1109" s="15" t="s">
        <v>25</v>
      </c>
      <c r="S1109" s="19">
        <f t="shared" si="1"/>
        <v>-0.1</v>
      </c>
      <c r="T1109" s="19">
        <f t="shared" si="8"/>
        <v>31.02253428</v>
      </c>
      <c r="U1109" s="144"/>
    </row>
    <row r="1110">
      <c r="A1110" s="107"/>
      <c r="B1110" s="107"/>
      <c r="C1110" s="107"/>
      <c r="D1110" s="8" t="s">
        <v>19</v>
      </c>
      <c r="E1110" s="8" t="s">
        <v>3569</v>
      </c>
      <c r="F1110" s="8"/>
      <c r="G1110" s="8"/>
      <c r="H1110" s="8"/>
      <c r="I1110" s="8" t="s">
        <v>182</v>
      </c>
      <c r="J1110" s="8" t="s">
        <v>598</v>
      </c>
      <c r="K1110" s="8" t="s">
        <v>23</v>
      </c>
      <c r="L1110" s="8" t="s">
        <v>1522</v>
      </c>
      <c r="M1110" s="9">
        <v>-10.0</v>
      </c>
      <c r="N1110" s="9">
        <v>0.5</v>
      </c>
      <c r="O1110" s="9">
        <v>0.5</v>
      </c>
      <c r="P1110" s="10">
        <v>45212.0</v>
      </c>
      <c r="Q1110" s="11">
        <v>1.8</v>
      </c>
      <c r="R1110" s="8" t="s">
        <v>33</v>
      </c>
      <c r="S1110" s="12">
        <f t="shared" si="1"/>
        <v>0.4</v>
      </c>
      <c r="T1110" s="12">
        <f t="shared" si="8"/>
        <v>31.42253428</v>
      </c>
      <c r="U1110" s="145"/>
    </row>
    <row r="1111">
      <c r="A1111" s="29"/>
      <c r="B1111" s="29"/>
      <c r="C1111" s="29"/>
      <c r="D1111" s="15" t="s">
        <v>19</v>
      </c>
      <c r="E1111" s="15" t="s">
        <v>3570</v>
      </c>
      <c r="F1111" s="15" t="s">
        <v>1473</v>
      </c>
      <c r="G1111" s="15" t="s">
        <v>2660</v>
      </c>
      <c r="H1111" s="15">
        <v>0.0</v>
      </c>
      <c r="I1111" s="15" t="s">
        <v>187</v>
      </c>
      <c r="J1111" s="15" t="s">
        <v>22</v>
      </c>
      <c r="K1111" s="15" t="s">
        <v>892</v>
      </c>
      <c r="L1111" s="15" t="s">
        <v>24</v>
      </c>
      <c r="M1111" s="16">
        <v>0.0</v>
      </c>
      <c r="N1111" s="16">
        <v>1.0</v>
      </c>
      <c r="O1111" s="16">
        <v>1.0</v>
      </c>
      <c r="P1111" s="55">
        <v>45212.0</v>
      </c>
      <c r="Q1111" s="18">
        <v>1.68</v>
      </c>
      <c r="R1111" s="15" t="s">
        <v>33</v>
      </c>
      <c r="S1111" s="19">
        <f t="shared" si="1"/>
        <v>0.68</v>
      </c>
      <c r="T1111" s="19">
        <f t="shared" si="8"/>
        <v>32.10253428</v>
      </c>
      <c r="U1111" s="144"/>
    </row>
    <row r="1112">
      <c r="A1112" s="107"/>
      <c r="B1112" s="107"/>
      <c r="C1112" s="107"/>
      <c r="D1112" s="8" t="s">
        <v>19</v>
      </c>
      <c r="E1112" s="8" t="s">
        <v>3571</v>
      </c>
      <c r="F1112" s="8" t="s">
        <v>1473</v>
      </c>
      <c r="G1112" s="8" t="s">
        <v>2556</v>
      </c>
      <c r="H1112" s="8">
        <v>0.0</v>
      </c>
      <c r="I1112" s="8" t="s">
        <v>659</v>
      </c>
      <c r="J1112" s="8" t="s">
        <v>22</v>
      </c>
      <c r="K1112" s="8" t="s">
        <v>225</v>
      </c>
      <c r="L1112" s="8" t="s">
        <v>39</v>
      </c>
      <c r="M1112" s="9">
        <v>0.5</v>
      </c>
      <c r="N1112" s="9">
        <v>1.0</v>
      </c>
      <c r="O1112" s="9">
        <v>1.0</v>
      </c>
      <c r="P1112" s="10">
        <v>45212.0</v>
      </c>
      <c r="Q1112" s="11">
        <v>1.9</v>
      </c>
      <c r="R1112" s="8" t="s">
        <v>25</v>
      </c>
      <c r="S1112" s="12">
        <f t="shared" si="1"/>
        <v>-1</v>
      </c>
      <c r="T1112" s="12">
        <f t="shared" si="8"/>
        <v>31.10253428</v>
      </c>
      <c r="U1112" s="145"/>
    </row>
    <row r="1113">
      <c r="A1113" s="29"/>
      <c r="B1113" s="29"/>
      <c r="C1113" s="29"/>
      <c r="D1113" s="15" t="s">
        <v>19</v>
      </c>
      <c r="E1113" s="15" t="s">
        <v>3572</v>
      </c>
      <c r="F1113" s="15" t="s">
        <v>1473</v>
      </c>
      <c r="G1113" s="15" t="s">
        <v>2660</v>
      </c>
      <c r="H1113" s="15">
        <v>-1.0</v>
      </c>
      <c r="I1113" s="15" t="s">
        <v>659</v>
      </c>
      <c r="J1113" s="15" t="s">
        <v>22</v>
      </c>
      <c r="K1113" s="15" t="s">
        <v>892</v>
      </c>
      <c r="L1113" s="15" t="s">
        <v>39</v>
      </c>
      <c r="M1113" s="16">
        <v>0.0</v>
      </c>
      <c r="N1113" s="16">
        <v>1.0</v>
      </c>
      <c r="O1113" s="16">
        <v>1.0</v>
      </c>
      <c r="P1113" s="17">
        <v>45212.0</v>
      </c>
      <c r="Q1113" s="18">
        <v>1.875</v>
      </c>
      <c r="R1113" s="15" t="s">
        <v>25</v>
      </c>
      <c r="S1113" s="19">
        <f t="shared" si="1"/>
        <v>-1</v>
      </c>
      <c r="T1113" s="19">
        <f t="shared" si="8"/>
        <v>30.10253428</v>
      </c>
      <c r="U1113" s="144"/>
    </row>
    <row r="1114">
      <c r="A1114" s="107"/>
      <c r="B1114" s="107"/>
      <c r="C1114" s="107"/>
      <c r="D1114" s="8" t="s">
        <v>19</v>
      </c>
      <c r="E1114" s="8" t="s">
        <v>3573</v>
      </c>
      <c r="F1114" s="8" t="s">
        <v>1473</v>
      </c>
      <c r="G1114" s="8" t="s">
        <v>2556</v>
      </c>
      <c r="H1114" s="8">
        <v>0.0</v>
      </c>
      <c r="I1114" s="8" t="s">
        <v>612</v>
      </c>
      <c r="J1114" s="8" t="s">
        <v>22</v>
      </c>
      <c r="K1114" s="8" t="s">
        <v>225</v>
      </c>
      <c r="L1114" s="8" t="s">
        <v>24</v>
      </c>
      <c r="M1114" s="9">
        <v>1.0</v>
      </c>
      <c r="N1114" s="9">
        <v>1.0</v>
      </c>
      <c r="O1114" s="9">
        <v>1.0</v>
      </c>
      <c r="P1114" s="10">
        <v>45212.0</v>
      </c>
      <c r="Q1114" s="11">
        <v>1.116</v>
      </c>
      <c r="R1114" s="8" t="s">
        <v>33</v>
      </c>
      <c r="S1114" s="12">
        <f t="shared" si="1"/>
        <v>0.116</v>
      </c>
      <c r="T1114" s="12">
        <f t="shared" si="8"/>
        <v>30.21853428</v>
      </c>
      <c r="U1114" s="145"/>
    </row>
    <row r="1115">
      <c r="A1115" s="29"/>
      <c r="B1115" s="29"/>
      <c r="C1115" s="29"/>
      <c r="D1115" s="15" t="s">
        <v>19</v>
      </c>
      <c r="E1115" s="15" t="s">
        <v>3574</v>
      </c>
      <c r="F1115" s="15"/>
      <c r="G1115" s="15"/>
      <c r="H1115" s="15"/>
      <c r="I1115" s="15" t="s">
        <v>768</v>
      </c>
      <c r="J1115" s="15" t="s">
        <v>598</v>
      </c>
      <c r="K1115" s="15" t="s">
        <v>440</v>
      </c>
      <c r="L1115" s="15" t="s">
        <v>24</v>
      </c>
      <c r="M1115" s="16">
        <v>5.5</v>
      </c>
      <c r="N1115" s="16">
        <v>0.4</v>
      </c>
      <c r="O1115" s="16">
        <v>0.4</v>
      </c>
      <c r="P1115" s="17">
        <v>45214.0</v>
      </c>
      <c r="Q1115" s="18">
        <v>2.1</v>
      </c>
      <c r="R1115" s="15" t="s">
        <v>25</v>
      </c>
      <c r="S1115" s="19">
        <f t="shared" si="1"/>
        <v>-0.4</v>
      </c>
      <c r="T1115" s="19">
        <f t="shared" si="8"/>
        <v>29.81853428</v>
      </c>
      <c r="U1115" s="144"/>
    </row>
    <row r="1116">
      <c r="A1116" s="107"/>
      <c r="B1116" s="107"/>
      <c r="C1116" s="107"/>
      <c r="D1116" s="8" t="s">
        <v>19</v>
      </c>
      <c r="E1116" s="8" t="s">
        <v>3575</v>
      </c>
      <c r="F1116" s="8"/>
      <c r="G1116" s="8"/>
      <c r="H1116" s="8"/>
      <c r="I1116" s="8" t="s">
        <v>82</v>
      </c>
      <c r="J1116" s="8" t="s">
        <v>598</v>
      </c>
      <c r="K1116" s="8" t="s">
        <v>2415</v>
      </c>
      <c r="L1116" s="8" t="s">
        <v>39</v>
      </c>
      <c r="M1116" s="9">
        <v>10.0</v>
      </c>
      <c r="N1116" s="9">
        <v>0.5</v>
      </c>
      <c r="O1116" s="9">
        <v>0.5</v>
      </c>
      <c r="P1116" s="10">
        <v>45212.0</v>
      </c>
      <c r="Q1116" s="11">
        <v>1.8</v>
      </c>
      <c r="R1116" s="8" t="s">
        <v>25</v>
      </c>
      <c r="S1116" s="12">
        <f t="shared" si="1"/>
        <v>-0.5</v>
      </c>
      <c r="T1116" s="12">
        <f t="shared" si="8"/>
        <v>29.31853428</v>
      </c>
      <c r="U1116" s="145"/>
    </row>
    <row r="1117">
      <c r="A1117" s="29"/>
      <c r="B1117" s="29"/>
      <c r="C1117" s="29"/>
      <c r="D1117" s="15" t="s">
        <v>40</v>
      </c>
      <c r="E1117" s="15" t="s">
        <v>3576</v>
      </c>
      <c r="F1117" s="15" t="s">
        <v>1473</v>
      </c>
      <c r="G1117" s="15" t="s">
        <v>2556</v>
      </c>
      <c r="H1117" s="15">
        <v>-2.0</v>
      </c>
      <c r="I1117" s="15" t="s">
        <v>487</v>
      </c>
      <c r="J1117" s="15" t="s">
        <v>22</v>
      </c>
      <c r="K1117" s="15" t="s">
        <v>225</v>
      </c>
      <c r="L1117" s="15" t="s">
        <v>39</v>
      </c>
      <c r="M1117" s="16">
        <v>0.25</v>
      </c>
      <c r="N1117" s="16">
        <v>0.5</v>
      </c>
      <c r="O1117" s="16">
        <v>0.5</v>
      </c>
      <c r="P1117" s="17">
        <v>45213.0</v>
      </c>
      <c r="Q1117" s="18">
        <v>1.8</v>
      </c>
      <c r="R1117" s="15" t="s">
        <v>30</v>
      </c>
      <c r="S1117" s="19">
        <f t="shared" si="1"/>
        <v>0.2</v>
      </c>
      <c r="T1117" s="19">
        <f t="shared" si="8"/>
        <v>29.51853428</v>
      </c>
      <c r="U1117" s="144"/>
    </row>
    <row r="1118">
      <c r="A1118" s="107"/>
      <c r="B1118" s="107"/>
      <c r="C1118" s="107"/>
      <c r="D1118" s="8" t="s">
        <v>40</v>
      </c>
      <c r="E1118" s="8" t="s">
        <v>3577</v>
      </c>
      <c r="F1118" s="8" t="s">
        <v>1479</v>
      </c>
      <c r="G1118" s="8" t="s">
        <v>2556</v>
      </c>
      <c r="H1118" s="8">
        <v>-3.0</v>
      </c>
      <c r="I1118" s="8" t="s">
        <v>48</v>
      </c>
      <c r="J1118" s="8" t="s">
        <v>22</v>
      </c>
      <c r="K1118" s="8" t="s">
        <v>225</v>
      </c>
      <c r="L1118" s="8" t="s">
        <v>24</v>
      </c>
      <c r="M1118" s="9">
        <v>0.5</v>
      </c>
      <c r="N1118" s="9">
        <v>0.75</v>
      </c>
      <c r="O1118" s="9">
        <v>0.75</v>
      </c>
      <c r="P1118" s="10">
        <v>45213.0</v>
      </c>
      <c r="Q1118" s="11">
        <v>1.75</v>
      </c>
      <c r="R1118" s="8" t="s">
        <v>33</v>
      </c>
      <c r="S1118" s="12">
        <f t="shared" si="1"/>
        <v>0.5625</v>
      </c>
      <c r="T1118" s="12">
        <f t="shared" si="8"/>
        <v>30.08103428</v>
      </c>
      <c r="U1118" s="145"/>
    </row>
    <row r="1119">
      <c r="A1119" s="29"/>
      <c r="B1119" s="29"/>
      <c r="C1119" s="29"/>
      <c r="D1119" s="15" t="s">
        <v>40</v>
      </c>
      <c r="E1119" s="15" t="s">
        <v>3578</v>
      </c>
      <c r="F1119" s="15" t="s">
        <v>1479</v>
      </c>
      <c r="G1119" s="15"/>
      <c r="H1119" s="15"/>
      <c r="I1119" s="15" t="s">
        <v>908</v>
      </c>
      <c r="J1119" s="15" t="s">
        <v>22</v>
      </c>
      <c r="K1119" s="15" t="s">
        <v>1165</v>
      </c>
      <c r="L1119" s="15" t="s">
        <v>24</v>
      </c>
      <c r="M1119" s="16"/>
      <c r="N1119" s="16">
        <v>0.1</v>
      </c>
      <c r="O1119" s="16">
        <v>0.1</v>
      </c>
      <c r="P1119" s="17">
        <v>45213.0</v>
      </c>
      <c r="Q1119" s="18">
        <v>7.5</v>
      </c>
      <c r="R1119" s="15" t="s">
        <v>33</v>
      </c>
      <c r="S1119" s="19">
        <f t="shared" si="1"/>
        <v>0.65</v>
      </c>
      <c r="T1119" s="19">
        <f t="shared" si="8"/>
        <v>30.73103428</v>
      </c>
      <c r="U1119" s="144"/>
    </row>
    <row r="1120">
      <c r="A1120" s="107"/>
      <c r="B1120" s="107"/>
      <c r="C1120" s="107"/>
      <c r="D1120" s="8" t="s">
        <v>19</v>
      </c>
      <c r="E1120" s="8" t="s">
        <v>3579</v>
      </c>
      <c r="F1120" s="8" t="s">
        <v>1473</v>
      </c>
      <c r="G1120" s="8" t="s">
        <v>2660</v>
      </c>
      <c r="H1120" s="8">
        <v>-2.0</v>
      </c>
      <c r="I1120" s="8" t="s">
        <v>28</v>
      </c>
      <c r="J1120" s="8" t="s">
        <v>22</v>
      </c>
      <c r="K1120" s="8" t="s">
        <v>892</v>
      </c>
      <c r="L1120" s="8" t="s">
        <v>1522</v>
      </c>
      <c r="M1120" s="9">
        <v>0.0</v>
      </c>
      <c r="N1120" s="9">
        <v>1.0</v>
      </c>
      <c r="O1120" s="9">
        <v>1.0</v>
      </c>
      <c r="P1120" s="10">
        <v>45213.0</v>
      </c>
      <c r="Q1120" s="11">
        <v>1.7</v>
      </c>
      <c r="R1120" s="8" t="s">
        <v>70</v>
      </c>
      <c r="S1120" s="12">
        <f t="shared" si="1"/>
        <v>0</v>
      </c>
      <c r="T1120" s="12">
        <f t="shared" si="8"/>
        <v>30.73103428</v>
      </c>
      <c r="U1120" s="145"/>
    </row>
    <row r="1121">
      <c r="A1121" s="29"/>
      <c r="B1121" s="29"/>
      <c r="C1121" s="29"/>
      <c r="D1121" s="15" t="s">
        <v>19</v>
      </c>
      <c r="E1121" s="15" t="s">
        <v>3580</v>
      </c>
      <c r="F1121" s="15" t="s">
        <v>1479</v>
      </c>
      <c r="G1121" s="15" t="s">
        <v>2573</v>
      </c>
      <c r="H1121" s="15">
        <v>7</v>
      </c>
      <c r="I1121" s="15" t="s">
        <v>583</v>
      </c>
      <c r="J1121" s="15" t="s">
        <v>22</v>
      </c>
      <c r="K1121" s="15" t="s">
        <v>894</v>
      </c>
      <c r="L1121" s="15" t="s">
        <v>24</v>
      </c>
      <c r="M1121" s="16">
        <v>-0.25</v>
      </c>
      <c r="N1121" s="16">
        <v>0.25</v>
      </c>
      <c r="O1121" s="16">
        <f>6/27*0.25</f>
        <v>0.05555555556</v>
      </c>
      <c r="P1121" s="17">
        <v>45213.0</v>
      </c>
      <c r="Q1121" s="18">
        <v>1.775</v>
      </c>
      <c r="R1121" s="15" t="s">
        <v>70</v>
      </c>
      <c r="S1121" s="19">
        <f t="shared" si="1"/>
        <v>0</v>
      </c>
      <c r="T1121" s="19">
        <f t="shared" si="8"/>
        <v>30.73103428</v>
      </c>
      <c r="U1121" s="144"/>
    </row>
    <row r="1122">
      <c r="A1122" s="107"/>
      <c r="B1122" s="107"/>
      <c r="C1122" s="107"/>
      <c r="D1122" s="8" t="s">
        <v>19</v>
      </c>
      <c r="E1122" s="8" t="s">
        <v>3581</v>
      </c>
      <c r="F1122" s="8" t="s">
        <v>1479</v>
      </c>
      <c r="G1122" s="8" t="s">
        <v>2573</v>
      </c>
      <c r="H1122" s="8">
        <v>7</v>
      </c>
      <c r="I1122" s="8" t="s">
        <v>583</v>
      </c>
      <c r="J1122" s="8" t="s">
        <v>22</v>
      </c>
      <c r="K1122" s="8" t="s">
        <v>894</v>
      </c>
      <c r="L1122" s="8" t="s">
        <v>24</v>
      </c>
      <c r="M1122" s="9">
        <v>-0.5</v>
      </c>
      <c r="N1122" s="9">
        <v>0.25</v>
      </c>
      <c r="O1122" s="9">
        <v>0.25</v>
      </c>
      <c r="P1122" s="54">
        <v>45213.0</v>
      </c>
      <c r="Q1122" s="11">
        <v>1.85</v>
      </c>
      <c r="R1122" s="8" t="s">
        <v>70</v>
      </c>
      <c r="S1122" s="12">
        <f t="shared" si="1"/>
        <v>0</v>
      </c>
      <c r="T1122" s="12">
        <f t="shared" si="8"/>
        <v>30.73103428</v>
      </c>
      <c r="U1122" s="145"/>
    </row>
    <row r="1123">
      <c r="A1123" s="29"/>
      <c r="B1123" s="29"/>
      <c r="C1123" s="29"/>
      <c r="D1123" s="15" t="s">
        <v>19</v>
      </c>
      <c r="E1123" s="95" t="s">
        <v>3581</v>
      </c>
      <c r="F1123" s="15" t="s">
        <v>1479</v>
      </c>
      <c r="G1123" s="15" t="s">
        <v>2573</v>
      </c>
      <c r="H1123" s="15">
        <v>8</v>
      </c>
      <c r="I1123" s="15" t="s">
        <v>583</v>
      </c>
      <c r="J1123" s="15" t="s">
        <v>22</v>
      </c>
      <c r="K1123" s="15" t="s">
        <v>894</v>
      </c>
      <c r="L1123" s="15" t="s">
        <v>24</v>
      </c>
      <c r="M1123" s="16">
        <v>-0.5</v>
      </c>
      <c r="N1123" s="16">
        <v>0.25</v>
      </c>
      <c r="O1123" s="16">
        <v>0.25</v>
      </c>
      <c r="P1123" s="17">
        <v>45213.0</v>
      </c>
      <c r="Q1123" s="18">
        <v>1.9</v>
      </c>
      <c r="R1123" s="15" t="s">
        <v>70</v>
      </c>
      <c r="S1123" s="19">
        <f t="shared" si="1"/>
        <v>0</v>
      </c>
      <c r="T1123" s="19">
        <f t="shared" si="8"/>
        <v>30.73103428</v>
      </c>
      <c r="U1123" s="144"/>
    </row>
    <row r="1124">
      <c r="A1124" s="107"/>
      <c r="B1124" s="107"/>
      <c r="C1124" s="107"/>
      <c r="D1124" s="8" t="s">
        <v>19</v>
      </c>
      <c r="E1124" s="8" t="s">
        <v>3582</v>
      </c>
      <c r="F1124" s="8"/>
      <c r="G1124" s="8"/>
      <c r="H1124" s="8"/>
      <c r="I1124" s="8" t="s">
        <v>3583</v>
      </c>
      <c r="J1124" s="8" t="s">
        <v>598</v>
      </c>
      <c r="K1124" s="8" t="s">
        <v>2415</v>
      </c>
      <c r="L1124" s="8" t="s">
        <v>1522</v>
      </c>
      <c r="M1124" s="9">
        <v>11.0</v>
      </c>
      <c r="N1124" s="9">
        <v>1.0</v>
      </c>
      <c r="O1124" s="9">
        <v>1.0</v>
      </c>
      <c r="P1124" s="56">
        <v>45213.0</v>
      </c>
      <c r="Q1124" s="11">
        <v>2.0</v>
      </c>
      <c r="R1124" s="8" t="s">
        <v>25</v>
      </c>
      <c r="S1124" s="12">
        <f t="shared" si="1"/>
        <v>-1</v>
      </c>
      <c r="T1124" s="12">
        <f t="shared" si="8"/>
        <v>29.73103428</v>
      </c>
      <c r="U1124" s="145"/>
    </row>
    <row r="1125">
      <c r="A1125" s="29"/>
      <c r="B1125" s="29"/>
      <c r="C1125" s="29"/>
      <c r="D1125" s="15" t="s">
        <v>40</v>
      </c>
      <c r="E1125" s="15" t="s">
        <v>3584</v>
      </c>
      <c r="F1125" s="15"/>
      <c r="G1125" s="15"/>
      <c r="H1125" s="15"/>
      <c r="I1125" s="15" t="s">
        <v>463</v>
      </c>
      <c r="J1125" s="15" t="s">
        <v>22</v>
      </c>
      <c r="K1125" s="15" t="s">
        <v>2415</v>
      </c>
      <c r="L1125" s="15" t="s">
        <v>1522</v>
      </c>
      <c r="M1125" s="16">
        <v>8.5</v>
      </c>
      <c r="N1125" s="16">
        <v>0.5</v>
      </c>
      <c r="O1125" s="16">
        <v>0.5</v>
      </c>
      <c r="P1125" s="17">
        <v>45213.0</v>
      </c>
      <c r="Q1125" s="18">
        <v>2.0</v>
      </c>
      <c r="R1125" s="15" t="s">
        <v>33</v>
      </c>
      <c r="S1125" s="19">
        <f t="shared" si="1"/>
        <v>0.5</v>
      </c>
      <c r="T1125" s="19">
        <f t="shared" si="8"/>
        <v>30.23103428</v>
      </c>
      <c r="U1125" s="144"/>
    </row>
    <row r="1126">
      <c r="A1126" s="107"/>
      <c r="B1126" s="107"/>
      <c r="C1126" s="107"/>
      <c r="D1126" s="8" t="s">
        <v>19</v>
      </c>
      <c r="E1126" s="8" t="s">
        <v>3585</v>
      </c>
      <c r="F1126" s="8" t="s">
        <v>1473</v>
      </c>
      <c r="G1126" s="8" t="s">
        <v>2660</v>
      </c>
      <c r="H1126" s="8"/>
      <c r="I1126" s="8" t="s">
        <v>82</v>
      </c>
      <c r="J1126" s="8" t="s">
        <v>598</v>
      </c>
      <c r="K1126" s="8" t="s">
        <v>892</v>
      </c>
      <c r="L1126" s="8" t="s">
        <v>1522</v>
      </c>
      <c r="M1126" s="9">
        <v>0.0</v>
      </c>
      <c r="N1126" s="9">
        <v>0.5</v>
      </c>
      <c r="O1126" s="9">
        <v>0.5</v>
      </c>
      <c r="P1126" s="10">
        <v>45213.0</v>
      </c>
      <c r="Q1126" s="11">
        <v>1.9</v>
      </c>
      <c r="R1126" s="8" t="s">
        <v>33</v>
      </c>
      <c r="S1126" s="12">
        <f t="shared" si="1"/>
        <v>0.45</v>
      </c>
      <c r="T1126" s="12">
        <f t="shared" si="8"/>
        <v>30.68103428</v>
      </c>
      <c r="U1126" s="145"/>
    </row>
    <row r="1127">
      <c r="A1127" s="29"/>
      <c r="B1127" s="29"/>
      <c r="C1127" s="29"/>
      <c r="D1127" s="15" t="s">
        <v>40</v>
      </c>
      <c r="E1127" s="15" t="s">
        <v>3586</v>
      </c>
      <c r="F1127" s="15"/>
      <c r="G1127" s="15"/>
      <c r="H1127" s="15" t="s">
        <v>3242</v>
      </c>
      <c r="I1127" s="15" t="s">
        <v>101</v>
      </c>
      <c r="J1127" s="15" t="s">
        <v>22</v>
      </c>
      <c r="K1127" s="15" t="s">
        <v>29</v>
      </c>
      <c r="L1127" s="15" t="s">
        <v>24</v>
      </c>
      <c r="M1127" s="16">
        <v>-2.5</v>
      </c>
      <c r="N1127" s="16">
        <v>0.5</v>
      </c>
      <c r="O1127" s="16">
        <v>0.5</v>
      </c>
      <c r="P1127" s="17">
        <v>45213.0</v>
      </c>
      <c r="Q1127" s="18">
        <v>1.75</v>
      </c>
      <c r="R1127" s="15" t="s">
        <v>25</v>
      </c>
      <c r="S1127" s="19">
        <f t="shared" si="1"/>
        <v>-0.5</v>
      </c>
      <c r="T1127" s="19">
        <f t="shared" si="8"/>
        <v>30.18103428</v>
      </c>
      <c r="U1127" s="144"/>
    </row>
    <row r="1128">
      <c r="A1128" s="107"/>
      <c r="B1128" s="107"/>
      <c r="C1128" s="107"/>
      <c r="D1128" s="8" t="s">
        <v>19</v>
      </c>
      <c r="E1128" s="8" t="s">
        <v>3587</v>
      </c>
      <c r="F1128" s="8" t="s">
        <v>1473</v>
      </c>
      <c r="G1128" s="8" t="s">
        <v>2556</v>
      </c>
      <c r="H1128" s="8">
        <v>0.0</v>
      </c>
      <c r="I1128" s="8" t="s">
        <v>121</v>
      </c>
      <c r="J1128" s="8" t="s">
        <v>22</v>
      </c>
      <c r="K1128" s="8" t="s">
        <v>225</v>
      </c>
      <c r="L1128" s="8" t="s">
        <v>24</v>
      </c>
      <c r="M1128" s="9">
        <v>1.5</v>
      </c>
      <c r="N1128" s="9">
        <v>0.95</v>
      </c>
      <c r="O1128" s="9">
        <v>0.95</v>
      </c>
      <c r="P1128" s="10">
        <v>45213.0</v>
      </c>
      <c r="Q1128" s="11">
        <v>1.8</v>
      </c>
      <c r="R1128" s="8" t="s">
        <v>33</v>
      </c>
      <c r="S1128" s="12">
        <f t="shared" si="1"/>
        <v>0.76</v>
      </c>
      <c r="T1128" s="12">
        <f t="shared" si="8"/>
        <v>30.94103428</v>
      </c>
      <c r="U1128" s="145"/>
    </row>
    <row r="1129">
      <c r="A1129" s="29"/>
      <c r="B1129" s="29"/>
      <c r="C1129" s="29"/>
      <c r="D1129" s="15" t="s">
        <v>19</v>
      </c>
      <c r="E1129" s="15" t="s">
        <v>3588</v>
      </c>
      <c r="F1129" s="15" t="s">
        <v>1473</v>
      </c>
      <c r="G1129" s="15"/>
      <c r="H1129" s="15">
        <v>0.0</v>
      </c>
      <c r="I1129" s="15" t="s">
        <v>121</v>
      </c>
      <c r="J1129" s="15" t="s">
        <v>22</v>
      </c>
      <c r="K1129" s="15" t="s">
        <v>1165</v>
      </c>
      <c r="L1129" s="15" t="s">
        <v>24</v>
      </c>
      <c r="M1129" s="16"/>
      <c r="N1129" s="16">
        <v>0.1</v>
      </c>
      <c r="O1129" s="16">
        <v>0.1</v>
      </c>
      <c r="P1129" s="17">
        <v>45213.0</v>
      </c>
      <c r="Q1129" s="18">
        <v>4.0</v>
      </c>
      <c r="R1129" s="15" t="s">
        <v>33</v>
      </c>
      <c r="S1129" s="19">
        <f t="shared" si="1"/>
        <v>0.3</v>
      </c>
      <c r="T1129" s="19">
        <f t="shared" si="8"/>
        <v>31.24103428</v>
      </c>
      <c r="U1129" s="144"/>
    </row>
    <row r="1130">
      <c r="A1130" s="107"/>
      <c r="B1130" s="107"/>
      <c r="C1130" s="107"/>
      <c r="D1130" s="8" t="s">
        <v>19</v>
      </c>
      <c r="E1130" s="8" t="s">
        <v>3589</v>
      </c>
      <c r="F1130" s="8" t="s">
        <v>1479</v>
      </c>
      <c r="G1130" s="8" t="s">
        <v>2660</v>
      </c>
      <c r="H1130" s="8">
        <v>-1.0</v>
      </c>
      <c r="I1130" s="8" t="s">
        <v>42</v>
      </c>
      <c r="J1130" s="8" t="s">
        <v>22</v>
      </c>
      <c r="K1130" s="8" t="s">
        <v>892</v>
      </c>
      <c r="L1130" s="8" t="s">
        <v>24</v>
      </c>
      <c r="M1130" s="9">
        <v>0.0</v>
      </c>
      <c r="N1130" s="9">
        <v>0.5</v>
      </c>
      <c r="O1130" s="9">
        <v>0.5</v>
      </c>
      <c r="P1130" s="10">
        <v>45213.0</v>
      </c>
      <c r="Q1130" s="11">
        <v>1.85</v>
      </c>
      <c r="R1130" s="8" t="s">
        <v>33</v>
      </c>
      <c r="S1130" s="12">
        <f t="shared" si="1"/>
        <v>0.425</v>
      </c>
      <c r="T1130" s="12">
        <f t="shared" si="8"/>
        <v>31.66603428</v>
      </c>
      <c r="U1130" s="145"/>
    </row>
    <row r="1131">
      <c r="A1131" s="29"/>
      <c r="B1131" s="29"/>
      <c r="C1131" s="29"/>
      <c r="D1131" s="15" t="s">
        <v>19</v>
      </c>
      <c r="E1131" s="15" t="s">
        <v>3590</v>
      </c>
      <c r="F1131" s="15" t="s">
        <v>1479</v>
      </c>
      <c r="G1131" s="15" t="s">
        <v>2660</v>
      </c>
      <c r="H1131" s="15">
        <v>0.0</v>
      </c>
      <c r="I1131" s="15" t="s">
        <v>178</v>
      </c>
      <c r="J1131" s="15" t="s">
        <v>22</v>
      </c>
      <c r="K1131" s="15" t="s">
        <v>1150</v>
      </c>
      <c r="L1131" s="15" t="s">
        <v>24</v>
      </c>
      <c r="M1131" s="16">
        <v>0.0</v>
      </c>
      <c r="N1131" s="16">
        <v>0.5</v>
      </c>
      <c r="O1131" s="16">
        <v>0.5</v>
      </c>
      <c r="P1131" s="17">
        <v>45213.0</v>
      </c>
      <c r="Q1131" s="18">
        <v>1.9</v>
      </c>
      <c r="R1131" s="15" t="s">
        <v>70</v>
      </c>
      <c r="S1131" s="19">
        <f t="shared" si="1"/>
        <v>0</v>
      </c>
      <c r="T1131" s="19">
        <f t="shared" si="8"/>
        <v>31.66603428</v>
      </c>
      <c r="U1131" s="144"/>
    </row>
    <row r="1132">
      <c r="A1132" s="107"/>
      <c r="B1132" s="107"/>
      <c r="C1132" s="107"/>
      <c r="D1132" s="8" t="s">
        <v>19</v>
      </c>
      <c r="E1132" s="8" t="s">
        <v>3591</v>
      </c>
      <c r="F1132" s="8" t="s">
        <v>1473</v>
      </c>
      <c r="G1132" s="8" t="s">
        <v>2556</v>
      </c>
      <c r="H1132" s="8">
        <v>0.0</v>
      </c>
      <c r="I1132" s="8" t="s">
        <v>182</v>
      </c>
      <c r="J1132" s="8" t="s">
        <v>22</v>
      </c>
      <c r="K1132" s="8" t="s">
        <v>225</v>
      </c>
      <c r="L1132" s="8" t="s">
        <v>24</v>
      </c>
      <c r="M1132" s="9">
        <v>0.25</v>
      </c>
      <c r="N1132" s="9">
        <v>0.5</v>
      </c>
      <c r="O1132" s="9">
        <v>0.5</v>
      </c>
      <c r="P1132" s="10">
        <v>45213.0</v>
      </c>
      <c r="Q1132" s="11">
        <v>1.725</v>
      </c>
      <c r="R1132" s="8" t="s">
        <v>25</v>
      </c>
      <c r="S1132" s="12">
        <f t="shared" si="1"/>
        <v>-0.5</v>
      </c>
      <c r="T1132" s="12">
        <f t="shared" si="8"/>
        <v>31.16603428</v>
      </c>
      <c r="U1132" s="145"/>
    </row>
    <row r="1133">
      <c r="A1133" s="29"/>
      <c r="B1133" s="29"/>
      <c r="C1133" s="29"/>
      <c r="D1133" s="15" t="s">
        <v>40</v>
      </c>
      <c r="E1133" s="15" t="s">
        <v>3592</v>
      </c>
      <c r="F1133" s="15" t="s">
        <v>1479</v>
      </c>
      <c r="G1133" s="15" t="s">
        <v>2660</v>
      </c>
      <c r="H1133" s="15">
        <v>0.0</v>
      </c>
      <c r="I1133" s="15" t="s">
        <v>93</v>
      </c>
      <c r="J1133" s="15" t="s">
        <v>22</v>
      </c>
      <c r="K1133" s="15" t="s">
        <v>892</v>
      </c>
      <c r="L1133" s="15" t="s">
        <v>39</v>
      </c>
      <c r="M1133" s="16">
        <v>0.0</v>
      </c>
      <c r="N1133" s="16">
        <v>0.75</v>
      </c>
      <c r="O1133" s="16">
        <v>0.75</v>
      </c>
      <c r="P1133" s="17">
        <v>45213.0</v>
      </c>
      <c r="Q1133" s="18">
        <v>2.05</v>
      </c>
      <c r="R1133" s="15" t="s">
        <v>25</v>
      </c>
      <c r="S1133" s="19">
        <f t="shared" si="1"/>
        <v>-0.75</v>
      </c>
      <c r="T1133" s="19">
        <f t="shared" si="8"/>
        <v>30.41603428</v>
      </c>
      <c r="U1133" s="144"/>
    </row>
    <row r="1134">
      <c r="A1134" s="107"/>
      <c r="B1134" s="107"/>
      <c r="C1134" s="107"/>
      <c r="D1134" s="8" t="s">
        <v>19</v>
      </c>
      <c r="E1134" s="8" t="s">
        <v>3593</v>
      </c>
      <c r="F1134" s="8" t="s">
        <v>1473</v>
      </c>
      <c r="G1134" s="8" t="s">
        <v>2556</v>
      </c>
      <c r="H1134" s="8">
        <v>0.0</v>
      </c>
      <c r="I1134" s="8" t="s">
        <v>93</v>
      </c>
      <c r="J1134" s="8" t="s">
        <v>22</v>
      </c>
      <c r="K1134" s="8" t="s">
        <v>225</v>
      </c>
      <c r="L1134" s="8" t="s">
        <v>24</v>
      </c>
      <c r="M1134" s="9">
        <v>0.5</v>
      </c>
      <c r="N1134" s="9">
        <v>0.75</v>
      </c>
      <c r="O1134" s="9">
        <v>0.75</v>
      </c>
      <c r="P1134" s="10">
        <v>45213.0</v>
      </c>
      <c r="Q1134" s="11">
        <v>1.725</v>
      </c>
      <c r="R1134" s="8" t="s">
        <v>33</v>
      </c>
      <c r="S1134" s="12">
        <f t="shared" si="1"/>
        <v>0.54375</v>
      </c>
      <c r="T1134" s="12">
        <f t="shared" si="8"/>
        <v>30.95978428</v>
      </c>
      <c r="U1134" s="145"/>
    </row>
    <row r="1135">
      <c r="A1135" s="29"/>
      <c r="B1135" s="29"/>
      <c r="C1135" s="29"/>
      <c r="D1135" s="15" t="s">
        <v>19</v>
      </c>
      <c r="E1135" s="15" t="s">
        <v>3594</v>
      </c>
      <c r="F1135" s="15" t="s">
        <v>1479</v>
      </c>
      <c r="G1135" s="15"/>
      <c r="H1135" s="15">
        <v>0.0</v>
      </c>
      <c r="I1135" s="15" t="s">
        <v>1558</v>
      </c>
      <c r="J1135" s="15" t="s">
        <v>22</v>
      </c>
      <c r="K1135" s="15" t="s">
        <v>1165</v>
      </c>
      <c r="L1135" s="15" t="s">
        <v>24</v>
      </c>
      <c r="M1135" s="16"/>
      <c r="N1135" s="16">
        <v>0.1</v>
      </c>
      <c r="O1135" s="16">
        <v>0.1</v>
      </c>
      <c r="P1135" s="17">
        <v>45213.0</v>
      </c>
      <c r="Q1135" s="18">
        <v>6.0</v>
      </c>
      <c r="R1135" s="15" t="s">
        <v>25</v>
      </c>
      <c r="S1135" s="19">
        <f t="shared" si="1"/>
        <v>-0.1</v>
      </c>
      <c r="T1135" s="19">
        <f t="shared" si="8"/>
        <v>30.85978428</v>
      </c>
      <c r="U1135" s="144"/>
    </row>
    <row r="1136">
      <c r="A1136" s="107"/>
      <c r="B1136" s="107"/>
      <c r="C1136" s="107"/>
      <c r="D1136" s="8" t="s">
        <v>19</v>
      </c>
      <c r="E1136" s="8" t="s">
        <v>3595</v>
      </c>
      <c r="F1136" s="8" t="s">
        <v>1473</v>
      </c>
      <c r="G1136" s="8" t="s">
        <v>2660</v>
      </c>
      <c r="H1136" s="8">
        <f>1</f>
        <v>1</v>
      </c>
      <c r="I1136" s="8" t="s">
        <v>229</v>
      </c>
      <c r="J1136" s="8" t="s">
        <v>22</v>
      </c>
      <c r="K1136" s="8" t="s">
        <v>892</v>
      </c>
      <c r="L1136" s="8" t="s">
        <v>24</v>
      </c>
      <c r="M1136" s="9">
        <v>0.0</v>
      </c>
      <c r="N1136" s="9">
        <v>0.75</v>
      </c>
      <c r="O1136" s="9">
        <v>0.75</v>
      </c>
      <c r="P1136" s="10">
        <v>45213.0</v>
      </c>
      <c r="Q1136" s="11">
        <v>1.73</v>
      </c>
      <c r="R1136" s="8" t="s">
        <v>33</v>
      </c>
      <c r="S1136" s="12">
        <f t="shared" si="1"/>
        <v>0.5475</v>
      </c>
      <c r="T1136" s="12">
        <f t="shared" si="8"/>
        <v>31.40728428</v>
      </c>
      <c r="U1136" s="145"/>
    </row>
    <row r="1137">
      <c r="A1137" s="29"/>
      <c r="B1137" s="29"/>
      <c r="C1137" s="29"/>
      <c r="D1137" s="15" t="s">
        <v>19</v>
      </c>
      <c r="E1137" s="15" t="s">
        <v>3596</v>
      </c>
      <c r="F1137" s="15" t="s">
        <v>1479</v>
      </c>
      <c r="G1137" s="15"/>
      <c r="H1137" s="15"/>
      <c r="I1137" s="15" t="s">
        <v>768</v>
      </c>
      <c r="J1137" s="15" t="s">
        <v>598</v>
      </c>
      <c r="K1137" s="15" t="s">
        <v>440</v>
      </c>
      <c r="L1137" s="15"/>
      <c r="M1137" s="16">
        <v>3.5</v>
      </c>
      <c r="N1137" s="16">
        <v>0.4</v>
      </c>
      <c r="O1137" s="16">
        <v>0.4</v>
      </c>
      <c r="P1137" s="17">
        <v>45214.0</v>
      </c>
      <c r="Q1137" s="18">
        <v>1.87</v>
      </c>
      <c r="R1137" s="15" t="s">
        <v>25</v>
      </c>
      <c r="S1137" s="19">
        <f t="shared" si="1"/>
        <v>-0.4</v>
      </c>
      <c r="T1137" s="19">
        <f t="shared" si="8"/>
        <v>31.00728428</v>
      </c>
      <c r="U1137" s="144"/>
    </row>
    <row r="1138">
      <c r="A1138" s="107"/>
      <c r="B1138" s="107"/>
      <c r="C1138" s="107"/>
      <c r="D1138" s="8" t="s">
        <v>19</v>
      </c>
      <c r="E1138" s="8" t="s">
        <v>3597</v>
      </c>
      <c r="F1138" s="8"/>
      <c r="G1138" s="8"/>
      <c r="H1138" s="8"/>
      <c r="I1138" s="8" t="s">
        <v>82</v>
      </c>
      <c r="J1138" s="8" t="s">
        <v>598</v>
      </c>
      <c r="K1138" s="8" t="s">
        <v>440</v>
      </c>
      <c r="L1138" s="8" t="s">
        <v>39</v>
      </c>
      <c r="M1138" s="9">
        <v>1.75</v>
      </c>
      <c r="N1138" s="9">
        <v>0.3</v>
      </c>
      <c r="O1138" s="9">
        <v>0.3</v>
      </c>
      <c r="P1138" s="10">
        <v>45213.0</v>
      </c>
      <c r="Q1138" s="11">
        <v>1.7</v>
      </c>
      <c r="R1138" s="8" t="s">
        <v>25</v>
      </c>
      <c r="S1138" s="12">
        <f t="shared" si="1"/>
        <v>-0.3</v>
      </c>
      <c r="T1138" s="12">
        <f t="shared" si="8"/>
        <v>30.70728428</v>
      </c>
      <c r="U1138" s="145"/>
    </row>
    <row r="1139">
      <c r="A1139" s="29"/>
      <c r="B1139" s="29"/>
      <c r="C1139" s="29"/>
      <c r="D1139" s="15" t="s">
        <v>40</v>
      </c>
      <c r="E1139" s="15" t="s">
        <v>3598</v>
      </c>
      <c r="F1139" s="15" t="s">
        <v>1473</v>
      </c>
      <c r="G1139" s="15" t="s">
        <v>2556</v>
      </c>
      <c r="H1139" s="15">
        <v>2</v>
      </c>
      <c r="I1139" s="15" t="s">
        <v>78</v>
      </c>
      <c r="J1139" s="15" t="s">
        <v>22</v>
      </c>
      <c r="K1139" s="15" t="s">
        <v>225</v>
      </c>
      <c r="L1139" s="15" t="s">
        <v>24</v>
      </c>
      <c r="M1139" s="16">
        <v>0.75</v>
      </c>
      <c r="N1139" s="16">
        <v>0.5</v>
      </c>
      <c r="O1139" s="16">
        <v>0.5</v>
      </c>
      <c r="P1139" s="17">
        <v>45213.0</v>
      </c>
      <c r="Q1139" s="18">
        <v>1.775</v>
      </c>
      <c r="R1139" s="15" t="s">
        <v>33</v>
      </c>
      <c r="S1139" s="19">
        <f t="shared" si="1"/>
        <v>0.3875</v>
      </c>
      <c r="T1139" s="19">
        <f t="shared" si="8"/>
        <v>31.09478428</v>
      </c>
      <c r="U1139" s="144"/>
    </row>
    <row r="1140">
      <c r="A1140" s="107"/>
      <c r="B1140" s="107"/>
      <c r="C1140" s="107"/>
      <c r="D1140" s="8" t="s">
        <v>40</v>
      </c>
      <c r="E1140" s="8" t="s">
        <v>3599</v>
      </c>
      <c r="F1140" s="8" t="s">
        <v>1473</v>
      </c>
      <c r="G1140" s="8"/>
      <c r="H1140" s="8">
        <v>2</v>
      </c>
      <c r="I1140" s="8" t="s">
        <v>78</v>
      </c>
      <c r="J1140" s="8" t="s">
        <v>22</v>
      </c>
      <c r="K1140" s="8" t="s">
        <v>1165</v>
      </c>
      <c r="L1140" s="8" t="s">
        <v>24</v>
      </c>
      <c r="M1140" s="9"/>
      <c r="N1140" s="9">
        <v>0.1</v>
      </c>
      <c r="O1140" s="9">
        <v>0.1</v>
      </c>
      <c r="P1140" s="54">
        <v>45213.0</v>
      </c>
      <c r="Q1140" s="11">
        <v>5.5</v>
      </c>
      <c r="R1140" s="8" t="s">
        <v>33</v>
      </c>
      <c r="S1140" s="12">
        <f t="shared" si="1"/>
        <v>0.45</v>
      </c>
      <c r="T1140" s="12">
        <f t="shared" si="8"/>
        <v>31.54478428</v>
      </c>
      <c r="U1140" s="145"/>
    </row>
    <row r="1141">
      <c r="A1141" s="29"/>
      <c r="B1141" s="29"/>
      <c r="C1141" s="29"/>
      <c r="D1141" s="15" t="s">
        <v>19</v>
      </c>
      <c r="E1141" s="15" t="s">
        <v>3600</v>
      </c>
      <c r="F1141" s="15" t="s">
        <v>1473</v>
      </c>
      <c r="G1141" s="15" t="s">
        <v>2556</v>
      </c>
      <c r="H1141" s="15">
        <v>-1.0</v>
      </c>
      <c r="I1141" s="15" t="s">
        <v>432</v>
      </c>
      <c r="J1141" s="15" t="s">
        <v>22</v>
      </c>
      <c r="K1141" s="15" t="s">
        <v>225</v>
      </c>
      <c r="L1141" s="15" t="s">
        <v>1803</v>
      </c>
      <c r="M1141" s="16">
        <v>0.25</v>
      </c>
      <c r="N1141" s="16">
        <v>0.5</v>
      </c>
      <c r="O1141" s="16">
        <v>0.5</v>
      </c>
      <c r="P1141" s="17">
        <v>45214.0</v>
      </c>
      <c r="Q1141" s="18">
        <v>1.75</v>
      </c>
      <c r="R1141" s="15" t="s">
        <v>33</v>
      </c>
      <c r="S1141" s="19">
        <f t="shared" si="1"/>
        <v>0.375</v>
      </c>
      <c r="T1141" s="19">
        <f t="shared" si="8"/>
        <v>31.91978428</v>
      </c>
      <c r="U1141" s="144"/>
    </row>
    <row r="1142">
      <c r="A1142" s="107"/>
      <c r="B1142" s="107"/>
      <c r="C1142" s="107"/>
      <c r="D1142" s="8" t="s">
        <v>19</v>
      </c>
      <c r="E1142" s="8" t="s">
        <v>3601</v>
      </c>
      <c r="F1142" s="8" t="s">
        <v>1473</v>
      </c>
      <c r="G1142" s="8" t="s">
        <v>2660</v>
      </c>
      <c r="H1142" s="8">
        <v>-1.0</v>
      </c>
      <c r="I1142" s="8" t="s">
        <v>432</v>
      </c>
      <c r="J1142" s="8" t="s">
        <v>22</v>
      </c>
      <c r="K1142" s="8" t="s">
        <v>892</v>
      </c>
      <c r="L1142" s="8" t="s">
        <v>1803</v>
      </c>
      <c r="M1142" s="9">
        <v>0.0</v>
      </c>
      <c r="N1142" s="9">
        <v>0.25</v>
      </c>
      <c r="O1142" s="9">
        <v>0.25</v>
      </c>
      <c r="P1142" s="10">
        <v>45214.0</v>
      </c>
      <c r="Q1142" s="11">
        <v>1.95</v>
      </c>
      <c r="R1142" s="8" t="s">
        <v>33</v>
      </c>
      <c r="S1142" s="12">
        <f t="shared" si="1"/>
        <v>0.2375</v>
      </c>
      <c r="T1142" s="12">
        <f t="shared" si="8"/>
        <v>32.15728428</v>
      </c>
      <c r="U1142" s="145"/>
    </row>
    <row r="1143">
      <c r="A1143" s="29"/>
      <c r="B1143" s="29"/>
      <c r="C1143" s="29"/>
      <c r="D1143" s="15" t="s">
        <v>19</v>
      </c>
      <c r="E1143" s="15" t="s">
        <v>3602</v>
      </c>
      <c r="F1143" s="15"/>
      <c r="G1143" s="15"/>
      <c r="H1143" s="15"/>
      <c r="I1143" s="15" t="s">
        <v>99</v>
      </c>
      <c r="J1143" s="15" t="s">
        <v>22</v>
      </c>
      <c r="K1143" s="15" t="s">
        <v>2634</v>
      </c>
      <c r="L1143" s="15" t="s">
        <v>24</v>
      </c>
      <c r="M1143" s="16"/>
      <c r="N1143" s="16">
        <v>0.25</v>
      </c>
      <c r="O1143" s="16">
        <v>0.25</v>
      </c>
      <c r="P1143" s="17">
        <v>45214.0</v>
      </c>
      <c r="Q1143" s="18">
        <v>2.25</v>
      </c>
      <c r="R1143" s="15" t="s">
        <v>25</v>
      </c>
      <c r="S1143" s="19">
        <f t="shared" si="1"/>
        <v>-0.25</v>
      </c>
      <c r="T1143" s="19">
        <f t="shared" si="8"/>
        <v>31.90728428</v>
      </c>
      <c r="U1143" s="144"/>
    </row>
    <row r="1144">
      <c r="A1144" s="107"/>
      <c r="B1144" s="107"/>
      <c r="C1144" s="107"/>
      <c r="D1144" s="8" t="s">
        <v>19</v>
      </c>
      <c r="E1144" s="8" t="s">
        <v>3603</v>
      </c>
      <c r="F1144" s="8" t="s">
        <v>1479</v>
      </c>
      <c r="G1144" s="8" t="s">
        <v>2660</v>
      </c>
      <c r="H1144" s="8">
        <f>1</f>
        <v>1</v>
      </c>
      <c r="I1144" s="8" t="s">
        <v>229</v>
      </c>
      <c r="J1144" s="8" t="s">
        <v>22</v>
      </c>
      <c r="K1144" s="8" t="s">
        <v>892</v>
      </c>
      <c r="L1144" s="8" t="s">
        <v>24</v>
      </c>
      <c r="M1144" s="9">
        <v>0.0</v>
      </c>
      <c r="N1144" s="9">
        <v>0.5</v>
      </c>
      <c r="O1144" s="9">
        <v>0.5</v>
      </c>
      <c r="P1144" s="10">
        <v>45214.0</v>
      </c>
      <c r="Q1144" s="11">
        <v>1.75</v>
      </c>
      <c r="R1144" s="8" t="s">
        <v>33</v>
      </c>
      <c r="S1144" s="12">
        <f t="shared" si="1"/>
        <v>0.375</v>
      </c>
      <c r="T1144" s="12">
        <f t="shared" si="8"/>
        <v>32.28228428</v>
      </c>
      <c r="U1144" s="145"/>
    </row>
    <row r="1145">
      <c r="A1145" s="29"/>
      <c r="B1145" s="29"/>
      <c r="C1145" s="29"/>
      <c r="D1145" s="15" t="s">
        <v>19</v>
      </c>
      <c r="E1145" s="15" t="s">
        <v>3604</v>
      </c>
      <c r="F1145" s="15"/>
      <c r="G1145" s="15"/>
      <c r="H1145" s="15"/>
      <c r="I1145" s="15" t="s">
        <v>3605</v>
      </c>
      <c r="J1145" s="15" t="s">
        <v>22</v>
      </c>
      <c r="K1145" s="15" t="s">
        <v>29</v>
      </c>
      <c r="L1145" s="15" t="s">
        <v>24</v>
      </c>
      <c r="M1145" s="16">
        <v>-1.5</v>
      </c>
      <c r="N1145" s="16">
        <v>0.5</v>
      </c>
      <c r="O1145" s="16">
        <v>0.5</v>
      </c>
      <c r="P1145" s="17">
        <v>45214.0</v>
      </c>
      <c r="Q1145" s="18">
        <v>1.42</v>
      </c>
      <c r="R1145" s="15" t="s">
        <v>33</v>
      </c>
      <c r="S1145" s="19">
        <f t="shared" si="1"/>
        <v>0.21</v>
      </c>
      <c r="T1145" s="19">
        <f t="shared" si="8"/>
        <v>32.49228428</v>
      </c>
      <c r="U1145" s="144"/>
    </row>
    <row r="1146">
      <c r="A1146" s="107"/>
      <c r="B1146" s="107"/>
      <c r="C1146" s="107"/>
      <c r="D1146" s="8" t="s">
        <v>19</v>
      </c>
      <c r="E1146" s="8" t="s">
        <v>3606</v>
      </c>
      <c r="F1146" s="8" t="s">
        <v>1479</v>
      </c>
      <c r="G1146" s="8" t="s">
        <v>2556</v>
      </c>
      <c r="H1146" s="8">
        <v>0.0</v>
      </c>
      <c r="I1146" s="8" t="s">
        <v>703</v>
      </c>
      <c r="J1146" s="8" t="s">
        <v>22</v>
      </c>
      <c r="K1146" s="8" t="s">
        <v>225</v>
      </c>
      <c r="L1146" s="8" t="s">
        <v>24</v>
      </c>
      <c r="M1146" s="9">
        <v>0.5</v>
      </c>
      <c r="N1146" s="9">
        <v>0.25</v>
      </c>
      <c r="O1146" s="9">
        <f>0.56*0.25</f>
        <v>0.14</v>
      </c>
      <c r="P1146" s="10">
        <v>45214.0</v>
      </c>
      <c r="Q1146" s="11">
        <f>0.325/0.25</f>
        <v>1.3</v>
      </c>
      <c r="R1146" s="8" t="s">
        <v>33</v>
      </c>
      <c r="S1146" s="12">
        <f t="shared" si="1"/>
        <v>0.042</v>
      </c>
      <c r="T1146" s="12">
        <f t="shared" si="8"/>
        <v>32.53428428</v>
      </c>
      <c r="U1146" s="145"/>
    </row>
    <row r="1147">
      <c r="A1147" s="29"/>
      <c r="B1147" s="29"/>
      <c r="C1147" s="29"/>
      <c r="D1147" s="15" t="s">
        <v>19</v>
      </c>
      <c r="E1147" s="15" t="s">
        <v>3607</v>
      </c>
      <c r="F1147" s="15" t="s">
        <v>1473</v>
      </c>
      <c r="G1147" s="15"/>
      <c r="H1147" s="15"/>
      <c r="I1147" s="15" t="s">
        <v>463</v>
      </c>
      <c r="J1147" s="15" t="s">
        <v>22</v>
      </c>
      <c r="K1147" s="15" t="s">
        <v>1165</v>
      </c>
      <c r="L1147" s="15" t="s">
        <v>39</v>
      </c>
      <c r="M1147" s="16"/>
      <c r="N1147" s="16">
        <v>0.1</v>
      </c>
      <c r="O1147" s="16">
        <v>0.1</v>
      </c>
      <c r="P1147" s="17">
        <v>45214.0</v>
      </c>
      <c r="Q1147" s="18">
        <v>3.4</v>
      </c>
      <c r="R1147" s="15" t="s">
        <v>25</v>
      </c>
      <c r="S1147" s="19">
        <f t="shared" si="1"/>
        <v>-0.1</v>
      </c>
      <c r="T1147" s="19">
        <f t="shared" si="8"/>
        <v>32.43428428</v>
      </c>
      <c r="U1147" s="144"/>
    </row>
    <row r="1148">
      <c r="A1148" s="107"/>
      <c r="B1148" s="107"/>
      <c r="C1148" s="107"/>
      <c r="D1148" s="8" t="s">
        <v>19</v>
      </c>
      <c r="E1148" s="8" t="s">
        <v>3608</v>
      </c>
      <c r="F1148" s="8" t="s">
        <v>1473</v>
      </c>
      <c r="G1148" s="8" t="s">
        <v>2660</v>
      </c>
      <c r="H1148" s="8">
        <v>0.0</v>
      </c>
      <c r="I1148" s="8" t="s">
        <v>624</v>
      </c>
      <c r="J1148" s="8" t="s">
        <v>22</v>
      </c>
      <c r="K1148" s="8" t="s">
        <v>892</v>
      </c>
      <c r="L1148" s="8" t="s">
        <v>39</v>
      </c>
      <c r="M1148" s="9">
        <v>0.0</v>
      </c>
      <c r="N1148" s="9">
        <v>0.5</v>
      </c>
      <c r="O1148" s="9">
        <f>0.76*0.5</f>
        <v>0.38</v>
      </c>
      <c r="P1148" s="10">
        <v>45214.0</v>
      </c>
      <c r="Q1148" s="11">
        <v>1.725</v>
      </c>
      <c r="R1148" s="8" t="s">
        <v>25</v>
      </c>
      <c r="S1148" s="12">
        <f t="shared" si="1"/>
        <v>-0.38</v>
      </c>
      <c r="T1148" s="12">
        <f t="shared" si="8"/>
        <v>32.05428428</v>
      </c>
      <c r="U1148" s="145"/>
    </row>
    <row r="1149">
      <c r="A1149" s="29"/>
      <c r="B1149" s="29"/>
      <c r="C1149" s="29"/>
      <c r="D1149" s="15" t="s">
        <v>19</v>
      </c>
      <c r="E1149" s="15" t="s">
        <v>3609</v>
      </c>
      <c r="F1149" s="15" t="s">
        <v>1473</v>
      </c>
      <c r="G1149" s="15" t="s">
        <v>2660</v>
      </c>
      <c r="H1149" s="15">
        <v>0.0</v>
      </c>
      <c r="I1149" s="15" t="s">
        <v>1085</v>
      </c>
      <c r="J1149" s="15" t="s">
        <v>22</v>
      </c>
      <c r="K1149" s="15" t="s">
        <v>892</v>
      </c>
      <c r="L1149" s="15" t="s">
        <v>24</v>
      </c>
      <c r="M1149" s="16">
        <v>0.0</v>
      </c>
      <c r="N1149" s="16">
        <v>0.5</v>
      </c>
      <c r="O1149" s="16">
        <v>0.5</v>
      </c>
      <c r="P1149" s="17">
        <v>45214.0</v>
      </c>
      <c r="Q1149" s="18">
        <v>2.02</v>
      </c>
      <c r="R1149" s="15" t="s">
        <v>70</v>
      </c>
      <c r="S1149" s="19">
        <f t="shared" si="1"/>
        <v>0</v>
      </c>
      <c r="T1149" s="19">
        <f t="shared" si="8"/>
        <v>32.05428428</v>
      </c>
      <c r="U1149" s="144"/>
    </row>
    <row r="1150">
      <c r="A1150" s="107"/>
      <c r="B1150" s="107"/>
      <c r="C1150" s="107"/>
      <c r="D1150" s="8" t="s">
        <v>19</v>
      </c>
      <c r="E1150" s="8" t="s">
        <v>3610</v>
      </c>
      <c r="F1150" s="8" t="s">
        <v>1479</v>
      </c>
      <c r="G1150" s="8" t="s">
        <v>2660</v>
      </c>
      <c r="H1150" s="8">
        <v>0.0</v>
      </c>
      <c r="I1150" s="8" t="s">
        <v>923</v>
      </c>
      <c r="J1150" s="8" t="s">
        <v>22</v>
      </c>
      <c r="K1150" s="8" t="s">
        <v>892</v>
      </c>
      <c r="L1150" s="8" t="s">
        <v>24</v>
      </c>
      <c r="M1150" s="9">
        <v>0.0</v>
      </c>
      <c r="N1150" s="9">
        <v>0.5</v>
      </c>
      <c r="O1150" s="9">
        <v>0.5</v>
      </c>
      <c r="P1150" s="10">
        <v>45216.0</v>
      </c>
      <c r="Q1150" s="11">
        <v>2.05</v>
      </c>
      <c r="R1150" s="8" t="s">
        <v>70</v>
      </c>
      <c r="S1150" s="12">
        <f t="shared" si="1"/>
        <v>0</v>
      </c>
      <c r="T1150" s="12">
        <f t="shared" si="8"/>
        <v>32.05428428</v>
      </c>
      <c r="U1150" s="145"/>
    </row>
    <row r="1151">
      <c r="A1151" s="29"/>
      <c r="B1151" s="29"/>
      <c r="C1151" s="29"/>
      <c r="D1151" s="15" t="s">
        <v>19</v>
      </c>
      <c r="E1151" s="15" t="s">
        <v>3611</v>
      </c>
      <c r="F1151" s="15" t="s">
        <v>1479</v>
      </c>
      <c r="G1151" s="15" t="s">
        <v>2556</v>
      </c>
      <c r="H1151" s="15">
        <v>2</v>
      </c>
      <c r="I1151" s="15" t="s">
        <v>189</v>
      </c>
      <c r="J1151" s="15" t="s">
        <v>22</v>
      </c>
      <c r="K1151" s="15" t="s">
        <v>225</v>
      </c>
      <c r="L1151" s="15" t="s">
        <v>39</v>
      </c>
      <c r="M1151" s="16">
        <v>0.5</v>
      </c>
      <c r="N1151" s="16">
        <v>0.5</v>
      </c>
      <c r="O1151" s="16">
        <v>0.5</v>
      </c>
      <c r="P1151" s="17">
        <v>45216.0</v>
      </c>
      <c r="Q1151" s="18">
        <v>2.025</v>
      </c>
      <c r="R1151" s="15" t="s">
        <v>33</v>
      </c>
      <c r="S1151" s="19">
        <f t="shared" si="1"/>
        <v>0.5125</v>
      </c>
      <c r="T1151" s="19">
        <f t="shared" si="8"/>
        <v>32.56678428</v>
      </c>
      <c r="U1151" s="144"/>
    </row>
    <row r="1152">
      <c r="A1152" s="107"/>
      <c r="B1152" s="107"/>
      <c r="C1152" s="107"/>
      <c r="D1152" s="8" t="s">
        <v>19</v>
      </c>
      <c r="E1152" s="8" t="s">
        <v>3612</v>
      </c>
      <c r="F1152" s="8" t="s">
        <v>1479</v>
      </c>
      <c r="G1152" s="8"/>
      <c r="H1152" s="8">
        <v>2</v>
      </c>
      <c r="I1152" s="8" t="s">
        <v>189</v>
      </c>
      <c r="J1152" s="8" t="s">
        <v>22</v>
      </c>
      <c r="K1152" s="8" t="s">
        <v>1165</v>
      </c>
      <c r="L1152" s="8" t="s">
        <v>39</v>
      </c>
      <c r="M1152" s="9"/>
      <c r="N1152" s="9">
        <v>0.1</v>
      </c>
      <c r="O1152" s="9">
        <v>0.1</v>
      </c>
      <c r="P1152" s="10">
        <v>45216.0</v>
      </c>
      <c r="Q1152" s="11">
        <v>6.0</v>
      </c>
      <c r="R1152" s="8" t="s">
        <v>25</v>
      </c>
      <c r="S1152" s="12">
        <f t="shared" si="1"/>
        <v>-0.1</v>
      </c>
      <c r="T1152" s="12">
        <f t="shared" si="8"/>
        <v>32.46678428</v>
      </c>
      <c r="U1152" s="145"/>
    </row>
    <row r="1153">
      <c r="A1153" s="29"/>
      <c r="B1153" s="29"/>
      <c r="C1153" s="29"/>
      <c r="D1153" s="15" t="s">
        <v>19</v>
      </c>
      <c r="E1153" s="15" t="s">
        <v>3613</v>
      </c>
      <c r="F1153" s="15" t="s">
        <v>1479</v>
      </c>
      <c r="G1153" s="15" t="s">
        <v>2660</v>
      </c>
      <c r="H1153" s="15">
        <v>2</v>
      </c>
      <c r="I1153" s="15" t="s">
        <v>38</v>
      </c>
      <c r="J1153" s="15" t="s">
        <v>22</v>
      </c>
      <c r="K1153" s="15" t="s">
        <v>892</v>
      </c>
      <c r="L1153" s="15" t="s">
        <v>39</v>
      </c>
      <c r="M1153" s="16">
        <v>0.0</v>
      </c>
      <c r="N1153" s="16">
        <v>0.25</v>
      </c>
      <c r="O1153" s="16">
        <v>0.25</v>
      </c>
      <c r="P1153" s="17">
        <v>45216.0</v>
      </c>
      <c r="Q1153" s="18">
        <v>1.775</v>
      </c>
      <c r="R1153" s="15" t="s">
        <v>70</v>
      </c>
      <c r="S1153" s="19">
        <f t="shared" si="1"/>
        <v>0</v>
      </c>
      <c r="T1153" s="19">
        <f t="shared" si="8"/>
        <v>32.46678428</v>
      </c>
      <c r="U1153" s="144"/>
    </row>
    <row r="1154">
      <c r="A1154" s="107"/>
      <c r="B1154" s="107"/>
      <c r="C1154" s="107"/>
      <c r="D1154" s="8" t="s">
        <v>19</v>
      </c>
      <c r="E1154" s="8" t="s">
        <v>3614</v>
      </c>
      <c r="F1154" s="8" t="s">
        <v>1473</v>
      </c>
      <c r="G1154" s="8" t="s">
        <v>2556</v>
      </c>
      <c r="H1154" s="8">
        <v>0.0</v>
      </c>
      <c r="I1154" s="8" t="s">
        <v>182</v>
      </c>
      <c r="J1154" s="8" t="s">
        <v>22</v>
      </c>
      <c r="K1154" s="8" t="s">
        <v>225</v>
      </c>
      <c r="L1154" s="8" t="s">
        <v>1522</v>
      </c>
      <c r="M1154" s="9">
        <v>0.75</v>
      </c>
      <c r="N1154" s="9">
        <v>1.0</v>
      </c>
      <c r="O1154" s="9">
        <v>1.0</v>
      </c>
      <c r="P1154" s="10">
        <v>45216.0</v>
      </c>
      <c r="Q1154" s="11">
        <v>1.18</v>
      </c>
      <c r="R1154" s="8" t="s">
        <v>33</v>
      </c>
      <c r="S1154" s="12">
        <f t="shared" si="1"/>
        <v>0.18</v>
      </c>
      <c r="T1154" s="12">
        <f t="shared" si="8"/>
        <v>32.64678428</v>
      </c>
      <c r="U1154" s="145"/>
    </row>
    <row r="1155">
      <c r="A1155" s="29"/>
      <c r="B1155" s="29"/>
      <c r="C1155" s="29"/>
      <c r="D1155" s="15" t="s">
        <v>19</v>
      </c>
      <c r="E1155" s="15" t="s">
        <v>3615</v>
      </c>
      <c r="F1155" s="15"/>
      <c r="G1155" s="15"/>
      <c r="H1155" s="15"/>
      <c r="I1155" s="15" t="s">
        <v>182</v>
      </c>
      <c r="J1155" s="15" t="s">
        <v>22</v>
      </c>
      <c r="K1155" s="15" t="s">
        <v>29</v>
      </c>
      <c r="L1155" s="15" t="s">
        <v>1522</v>
      </c>
      <c r="M1155" s="16">
        <v>-5.25</v>
      </c>
      <c r="N1155" s="16">
        <v>0.5</v>
      </c>
      <c r="O1155" s="16">
        <v>0.05</v>
      </c>
      <c r="P1155" s="17">
        <v>45216.0</v>
      </c>
      <c r="Q1155" s="18">
        <v>1.85</v>
      </c>
      <c r="R1155" s="15" t="s">
        <v>25</v>
      </c>
      <c r="S1155" s="19">
        <f t="shared" si="1"/>
        <v>-0.05</v>
      </c>
      <c r="T1155" s="19">
        <f t="shared" si="8"/>
        <v>32.59678428</v>
      </c>
      <c r="U1155" s="144"/>
    </row>
    <row r="1156">
      <c r="A1156" s="107"/>
      <c r="B1156" s="107"/>
      <c r="C1156" s="107"/>
      <c r="D1156" s="8" t="s">
        <v>19</v>
      </c>
      <c r="E1156" s="8" t="s">
        <v>3616</v>
      </c>
      <c r="F1156" s="8" t="s">
        <v>1479</v>
      </c>
      <c r="G1156" s="8" t="s">
        <v>2556</v>
      </c>
      <c r="H1156" s="8">
        <v>3</v>
      </c>
      <c r="I1156" s="8" t="s">
        <v>316</v>
      </c>
      <c r="J1156" s="8" t="s">
        <v>22</v>
      </c>
      <c r="K1156" s="8" t="s">
        <v>225</v>
      </c>
      <c r="L1156" s="8" t="s">
        <v>1522</v>
      </c>
      <c r="M1156" s="9">
        <v>0.75</v>
      </c>
      <c r="N1156" s="9">
        <v>0.5</v>
      </c>
      <c r="O1156" s="9">
        <v>0.343</v>
      </c>
      <c r="P1156" s="10">
        <v>45216.0</v>
      </c>
      <c r="Q1156" s="11">
        <v>1.95</v>
      </c>
      <c r="R1156" s="8" t="s">
        <v>33</v>
      </c>
      <c r="S1156" s="12">
        <f t="shared" si="1"/>
        <v>0.32585</v>
      </c>
      <c r="T1156" s="12">
        <f t="shared" si="8"/>
        <v>32.92263428</v>
      </c>
      <c r="U1156" s="145"/>
    </row>
    <row r="1157">
      <c r="A1157" s="29"/>
      <c r="B1157" s="29"/>
      <c r="C1157" s="29"/>
      <c r="D1157" s="15" t="s">
        <v>40</v>
      </c>
      <c r="E1157" s="15" t="s">
        <v>3617</v>
      </c>
      <c r="F1157" s="15"/>
      <c r="G1157" s="15"/>
      <c r="H1157" s="15"/>
      <c r="I1157" s="15" t="s">
        <v>1961</v>
      </c>
      <c r="J1157" s="15" t="s">
        <v>22</v>
      </c>
      <c r="K1157" s="15" t="s">
        <v>29</v>
      </c>
      <c r="L1157" s="15" t="s">
        <v>1522</v>
      </c>
      <c r="M1157" s="16">
        <v>-4.5</v>
      </c>
      <c r="N1157" s="16">
        <v>0.25</v>
      </c>
      <c r="O1157" s="16">
        <f>0.792*0.25</f>
        <v>0.198</v>
      </c>
      <c r="P1157" s="17">
        <v>45217.0</v>
      </c>
      <c r="Q1157" s="18">
        <v>1.8</v>
      </c>
      <c r="R1157" s="15" t="s">
        <v>25</v>
      </c>
      <c r="S1157" s="19">
        <f t="shared" si="1"/>
        <v>-0.198</v>
      </c>
      <c r="T1157" s="19">
        <f t="shared" si="8"/>
        <v>32.72463428</v>
      </c>
      <c r="U1157" s="144"/>
    </row>
    <row r="1158">
      <c r="A1158" s="107"/>
      <c r="B1158" s="107"/>
      <c r="C1158" s="107"/>
      <c r="D1158" s="8" t="s">
        <v>19</v>
      </c>
      <c r="E1158" s="8" t="s">
        <v>3618</v>
      </c>
      <c r="F1158" s="8" t="s">
        <v>1473</v>
      </c>
      <c r="G1158" s="8" t="s">
        <v>2660</v>
      </c>
      <c r="H1158" s="8">
        <f>1</f>
        <v>1</v>
      </c>
      <c r="I1158" s="8" t="s">
        <v>121</v>
      </c>
      <c r="J1158" s="8" t="s">
        <v>22</v>
      </c>
      <c r="K1158" s="8" t="s">
        <v>892</v>
      </c>
      <c r="L1158" s="8" t="s">
        <v>1851</v>
      </c>
      <c r="M1158" s="9">
        <v>0.0</v>
      </c>
      <c r="N1158" s="9">
        <v>0.25</v>
      </c>
      <c r="O1158" s="9">
        <f>0.917*0.25</f>
        <v>0.22925</v>
      </c>
      <c r="P1158" s="10">
        <v>45217.0</v>
      </c>
      <c r="Q1158" s="11">
        <v>1.7</v>
      </c>
      <c r="R1158" s="8" t="s">
        <v>25</v>
      </c>
      <c r="S1158" s="12">
        <f t="shared" si="1"/>
        <v>-0.22925</v>
      </c>
      <c r="T1158" s="12">
        <f t="shared" si="8"/>
        <v>32.49538428</v>
      </c>
      <c r="U1158" s="145"/>
    </row>
    <row r="1159">
      <c r="A1159" s="29"/>
      <c r="B1159" s="29"/>
      <c r="C1159" s="29"/>
      <c r="D1159" s="15" t="s">
        <v>19</v>
      </c>
      <c r="E1159" s="15" t="s">
        <v>3619</v>
      </c>
      <c r="F1159" s="15" t="s">
        <v>1473</v>
      </c>
      <c r="G1159" s="15" t="s">
        <v>2660</v>
      </c>
      <c r="H1159" s="15">
        <v>-1.0</v>
      </c>
      <c r="I1159" s="15" t="s">
        <v>3476</v>
      </c>
      <c r="J1159" s="15" t="s">
        <v>22</v>
      </c>
      <c r="K1159" s="15" t="s">
        <v>892</v>
      </c>
      <c r="L1159" s="15" t="s">
        <v>24</v>
      </c>
      <c r="M1159" s="16">
        <v>0.0</v>
      </c>
      <c r="N1159" s="16">
        <v>0.25</v>
      </c>
      <c r="O1159" s="16">
        <f>0.958*0.25</f>
        <v>0.2395</v>
      </c>
      <c r="P1159" s="17">
        <v>45217.0</v>
      </c>
      <c r="Q1159" s="18">
        <v>2.1</v>
      </c>
      <c r="R1159" s="15" t="s">
        <v>70</v>
      </c>
      <c r="S1159" s="19">
        <f t="shared" si="1"/>
        <v>0</v>
      </c>
      <c r="T1159" s="19">
        <f t="shared" si="8"/>
        <v>32.49538428</v>
      </c>
      <c r="U1159" s="144"/>
    </row>
    <row r="1160">
      <c r="A1160" s="107"/>
      <c r="B1160" s="107"/>
      <c r="C1160" s="107"/>
      <c r="D1160" s="8" t="s">
        <v>19</v>
      </c>
      <c r="E1160" s="8" t="s">
        <v>3620</v>
      </c>
      <c r="F1160" s="8"/>
      <c r="G1160" s="8"/>
      <c r="H1160" s="8" t="s">
        <v>2615</v>
      </c>
      <c r="I1160" s="8" t="s">
        <v>82</v>
      </c>
      <c r="J1160" s="8" t="s">
        <v>22</v>
      </c>
      <c r="K1160" s="8" t="s">
        <v>2965</v>
      </c>
      <c r="L1160" s="8" t="s">
        <v>24</v>
      </c>
      <c r="M1160" s="9">
        <v>-14.0</v>
      </c>
      <c r="N1160" s="9">
        <v>0.25</v>
      </c>
      <c r="O1160" s="9">
        <v>0.25</v>
      </c>
      <c r="P1160" s="10">
        <v>45217.0</v>
      </c>
      <c r="Q1160" s="11">
        <v>1.57</v>
      </c>
      <c r="R1160" s="8" t="s">
        <v>33</v>
      </c>
      <c r="S1160" s="12">
        <f t="shared" si="1"/>
        <v>0.1425</v>
      </c>
      <c r="T1160" s="12">
        <f t="shared" si="8"/>
        <v>32.63788428</v>
      </c>
      <c r="U1160" s="145"/>
    </row>
    <row r="1161">
      <c r="A1161" s="29"/>
      <c r="B1161" s="29"/>
      <c r="C1161" s="29"/>
      <c r="D1161" s="15" t="s">
        <v>19</v>
      </c>
      <c r="E1161" s="15" t="s">
        <v>3621</v>
      </c>
      <c r="F1161" s="15"/>
      <c r="G1161" s="15"/>
      <c r="H1161" s="15"/>
      <c r="I1161" s="15" t="s">
        <v>82</v>
      </c>
      <c r="J1161" s="15" t="s">
        <v>598</v>
      </c>
      <c r="K1161" s="15" t="s">
        <v>2415</v>
      </c>
      <c r="L1161" s="15" t="s">
        <v>1522</v>
      </c>
      <c r="M1161" s="16">
        <v>2.0</v>
      </c>
      <c r="N1161" s="16">
        <v>0.5</v>
      </c>
      <c r="O1161" s="16">
        <v>0.5</v>
      </c>
      <c r="P1161" s="17">
        <v>45217.0</v>
      </c>
      <c r="Q1161" s="18">
        <v>1.875</v>
      </c>
      <c r="R1161" s="15" t="s">
        <v>70</v>
      </c>
      <c r="S1161" s="19">
        <f t="shared" si="1"/>
        <v>0</v>
      </c>
      <c r="T1161" s="19">
        <f t="shared" si="8"/>
        <v>32.63788428</v>
      </c>
      <c r="U1161" s="144"/>
    </row>
    <row r="1162">
      <c r="A1162" s="107"/>
      <c r="B1162" s="107"/>
      <c r="C1162" s="107"/>
      <c r="D1162" s="8" t="s">
        <v>19</v>
      </c>
      <c r="E1162" s="8" t="s">
        <v>3622</v>
      </c>
      <c r="F1162" s="8" t="s">
        <v>1473</v>
      </c>
      <c r="G1162" s="8"/>
      <c r="H1162" s="8"/>
      <c r="I1162" s="8" t="s">
        <v>82</v>
      </c>
      <c r="J1162" s="8" t="s">
        <v>598</v>
      </c>
      <c r="K1162" s="8" t="s">
        <v>941</v>
      </c>
      <c r="L1162" s="8" t="s">
        <v>39</v>
      </c>
      <c r="M1162" s="9">
        <v>0.0</v>
      </c>
      <c r="N1162" s="9">
        <v>0.25</v>
      </c>
      <c r="O1162" s="9">
        <v>0.25</v>
      </c>
      <c r="P1162" s="54">
        <v>45217.0</v>
      </c>
      <c r="Q1162" s="11">
        <v>1.725</v>
      </c>
      <c r="R1162" s="8" t="s">
        <v>33</v>
      </c>
      <c r="S1162" s="12">
        <f t="shared" si="1"/>
        <v>0.18125</v>
      </c>
      <c r="T1162" s="12">
        <f t="shared" si="8"/>
        <v>32.81913428</v>
      </c>
      <c r="U1162" s="145"/>
    </row>
    <row r="1163">
      <c r="A1163" s="29"/>
      <c r="B1163" s="29"/>
      <c r="C1163" s="29"/>
      <c r="D1163" s="15" t="s">
        <v>19</v>
      </c>
      <c r="E1163" s="15" t="s">
        <v>3623</v>
      </c>
      <c r="F1163" s="15" t="s">
        <v>1473</v>
      </c>
      <c r="G1163" s="15" t="s">
        <v>2660</v>
      </c>
      <c r="H1163" s="15">
        <v>-1.0</v>
      </c>
      <c r="I1163" s="15" t="s">
        <v>683</v>
      </c>
      <c r="J1163" s="15" t="s">
        <v>22</v>
      </c>
      <c r="K1163" s="15" t="s">
        <v>892</v>
      </c>
      <c r="L1163" s="15" t="s">
        <v>24</v>
      </c>
      <c r="M1163" s="16">
        <v>0.0</v>
      </c>
      <c r="N1163" s="16">
        <v>0.5</v>
      </c>
      <c r="O1163" s="16">
        <v>0.5</v>
      </c>
      <c r="P1163" s="17">
        <v>45217.0</v>
      </c>
      <c r="Q1163" s="18">
        <v>2.0</v>
      </c>
      <c r="R1163" s="15" t="s">
        <v>33</v>
      </c>
      <c r="S1163" s="19">
        <f t="shared" si="1"/>
        <v>0.5</v>
      </c>
      <c r="T1163" s="19">
        <f t="shared" si="8"/>
        <v>33.31913428</v>
      </c>
      <c r="U1163" s="144"/>
    </row>
    <row r="1164">
      <c r="A1164" s="107"/>
      <c r="B1164" s="107"/>
      <c r="C1164" s="107"/>
      <c r="D1164" s="8" t="s">
        <v>19</v>
      </c>
      <c r="E1164" s="8" t="s">
        <v>3624</v>
      </c>
      <c r="F1164" s="8"/>
      <c r="G1164" s="8"/>
      <c r="H1164" s="8" t="s">
        <v>2615</v>
      </c>
      <c r="I1164" s="8" t="s">
        <v>82</v>
      </c>
      <c r="J1164" s="8" t="s">
        <v>22</v>
      </c>
      <c r="K1164" s="8" t="s">
        <v>2415</v>
      </c>
      <c r="L1164" s="8" t="s">
        <v>39</v>
      </c>
      <c r="M1164" s="9">
        <v>7.5</v>
      </c>
      <c r="N1164" s="9">
        <v>0.25</v>
      </c>
      <c r="O1164" s="9">
        <v>0.25</v>
      </c>
      <c r="P1164" s="10">
        <v>45217.0</v>
      </c>
      <c r="Q1164" s="11">
        <v>1.7</v>
      </c>
      <c r="R1164" s="8" t="s">
        <v>33</v>
      </c>
      <c r="S1164" s="12">
        <f t="shared" si="1"/>
        <v>0.175</v>
      </c>
      <c r="T1164" s="12">
        <f t="shared" si="8"/>
        <v>33.49413428</v>
      </c>
      <c r="U1164" s="145"/>
    </row>
    <row r="1165">
      <c r="A1165" s="29"/>
      <c r="B1165" s="29"/>
      <c r="C1165" s="29"/>
      <c r="D1165" s="15" t="s">
        <v>19</v>
      </c>
      <c r="E1165" s="15" t="s">
        <v>3625</v>
      </c>
      <c r="F1165" s="15"/>
      <c r="G1165" s="15"/>
      <c r="H1165" s="15"/>
      <c r="I1165" s="15" t="s">
        <v>82</v>
      </c>
      <c r="J1165" s="15" t="s">
        <v>598</v>
      </c>
      <c r="K1165" s="15" t="s">
        <v>2415</v>
      </c>
      <c r="L1165" s="15" t="s">
        <v>39</v>
      </c>
      <c r="M1165" s="16">
        <v>11.0</v>
      </c>
      <c r="N1165" s="16">
        <v>0.5</v>
      </c>
      <c r="O1165" s="16">
        <v>0.5</v>
      </c>
      <c r="P1165" s="17">
        <v>45218.0</v>
      </c>
      <c r="Q1165" s="18">
        <v>1.925</v>
      </c>
      <c r="R1165" s="15" t="s">
        <v>33</v>
      </c>
      <c r="S1165" s="19">
        <f t="shared" si="1"/>
        <v>0.4625</v>
      </c>
      <c r="T1165" s="19">
        <f t="shared" si="8"/>
        <v>33.95663428</v>
      </c>
      <c r="U1165" s="144"/>
    </row>
    <row r="1166">
      <c r="A1166" s="107"/>
      <c r="B1166" s="107"/>
      <c r="C1166" s="107"/>
      <c r="D1166" s="8" t="s">
        <v>19</v>
      </c>
      <c r="E1166" s="8" t="s">
        <v>3626</v>
      </c>
      <c r="F1166" s="8"/>
      <c r="G1166" s="8"/>
      <c r="H1166" s="8"/>
      <c r="I1166" s="8" t="s">
        <v>768</v>
      </c>
      <c r="J1166" s="8" t="s">
        <v>598</v>
      </c>
      <c r="K1166" s="8" t="s">
        <v>29</v>
      </c>
      <c r="L1166" s="8" t="s">
        <v>39</v>
      </c>
      <c r="M1166" s="9">
        <v>-53.5</v>
      </c>
      <c r="N1166" s="9">
        <v>0.3</v>
      </c>
      <c r="O1166" s="9">
        <v>0.3</v>
      </c>
      <c r="P1166" s="10">
        <v>45218.0</v>
      </c>
      <c r="Q1166" s="11">
        <v>1.909</v>
      </c>
      <c r="R1166" s="8" t="s">
        <v>33</v>
      </c>
      <c r="S1166" s="12">
        <f t="shared" si="1"/>
        <v>0.2727</v>
      </c>
      <c r="T1166" s="12">
        <f t="shared" si="8"/>
        <v>34.22933428</v>
      </c>
      <c r="U1166" s="145"/>
    </row>
    <row r="1167">
      <c r="A1167" s="29"/>
      <c r="B1167" s="29"/>
      <c r="C1167" s="29"/>
      <c r="D1167" s="15" t="s">
        <v>19</v>
      </c>
      <c r="E1167" s="15" t="s">
        <v>3627</v>
      </c>
      <c r="F1167" s="15" t="s">
        <v>1473</v>
      </c>
      <c r="G1167" s="15" t="s">
        <v>2660</v>
      </c>
      <c r="H1167" s="15">
        <f t="shared" ref="H1167:H1170" si="37">1</f>
        <v>1</v>
      </c>
      <c r="I1167" s="15" t="s">
        <v>3476</v>
      </c>
      <c r="J1167" s="15" t="s">
        <v>22</v>
      </c>
      <c r="K1167" s="15" t="s">
        <v>892</v>
      </c>
      <c r="L1167" s="15" t="s">
        <v>24</v>
      </c>
      <c r="M1167" s="16">
        <v>0.0</v>
      </c>
      <c r="N1167" s="16">
        <v>0.75</v>
      </c>
      <c r="O1167" s="16">
        <v>0.75</v>
      </c>
      <c r="P1167" s="17">
        <v>45218.0</v>
      </c>
      <c r="Q1167" s="18">
        <v>1.7</v>
      </c>
      <c r="R1167" s="15" t="s">
        <v>70</v>
      </c>
      <c r="S1167" s="19">
        <f t="shared" si="1"/>
        <v>0</v>
      </c>
      <c r="T1167" s="19">
        <f t="shared" si="8"/>
        <v>34.22933428</v>
      </c>
      <c r="U1167" s="144"/>
    </row>
    <row r="1168">
      <c r="A1168" s="107"/>
      <c r="B1168" s="107"/>
      <c r="C1168" s="107"/>
      <c r="D1168" s="8" t="s">
        <v>19</v>
      </c>
      <c r="E1168" s="8" t="s">
        <v>3627</v>
      </c>
      <c r="F1168" s="8" t="s">
        <v>1473</v>
      </c>
      <c r="G1168" s="8" t="s">
        <v>2660</v>
      </c>
      <c r="H1168" s="8">
        <f t="shared" si="37"/>
        <v>1</v>
      </c>
      <c r="I1168" s="8" t="s">
        <v>3476</v>
      </c>
      <c r="J1168" s="8" t="s">
        <v>22</v>
      </c>
      <c r="K1168" s="8" t="s">
        <v>892</v>
      </c>
      <c r="L1168" s="8" t="s">
        <v>24</v>
      </c>
      <c r="M1168" s="9">
        <v>0.0</v>
      </c>
      <c r="N1168" s="9">
        <v>0.02</v>
      </c>
      <c r="O1168" s="9">
        <v>0.02</v>
      </c>
      <c r="P1168" s="10">
        <v>45218.0</v>
      </c>
      <c r="Q1168" s="11">
        <v>1.8</v>
      </c>
      <c r="R1168" s="8" t="s">
        <v>25</v>
      </c>
      <c r="S1168" s="12">
        <f t="shared" si="1"/>
        <v>-0.02</v>
      </c>
      <c r="T1168" s="12">
        <f t="shared" si="8"/>
        <v>34.20933428</v>
      </c>
      <c r="U1168" s="145"/>
    </row>
    <row r="1169">
      <c r="A1169" s="29"/>
      <c r="B1169" s="29"/>
      <c r="C1169" s="29"/>
      <c r="D1169" s="15" t="s">
        <v>19</v>
      </c>
      <c r="E1169" s="15" t="s">
        <v>3628</v>
      </c>
      <c r="F1169" s="15" t="s">
        <v>1479</v>
      </c>
      <c r="G1169" s="15" t="s">
        <v>2556</v>
      </c>
      <c r="H1169" s="15">
        <f t="shared" si="37"/>
        <v>1</v>
      </c>
      <c r="I1169" s="15" t="s">
        <v>316</v>
      </c>
      <c r="J1169" s="15" t="s">
        <v>22</v>
      </c>
      <c r="K1169" s="15" t="s">
        <v>225</v>
      </c>
      <c r="L1169" s="15" t="s">
        <v>24</v>
      </c>
      <c r="M1169" s="16">
        <v>0.75</v>
      </c>
      <c r="N1169" s="16">
        <v>0.25</v>
      </c>
      <c r="O1169" s="16">
        <f>0.412*0.25</f>
        <v>0.103</v>
      </c>
      <c r="P1169" s="17">
        <v>45218.0</v>
      </c>
      <c r="Q1169" s="18">
        <v>1.01</v>
      </c>
      <c r="R1169" s="15" t="s">
        <v>33</v>
      </c>
      <c r="S1169" s="19">
        <f t="shared" si="1"/>
        <v>0.00103</v>
      </c>
      <c r="T1169" s="19">
        <f t="shared" si="8"/>
        <v>34.21036428</v>
      </c>
      <c r="U1169" s="144"/>
    </row>
    <row r="1170">
      <c r="A1170" s="107"/>
      <c r="B1170" s="107"/>
      <c r="C1170" s="107"/>
      <c r="D1170" s="8" t="s">
        <v>19</v>
      </c>
      <c r="E1170" s="8" t="s">
        <v>3629</v>
      </c>
      <c r="F1170" s="8" t="s">
        <v>1479</v>
      </c>
      <c r="G1170" s="8" t="s">
        <v>2556</v>
      </c>
      <c r="H1170" s="8">
        <f t="shared" si="37"/>
        <v>1</v>
      </c>
      <c r="I1170" s="8" t="s">
        <v>316</v>
      </c>
      <c r="J1170" s="8" t="s">
        <v>22</v>
      </c>
      <c r="K1170" s="8" t="s">
        <v>225</v>
      </c>
      <c r="L1170" s="8" t="s">
        <v>24</v>
      </c>
      <c r="M1170" s="9">
        <v>0.5</v>
      </c>
      <c r="N1170" s="9">
        <v>0.75</v>
      </c>
      <c r="O1170" s="9">
        <v>0.75</v>
      </c>
      <c r="P1170" s="10">
        <v>45218.0</v>
      </c>
      <c r="Q1170" s="11">
        <v>1.0207</v>
      </c>
      <c r="R1170" s="8" t="s">
        <v>33</v>
      </c>
      <c r="S1170" s="12">
        <f t="shared" si="1"/>
        <v>0.015525</v>
      </c>
      <c r="T1170" s="12">
        <f t="shared" si="8"/>
        <v>34.22588928</v>
      </c>
      <c r="U1170" s="145"/>
    </row>
    <row r="1171">
      <c r="A1171" s="29"/>
      <c r="B1171" s="29"/>
      <c r="C1171" s="29"/>
      <c r="D1171" s="15" t="s">
        <v>19</v>
      </c>
      <c r="E1171" s="15" t="s">
        <v>3630</v>
      </c>
      <c r="F1171" s="15" t="s">
        <v>1479</v>
      </c>
      <c r="G1171" s="15" t="s">
        <v>2556</v>
      </c>
      <c r="H1171" s="15">
        <v>0.0</v>
      </c>
      <c r="I1171" s="15" t="s">
        <v>44</v>
      </c>
      <c r="J1171" s="15" t="s">
        <v>22</v>
      </c>
      <c r="K1171" s="15" t="s">
        <v>225</v>
      </c>
      <c r="L1171" s="15" t="s">
        <v>24</v>
      </c>
      <c r="M1171" s="16">
        <v>0.5</v>
      </c>
      <c r="N1171" s="16">
        <v>0.75</v>
      </c>
      <c r="O1171" s="16">
        <v>0.75</v>
      </c>
      <c r="P1171" s="17">
        <v>45218.0</v>
      </c>
      <c r="Q1171" s="18">
        <v>1.0533</v>
      </c>
      <c r="R1171" s="15" t="s">
        <v>33</v>
      </c>
      <c r="S1171" s="19">
        <f t="shared" si="1"/>
        <v>0.039975</v>
      </c>
      <c r="T1171" s="19">
        <f t="shared" si="8"/>
        <v>34.26586428</v>
      </c>
      <c r="U1171" s="144"/>
    </row>
    <row r="1172">
      <c r="A1172" s="107"/>
      <c r="B1172" s="107"/>
      <c r="C1172" s="107"/>
      <c r="D1172" s="8" t="s">
        <v>19</v>
      </c>
      <c r="E1172" s="8" t="s">
        <v>3631</v>
      </c>
      <c r="F1172" s="8" t="s">
        <v>1473</v>
      </c>
      <c r="G1172" s="8" t="s">
        <v>2660</v>
      </c>
      <c r="H1172" s="8">
        <v>0.0</v>
      </c>
      <c r="I1172" s="8" t="s">
        <v>463</v>
      </c>
      <c r="J1172" s="8" t="s">
        <v>22</v>
      </c>
      <c r="K1172" s="8" t="s">
        <v>892</v>
      </c>
      <c r="L1172" s="8" t="s">
        <v>39</v>
      </c>
      <c r="M1172" s="9">
        <v>0.0</v>
      </c>
      <c r="N1172" s="9">
        <v>0.25</v>
      </c>
      <c r="O1172" s="9">
        <v>0.25</v>
      </c>
      <c r="P1172" s="10">
        <v>45218.0</v>
      </c>
      <c r="Q1172" s="11">
        <v>1.9</v>
      </c>
      <c r="R1172" s="8" t="s">
        <v>33</v>
      </c>
      <c r="S1172" s="12">
        <f t="shared" si="1"/>
        <v>0.225</v>
      </c>
      <c r="T1172" s="12">
        <f t="shared" si="8"/>
        <v>34.49086428</v>
      </c>
      <c r="U1172" s="145"/>
    </row>
    <row r="1173">
      <c r="A1173" s="29"/>
      <c r="B1173" s="29"/>
      <c r="C1173" s="29"/>
      <c r="D1173" s="15" t="s">
        <v>19</v>
      </c>
      <c r="E1173" s="15" t="s">
        <v>3632</v>
      </c>
      <c r="F1173" s="15" t="s">
        <v>1479</v>
      </c>
      <c r="G1173" s="15" t="s">
        <v>2660</v>
      </c>
      <c r="H1173" s="15">
        <f>1</f>
        <v>1</v>
      </c>
      <c r="I1173" s="15" t="s">
        <v>583</v>
      </c>
      <c r="J1173" s="15" t="s">
        <v>22</v>
      </c>
      <c r="K1173" s="15" t="s">
        <v>892</v>
      </c>
      <c r="L1173" s="15" t="s">
        <v>1851</v>
      </c>
      <c r="M1173" s="16">
        <v>0.0</v>
      </c>
      <c r="N1173" s="16">
        <v>1.0</v>
      </c>
      <c r="O1173" s="16">
        <v>1.0</v>
      </c>
      <c r="P1173" s="17">
        <v>45219.0</v>
      </c>
      <c r="Q1173" s="18">
        <v>1.9</v>
      </c>
      <c r="R1173" s="15" t="s">
        <v>33</v>
      </c>
      <c r="S1173" s="19">
        <f t="shared" si="1"/>
        <v>0.9</v>
      </c>
      <c r="T1173" s="19">
        <f t="shared" si="8"/>
        <v>35.39086428</v>
      </c>
      <c r="U1173" s="144"/>
    </row>
    <row r="1174">
      <c r="A1174" s="107"/>
      <c r="B1174" s="107"/>
      <c r="C1174" s="107"/>
      <c r="D1174" s="8" t="s">
        <v>19</v>
      </c>
      <c r="E1174" s="8" t="s">
        <v>3633</v>
      </c>
      <c r="F1174" s="8" t="s">
        <v>1473</v>
      </c>
      <c r="G1174" s="8" t="s">
        <v>2556</v>
      </c>
      <c r="H1174" s="8">
        <v>-2.0</v>
      </c>
      <c r="I1174" s="8" t="s">
        <v>583</v>
      </c>
      <c r="J1174" s="8" t="s">
        <v>22</v>
      </c>
      <c r="K1174" s="8" t="s">
        <v>225</v>
      </c>
      <c r="L1174" s="8" t="s">
        <v>39</v>
      </c>
      <c r="M1174" s="9">
        <v>0.5</v>
      </c>
      <c r="N1174" s="9">
        <v>0.57</v>
      </c>
      <c r="O1174" s="9">
        <v>0.57</v>
      </c>
      <c r="P1174" s="10">
        <v>45219.0</v>
      </c>
      <c r="Q1174" s="11">
        <v>1.9</v>
      </c>
      <c r="R1174" s="8" t="s">
        <v>25</v>
      </c>
      <c r="S1174" s="12">
        <f t="shared" si="1"/>
        <v>-0.57</v>
      </c>
      <c r="T1174" s="12">
        <f t="shared" si="8"/>
        <v>34.82086428</v>
      </c>
      <c r="U1174" s="145"/>
    </row>
    <row r="1175">
      <c r="A1175" s="29"/>
      <c r="B1175" s="29"/>
      <c r="C1175" s="29"/>
      <c r="D1175" s="15" t="s">
        <v>19</v>
      </c>
      <c r="E1175" s="15" t="s">
        <v>3634</v>
      </c>
      <c r="F1175" s="15"/>
      <c r="G1175" s="15"/>
      <c r="H1175" s="15"/>
      <c r="I1175" s="15" t="s">
        <v>583</v>
      </c>
      <c r="J1175" s="15" t="s">
        <v>22</v>
      </c>
      <c r="K1175" s="15" t="s">
        <v>2939</v>
      </c>
      <c r="L1175" s="15" t="s">
        <v>39</v>
      </c>
      <c r="M1175" s="16">
        <v>-5.5</v>
      </c>
      <c r="N1175" s="16">
        <v>0.5</v>
      </c>
      <c r="O1175" s="16">
        <v>0.5</v>
      </c>
      <c r="P1175" s="17">
        <v>45219.0</v>
      </c>
      <c r="Q1175" s="18">
        <f>341.2/250</f>
        <v>1.3648</v>
      </c>
      <c r="R1175" s="15" t="s">
        <v>33</v>
      </c>
      <c r="S1175" s="19">
        <f t="shared" si="1"/>
        <v>0.1824</v>
      </c>
      <c r="T1175" s="19">
        <f t="shared" si="8"/>
        <v>35.00326428</v>
      </c>
      <c r="U1175" s="144"/>
    </row>
    <row r="1176">
      <c r="A1176" s="107"/>
      <c r="B1176" s="107"/>
      <c r="C1176" s="107"/>
      <c r="D1176" s="8" t="s">
        <v>19</v>
      </c>
      <c r="E1176" s="8" t="s">
        <v>3635</v>
      </c>
      <c r="F1176" s="8" t="s">
        <v>1479</v>
      </c>
      <c r="G1176" s="8" t="s">
        <v>2556</v>
      </c>
      <c r="H1176" s="8">
        <f>1</f>
        <v>1</v>
      </c>
      <c r="I1176" s="8" t="s">
        <v>1025</v>
      </c>
      <c r="J1176" s="8" t="s">
        <v>22</v>
      </c>
      <c r="K1176" s="8" t="s">
        <v>225</v>
      </c>
      <c r="L1176" s="8" t="s">
        <v>24</v>
      </c>
      <c r="M1176" s="9">
        <v>0.5</v>
      </c>
      <c r="N1176" s="9">
        <v>0.5</v>
      </c>
      <c r="O1176" s="9">
        <v>0.5</v>
      </c>
      <c r="P1176" s="10">
        <v>45219.0</v>
      </c>
      <c r="Q1176" s="11">
        <v>1.775</v>
      </c>
      <c r="R1176" s="8" t="s">
        <v>25</v>
      </c>
      <c r="S1176" s="12">
        <f t="shared" si="1"/>
        <v>-0.5</v>
      </c>
      <c r="T1176" s="12">
        <f t="shared" si="8"/>
        <v>34.50326428</v>
      </c>
      <c r="U1176" s="145"/>
    </row>
    <row r="1177">
      <c r="A1177" s="29"/>
      <c r="B1177" s="29"/>
      <c r="C1177" s="29"/>
      <c r="D1177" s="15" t="s">
        <v>19</v>
      </c>
      <c r="E1177" s="15" t="s">
        <v>3636</v>
      </c>
      <c r="F1177" s="15" t="s">
        <v>1473</v>
      </c>
      <c r="G1177" s="15" t="s">
        <v>2660</v>
      </c>
      <c r="H1177" s="15">
        <v>-2.0</v>
      </c>
      <c r="I1177" s="15" t="s">
        <v>1031</v>
      </c>
      <c r="J1177" s="15" t="s">
        <v>22</v>
      </c>
      <c r="K1177" s="15" t="s">
        <v>892</v>
      </c>
      <c r="L1177" s="15" t="s">
        <v>24</v>
      </c>
      <c r="M1177" s="16">
        <v>0.0</v>
      </c>
      <c r="N1177" s="16">
        <v>0.25</v>
      </c>
      <c r="O1177" s="15">
        <v>0.25</v>
      </c>
      <c r="P1177" s="55">
        <v>45219.0</v>
      </c>
      <c r="Q1177" s="18">
        <v>2.0</v>
      </c>
      <c r="R1177" s="15" t="s">
        <v>70</v>
      </c>
      <c r="S1177" s="19">
        <f t="shared" si="1"/>
        <v>0</v>
      </c>
      <c r="T1177" s="19">
        <f t="shared" si="8"/>
        <v>34.50326428</v>
      </c>
      <c r="U1177" s="144"/>
    </row>
    <row r="1178">
      <c r="A1178" s="107"/>
      <c r="B1178" s="107"/>
      <c r="C1178" s="107"/>
      <c r="D1178" s="8" t="s">
        <v>19</v>
      </c>
      <c r="E1178" s="8" t="s">
        <v>3637</v>
      </c>
      <c r="F1178" s="8" t="s">
        <v>1473</v>
      </c>
      <c r="G1178" s="8" t="s">
        <v>2556</v>
      </c>
      <c r="H1178" s="8">
        <v>2</v>
      </c>
      <c r="I1178" s="8" t="s">
        <v>231</v>
      </c>
      <c r="J1178" s="8" t="s">
        <v>22</v>
      </c>
      <c r="K1178" s="8" t="s">
        <v>225</v>
      </c>
      <c r="L1178" s="8" t="s">
        <v>2688</v>
      </c>
      <c r="M1178" s="9">
        <v>1.75</v>
      </c>
      <c r="N1178" s="9">
        <v>0.5</v>
      </c>
      <c r="O1178" s="9">
        <v>0.5</v>
      </c>
      <c r="P1178" s="10">
        <v>45219.0</v>
      </c>
      <c r="Q1178" s="11">
        <v>1.825</v>
      </c>
      <c r="R1178" s="8" t="s">
        <v>25</v>
      </c>
      <c r="S1178" s="12">
        <f t="shared" si="1"/>
        <v>-0.5</v>
      </c>
      <c r="T1178" s="12">
        <f t="shared" si="8"/>
        <v>34.00326428</v>
      </c>
      <c r="U1178" s="145"/>
    </row>
    <row r="1179">
      <c r="A1179" s="29"/>
      <c r="B1179" s="29"/>
      <c r="C1179" s="29"/>
      <c r="D1179" s="15" t="s">
        <v>19</v>
      </c>
      <c r="E1179" s="15" t="s">
        <v>3638</v>
      </c>
      <c r="F1179" s="15" t="s">
        <v>1473</v>
      </c>
      <c r="G1179" s="15" t="s">
        <v>2660</v>
      </c>
      <c r="H1179" s="15">
        <v>0.0</v>
      </c>
      <c r="I1179" s="15" t="s">
        <v>703</v>
      </c>
      <c r="J1179" s="15" t="s">
        <v>22</v>
      </c>
      <c r="K1179" s="15" t="s">
        <v>1150</v>
      </c>
      <c r="L1179" s="15" t="s">
        <v>24</v>
      </c>
      <c r="M1179" s="16">
        <v>0.0</v>
      </c>
      <c r="N1179" s="16">
        <v>0.5</v>
      </c>
      <c r="O1179" s="16">
        <v>0.5</v>
      </c>
      <c r="P1179" s="17">
        <v>45219.0</v>
      </c>
      <c r="Q1179" s="18">
        <v>2.0</v>
      </c>
      <c r="R1179" s="15" t="s">
        <v>70</v>
      </c>
      <c r="S1179" s="19">
        <f t="shared" si="1"/>
        <v>0</v>
      </c>
      <c r="T1179" s="19">
        <f t="shared" si="8"/>
        <v>34.00326428</v>
      </c>
      <c r="U1179" s="144"/>
    </row>
    <row r="1180">
      <c r="A1180" s="107"/>
      <c r="B1180" s="107"/>
      <c r="C1180" s="107"/>
      <c r="D1180" s="8" t="s">
        <v>19</v>
      </c>
      <c r="E1180" s="8" t="s">
        <v>3639</v>
      </c>
      <c r="F1180" s="8" t="s">
        <v>1473</v>
      </c>
      <c r="G1180" s="8" t="s">
        <v>2660</v>
      </c>
      <c r="H1180" s="8">
        <v>0.0</v>
      </c>
      <c r="I1180" s="8" t="s">
        <v>703</v>
      </c>
      <c r="J1180" s="8" t="s">
        <v>22</v>
      </c>
      <c r="K1180" s="8" t="s">
        <v>892</v>
      </c>
      <c r="L1180" s="8" t="s">
        <v>24</v>
      </c>
      <c r="M1180" s="9">
        <v>0.0</v>
      </c>
      <c r="N1180" s="9">
        <v>0.5</v>
      </c>
      <c r="O1180" s="9">
        <v>0.5</v>
      </c>
      <c r="P1180" s="10">
        <v>45219.0</v>
      </c>
      <c r="Q1180" s="11">
        <v>2.0</v>
      </c>
      <c r="R1180" s="8" t="s">
        <v>70</v>
      </c>
      <c r="S1180" s="12">
        <f t="shared" si="1"/>
        <v>0</v>
      </c>
      <c r="T1180" s="12">
        <f t="shared" si="8"/>
        <v>34.00326428</v>
      </c>
      <c r="U1180" s="145"/>
    </row>
    <row r="1181">
      <c r="A1181" s="29"/>
      <c r="B1181" s="29"/>
      <c r="C1181" s="29"/>
      <c r="D1181" s="15" t="s">
        <v>19</v>
      </c>
      <c r="E1181" s="15" t="s">
        <v>3640</v>
      </c>
      <c r="F1181" s="15" t="s">
        <v>1473</v>
      </c>
      <c r="G1181" s="15" t="s">
        <v>2660</v>
      </c>
      <c r="H1181" s="15">
        <v>0.0</v>
      </c>
      <c r="I1181" s="15" t="s">
        <v>273</v>
      </c>
      <c r="J1181" s="15" t="s">
        <v>22</v>
      </c>
      <c r="K1181" s="15" t="s">
        <v>892</v>
      </c>
      <c r="L1181" s="15" t="s">
        <v>2688</v>
      </c>
      <c r="M1181" s="16">
        <v>0.0</v>
      </c>
      <c r="N1181" s="16">
        <v>0.75</v>
      </c>
      <c r="O1181" s="16">
        <v>0.75</v>
      </c>
      <c r="P1181" s="17">
        <v>45219.0</v>
      </c>
      <c r="Q1181" s="18">
        <v>1.75</v>
      </c>
      <c r="R1181" s="15" t="s">
        <v>33</v>
      </c>
      <c r="S1181" s="19">
        <f t="shared" si="1"/>
        <v>0.5625</v>
      </c>
      <c r="T1181" s="19">
        <f t="shared" si="8"/>
        <v>34.56576428</v>
      </c>
      <c r="U1181" s="144"/>
    </row>
    <row r="1182">
      <c r="A1182" s="107"/>
      <c r="B1182" s="107"/>
      <c r="C1182" s="107"/>
      <c r="D1182" s="8" t="s">
        <v>19</v>
      </c>
      <c r="E1182" s="8" t="s">
        <v>3641</v>
      </c>
      <c r="F1182" s="8"/>
      <c r="G1182" s="8"/>
      <c r="H1182" s="8"/>
      <c r="I1182" s="8" t="s">
        <v>616</v>
      </c>
      <c r="J1182" s="8" t="s">
        <v>22</v>
      </c>
      <c r="K1182" s="8" t="s">
        <v>2634</v>
      </c>
      <c r="L1182" s="8" t="s">
        <v>24</v>
      </c>
      <c r="M1182" s="9"/>
      <c r="N1182" s="9">
        <v>0.3</v>
      </c>
      <c r="O1182" s="9">
        <v>0.3</v>
      </c>
      <c r="P1182" s="10">
        <v>45219.0</v>
      </c>
      <c r="Q1182" s="11">
        <v>1.8</v>
      </c>
      <c r="R1182" s="8" t="s">
        <v>33</v>
      </c>
      <c r="S1182" s="12">
        <f t="shared" si="1"/>
        <v>0.24</v>
      </c>
      <c r="T1182" s="12">
        <f t="shared" si="8"/>
        <v>34.80576428</v>
      </c>
      <c r="U1182" s="145"/>
    </row>
    <row r="1183">
      <c r="A1183" s="29"/>
      <c r="B1183" s="29"/>
      <c r="C1183" s="29"/>
      <c r="D1183" s="15" t="s">
        <v>40</v>
      </c>
      <c r="E1183" s="15" t="s">
        <v>3642</v>
      </c>
      <c r="F1183" s="15" t="s">
        <v>1479</v>
      </c>
      <c r="G1183" s="15" t="s">
        <v>2660</v>
      </c>
      <c r="H1183" s="15">
        <v>0.0</v>
      </c>
      <c r="I1183" s="15" t="s">
        <v>227</v>
      </c>
      <c r="J1183" s="15" t="s">
        <v>22</v>
      </c>
      <c r="K1183" s="15" t="s">
        <v>892</v>
      </c>
      <c r="L1183" s="15" t="s">
        <v>1522</v>
      </c>
      <c r="M1183" s="16">
        <v>0.0</v>
      </c>
      <c r="N1183" s="16">
        <v>0.75</v>
      </c>
      <c r="O1183" s="16">
        <v>0.75</v>
      </c>
      <c r="P1183" s="17">
        <v>45219.0</v>
      </c>
      <c r="Q1183" s="18">
        <v>1.7</v>
      </c>
      <c r="R1183" s="15" t="s">
        <v>70</v>
      </c>
      <c r="S1183" s="19">
        <f t="shared" si="1"/>
        <v>0</v>
      </c>
      <c r="T1183" s="19">
        <f t="shared" si="8"/>
        <v>34.80576428</v>
      </c>
      <c r="U1183" s="144"/>
    </row>
    <row r="1184">
      <c r="A1184" s="107"/>
      <c r="B1184" s="107"/>
      <c r="C1184" s="107"/>
      <c r="D1184" s="8" t="s">
        <v>19</v>
      </c>
      <c r="E1184" s="8" t="s">
        <v>3643</v>
      </c>
      <c r="F1184" s="8" t="s">
        <v>1473</v>
      </c>
      <c r="G1184" s="8" t="s">
        <v>2660</v>
      </c>
      <c r="H1184" s="8">
        <v>0.0</v>
      </c>
      <c r="I1184" s="8" t="s">
        <v>44</v>
      </c>
      <c r="J1184" s="8" t="s">
        <v>22</v>
      </c>
      <c r="K1184" s="8" t="s">
        <v>1150</v>
      </c>
      <c r="L1184" s="8" t="s">
        <v>24</v>
      </c>
      <c r="M1184" s="9">
        <v>0.0</v>
      </c>
      <c r="N1184" s="9">
        <v>1.0</v>
      </c>
      <c r="O1184" s="9">
        <v>0.51</v>
      </c>
      <c r="P1184" s="10">
        <v>45220.0</v>
      </c>
      <c r="Q1184" s="11">
        <v>2.1</v>
      </c>
      <c r="R1184" s="8" t="s">
        <v>33</v>
      </c>
      <c r="S1184" s="12">
        <f t="shared" si="1"/>
        <v>0.561</v>
      </c>
      <c r="T1184" s="12">
        <f t="shared" si="8"/>
        <v>35.36676428</v>
      </c>
      <c r="U1184" s="145"/>
    </row>
    <row r="1185">
      <c r="A1185" s="29"/>
      <c r="B1185" s="29"/>
      <c r="C1185" s="29"/>
      <c r="D1185" s="15" t="s">
        <v>19</v>
      </c>
      <c r="E1185" s="15" t="s">
        <v>3644</v>
      </c>
      <c r="F1185" s="15" t="s">
        <v>1473</v>
      </c>
      <c r="G1185" s="15" t="s">
        <v>2660</v>
      </c>
      <c r="H1185" s="15">
        <v>-1.0</v>
      </c>
      <c r="I1185" s="15" t="s">
        <v>48</v>
      </c>
      <c r="J1185" s="15" t="s">
        <v>22</v>
      </c>
      <c r="K1185" s="15" t="s">
        <v>892</v>
      </c>
      <c r="L1185" s="15" t="s">
        <v>24</v>
      </c>
      <c r="M1185" s="16">
        <v>0.0</v>
      </c>
      <c r="N1185" s="16">
        <v>0.75</v>
      </c>
      <c r="O1185" s="16">
        <v>0.75</v>
      </c>
      <c r="P1185" s="17">
        <v>45220.0</v>
      </c>
      <c r="Q1185" s="18">
        <v>2.08</v>
      </c>
      <c r="R1185" s="15" t="s">
        <v>33</v>
      </c>
      <c r="S1185" s="19">
        <f t="shared" si="1"/>
        <v>0.81</v>
      </c>
      <c r="T1185" s="19">
        <f t="shared" si="8"/>
        <v>36.17676428</v>
      </c>
      <c r="U1185" s="144"/>
    </row>
    <row r="1186">
      <c r="A1186" s="107"/>
      <c r="B1186" s="107"/>
      <c r="C1186" s="107"/>
      <c r="D1186" s="8" t="s">
        <v>19</v>
      </c>
      <c r="E1186" s="8" t="s">
        <v>3645</v>
      </c>
      <c r="F1186" s="8" t="s">
        <v>1473</v>
      </c>
      <c r="G1186" s="8" t="s">
        <v>2556</v>
      </c>
      <c r="H1186" s="8">
        <v>-1.0</v>
      </c>
      <c r="I1186" s="8" t="s">
        <v>806</v>
      </c>
      <c r="J1186" s="8" t="s">
        <v>22</v>
      </c>
      <c r="K1186" s="8" t="s">
        <v>225</v>
      </c>
      <c r="L1186" s="8" t="s">
        <v>24</v>
      </c>
      <c r="M1186" s="9">
        <v>0.25</v>
      </c>
      <c r="N1186" s="9">
        <v>0.75</v>
      </c>
      <c r="O1186" s="9">
        <v>0.75</v>
      </c>
      <c r="P1186" s="10">
        <v>45220.0</v>
      </c>
      <c r="Q1186" s="11">
        <v>1.825</v>
      </c>
      <c r="R1186" s="8" t="s">
        <v>25</v>
      </c>
      <c r="S1186" s="12">
        <f t="shared" si="1"/>
        <v>-0.75</v>
      </c>
      <c r="T1186" s="12">
        <f t="shared" si="8"/>
        <v>35.42676428</v>
      </c>
      <c r="U1186" s="145"/>
    </row>
    <row r="1187">
      <c r="A1187" s="29"/>
      <c r="B1187" s="29"/>
      <c r="C1187" s="29"/>
      <c r="D1187" s="15" t="s">
        <v>19</v>
      </c>
      <c r="E1187" s="15" t="s">
        <v>3646</v>
      </c>
      <c r="F1187" s="15" t="s">
        <v>1473</v>
      </c>
      <c r="G1187" s="15" t="s">
        <v>2556</v>
      </c>
      <c r="H1187" s="15">
        <v>-1.0</v>
      </c>
      <c r="I1187" s="15" t="s">
        <v>2667</v>
      </c>
      <c r="J1187" s="15" t="s">
        <v>22</v>
      </c>
      <c r="K1187" s="15" t="s">
        <v>225</v>
      </c>
      <c r="L1187" s="15" t="s">
        <v>24</v>
      </c>
      <c r="M1187" s="16">
        <v>0.25</v>
      </c>
      <c r="N1187" s="16">
        <v>0.25</v>
      </c>
      <c r="O1187" s="16">
        <v>0.25</v>
      </c>
      <c r="P1187" s="17">
        <v>45220.0</v>
      </c>
      <c r="Q1187" s="18">
        <v>1.925</v>
      </c>
      <c r="R1187" s="15" t="s">
        <v>25</v>
      </c>
      <c r="S1187" s="19">
        <f t="shared" si="1"/>
        <v>-0.25</v>
      </c>
      <c r="T1187" s="19">
        <f t="shared" si="8"/>
        <v>35.17676428</v>
      </c>
      <c r="U1187" s="144"/>
    </row>
    <row r="1188">
      <c r="A1188" s="107"/>
      <c r="B1188" s="107"/>
      <c r="C1188" s="107"/>
      <c r="D1188" s="8" t="s">
        <v>19</v>
      </c>
      <c r="E1188" s="8" t="s">
        <v>3647</v>
      </c>
      <c r="F1188" s="8" t="s">
        <v>1479</v>
      </c>
      <c r="G1188" s="8" t="s">
        <v>2660</v>
      </c>
      <c r="H1188" s="8">
        <v>-1.0</v>
      </c>
      <c r="I1188" s="8" t="s">
        <v>44</v>
      </c>
      <c r="J1188" s="8" t="s">
        <v>22</v>
      </c>
      <c r="K1188" s="8" t="s">
        <v>892</v>
      </c>
      <c r="L1188" s="8" t="s">
        <v>24</v>
      </c>
      <c r="M1188" s="9">
        <v>0.0</v>
      </c>
      <c r="N1188" s="9">
        <v>0.5</v>
      </c>
      <c r="O1188" s="9">
        <v>0.5</v>
      </c>
      <c r="P1188" s="10">
        <v>45220.0</v>
      </c>
      <c r="Q1188" s="11">
        <v>2.25</v>
      </c>
      <c r="R1188" s="8" t="s">
        <v>70</v>
      </c>
      <c r="S1188" s="12">
        <f t="shared" si="1"/>
        <v>0</v>
      </c>
      <c r="T1188" s="12">
        <f t="shared" si="8"/>
        <v>35.17676428</v>
      </c>
      <c r="U1188" s="145"/>
    </row>
    <row r="1189">
      <c r="A1189" s="29"/>
      <c r="B1189" s="29"/>
      <c r="C1189" s="29"/>
      <c r="D1189" s="15" t="s">
        <v>19</v>
      </c>
      <c r="E1189" s="15" t="s">
        <v>3648</v>
      </c>
      <c r="F1189" s="15" t="s">
        <v>1473</v>
      </c>
      <c r="G1189" s="15" t="s">
        <v>2660</v>
      </c>
      <c r="H1189" s="15">
        <v>-1.0</v>
      </c>
      <c r="I1189" s="15" t="s">
        <v>101</v>
      </c>
      <c r="J1189" s="15" t="s">
        <v>22</v>
      </c>
      <c r="K1189" s="15" t="s">
        <v>892</v>
      </c>
      <c r="L1189" s="15" t="s">
        <v>24</v>
      </c>
      <c r="M1189" s="16">
        <v>0.0</v>
      </c>
      <c r="N1189" s="16">
        <v>0.5</v>
      </c>
      <c r="O1189" s="16">
        <v>0.5</v>
      </c>
      <c r="P1189" s="17">
        <v>45220.0</v>
      </c>
      <c r="Q1189" s="18">
        <v>1.85</v>
      </c>
      <c r="R1189" s="15" t="s">
        <v>70</v>
      </c>
      <c r="S1189" s="19">
        <f t="shared" si="1"/>
        <v>0</v>
      </c>
      <c r="T1189" s="19">
        <f t="shared" si="8"/>
        <v>35.17676428</v>
      </c>
      <c r="U1189" s="144"/>
    </row>
    <row r="1190">
      <c r="A1190" s="107"/>
      <c r="B1190" s="107"/>
      <c r="C1190" s="107"/>
      <c r="D1190" s="8" t="s">
        <v>19</v>
      </c>
      <c r="E1190" s="8" t="s">
        <v>3649</v>
      </c>
      <c r="F1190" s="8" t="s">
        <v>1473</v>
      </c>
      <c r="G1190" s="8" t="s">
        <v>2660</v>
      </c>
      <c r="H1190" s="8">
        <v>0.0</v>
      </c>
      <c r="I1190" s="8" t="s">
        <v>273</v>
      </c>
      <c r="J1190" s="8" t="s">
        <v>22</v>
      </c>
      <c r="K1190" s="8" t="s">
        <v>892</v>
      </c>
      <c r="L1190" s="8" t="s">
        <v>24</v>
      </c>
      <c r="M1190" s="9">
        <v>0.0</v>
      </c>
      <c r="N1190" s="9">
        <v>1.0</v>
      </c>
      <c r="O1190" s="9">
        <v>1.0</v>
      </c>
      <c r="P1190" s="10">
        <v>45220.0</v>
      </c>
      <c r="Q1190" s="11">
        <v>1.825</v>
      </c>
      <c r="R1190" s="8" t="s">
        <v>25</v>
      </c>
      <c r="S1190" s="12">
        <f t="shared" si="1"/>
        <v>-1</v>
      </c>
      <c r="T1190" s="12">
        <f t="shared" si="8"/>
        <v>34.17676428</v>
      </c>
      <c r="U1190" s="145"/>
    </row>
    <row r="1191">
      <c r="A1191" s="29"/>
      <c r="B1191" s="29"/>
      <c r="C1191" s="29"/>
      <c r="D1191" s="15" t="s">
        <v>40</v>
      </c>
      <c r="E1191" s="15" t="s">
        <v>3650</v>
      </c>
      <c r="F1191" s="15" t="s">
        <v>1479</v>
      </c>
      <c r="G1191" s="15" t="s">
        <v>2660</v>
      </c>
      <c r="H1191" s="15">
        <v>0.0</v>
      </c>
      <c r="I1191" s="15" t="s">
        <v>940</v>
      </c>
      <c r="J1191" s="15" t="s">
        <v>22</v>
      </c>
      <c r="K1191" s="15" t="s">
        <v>1150</v>
      </c>
      <c r="L1191" s="15" t="s">
        <v>24</v>
      </c>
      <c r="M1191" s="16">
        <v>0.0</v>
      </c>
      <c r="N1191" s="16">
        <v>1.0</v>
      </c>
      <c r="O1191" s="16">
        <v>1.0</v>
      </c>
      <c r="P1191" s="17">
        <v>45220.0</v>
      </c>
      <c r="Q1191" s="18">
        <v>1.6125</v>
      </c>
      <c r="R1191" s="15" t="s">
        <v>33</v>
      </c>
      <c r="S1191" s="19">
        <f t="shared" si="1"/>
        <v>0.6125</v>
      </c>
      <c r="T1191" s="19">
        <f t="shared" si="8"/>
        <v>34.78926428</v>
      </c>
      <c r="U1191" s="144"/>
    </row>
    <row r="1192">
      <c r="A1192" s="107"/>
      <c r="B1192" s="107"/>
      <c r="C1192" s="107"/>
      <c r="D1192" s="8" t="s">
        <v>19</v>
      </c>
      <c r="E1192" s="8" t="s">
        <v>3651</v>
      </c>
      <c r="F1192" s="8" t="s">
        <v>1479</v>
      </c>
      <c r="G1192" s="8" t="s">
        <v>2660</v>
      </c>
      <c r="H1192" s="8">
        <f>1</f>
        <v>1</v>
      </c>
      <c r="I1192" s="8" t="s">
        <v>121</v>
      </c>
      <c r="J1192" s="8" t="s">
        <v>22</v>
      </c>
      <c r="K1192" s="8" t="s">
        <v>1150</v>
      </c>
      <c r="L1192" s="8" t="s">
        <v>24</v>
      </c>
      <c r="M1192" s="9">
        <v>0.0</v>
      </c>
      <c r="N1192" s="9">
        <v>1.0</v>
      </c>
      <c r="O1192" s="9">
        <v>1.0</v>
      </c>
      <c r="P1192" s="10">
        <v>45220.0</v>
      </c>
      <c r="Q1192" s="11">
        <v>1.85</v>
      </c>
      <c r="R1192" s="8" t="s">
        <v>70</v>
      </c>
      <c r="S1192" s="12">
        <f t="shared" si="1"/>
        <v>0</v>
      </c>
      <c r="T1192" s="12">
        <f t="shared" si="8"/>
        <v>34.78926428</v>
      </c>
      <c r="U1192" s="145"/>
    </row>
    <row r="1193">
      <c r="A1193" s="29"/>
      <c r="B1193" s="29"/>
      <c r="C1193" s="29"/>
      <c r="D1193" s="15" t="s">
        <v>19</v>
      </c>
      <c r="E1193" s="15" t="s">
        <v>3652</v>
      </c>
      <c r="F1193" s="15" t="s">
        <v>1473</v>
      </c>
      <c r="G1193" s="15" t="s">
        <v>2556</v>
      </c>
      <c r="H1193" s="15">
        <v>-2.0</v>
      </c>
      <c r="I1193" s="15" t="s">
        <v>1201</v>
      </c>
      <c r="J1193" s="15" t="s">
        <v>22</v>
      </c>
      <c r="K1193" s="15" t="s">
        <v>225</v>
      </c>
      <c r="L1193" s="15" t="s">
        <v>24</v>
      </c>
      <c r="M1193" s="16">
        <v>0.25</v>
      </c>
      <c r="N1193" s="16">
        <v>0.9</v>
      </c>
      <c r="O1193" s="16">
        <v>0.9</v>
      </c>
      <c r="P1193" s="17">
        <v>45220.0</v>
      </c>
      <c r="Q1193" s="18">
        <v>1.66</v>
      </c>
      <c r="R1193" s="15" t="s">
        <v>30</v>
      </c>
      <c r="S1193" s="19">
        <f t="shared" si="1"/>
        <v>0.297</v>
      </c>
      <c r="T1193" s="19">
        <f t="shared" si="8"/>
        <v>35.08626428</v>
      </c>
      <c r="U1193" s="144"/>
    </row>
    <row r="1194">
      <c r="A1194" s="107"/>
      <c r="B1194" s="107"/>
      <c r="C1194" s="107"/>
      <c r="D1194" s="8" t="s">
        <v>19</v>
      </c>
      <c r="E1194" s="8" t="s">
        <v>3653</v>
      </c>
      <c r="F1194" s="8" t="s">
        <v>1473</v>
      </c>
      <c r="G1194" s="8"/>
      <c r="H1194" s="8"/>
      <c r="I1194" s="8" t="s">
        <v>1201</v>
      </c>
      <c r="J1194" s="8" t="s">
        <v>22</v>
      </c>
      <c r="K1194" s="8" t="s">
        <v>1165</v>
      </c>
      <c r="L1194" s="8" t="s">
        <v>24</v>
      </c>
      <c r="M1194" s="9"/>
      <c r="N1194" s="9">
        <v>0.1</v>
      </c>
      <c r="O1194" s="9">
        <v>0.1</v>
      </c>
      <c r="P1194" s="10">
        <v>45220.0</v>
      </c>
      <c r="Q1194" s="11">
        <v>4.0</v>
      </c>
      <c r="R1194" s="8" t="s">
        <v>25</v>
      </c>
      <c r="S1194" s="12">
        <f t="shared" si="1"/>
        <v>-0.1</v>
      </c>
      <c r="T1194" s="12">
        <f t="shared" si="8"/>
        <v>34.98626428</v>
      </c>
      <c r="U1194" s="145"/>
    </row>
    <row r="1195">
      <c r="A1195" s="29"/>
      <c r="B1195" s="29"/>
      <c r="C1195" s="29"/>
      <c r="D1195" s="15" t="s">
        <v>19</v>
      </c>
      <c r="E1195" s="15" t="s">
        <v>3654</v>
      </c>
      <c r="F1195" s="15" t="s">
        <v>1473</v>
      </c>
      <c r="G1195" s="15" t="s">
        <v>2660</v>
      </c>
      <c r="H1195" s="15">
        <v>0.0</v>
      </c>
      <c r="I1195" s="15" t="s">
        <v>273</v>
      </c>
      <c r="J1195" s="15" t="s">
        <v>22</v>
      </c>
      <c r="K1195" s="15" t="s">
        <v>892</v>
      </c>
      <c r="L1195" s="15" t="s">
        <v>24</v>
      </c>
      <c r="M1195" s="16">
        <v>0.0</v>
      </c>
      <c r="N1195" s="16">
        <v>0.75</v>
      </c>
      <c r="O1195" s="16">
        <v>0.75</v>
      </c>
      <c r="P1195" s="17">
        <v>45220.0</v>
      </c>
      <c r="Q1195" s="18">
        <v>1.9</v>
      </c>
      <c r="R1195" s="15" t="s">
        <v>70</v>
      </c>
      <c r="S1195" s="19">
        <f t="shared" si="1"/>
        <v>0</v>
      </c>
      <c r="T1195" s="19">
        <f t="shared" si="8"/>
        <v>34.98626428</v>
      </c>
      <c r="U1195" s="144"/>
    </row>
    <row r="1196">
      <c r="A1196" s="107"/>
      <c r="B1196" s="107"/>
      <c r="C1196" s="107"/>
      <c r="D1196" s="8" t="s">
        <v>19</v>
      </c>
      <c r="E1196" s="8" t="s">
        <v>3655</v>
      </c>
      <c r="F1196" s="8" t="s">
        <v>1479</v>
      </c>
      <c r="G1196" s="8" t="s">
        <v>2556</v>
      </c>
      <c r="H1196" s="8">
        <v>0.0</v>
      </c>
      <c r="I1196" s="8" t="s">
        <v>50</v>
      </c>
      <c r="J1196" s="8" t="s">
        <v>22</v>
      </c>
      <c r="K1196" s="8" t="s">
        <v>941</v>
      </c>
      <c r="L1196" s="8" t="s">
        <v>24</v>
      </c>
      <c r="M1196" s="9">
        <v>0.0</v>
      </c>
      <c r="N1196" s="9">
        <v>1.0</v>
      </c>
      <c r="O1196" s="9">
        <f>0.5+0.5*6/23</f>
        <v>0.6304347826</v>
      </c>
      <c r="P1196" s="10">
        <v>45220.0</v>
      </c>
      <c r="Q1196" s="11">
        <v>1.8</v>
      </c>
      <c r="R1196" s="8" t="s">
        <v>70</v>
      </c>
      <c r="S1196" s="12">
        <f t="shared" si="1"/>
        <v>0</v>
      </c>
      <c r="T1196" s="12">
        <f t="shared" si="8"/>
        <v>34.98626428</v>
      </c>
      <c r="U1196" s="145"/>
    </row>
    <row r="1197">
      <c r="A1197" s="29"/>
      <c r="B1197" s="29"/>
      <c r="C1197" s="29"/>
      <c r="D1197" s="15" t="s">
        <v>19</v>
      </c>
      <c r="E1197" s="15" t="s">
        <v>3656</v>
      </c>
      <c r="F1197" s="15" t="s">
        <v>1473</v>
      </c>
      <c r="G1197" s="15" t="s">
        <v>2660</v>
      </c>
      <c r="H1197" s="15">
        <v>0.0</v>
      </c>
      <c r="I1197" s="15" t="s">
        <v>703</v>
      </c>
      <c r="J1197" s="15" t="s">
        <v>22</v>
      </c>
      <c r="K1197" s="15" t="s">
        <v>892</v>
      </c>
      <c r="L1197" s="15" t="s">
        <v>24</v>
      </c>
      <c r="M1197" s="16">
        <v>0.0</v>
      </c>
      <c r="N1197" s="16">
        <v>1.0</v>
      </c>
      <c r="O1197" s="16">
        <v>1.0</v>
      </c>
      <c r="P1197" s="17">
        <v>45220.0</v>
      </c>
      <c r="Q1197" s="18">
        <v>1.975</v>
      </c>
      <c r="R1197" s="15" t="s">
        <v>33</v>
      </c>
      <c r="S1197" s="19">
        <f t="shared" si="1"/>
        <v>0.975</v>
      </c>
      <c r="T1197" s="19">
        <f t="shared" si="8"/>
        <v>35.96126428</v>
      </c>
      <c r="U1197" s="144"/>
    </row>
    <row r="1198">
      <c r="A1198" s="107"/>
      <c r="B1198" s="107"/>
      <c r="C1198" s="107"/>
      <c r="D1198" s="8" t="s">
        <v>19</v>
      </c>
      <c r="E1198" s="8" t="s">
        <v>3657</v>
      </c>
      <c r="F1198" s="8" t="s">
        <v>1479</v>
      </c>
      <c r="G1198" s="8" t="s">
        <v>2556</v>
      </c>
      <c r="H1198" s="8">
        <v>0.0</v>
      </c>
      <c r="I1198" s="8" t="s">
        <v>66</v>
      </c>
      <c r="J1198" s="8" t="s">
        <v>22</v>
      </c>
      <c r="K1198" s="8" t="s">
        <v>225</v>
      </c>
      <c r="L1198" s="8" t="s">
        <v>24</v>
      </c>
      <c r="M1198" s="9">
        <v>0.5</v>
      </c>
      <c r="N1198" s="9">
        <v>0.5</v>
      </c>
      <c r="O1198" s="9">
        <v>0.5</v>
      </c>
      <c r="P1198" s="10">
        <v>45220.0</v>
      </c>
      <c r="Q1198" s="11">
        <v>1.75752</v>
      </c>
      <c r="R1198" s="8" t="s">
        <v>33</v>
      </c>
      <c r="S1198" s="12">
        <f t="shared" si="1"/>
        <v>0.37876</v>
      </c>
      <c r="T1198" s="12">
        <f t="shared" si="8"/>
        <v>36.34002428</v>
      </c>
      <c r="U1198" s="145"/>
    </row>
    <row r="1199">
      <c r="A1199" s="29"/>
      <c r="B1199" s="29"/>
      <c r="C1199" s="29"/>
      <c r="D1199" s="15" t="s">
        <v>19</v>
      </c>
      <c r="E1199" s="15" t="s">
        <v>3658</v>
      </c>
      <c r="F1199" s="15" t="s">
        <v>1473</v>
      </c>
      <c r="G1199" s="15" t="s">
        <v>2660</v>
      </c>
      <c r="H1199" s="15">
        <v>2</v>
      </c>
      <c r="I1199" s="15" t="s">
        <v>38</v>
      </c>
      <c r="J1199" s="15" t="s">
        <v>22</v>
      </c>
      <c r="K1199" s="15" t="s">
        <v>892</v>
      </c>
      <c r="L1199" s="15" t="s">
        <v>24</v>
      </c>
      <c r="M1199" s="16">
        <v>0.0</v>
      </c>
      <c r="N1199" s="16">
        <v>0.5</v>
      </c>
      <c r="O1199" s="16">
        <f>0.25+0.25*12/23</f>
        <v>0.3804347826</v>
      </c>
      <c r="P1199" s="17">
        <v>45220.0</v>
      </c>
      <c r="Q1199" s="18">
        <v>1.6</v>
      </c>
      <c r="R1199" s="15" t="s">
        <v>33</v>
      </c>
      <c r="S1199" s="19">
        <f t="shared" si="1"/>
        <v>0.2282608696</v>
      </c>
      <c r="T1199" s="19">
        <f t="shared" si="8"/>
        <v>36.56828515</v>
      </c>
      <c r="U1199" s="144"/>
    </row>
    <row r="1200">
      <c r="A1200" s="107"/>
      <c r="B1200" s="107"/>
      <c r="C1200" s="107"/>
      <c r="D1200" s="8" t="s">
        <v>19</v>
      </c>
      <c r="E1200" s="8" t="s">
        <v>3659</v>
      </c>
      <c r="F1200" s="8" t="s">
        <v>1473</v>
      </c>
      <c r="G1200" s="8" t="s">
        <v>2660</v>
      </c>
      <c r="H1200" s="8">
        <v>3</v>
      </c>
      <c r="I1200" s="8" t="s">
        <v>38</v>
      </c>
      <c r="J1200" s="8" t="s">
        <v>22</v>
      </c>
      <c r="K1200" s="8" t="s">
        <v>892</v>
      </c>
      <c r="L1200" s="8" t="s">
        <v>24</v>
      </c>
      <c r="M1200" s="9">
        <v>0.0</v>
      </c>
      <c r="N1200" s="9">
        <v>0.5</v>
      </c>
      <c r="O1200" s="9">
        <v>0.5</v>
      </c>
      <c r="P1200" s="10">
        <v>45220.0</v>
      </c>
      <c r="Q1200" s="11">
        <v>1.8</v>
      </c>
      <c r="R1200" s="8" t="s">
        <v>70</v>
      </c>
      <c r="S1200" s="12">
        <f t="shared" si="1"/>
        <v>0</v>
      </c>
      <c r="T1200" s="12">
        <f t="shared" si="8"/>
        <v>36.56828515</v>
      </c>
      <c r="U1200" s="145"/>
    </row>
    <row r="1201">
      <c r="A1201" s="29"/>
      <c r="B1201" s="29"/>
      <c r="C1201" s="29"/>
      <c r="D1201" s="15" t="s">
        <v>19</v>
      </c>
      <c r="E1201" s="15" t="s">
        <v>3660</v>
      </c>
      <c r="F1201" s="15" t="s">
        <v>1473</v>
      </c>
      <c r="G1201" s="15" t="s">
        <v>2556</v>
      </c>
      <c r="H1201" s="15">
        <f>1</f>
        <v>1</v>
      </c>
      <c r="I1201" s="15" t="s">
        <v>66</v>
      </c>
      <c r="J1201" s="15" t="s">
        <v>22</v>
      </c>
      <c r="K1201" s="15" t="s">
        <v>225</v>
      </c>
      <c r="L1201" s="15" t="s">
        <v>24</v>
      </c>
      <c r="M1201" s="16">
        <v>0.0</v>
      </c>
      <c r="N1201" s="16">
        <v>0.75</v>
      </c>
      <c r="O1201" s="16">
        <v>0.75</v>
      </c>
      <c r="P1201" s="17">
        <v>45220.0</v>
      </c>
      <c r="Q1201" s="18">
        <v>1.7559</v>
      </c>
      <c r="R1201" s="15" t="s">
        <v>33</v>
      </c>
      <c r="S1201" s="19">
        <f t="shared" si="1"/>
        <v>0.566925</v>
      </c>
      <c r="T1201" s="19">
        <f t="shared" si="8"/>
        <v>37.13521015</v>
      </c>
      <c r="U1201" s="144"/>
    </row>
    <row r="1202">
      <c r="A1202" s="107"/>
      <c r="B1202" s="107"/>
      <c r="C1202" s="107"/>
      <c r="D1202" s="8" t="s">
        <v>19</v>
      </c>
      <c r="E1202" s="8" t="s">
        <v>3661</v>
      </c>
      <c r="F1202" s="8"/>
      <c r="G1202" s="8"/>
      <c r="H1202" s="8"/>
      <c r="I1202" s="8" t="s">
        <v>66</v>
      </c>
      <c r="J1202" s="8" t="s">
        <v>22</v>
      </c>
      <c r="K1202" s="8" t="s">
        <v>29</v>
      </c>
      <c r="L1202" s="8" t="s">
        <v>24</v>
      </c>
      <c r="M1202" s="9">
        <v>-3.5</v>
      </c>
      <c r="N1202" s="9">
        <v>0.25</v>
      </c>
      <c r="O1202" s="9">
        <v>0.25</v>
      </c>
      <c r="P1202" s="10">
        <v>45220.0</v>
      </c>
      <c r="Q1202" s="11">
        <v>1.8</v>
      </c>
      <c r="R1202" s="8" t="s">
        <v>33</v>
      </c>
      <c r="S1202" s="12">
        <f t="shared" si="1"/>
        <v>0.2</v>
      </c>
      <c r="T1202" s="12">
        <f t="shared" si="8"/>
        <v>37.33521015</v>
      </c>
      <c r="U1202" s="145"/>
    </row>
    <row r="1203">
      <c r="A1203" s="29"/>
      <c r="B1203" s="29"/>
      <c r="C1203" s="29"/>
      <c r="D1203" s="15" t="s">
        <v>19</v>
      </c>
      <c r="E1203" s="15" t="s">
        <v>3662</v>
      </c>
      <c r="F1203" s="15" t="s">
        <v>1479</v>
      </c>
      <c r="G1203" s="15" t="s">
        <v>2660</v>
      </c>
      <c r="H1203" s="15">
        <v>-1.0</v>
      </c>
      <c r="I1203" s="15" t="s">
        <v>50</v>
      </c>
      <c r="J1203" s="15" t="s">
        <v>22</v>
      </c>
      <c r="K1203" s="15" t="s">
        <v>892</v>
      </c>
      <c r="L1203" s="15" t="s">
        <v>24</v>
      </c>
      <c r="M1203" s="16">
        <v>0.0</v>
      </c>
      <c r="N1203" s="16">
        <v>0.5</v>
      </c>
      <c r="O1203" s="16">
        <v>0.5</v>
      </c>
      <c r="P1203" s="17">
        <v>45220.0</v>
      </c>
      <c r="Q1203" s="18">
        <v>1.725</v>
      </c>
      <c r="R1203" s="15" t="s">
        <v>33</v>
      </c>
      <c r="S1203" s="19">
        <f t="shared" si="1"/>
        <v>0.3625</v>
      </c>
      <c r="T1203" s="19">
        <f t="shared" si="8"/>
        <v>37.69771015</v>
      </c>
      <c r="U1203" s="144"/>
    </row>
    <row r="1204">
      <c r="A1204" s="107"/>
      <c r="B1204" s="107"/>
      <c r="C1204" s="107"/>
      <c r="D1204" s="8" t="s">
        <v>19</v>
      </c>
      <c r="E1204" s="8" t="s">
        <v>3663</v>
      </c>
      <c r="F1204" s="8" t="s">
        <v>1479</v>
      </c>
      <c r="G1204" s="8" t="s">
        <v>2556</v>
      </c>
      <c r="H1204" s="8">
        <v>0.0</v>
      </c>
      <c r="I1204" s="8" t="s">
        <v>50</v>
      </c>
      <c r="J1204" s="8" t="s">
        <v>22</v>
      </c>
      <c r="K1204" s="8" t="s">
        <v>941</v>
      </c>
      <c r="L1204" s="8" t="s">
        <v>1522</v>
      </c>
      <c r="M1204" s="9">
        <v>0.0</v>
      </c>
      <c r="N1204" s="9">
        <v>0.5</v>
      </c>
      <c r="O1204" s="9">
        <v>0.5</v>
      </c>
      <c r="P1204" s="10">
        <v>45220.0</v>
      </c>
      <c r="Q1204" s="11">
        <v>2.0</v>
      </c>
      <c r="R1204" s="8" t="s">
        <v>70</v>
      </c>
      <c r="S1204" s="12">
        <f t="shared" si="1"/>
        <v>0</v>
      </c>
      <c r="T1204" s="12">
        <f t="shared" si="8"/>
        <v>37.69771015</v>
      </c>
      <c r="U1204" s="145"/>
    </row>
    <row r="1205">
      <c r="A1205" s="29"/>
      <c r="B1205" s="29"/>
      <c r="C1205" s="29"/>
      <c r="D1205" s="15" t="s">
        <v>19</v>
      </c>
      <c r="E1205" s="15" t="s">
        <v>3664</v>
      </c>
      <c r="F1205" s="15" t="s">
        <v>1473</v>
      </c>
      <c r="G1205" s="15" t="s">
        <v>2556</v>
      </c>
      <c r="H1205" s="15">
        <v>0.0</v>
      </c>
      <c r="I1205" s="15" t="s">
        <v>93</v>
      </c>
      <c r="J1205" s="15" t="s">
        <v>22</v>
      </c>
      <c r="K1205" s="15" t="s">
        <v>225</v>
      </c>
      <c r="L1205" s="15" t="s">
        <v>24</v>
      </c>
      <c r="M1205" s="16">
        <v>0.75</v>
      </c>
      <c r="N1205" s="16">
        <v>0.5</v>
      </c>
      <c r="O1205" s="16">
        <v>0.5</v>
      </c>
      <c r="P1205" s="17">
        <v>45220.0</v>
      </c>
      <c r="Q1205" s="18">
        <v>1.6654</v>
      </c>
      <c r="R1205" s="15" t="s">
        <v>33</v>
      </c>
      <c r="S1205" s="19">
        <f t="shared" si="1"/>
        <v>0.3327</v>
      </c>
      <c r="T1205" s="19">
        <f t="shared" si="8"/>
        <v>38.03041015</v>
      </c>
      <c r="U1205" s="144"/>
    </row>
    <row r="1206">
      <c r="A1206" s="107"/>
      <c r="B1206" s="107"/>
      <c r="C1206" s="107"/>
      <c r="D1206" s="8" t="s">
        <v>19</v>
      </c>
      <c r="E1206" s="8" t="s">
        <v>3665</v>
      </c>
      <c r="F1206" s="8" t="s">
        <v>1473</v>
      </c>
      <c r="G1206" s="8" t="s">
        <v>2556</v>
      </c>
      <c r="H1206" s="8">
        <v>0.0</v>
      </c>
      <c r="I1206" s="8" t="s">
        <v>93</v>
      </c>
      <c r="J1206" s="8" t="s">
        <v>22</v>
      </c>
      <c r="K1206" s="8" t="s">
        <v>941</v>
      </c>
      <c r="L1206" s="8" t="s">
        <v>24</v>
      </c>
      <c r="M1206" s="9">
        <v>0.0</v>
      </c>
      <c r="N1206" s="9">
        <v>0.5</v>
      </c>
      <c r="O1206" s="9">
        <v>0.5</v>
      </c>
      <c r="P1206" s="10">
        <v>45220.0</v>
      </c>
      <c r="Q1206" s="11">
        <v>2.38</v>
      </c>
      <c r="R1206" s="8" t="s">
        <v>70</v>
      </c>
      <c r="S1206" s="12">
        <f t="shared" si="1"/>
        <v>0</v>
      </c>
      <c r="T1206" s="12">
        <f t="shared" si="8"/>
        <v>38.03041015</v>
      </c>
      <c r="U1206" s="145"/>
    </row>
    <row r="1207">
      <c r="A1207" s="29"/>
      <c r="B1207" s="29"/>
      <c r="C1207" s="15" t="s">
        <v>19</v>
      </c>
      <c r="D1207" s="15" t="s">
        <v>19</v>
      </c>
      <c r="E1207" s="15" t="s">
        <v>3666</v>
      </c>
      <c r="F1207" s="15" t="s">
        <v>1473</v>
      </c>
      <c r="G1207" s="15" t="s">
        <v>2660</v>
      </c>
      <c r="H1207" s="15">
        <v>-1.0</v>
      </c>
      <c r="I1207" s="15" t="s">
        <v>229</v>
      </c>
      <c r="J1207" s="15" t="s">
        <v>22</v>
      </c>
      <c r="K1207" s="15" t="s">
        <v>892</v>
      </c>
      <c r="L1207" s="15" t="s">
        <v>24</v>
      </c>
      <c r="M1207" s="16">
        <v>0.0</v>
      </c>
      <c r="N1207" s="16">
        <v>0.25</v>
      </c>
      <c r="O1207" s="16">
        <v>0.25</v>
      </c>
      <c r="P1207" s="17">
        <v>45220.0</v>
      </c>
      <c r="Q1207" s="18">
        <v>1.925</v>
      </c>
      <c r="R1207" s="15" t="s">
        <v>33</v>
      </c>
      <c r="S1207" s="19">
        <f t="shared" si="1"/>
        <v>0.23125</v>
      </c>
      <c r="T1207" s="19">
        <f t="shared" si="8"/>
        <v>38.26166015</v>
      </c>
      <c r="U1207" s="144"/>
    </row>
    <row r="1208">
      <c r="A1208" s="107"/>
      <c r="B1208" s="107"/>
      <c r="C1208" s="8" t="s">
        <v>19</v>
      </c>
      <c r="D1208" s="8" t="s">
        <v>19</v>
      </c>
      <c r="E1208" s="8" t="s">
        <v>3667</v>
      </c>
      <c r="F1208" s="8"/>
      <c r="G1208" s="8"/>
      <c r="H1208" s="8"/>
      <c r="I1208" s="8" t="s">
        <v>82</v>
      </c>
      <c r="J1208" s="8" t="s">
        <v>598</v>
      </c>
      <c r="K1208" s="8" t="s">
        <v>2415</v>
      </c>
      <c r="L1208" s="8" t="s">
        <v>39</v>
      </c>
      <c r="M1208" s="9">
        <v>10.5</v>
      </c>
      <c r="N1208" s="9">
        <v>0.5</v>
      </c>
      <c r="O1208" s="9">
        <v>0.5</v>
      </c>
      <c r="P1208" s="10">
        <v>45220.0</v>
      </c>
      <c r="Q1208" s="11">
        <v>1.95</v>
      </c>
      <c r="R1208" s="8" t="s">
        <v>33</v>
      </c>
      <c r="S1208" s="12">
        <f t="shared" si="1"/>
        <v>0.475</v>
      </c>
      <c r="T1208" s="12">
        <f t="shared" si="8"/>
        <v>38.73666015</v>
      </c>
      <c r="U1208" s="145"/>
    </row>
    <row r="1209">
      <c r="A1209" s="29"/>
      <c r="B1209" s="29"/>
      <c r="C1209" s="15" t="s">
        <v>19</v>
      </c>
      <c r="D1209" s="15" t="s">
        <v>19</v>
      </c>
      <c r="E1209" s="15" t="s">
        <v>3668</v>
      </c>
      <c r="F1209" s="15"/>
      <c r="G1209" s="15"/>
      <c r="H1209" s="15"/>
      <c r="I1209" s="15" t="s">
        <v>82</v>
      </c>
      <c r="J1209" s="15" t="s">
        <v>598</v>
      </c>
      <c r="K1209" s="15" t="s">
        <v>2415</v>
      </c>
      <c r="L1209" s="15" t="s">
        <v>39</v>
      </c>
      <c r="M1209" s="16">
        <v>11.0</v>
      </c>
      <c r="N1209" s="16">
        <v>0.5</v>
      </c>
      <c r="O1209" s="16">
        <v>0.5</v>
      </c>
      <c r="P1209" s="17">
        <v>45221.0</v>
      </c>
      <c r="Q1209" s="18">
        <v>1.925</v>
      </c>
      <c r="R1209" s="15" t="s">
        <v>25</v>
      </c>
      <c r="S1209" s="19">
        <f t="shared" si="1"/>
        <v>-0.5</v>
      </c>
      <c r="T1209" s="19">
        <f t="shared" si="8"/>
        <v>38.23666015</v>
      </c>
      <c r="U1209" s="144"/>
    </row>
    <row r="1210">
      <c r="A1210" s="107"/>
      <c r="B1210" s="107"/>
      <c r="C1210" s="8" t="s">
        <v>19</v>
      </c>
      <c r="D1210" s="8" t="s">
        <v>19</v>
      </c>
      <c r="E1210" s="8" t="s">
        <v>3669</v>
      </c>
      <c r="F1210" s="8" t="s">
        <v>1479</v>
      </c>
      <c r="G1210" s="8" t="s">
        <v>2660</v>
      </c>
      <c r="H1210" s="8">
        <f>1</f>
        <v>1</v>
      </c>
      <c r="I1210" s="8" t="s">
        <v>88</v>
      </c>
      <c r="J1210" s="8" t="s">
        <v>22</v>
      </c>
      <c r="K1210" s="8" t="s">
        <v>892</v>
      </c>
      <c r="L1210" s="8" t="s">
        <v>24</v>
      </c>
      <c r="M1210" s="9">
        <v>0.0</v>
      </c>
      <c r="N1210" s="9">
        <v>0.25</v>
      </c>
      <c r="O1210" s="9">
        <v>0.25</v>
      </c>
      <c r="P1210" s="10">
        <v>45221.0</v>
      </c>
      <c r="Q1210" s="11">
        <v>1.7</v>
      </c>
      <c r="R1210" s="8" t="s">
        <v>70</v>
      </c>
      <c r="S1210" s="12">
        <f t="shared" si="1"/>
        <v>0</v>
      </c>
      <c r="T1210" s="12">
        <f t="shared" si="8"/>
        <v>38.23666015</v>
      </c>
      <c r="U1210" s="145"/>
    </row>
    <row r="1211">
      <c r="A1211" s="29"/>
      <c r="B1211" s="29"/>
      <c r="C1211" s="15" t="s">
        <v>19</v>
      </c>
      <c r="D1211" s="15" t="s">
        <v>19</v>
      </c>
      <c r="E1211" s="15" t="s">
        <v>3670</v>
      </c>
      <c r="F1211" s="15" t="s">
        <v>1473</v>
      </c>
      <c r="G1211" s="15" t="s">
        <v>2556</v>
      </c>
      <c r="H1211" s="15">
        <v>0.0</v>
      </c>
      <c r="I1211" s="15" t="s">
        <v>593</v>
      </c>
      <c r="J1211" s="15" t="s">
        <v>22</v>
      </c>
      <c r="K1211" s="15" t="s">
        <v>941</v>
      </c>
      <c r="L1211" s="15" t="s">
        <v>39</v>
      </c>
      <c r="M1211" s="16">
        <v>0.0</v>
      </c>
      <c r="N1211" s="16">
        <v>0.5</v>
      </c>
      <c r="O1211" s="16">
        <f>0.25+0.25*19/23</f>
        <v>0.4565217391</v>
      </c>
      <c r="P1211" s="17">
        <v>45221.0</v>
      </c>
      <c r="Q1211" s="18">
        <v>1.825</v>
      </c>
      <c r="R1211" s="15" t="s">
        <v>25</v>
      </c>
      <c r="S1211" s="19">
        <f t="shared" si="1"/>
        <v>-0.4565217391</v>
      </c>
      <c r="T1211" s="19">
        <f t="shared" si="8"/>
        <v>37.78013841</v>
      </c>
      <c r="U1211" s="144"/>
    </row>
    <row r="1212">
      <c r="A1212" s="107"/>
      <c r="B1212" s="107"/>
      <c r="C1212" s="8" t="s">
        <v>19</v>
      </c>
      <c r="D1212" s="8" t="s">
        <v>19</v>
      </c>
      <c r="E1212" s="8" t="s">
        <v>3671</v>
      </c>
      <c r="F1212" s="8" t="s">
        <v>1479</v>
      </c>
      <c r="G1212" s="8" t="s">
        <v>2660</v>
      </c>
      <c r="H1212" s="8">
        <v>0.0</v>
      </c>
      <c r="I1212" s="8" t="s">
        <v>50</v>
      </c>
      <c r="J1212" s="8" t="s">
        <v>22</v>
      </c>
      <c r="K1212" s="8" t="s">
        <v>892</v>
      </c>
      <c r="L1212" s="8" t="s">
        <v>1522</v>
      </c>
      <c r="M1212" s="9">
        <v>0.0</v>
      </c>
      <c r="N1212" s="9">
        <v>0.75</v>
      </c>
      <c r="O1212" s="9">
        <v>0.57</v>
      </c>
      <c r="P1212" s="10">
        <v>45221.0</v>
      </c>
      <c r="Q1212" s="11">
        <v>1.75</v>
      </c>
      <c r="R1212" s="8" t="s">
        <v>25</v>
      </c>
      <c r="S1212" s="12">
        <f t="shared" si="1"/>
        <v>-0.57</v>
      </c>
      <c r="T1212" s="12">
        <f t="shared" si="8"/>
        <v>37.21013841</v>
      </c>
      <c r="U1212" s="145"/>
    </row>
    <row r="1213">
      <c r="A1213" s="29"/>
      <c r="B1213" s="29"/>
      <c r="C1213" s="15" t="s">
        <v>19</v>
      </c>
      <c r="D1213" s="15" t="s">
        <v>19</v>
      </c>
      <c r="E1213" s="15" t="s">
        <v>3672</v>
      </c>
      <c r="F1213" s="15" t="s">
        <v>1479</v>
      </c>
      <c r="G1213" s="15" t="s">
        <v>2660</v>
      </c>
      <c r="H1213" s="15">
        <v>0.0</v>
      </c>
      <c r="I1213" s="15" t="s">
        <v>48</v>
      </c>
      <c r="J1213" s="15" t="s">
        <v>22</v>
      </c>
      <c r="K1213" s="15" t="s">
        <v>892</v>
      </c>
      <c r="L1213" s="15" t="s">
        <v>24</v>
      </c>
      <c r="M1213" s="16">
        <v>0.0</v>
      </c>
      <c r="N1213" s="16">
        <v>0.5</v>
      </c>
      <c r="O1213" s="16">
        <v>0.5</v>
      </c>
      <c r="P1213" s="17">
        <v>45221.0</v>
      </c>
      <c r="Q1213" s="18">
        <v>1.072</v>
      </c>
      <c r="R1213" s="15" t="s">
        <v>33</v>
      </c>
      <c r="S1213" s="19">
        <f t="shared" si="1"/>
        <v>0.036</v>
      </c>
      <c r="T1213" s="19">
        <f t="shared" si="8"/>
        <v>37.24613841</v>
      </c>
      <c r="U1213" s="144"/>
    </row>
    <row r="1214">
      <c r="A1214" s="107"/>
      <c r="B1214" s="107"/>
      <c r="C1214" s="8" t="s">
        <v>19</v>
      </c>
      <c r="D1214" s="8" t="s">
        <v>19</v>
      </c>
      <c r="E1214" s="8" t="s">
        <v>3673</v>
      </c>
      <c r="F1214" s="8" t="s">
        <v>1473</v>
      </c>
      <c r="G1214" s="8" t="s">
        <v>2556</v>
      </c>
      <c r="H1214" s="8">
        <v>-2.0</v>
      </c>
      <c r="I1214" s="8" t="s">
        <v>44</v>
      </c>
      <c r="J1214" s="8" t="s">
        <v>22</v>
      </c>
      <c r="K1214" s="8" t="s">
        <v>225</v>
      </c>
      <c r="L1214" s="8" t="s">
        <v>24</v>
      </c>
      <c r="M1214" s="9">
        <v>0.5</v>
      </c>
      <c r="N1214" s="9">
        <v>0.5</v>
      </c>
      <c r="O1214" s="9">
        <f>0.5*2/23</f>
        <v>0.04347826087</v>
      </c>
      <c r="P1214" s="10">
        <v>45221.0</v>
      </c>
      <c r="Q1214" s="11">
        <v>1.725</v>
      </c>
      <c r="R1214" s="8" t="s">
        <v>33</v>
      </c>
      <c r="S1214" s="12">
        <f t="shared" si="1"/>
        <v>0.03152173913</v>
      </c>
      <c r="T1214" s="12">
        <f t="shared" si="8"/>
        <v>37.27766015</v>
      </c>
      <c r="U1214" s="145"/>
    </row>
    <row r="1215">
      <c r="A1215" s="29"/>
      <c r="B1215" s="29"/>
      <c r="C1215" s="15" t="s">
        <v>19</v>
      </c>
      <c r="D1215" s="15" t="s">
        <v>19</v>
      </c>
      <c r="E1215" s="15" t="s">
        <v>3674</v>
      </c>
      <c r="F1215" s="15" t="s">
        <v>1479</v>
      </c>
      <c r="G1215" s="15" t="s">
        <v>2660</v>
      </c>
      <c r="H1215" s="15">
        <v>0.0</v>
      </c>
      <c r="I1215" s="15" t="s">
        <v>703</v>
      </c>
      <c r="J1215" s="15" t="s">
        <v>22</v>
      </c>
      <c r="K1215" s="15" t="s">
        <v>892</v>
      </c>
      <c r="L1215" s="15" t="s">
        <v>24</v>
      </c>
      <c r="M1215" s="16">
        <v>0.0</v>
      </c>
      <c r="N1215" s="16">
        <v>0.5</v>
      </c>
      <c r="O1215" s="16">
        <v>0.5</v>
      </c>
      <c r="P1215" s="17">
        <v>45221.0</v>
      </c>
      <c r="Q1215" s="18">
        <v>1.61</v>
      </c>
      <c r="R1215" s="15" t="s">
        <v>33</v>
      </c>
      <c r="S1215" s="19">
        <f t="shared" si="1"/>
        <v>0.305</v>
      </c>
      <c r="T1215" s="19">
        <f t="shared" si="8"/>
        <v>37.58266015</v>
      </c>
      <c r="U1215" s="144"/>
    </row>
    <row r="1216">
      <c r="A1216" s="107"/>
      <c r="B1216" s="107"/>
      <c r="C1216" s="8" t="s">
        <v>19</v>
      </c>
      <c r="D1216" s="8" t="s">
        <v>19</v>
      </c>
      <c r="E1216" s="8" t="s">
        <v>3675</v>
      </c>
      <c r="F1216" s="8" t="s">
        <v>1473</v>
      </c>
      <c r="G1216" s="8" t="s">
        <v>2660</v>
      </c>
      <c r="H1216" s="8">
        <v>-1.0</v>
      </c>
      <c r="I1216" s="8" t="s">
        <v>229</v>
      </c>
      <c r="J1216" s="8" t="s">
        <v>22</v>
      </c>
      <c r="K1216" s="8" t="s">
        <v>892</v>
      </c>
      <c r="L1216" s="8" t="s">
        <v>24</v>
      </c>
      <c r="M1216" s="9">
        <v>0.0</v>
      </c>
      <c r="N1216" s="9">
        <v>0.75</v>
      </c>
      <c r="O1216" s="9">
        <v>0.75</v>
      </c>
      <c r="P1216" s="10">
        <v>45221.0</v>
      </c>
      <c r="Q1216" s="11">
        <v>1.95</v>
      </c>
      <c r="R1216" s="8" t="s">
        <v>70</v>
      </c>
      <c r="S1216" s="12">
        <f t="shared" si="1"/>
        <v>0</v>
      </c>
      <c r="T1216" s="12">
        <f t="shared" si="8"/>
        <v>37.58266015</v>
      </c>
      <c r="U1216" s="145"/>
    </row>
    <row r="1217">
      <c r="A1217" s="29"/>
      <c r="B1217" s="29"/>
      <c r="C1217" s="15" t="s">
        <v>19</v>
      </c>
      <c r="D1217" s="15" t="s">
        <v>19</v>
      </c>
      <c r="E1217" s="15" t="s">
        <v>3676</v>
      </c>
      <c r="F1217" s="15" t="s">
        <v>1473</v>
      </c>
      <c r="G1217" s="15" t="s">
        <v>2556</v>
      </c>
      <c r="H1217" s="15">
        <v>0.0</v>
      </c>
      <c r="I1217" s="15" t="s">
        <v>44</v>
      </c>
      <c r="J1217" s="15" t="s">
        <v>22</v>
      </c>
      <c r="K1217" s="15" t="s">
        <v>225</v>
      </c>
      <c r="L1217" s="15" t="s">
        <v>24</v>
      </c>
      <c r="M1217" s="16">
        <v>0.25</v>
      </c>
      <c r="N1217" s="16">
        <v>0.5</v>
      </c>
      <c r="O1217" s="16">
        <v>0.5</v>
      </c>
      <c r="P1217" s="17">
        <v>45221.0</v>
      </c>
      <c r="Q1217" s="18">
        <v>1.825</v>
      </c>
      <c r="R1217" s="15" t="s">
        <v>70</v>
      </c>
      <c r="S1217" s="19">
        <f t="shared" si="1"/>
        <v>0</v>
      </c>
      <c r="T1217" s="19">
        <f t="shared" si="8"/>
        <v>37.58266015</v>
      </c>
      <c r="U1217" s="144"/>
    </row>
    <row r="1218">
      <c r="A1218" s="107"/>
      <c r="B1218" s="107"/>
      <c r="C1218" s="8" t="s">
        <v>19</v>
      </c>
      <c r="D1218" s="8" t="s">
        <v>19</v>
      </c>
      <c r="E1218" s="8" t="s">
        <v>3677</v>
      </c>
      <c r="F1218" s="8" t="s">
        <v>1473</v>
      </c>
      <c r="G1218" s="8" t="s">
        <v>2660</v>
      </c>
      <c r="H1218" s="8">
        <f t="shared" ref="H1218:H1219" si="38">1</f>
        <v>1</v>
      </c>
      <c r="I1218" s="8" t="s">
        <v>44</v>
      </c>
      <c r="J1218" s="8" t="s">
        <v>22</v>
      </c>
      <c r="K1218" s="8" t="s">
        <v>225</v>
      </c>
      <c r="L1218" s="8" t="s">
        <v>24</v>
      </c>
      <c r="M1218" s="9">
        <v>0.25</v>
      </c>
      <c r="N1218" s="9">
        <v>0.75</v>
      </c>
      <c r="O1218" s="9">
        <v>0.75</v>
      </c>
      <c r="P1218" s="10">
        <v>45221.0</v>
      </c>
      <c r="Q1218" s="11">
        <v>1.7</v>
      </c>
      <c r="R1218" s="8" t="s">
        <v>33</v>
      </c>
      <c r="S1218" s="12">
        <f t="shared" si="1"/>
        <v>0.525</v>
      </c>
      <c r="T1218" s="12">
        <f t="shared" si="8"/>
        <v>38.10766015</v>
      </c>
      <c r="U1218" s="145"/>
    </row>
    <row r="1219">
      <c r="A1219" s="29"/>
      <c r="B1219" s="29"/>
      <c r="C1219" s="15" t="s">
        <v>19</v>
      </c>
      <c r="D1219" s="15" t="s">
        <v>40</v>
      </c>
      <c r="E1219" s="15" t="s">
        <v>3678</v>
      </c>
      <c r="F1219" s="15" t="s">
        <v>1473</v>
      </c>
      <c r="G1219" s="15" t="s">
        <v>2660</v>
      </c>
      <c r="H1219" s="15">
        <f t="shared" si="38"/>
        <v>1</v>
      </c>
      <c r="I1219" s="15" t="s">
        <v>58</v>
      </c>
      <c r="J1219" s="15" t="s">
        <v>22</v>
      </c>
      <c r="K1219" s="15" t="s">
        <v>892</v>
      </c>
      <c r="L1219" s="15" t="s">
        <v>3460</v>
      </c>
      <c r="M1219" s="16">
        <v>0.0</v>
      </c>
      <c r="N1219" s="16">
        <v>0.5</v>
      </c>
      <c r="O1219" s="16">
        <v>0.5</v>
      </c>
      <c r="P1219" s="17">
        <v>45221.0</v>
      </c>
      <c r="Q1219" s="18">
        <v>1.825</v>
      </c>
      <c r="R1219" s="15" t="s">
        <v>33</v>
      </c>
      <c r="S1219" s="19">
        <f t="shared" si="1"/>
        <v>0.4125</v>
      </c>
      <c r="T1219" s="19">
        <f t="shared" si="8"/>
        <v>38.52016015</v>
      </c>
      <c r="U1219" s="144"/>
    </row>
    <row r="1220">
      <c r="A1220" s="107"/>
      <c r="B1220" s="107"/>
      <c r="C1220" s="8" t="s">
        <v>19</v>
      </c>
      <c r="D1220" s="8" t="s">
        <v>40</v>
      </c>
      <c r="E1220" s="8" t="s">
        <v>3678</v>
      </c>
      <c r="F1220" s="8" t="s">
        <v>1473</v>
      </c>
      <c r="G1220" s="8" t="s">
        <v>2660</v>
      </c>
      <c r="H1220" s="8">
        <v>2</v>
      </c>
      <c r="I1220" s="8" t="s">
        <v>58</v>
      </c>
      <c r="J1220" s="8" t="s">
        <v>22</v>
      </c>
      <c r="K1220" s="8" t="s">
        <v>892</v>
      </c>
      <c r="L1220" s="8" t="s">
        <v>3460</v>
      </c>
      <c r="M1220" s="9">
        <v>0.0</v>
      </c>
      <c r="N1220" s="9">
        <v>0.25</v>
      </c>
      <c r="O1220" s="9">
        <v>0.25</v>
      </c>
      <c r="P1220" s="10">
        <v>45221.0</v>
      </c>
      <c r="Q1220" s="11">
        <v>1.75</v>
      </c>
      <c r="R1220" s="8" t="s">
        <v>33</v>
      </c>
      <c r="S1220" s="12">
        <f t="shared" si="1"/>
        <v>0.1875</v>
      </c>
      <c r="T1220" s="12">
        <f t="shared" si="8"/>
        <v>38.70766015</v>
      </c>
      <c r="U1220" s="145"/>
    </row>
    <row r="1221">
      <c r="A1221" s="29"/>
      <c r="B1221" s="29"/>
      <c r="C1221" s="15" t="s">
        <v>19</v>
      </c>
      <c r="D1221" s="15" t="s">
        <v>19</v>
      </c>
      <c r="E1221" s="15" t="s">
        <v>3679</v>
      </c>
      <c r="F1221" s="15" t="s">
        <v>1479</v>
      </c>
      <c r="G1221" s="15"/>
      <c r="H1221" s="15"/>
      <c r="I1221" s="15" t="s">
        <v>38</v>
      </c>
      <c r="J1221" s="15" t="s">
        <v>598</v>
      </c>
      <c r="K1221" s="15" t="s">
        <v>3388</v>
      </c>
      <c r="L1221" s="15" t="s">
        <v>3460</v>
      </c>
      <c r="M1221" s="16">
        <v>-1.5</v>
      </c>
      <c r="N1221" s="16">
        <v>0.25</v>
      </c>
      <c r="O1221" s="16">
        <v>0.25</v>
      </c>
      <c r="P1221" s="17">
        <v>45221.0</v>
      </c>
      <c r="Q1221" s="18">
        <v>1.925</v>
      </c>
      <c r="R1221" s="15" t="s">
        <v>25</v>
      </c>
      <c r="S1221" s="19">
        <f t="shared" si="1"/>
        <v>-0.25</v>
      </c>
      <c r="T1221" s="19">
        <f t="shared" si="8"/>
        <v>38.45766015</v>
      </c>
      <c r="U1221" s="144"/>
    </row>
    <row r="1222">
      <c r="A1222" s="107"/>
      <c r="B1222" s="107"/>
      <c r="C1222" s="8" t="s">
        <v>19</v>
      </c>
      <c r="D1222" s="8" t="s">
        <v>19</v>
      </c>
      <c r="E1222" s="8" t="s">
        <v>3680</v>
      </c>
      <c r="F1222" s="8" t="s">
        <v>1473</v>
      </c>
      <c r="G1222" s="8" t="s">
        <v>2556</v>
      </c>
      <c r="H1222" s="8">
        <v>0.0</v>
      </c>
      <c r="I1222" s="8" t="s">
        <v>191</v>
      </c>
      <c r="J1222" s="8" t="s">
        <v>22</v>
      </c>
      <c r="K1222" s="8" t="s">
        <v>225</v>
      </c>
      <c r="L1222" s="8" t="s">
        <v>24</v>
      </c>
      <c r="M1222" s="9">
        <v>0.25</v>
      </c>
      <c r="N1222" s="9">
        <v>0.25</v>
      </c>
      <c r="O1222" s="9">
        <v>0.25</v>
      </c>
      <c r="P1222" s="10">
        <v>45221.0</v>
      </c>
      <c r="Q1222" s="11">
        <v>1.7</v>
      </c>
      <c r="R1222" s="8" t="s">
        <v>30</v>
      </c>
      <c r="S1222" s="12">
        <f t="shared" si="1"/>
        <v>0.0875</v>
      </c>
      <c r="T1222" s="12">
        <f t="shared" si="8"/>
        <v>38.54516015</v>
      </c>
      <c r="U1222" s="145"/>
    </row>
    <row r="1223">
      <c r="A1223" s="29"/>
      <c r="B1223" s="29"/>
      <c r="C1223" s="15" t="s">
        <v>19</v>
      </c>
      <c r="D1223" s="15" t="s">
        <v>19</v>
      </c>
      <c r="E1223" s="15" t="s">
        <v>3681</v>
      </c>
      <c r="F1223" s="15" t="s">
        <v>1473</v>
      </c>
      <c r="G1223" s="15" t="s">
        <v>2556</v>
      </c>
      <c r="H1223" s="15">
        <v>0.0</v>
      </c>
      <c r="I1223" s="15" t="s">
        <v>121</v>
      </c>
      <c r="J1223" s="15" t="s">
        <v>22</v>
      </c>
      <c r="K1223" s="15" t="s">
        <v>225</v>
      </c>
      <c r="L1223" s="15" t="s">
        <v>24</v>
      </c>
      <c r="M1223" s="16">
        <v>0.25</v>
      </c>
      <c r="N1223" s="16">
        <v>0.75</v>
      </c>
      <c r="O1223" s="16">
        <v>0.75</v>
      </c>
      <c r="P1223" s="17">
        <v>45221.0</v>
      </c>
      <c r="Q1223" s="18">
        <v>1.566</v>
      </c>
      <c r="R1223" s="15" t="s">
        <v>30</v>
      </c>
      <c r="S1223" s="19">
        <f t="shared" si="1"/>
        <v>0.21225</v>
      </c>
      <c r="T1223" s="19">
        <f t="shared" si="8"/>
        <v>38.75741015</v>
      </c>
      <c r="U1223" s="144"/>
    </row>
    <row r="1224">
      <c r="A1224" s="107"/>
      <c r="B1224" s="107"/>
      <c r="C1224" s="8" t="s">
        <v>19</v>
      </c>
      <c r="D1224" s="8" t="s">
        <v>19</v>
      </c>
      <c r="E1224" s="8" t="s">
        <v>3682</v>
      </c>
      <c r="F1224" s="8" t="s">
        <v>1479</v>
      </c>
      <c r="G1224" s="8" t="s">
        <v>2556</v>
      </c>
      <c r="H1224" s="8">
        <v>0.0</v>
      </c>
      <c r="I1224" s="8" t="s">
        <v>42</v>
      </c>
      <c r="J1224" s="8" t="s">
        <v>22</v>
      </c>
      <c r="K1224" s="8" t="s">
        <v>225</v>
      </c>
      <c r="L1224" s="8" t="s">
        <v>24</v>
      </c>
      <c r="M1224" s="9">
        <v>0.25</v>
      </c>
      <c r="N1224" s="9">
        <v>0.5</v>
      </c>
      <c r="O1224" s="9">
        <v>0.5</v>
      </c>
      <c r="P1224" s="10">
        <v>45221.0</v>
      </c>
      <c r="Q1224" s="11">
        <v>1.75</v>
      </c>
      <c r="R1224" s="8" t="s">
        <v>70</v>
      </c>
      <c r="S1224" s="12">
        <f t="shared" si="1"/>
        <v>0</v>
      </c>
      <c r="T1224" s="12">
        <f t="shared" si="8"/>
        <v>38.75741015</v>
      </c>
      <c r="U1224" s="145"/>
    </row>
    <row r="1225">
      <c r="A1225" s="29"/>
      <c r="B1225" s="29"/>
      <c r="C1225" s="15" t="s">
        <v>19</v>
      </c>
      <c r="D1225" s="15" t="s">
        <v>19</v>
      </c>
      <c r="E1225" s="15" t="s">
        <v>3683</v>
      </c>
      <c r="F1225" s="15" t="s">
        <v>1479</v>
      </c>
      <c r="G1225" s="15" t="s">
        <v>2556</v>
      </c>
      <c r="H1225" s="15">
        <v>0.0</v>
      </c>
      <c r="I1225" s="15" t="s">
        <v>42</v>
      </c>
      <c r="J1225" s="15" t="s">
        <v>22</v>
      </c>
      <c r="K1225" s="15" t="s">
        <v>1165</v>
      </c>
      <c r="L1225" s="15" t="s">
        <v>24</v>
      </c>
      <c r="M1225" s="16"/>
      <c r="N1225" s="16">
        <v>0.1</v>
      </c>
      <c r="O1225" s="16">
        <v>0.1</v>
      </c>
      <c r="P1225" s="17">
        <v>45221.0</v>
      </c>
      <c r="Q1225" s="18">
        <v>3.5</v>
      </c>
      <c r="R1225" s="15" t="s">
        <v>25</v>
      </c>
      <c r="S1225" s="19">
        <f t="shared" si="1"/>
        <v>-0.1</v>
      </c>
      <c r="T1225" s="19">
        <f t="shared" si="8"/>
        <v>38.65741015</v>
      </c>
      <c r="U1225" s="144"/>
    </row>
    <row r="1226">
      <c r="A1226" s="107"/>
      <c r="B1226" s="107"/>
      <c r="C1226" s="8" t="s">
        <v>19</v>
      </c>
      <c r="D1226" s="8" t="s">
        <v>19</v>
      </c>
      <c r="E1226" s="8" t="s">
        <v>3684</v>
      </c>
      <c r="F1226" s="8" t="s">
        <v>1473</v>
      </c>
      <c r="G1226" s="8" t="s">
        <v>2556</v>
      </c>
      <c r="H1226" s="8">
        <v>-1.0</v>
      </c>
      <c r="I1226" s="8" t="s">
        <v>432</v>
      </c>
      <c r="J1226" s="8" t="s">
        <v>22</v>
      </c>
      <c r="K1226" s="8" t="s">
        <v>225</v>
      </c>
      <c r="L1226" s="8" t="s">
        <v>24</v>
      </c>
      <c r="M1226" s="9">
        <v>0.25</v>
      </c>
      <c r="N1226" s="9">
        <v>0.25</v>
      </c>
      <c r="O1226" s="9">
        <v>0.25</v>
      </c>
      <c r="P1226" s="10">
        <v>45221.0</v>
      </c>
      <c r="Q1226" s="11">
        <v>1.725</v>
      </c>
      <c r="R1226" s="8" t="s">
        <v>30</v>
      </c>
      <c r="S1226" s="12">
        <f t="shared" si="1"/>
        <v>0.090625</v>
      </c>
      <c r="T1226" s="12">
        <f t="shared" si="8"/>
        <v>38.74803515</v>
      </c>
      <c r="U1226" s="145"/>
    </row>
    <row r="1227">
      <c r="A1227" s="29"/>
      <c r="B1227" s="29"/>
      <c r="C1227" s="15" t="s">
        <v>19</v>
      </c>
      <c r="D1227" s="15" t="s">
        <v>19</v>
      </c>
      <c r="E1227" s="15" t="s">
        <v>3685</v>
      </c>
      <c r="F1227" s="15"/>
      <c r="G1227" s="15"/>
      <c r="H1227" s="15"/>
      <c r="I1227" s="15" t="s">
        <v>82</v>
      </c>
      <c r="J1227" s="15" t="s">
        <v>22</v>
      </c>
      <c r="K1227" s="15" t="s">
        <v>440</v>
      </c>
      <c r="L1227" s="15" t="s">
        <v>39</v>
      </c>
      <c r="M1227" s="16">
        <v>1.75</v>
      </c>
      <c r="N1227" s="16">
        <v>0.3</v>
      </c>
      <c r="O1227" s="16">
        <v>0.3</v>
      </c>
      <c r="P1227" s="17">
        <v>45221.0</v>
      </c>
      <c r="Q1227" s="18">
        <v>1.825</v>
      </c>
      <c r="R1227" s="15" t="s">
        <v>30</v>
      </c>
      <c r="S1227" s="19">
        <f t="shared" si="1"/>
        <v>0.12375</v>
      </c>
      <c r="T1227" s="19">
        <f t="shared" si="8"/>
        <v>38.87178515</v>
      </c>
      <c r="U1227" s="144"/>
    </row>
    <row r="1228">
      <c r="A1228" s="107"/>
      <c r="B1228" s="107"/>
      <c r="C1228" s="8" t="s">
        <v>19</v>
      </c>
      <c r="D1228" s="8" t="s">
        <v>19</v>
      </c>
      <c r="E1228" s="8" t="s">
        <v>3686</v>
      </c>
      <c r="F1228" s="8"/>
      <c r="G1228" s="8"/>
      <c r="H1228" s="8"/>
      <c r="I1228" s="8" t="s">
        <v>82</v>
      </c>
      <c r="J1228" s="8" t="s">
        <v>598</v>
      </c>
      <c r="K1228" s="8" t="s">
        <v>23</v>
      </c>
      <c r="L1228" s="8" t="s">
        <v>39</v>
      </c>
      <c r="M1228" s="9">
        <v>-10.5</v>
      </c>
      <c r="N1228" s="9">
        <v>0.5</v>
      </c>
      <c r="O1228" s="9">
        <v>0.5</v>
      </c>
      <c r="P1228" s="54">
        <v>45222.0</v>
      </c>
      <c r="Q1228" s="11">
        <v>1.925</v>
      </c>
      <c r="R1228" s="8" t="s">
        <v>33</v>
      </c>
      <c r="S1228" s="12">
        <f t="shared" si="1"/>
        <v>0.4625</v>
      </c>
      <c r="T1228" s="12">
        <f t="shared" si="8"/>
        <v>39.33428515</v>
      </c>
      <c r="U1228" s="145"/>
    </row>
    <row r="1229">
      <c r="A1229" s="29"/>
      <c r="B1229" s="29"/>
      <c r="C1229" s="15" t="s">
        <v>19</v>
      </c>
      <c r="D1229" s="15" t="s">
        <v>19</v>
      </c>
      <c r="E1229" s="15" t="s">
        <v>3687</v>
      </c>
      <c r="F1229" s="15" t="s">
        <v>1473</v>
      </c>
      <c r="G1229" s="15" t="s">
        <v>2660</v>
      </c>
      <c r="H1229" s="15">
        <v>0.0</v>
      </c>
      <c r="I1229" s="15" t="s">
        <v>1031</v>
      </c>
      <c r="J1229" s="15" t="s">
        <v>22</v>
      </c>
      <c r="K1229" s="15" t="s">
        <v>1150</v>
      </c>
      <c r="L1229" s="15" t="s">
        <v>24</v>
      </c>
      <c r="M1229" s="16">
        <v>0.0</v>
      </c>
      <c r="N1229" s="16">
        <v>0.25</v>
      </c>
      <c r="O1229" s="16">
        <v>0.25</v>
      </c>
      <c r="P1229" s="17">
        <v>45223.0</v>
      </c>
      <c r="Q1229" s="18">
        <v>1.9</v>
      </c>
      <c r="R1229" s="15" t="s">
        <v>33</v>
      </c>
      <c r="S1229" s="19">
        <f t="shared" si="1"/>
        <v>0.225</v>
      </c>
      <c r="T1229" s="19">
        <f t="shared" si="8"/>
        <v>39.55928515</v>
      </c>
      <c r="U1229" s="144"/>
    </row>
    <row r="1230">
      <c r="A1230" s="107"/>
      <c r="B1230" s="107"/>
      <c r="C1230" s="8" t="s">
        <v>19</v>
      </c>
      <c r="D1230" s="8" t="s">
        <v>19</v>
      </c>
      <c r="E1230" s="8" t="s">
        <v>3688</v>
      </c>
      <c r="F1230" s="8" t="s">
        <v>1479</v>
      </c>
      <c r="G1230" s="8" t="s">
        <v>2660</v>
      </c>
      <c r="H1230" s="8" t="s">
        <v>3689</v>
      </c>
      <c r="I1230" s="8" t="s">
        <v>96</v>
      </c>
      <c r="J1230" s="8" t="s">
        <v>22</v>
      </c>
      <c r="K1230" s="8" t="s">
        <v>892</v>
      </c>
      <c r="L1230" s="8" t="s">
        <v>24</v>
      </c>
      <c r="M1230" s="9">
        <v>0.0</v>
      </c>
      <c r="N1230" s="9">
        <v>0.75</v>
      </c>
      <c r="O1230" s="9">
        <v>0.75</v>
      </c>
      <c r="P1230" s="10">
        <v>45223.0</v>
      </c>
      <c r="Q1230" s="11">
        <v>1.975</v>
      </c>
      <c r="R1230" s="8" t="s">
        <v>70</v>
      </c>
      <c r="S1230" s="12">
        <f t="shared" si="1"/>
        <v>0</v>
      </c>
      <c r="T1230" s="12">
        <f t="shared" si="8"/>
        <v>39.55928515</v>
      </c>
      <c r="U1230" s="145"/>
    </row>
    <row r="1231">
      <c r="A1231" s="29"/>
      <c r="B1231" s="29"/>
      <c r="C1231" s="15" t="s">
        <v>19</v>
      </c>
      <c r="D1231" s="15" t="s">
        <v>19</v>
      </c>
      <c r="E1231" s="15" t="s">
        <v>3690</v>
      </c>
      <c r="F1231" s="15" t="s">
        <v>1479</v>
      </c>
      <c r="G1231" s="15" t="s">
        <v>2660</v>
      </c>
      <c r="H1231" s="15">
        <f>1</f>
        <v>1</v>
      </c>
      <c r="I1231" s="15" t="s">
        <v>162</v>
      </c>
      <c r="J1231" s="15" t="s">
        <v>22</v>
      </c>
      <c r="K1231" s="15" t="s">
        <v>892</v>
      </c>
      <c r="L1231" s="15" t="s">
        <v>24</v>
      </c>
      <c r="M1231" s="16">
        <v>0.0</v>
      </c>
      <c r="N1231" s="16">
        <v>0.5</v>
      </c>
      <c r="O1231" s="16">
        <v>0.5</v>
      </c>
      <c r="P1231" s="17">
        <v>45223.0</v>
      </c>
      <c r="Q1231" s="18">
        <v>1.7</v>
      </c>
      <c r="R1231" s="15" t="s">
        <v>70</v>
      </c>
      <c r="S1231" s="19">
        <f t="shared" si="1"/>
        <v>0</v>
      </c>
      <c r="T1231" s="19">
        <f t="shared" si="8"/>
        <v>39.55928515</v>
      </c>
      <c r="U1231" s="144"/>
    </row>
    <row r="1232">
      <c r="A1232" s="107"/>
      <c r="B1232" s="107"/>
      <c r="C1232" s="8" t="s">
        <v>19</v>
      </c>
      <c r="D1232" s="8" t="s">
        <v>19</v>
      </c>
      <c r="E1232" s="8" t="s">
        <v>3691</v>
      </c>
      <c r="F1232" s="8" t="s">
        <v>1473</v>
      </c>
      <c r="G1232" s="8" t="s">
        <v>2660</v>
      </c>
      <c r="H1232" s="8">
        <v>0.0</v>
      </c>
      <c r="I1232" s="8" t="s">
        <v>196</v>
      </c>
      <c r="J1232" s="8" t="s">
        <v>22</v>
      </c>
      <c r="K1232" s="8" t="s">
        <v>1150</v>
      </c>
      <c r="L1232" s="8" t="s">
        <v>1851</v>
      </c>
      <c r="M1232" s="9">
        <v>0.0</v>
      </c>
      <c r="N1232" s="9">
        <v>0.5</v>
      </c>
      <c r="O1232" s="9">
        <v>0.5</v>
      </c>
      <c r="P1232" s="10">
        <v>45223.0</v>
      </c>
      <c r="Q1232" s="11">
        <v>1.7</v>
      </c>
      <c r="R1232" s="8" t="s">
        <v>25</v>
      </c>
      <c r="S1232" s="12">
        <f t="shared" si="1"/>
        <v>-0.5</v>
      </c>
      <c r="T1232" s="12">
        <f t="shared" si="8"/>
        <v>39.05928515</v>
      </c>
      <c r="U1232" s="145"/>
    </row>
    <row r="1233">
      <c r="A1233" s="29"/>
      <c r="B1233" s="29"/>
      <c r="C1233" s="15" t="s">
        <v>19</v>
      </c>
      <c r="D1233" s="15" t="s">
        <v>19</v>
      </c>
      <c r="E1233" s="15" t="s">
        <v>3692</v>
      </c>
      <c r="F1233" s="15" t="s">
        <v>1473</v>
      </c>
      <c r="G1233" s="15" t="s">
        <v>2660</v>
      </c>
      <c r="H1233" s="15">
        <v>0.0</v>
      </c>
      <c r="I1233" s="15" t="s">
        <v>196</v>
      </c>
      <c r="J1233" s="15" t="s">
        <v>22</v>
      </c>
      <c r="K1233" s="15" t="s">
        <v>892</v>
      </c>
      <c r="L1233" s="15" t="s">
        <v>1851</v>
      </c>
      <c r="M1233" s="16">
        <v>0.0</v>
      </c>
      <c r="N1233" s="16">
        <v>0.5</v>
      </c>
      <c r="O1233" s="16">
        <v>0.5</v>
      </c>
      <c r="P1233" s="17">
        <v>45223.0</v>
      </c>
      <c r="Q1233" s="18">
        <v>2.0</v>
      </c>
      <c r="R1233" s="15" t="s">
        <v>25</v>
      </c>
      <c r="S1233" s="19">
        <f t="shared" si="1"/>
        <v>-0.5</v>
      </c>
      <c r="T1233" s="19">
        <f t="shared" si="8"/>
        <v>38.55928515</v>
      </c>
      <c r="U1233" s="144"/>
    </row>
    <row r="1234">
      <c r="A1234" s="107"/>
      <c r="B1234" s="107"/>
      <c r="C1234" s="8" t="s">
        <v>19</v>
      </c>
      <c r="D1234" s="8" t="s">
        <v>19</v>
      </c>
      <c r="E1234" s="8" t="s">
        <v>3693</v>
      </c>
      <c r="F1234" s="8" t="s">
        <v>1479</v>
      </c>
      <c r="G1234" s="8" t="s">
        <v>2660</v>
      </c>
      <c r="H1234" s="8">
        <v>0.0</v>
      </c>
      <c r="I1234" s="8" t="s">
        <v>316</v>
      </c>
      <c r="J1234" s="8" t="s">
        <v>22</v>
      </c>
      <c r="K1234" s="8" t="s">
        <v>1150</v>
      </c>
      <c r="L1234" s="8" t="s">
        <v>24</v>
      </c>
      <c r="M1234" s="9">
        <v>0.0</v>
      </c>
      <c r="N1234" s="9">
        <v>1.0</v>
      </c>
      <c r="O1234" s="9">
        <v>1.0</v>
      </c>
      <c r="P1234" s="10">
        <v>45223.0</v>
      </c>
      <c r="Q1234" s="11">
        <v>1.7</v>
      </c>
      <c r="R1234" s="8" t="s">
        <v>70</v>
      </c>
      <c r="S1234" s="12">
        <f t="shared" si="1"/>
        <v>0</v>
      </c>
      <c r="T1234" s="12">
        <f t="shared" si="8"/>
        <v>38.55928515</v>
      </c>
      <c r="U1234" s="145"/>
    </row>
    <row r="1235">
      <c r="A1235" s="29"/>
      <c r="B1235" s="29"/>
      <c r="C1235" s="15" t="s">
        <v>19</v>
      </c>
      <c r="D1235" s="15" t="s">
        <v>19</v>
      </c>
      <c r="E1235" s="15" t="s">
        <v>3694</v>
      </c>
      <c r="F1235" s="15" t="s">
        <v>1473</v>
      </c>
      <c r="G1235" s="15" t="s">
        <v>2556</v>
      </c>
      <c r="H1235" s="15">
        <v>0.0</v>
      </c>
      <c r="I1235" s="15" t="s">
        <v>316</v>
      </c>
      <c r="J1235" s="15" t="s">
        <v>22</v>
      </c>
      <c r="K1235" s="15" t="s">
        <v>2725</v>
      </c>
      <c r="L1235" s="15" t="s">
        <v>24</v>
      </c>
      <c r="M1235" s="16">
        <v>1.5</v>
      </c>
      <c r="N1235" s="16">
        <v>0.25</v>
      </c>
      <c r="O1235" s="16">
        <f>0.741*0.25</f>
        <v>0.18525</v>
      </c>
      <c r="P1235" s="17">
        <v>45223.0</v>
      </c>
      <c r="Q1235" s="18">
        <v>1.775</v>
      </c>
      <c r="R1235" s="15" t="s">
        <v>25</v>
      </c>
      <c r="S1235" s="19">
        <f t="shared" si="1"/>
        <v>-0.18525</v>
      </c>
      <c r="T1235" s="19">
        <f t="shared" si="8"/>
        <v>38.37403515</v>
      </c>
      <c r="U1235" s="144"/>
    </row>
    <row r="1236">
      <c r="A1236" s="107"/>
      <c r="B1236" s="107"/>
      <c r="C1236" s="8" t="s">
        <v>19</v>
      </c>
      <c r="D1236" s="8" t="s">
        <v>19</v>
      </c>
      <c r="E1236" s="8" t="s">
        <v>3695</v>
      </c>
      <c r="F1236" s="8" t="s">
        <v>1473</v>
      </c>
      <c r="G1236" s="8" t="s">
        <v>2556</v>
      </c>
      <c r="H1236" s="8">
        <v>0.0</v>
      </c>
      <c r="I1236" s="8" t="s">
        <v>316</v>
      </c>
      <c r="J1236" s="8" t="s">
        <v>22</v>
      </c>
      <c r="K1236" s="8" t="s">
        <v>225</v>
      </c>
      <c r="L1236" s="8" t="s">
        <v>24</v>
      </c>
      <c r="M1236" s="9">
        <v>3.25</v>
      </c>
      <c r="N1236" s="9">
        <v>0.5</v>
      </c>
      <c r="O1236" s="9">
        <v>0.5</v>
      </c>
      <c r="P1236" s="10">
        <v>45223.0</v>
      </c>
      <c r="Q1236" s="11">
        <v>1.875</v>
      </c>
      <c r="R1236" s="8" t="s">
        <v>25</v>
      </c>
      <c r="S1236" s="12">
        <f t="shared" si="1"/>
        <v>-0.5</v>
      </c>
      <c r="T1236" s="12">
        <f t="shared" si="8"/>
        <v>37.87403515</v>
      </c>
      <c r="U1236" s="145"/>
    </row>
    <row r="1237">
      <c r="A1237" s="29"/>
      <c r="B1237" s="29"/>
      <c r="C1237" s="15" t="s">
        <v>19</v>
      </c>
      <c r="D1237" s="15" t="s">
        <v>19</v>
      </c>
      <c r="E1237" s="15" t="s">
        <v>3696</v>
      </c>
      <c r="F1237" s="15"/>
      <c r="G1237" s="15"/>
      <c r="H1237" s="15">
        <v>0.0</v>
      </c>
      <c r="I1237" s="15" t="s">
        <v>58</v>
      </c>
      <c r="J1237" s="15" t="s">
        <v>598</v>
      </c>
      <c r="K1237" s="15" t="s">
        <v>23</v>
      </c>
      <c r="L1237" s="15" t="s">
        <v>3697</v>
      </c>
      <c r="M1237" s="16">
        <v>-11.0</v>
      </c>
      <c r="N1237" s="16">
        <v>0.5</v>
      </c>
      <c r="O1237" s="16">
        <v>0.5</v>
      </c>
      <c r="P1237" s="17">
        <v>45223.0</v>
      </c>
      <c r="Q1237" s="18">
        <v>1.825</v>
      </c>
      <c r="R1237" s="15" t="s">
        <v>70</v>
      </c>
      <c r="S1237" s="19">
        <f t="shared" si="1"/>
        <v>0</v>
      </c>
      <c r="T1237" s="19">
        <f t="shared" si="8"/>
        <v>37.87403515</v>
      </c>
      <c r="U1237" s="144"/>
    </row>
    <row r="1238">
      <c r="A1238" s="107"/>
      <c r="B1238" s="107"/>
      <c r="C1238" s="8" t="s">
        <v>19</v>
      </c>
      <c r="D1238" s="8" t="s">
        <v>19</v>
      </c>
      <c r="E1238" s="8" t="s">
        <v>3698</v>
      </c>
      <c r="F1238" s="8"/>
      <c r="G1238" s="8"/>
      <c r="H1238" s="8">
        <v>10</v>
      </c>
      <c r="I1238" s="8" t="s">
        <v>316</v>
      </c>
      <c r="J1238" s="8" t="s">
        <v>22</v>
      </c>
      <c r="K1238" s="8" t="s">
        <v>29</v>
      </c>
      <c r="L1238" s="8" t="s">
        <v>24</v>
      </c>
      <c r="M1238" s="9">
        <v>-10.5</v>
      </c>
      <c r="N1238" s="9">
        <v>0.25</v>
      </c>
      <c r="O1238" s="9">
        <v>0.25</v>
      </c>
      <c r="P1238" s="10">
        <v>45223.0</v>
      </c>
      <c r="Q1238" s="11">
        <v>1.75</v>
      </c>
      <c r="R1238" s="8" t="s">
        <v>25</v>
      </c>
      <c r="S1238" s="12">
        <f t="shared" si="1"/>
        <v>-0.25</v>
      </c>
      <c r="T1238" s="12">
        <f t="shared" si="8"/>
        <v>37.62403515</v>
      </c>
      <c r="U1238" s="145"/>
    </row>
    <row r="1239">
      <c r="A1239" s="29"/>
      <c r="B1239" s="29"/>
      <c r="C1239" s="15" t="s">
        <v>19</v>
      </c>
      <c r="D1239" s="15" t="s">
        <v>19</v>
      </c>
      <c r="E1239" s="15" t="s">
        <v>3699</v>
      </c>
      <c r="F1239" s="15"/>
      <c r="G1239" s="15"/>
      <c r="H1239" s="15">
        <v>10</v>
      </c>
      <c r="I1239" s="15" t="s">
        <v>316</v>
      </c>
      <c r="J1239" s="15" t="s">
        <v>22</v>
      </c>
      <c r="K1239" s="15" t="s">
        <v>23</v>
      </c>
      <c r="L1239" s="15" t="s">
        <v>24</v>
      </c>
      <c r="M1239" s="16">
        <v>-10.5</v>
      </c>
      <c r="N1239" s="16">
        <v>0.5</v>
      </c>
      <c r="O1239" s="16">
        <v>0.5</v>
      </c>
      <c r="P1239" s="17">
        <v>45223.0</v>
      </c>
      <c r="Q1239" s="18">
        <v>1.65</v>
      </c>
      <c r="R1239" s="15" t="s">
        <v>33</v>
      </c>
      <c r="S1239" s="19">
        <f t="shared" si="1"/>
        <v>0.325</v>
      </c>
      <c r="T1239" s="19">
        <f t="shared" si="8"/>
        <v>37.94903515</v>
      </c>
      <c r="U1239" s="144"/>
    </row>
    <row r="1240">
      <c r="A1240" s="107"/>
      <c r="B1240" s="107"/>
      <c r="C1240" s="8" t="s">
        <v>19</v>
      </c>
      <c r="D1240" s="8" t="s">
        <v>19</v>
      </c>
      <c r="E1240" s="8" t="s">
        <v>3700</v>
      </c>
      <c r="F1240" s="8"/>
      <c r="G1240" s="8"/>
      <c r="H1240" s="8"/>
      <c r="I1240" s="8" t="s">
        <v>316</v>
      </c>
      <c r="J1240" s="8" t="s">
        <v>22</v>
      </c>
      <c r="K1240" s="8" t="s">
        <v>23</v>
      </c>
      <c r="L1240" s="8" t="s">
        <v>24</v>
      </c>
      <c r="M1240" s="9">
        <v>-10.5</v>
      </c>
      <c r="N1240" s="9">
        <v>0.35</v>
      </c>
      <c r="O1240" s="9">
        <v>0.35</v>
      </c>
      <c r="P1240" s="10">
        <v>45223.0</v>
      </c>
      <c r="Q1240" s="11">
        <v>1.63</v>
      </c>
      <c r="R1240" s="8" t="s">
        <v>33</v>
      </c>
      <c r="S1240" s="12">
        <f t="shared" si="1"/>
        <v>0.2205</v>
      </c>
      <c r="T1240" s="12">
        <f t="shared" si="8"/>
        <v>38.16953515</v>
      </c>
      <c r="U1240" s="145"/>
    </row>
    <row r="1241">
      <c r="A1241" s="29"/>
      <c r="B1241" s="29"/>
      <c r="C1241" s="15" t="s">
        <v>19</v>
      </c>
      <c r="D1241" s="15" t="s">
        <v>19</v>
      </c>
      <c r="E1241" s="15" t="s">
        <v>3701</v>
      </c>
      <c r="F1241" s="15" t="s">
        <v>1473</v>
      </c>
      <c r="G1241" s="15" t="s">
        <v>2556</v>
      </c>
      <c r="H1241" s="15">
        <v>-1.0</v>
      </c>
      <c r="I1241" s="15" t="s">
        <v>908</v>
      </c>
      <c r="J1241" s="15" t="s">
        <v>22</v>
      </c>
      <c r="K1241" s="15" t="s">
        <v>225</v>
      </c>
      <c r="L1241" s="15" t="s">
        <v>24</v>
      </c>
      <c r="M1241" s="16">
        <v>0.5</v>
      </c>
      <c r="N1241" s="16">
        <v>0.5</v>
      </c>
      <c r="O1241" s="16">
        <v>0.5</v>
      </c>
      <c r="P1241" s="17">
        <v>45224.0</v>
      </c>
      <c r="Q1241" s="18">
        <v>1.75</v>
      </c>
      <c r="R1241" s="15" t="s">
        <v>33</v>
      </c>
      <c r="S1241" s="19">
        <f t="shared" si="1"/>
        <v>0.375</v>
      </c>
      <c r="T1241" s="19">
        <f t="shared" si="8"/>
        <v>38.54453515</v>
      </c>
      <c r="U1241" s="144"/>
    </row>
    <row r="1242">
      <c r="A1242" s="107"/>
      <c r="B1242" s="107"/>
      <c r="C1242" s="8" t="s">
        <v>19</v>
      </c>
      <c r="D1242" s="8" t="s">
        <v>19</v>
      </c>
      <c r="E1242" s="8" t="s">
        <v>3702</v>
      </c>
      <c r="F1242" s="8" t="s">
        <v>1473</v>
      </c>
      <c r="G1242" s="8" t="s">
        <v>2556</v>
      </c>
      <c r="H1242" s="8">
        <v>-1.0</v>
      </c>
      <c r="I1242" s="8" t="s">
        <v>908</v>
      </c>
      <c r="J1242" s="8" t="s">
        <v>22</v>
      </c>
      <c r="K1242" s="8" t="s">
        <v>1165</v>
      </c>
      <c r="L1242" s="8" t="s">
        <v>24</v>
      </c>
      <c r="M1242" s="9"/>
      <c r="N1242" s="9">
        <v>0.1</v>
      </c>
      <c r="O1242" s="9">
        <f>0.1*24/26</f>
        <v>0.09230769231</v>
      </c>
      <c r="P1242" s="10">
        <v>45224.0</v>
      </c>
      <c r="Q1242" s="11">
        <v>4.0</v>
      </c>
      <c r="R1242" s="8" t="s">
        <v>33</v>
      </c>
      <c r="S1242" s="12">
        <f t="shared" si="1"/>
        <v>0.2769230769</v>
      </c>
      <c r="T1242" s="12">
        <f t="shared" si="8"/>
        <v>38.82145822</v>
      </c>
      <c r="U1242" s="145"/>
    </row>
    <row r="1243">
      <c r="A1243" s="29"/>
      <c r="B1243" s="29"/>
      <c r="C1243" s="15" t="s">
        <v>19</v>
      </c>
      <c r="D1243" s="15" t="s">
        <v>19</v>
      </c>
      <c r="E1243" s="15" t="s">
        <v>3703</v>
      </c>
      <c r="F1243" s="15"/>
      <c r="G1243" s="15"/>
      <c r="H1243" s="15" t="s">
        <v>2615</v>
      </c>
      <c r="I1243" s="15" t="s">
        <v>1031</v>
      </c>
      <c r="J1243" s="15" t="s">
        <v>22</v>
      </c>
      <c r="K1243" s="15" t="s">
        <v>440</v>
      </c>
      <c r="L1243" s="15" t="s">
        <v>24</v>
      </c>
      <c r="M1243" s="16">
        <v>2.5</v>
      </c>
      <c r="N1243" s="16">
        <v>0.1</v>
      </c>
      <c r="O1243" s="16">
        <v>0.1</v>
      </c>
      <c r="P1243" s="57">
        <v>45224.0</v>
      </c>
      <c r="Q1243" s="18">
        <v>1.975</v>
      </c>
      <c r="R1243" s="15" t="s">
        <v>33</v>
      </c>
      <c r="S1243" s="19">
        <f t="shared" si="1"/>
        <v>0.0975</v>
      </c>
      <c r="T1243" s="19">
        <f t="shared" si="8"/>
        <v>38.91895822</v>
      </c>
      <c r="U1243" s="144"/>
    </row>
    <row r="1244">
      <c r="A1244" s="107"/>
      <c r="B1244" s="107"/>
      <c r="C1244" s="8" t="s">
        <v>19</v>
      </c>
      <c r="D1244" s="8" t="s">
        <v>19</v>
      </c>
      <c r="E1244" s="8" t="s">
        <v>3704</v>
      </c>
      <c r="F1244" s="8" t="s">
        <v>1473</v>
      </c>
      <c r="G1244" s="8" t="s">
        <v>2556</v>
      </c>
      <c r="H1244" s="8">
        <v>0.0</v>
      </c>
      <c r="I1244" s="8" t="s">
        <v>714</v>
      </c>
      <c r="J1244" s="8" t="s">
        <v>22</v>
      </c>
      <c r="K1244" s="8" t="s">
        <v>225</v>
      </c>
      <c r="L1244" s="8" t="s">
        <v>24</v>
      </c>
      <c r="M1244" s="9">
        <v>0.25</v>
      </c>
      <c r="N1244" s="9">
        <v>0.5</v>
      </c>
      <c r="O1244" s="9">
        <v>0.5</v>
      </c>
      <c r="P1244" s="10">
        <v>45224.0</v>
      </c>
      <c r="Q1244" s="11">
        <f>329.05/300</f>
        <v>1.096833333</v>
      </c>
      <c r="R1244" s="8" t="s">
        <v>33</v>
      </c>
      <c r="S1244" s="12">
        <f t="shared" si="1"/>
        <v>0.04841666667</v>
      </c>
      <c r="T1244" s="12">
        <f t="shared" si="8"/>
        <v>38.96737489</v>
      </c>
      <c r="U1244" s="145"/>
    </row>
    <row r="1245">
      <c r="A1245" s="29"/>
      <c r="B1245" s="29"/>
      <c r="C1245" s="15" t="s">
        <v>19</v>
      </c>
      <c r="D1245" s="15" t="s">
        <v>19</v>
      </c>
      <c r="E1245" s="15" t="s">
        <v>3705</v>
      </c>
      <c r="F1245" s="15"/>
      <c r="G1245" s="15"/>
      <c r="H1245" s="15"/>
      <c r="I1245" s="15" t="s">
        <v>82</v>
      </c>
      <c r="J1245" s="15" t="s">
        <v>598</v>
      </c>
      <c r="K1245" s="15" t="s">
        <v>2415</v>
      </c>
      <c r="L1245" s="15" t="s">
        <v>39</v>
      </c>
      <c r="M1245" s="16">
        <v>11.0</v>
      </c>
      <c r="N1245" s="16">
        <v>0.5</v>
      </c>
      <c r="O1245" s="16">
        <v>0.5</v>
      </c>
      <c r="P1245" s="17">
        <v>45224.0</v>
      </c>
      <c r="Q1245" s="18">
        <v>1.825</v>
      </c>
      <c r="R1245" s="15" t="s">
        <v>25</v>
      </c>
      <c r="S1245" s="19">
        <f t="shared" si="1"/>
        <v>-0.5</v>
      </c>
      <c r="T1245" s="19">
        <f t="shared" si="8"/>
        <v>38.46737489</v>
      </c>
      <c r="U1245" s="144"/>
    </row>
    <row r="1246">
      <c r="A1246" s="107"/>
      <c r="B1246" s="107"/>
      <c r="C1246" s="8" t="s">
        <v>19</v>
      </c>
      <c r="D1246" s="8" t="s">
        <v>19</v>
      </c>
      <c r="E1246" s="8" t="s">
        <v>3706</v>
      </c>
      <c r="F1246" s="8"/>
      <c r="G1246" s="8"/>
      <c r="H1246" s="8"/>
      <c r="I1246" s="8" t="s">
        <v>82</v>
      </c>
      <c r="J1246" s="8" t="s">
        <v>598</v>
      </c>
      <c r="K1246" s="8" t="s">
        <v>23</v>
      </c>
      <c r="L1246" s="8" t="s">
        <v>39</v>
      </c>
      <c r="M1246" s="9">
        <v>-1.5</v>
      </c>
      <c r="N1246" s="9">
        <v>0.5</v>
      </c>
      <c r="O1246" s="9">
        <v>0.5</v>
      </c>
      <c r="P1246" s="10">
        <v>45224.0</v>
      </c>
      <c r="Q1246" s="11">
        <v>2.0</v>
      </c>
      <c r="R1246" s="8" t="s">
        <v>33</v>
      </c>
      <c r="S1246" s="12">
        <f t="shared" si="1"/>
        <v>0.5</v>
      </c>
      <c r="T1246" s="12">
        <f t="shared" si="8"/>
        <v>38.96737489</v>
      </c>
      <c r="U1246" s="145"/>
    </row>
    <row r="1247">
      <c r="A1247" s="29"/>
      <c r="B1247" s="29"/>
      <c r="C1247" s="15" t="s">
        <v>19</v>
      </c>
      <c r="D1247" s="15" t="s">
        <v>19</v>
      </c>
      <c r="E1247" s="15" t="s">
        <v>3707</v>
      </c>
      <c r="F1247" s="15"/>
      <c r="G1247" s="15"/>
      <c r="H1247" s="15"/>
      <c r="I1247" s="15" t="s">
        <v>82</v>
      </c>
      <c r="J1247" s="15" t="s">
        <v>598</v>
      </c>
      <c r="K1247" s="15" t="s">
        <v>2415</v>
      </c>
      <c r="L1247" s="15" t="s">
        <v>39</v>
      </c>
      <c r="M1247" s="16">
        <v>10.5</v>
      </c>
      <c r="N1247" s="16">
        <v>0.5</v>
      </c>
      <c r="O1247" s="16">
        <v>0.5</v>
      </c>
      <c r="P1247" s="17">
        <v>45224.0</v>
      </c>
      <c r="Q1247" s="18">
        <v>1.9</v>
      </c>
      <c r="R1247" s="15" t="s">
        <v>33</v>
      </c>
      <c r="S1247" s="19">
        <f t="shared" si="1"/>
        <v>0.45</v>
      </c>
      <c r="T1247" s="19">
        <f t="shared" si="8"/>
        <v>39.41737489</v>
      </c>
      <c r="U1247" s="144"/>
    </row>
    <row r="1248">
      <c r="A1248" s="107"/>
      <c r="B1248" s="107"/>
      <c r="C1248" s="8" t="s">
        <v>19</v>
      </c>
      <c r="D1248" s="8" t="s">
        <v>19</v>
      </c>
      <c r="E1248" s="8" t="s">
        <v>3708</v>
      </c>
      <c r="F1248" s="8" t="s">
        <v>1473</v>
      </c>
      <c r="G1248" s="8" t="s">
        <v>2556</v>
      </c>
      <c r="H1248" s="8">
        <v>2</v>
      </c>
      <c r="I1248" s="8" t="s">
        <v>1961</v>
      </c>
      <c r="J1248" s="8" t="s">
        <v>22</v>
      </c>
      <c r="K1248" s="8" t="s">
        <v>225</v>
      </c>
      <c r="L1248" s="8" t="s">
        <v>39</v>
      </c>
      <c r="M1248" s="9">
        <v>0.5</v>
      </c>
      <c r="N1248" s="9">
        <v>0.5</v>
      </c>
      <c r="O1248" s="9">
        <v>0.5</v>
      </c>
      <c r="P1248" s="10">
        <v>45224.0</v>
      </c>
      <c r="Q1248" s="11">
        <v>1.825</v>
      </c>
      <c r="R1248" s="8" t="s">
        <v>25</v>
      </c>
      <c r="S1248" s="12">
        <f t="shared" si="1"/>
        <v>-0.5</v>
      </c>
      <c r="T1248" s="12">
        <f t="shared" si="8"/>
        <v>38.91737489</v>
      </c>
      <c r="U1248" s="145"/>
    </row>
    <row r="1249">
      <c r="A1249" s="29"/>
      <c r="B1249" s="29"/>
      <c r="C1249" s="15" t="s">
        <v>40</v>
      </c>
      <c r="D1249" s="15" t="s">
        <v>19</v>
      </c>
      <c r="E1249" s="15" t="s">
        <v>3709</v>
      </c>
      <c r="F1249" s="15" t="s">
        <v>1473</v>
      </c>
      <c r="G1249" s="15" t="s">
        <v>2556</v>
      </c>
      <c r="H1249" s="15">
        <f>1</f>
        <v>1</v>
      </c>
      <c r="I1249" s="15" t="s">
        <v>1961</v>
      </c>
      <c r="J1249" s="15" t="s">
        <v>22</v>
      </c>
      <c r="K1249" s="15" t="s">
        <v>225</v>
      </c>
      <c r="L1249" s="15" t="s">
        <v>39</v>
      </c>
      <c r="M1249" s="16">
        <v>1.5</v>
      </c>
      <c r="N1249" s="16">
        <v>0.1</v>
      </c>
      <c r="O1249" s="16">
        <v>0.1</v>
      </c>
      <c r="P1249" s="17">
        <v>45224.0</v>
      </c>
      <c r="Q1249" s="18">
        <v>1.49</v>
      </c>
      <c r="R1249" s="15" t="s">
        <v>33</v>
      </c>
      <c r="S1249" s="19">
        <f t="shared" si="1"/>
        <v>0.049</v>
      </c>
      <c r="T1249" s="19">
        <f t="shared" si="8"/>
        <v>38.96637489</v>
      </c>
      <c r="U1249" s="144"/>
    </row>
    <row r="1250">
      <c r="A1250" s="107"/>
      <c r="B1250" s="107"/>
      <c r="C1250" s="8" t="s">
        <v>19</v>
      </c>
      <c r="D1250" s="8" t="s">
        <v>19</v>
      </c>
      <c r="E1250" s="8" t="s">
        <v>3710</v>
      </c>
      <c r="F1250" s="8" t="s">
        <v>1473</v>
      </c>
      <c r="G1250" s="8" t="s">
        <v>2556</v>
      </c>
      <c r="H1250" s="8">
        <v>-2.0</v>
      </c>
      <c r="I1250" s="8" t="s">
        <v>86</v>
      </c>
      <c r="J1250" s="8" t="s">
        <v>22</v>
      </c>
      <c r="K1250" s="8" t="s">
        <v>225</v>
      </c>
      <c r="L1250" s="8" t="s">
        <v>24</v>
      </c>
      <c r="M1250" s="9">
        <v>0.5</v>
      </c>
      <c r="N1250" s="9">
        <v>0.5</v>
      </c>
      <c r="O1250" s="9">
        <v>0.5</v>
      </c>
      <c r="P1250" s="10">
        <v>45224.0</v>
      </c>
      <c r="Q1250" s="11">
        <v>1.725</v>
      </c>
      <c r="R1250" s="8" t="s">
        <v>33</v>
      </c>
      <c r="S1250" s="12">
        <f t="shared" si="1"/>
        <v>0.3625</v>
      </c>
      <c r="T1250" s="12">
        <f t="shared" si="8"/>
        <v>39.32887489</v>
      </c>
      <c r="U1250" s="145"/>
    </row>
    <row r="1251">
      <c r="A1251" s="29"/>
      <c r="B1251" s="29"/>
      <c r="C1251" s="15" t="s">
        <v>19</v>
      </c>
      <c r="D1251" s="15" t="s">
        <v>19</v>
      </c>
      <c r="E1251" s="15" t="s">
        <v>3711</v>
      </c>
      <c r="F1251" s="15" t="s">
        <v>1473</v>
      </c>
      <c r="G1251" s="15" t="s">
        <v>2556</v>
      </c>
      <c r="H1251" s="15">
        <v>-2.0</v>
      </c>
      <c r="I1251" s="15" t="s">
        <v>86</v>
      </c>
      <c r="J1251" s="15" t="s">
        <v>22</v>
      </c>
      <c r="K1251" s="15" t="s">
        <v>1165</v>
      </c>
      <c r="L1251" s="15" t="s">
        <v>24</v>
      </c>
      <c r="M1251" s="16"/>
      <c r="N1251" s="16">
        <v>0.1</v>
      </c>
      <c r="O1251" s="16">
        <v>0.1</v>
      </c>
      <c r="P1251" s="17">
        <v>45224.0</v>
      </c>
      <c r="Q1251" s="18">
        <v>5.0</v>
      </c>
      <c r="R1251" s="15" t="s">
        <v>33</v>
      </c>
      <c r="S1251" s="19">
        <f t="shared" si="1"/>
        <v>0.4</v>
      </c>
      <c r="T1251" s="19">
        <f t="shared" si="8"/>
        <v>39.72887489</v>
      </c>
      <c r="U1251" s="144"/>
    </row>
    <row r="1252">
      <c r="A1252" s="107"/>
      <c r="B1252" s="107"/>
      <c r="C1252" s="8" t="s">
        <v>19</v>
      </c>
      <c r="D1252" s="8" t="s">
        <v>19</v>
      </c>
      <c r="E1252" s="8" t="s">
        <v>3712</v>
      </c>
      <c r="F1252" s="8" t="s">
        <v>1473</v>
      </c>
      <c r="G1252" s="8" t="s">
        <v>2556</v>
      </c>
      <c r="H1252" s="8">
        <v>-2.0</v>
      </c>
      <c r="I1252" s="8" t="s">
        <v>86</v>
      </c>
      <c r="J1252" s="8" t="s">
        <v>22</v>
      </c>
      <c r="K1252" s="8" t="s">
        <v>225</v>
      </c>
      <c r="L1252" s="8" t="s">
        <v>24</v>
      </c>
      <c r="M1252" s="9">
        <v>0.25</v>
      </c>
      <c r="N1252" s="9">
        <v>0.25</v>
      </c>
      <c r="O1252" s="9">
        <v>0.25</v>
      </c>
      <c r="P1252" s="10">
        <v>45224.0</v>
      </c>
      <c r="Q1252" s="11">
        <f>272.7/150</f>
        <v>1.818</v>
      </c>
      <c r="R1252" s="8" t="s">
        <v>33</v>
      </c>
      <c r="S1252" s="12">
        <f t="shared" si="1"/>
        <v>0.2045</v>
      </c>
      <c r="T1252" s="12">
        <f t="shared" si="8"/>
        <v>39.93337489</v>
      </c>
      <c r="U1252" s="145"/>
    </row>
    <row r="1253">
      <c r="A1253" s="29"/>
      <c r="B1253" s="29"/>
      <c r="C1253" s="15" t="s">
        <v>19</v>
      </c>
      <c r="D1253" s="15" t="s">
        <v>19</v>
      </c>
      <c r="E1253" s="15" t="s">
        <v>3713</v>
      </c>
      <c r="F1253" s="15" t="s">
        <v>1473</v>
      </c>
      <c r="G1253" s="15" t="s">
        <v>2573</v>
      </c>
      <c r="H1253" s="15">
        <v>0.0</v>
      </c>
      <c r="I1253" s="15" t="s">
        <v>316</v>
      </c>
      <c r="J1253" s="15" t="s">
        <v>22</v>
      </c>
      <c r="K1253" s="15" t="s">
        <v>3714</v>
      </c>
      <c r="L1253" s="15" t="s">
        <v>24</v>
      </c>
      <c r="M1253" s="16">
        <v>-0.25</v>
      </c>
      <c r="N1253" s="16">
        <v>0.5</v>
      </c>
      <c r="O1253" s="16">
        <v>0.5</v>
      </c>
      <c r="P1253" s="17">
        <v>45224.0</v>
      </c>
      <c r="Q1253" s="18">
        <v>1.85</v>
      </c>
      <c r="R1253" s="15" t="s">
        <v>25</v>
      </c>
      <c r="S1253" s="19">
        <f t="shared" si="1"/>
        <v>-0.5</v>
      </c>
      <c r="T1253" s="19">
        <f t="shared" si="8"/>
        <v>39.43337489</v>
      </c>
      <c r="U1253" s="144"/>
    </row>
    <row r="1254">
      <c r="A1254" s="107"/>
      <c r="B1254" s="107"/>
      <c r="C1254" s="8" t="s">
        <v>19</v>
      </c>
      <c r="D1254" s="8" t="s">
        <v>19</v>
      </c>
      <c r="E1254" s="8" t="s">
        <v>3715</v>
      </c>
      <c r="F1254" s="8" t="s">
        <v>1479</v>
      </c>
      <c r="G1254" s="8" t="s">
        <v>2556</v>
      </c>
      <c r="H1254" s="8">
        <f t="shared" ref="H1254:H1255" si="39">1</f>
        <v>1</v>
      </c>
      <c r="I1254" s="8" t="s">
        <v>44</v>
      </c>
      <c r="J1254" s="8" t="s">
        <v>22</v>
      </c>
      <c r="K1254" s="8" t="s">
        <v>225</v>
      </c>
      <c r="L1254" s="8" t="s">
        <v>24</v>
      </c>
      <c r="M1254" s="9">
        <v>1.5</v>
      </c>
      <c r="N1254" s="9">
        <v>0.5</v>
      </c>
      <c r="O1254" s="9">
        <v>0.5</v>
      </c>
      <c r="P1254" s="10">
        <v>45224.0</v>
      </c>
      <c r="Q1254" s="11">
        <v>1.875</v>
      </c>
      <c r="R1254" s="8" t="s">
        <v>25</v>
      </c>
      <c r="S1254" s="12">
        <f t="shared" si="1"/>
        <v>-0.5</v>
      </c>
      <c r="T1254" s="12">
        <f t="shared" si="8"/>
        <v>38.93337489</v>
      </c>
      <c r="U1254" s="145"/>
    </row>
    <row r="1255">
      <c r="A1255" s="29"/>
      <c r="B1255" s="29"/>
      <c r="C1255" s="15" t="s">
        <v>19</v>
      </c>
      <c r="D1255" s="15" t="s">
        <v>19</v>
      </c>
      <c r="E1255" s="15" t="s">
        <v>3716</v>
      </c>
      <c r="F1255" s="15" t="s">
        <v>1479</v>
      </c>
      <c r="G1255" s="15" t="s">
        <v>2556</v>
      </c>
      <c r="H1255" s="15">
        <f t="shared" si="39"/>
        <v>1</v>
      </c>
      <c r="I1255" s="15" t="s">
        <v>44</v>
      </c>
      <c r="J1255" s="15" t="s">
        <v>22</v>
      </c>
      <c r="K1255" s="15" t="s">
        <v>225</v>
      </c>
      <c r="L1255" s="15" t="s">
        <v>24</v>
      </c>
      <c r="M1255" s="16">
        <v>1.5</v>
      </c>
      <c r="N1255" s="16">
        <v>0.25</v>
      </c>
      <c r="O1255" s="16">
        <f>0.25*19/26</f>
        <v>0.1826923077</v>
      </c>
      <c r="P1255" s="17">
        <v>45224.0</v>
      </c>
      <c r="Q1255" s="18">
        <f>183.05/150</f>
        <v>1.220333333</v>
      </c>
      <c r="R1255" s="15" t="s">
        <v>33</v>
      </c>
      <c r="S1255" s="19">
        <f t="shared" si="1"/>
        <v>0.04025320513</v>
      </c>
      <c r="T1255" s="19">
        <f t="shared" si="8"/>
        <v>38.97362809</v>
      </c>
      <c r="U1255" s="144"/>
    </row>
    <row r="1256">
      <c r="A1256" s="107"/>
      <c r="B1256" s="107"/>
      <c r="C1256" s="8" t="s">
        <v>19</v>
      </c>
      <c r="D1256" s="8" t="s">
        <v>19</v>
      </c>
      <c r="E1256" s="8" t="s">
        <v>3717</v>
      </c>
      <c r="F1256" s="8" t="s">
        <v>1479</v>
      </c>
      <c r="G1256" s="8" t="s">
        <v>2556</v>
      </c>
      <c r="H1256" s="8">
        <v>3</v>
      </c>
      <c r="I1256" s="8" t="s">
        <v>316</v>
      </c>
      <c r="J1256" s="8" t="s">
        <v>22</v>
      </c>
      <c r="K1256" s="8" t="s">
        <v>225</v>
      </c>
      <c r="L1256" s="8" t="s">
        <v>24</v>
      </c>
      <c r="M1256" s="9">
        <v>0.5</v>
      </c>
      <c r="N1256" s="9">
        <v>0.25</v>
      </c>
      <c r="O1256" s="9">
        <v>0.25</v>
      </c>
      <c r="P1256" s="10">
        <v>45224.0</v>
      </c>
      <c r="Q1256" s="11">
        <v>1.775</v>
      </c>
      <c r="R1256" s="8" t="s">
        <v>25</v>
      </c>
      <c r="S1256" s="12">
        <f t="shared" si="1"/>
        <v>-0.25</v>
      </c>
      <c r="T1256" s="12">
        <f t="shared" si="8"/>
        <v>38.72362809</v>
      </c>
      <c r="U1256" s="145"/>
    </row>
    <row r="1257">
      <c r="A1257" s="29"/>
      <c r="B1257" s="29"/>
      <c r="C1257" s="15" t="s">
        <v>19</v>
      </c>
      <c r="D1257" s="15" t="s">
        <v>40</v>
      </c>
      <c r="E1257" s="15" t="s">
        <v>3718</v>
      </c>
      <c r="F1257" s="15" t="s">
        <v>1479</v>
      </c>
      <c r="G1257" s="15" t="s">
        <v>2556</v>
      </c>
      <c r="H1257" s="15">
        <v>0.0</v>
      </c>
      <c r="I1257" s="15" t="s">
        <v>2456</v>
      </c>
      <c r="J1257" s="15" t="s">
        <v>598</v>
      </c>
      <c r="K1257" s="15" t="s">
        <v>225</v>
      </c>
      <c r="L1257" s="15" t="s">
        <v>3697</v>
      </c>
      <c r="M1257" s="16">
        <v>0.75</v>
      </c>
      <c r="N1257" s="16">
        <v>0.25</v>
      </c>
      <c r="O1257" s="16">
        <v>0.25</v>
      </c>
      <c r="P1257" s="17">
        <v>45225.0</v>
      </c>
      <c r="Q1257" s="18">
        <v>1.925</v>
      </c>
      <c r="R1257" s="15" t="s">
        <v>33</v>
      </c>
      <c r="S1257" s="19">
        <f t="shared" si="1"/>
        <v>0.23125</v>
      </c>
      <c r="T1257" s="19">
        <f t="shared" si="8"/>
        <v>38.95487809</v>
      </c>
      <c r="U1257" s="144"/>
    </row>
    <row r="1258">
      <c r="A1258" s="107"/>
      <c r="B1258" s="107"/>
      <c r="C1258" s="8" t="s">
        <v>19</v>
      </c>
      <c r="D1258" s="8" t="s">
        <v>40</v>
      </c>
      <c r="E1258" s="8" t="s">
        <v>3719</v>
      </c>
      <c r="F1258" s="8"/>
      <c r="G1258" s="8"/>
      <c r="H1258" s="8" t="s">
        <v>2615</v>
      </c>
      <c r="I1258" s="8" t="s">
        <v>1182</v>
      </c>
      <c r="J1258" s="8" t="s">
        <v>22</v>
      </c>
      <c r="K1258" s="8" t="s">
        <v>23</v>
      </c>
      <c r="L1258" s="8" t="s">
        <v>24</v>
      </c>
      <c r="M1258" s="9">
        <v>-16.0</v>
      </c>
      <c r="N1258" s="9">
        <v>0.3</v>
      </c>
      <c r="O1258" s="9">
        <v>0.3</v>
      </c>
      <c r="P1258" s="10">
        <v>45225.0</v>
      </c>
      <c r="Q1258" s="11">
        <v>1.8</v>
      </c>
      <c r="R1258" s="8" t="s">
        <v>25</v>
      </c>
      <c r="S1258" s="12">
        <f t="shared" si="1"/>
        <v>-0.3</v>
      </c>
      <c r="T1258" s="12">
        <f t="shared" si="8"/>
        <v>38.65487809</v>
      </c>
      <c r="U1258" s="145"/>
    </row>
    <row r="1259">
      <c r="A1259" s="29"/>
      <c r="B1259" s="29"/>
      <c r="C1259" s="15" t="s">
        <v>19</v>
      </c>
      <c r="D1259" s="15" t="s">
        <v>19</v>
      </c>
      <c r="E1259" s="15" t="s">
        <v>3720</v>
      </c>
      <c r="F1259" s="15" t="s">
        <v>1479</v>
      </c>
      <c r="G1259" s="15" t="s">
        <v>2660</v>
      </c>
      <c r="H1259" s="15">
        <v>-1.0</v>
      </c>
      <c r="I1259" s="15" t="s">
        <v>174</v>
      </c>
      <c r="J1259" s="15" t="s">
        <v>22</v>
      </c>
      <c r="K1259" s="15" t="s">
        <v>892</v>
      </c>
      <c r="L1259" s="15" t="s">
        <v>24</v>
      </c>
      <c r="M1259" s="16">
        <v>0.0</v>
      </c>
      <c r="N1259" s="16">
        <v>0.5</v>
      </c>
      <c r="O1259" s="16">
        <v>0.5</v>
      </c>
      <c r="P1259" s="17">
        <v>45225.0</v>
      </c>
      <c r="Q1259" s="18">
        <v>1.85</v>
      </c>
      <c r="R1259" s="15" t="s">
        <v>70</v>
      </c>
      <c r="S1259" s="19">
        <f t="shared" si="1"/>
        <v>0</v>
      </c>
      <c r="T1259" s="19">
        <f t="shared" si="8"/>
        <v>38.65487809</v>
      </c>
      <c r="U1259" s="144"/>
    </row>
    <row r="1260">
      <c r="A1260" s="107"/>
      <c r="B1260" s="107"/>
      <c r="C1260" s="8" t="s">
        <v>19</v>
      </c>
      <c r="D1260" s="8" t="s">
        <v>19</v>
      </c>
      <c r="E1260" s="8" t="s">
        <v>3721</v>
      </c>
      <c r="F1260" s="8" t="s">
        <v>1479</v>
      </c>
      <c r="G1260" s="8" t="s">
        <v>2660</v>
      </c>
      <c r="H1260" s="8">
        <v>0.0</v>
      </c>
      <c r="I1260" s="8" t="s">
        <v>187</v>
      </c>
      <c r="J1260" s="8" t="s">
        <v>22</v>
      </c>
      <c r="K1260" s="8" t="s">
        <v>892</v>
      </c>
      <c r="L1260" s="8" t="s">
        <v>1522</v>
      </c>
      <c r="M1260" s="9">
        <v>0.0</v>
      </c>
      <c r="N1260" s="9">
        <v>0.5</v>
      </c>
      <c r="O1260" s="9">
        <v>0.5</v>
      </c>
      <c r="P1260" s="10">
        <v>45225.0</v>
      </c>
      <c r="Q1260" s="11">
        <v>1.7</v>
      </c>
      <c r="R1260" s="8" t="s">
        <v>33</v>
      </c>
      <c r="S1260" s="12">
        <f t="shared" si="1"/>
        <v>0.35</v>
      </c>
      <c r="T1260" s="12">
        <f t="shared" si="8"/>
        <v>39.00487809</v>
      </c>
      <c r="U1260" s="145"/>
    </row>
    <row r="1261">
      <c r="A1261" s="29"/>
      <c r="B1261" s="29"/>
      <c r="C1261" s="15" t="s">
        <v>19</v>
      </c>
      <c r="D1261" s="15" t="s">
        <v>19</v>
      </c>
      <c r="E1261" s="15" t="s">
        <v>3722</v>
      </c>
      <c r="F1261" s="15"/>
      <c r="G1261" s="15"/>
      <c r="H1261" s="15" t="s">
        <v>2615</v>
      </c>
      <c r="I1261" s="15" t="s">
        <v>316</v>
      </c>
      <c r="J1261" s="15" t="s">
        <v>22</v>
      </c>
      <c r="K1261" s="15" t="s">
        <v>2939</v>
      </c>
      <c r="L1261" s="15" t="s">
        <v>39</v>
      </c>
      <c r="M1261" s="16">
        <v>-3.5</v>
      </c>
      <c r="N1261" s="16">
        <v>0.1</v>
      </c>
      <c r="O1261" s="16">
        <v>0.1</v>
      </c>
      <c r="P1261" s="17">
        <v>45225.0</v>
      </c>
      <c r="Q1261" s="18">
        <v>1.725</v>
      </c>
      <c r="R1261" s="15" t="s">
        <v>33</v>
      </c>
      <c r="S1261" s="19">
        <f t="shared" si="1"/>
        <v>0.0725</v>
      </c>
      <c r="T1261" s="19">
        <f t="shared" si="8"/>
        <v>39.07737809</v>
      </c>
      <c r="U1261" s="144"/>
    </row>
    <row r="1262">
      <c r="A1262" s="107"/>
      <c r="B1262" s="107"/>
      <c r="C1262" s="8" t="s">
        <v>19</v>
      </c>
      <c r="D1262" s="8" t="s">
        <v>19</v>
      </c>
      <c r="E1262" s="8" t="s">
        <v>3723</v>
      </c>
      <c r="F1262" s="8" t="s">
        <v>1479</v>
      </c>
      <c r="G1262" s="8"/>
      <c r="H1262" s="8">
        <v>-1.0</v>
      </c>
      <c r="I1262" s="8" t="s">
        <v>316</v>
      </c>
      <c r="J1262" s="8" t="s">
        <v>22</v>
      </c>
      <c r="K1262" s="8" t="s">
        <v>1165</v>
      </c>
      <c r="L1262" s="8" t="s">
        <v>24</v>
      </c>
      <c r="M1262" s="9"/>
      <c r="N1262" s="9">
        <v>0.05</v>
      </c>
      <c r="O1262" s="9">
        <v>0.05</v>
      </c>
      <c r="P1262" s="10">
        <v>45225.0</v>
      </c>
      <c r="Q1262" s="11">
        <v>6.5</v>
      </c>
      <c r="R1262" s="8" t="s">
        <v>25</v>
      </c>
      <c r="S1262" s="12">
        <f t="shared" si="1"/>
        <v>-0.05</v>
      </c>
      <c r="T1262" s="12">
        <f t="shared" si="8"/>
        <v>39.02737809</v>
      </c>
      <c r="U1262" s="145"/>
    </row>
    <row r="1263">
      <c r="A1263" s="29"/>
      <c r="B1263" s="29"/>
      <c r="C1263" s="15" t="s">
        <v>19</v>
      </c>
      <c r="D1263" s="15" t="s">
        <v>19</v>
      </c>
      <c r="E1263" s="15" t="s">
        <v>3724</v>
      </c>
      <c r="F1263" s="139" t="s">
        <v>1479</v>
      </c>
      <c r="G1263" s="139" t="s">
        <v>2556</v>
      </c>
      <c r="H1263" s="139">
        <v>-1.0</v>
      </c>
      <c r="I1263" s="15" t="s">
        <v>316</v>
      </c>
      <c r="J1263" s="15" t="s">
        <v>22</v>
      </c>
      <c r="K1263" s="15" t="s">
        <v>225</v>
      </c>
      <c r="L1263" s="15" t="s">
        <v>1522</v>
      </c>
      <c r="M1263" s="16">
        <v>1.0</v>
      </c>
      <c r="N1263" s="16">
        <v>0.5</v>
      </c>
      <c r="O1263" s="16">
        <v>0.5</v>
      </c>
      <c r="P1263" s="17">
        <v>45225.0</v>
      </c>
      <c r="Q1263" s="18">
        <v>1.825</v>
      </c>
      <c r="R1263" s="15" t="s">
        <v>70</v>
      </c>
      <c r="S1263" s="19">
        <f t="shared" si="1"/>
        <v>0</v>
      </c>
      <c r="T1263" s="19">
        <f t="shared" si="8"/>
        <v>39.02737809</v>
      </c>
      <c r="U1263" s="144"/>
    </row>
    <row r="1264">
      <c r="A1264" s="107"/>
      <c r="B1264" s="107"/>
      <c r="C1264" s="8" t="s">
        <v>19</v>
      </c>
      <c r="D1264" s="8" t="s">
        <v>19</v>
      </c>
      <c r="E1264" s="8" t="s">
        <v>3725</v>
      </c>
      <c r="F1264" s="8" t="s">
        <v>1479</v>
      </c>
      <c r="G1264" s="8" t="s">
        <v>2660</v>
      </c>
      <c r="H1264" s="8">
        <v>0.0</v>
      </c>
      <c r="I1264" s="8" t="s">
        <v>1961</v>
      </c>
      <c r="J1264" s="8" t="s">
        <v>22</v>
      </c>
      <c r="K1264" s="8" t="s">
        <v>892</v>
      </c>
      <c r="L1264" s="8" t="s">
        <v>39</v>
      </c>
      <c r="M1264" s="9">
        <v>0.0</v>
      </c>
      <c r="N1264" s="9">
        <v>0.1</v>
      </c>
      <c r="O1264" s="9">
        <f>0.207*0.1</f>
        <v>0.0207</v>
      </c>
      <c r="P1264" s="10">
        <v>45225.0</v>
      </c>
      <c r="Q1264" s="11">
        <v>1.7</v>
      </c>
      <c r="R1264" s="8" t="s">
        <v>70</v>
      </c>
      <c r="S1264" s="12">
        <f t="shared" si="1"/>
        <v>0</v>
      </c>
      <c r="T1264" s="12">
        <f t="shared" si="8"/>
        <v>39.02737809</v>
      </c>
      <c r="U1264" s="145"/>
    </row>
    <row r="1265">
      <c r="A1265" s="29"/>
      <c r="B1265" s="29"/>
      <c r="C1265" s="15" t="s">
        <v>19</v>
      </c>
      <c r="D1265" s="15" t="s">
        <v>19</v>
      </c>
      <c r="E1265" s="15" t="s">
        <v>3726</v>
      </c>
      <c r="F1265" s="15"/>
      <c r="G1265" s="15"/>
      <c r="H1265" s="15"/>
      <c r="I1265" s="15" t="s">
        <v>82</v>
      </c>
      <c r="J1265" s="15" t="s">
        <v>598</v>
      </c>
      <c r="K1265" s="15" t="s">
        <v>23</v>
      </c>
      <c r="L1265" s="15" t="s">
        <v>39</v>
      </c>
      <c r="M1265" s="16">
        <v>-10.5</v>
      </c>
      <c r="N1265" s="16">
        <v>0.5</v>
      </c>
      <c r="O1265" s="16">
        <v>0.5</v>
      </c>
      <c r="P1265" s="17">
        <v>45225.0</v>
      </c>
      <c r="Q1265" s="18">
        <v>2.0</v>
      </c>
      <c r="R1265" s="15" t="s">
        <v>25</v>
      </c>
      <c r="S1265" s="19">
        <f t="shared" si="1"/>
        <v>-0.5</v>
      </c>
      <c r="T1265" s="19">
        <f t="shared" si="8"/>
        <v>38.52737809</v>
      </c>
      <c r="U1265" s="144"/>
    </row>
    <row r="1266">
      <c r="A1266" s="107"/>
      <c r="B1266" s="107"/>
      <c r="C1266" s="8" t="s">
        <v>19</v>
      </c>
      <c r="D1266" s="8" t="s">
        <v>19</v>
      </c>
      <c r="E1266" s="8" t="s">
        <v>3727</v>
      </c>
      <c r="F1266" s="8"/>
      <c r="G1266" s="8"/>
      <c r="H1266" s="8" t="s">
        <v>2615</v>
      </c>
      <c r="I1266" s="8" t="s">
        <v>196</v>
      </c>
      <c r="J1266" s="8" t="s">
        <v>22</v>
      </c>
      <c r="K1266" s="8" t="s">
        <v>2939</v>
      </c>
      <c r="L1266" s="8" t="s">
        <v>24</v>
      </c>
      <c r="M1266" s="9">
        <v>-3.5</v>
      </c>
      <c r="N1266" s="9">
        <v>0.25</v>
      </c>
      <c r="O1266" s="9">
        <v>0.25</v>
      </c>
      <c r="P1266" s="10">
        <v>45225.0</v>
      </c>
      <c r="Q1266" s="11">
        <v>1.75</v>
      </c>
      <c r="R1266" s="8" t="s">
        <v>33</v>
      </c>
      <c r="S1266" s="12">
        <f t="shared" si="1"/>
        <v>0.1875</v>
      </c>
      <c r="T1266" s="12">
        <f t="shared" si="8"/>
        <v>38.71487809</v>
      </c>
      <c r="U1266" s="145"/>
    </row>
    <row r="1267">
      <c r="A1267" s="29"/>
      <c r="B1267" s="29"/>
      <c r="C1267" s="15" t="s">
        <v>19</v>
      </c>
      <c r="D1267" s="15" t="s">
        <v>19</v>
      </c>
      <c r="E1267" s="15" t="s">
        <v>3728</v>
      </c>
      <c r="F1267" s="15"/>
      <c r="G1267" s="15"/>
      <c r="H1267" s="15"/>
      <c r="I1267" s="15" t="s">
        <v>82</v>
      </c>
      <c r="J1267" s="15" t="s">
        <v>22</v>
      </c>
      <c r="K1267" s="15" t="s">
        <v>440</v>
      </c>
      <c r="L1267" s="15" t="s">
        <v>39</v>
      </c>
      <c r="M1267" s="16">
        <v>3.0</v>
      </c>
      <c r="N1267" s="16">
        <v>0.25</v>
      </c>
      <c r="O1267" s="16">
        <v>0.25</v>
      </c>
      <c r="P1267" s="17">
        <v>45225.0</v>
      </c>
      <c r="Q1267" s="18">
        <v>1.925</v>
      </c>
      <c r="R1267" s="15" t="s">
        <v>70</v>
      </c>
      <c r="S1267" s="19">
        <f t="shared" si="1"/>
        <v>0</v>
      </c>
      <c r="T1267" s="19">
        <f t="shared" si="8"/>
        <v>38.71487809</v>
      </c>
      <c r="U1267" s="144"/>
    </row>
    <row r="1268">
      <c r="A1268" s="107"/>
      <c r="B1268" s="107"/>
      <c r="C1268" s="8" t="s">
        <v>19</v>
      </c>
      <c r="D1268" s="8" t="s">
        <v>19</v>
      </c>
      <c r="E1268" s="8" t="s">
        <v>3729</v>
      </c>
      <c r="F1268" s="8" t="s">
        <v>1473</v>
      </c>
      <c r="G1268" s="8" t="s">
        <v>2755</v>
      </c>
      <c r="H1268" s="8">
        <f t="shared" ref="H1268:H1269" si="40">1</f>
        <v>1</v>
      </c>
      <c r="I1268" s="8" t="s">
        <v>853</v>
      </c>
      <c r="J1268" s="8" t="s">
        <v>22</v>
      </c>
      <c r="K1268" s="8" t="s">
        <v>225</v>
      </c>
      <c r="L1268" s="8" t="s">
        <v>24</v>
      </c>
      <c r="M1268" s="9">
        <v>0.25</v>
      </c>
      <c r="N1268" s="9">
        <v>0.5</v>
      </c>
      <c r="O1268" s="9">
        <v>0.5</v>
      </c>
      <c r="P1268" s="10">
        <v>45226.0</v>
      </c>
      <c r="Q1268" s="11">
        <v>2.0</v>
      </c>
      <c r="R1268" s="8" t="s">
        <v>25</v>
      </c>
      <c r="S1268" s="12">
        <f t="shared" si="1"/>
        <v>-0.5</v>
      </c>
      <c r="T1268" s="12">
        <f t="shared" si="8"/>
        <v>38.21487809</v>
      </c>
      <c r="U1268" s="145"/>
    </row>
    <row r="1269">
      <c r="A1269" s="29"/>
      <c r="B1269" s="29"/>
      <c r="C1269" s="15" t="s">
        <v>19</v>
      </c>
      <c r="D1269" s="15" t="s">
        <v>19</v>
      </c>
      <c r="E1269" s="15" t="s">
        <v>3730</v>
      </c>
      <c r="F1269" s="15" t="s">
        <v>1473</v>
      </c>
      <c r="G1269" s="15" t="s">
        <v>2755</v>
      </c>
      <c r="H1269" s="15">
        <f t="shared" si="40"/>
        <v>1</v>
      </c>
      <c r="I1269" s="15" t="s">
        <v>853</v>
      </c>
      <c r="J1269" s="15" t="s">
        <v>22</v>
      </c>
      <c r="K1269" s="15" t="s">
        <v>1165</v>
      </c>
      <c r="L1269" s="15" t="s">
        <v>24</v>
      </c>
      <c r="M1269" s="16"/>
      <c r="N1269" s="16">
        <v>0.1</v>
      </c>
      <c r="O1269" s="16">
        <v>0.1</v>
      </c>
      <c r="P1269" s="17">
        <v>45226.0</v>
      </c>
      <c r="Q1269" s="18">
        <v>2.0</v>
      </c>
      <c r="R1269" s="15" t="s">
        <v>25</v>
      </c>
      <c r="S1269" s="19">
        <f t="shared" si="1"/>
        <v>-0.1</v>
      </c>
      <c r="T1269" s="19">
        <f t="shared" si="8"/>
        <v>38.11487809</v>
      </c>
      <c r="U1269" s="144"/>
    </row>
    <row r="1270">
      <c r="A1270" s="107"/>
      <c r="B1270" s="107"/>
      <c r="C1270" s="8" t="s">
        <v>19</v>
      </c>
      <c r="D1270" s="8" t="s">
        <v>19</v>
      </c>
      <c r="E1270" s="31" t="s">
        <v>3731</v>
      </c>
      <c r="F1270" s="148"/>
      <c r="G1270" s="148"/>
      <c r="H1270" s="32"/>
      <c r="I1270" s="32" t="s">
        <v>82</v>
      </c>
      <c r="J1270" s="32" t="s">
        <v>22</v>
      </c>
      <c r="K1270" s="32" t="s">
        <v>3732</v>
      </c>
      <c r="L1270" s="32" t="s">
        <v>24</v>
      </c>
      <c r="M1270" s="33"/>
      <c r="N1270" s="9">
        <v>0.1</v>
      </c>
      <c r="O1270" s="9">
        <v>0.1</v>
      </c>
      <c r="P1270" s="10">
        <v>45226.0</v>
      </c>
      <c r="Q1270" s="11">
        <v>7.0</v>
      </c>
      <c r="R1270" s="8" t="s">
        <v>25</v>
      </c>
      <c r="S1270" s="12">
        <f t="shared" si="1"/>
        <v>-0.1</v>
      </c>
      <c r="T1270" s="12">
        <f t="shared" si="8"/>
        <v>38.01487809</v>
      </c>
      <c r="U1270" s="145"/>
    </row>
    <row r="1271">
      <c r="A1271" s="29"/>
      <c r="B1271" s="29"/>
      <c r="C1271" s="15" t="s">
        <v>40</v>
      </c>
      <c r="D1271" s="15" t="s">
        <v>19</v>
      </c>
      <c r="E1271" s="149" t="s">
        <v>3733</v>
      </c>
      <c r="F1271" s="37" t="s">
        <v>1473</v>
      </c>
      <c r="G1271" s="150" t="s">
        <v>2755</v>
      </c>
      <c r="H1271" s="37">
        <v>-2.0</v>
      </c>
      <c r="I1271" s="150" t="s">
        <v>1493</v>
      </c>
      <c r="J1271" s="150" t="s">
        <v>22</v>
      </c>
      <c r="K1271" s="150" t="s">
        <v>225</v>
      </c>
      <c r="L1271" s="150" t="s">
        <v>24</v>
      </c>
      <c r="M1271" s="151">
        <v>0.25</v>
      </c>
      <c r="N1271" s="16">
        <v>0.75</v>
      </c>
      <c r="O1271" s="16">
        <v>0.75</v>
      </c>
      <c r="P1271" s="17">
        <v>45226.0</v>
      </c>
      <c r="Q1271" s="18">
        <v>1.9</v>
      </c>
      <c r="R1271" s="15" t="s">
        <v>33</v>
      </c>
      <c r="S1271" s="19">
        <f t="shared" si="1"/>
        <v>0.675</v>
      </c>
      <c r="T1271" s="19">
        <f t="shared" si="8"/>
        <v>38.68987809</v>
      </c>
      <c r="U1271" s="144"/>
    </row>
    <row r="1272">
      <c r="A1272" s="107"/>
      <c r="B1272" s="107"/>
      <c r="C1272" s="8" t="s">
        <v>19</v>
      </c>
      <c r="D1272" s="8" t="s">
        <v>19</v>
      </c>
      <c r="E1272" s="152" t="s">
        <v>3734</v>
      </c>
      <c r="F1272" s="47" t="s">
        <v>1473</v>
      </c>
      <c r="G1272" s="153" t="s">
        <v>2755</v>
      </c>
      <c r="H1272" s="47">
        <v>-2.0</v>
      </c>
      <c r="I1272" s="153" t="s">
        <v>1493</v>
      </c>
      <c r="J1272" s="153" t="s">
        <v>22</v>
      </c>
      <c r="K1272" s="153" t="s">
        <v>1165</v>
      </c>
      <c r="L1272" s="153" t="s">
        <v>24</v>
      </c>
      <c r="M1272" s="154"/>
      <c r="N1272" s="9">
        <v>0.05</v>
      </c>
      <c r="O1272" s="9">
        <v>0.05</v>
      </c>
      <c r="P1272" s="10">
        <v>45226.0</v>
      </c>
      <c r="Q1272" s="11">
        <v>5.5</v>
      </c>
      <c r="R1272" s="8" t="s">
        <v>33</v>
      </c>
      <c r="S1272" s="12">
        <f t="shared" si="1"/>
        <v>0.225</v>
      </c>
      <c r="T1272" s="12">
        <f t="shared" si="8"/>
        <v>38.91487809</v>
      </c>
      <c r="U1272" s="145"/>
    </row>
    <row r="1273">
      <c r="A1273" s="29"/>
      <c r="B1273" s="29"/>
      <c r="C1273" s="15" t="s">
        <v>19</v>
      </c>
      <c r="D1273" s="15" t="s">
        <v>40</v>
      </c>
      <c r="E1273" s="15" t="s">
        <v>3735</v>
      </c>
      <c r="F1273" s="15" t="s">
        <v>1473</v>
      </c>
      <c r="G1273" s="15" t="s">
        <v>2660</v>
      </c>
      <c r="H1273" s="15">
        <v>0.0</v>
      </c>
      <c r="I1273" s="15" t="s">
        <v>1961</v>
      </c>
      <c r="J1273" s="15" t="s">
        <v>22</v>
      </c>
      <c r="K1273" s="15" t="s">
        <v>1150</v>
      </c>
      <c r="L1273" s="15" t="s">
        <v>1851</v>
      </c>
      <c r="M1273" s="16">
        <v>0.0</v>
      </c>
      <c r="N1273" s="16">
        <v>1.0</v>
      </c>
      <c r="O1273" s="16">
        <v>1.0</v>
      </c>
      <c r="P1273" s="17">
        <v>45226.0</v>
      </c>
      <c r="Q1273" s="18">
        <v>1.75</v>
      </c>
      <c r="R1273" s="15" t="s">
        <v>70</v>
      </c>
      <c r="S1273" s="19">
        <f t="shared" si="1"/>
        <v>0</v>
      </c>
      <c r="T1273" s="19">
        <f t="shared" si="8"/>
        <v>38.91487809</v>
      </c>
      <c r="U1273" s="144"/>
    </row>
    <row r="1274">
      <c r="A1274" s="107"/>
      <c r="B1274" s="107"/>
      <c r="C1274" s="8" t="s">
        <v>19</v>
      </c>
      <c r="D1274" s="8" t="s">
        <v>19</v>
      </c>
      <c r="E1274" s="8" t="s">
        <v>3736</v>
      </c>
      <c r="F1274" s="8" t="s">
        <v>1473</v>
      </c>
      <c r="G1274" s="8"/>
      <c r="H1274" s="8">
        <f>1</f>
        <v>1</v>
      </c>
      <c r="I1274" s="8" t="s">
        <v>374</v>
      </c>
      <c r="J1274" s="8" t="s">
        <v>22</v>
      </c>
      <c r="K1274" s="8" t="s">
        <v>1847</v>
      </c>
      <c r="L1274" s="8" t="s">
        <v>24</v>
      </c>
      <c r="M1274" s="9">
        <v>-0.5</v>
      </c>
      <c r="N1274" s="9">
        <v>0.5</v>
      </c>
      <c r="O1274" s="9">
        <v>0.5</v>
      </c>
      <c r="P1274" s="10">
        <v>45226.0</v>
      </c>
      <c r="Q1274" s="11">
        <v>1.8</v>
      </c>
      <c r="R1274" s="8" t="s">
        <v>33</v>
      </c>
      <c r="S1274" s="12">
        <f t="shared" si="1"/>
        <v>0.4</v>
      </c>
      <c r="T1274" s="12">
        <f t="shared" si="8"/>
        <v>39.31487809</v>
      </c>
      <c r="U1274" s="145"/>
    </row>
    <row r="1275">
      <c r="A1275" s="29"/>
      <c r="B1275" s="29"/>
      <c r="C1275" s="15" t="s">
        <v>19</v>
      </c>
      <c r="D1275" s="15" t="s">
        <v>19</v>
      </c>
      <c r="E1275" s="15" t="s">
        <v>3737</v>
      </c>
      <c r="F1275" s="15" t="s">
        <v>1473</v>
      </c>
      <c r="G1275" s="15" t="s">
        <v>2556</v>
      </c>
      <c r="H1275" s="15">
        <v>-1.0</v>
      </c>
      <c r="I1275" s="15" t="s">
        <v>101</v>
      </c>
      <c r="J1275" s="15" t="s">
        <v>22</v>
      </c>
      <c r="K1275" s="15" t="s">
        <v>225</v>
      </c>
      <c r="L1275" s="15" t="s">
        <v>24</v>
      </c>
      <c r="M1275" s="16">
        <v>0.25</v>
      </c>
      <c r="N1275" s="16">
        <v>0.25</v>
      </c>
      <c r="O1275" s="16">
        <v>0.25</v>
      </c>
      <c r="P1275" s="17">
        <v>45226.0</v>
      </c>
      <c r="Q1275" s="18">
        <v>1.875</v>
      </c>
      <c r="R1275" s="15" t="s">
        <v>33</v>
      </c>
      <c r="S1275" s="19">
        <f t="shared" si="1"/>
        <v>0.21875</v>
      </c>
      <c r="T1275" s="19">
        <f t="shared" si="8"/>
        <v>39.53362809</v>
      </c>
      <c r="U1275" s="144"/>
    </row>
    <row r="1276">
      <c r="A1276" s="107"/>
      <c r="B1276" s="107"/>
      <c r="C1276" s="8" t="s">
        <v>19</v>
      </c>
      <c r="D1276" s="8" t="s">
        <v>19</v>
      </c>
      <c r="E1276" s="8" t="s">
        <v>3738</v>
      </c>
      <c r="F1276" s="8" t="s">
        <v>1479</v>
      </c>
      <c r="G1276" s="8" t="s">
        <v>2660</v>
      </c>
      <c r="H1276" s="8">
        <v>0.0</v>
      </c>
      <c r="I1276" s="8" t="s">
        <v>273</v>
      </c>
      <c r="J1276" s="8" t="s">
        <v>22</v>
      </c>
      <c r="K1276" s="8" t="s">
        <v>892</v>
      </c>
      <c r="L1276" s="8" t="s">
        <v>24</v>
      </c>
      <c r="M1276" s="9">
        <v>0.0</v>
      </c>
      <c r="N1276" s="9">
        <v>0.5</v>
      </c>
      <c r="O1276" s="9">
        <v>0.5</v>
      </c>
      <c r="P1276" s="10">
        <v>45226.0</v>
      </c>
      <c r="Q1276" s="11">
        <v>2.2</v>
      </c>
      <c r="R1276" s="8" t="s">
        <v>33</v>
      </c>
      <c r="S1276" s="12">
        <f t="shared" si="1"/>
        <v>0.6</v>
      </c>
      <c r="T1276" s="12">
        <f t="shared" si="8"/>
        <v>40.13362809</v>
      </c>
      <c r="U1276" s="145"/>
    </row>
    <row r="1277">
      <c r="A1277" s="29"/>
      <c r="B1277" s="29"/>
      <c r="C1277" s="15" t="s">
        <v>19</v>
      </c>
      <c r="D1277" s="15" t="s">
        <v>19</v>
      </c>
      <c r="E1277" s="15" t="s">
        <v>3739</v>
      </c>
      <c r="F1277" s="15"/>
      <c r="G1277" s="15"/>
      <c r="H1277" s="15"/>
      <c r="I1277" s="15" t="s">
        <v>44</v>
      </c>
      <c r="J1277" s="15" t="s">
        <v>22</v>
      </c>
      <c r="K1277" s="15" t="s">
        <v>23</v>
      </c>
      <c r="L1277" s="15" t="s">
        <v>24</v>
      </c>
      <c r="M1277" s="16">
        <v>-11.5</v>
      </c>
      <c r="N1277" s="16">
        <v>0.1</v>
      </c>
      <c r="O1277" s="16">
        <v>0.1</v>
      </c>
      <c r="P1277" s="17">
        <v>45226.0</v>
      </c>
      <c r="Q1277" s="18">
        <v>1.1</v>
      </c>
      <c r="R1277" s="15" t="s">
        <v>33</v>
      </c>
      <c r="S1277" s="19">
        <f t="shared" si="1"/>
        <v>0.01</v>
      </c>
      <c r="T1277" s="19">
        <f t="shared" si="8"/>
        <v>40.14362809</v>
      </c>
      <c r="U1277" s="144"/>
    </row>
    <row r="1278">
      <c r="A1278" s="107"/>
      <c r="B1278" s="107"/>
      <c r="C1278" s="8" t="s">
        <v>19</v>
      </c>
      <c r="D1278" s="8" t="s">
        <v>19</v>
      </c>
      <c r="E1278" s="8" t="s">
        <v>3740</v>
      </c>
      <c r="F1278" s="8" t="s">
        <v>1473</v>
      </c>
      <c r="G1278" s="8" t="s">
        <v>2556</v>
      </c>
      <c r="H1278" s="8">
        <v>-1.0</v>
      </c>
      <c r="I1278" s="8" t="s">
        <v>316</v>
      </c>
      <c r="J1278" s="8" t="s">
        <v>22</v>
      </c>
      <c r="K1278" s="8" t="s">
        <v>225</v>
      </c>
      <c r="L1278" s="8" t="s">
        <v>3697</v>
      </c>
      <c r="M1278" s="9">
        <v>0.25</v>
      </c>
      <c r="N1278" s="9">
        <v>0.5</v>
      </c>
      <c r="O1278" s="9">
        <v>0.5</v>
      </c>
      <c r="P1278" s="10">
        <v>45226.0</v>
      </c>
      <c r="Q1278" s="11">
        <v>1.95</v>
      </c>
      <c r="R1278" s="8" t="s">
        <v>70</v>
      </c>
      <c r="S1278" s="12">
        <f t="shared" si="1"/>
        <v>0</v>
      </c>
      <c r="T1278" s="12">
        <f t="shared" si="8"/>
        <v>40.14362809</v>
      </c>
      <c r="U1278" s="145"/>
    </row>
    <row r="1279">
      <c r="A1279" s="29"/>
      <c r="B1279" s="29"/>
      <c r="C1279" s="15" t="s">
        <v>40</v>
      </c>
      <c r="D1279" s="15" t="s">
        <v>19</v>
      </c>
      <c r="E1279" s="15" t="s">
        <v>3741</v>
      </c>
      <c r="F1279" s="15" t="s">
        <v>1473</v>
      </c>
      <c r="G1279" s="15" t="s">
        <v>2556</v>
      </c>
      <c r="H1279" s="15">
        <v>-1.0</v>
      </c>
      <c r="I1279" s="15" t="s">
        <v>316</v>
      </c>
      <c r="J1279" s="15" t="s">
        <v>22</v>
      </c>
      <c r="K1279" s="15" t="s">
        <v>1165</v>
      </c>
      <c r="L1279" s="15" t="s">
        <v>3697</v>
      </c>
      <c r="M1279" s="16"/>
      <c r="N1279" s="16">
        <v>0.1</v>
      </c>
      <c r="O1279" s="16">
        <v>0.1</v>
      </c>
      <c r="P1279" s="17">
        <v>45226.0</v>
      </c>
      <c r="Q1279" s="18">
        <v>4.0</v>
      </c>
      <c r="R1279" s="15" t="s">
        <v>25</v>
      </c>
      <c r="S1279" s="19">
        <f t="shared" si="1"/>
        <v>-0.1</v>
      </c>
      <c r="T1279" s="19">
        <f t="shared" si="8"/>
        <v>40.04362809</v>
      </c>
      <c r="U1279" s="144"/>
    </row>
    <row r="1280">
      <c r="A1280" s="107"/>
      <c r="B1280" s="107"/>
      <c r="C1280" s="8" t="s">
        <v>19</v>
      </c>
      <c r="D1280" s="8" t="s">
        <v>19</v>
      </c>
      <c r="E1280" s="8" t="s">
        <v>3742</v>
      </c>
      <c r="F1280" s="8"/>
      <c r="G1280" s="8"/>
      <c r="H1280" s="8"/>
      <c r="I1280" s="8" t="s">
        <v>82</v>
      </c>
      <c r="J1280" s="8" t="s">
        <v>598</v>
      </c>
      <c r="K1280" s="8" t="s">
        <v>2415</v>
      </c>
      <c r="L1280" s="8" t="s">
        <v>39</v>
      </c>
      <c r="M1280" s="9">
        <v>10.5</v>
      </c>
      <c r="N1280" s="9">
        <v>0.5</v>
      </c>
      <c r="O1280" s="9">
        <v>0.5</v>
      </c>
      <c r="P1280" s="10">
        <v>45226.0</v>
      </c>
      <c r="Q1280" s="11">
        <v>1.875</v>
      </c>
      <c r="R1280" s="8" t="s">
        <v>25</v>
      </c>
      <c r="S1280" s="12">
        <f t="shared" si="1"/>
        <v>-0.5</v>
      </c>
      <c r="T1280" s="12">
        <f t="shared" si="8"/>
        <v>39.54362809</v>
      </c>
      <c r="U1280" s="145"/>
    </row>
    <row r="1281">
      <c r="A1281" s="29"/>
      <c r="B1281" s="29"/>
      <c r="C1281" s="15" t="s">
        <v>19</v>
      </c>
      <c r="D1281" s="15" t="s">
        <v>40</v>
      </c>
      <c r="E1281" s="15" t="s">
        <v>3743</v>
      </c>
      <c r="F1281" s="15" t="s">
        <v>1479</v>
      </c>
      <c r="G1281" s="15" t="s">
        <v>2556</v>
      </c>
      <c r="H1281" s="15">
        <v>-1.0</v>
      </c>
      <c r="I1281" s="15" t="s">
        <v>42</v>
      </c>
      <c r="J1281" s="15" t="s">
        <v>22</v>
      </c>
      <c r="K1281" s="15" t="s">
        <v>225</v>
      </c>
      <c r="L1281" s="15" t="s">
        <v>24</v>
      </c>
      <c r="M1281" s="16">
        <v>0.5</v>
      </c>
      <c r="N1281" s="16">
        <v>0.5</v>
      </c>
      <c r="O1281" s="16">
        <v>0.5</v>
      </c>
      <c r="P1281" s="17">
        <v>45227.0</v>
      </c>
      <c r="Q1281" s="18">
        <v>1.58</v>
      </c>
      <c r="R1281" s="15" t="s">
        <v>33</v>
      </c>
      <c r="S1281" s="19">
        <f t="shared" si="1"/>
        <v>0.29</v>
      </c>
      <c r="T1281" s="19">
        <f t="shared" si="8"/>
        <v>39.83362809</v>
      </c>
      <c r="U1281" s="144"/>
    </row>
    <row r="1282">
      <c r="A1282" s="107"/>
      <c r="B1282" s="107"/>
      <c r="C1282" s="8" t="s">
        <v>40</v>
      </c>
      <c r="D1282" s="8" t="s">
        <v>19</v>
      </c>
      <c r="E1282" s="8" t="s">
        <v>3744</v>
      </c>
      <c r="F1282" s="8" t="s">
        <v>1473</v>
      </c>
      <c r="G1282" s="8" t="s">
        <v>2660</v>
      </c>
      <c r="H1282" s="8">
        <v>0.0</v>
      </c>
      <c r="I1282" s="8" t="s">
        <v>675</v>
      </c>
      <c r="J1282" s="8"/>
      <c r="K1282" s="8"/>
      <c r="L1282" s="8" t="s">
        <v>24</v>
      </c>
      <c r="M1282" s="9">
        <v>0.0</v>
      </c>
      <c r="N1282" s="9">
        <v>1.0</v>
      </c>
      <c r="O1282" s="9">
        <v>1.0</v>
      </c>
      <c r="P1282" s="10">
        <v>45227.0</v>
      </c>
      <c r="Q1282" s="11">
        <v>1.75</v>
      </c>
      <c r="R1282" s="8" t="s">
        <v>70</v>
      </c>
      <c r="S1282" s="12">
        <f t="shared" si="1"/>
        <v>0</v>
      </c>
      <c r="T1282" s="12">
        <f t="shared" si="8"/>
        <v>39.83362809</v>
      </c>
      <c r="U1282" s="145"/>
    </row>
    <row r="1283">
      <c r="A1283" s="29"/>
      <c r="B1283" s="29"/>
      <c r="C1283" s="15" t="s">
        <v>19</v>
      </c>
      <c r="D1283" s="15" t="s">
        <v>40</v>
      </c>
      <c r="E1283" s="15" t="s">
        <v>3745</v>
      </c>
      <c r="F1283" s="15" t="s">
        <v>1479</v>
      </c>
      <c r="G1283" s="15" t="s">
        <v>2556</v>
      </c>
      <c r="H1283" s="15">
        <v>-1.0</v>
      </c>
      <c r="I1283" s="15" t="s">
        <v>42</v>
      </c>
      <c r="J1283" s="15" t="s">
        <v>22</v>
      </c>
      <c r="K1283" s="15" t="s">
        <v>225</v>
      </c>
      <c r="L1283" s="15" t="s">
        <v>24</v>
      </c>
      <c r="M1283" s="16">
        <v>0.25</v>
      </c>
      <c r="N1283" s="16">
        <v>0.25</v>
      </c>
      <c r="O1283" s="16">
        <v>0.25</v>
      </c>
      <c r="P1283" s="17">
        <v>45227.0</v>
      </c>
      <c r="Q1283" s="18">
        <v>1.825</v>
      </c>
      <c r="R1283" s="15" t="s">
        <v>30</v>
      </c>
      <c r="S1283" s="19">
        <f t="shared" si="1"/>
        <v>0.103125</v>
      </c>
      <c r="T1283" s="19">
        <f t="shared" si="8"/>
        <v>39.93675309</v>
      </c>
      <c r="U1283" s="144"/>
    </row>
    <row r="1284">
      <c r="A1284" s="107"/>
      <c r="B1284" s="107"/>
      <c r="C1284" s="8" t="s">
        <v>19</v>
      </c>
      <c r="D1284" s="8" t="s">
        <v>40</v>
      </c>
      <c r="E1284" s="8" t="s">
        <v>3746</v>
      </c>
      <c r="F1284" s="8" t="s">
        <v>1479</v>
      </c>
      <c r="G1284" s="8" t="s">
        <v>2556</v>
      </c>
      <c r="H1284" s="8">
        <v>-1.0</v>
      </c>
      <c r="I1284" s="8" t="s">
        <v>42</v>
      </c>
      <c r="J1284" s="8" t="s">
        <v>22</v>
      </c>
      <c r="K1284" s="8" t="s">
        <v>1165</v>
      </c>
      <c r="L1284" s="155" t="s">
        <v>24</v>
      </c>
      <c r="M1284" s="9"/>
      <c r="N1284" s="9">
        <v>0.1</v>
      </c>
      <c r="O1284" s="9">
        <v>0.1</v>
      </c>
      <c r="P1284" s="10">
        <v>45227.0</v>
      </c>
      <c r="Q1284" s="11">
        <v>3.4</v>
      </c>
      <c r="R1284" s="8" t="s">
        <v>25</v>
      </c>
      <c r="S1284" s="12">
        <f t="shared" si="1"/>
        <v>-0.1</v>
      </c>
      <c r="T1284" s="12">
        <f t="shared" si="8"/>
        <v>39.83675309</v>
      </c>
      <c r="U1284" s="145"/>
    </row>
    <row r="1285">
      <c r="A1285" s="29"/>
      <c r="B1285" s="29"/>
      <c r="C1285" s="15" t="s">
        <v>19</v>
      </c>
      <c r="D1285" s="15" t="s">
        <v>19</v>
      </c>
      <c r="E1285" s="15" t="s">
        <v>3747</v>
      </c>
      <c r="F1285" s="15" t="s">
        <v>1473</v>
      </c>
      <c r="G1285" s="15" t="s">
        <v>2660</v>
      </c>
      <c r="H1285" s="15">
        <v>-1.0</v>
      </c>
      <c r="I1285" s="15" t="s">
        <v>1025</v>
      </c>
      <c r="J1285" s="15" t="s">
        <v>22</v>
      </c>
      <c r="K1285" s="15"/>
      <c r="L1285" s="15" t="s">
        <v>24</v>
      </c>
      <c r="M1285" s="16">
        <v>0.0</v>
      </c>
      <c r="N1285" s="16">
        <v>1.0</v>
      </c>
      <c r="O1285" s="16">
        <v>1.0</v>
      </c>
      <c r="P1285" s="17">
        <v>45227.0</v>
      </c>
      <c r="Q1285" s="18">
        <v>1.95</v>
      </c>
      <c r="R1285" s="15" t="s">
        <v>33</v>
      </c>
      <c r="S1285" s="19">
        <f t="shared" si="1"/>
        <v>0.95</v>
      </c>
      <c r="T1285" s="19">
        <f t="shared" si="8"/>
        <v>40.78675309</v>
      </c>
      <c r="U1285" s="144"/>
    </row>
    <row r="1286">
      <c r="A1286" s="107"/>
      <c r="B1286" s="107"/>
      <c r="C1286" s="8" t="s">
        <v>19</v>
      </c>
      <c r="D1286" s="8" t="s">
        <v>19</v>
      </c>
      <c r="E1286" s="8" t="s">
        <v>3748</v>
      </c>
      <c r="F1286" s="8" t="s">
        <v>1473</v>
      </c>
      <c r="G1286" s="8" t="s">
        <v>2556</v>
      </c>
      <c r="H1286" s="8">
        <v>-1.0</v>
      </c>
      <c r="I1286" s="8" t="s">
        <v>88</v>
      </c>
      <c r="J1286" s="8" t="s">
        <v>22</v>
      </c>
      <c r="K1286" s="8" t="s">
        <v>225</v>
      </c>
      <c r="L1286" s="8" t="s">
        <v>24</v>
      </c>
      <c r="M1286" s="9">
        <v>0.5</v>
      </c>
      <c r="N1286" s="9">
        <v>0.5</v>
      </c>
      <c r="O1286" s="9">
        <v>0.5</v>
      </c>
      <c r="P1286" s="10">
        <v>45227.0</v>
      </c>
      <c r="Q1286" s="11">
        <v>1.725</v>
      </c>
      <c r="R1286" s="8" t="s">
        <v>33</v>
      </c>
      <c r="S1286" s="12">
        <f t="shared" si="1"/>
        <v>0.3625</v>
      </c>
      <c r="T1286" s="12">
        <f t="shared" si="8"/>
        <v>41.14925309</v>
      </c>
      <c r="U1286" s="145"/>
    </row>
    <row r="1287">
      <c r="A1287" s="29"/>
      <c r="B1287" s="29"/>
      <c r="C1287" s="15" t="s">
        <v>19</v>
      </c>
      <c r="D1287" s="15" t="s">
        <v>19</v>
      </c>
      <c r="E1287" s="15" t="s">
        <v>3749</v>
      </c>
      <c r="F1287" s="15" t="s">
        <v>1473</v>
      </c>
      <c r="G1287" s="15" t="s">
        <v>2556</v>
      </c>
      <c r="H1287" s="15">
        <v>-1.0</v>
      </c>
      <c r="I1287" s="15" t="s">
        <v>88</v>
      </c>
      <c r="J1287" s="15" t="s">
        <v>22</v>
      </c>
      <c r="K1287" s="15" t="s">
        <v>1165</v>
      </c>
      <c r="L1287" s="15" t="s">
        <v>24</v>
      </c>
      <c r="M1287" s="16"/>
      <c r="N1287" s="16">
        <v>0.1</v>
      </c>
      <c r="O1287" s="16">
        <v>0.1</v>
      </c>
      <c r="P1287" s="17">
        <v>45227.0</v>
      </c>
      <c r="Q1287" s="18">
        <v>4.0</v>
      </c>
      <c r="R1287" s="15" t="s">
        <v>25</v>
      </c>
      <c r="S1287" s="19">
        <f t="shared" si="1"/>
        <v>-0.1</v>
      </c>
      <c r="T1287" s="19">
        <f t="shared" si="8"/>
        <v>41.04925309</v>
      </c>
      <c r="U1287" s="144"/>
    </row>
    <row r="1288">
      <c r="A1288" s="107"/>
      <c r="B1288" s="107"/>
      <c r="C1288" s="8" t="s">
        <v>19</v>
      </c>
      <c r="D1288" s="8" t="s">
        <v>19</v>
      </c>
      <c r="E1288" s="8" t="s">
        <v>3750</v>
      </c>
      <c r="F1288" s="8" t="s">
        <v>1473</v>
      </c>
      <c r="G1288" s="8" t="s">
        <v>2660</v>
      </c>
      <c r="H1288" s="8">
        <v>0.0</v>
      </c>
      <c r="I1288" s="8" t="s">
        <v>178</v>
      </c>
      <c r="J1288" s="8" t="s">
        <v>22</v>
      </c>
      <c r="K1288" s="8" t="s">
        <v>941</v>
      </c>
      <c r="L1288" s="8" t="s">
        <v>1522</v>
      </c>
      <c r="M1288" s="9">
        <v>0.0</v>
      </c>
      <c r="N1288" s="9">
        <v>1.0</v>
      </c>
      <c r="O1288" s="9">
        <v>1.0</v>
      </c>
      <c r="P1288" s="10">
        <v>45227.0</v>
      </c>
      <c r="Q1288" s="11">
        <v>1.9</v>
      </c>
      <c r="R1288" s="8" t="s">
        <v>25</v>
      </c>
      <c r="S1288" s="12">
        <f t="shared" si="1"/>
        <v>-1</v>
      </c>
      <c r="T1288" s="12">
        <f t="shared" si="8"/>
        <v>40.04925309</v>
      </c>
      <c r="U1288" s="145"/>
    </row>
    <row r="1289">
      <c r="A1289" s="29"/>
      <c r="B1289" s="29"/>
      <c r="C1289" s="15" t="s">
        <v>19</v>
      </c>
      <c r="D1289" s="15" t="s">
        <v>19</v>
      </c>
      <c r="E1289" s="15" t="s">
        <v>3751</v>
      </c>
      <c r="F1289" s="15" t="s">
        <v>1473</v>
      </c>
      <c r="G1289" s="15" t="s">
        <v>2660</v>
      </c>
      <c r="H1289" s="15">
        <v>-1.0</v>
      </c>
      <c r="I1289" s="15" t="s">
        <v>229</v>
      </c>
      <c r="J1289" s="15" t="s">
        <v>22</v>
      </c>
      <c r="K1289" s="15" t="s">
        <v>892</v>
      </c>
      <c r="L1289" s="15" t="s">
        <v>24</v>
      </c>
      <c r="M1289" s="16">
        <v>0.0</v>
      </c>
      <c r="N1289" s="16">
        <v>0.5</v>
      </c>
      <c r="O1289" s="16">
        <v>0.5</v>
      </c>
      <c r="P1289" s="17">
        <v>45227.0</v>
      </c>
      <c r="Q1289" s="18">
        <v>1.9</v>
      </c>
      <c r="R1289" s="15" t="s">
        <v>70</v>
      </c>
      <c r="S1289" s="19">
        <f t="shared" si="1"/>
        <v>0</v>
      </c>
      <c r="T1289" s="19">
        <f t="shared" si="8"/>
        <v>40.04925309</v>
      </c>
      <c r="U1289" s="144"/>
    </row>
    <row r="1290">
      <c r="A1290" s="107"/>
      <c r="B1290" s="107"/>
      <c r="C1290" s="8" t="s">
        <v>19</v>
      </c>
      <c r="D1290" s="8" t="s">
        <v>19</v>
      </c>
      <c r="E1290" s="8" t="s">
        <v>3752</v>
      </c>
      <c r="F1290" s="8" t="s">
        <v>1473</v>
      </c>
      <c r="G1290" s="8" t="s">
        <v>2556</v>
      </c>
      <c r="H1290" s="8">
        <v>0.0</v>
      </c>
      <c r="I1290" s="8" t="s">
        <v>101</v>
      </c>
      <c r="J1290" s="8" t="s">
        <v>22</v>
      </c>
      <c r="K1290" s="8" t="s">
        <v>225</v>
      </c>
      <c r="L1290" s="8" t="s">
        <v>24</v>
      </c>
      <c r="M1290" s="9">
        <v>0.25</v>
      </c>
      <c r="N1290" s="9">
        <v>0.5</v>
      </c>
      <c r="O1290" s="9">
        <v>0.5</v>
      </c>
      <c r="P1290" s="10">
        <v>45227.0</v>
      </c>
      <c r="Q1290" s="11">
        <v>1.95</v>
      </c>
      <c r="R1290" s="8" t="s">
        <v>30</v>
      </c>
      <c r="S1290" s="12">
        <f t="shared" si="1"/>
        <v>0.2375</v>
      </c>
      <c r="T1290" s="12">
        <f t="shared" si="8"/>
        <v>40.28675309</v>
      </c>
      <c r="U1290" s="145"/>
    </row>
    <row r="1291">
      <c r="A1291" s="29"/>
      <c r="B1291" s="29"/>
      <c r="C1291" s="15" t="s">
        <v>19</v>
      </c>
      <c r="D1291" s="15" t="s">
        <v>19</v>
      </c>
      <c r="E1291" s="15" t="s">
        <v>3753</v>
      </c>
      <c r="F1291" s="15" t="s">
        <v>1479</v>
      </c>
      <c r="G1291" s="15" t="s">
        <v>2660</v>
      </c>
      <c r="H1291" s="15">
        <v>-1.0</v>
      </c>
      <c r="I1291" s="15" t="s">
        <v>583</v>
      </c>
      <c r="J1291" s="15" t="s">
        <v>22</v>
      </c>
      <c r="K1291" s="15" t="s">
        <v>892</v>
      </c>
      <c r="L1291" s="15" t="s">
        <v>24</v>
      </c>
      <c r="M1291" s="16">
        <v>0.0</v>
      </c>
      <c r="N1291" s="16">
        <v>0.5</v>
      </c>
      <c r="O1291" s="16">
        <f>0.25+0.25*7/27</f>
        <v>0.3148148148</v>
      </c>
      <c r="P1291" s="17">
        <v>45227.0</v>
      </c>
      <c r="Q1291" s="18">
        <v>1.95</v>
      </c>
      <c r="R1291" s="15" t="s">
        <v>33</v>
      </c>
      <c r="S1291" s="19">
        <f t="shared" si="1"/>
        <v>0.2990740741</v>
      </c>
      <c r="T1291" s="19">
        <f t="shared" si="8"/>
        <v>40.58582717</v>
      </c>
      <c r="U1291" s="144"/>
    </row>
    <row r="1292">
      <c r="A1292" s="107"/>
      <c r="B1292" s="107"/>
      <c r="C1292" s="8" t="s">
        <v>19</v>
      </c>
      <c r="D1292" s="8" t="s">
        <v>19</v>
      </c>
      <c r="E1292" s="8" t="s">
        <v>3754</v>
      </c>
      <c r="F1292" s="8" t="s">
        <v>1479</v>
      </c>
      <c r="G1292" s="8" t="s">
        <v>2660</v>
      </c>
      <c r="H1292" s="8">
        <v>0.0</v>
      </c>
      <c r="I1292" s="8" t="s">
        <v>44</v>
      </c>
      <c r="J1292" s="8" t="s">
        <v>22</v>
      </c>
      <c r="K1292" s="8" t="s">
        <v>892</v>
      </c>
      <c r="L1292" s="8" t="s">
        <v>24</v>
      </c>
      <c r="M1292" s="9">
        <v>0.0</v>
      </c>
      <c r="N1292" s="9">
        <v>0.75</v>
      </c>
      <c r="O1292" s="9">
        <v>0.75</v>
      </c>
      <c r="P1292" s="10">
        <v>45227.0</v>
      </c>
      <c r="Q1292" s="11">
        <v>1.925</v>
      </c>
      <c r="R1292" s="8" t="s">
        <v>70</v>
      </c>
      <c r="S1292" s="12">
        <f t="shared" si="1"/>
        <v>0</v>
      </c>
      <c r="T1292" s="12">
        <f t="shared" si="8"/>
        <v>40.58582717</v>
      </c>
      <c r="U1292" s="145"/>
    </row>
    <row r="1293">
      <c r="A1293" s="29"/>
      <c r="B1293" s="29"/>
      <c r="C1293" s="15" t="s">
        <v>19</v>
      </c>
      <c r="D1293" s="15" t="s">
        <v>19</v>
      </c>
      <c r="E1293" s="15" t="s">
        <v>3755</v>
      </c>
      <c r="F1293" s="15" t="s">
        <v>1479</v>
      </c>
      <c r="G1293" s="15" t="s">
        <v>2660</v>
      </c>
      <c r="H1293" s="15">
        <v>0.0</v>
      </c>
      <c r="I1293" s="15" t="s">
        <v>66</v>
      </c>
      <c r="J1293" s="15" t="s">
        <v>22</v>
      </c>
      <c r="K1293" s="15" t="s">
        <v>892</v>
      </c>
      <c r="L1293" s="15" t="s">
        <v>1522</v>
      </c>
      <c r="M1293" s="16">
        <v>0.0</v>
      </c>
      <c r="N1293" s="16">
        <v>0.5</v>
      </c>
      <c r="O1293" s="16">
        <v>0.5</v>
      </c>
      <c r="P1293" s="17">
        <v>45227.0</v>
      </c>
      <c r="Q1293" s="18">
        <v>1.85</v>
      </c>
      <c r="R1293" s="15" t="s">
        <v>70</v>
      </c>
      <c r="S1293" s="19">
        <f t="shared" si="1"/>
        <v>0</v>
      </c>
      <c r="T1293" s="19">
        <f t="shared" si="8"/>
        <v>40.58582717</v>
      </c>
      <c r="U1293" s="144"/>
    </row>
    <row r="1294">
      <c r="A1294" s="107"/>
      <c r="B1294" s="107"/>
      <c r="C1294" s="8" t="s">
        <v>19</v>
      </c>
      <c r="D1294" s="8" t="s">
        <v>19</v>
      </c>
      <c r="E1294" s="8" t="s">
        <v>3756</v>
      </c>
      <c r="F1294" s="8" t="s">
        <v>1479</v>
      </c>
      <c r="G1294" s="8" t="s">
        <v>2660</v>
      </c>
      <c r="H1294" s="8">
        <v>-1.0</v>
      </c>
      <c r="I1294" s="8" t="s">
        <v>1025</v>
      </c>
      <c r="J1294" s="8" t="s">
        <v>22</v>
      </c>
      <c r="K1294" s="8" t="s">
        <v>892</v>
      </c>
      <c r="L1294" s="8" t="s">
        <v>24</v>
      </c>
      <c r="M1294" s="9">
        <v>0.0</v>
      </c>
      <c r="N1294" s="9">
        <v>0.75</v>
      </c>
      <c r="O1294" s="9">
        <v>0.75</v>
      </c>
      <c r="P1294" s="10">
        <v>45227.0</v>
      </c>
      <c r="Q1294" s="11">
        <v>2.1</v>
      </c>
      <c r="R1294" s="8" t="s">
        <v>70</v>
      </c>
      <c r="S1294" s="12">
        <f t="shared" si="1"/>
        <v>0</v>
      </c>
      <c r="T1294" s="12">
        <f t="shared" si="8"/>
        <v>40.58582717</v>
      </c>
      <c r="U1294" s="145"/>
    </row>
    <row r="1295">
      <c r="A1295" s="29"/>
      <c r="B1295" s="29"/>
      <c r="C1295" s="15" t="s">
        <v>19</v>
      </c>
      <c r="D1295" s="15" t="s">
        <v>19</v>
      </c>
      <c r="E1295" s="15" t="s">
        <v>3757</v>
      </c>
      <c r="F1295" s="15" t="s">
        <v>1479</v>
      </c>
      <c r="G1295" s="15" t="s">
        <v>2660</v>
      </c>
      <c r="H1295" s="15">
        <v>0.0</v>
      </c>
      <c r="I1295" s="15" t="s">
        <v>44</v>
      </c>
      <c r="J1295" s="15" t="s">
        <v>22</v>
      </c>
      <c r="K1295" s="15" t="s">
        <v>892</v>
      </c>
      <c r="L1295" s="15" t="s">
        <v>24</v>
      </c>
      <c r="M1295" s="16">
        <v>0.0</v>
      </c>
      <c r="N1295" s="16">
        <v>0.5</v>
      </c>
      <c r="O1295" s="16">
        <v>0.5</v>
      </c>
      <c r="P1295" s="17">
        <v>45227.0</v>
      </c>
      <c r="Q1295" s="18">
        <v>1.9</v>
      </c>
      <c r="R1295" s="15" t="s">
        <v>70</v>
      </c>
      <c r="S1295" s="19">
        <f t="shared" si="1"/>
        <v>0</v>
      </c>
      <c r="T1295" s="19">
        <f t="shared" si="8"/>
        <v>40.58582717</v>
      </c>
      <c r="U1295" s="144"/>
    </row>
    <row r="1296">
      <c r="A1296" s="107"/>
      <c r="B1296" s="107"/>
      <c r="C1296" s="8" t="s">
        <v>19</v>
      </c>
      <c r="D1296" s="8" t="s">
        <v>19</v>
      </c>
      <c r="E1296" s="8" t="s">
        <v>3758</v>
      </c>
      <c r="F1296" s="8" t="s">
        <v>1473</v>
      </c>
      <c r="G1296" s="8" t="s">
        <v>2556</v>
      </c>
      <c r="H1296" s="8">
        <v>0.0</v>
      </c>
      <c r="I1296" s="8" t="s">
        <v>93</v>
      </c>
      <c r="J1296" s="8" t="s">
        <v>22</v>
      </c>
      <c r="K1296" s="8" t="s">
        <v>225</v>
      </c>
      <c r="L1296" s="8" t="s">
        <v>24</v>
      </c>
      <c r="M1296" s="9">
        <v>0.5</v>
      </c>
      <c r="N1296" s="9">
        <v>0.5</v>
      </c>
      <c r="O1296" s="9">
        <v>0.5</v>
      </c>
      <c r="P1296" s="10">
        <v>45227.0</v>
      </c>
      <c r="Q1296" s="11">
        <v>1.85</v>
      </c>
      <c r="R1296" s="8" t="s">
        <v>33</v>
      </c>
      <c r="S1296" s="12">
        <f t="shared" si="1"/>
        <v>0.425</v>
      </c>
      <c r="T1296" s="12">
        <f t="shared" si="8"/>
        <v>41.01082717</v>
      </c>
      <c r="U1296" s="145"/>
    </row>
    <row r="1297">
      <c r="A1297" s="29"/>
      <c r="B1297" s="29"/>
      <c r="C1297" s="15" t="s">
        <v>19</v>
      </c>
      <c r="D1297" s="15" t="s">
        <v>40</v>
      </c>
      <c r="E1297" s="15" t="s">
        <v>3759</v>
      </c>
      <c r="F1297" s="15" t="s">
        <v>1473</v>
      </c>
      <c r="G1297" s="15"/>
      <c r="H1297" s="15"/>
      <c r="I1297" s="15" t="s">
        <v>2468</v>
      </c>
      <c r="J1297" s="15" t="s">
        <v>22</v>
      </c>
      <c r="K1297" s="15" t="s">
        <v>1165</v>
      </c>
      <c r="L1297" s="15" t="s">
        <v>39</v>
      </c>
      <c r="M1297" s="16"/>
      <c r="N1297" s="16">
        <v>0.1</v>
      </c>
      <c r="O1297" s="16">
        <v>0.1</v>
      </c>
      <c r="P1297" s="17">
        <v>45227.0</v>
      </c>
      <c r="Q1297" s="18">
        <v>4.33</v>
      </c>
      <c r="R1297" s="15" t="s">
        <v>25</v>
      </c>
      <c r="S1297" s="19">
        <f t="shared" si="1"/>
        <v>-0.1</v>
      </c>
      <c r="T1297" s="19">
        <f t="shared" si="8"/>
        <v>40.91082717</v>
      </c>
      <c r="U1297" s="144"/>
    </row>
    <row r="1298">
      <c r="A1298" s="107"/>
      <c r="B1298" s="107"/>
      <c r="C1298" s="8" t="s">
        <v>19</v>
      </c>
      <c r="D1298" s="8" t="s">
        <v>40</v>
      </c>
      <c r="E1298" s="8" t="s">
        <v>3760</v>
      </c>
      <c r="F1298" s="8"/>
      <c r="G1298" s="8"/>
      <c r="H1298" s="8"/>
      <c r="I1298" s="8" t="s">
        <v>2468</v>
      </c>
      <c r="J1298" s="8" t="s">
        <v>22</v>
      </c>
      <c r="K1298" s="8" t="s">
        <v>1847</v>
      </c>
      <c r="L1298" s="8" t="s">
        <v>39</v>
      </c>
      <c r="M1298" s="9">
        <v>0.5</v>
      </c>
      <c r="N1298" s="9">
        <v>0.25</v>
      </c>
      <c r="O1298" s="9">
        <v>0.25</v>
      </c>
      <c r="P1298" s="10">
        <v>45227.0</v>
      </c>
      <c r="Q1298" s="11">
        <v>2.25</v>
      </c>
      <c r="R1298" s="8" t="s">
        <v>25</v>
      </c>
      <c r="S1298" s="12">
        <f t="shared" si="1"/>
        <v>-0.25</v>
      </c>
      <c r="T1298" s="12">
        <f t="shared" si="8"/>
        <v>40.66082717</v>
      </c>
      <c r="U1298" s="145"/>
    </row>
    <row r="1299">
      <c r="A1299" s="29"/>
      <c r="B1299" s="29"/>
      <c r="C1299" s="15" t="s">
        <v>19</v>
      </c>
      <c r="D1299" s="15" t="s">
        <v>19</v>
      </c>
      <c r="E1299" s="15" t="s">
        <v>3761</v>
      </c>
      <c r="F1299" s="15" t="s">
        <v>1479</v>
      </c>
      <c r="G1299" s="15" t="s">
        <v>2660</v>
      </c>
      <c r="H1299" s="15">
        <v>0.0</v>
      </c>
      <c r="I1299" s="15" t="s">
        <v>60</v>
      </c>
      <c r="J1299" s="15" t="s">
        <v>22</v>
      </c>
      <c r="K1299" s="15" t="s">
        <v>1150</v>
      </c>
      <c r="L1299" s="15" t="s">
        <v>24</v>
      </c>
      <c r="M1299" s="16">
        <v>0.0</v>
      </c>
      <c r="N1299" s="16">
        <v>0.75</v>
      </c>
      <c r="O1299" s="16">
        <v>0.75</v>
      </c>
      <c r="P1299" s="17">
        <v>45227.0</v>
      </c>
      <c r="Q1299" s="18">
        <v>1.95</v>
      </c>
      <c r="R1299" s="15" t="s">
        <v>70</v>
      </c>
      <c r="S1299" s="19">
        <f t="shared" si="1"/>
        <v>0</v>
      </c>
      <c r="T1299" s="19">
        <f t="shared" si="8"/>
        <v>40.66082717</v>
      </c>
      <c r="U1299" s="144"/>
    </row>
    <row r="1300">
      <c r="A1300" s="107"/>
      <c r="B1300" s="107"/>
      <c r="C1300" s="8" t="s">
        <v>19</v>
      </c>
      <c r="D1300" s="8" t="s">
        <v>19</v>
      </c>
      <c r="E1300" s="8" t="s">
        <v>3762</v>
      </c>
      <c r="F1300" s="8" t="s">
        <v>1479</v>
      </c>
      <c r="G1300" s="8"/>
      <c r="H1300" s="8">
        <v>0.0</v>
      </c>
      <c r="I1300" s="8" t="s">
        <v>82</v>
      </c>
      <c r="J1300" s="8" t="s">
        <v>22</v>
      </c>
      <c r="K1300" s="8" t="s">
        <v>941</v>
      </c>
      <c r="L1300" s="8" t="s">
        <v>3460</v>
      </c>
      <c r="M1300" s="9">
        <v>0.5</v>
      </c>
      <c r="N1300" s="9">
        <v>0.5</v>
      </c>
      <c r="O1300" s="9">
        <v>0.5</v>
      </c>
      <c r="P1300" s="10">
        <v>45227.0</v>
      </c>
      <c r="Q1300" s="11">
        <v>1.8</v>
      </c>
      <c r="R1300" s="8" t="s">
        <v>70</v>
      </c>
      <c r="S1300" s="12">
        <f t="shared" si="1"/>
        <v>0</v>
      </c>
      <c r="T1300" s="12">
        <f t="shared" si="8"/>
        <v>40.66082717</v>
      </c>
      <c r="U1300" s="145"/>
    </row>
    <row r="1301">
      <c r="A1301" s="29"/>
      <c r="B1301" s="29"/>
      <c r="C1301" s="15" t="s">
        <v>19</v>
      </c>
      <c r="D1301" s="15" t="s">
        <v>19</v>
      </c>
      <c r="E1301" s="15" t="s">
        <v>3763</v>
      </c>
      <c r="F1301" s="15" t="s">
        <v>1479</v>
      </c>
      <c r="G1301" s="15" t="s">
        <v>3764</v>
      </c>
      <c r="H1301" s="15">
        <v>0.0</v>
      </c>
      <c r="I1301" s="15" t="s">
        <v>82</v>
      </c>
      <c r="J1301" s="15" t="s">
        <v>22</v>
      </c>
      <c r="K1301" s="15" t="s">
        <v>892</v>
      </c>
      <c r="L1301" s="15" t="s">
        <v>1522</v>
      </c>
      <c r="M1301" s="16">
        <v>0.0</v>
      </c>
      <c r="N1301" s="16">
        <v>0.25</v>
      </c>
      <c r="O1301" s="16">
        <v>0.25</v>
      </c>
      <c r="P1301" s="17">
        <v>45227.0</v>
      </c>
      <c r="Q1301" s="18">
        <v>1.875</v>
      </c>
      <c r="R1301" s="15" t="s">
        <v>70</v>
      </c>
      <c r="S1301" s="19">
        <f t="shared" si="1"/>
        <v>0</v>
      </c>
      <c r="T1301" s="19">
        <f t="shared" si="8"/>
        <v>40.66082717</v>
      </c>
      <c r="U1301" s="144"/>
    </row>
    <row r="1302">
      <c r="A1302" s="107"/>
      <c r="B1302" s="107"/>
      <c r="C1302" s="8" t="s">
        <v>19</v>
      </c>
      <c r="D1302" s="8" t="s">
        <v>19</v>
      </c>
      <c r="E1302" s="8" t="s">
        <v>3765</v>
      </c>
      <c r="F1302" s="8" t="s">
        <v>1473</v>
      </c>
      <c r="G1302" s="8" t="s">
        <v>2556</v>
      </c>
      <c r="H1302" s="8">
        <v>0.0</v>
      </c>
      <c r="I1302" s="8" t="s">
        <v>48</v>
      </c>
      <c r="J1302" s="8" t="s">
        <v>22</v>
      </c>
      <c r="K1302" s="8" t="s">
        <v>225</v>
      </c>
      <c r="L1302" s="8" t="s">
        <v>24</v>
      </c>
      <c r="M1302" s="9">
        <v>0.5</v>
      </c>
      <c r="N1302" s="9">
        <v>0.5</v>
      </c>
      <c r="O1302" s="9">
        <v>0.5</v>
      </c>
      <c r="P1302" s="10">
        <v>45228.0</v>
      </c>
      <c r="Q1302" s="11">
        <v>1.276</v>
      </c>
      <c r="R1302" s="8" t="s">
        <v>33</v>
      </c>
      <c r="S1302" s="12">
        <f t="shared" si="1"/>
        <v>0.138</v>
      </c>
      <c r="T1302" s="12">
        <f t="shared" si="8"/>
        <v>40.79882717</v>
      </c>
      <c r="U1302" s="145"/>
    </row>
    <row r="1303">
      <c r="A1303" s="29"/>
      <c r="B1303" s="29"/>
      <c r="C1303" s="15" t="s">
        <v>19</v>
      </c>
      <c r="D1303" s="15" t="s">
        <v>19</v>
      </c>
      <c r="E1303" s="15" t="s">
        <v>3766</v>
      </c>
      <c r="F1303" s="15" t="s">
        <v>1473</v>
      </c>
      <c r="G1303" s="15" t="s">
        <v>3764</v>
      </c>
      <c r="H1303" s="15">
        <v>0.0</v>
      </c>
      <c r="I1303" s="15" t="s">
        <v>93</v>
      </c>
      <c r="J1303" s="15" t="s">
        <v>22</v>
      </c>
      <c r="K1303" s="15" t="s">
        <v>892</v>
      </c>
      <c r="L1303" s="15" t="s">
        <v>24</v>
      </c>
      <c r="M1303" s="16">
        <v>0.0</v>
      </c>
      <c r="N1303" s="16">
        <v>0.25</v>
      </c>
      <c r="O1303" s="16">
        <v>0.25</v>
      </c>
      <c r="P1303" s="17">
        <v>45228.0</v>
      </c>
      <c r="Q1303" s="18">
        <v>1.804</v>
      </c>
      <c r="R1303" s="15" t="s">
        <v>33</v>
      </c>
      <c r="S1303" s="19">
        <f t="shared" si="1"/>
        <v>0.201</v>
      </c>
      <c r="T1303" s="19">
        <f t="shared" si="8"/>
        <v>40.99982717</v>
      </c>
      <c r="U1303" s="144"/>
    </row>
    <row r="1304">
      <c r="A1304" s="107"/>
      <c r="B1304" s="107"/>
      <c r="C1304" s="8" t="s">
        <v>19</v>
      </c>
      <c r="D1304" s="8" t="s">
        <v>19</v>
      </c>
      <c r="E1304" s="8" t="s">
        <v>3767</v>
      </c>
      <c r="F1304" s="8" t="s">
        <v>1473</v>
      </c>
      <c r="G1304" s="8"/>
      <c r="H1304" s="8">
        <v>0.0</v>
      </c>
      <c r="I1304" s="8" t="s">
        <v>93</v>
      </c>
      <c r="J1304" s="8" t="s">
        <v>22</v>
      </c>
      <c r="K1304" s="8" t="s">
        <v>941</v>
      </c>
      <c r="L1304" s="8" t="s">
        <v>24</v>
      </c>
      <c r="M1304" s="9">
        <v>0.0</v>
      </c>
      <c r="N1304" s="9">
        <v>0.25</v>
      </c>
      <c r="O1304" s="9">
        <v>0.25</v>
      </c>
      <c r="P1304" s="10">
        <v>45228.0</v>
      </c>
      <c r="Q1304" s="11">
        <v>2.1</v>
      </c>
      <c r="R1304" s="8" t="s">
        <v>33</v>
      </c>
      <c r="S1304" s="12">
        <f t="shared" si="1"/>
        <v>0.275</v>
      </c>
      <c r="T1304" s="12">
        <f t="shared" si="8"/>
        <v>41.27482717</v>
      </c>
      <c r="U1304" s="145"/>
    </row>
    <row r="1305">
      <c r="A1305" s="29"/>
      <c r="B1305" s="29"/>
      <c r="C1305" s="15" t="s">
        <v>19</v>
      </c>
      <c r="D1305" s="15" t="s">
        <v>19</v>
      </c>
      <c r="E1305" s="15" t="s">
        <v>3768</v>
      </c>
      <c r="F1305" s="15"/>
      <c r="G1305" s="15"/>
      <c r="H1305" s="15">
        <v>0.0</v>
      </c>
      <c r="I1305" s="15" t="s">
        <v>93</v>
      </c>
      <c r="J1305" s="15" t="s">
        <v>22</v>
      </c>
      <c r="K1305" s="15"/>
      <c r="L1305" s="15" t="s">
        <v>24</v>
      </c>
      <c r="M1305" s="124"/>
      <c r="N1305" s="16">
        <v>0.1</v>
      </c>
      <c r="O1305" s="16">
        <v>0.1</v>
      </c>
      <c r="P1305" s="17">
        <v>45228.0</v>
      </c>
      <c r="Q1305" s="18">
        <v>1.8</v>
      </c>
      <c r="R1305" s="15" t="s">
        <v>33</v>
      </c>
      <c r="S1305" s="19">
        <f t="shared" si="1"/>
        <v>0.08</v>
      </c>
      <c r="T1305" s="19">
        <f t="shared" si="8"/>
        <v>41.35482717</v>
      </c>
      <c r="U1305" s="144"/>
    </row>
    <row r="1306">
      <c r="A1306" s="107"/>
      <c r="B1306" s="107"/>
      <c r="C1306" s="8" t="s">
        <v>19</v>
      </c>
      <c r="D1306" s="8" t="s">
        <v>19</v>
      </c>
      <c r="E1306" s="8" t="s">
        <v>3769</v>
      </c>
      <c r="F1306" s="8" t="s">
        <v>1473</v>
      </c>
      <c r="G1306" s="8" t="s">
        <v>2660</v>
      </c>
      <c r="H1306" s="8">
        <v>0.0</v>
      </c>
      <c r="I1306" s="8" t="s">
        <v>93</v>
      </c>
      <c r="J1306" s="8" t="s">
        <v>22</v>
      </c>
      <c r="K1306" s="8" t="s">
        <v>892</v>
      </c>
      <c r="L1306" s="8" t="s">
        <v>24</v>
      </c>
      <c r="M1306" s="9">
        <v>0.0</v>
      </c>
      <c r="N1306" s="9">
        <v>0.75</v>
      </c>
      <c r="O1306" s="9">
        <v>0.75</v>
      </c>
      <c r="P1306" s="10">
        <v>45228.0</v>
      </c>
      <c r="Q1306" s="11">
        <v>1.83</v>
      </c>
      <c r="R1306" s="8" t="s">
        <v>33</v>
      </c>
      <c r="S1306" s="12">
        <f t="shared" si="1"/>
        <v>0.6225</v>
      </c>
      <c r="T1306" s="12">
        <f t="shared" si="8"/>
        <v>41.97732717</v>
      </c>
      <c r="U1306" s="145"/>
    </row>
    <row r="1307">
      <c r="A1307" s="29"/>
      <c r="B1307" s="29"/>
      <c r="C1307" s="15" t="s">
        <v>19</v>
      </c>
      <c r="D1307" s="15" t="s">
        <v>19</v>
      </c>
      <c r="E1307" s="15" t="s">
        <v>3770</v>
      </c>
      <c r="F1307" s="15" t="s">
        <v>1473</v>
      </c>
      <c r="G1307" s="15" t="s">
        <v>2556</v>
      </c>
      <c r="H1307" s="15"/>
      <c r="I1307" s="15" t="s">
        <v>93</v>
      </c>
      <c r="J1307" s="15" t="s">
        <v>22</v>
      </c>
      <c r="K1307" s="15" t="s">
        <v>941</v>
      </c>
      <c r="L1307" s="15" t="s">
        <v>24</v>
      </c>
      <c r="M1307" s="16">
        <v>0.0</v>
      </c>
      <c r="N1307" s="16">
        <v>0.35</v>
      </c>
      <c r="O1307" s="16">
        <f>0.1+0.25*8/19</f>
        <v>0.2052631579</v>
      </c>
      <c r="P1307" s="17">
        <v>45228.0</v>
      </c>
      <c r="Q1307" s="18">
        <v>3.25</v>
      </c>
      <c r="R1307" s="15" t="s">
        <v>25</v>
      </c>
      <c r="S1307" s="19">
        <f t="shared" si="1"/>
        <v>-0.2052631579</v>
      </c>
      <c r="T1307" s="19">
        <f t="shared" si="8"/>
        <v>41.77206401</v>
      </c>
      <c r="U1307" s="144"/>
    </row>
    <row r="1308">
      <c r="A1308" s="107"/>
      <c r="B1308" s="107"/>
      <c r="C1308" s="8" t="s">
        <v>19</v>
      </c>
      <c r="D1308" s="8" t="s">
        <v>19</v>
      </c>
      <c r="E1308" s="8" t="s">
        <v>3771</v>
      </c>
      <c r="F1308" s="8" t="s">
        <v>1479</v>
      </c>
      <c r="G1308" s="8"/>
      <c r="H1308" s="8"/>
      <c r="I1308" s="8" t="s">
        <v>93</v>
      </c>
      <c r="J1308" s="8" t="s">
        <v>22</v>
      </c>
      <c r="K1308" s="8"/>
      <c r="L1308" s="8" t="s">
        <v>24</v>
      </c>
      <c r="M1308" s="123"/>
      <c r="N1308" s="9">
        <v>0.1</v>
      </c>
      <c r="O1308" s="9">
        <v>0.1</v>
      </c>
      <c r="P1308" s="10">
        <v>45228.0</v>
      </c>
      <c r="Q1308" s="11">
        <v>5.5</v>
      </c>
      <c r="R1308" s="8" t="s">
        <v>25</v>
      </c>
      <c r="S1308" s="12">
        <f t="shared" si="1"/>
        <v>-0.1</v>
      </c>
      <c r="T1308" s="12">
        <f t="shared" si="8"/>
        <v>41.67206401</v>
      </c>
      <c r="U1308" s="145"/>
    </row>
    <row r="1309">
      <c r="A1309" s="29"/>
      <c r="B1309" s="29"/>
      <c r="C1309" s="15" t="s">
        <v>19</v>
      </c>
      <c r="D1309" s="15" t="s">
        <v>19</v>
      </c>
      <c r="E1309" s="15" t="s">
        <v>3772</v>
      </c>
      <c r="F1309" s="15"/>
      <c r="G1309" s="15"/>
      <c r="H1309" s="15"/>
      <c r="I1309" s="15" t="s">
        <v>115</v>
      </c>
      <c r="J1309" s="15" t="s">
        <v>22</v>
      </c>
      <c r="K1309" s="15" t="s">
        <v>440</v>
      </c>
      <c r="L1309" s="15" t="s">
        <v>24</v>
      </c>
      <c r="M1309" s="15">
        <v>2.75</v>
      </c>
      <c r="N1309" s="16">
        <v>0.25</v>
      </c>
      <c r="O1309" s="16">
        <v>0.25</v>
      </c>
      <c r="P1309" s="17">
        <v>45228.0</v>
      </c>
      <c r="Q1309" s="18">
        <v>1.7</v>
      </c>
      <c r="R1309" s="15" t="s">
        <v>25</v>
      </c>
      <c r="S1309" s="19">
        <f t="shared" si="1"/>
        <v>-0.25</v>
      </c>
      <c r="T1309" s="19">
        <f t="shared" si="8"/>
        <v>41.42206401</v>
      </c>
      <c r="U1309" s="144"/>
    </row>
    <row r="1310">
      <c r="A1310" s="107"/>
      <c r="B1310" s="107"/>
      <c r="C1310" s="8" t="s">
        <v>40</v>
      </c>
      <c r="D1310" s="8" t="s">
        <v>19</v>
      </c>
      <c r="E1310" s="8" t="s">
        <v>3773</v>
      </c>
      <c r="F1310" s="8" t="s">
        <v>1473</v>
      </c>
      <c r="G1310" s="8" t="s">
        <v>2660</v>
      </c>
      <c r="H1310" s="8">
        <v>-1.0</v>
      </c>
      <c r="I1310" s="8" t="s">
        <v>93</v>
      </c>
      <c r="J1310" s="8" t="s">
        <v>22</v>
      </c>
      <c r="K1310" s="8" t="s">
        <v>892</v>
      </c>
      <c r="L1310" s="8" t="s">
        <v>24</v>
      </c>
      <c r="M1310" s="9">
        <v>0.0</v>
      </c>
      <c r="N1310" s="9">
        <v>0.5</v>
      </c>
      <c r="O1310" s="9">
        <v>0.5</v>
      </c>
      <c r="P1310" s="10">
        <v>45228.0</v>
      </c>
      <c r="Q1310" s="11">
        <v>2.2</v>
      </c>
      <c r="R1310" s="8" t="s">
        <v>33</v>
      </c>
      <c r="S1310" s="12">
        <f t="shared" si="1"/>
        <v>0.6</v>
      </c>
      <c r="T1310" s="12">
        <f t="shared" si="8"/>
        <v>42.02206401</v>
      </c>
      <c r="U1310" s="145"/>
    </row>
    <row r="1311">
      <c r="A1311" s="29"/>
      <c r="B1311" s="29"/>
      <c r="C1311" s="15" t="s">
        <v>19</v>
      </c>
      <c r="D1311" s="15" t="s">
        <v>19</v>
      </c>
      <c r="E1311" s="15" t="s">
        <v>3774</v>
      </c>
      <c r="F1311" s="15" t="s">
        <v>1473</v>
      </c>
      <c r="G1311" s="15" t="s">
        <v>2556</v>
      </c>
      <c r="H1311" s="15">
        <v>0.0</v>
      </c>
      <c r="I1311" s="15" t="s">
        <v>99</v>
      </c>
      <c r="J1311" s="15" t="s">
        <v>22</v>
      </c>
      <c r="K1311" s="15" t="s">
        <v>225</v>
      </c>
      <c r="L1311" s="15" t="s">
        <v>24</v>
      </c>
      <c r="M1311" s="16">
        <v>0.5</v>
      </c>
      <c r="N1311" s="16">
        <v>0.75</v>
      </c>
      <c r="O1311" s="16">
        <v>0.75</v>
      </c>
      <c r="P1311" s="17">
        <v>45228.0</v>
      </c>
      <c r="Q1311" s="15">
        <v>1.775</v>
      </c>
      <c r="R1311" s="15" t="s">
        <v>25</v>
      </c>
      <c r="S1311" s="19">
        <f t="shared" si="1"/>
        <v>-0.75</v>
      </c>
      <c r="T1311" s="19">
        <f t="shared" si="8"/>
        <v>41.27206401</v>
      </c>
      <c r="U1311" s="144"/>
    </row>
    <row r="1312">
      <c r="A1312" s="107"/>
      <c r="B1312" s="107"/>
      <c r="C1312" s="8" t="s">
        <v>19</v>
      </c>
      <c r="D1312" s="8" t="s">
        <v>19</v>
      </c>
      <c r="E1312" s="8" t="s">
        <v>3775</v>
      </c>
      <c r="F1312" s="8"/>
      <c r="G1312" s="8"/>
      <c r="H1312" s="8"/>
      <c r="I1312" s="8" t="s">
        <v>93</v>
      </c>
      <c r="J1312" s="8" t="s">
        <v>22</v>
      </c>
      <c r="K1312" s="8" t="s">
        <v>29</v>
      </c>
      <c r="L1312" s="8" t="s">
        <v>24</v>
      </c>
      <c r="M1312" s="9">
        <v>-2.5</v>
      </c>
      <c r="N1312" s="9">
        <v>0.5</v>
      </c>
      <c r="O1312" s="9">
        <v>0.5</v>
      </c>
      <c r="P1312" s="10">
        <v>45228.0</v>
      </c>
      <c r="Q1312" s="8">
        <v>1.775</v>
      </c>
      <c r="R1312" s="8" t="s">
        <v>25</v>
      </c>
      <c r="S1312" s="12">
        <f t="shared" si="1"/>
        <v>-0.5</v>
      </c>
      <c r="T1312" s="12">
        <f t="shared" si="8"/>
        <v>40.77206401</v>
      </c>
      <c r="U1312" s="145"/>
    </row>
    <row r="1313">
      <c r="A1313" s="29"/>
      <c r="B1313" s="29"/>
      <c r="C1313" s="15" t="s">
        <v>19</v>
      </c>
      <c r="D1313" s="15" t="s">
        <v>19</v>
      </c>
      <c r="E1313" s="15" t="s">
        <v>3776</v>
      </c>
      <c r="F1313" s="15" t="s">
        <v>1479</v>
      </c>
      <c r="G1313" s="15" t="s">
        <v>2660</v>
      </c>
      <c r="H1313" s="15">
        <v>-2.0</v>
      </c>
      <c r="I1313" s="15" t="s">
        <v>99</v>
      </c>
      <c r="J1313" s="15" t="s">
        <v>22</v>
      </c>
      <c r="K1313" s="15" t="s">
        <v>892</v>
      </c>
      <c r="L1313" s="15" t="s">
        <v>24</v>
      </c>
      <c r="M1313" s="16">
        <v>0.0</v>
      </c>
      <c r="N1313" s="16">
        <v>0.5</v>
      </c>
      <c r="O1313" s="16">
        <v>0.5</v>
      </c>
      <c r="P1313" s="17">
        <v>45228.0</v>
      </c>
      <c r="Q1313" s="15">
        <v>1.925</v>
      </c>
      <c r="R1313" s="15" t="s">
        <v>70</v>
      </c>
      <c r="S1313" s="19">
        <f t="shared" si="1"/>
        <v>0</v>
      </c>
      <c r="T1313" s="19">
        <f t="shared" si="8"/>
        <v>40.77206401</v>
      </c>
      <c r="U1313" s="144"/>
    </row>
    <row r="1314">
      <c r="A1314" s="107"/>
      <c r="B1314" s="107"/>
      <c r="C1314" s="8" t="s">
        <v>19</v>
      </c>
      <c r="D1314" s="8" t="s">
        <v>19</v>
      </c>
      <c r="E1314" s="8" t="s">
        <v>3777</v>
      </c>
      <c r="F1314" s="8" t="s">
        <v>1473</v>
      </c>
      <c r="G1314" s="8" t="s">
        <v>2660</v>
      </c>
      <c r="H1314" s="8">
        <f>1</f>
        <v>1</v>
      </c>
      <c r="I1314" s="8" t="s">
        <v>48</v>
      </c>
      <c r="J1314" s="8" t="s">
        <v>22</v>
      </c>
      <c r="K1314" s="8" t="s">
        <v>892</v>
      </c>
      <c r="L1314" s="8" t="s">
        <v>24</v>
      </c>
      <c r="M1314" s="9">
        <v>0.0</v>
      </c>
      <c r="N1314" s="9">
        <v>0.5</v>
      </c>
      <c r="O1314" s="9">
        <v>0.5</v>
      </c>
      <c r="P1314" s="10">
        <v>45228.0</v>
      </c>
      <c r="Q1314" s="11">
        <v>1.825</v>
      </c>
      <c r="R1314" s="8" t="s">
        <v>70</v>
      </c>
      <c r="S1314" s="12">
        <f t="shared" si="1"/>
        <v>0</v>
      </c>
      <c r="T1314" s="12">
        <f t="shared" si="8"/>
        <v>40.77206401</v>
      </c>
      <c r="U1314" s="145"/>
    </row>
    <row r="1315">
      <c r="A1315" s="29"/>
      <c r="B1315" s="29"/>
      <c r="C1315" s="15" t="s">
        <v>19</v>
      </c>
      <c r="D1315" s="15" t="s">
        <v>19</v>
      </c>
      <c r="E1315" s="15" t="s">
        <v>3776</v>
      </c>
      <c r="F1315" s="15" t="s">
        <v>1479</v>
      </c>
      <c r="G1315" s="15" t="s">
        <v>2660</v>
      </c>
      <c r="H1315" s="15">
        <v>-2.0</v>
      </c>
      <c r="I1315" s="15" t="s">
        <v>99</v>
      </c>
      <c r="J1315" s="15" t="s">
        <v>22</v>
      </c>
      <c r="K1315" s="15" t="s">
        <v>892</v>
      </c>
      <c r="L1315" s="15" t="s">
        <v>24</v>
      </c>
      <c r="M1315" s="16">
        <v>0.0</v>
      </c>
      <c r="N1315" s="16">
        <v>0.25</v>
      </c>
      <c r="O1315" s="16">
        <v>0.25</v>
      </c>
      <c r="P1315" s="17">
        <v>45228.0</v>
      </c>
      <c r="Q1315" s="18">
        <v>1.925</v>
      </c>
      <c r="R1315" s="15" t="s">
        <v>70</v>
      </c>
      <c r="S1315" s="19">
        <f t="shared" si="1"/>
        <v>0</v>
      </c>
      <c r="T1315" s="19">
        <f t="shared" si="8"/>
        <v>40.77206401</v>
      </c>
      <c r="U1315" s="144"/>
    </row>
    <row r="1316">
      <c r="A1316" s="107"/>
      <c r="B1316" s="107"/>
      <c r="C1316" s="8" t="s">
        <v>19</v>
      </c>
      <c r="D1316" s="8" t="s">
        <v>19</v>
      </c>
      <c r="E1316" s="8" t="s">
        <v>3778</v>
      </c>
      <c r="F1316" s="8" t="s">
        <v>1479</v>
      </c>
      <c r="G1316" s="8" t="s">
        <v>2556</v>
      </c>
      <c r="H1316" s="8">
        <v>-2.0</v>
      </c>
      <c r="I1316" s="8" t="s">
        <v>1031</v>
      </c>
      <c r="J1316" s="8" t="s">
        <v>22</v>
      </c>
      <c r="K1316" s="8" t="s">
        <v>225</v>
      </c>
      <c r="L1316" s="8" t="s">
        <v>24</v>
      </c>
      <c r="M1316" s="9">
        <v>0.5</v>
      </c>
      <c r="N1316" s="9">
        <v>0.5</v>
      </c>
      <c r="O1316" s="9">
        <v>0.5</v>
      </c>
      <c r="P1316" s="10">
        <v>45228.0</v>
      </c>
      <c r="Q1316" s="11">
        <v>1.725</v>
      </c>
      <c r="R1316" s="8" t="s">
        <v>33</v>
      </c>
      <c r="S1316" s="12">
        <f t="shared" si="1"/>
        <v>0.3625</v>
      </c>
      <c r="T1316" s="12">
        <f t="shared" si="8"/>
        <v>41.13456401</v>
      </c>
      <c r="U1316" s="145"/>
    </row>
    <row r="1317">
      <c r="A1317" s="29"/>
      <c r="B1317" s="29"/>
      <c r="C1317" s="15" t="s">
        <v>40</v>
      </c>
      <c r="D1317" s="15" t="s">
        <v>19</v>
      </c>
      <c r="E1317" s="15" t="s">
        <v>3779</v>
      </c>
      <c r="F1317" s="15"/>
      <c r="G1317" s="15"/>
      <c r="H1317" s="15"/>
      <c r="I1317" s="15" t="s">
        <v>768</v>
      </c>
      <c r="J1317" s="15" t="s">
        <v>598</v>
      </c>
      <c r="K1317" s="15"/>
      <c r="L1317" s="15" t="s">
        <v>24</v>
      </c>
      <c r="M1317" s="16">
        <v>75.0</v>
      </c>
      <c r="N1317" s="16">
        <v>0.1</v>
      </c>
      <c r="O1317" s="16">
        <v>0.1</v>
      </c>
      <c r="P1317" s="17">
        <v>45228.0</v>
      </c>
      <c r="Q1317" s="18">
        <v>4.1</v>
      </c>
      <c r="R1317" s="15" t="s">
        <v>25</v>
      </c>
      <c r="S1317" s="19">
        <f t="shared" si="1"/>
        <v>-0.1</v>
      </c>
      <c r="T1317" s="19">
        <f t="shared" si="8"/>
        <v>41.03456401</v>
      </c>
      <c r="U1317" s="144"/>
    </row>
    <row r="1318">
      <c r="A1318" s="107"/>
      <c r="B1318" s="107"/>
      <c r="C1318" s="8" t="s">
        <v>19</v>
      </c>
      <c r="D1318" s="8" t="s">
        <v>19</v>
      </c>
      <c r="E1318" s="8" t="s">
        <v>3780</v>
      </c>
      <c r="F1318" s="8" t="s">
        <v>3781</v>
      </c>
      <c r="G1318" s="8" t="s">
        <v>2660</v>
      </c>
      <c r="H1318" s="8">
        <v>0.0</v>
      </c>
      <c r="I1318" s="8" t="s">
        <v>44</v>
      </c>
      <c r="J1318" s="8" t="s">
        <v>22</v>
      </c>
      <c r="K1318" s="8" t="s">
        <v>892</v>
      </c>
      <c r="L1318" s="8" t="s">
        <v>24</v>
      </c>
      <c r="M1318" s="9">
        <v>0.0</v>
      </c>
      <c r="N1318" s="9">
        <v>0.3</v>
      </c>
      <c r="O1318" s="9">
        <v>0.0</v>
      </c>
      <c r="P1318" s="10">
        <v>45228.0</v>
      </c>
      <c r="Q1318" s="11">
        <v>1.675</v>
      </c>
      <c r="R1318" s="8" t="s">
        <v>70</v>
      </c>
      <c r="S1318" s="12">
        <f t="shared" si="1"/>
        <v>0</v>
      </c>
      <c r="T1318" s="12">
        <f t="shared" si="8"/>
        <v>41.03456401</v>
      </c>
      <c r="U1318" s="145"/>
    </row>
    <row r="1319">
      <c r="A1319" s="29"/>
      <c r="B1319" s="29"/>
      <c r="C1319" s="15" t="s">
        <v>40</v>
      </c>
      <c r="D1319" s="15" t="s">
        <v>19</v>
      </c>
      <c r="E1319" s="15" t="s">
        <v>3782</v>
      </c>
      <c r="F1319" s="15"/>
      <c r="G1319" s="15"/>
      <c r="H1319" s="15"/>
      <c r="I1319" s="15" t="s">
        <v>82</v>
      </c>
      <c r="J1319" s="15" t="s">
        <v>598</v>
      </c>
      <c r="K1319" s="15" t="s">
        <v>440</v>
      </c>
      <c r="L1319" s="15" t="s">
        <v>39</v>
      </c>
      <c r="M1319" s="15">
        <v>2.25</v>
      </c>
      <c r="N1319" s="16">
        <v>0.25</v>
      </c>
      <c r="O1319" s="16">
        <v>0.25</v>
      </c>
      <c r="P1319" s="17">
        <v>45228.0</v>
      </c>
      <c r="Q1319" s="18">
        <v>1.95</v>
      </c>
      <c r="R1319" s="15" t="s">
        <v>79</v>
      </c>
      <c r="S1319" s="19">
        <f t="shared" si="1"/>
        <v>-0.125</v>
      </c>
      <c r="T1319" s="19">
        <f t="shared" si="8"/>
        <v>40.90956401</v>
      </c>
      <c r="U1319" s="144"/>
    </row>
    <row r="1320">
      <c r="A1320" s="107"/>
      <c r="B1320" s="107"/>
      <c r="C1320" s="8" t="s">
        <v>19</v>
      </c>
      <c r="D1320" s="8" t="s">
        <v>19</v>
      </c>
      <c r="E1320" s="8" t="s">
        <v>3783</v>
      </c>
      <c r="F1320" s="8" t="s">
        <v>1473</v>
      </c>
      <c r="G1320" s="8" t="s">
        <v>2660</v>
      </c>
      <c r="H1320" s="8">
        <v>0.0</v>
      </c>
      <c r="I1320" s="8" t="s">
        <v>44</v>
      </c>
      <c r="J1320" s="8" t="s">
        <v>22</v>
      </c>
      <c r="K1320" s="8" t="s">
        <v>892</v>
      </c>
      <c r="L1320" s="8" t="s">
        <v>24</v>
      </c>
      <c r="M1320" s="9">
        <v>0.0</v>
      </c>
      <c r="N1320" s="9">
        <v>0.75</v>
      </c>
      <c r="O1320" s="9">
        <v>0.75</v>
      </c>
      <c r="P1320" s="10">
        <v>45228.0</v>
      </c>
      <c r="Q1320" s="11">
        <v>1.69</v>
      </c>
      <c r="R1320" s="8" t="s">
        <v>33</v>
      </c>
      <c r="S1320" s="12">
        <f t="shared" si="1"/>
        <v>0.5175</v>
      </c>
      <c r="T1320" s="12">
        <f t="shared" si="8"/>
        <v>41.42706401</v>
      </c>
      <c r="U1320" s="145"/>
    </row>
    <row r="1321">
      <c r="A1321" s="29"/>
      <c r="B1321" s="29"/>
      <c r="C1321" s="15" t="s">
        <v>19</v>
      </c>
      <c r="D1321" s="15" t="s">
        <v>19</v>
      </c>
      <c r="E1321" s="15" t="s">
        <v>3784</v>
      </c>
      <c r="F1321" s="15" t="s">
        <v>1473</v>
      </c>
      <c r="G1321" s="15" t="s">
        <v>2556</v>
      </c>
      <c r="H1321" s="15">
        <v>0.0</v>
      </c>
      <c r="I1321" s="15" t="s">
        <v>44</v>
      </c>
      <c r="J1321" s="15" t="s">
        <v>22</v>
      </c>
      <c r="K1321" s="15" t="s">
        <v>941</v>
      </c>
      <c r="L1321" s="15" t="s">
        <v>24</v>
      </c>
      <c r="M1321" s="16">
        <v>0.0</v>
      </c>
      <c r="N1321" s="16">
        <v>0.25</v>
      </c>
      <c r="O1321" s="16">
        <v>0.25</v>
      </c>
      <c r="P1321" s="17">
        <v>45228.0</v>
      </c>
      <c r="Q1321" s="18">
        <v>1.69</v>
      </c>
      <c r="R1321" s="15" t="s">
        <v>33</v>
      </c>
      <c r="S1321" s="19">
        <f t="shared" si="1"/>
        <v>0.1725</v>
      </c>
      <c r="T1321" s="19">
        <f t="shared" si="8"/>
        <v>41.59956401</v>
      </c>
      <c r="U1321" s="144"/>
    </row>
    <row r="1322">
      <c r="A1322" s="107"/>
      <c r="B1322" s="107"/>
      <c r="C1322" s="8" t="s">
        <v>19</v>
      </c>
      <c r="D1322" s="8" t="s">
        <v>19</v>
      </c>
      <c r="E1322" s="8" t="s">
        <v>3785</v>
      </c>
      <c r="F1322" s="8" t="s">
        <v>1479</v>
      </c>
      <c r="G1322" s="8" t="s">
        <v>2660</v>
      </c>
      <c r="H1322" s="8">
        <v>-1.0</v>
      </c>
      <c r="I1322" s="8" t="s">
        <v>1031</v>
      </c>
      <c r="J1322" s="8" t="s">
        <v>22</v>
      </c>
      <c r="K1322" s="8" t="s">
        <v>892</v>
      </c>
      <c r="L1322" s="8" t="s">
        <v>24</v>
      </c>
      <c r="M1322" s="9">
        <v>0.0</v>
      </c>
      <c r="N1322" s="9">
        <v>0.25</v>
      </c>
      <c r="O1322" s="9">
        <v>0.25</v>
      </c>
      <c r="P1322" s="10">
        <v>45228.0</v>
      </c>
      <c r="Q1322" s="11">
        <v>2.55</v>
      </c>
      <c r="R1322" s="8" t="s">
        <v>70</v>
      </c>
      <c r="S1322" s="12">
        <f t="shared" si="1"/>
        <v>0</v>
      </c>
      <c r="T1322" s="12">
        <f t="shared" si="8"/>
        <v>41.59956401</v>
      </c>
      <c r="U1322" s="145"/>
    </row>
    <row r="1323">
      <c r="A1323" s="29"/>
      <c r="B1323" s="29"/>
      <c r="C1323" s="15" t="s">
        <v>19</v>
      </c>
      <c r="D1323" s="15" t="s">
        <v>19</v>
      </c>
      <c r="E1323" s="15" t="s">
        <v>3786</v>
      </c>
      <c r="F1323" s="15"/>
      <c r="G1323" s="15"/>
      <c r="H1323" s="15"/>
      <c r="I1323" s="15" t="s">
        <v>82</v>
      </c>
      <c r="J1323" s="15" t="s">
        <v>22</v>
      </c>
      <c r="K1323" s="15" t="s">
        <v>440</v>
      </c>
      <c r="L1323" s="15" t="s">
        <v>39</v>
      </c>
      <c r="M1323" s="16">
        <v>4.0</v>
      </c>
      <c r="N1323" s="16">
        <v>0.35</v>
      </c>
      <c r="O1323" s="16">
        <v>0.35</v>
      </c>
      <c r="P1323" s="17">
        <v>45228.0</v>
      </c>
      <c r="Q1323" s="18">
        <v>1.625</v>
      </c>
      <c r="R1323" s="15" t="s">
        <v>33</v>
      </c>
      <c r="S1323" s="19">
        <f t="shared" si="1"/>
        <v>0.21875</v>
      </c>
      <c r="T1323" s="19">
        <f t="shared" si="8"/>
        <v>41.81831401</v>
      </c>
      <c r="U1323" s="144"/>
    </row>
    <row r="1324">
      <c r="A1324" s="107"/>
      <c r="B1324" s="107"/>
      <c r="C1324" s="8" t="s">
        <v>19</v>
      </c>
      <c r="D1324" s="8" t="s">
        <v>19</v>
      </c>
      <c r="E1324" s="8" t="s">
        <v>3787</v>
      </c>
      <c r="F1324" s="8"/>
      <c r="G1324" s="8"/>
      <c r="H1324" s="8"/>
      <c r="I1324" s="8" t="s">
        <v>229</v>
      </c>
      <c r="J1324" s="8" t="s">
        <v>22</v>
      </c>
      <c r="K1324" s="8" t="s">
        <v>29</v>
      </c>
      <c r="L1324" s="8" t="s">
        <v>24</v>
      </c>
      <c r="M1324" s="9">
        <v>-4.5</v>
      </c>
      <c r="N1324" s="9">
        <v>0.15</v>
      </c>
      <c r="O1324" s="9">
        <v>0.15</v>
      </c>
      <c r="P1324" s="10">
        <v>45230.0</v>
      </c>
      <c r="Q1324" s="11">
        <v>1.875</v>
      </c>
      <c r="R1324" s="8" t="s">
        <v>25</v>
      </c>
      <c r="S1324" s="12">
        <f t="shared" si="1"/>
        <v>-0.15</v>
      </c>
      <c r="T1324" s="12">
        <f t="shared" si="8"/>
        <v>41.66831401</v>
      </c>
      <c r="U1324" s="145"/>
    </row>
    <row r="1325">
      <c r="A1325" s="29"/>
      <c r="B1325" s="29"/>
      <c r="C1325" s="15" t="s">
        <v>40</v>
      </c>
      <c r="D1325" s="15" t="s">
        <v>19</v>
      </c>
      <c r="E1325" s="15" t="s">
        <v>3788</v>
      </c>
      <c r="F1325" s="15"/>
      <c r="G1325" s="15"/>
      <c r="H1325" s="15"/>
      <c r="I1325" s="15" t="s">
        <v>229</v>
      </c>
      <c r="J1325" s="15" t="s">
        <v>22</v>
      </c>
      <c r="K1325" s="15" t="s">
        <v>23</v>
      </c>
      <c r="L1325" s="15" t="s">
        <v>24</v>
      </c>
      <c r="M1325" s="16">
        <v>-12.0</v>
      </c>
      <c r="N1325" s="16">
        <v>0.15</v>
      </c>
      <c r="O1325" s="16">
        <v>0.15</v>
      </c>
      <c r="P1325" s="17">
        <v>45230.0</v>
      </c>
      <c r="Q1325" s="18">
        <v>2.01</v>
      </c>
      <c r="R1325" s="15" t="s">
        <v>33</v>
      </c>
      <c r="S1325" s="19">
        <f t="shared" si="1"/>
        <v>0.1515</v>
      </c>
      <c r="T1325" s="19">
        <f t="shared" si="8"/>
        <v>41.81981401</v>
      </c>
      <c r="U1325" s="144"/>
    </row>
    <row r="1326">
      <c r="A1326" s="107"/>
      <c r="B1326" s="107"/>
      <c r="C1326" s="8" t="s">
        <v>19</v>
      </c>
      <c r="D1326" s="8" t="s">
        <v>19</v>
      </c>
      <c r="E1326" s="8" t="s">
        <v>3789</v>
      </c>
      <c r="F1326" s="8" t="s">
        <v>1479</v>
      </c>
      <c r="G1326" s="8" t="s">
        <v>2660</v>
      </c>
      <c r="H1326" s="8">
        <v>-1.0</v>
      </c>
      <c r="I1326" s="8" t="s">
        <v>1031</v>
      </c>
      <c r="J1326" s="8" t="s">
        <v>22</v>
      </c>
      <c r="K1326" s="8" t="s">
        <v>892</v>
      </c>
      <c r="L1326" s="8" t="s">
        <v>24</v>
      </c>
      <c r="M1326" s="9">
        <v>0.0</v>
      </c>
      <c r="N1326" s="9">
        <v>0.5</v>
      </c>
      <c r="O1326" s="9">
        <v>0.5</v>
      </c>
      <c r="P1326" s="10">
        <v>45230.0</v>
      </c>
      <c r="Q1326" s="11">
        <v>1.7</v>
      </c>
      <c r="R1326" s="8" t="s">
        <v>33</v>
      </c>
      <c r="S1326" s="12">
        <f t="shared" si="1"/>
        <v>0.35</v>
      </c>
      <c r="T1326" s="12">
        <f t="shared" si="8"/>
        <v>42.16981401</v>
      </c>
      <c r="U1326" s="145"/>
    </row>
    <row r="1327">
      <c r="A1327" s="29"/>
      <c r="B1327" s="29"/>
      <c r="C1327" s="15" t="s">
        <v>19</v>
      </c>
      <c r="D1327" s="15" t="s">
        <v>40</v>
      </c>
      <c r="E1327" s="15" t="s">
        <v>3790</v>
      </c>
      <c r="F1327" s="15" t="s">
        <v>1479</v>
      </c>
      <c r="G1327" s="15" t="s">
        <v>2556</v>
      </c>
      <c r="H1327" s="15">
        <v>0.0</v>
      </c>
      <c r="I1327" s="15" t="s">
        <v>182</v>
      </c>
      <c r="J1327" s="15" t="s">
        <v>22</v>
      </c>
      <c r="K1327" s="15" t="s">
        <v>225</v>
      </c>
      <c r="L1327" s="15" t="s">
        <v>1522</v>
      </c>
      <c r="M1327" s="15">
        <v>0.25</v>
      </c>
      <c r="N1327" s="16">
        <v>0.5</v>
      </c>
      <c r="O1327" s="16">
        <v>0.5</v>
      </c>
      <c r="P1327" s="17">
        <v>45230.0</v>
      </c>
      <c r="Q1327" s="18">
        <f>(1.775+1.61)/2</f>
        <v>1.6925</v>
      </c>
      <c r="R1327" s="15" t="s">
        <v>33</v>
      </c>
      <c r="S1327" s="19">
        <f t="shared" si="1"/>
        <v>0.34625</v>
      </c>
      <c r="T1327" s="19">
        <f t="shared" si="8"/>
        <v>42.51606401</v>
      </c>
      <c r="U1327" s="144"/>
    </row>
    <row r="1328">
      <c r="A1328" s="107"/>
      <c r="B1328" s="107"/>
      <c r="C1328" s="8" t="s">
        <v>40</v>
      </c>
      <c r="D1328" s="8">
        <v>18.0</v>
      </c>
      <c r="E1328" s="8" t="s">
        <v>3791</v>
      </c>
      <c r="F1328" s="8" t="s">
        <v>1479</v>
      </c>
      <c r="G1328" s="8" t="s">
        <v>2556</v>
      </c>
      <c r="H1328" s="8">
        <v>0.0</v>
      </c>
      <c r="I1328" s="8" t="s">
        <v>44</v>
      </c>
      <c r="J1328" s="8" t="s">
        <v>22</v>
      </c>
      <c r="K1328" s="8" t="s">
        <v>225</v>
      </c>
      <c r="L1328" s="8" t="s">
        <v>24</v>
      </c>
      <c r="M1328" s="9">
        <v>0.75</v>
      </c>
      <c r="N1328" s="9">
        <v>1.0</v>
      </c>
      <c r="O1328" s="9">
        <v>1.0</v>
      </c>
      <c r="P1328" s="10">
        <v>45240.0</v>
      </c>
      <c r="Q1328" s="11">
        <v>1.825</v>
      </c>
      <c r="R1328" s="8" t="s">
        <v>25</v>
      </c>
      <c r="S1328" s="12">
        <f t="shared" si="1"/>
        <v>-1</v>
      </c>
      <c r="T1328" s="12">
        <f t="shared" si="8"/>
        <v>41.51606401</v>
      </c>
      <c r="U1328" s="145"/>
    </row>
    <row r="1329">
      <c r="A1329" s="29"/>
      <c r="B1329" s="29"/>
      <c r="C1329" s="15" t="s">
        <v>19</v>
      </c>
      <c r="D1329" s="15">
        <v>58.0</v>
      </c>
      <c r="E1329" s="15" t="s">
        <v>3792</v>
      </c>
      <c r="F1329" s="15" t="s">
        <v>1479</v>
      </c>
      <c r="G1329" s="15" t="s">
        <v>2660</v>
      </c>
      <c r="H1329" s="15">
        <v>-1.0</v>
      </c>
      <c r="I1329" s="15" t="s">
        <v>820</v>
      </c>
      <c r="J1329" s="15" t="s">
        <v>22</v>
      </c>
      <c r="K1329" s="15" t="s">
        <v>892</v>
      </c>
      <c r="L1329" s="15" t="s">
        <v>24</v>
      </c>
      <c r="M1329" s="16">
        <v>0.0</v>
      </c>
      <c r="N1329" s="16">
        <v>0.4</v>
      </c>
      <c r="O1329" s="16">
        <v>0.4</v>
      </c>
      <c r="P1329" s="17">
        <v>45241.0</v>
      </c>
      <c r="Q1329" s="18">
        <v>1.7</v>
      </c>
      <c r="R1329" s="15" t="s">
        <v>33</v>
      </c>
      <c r="S1329" s="19">
        <f t="shared" si="1"/>
        <v>0.28</v>
      </c>
      <c r="T1329" s="19">
        <f t="shared" si="8"/>
        <v>41.79606401</v>
      </c>
      <c r="U1329" s="144"/>
    </row>
    <row r="1330">
      <c r="A1330" s="107"/>
      <c r="B1330" s="107"/>
      <c r="C1330" s="8" t="s">
        <v>19</v>
      </c>
      <c r="D1330" s="8">
        <v>59.0</v>
      </c>
      <c r="E1330" s="8" t="s">
        <v>3793</v>
      </c>
      <c r="F1330" s="8" t="s">
        <v>1473</v>
      </c>
      <c r="G1330" s="8" t="s">
        <v>2660</v>
      </c>
      <c r="H1330" s="8">
        <v>0.0</v>
      </c>
      <c r="I1330" s="8" t="s">
        <v>101</v>
      </c>
      <c r="J1330" s="8" t="s">
        <v>22</v>
      </c>
      <c r="K1330" s="8" t="s">
        <v>892</v>
      </c>
      <c r="L1330" s="8" t="s">
        <v>24</v>
      </c>
      <c r="M1330" s="9">
        <v>0.0</v>
      </c>
      <c r="N1330" s="9">
        <v>0.6</v>
      </c>
      <c r="O1330" s="9">
        <v>0.6</v>
      </c>
      <c r="P1330" s="10">
        <v>45241.0</v>
      </c>
      <c r="Q1330" s="11">
        <v>1.7</v>
      </c>
      <c r="R1330" s="8" t="s">
        <v>70</v>
      </c>
      <c r="S1330" s="12">
        <f t="shared" si="1"/>
        <v>0</v>
      </c>
      <c r="T1330" s="12">
        <f t="shared" si="8"/>
        <v>41.79606401</v>
      </c>
      <c r="U1330" s="145"/>
    </row>
    <row r="1331">
      <c r="A1331" s="29"/>
      <c r="B1331" s="29"/>
      <c r="C1331" s="15" t="s">
        <v>19</v>
      </c>
      <c r="D1331" s="15">
        <v>47.0</v>
      </c>
      <c r="E1331" s="15" t="s">
        <v>3794</v>
      </c>
      <c r="F1331" s="15" t="s">
        <v>1473</v>
      </c>
      <c r="G1331" s="15" t="s">
        <v>2556</v>
      </c>
      <c r="H1331" s="15">
        <v>0.0</v>
      </c>
      <c r="I1331" s="15" t="s">
        <v>863</v>
      </c>
      <c r="J1331" s="15" t="s">
        <v>22</v>
      </c>
      <c r="K1331" s="15" t="s">
        <v>1165</v>
      </c>
      <c r="L1331" s="15" t="s">
        <v>24</v>
      </c>
      <c r="M1331" s="16"/>
      <c r="N1331" s="16">
        <v>0.1</v>
      </c>
      <c r="O1331" s="16">
        <v>0.1</v>
      </c>
      <c r="P1331" s="17">
        <v>45242.0</v>
      </c>
      <c r="Q1331" s="18">
        <v>15.0</v>
      </c>
      <c r="R1331" s="15" t="s">
        <v>25</v>
      </c>
      <c r="S1331" s="19">
        <f t="shared" si="1"/>
        <v>-0.1</v>
      </c>
      <c r="T1331" s="19">
        <f t="shared" si="8"/>
        <v>41.69606401</v>
      </c>
      <c r="U1331" s="144"/>
    </row>
    <row r="1332">
      <c r="A1332" s="107"/>
      <c r="B1332" s="107"/>
      <c r="C1332" s="8" t="s">
        <v>19</v>
      </c>
      <c r="D1332" s="8">
        <v>32.0</v>
      </c>
      <c r="E1332" s="8" t="s">
        <v>3795</v>
      </c>
      <c r="F1332" s="8" t="s">
        <v>1479</v>
      </c>
      <c r="G1332" s="8" t="s">
        <v>2556</v>
      </c>
      <c r="H1332" s="8">
        <v>0.0</v>
      </c>
      <c r="I1332" s="8" t="s">
        <v>397</v>
      </c>
      <c r="J1332" s="8" t="s">
        <v>22</v>
      </c>
      <c r="K1332" s="8" t="s">
        <v>225</v>
      </c>
      <c r="L1332" s="8" t="s">
        <v>24</v>
      </c>
      <c r="M1332" s="9">
        <v>0.5</v>
      </c>
      <c r="N1332" s="9">
        <v>1.0</v>
      </c>
      <c r="O1332" s="9">
        <v>1.0</v>
      </c>
      <c r="P1332" s="10">
        <v>45242.0</v>
      </c>
      <c r="Q1332" s="11">
        <v>2.0</v>
      </c>
      <c r="R1332" s="8" t="s">
        <v>33</v>
      </c>
      <c r="S1332" s="12">
        <f t="shared" si="1"/>
        <v>1</v>
      </c>
      <c r="T1332" s="12">
        <f t="shared" si="8"/>
        <v>42.69606401</v>
      </c>
      <c r="U1332" s="145"/>
    </row>
    <row r="1333">
      <c r="A1333" s="29"/>
      <c r="B1333" s="29"/>
      <c r="C1333" s="15" t="s">
        <v>19</v>
      </c>
      <c r="D1333" s="15">
        <v>24.0</v>
      </c>
      <c r="E1333" s="15" t="s">
        <v>3796</v>
      </c>
      <c r="F1333" s="15" t="s">
        <v>1473</v>
      </c>
      <c r="G1333" s="15" t="s">
        <v>2556</v>
      </c>
      <c r="H1333" s="15">
        <v>0.0</v>
      </c>
      <c r="I1333" s="15" t="s">
        <v>48</v>
      </c>
      <c r="J1333" s="15" t="s">
        <v>22</v>
      </c>
      <c r="K1333" s="15" t="s">
        <v>225</v>
      </c>
      <c r="L1333" s="15" t="s">
        <v>24</v>
      </c>
      <c r="M1333" s="16">
        <v>0.25</v>
      </c>
      <c r="N1333" s="16">
        <v>1.0</v>
      </c>
      <c r="O1333" s="16">
        <v>1.0</v>
      </c>
      <c r="P1333" s="17">
        <v>45242.0</v>
      </c>
      <c r="Q1333" s="18">
        <v>1.8</v>
      </c>
      <c r="R1333" s="15" t="s">
        <v>33</v>
      </c>
      <c r="S1333" s="19">
        <f t="shared" si="1"/>
        <v>0.8</v>
      </c>
      <c r="T1333" s="19">
        <f t="shared" si="8"/>
        <v>43.49606401</v>
      </c>
      <c r="U1333" s="144"/>
    </row>
    <row r="1334">
      <c r="A1334" s="107"/>
      <c r="B1334" s="107"/>
      <c r="C1334" s="8" t="s">
        <v>19</v>
      </c>
      <c r="D1334" s="8">
        <v>33.0</v>
      </c>
      <c r="E1334" s="8" t="s">
        <v>3797</v>
      </c>
      <c r="F1334" s="8" t="s">
        <v>1479</v>
      </c>
      <c r="G1334" s="8" t="s">
        <v>2556</v>
      </c>
      <c r="H1334" s="8">
        <v>-1.0</v>
      </c>
      <c r="I1334" s="8" t="s">
        <v>48</v>
      </c>
      <c r="J1334" s="8" t="s">
        <v>22</v>
      </c>
      <c r="K1334" s="8" t="s">
        <v>225</v>
      </c>
      <c r="L1334" s="8" t="s">
        <v>24</v>
      </c>
      <c r="M1334" s="9">
        <v>0.25</v>
      </c>
      <c r="N1334" s="9">
        <v>1.0</v>
      </c>
      <c r="O1334" s="9">
        <v>1.0</v>
      </c>
      <c r="P1334" s="10">
        <v>45242.0</v>
      </c>
      <c r="Q1334" s="11">
        <v>1.975</v>
      </c>
      <c r="R1334" s="8" t="s">
        <v>33</v>
      </c>
      <c r="S1334" s="12">
        <f t="shared" si="1"/>
        <v>0.975</v>
      </c>
      <c r="T1334" s="12">
        <f t="shared" si="8"/>
        <v>44.47106401</v>
      </c>
      <c r="U1334" s="145"/>
    </row>
    <row r="1335">
      <c r="A1335" s="29"/>
      <c r="B1335" s="29"/>
      <c r="C1335" s="15" t="s">
        <v>19</v>
      </c>
      <c r="D1335" s="15">
        <v>19.0</v>
      </c>
      <c r="E1335" s="15" t="s">
        <v>3798</v>
      </c>
      <c r="F1335" s="15" t="s">
        <v>1479</v>
      </c>
      <c r="G1335" s="15" t="s">
        <v>2660</v>
      </c>
      <c r="H1335" s="15">
        <v>0.0</v>
      </c>
      <c r="I1335" s="15" t="s">
        <v>60</v>
      </c>
      <c r="J1335" s="15" t="s">
        <v>22</v>
      </c>
      <c r="K1335" s="15" t="s">
        <v>1150</v>
      </c>
      <c r="L1335" s="15" t="s">
        <v>1522</v>
      </c>
      <c r="M1335" s="16">
        <v>0.0</v>
      </c>
      <c r="N1335" s="16">
        <v>1.0</v>
      </c>
      <c r="O1335" s="16">
        <v>1.0</v>
      </c>
      <c r="P1335" s="17">
        <v>45242.0</v>
      </c>
      <c r="Q1335" s="18">
        <v>1.825</v>
      </c>
      <c r="R1335" s="15" t="s">
        <v>33</v>
      </c>
      <c r="S1335" s="19">
        <f t="shared" si="1"/>
        <v>0.825</v>
      </c>
      <c r="T1335" s="19">
        <f t="shared" si="8"/>
        <v>45.29606401</v>
      </c>
      <c r="U1335" s="144"/>
    </row>
    <row r="1336">
      <c r="A1336" s="107"/>
      <c r="B1336" s="107"/>
      <c r="C1336" s="8" t="s">
        <v>19</v>
      </c>
      <c r="D1336" s="8">
        <v>43.0</v>
      </c>
      <c r="E1336" s="8" t="s">
        <v>3799</v>
      </c>
      <c r="F1336" s="8" t="s">
        <v>1479</v>
      </c>
      <c r="G1336" s="8" t="s">
        <v>2556</v>
      </c>
      <c r="H1336" s="8">
        <v>0.0</v>
      </c>
      <c r="I1336" s="8" t="s">
        <v>463</v>
      </c>
      <c r="J1336" s="8" t="s">
        <v>22</v>
      </c>
      <c r="K1336" s="8" t="s">
        <v>225</v>
      </c>
      <c r="L1336" s="8" t="s">
        <v>1851</v>
      </c>
      <c r="M1336" s="9">
        <v>0.5</v>
      </c>
      <c r="N1336" s="9">
        <v>0.5</v>
      </c>
      <c r="O1336" s="9">
        <v>0.5</v>
      </c>
      <c r="P1336" s="10">
        <v>45242.0</v>
      </c>
      <c r="Q1336" s="11">
        <v>1.825</v>
      </c>
      <c r="R1336" s="8" t="s">
        <v>33</v>
      </c>
      <c r="S1336" s="12">
        <f t="shared" si="1"/>
        <v>0.4125</v>
      </c>
      <c r="T1336" s="12">
        <f t="shared" si="8"/>
        <v>45.70856401</v>
      </c>
      <c r="U1336" s="145"/>
    </row>
    <row r="1337">
      <c r="A1337" s="29"/>
      <c r="B1337" s="29"/>
      <c r="C1337" s="15" t="s">
        <v>19</v>
      </c>
      <c r="D1337" s="15">
        <v>74.0</v>
      </c>
      <c r="E1337" s="15" t="s">
        <v>3800</v>
      </c>
      <c r="F1337" s="15" t="s">
        <v>1473</v>
      </c>
      <c r="G1337" s="15" t="s">
        <v>2556</v>
      </c>
      <c r="H1337" s="15">
        <f>1</f>
        <v>1</v>
      </c>
      <c r="I1337" s="15" t="s">
        <v>38</v>
      </c>
      <c r="J1337" s="15" t="s">
        <v>22</v>
      </c>
      <c r="K1337" s="15" t="s">
        <v>225</v>
      </c>
      <c r="L1337" s="15" t="s">
        <v>24</v>
      </c>
      <c r="M1337" s="16">
        <v>0.5</v>
      </c>
      <c r="N1337" s="16">
        <v>0.8</v>
      </c>
      <c r="O1337" s="16">
        <v>0.8</v>
      </c>
      <c r="P1337" s="17">
        <v>45242.0</v>
      </c>
      <c r="Q1337" s="18">
        <v>1.75</v>
      </c>
      <c r="R1337" s="15" t="s">
        <v>33</v>
      </c>
      <c r="S1337" s="19">
        <f t="shared" si="1"/>
        <v>0.6</v>
      </c>
      <c r="T1337" s="19">
        <f t="shared" si="8"/>
        <v>46.30856401</v>
      </c>
      <c r="U1337" s="144"/>
    </row>
    <row r="1338">
      <c r="A1338" s="107"/>
      <c r="B1338" s="107"/>
      <c r="C1338" s="8" t="s">
        <v>40</v>
      </c>
      <c r="D1338" s="8">
        <v>71.0</v>
      </c>
      <c r="E1338" s="8" t="s">
        <v>3801</v>
      </c>
      <c r="F1338" s="8" t="s">
        <v>1473</v>
      </c>
      <c r="G1338" s="8" t="s">
        <v>2556</v>
      </c>
      <c r="H1338" s="8">
        <v>0.0</v>
      </c>
      <c r="I1338" s="8" t="s">
        <v>463</v>
      </c>
      <c r="J1338" s="8" t="s">
        <v>22</v>
      </c>
      <c r="K1338" s="8" t="s">
        <v>1847</v>
      </c>
      <c r="L1338" s="8" t="s">
        <v>39</v>
      </c>
      <c r="M1338" s="9">
        <v>-0.5</v>
      </c>
      <c r="N1338" s="9">
        <v>0.3</v>
      </c>
      <c r="O1338" s="9">
        <v>0.3</v>
      </c>
      <c r="P1338" s="10">
        <v>45242.0</v>
      </c>
      <c r="Q1338" s="11">
        <v>2.875</v>
      </c>
      <c r="R1338" s="8" t="s">
        <v>25</v>
      </c>
      <c r="S1338" s="12">
        <f t="shared" si="1"/>
        <v>-0.3</v>
      </c>
      <c r="T1338" s="12">
        <f t="shared" si="8"/>
        <v>46.00856401</v>
      </c>
      <c r="U1338" s="145"/>
    </row>
    <row r="1339">
      <c r="A1339" s="29"/>
      <c r="B1339" s="29"/>
      <c r="C1339" s="15" t="s">
        <v>19</v>
      </c>
      <c r="D1339" s="15">
        <v>66.0</v>
      </c>
      <c r="E1339" s="15" t="s">
        <v>3802</v>
      </c>
      <c r="F1339" s="15" t="s">
        <v>1479</v>
      </c>
      <c r="G1339" s="15" t="s">
        <v>2556</v>
      </c>
      <c r="H1339" s="15">
        <v>0.0</v>
      </c>
      <c r="I1339" s="15" t="s">
        <v>2873</v>
      </c>
      <c r="J1339" s="15" t="s">
        <v>22</v>
      </c>
      <c r="K1339" s="15" t="s">
        <v>225</v>
      </c>
      <c r="L1339" s="15" t="s">
        <v>24</v>
      </c>
      <c r="M1339" s="16">
        <v>2.25</v>
      </c>
      <c r="N1339" s="16">
        <v>0.25</v>
      </c>
      <c r="O1339" s="16">
        <f>0.643*0.25</f>
        <v>0.16075</v>
      </c>
      <c r="P1339" s="17">
        <v>45245.0</v>
      </c>
      <c r="Q1339" s="18">
        <v>1.8</v>
      </c>
      <c r="R1339" s="15" t="s">
        <v>33</v>
      </c>
      <c r="S1339" s="19">
        <f t="shared" si="1"/>
        <v>0.1286</v>
      </c>
      <c r="T1339" s="19">
        <f t="shared" si="8"/>
        <v>46.13716401</v>
      </c>
      <c r="U1339" s="144"/>
    </row>
    <row r="1340">
      <c r="A1340" s="107"/>
      <c r="B1340" s="107"/>
      <c r="C1340" s="8" t="s">
        <v>19</v>
      </c>
      <c r="D1340" s="8">
        <v>66.0</v>
      </c>
      <c r="E1340" s="8" t="s">
        <v>3803</v>
      </c>
      <c r="F1340" s="8" t="s">
        <v>1479</v>
      </c>
      <c r="G1340" s="8" t="s">
        <v>2556</v>
      </c>
      <c r="H1340" s="8">
        <v>0.0</v>
      </c>
      <c r="I1340" s="8" t="s">
        <v>2873</v>
      </c>
      <c r="J1340" s="8" t="s">
        <v>22</v>
      </c>
      <c r="K1340" s="8" t="s">
        <v>225</v>
      </c>
      <c r="L1340" s="8" t="s">
        <v>24</v>
      </c>
      <c r="M1340" s="9">
        <v>2.0</v>
      </c>
      <c r="N1340" s="9">
        <v>0.25</v>
      </c>
      <c r="O1340" s="9">
        <f>0.5*0.25</f>
        <v>0.125</v>
      </c>
      <c r="P1340" s="10">
        <v>45245.0</v>
      </c>
      <c r="Q1340" s="11">
        <v>2.0</v>
      </c>
      <c r="R1340" s="8" t="s">
        <v>33</v>
      </c>
      <c r="S1340" s="12">
        <f t="shared" si="1"/>
        <v>0.125</v>
      </c>
      <c r="T1340" s="12">
        <f t="shared" si="8"/>
        <v>46.26216401</v>
      </c>
      <c r="U1340" s="145"/>
    </row>
    <row r="1341">
      <c r="A1341" s="29"/>
      <c r="B1341" s="29"/>
      <c r="C1341" s="15" t="s">
        <v>19</v>
      </c>
      <c r="D1341" s="15">
        <v>68.0</v>
      </c>
      <c r="E1341" s="15" t="s">
        <v>3804</v>
      </c>
      <c r="F1341" s="15" t="s">
        <v>1479</v>
      </c>
      <c r="G1341" s="15" t="s">
        <v>2556</v>
      </c>
      <c r="H1341" s="15">
        <v>0.0</v>
      </c>
      <c r="I1341" s="15" t="s">
        <v>2873</v>
      </c>
      <c r="J1341" s="15" t="s">
        <v>22</v>
      </c>
      <c r="K1341" s="15" t="s">
        <v>1847</v>
      </c>
      <c r="L1341" s="15" t="s">
        <v>24</v>
      </c>
      <c r="M1341" s="16">
        <v>-0.5</v>
      </c>
      <c r="N1341" s="16">
        <v>0.1</v>
      </c>
      <c r="O1341" s="16">
        <v>0.0821</v>
      </c>
      <c r="P1341" s="55">
        <v>45245.0</v>
      </c>
      <c r="Q1341" s="18">
        <v>10.0</v>
      </c>
      <c r="R1341" s="15" t="s">
        <v>33</v>
      </c>
      <c r="S1341" s="19">
        <f t="shared" si="1"/>
        <v>0.7389</v>
      </c>
      <c r="T1341" s="19">
        <f t="shared" si="8"/>
        <v>47.00106401</v>
      </c>
      <c r="U1341" s="144"/>
    </row>
    <row r="1342">
      <c r="A1342" s="107"/>
      <c r="B1342" s="107"/>
      <c r="C1342" s="8" t="s">
        <v>19</v>
      </c>
      <c r="D1342" s="114">
        <v>24.0</v>
      </c>
      <c r="E1342" s="8" t="s">
        <v>3805</v>
      </c>
      <c r="F1342" s="8" t="s">
        <v>1479</v>
      </c>
      <c r="G1342" s="8" t="s">
        <v>2660</v>
      </c>
      <c r="H1342" s="8">
        <f>1</f>
        <v>1</v>
      </c>
      <c r="I1342" s="8" t="s">
        <v>96</v>
      </c>
      <c r="J1342" s="8" t="s">
        <v>22</v>
      </c>
      <c r="K1342" s="8" t="s">
        <v>1150</v>
      </c>
      <c r="L1342" s="8" t="s">
        <v>24</v>
      </c>
      <c r="M1342" s="9">
        <v>0.0</v>
      </c>
      <c r="N1342" s="9">
        <v>0.2</v>
      </c>
      <c r="O1342" s="9">
        <v>0.2</v>
      </c>
      <c r="P1342" s="10">
        <v>45245.0</v>
      </c>
      <c r="Q1342" s="11">
        <v>1.7</v>
      </c>
      <c r="R1342" s="8" t="s">
        <v>25</v>
      </c>
      <c r="S1342" s="12">
        <f t="shared" si="1"/>
        <v>-0.2</v>
      </c>
      <c r="T1342" s="12">
        <f t="shared" si="8"/>
        <v>46.80106401</v>
      </c>
      <c r="U1342" s="145"/>
    </row>
    <row r="1343">
      <c r="A1343" s="29"/>
      <c r="B1343" s="29"/>
      <c r="C1343" s="15" t="s">
        <v>19</v>
      </c>
      <c r="D1343" s="15">
        <v>70.0</v>
      </c>
      <c r="E1343" s="15" t="s">
        <v>3806</v>
      </c>
      <c r="F1343" s="15" t="s">
        <v>1473</v>
      </c>
      <c r="G1343" s="15" t="s">
        <v>2556</v>
      </c>
      <c r="H1343" s="15">
        <v>0.0</v>
      </c>
      <c r="I1343" s="15" t="s">
        <v>2456</v>
      </c>
      <c r="J1343" s="15" t="s">
        <v>22</v>
      </c>
      <c r="K1343" s="15" t="s">
        <v>941</v>
      </c>
      <c r="L1343" s="15" t="s">
        <v>1851</v>
      </c>
      <c r="M1343" s="16">
        <v>0.0</v>
      </c>
      <c r="N1343" s="16">
        <v>0.25</v>
      </c>
      <c r="O1343" s="16">
        <v>0.25</v>
      </c>
      <c r="P1343" s="57">
        <v>45245.0</v>
      </c>
      <c r="Q1343" s="18">
        <v>2.0</v>
      </c>
      <c r="R1343" s="15" t="s">
        <v>70</v>
      </c>
      <c r="S1343" s="19">
        <f t="shared" si="1"/>
        <v>0</v>
      </c>
      <c r="T1343" s="19">
        <f t="shared" si="8"/>
        <v>46.80106401</v>
      </c>
      <c r="U1343" s="144"/>
    </row>
    <row r="1344">
      <c r="A1344" s="107"/>
      <c r="B1344" s="107"/>
      <c r="C1344" s="8" t="s">
        <v>19</v>
      </c>
      <c r="D1344" s="8">
        <v>75.0</v>
      </c>
      <c r="E1344" s="8" t="s">
        <v>3807</v>
      </c>
      <c r="F1344" s="8" t="s">
        <v>1479</v>
      </c>
      <c r="G1344" s="8" t="s">
        <v>2556</v>
      </c>
      <c r="H1344" s="8">
        <v>-3.0</v>
      </c>
      <c r="I1344" s="8" t="s">
        <v>683</v>
      </c>
      <c r="J1344" s="8" t="s">
        <v>22</v>
      </c>
      <c r="K1344" s="8" t="s">
        <v>225</v>
      </c>
      <c r="L1344" s="8" t="s">
        <v>24</v>
      </c>
      <c r="M1344" s="9">
        <v>0.25</v>
      </c>
      <c r="N1344" s="9">
        <v>0.6</v>
      </c>
      <c r="O1344" s="9">
        <v>0.6</v>
      </c>
      <c r="P1344" s="56">
        <v>45245.0</v>
      </c>
      <c r="Q1344" s="11">
        <v>1.825</v>
      </c>
      <c r="R1344" s="8" t="s">
        <v>30</v>
      </c>
      <c r="S1344" s="12">
        <f t="shared" si="1"/>
        <v>0.2475</v>
      </c>
      <c r="T1344" s="12">
        <f t="shared" si="8"/>
        <v>47.04856401</v>
      </c>
      <c r="U1344" s="145"/>
    </row>
    <row r="1345">
      <c r="A1345" s="29"/>
      <c r="B1345" s="29"/>
      <c r="C1345" s="15" t="s">
        <v>19</v>
      </c>
      <c r="D1345" s="15">
        <v>87.0</v>
      </c>
      <c r="E1345" s="15" t="s">
        <v>3808</v>
      </c>
      <c r="F1345" s="15"/>
      <c r="G1345" s="15"/>
      <c r="H1345" s="15"/>
      <c r="I1345" s="15" t="s">
        <v>794</v>
      </c>
      <c r="J1345" s="15" t="s">
        <v>22</v>
      </c>
      <c r="K1345" s="15" t="s">
        <v>23</v>
      </c>
      <c r="L1345" s="15" t="s">
        <v>24</v>
      </c>
      <c r="M1345" s="16">
        <v>-11.5</v>
      </c>
      <c r="N1345" s="16">
        <v>0.25</v>
      </c>
      <c r="O1345" s="16">
        <v>0.25</v>
      </c>
      <c r="P1345" s="17">
        <v>45245.0</v>
      </c>
      <c r="Q1345" s="18">
        <v>1.65</v>
      </c>
      <c r="R1345" s="15" t="s">
        <v>33</v>
      </c>
      <c r="S1345" s="19">
        <f t="shared" si="1"/>
        <v>0.1625</v>
      </c>
      <c r="T1345" s="19">
        <f t="shared" si="8"/>
        <v>47.21106401</v>
      </c>
      <c r="U1345" s="144"/>
    </row>
    <row r="1346">
      <c r="A1346" s="107"/>
      <c r="B1346" s="107"/>
      <c r="C1346" s="8" t="s">
        <v>19</v>
      </c>
      <c r="D1346" s="8">
        <v>17.0</v>
      </c>
      <c r="E1346" s="8" t="s">
        <v>3809</v>
      </c>
      <c r="F1346" s="8" t="s">
        <v>1473</v>
      </c>
      <c r="G1346" s="8" t="s">
        <v>2660</v>
      </c>
      <c r="H1346" s="8">
        <v>0.0</v>
      </c>
      <c r="I1346" s="8" t="s">
        <v>3351</v>
      </c>
      <c r="J1346" s="8" t="s">
        <v>22</v>
      </c>
      <c r="K1346" s="8" t="s">
        <v>1150</v>
      </c>
      <c r="L1346" s="8" t="s">
        <v>24</v>
      </c>
      <c r="M1346" s="9">
        <v>0.0</v>
      </c>
      <c r="N1346" s="9">
        <v>0.5</v>
      </c>
      <c r="O1346" s="9">
        <v>0.5</v>
      </c>
      <c r="P1346" s="10">
        <v>45245.0</v>
      </c>
      <c r="Q1346" s="11">
        <v>1.85</v>
      </c>
      <c r="R1346" s="8" t="s">
        <v>25</v>
      </c>
      <c r="S1346" s="12">
        <f t="shared" si="1"/>
        <v>-0.5</v>
      </c>
      <c r="T1346" s="12">
        <f t="shared" si="8"/>
        <v>46.71106401</v>
      </c>
      <c r="U1346" s="145"/>
    </row>
    <row r="1347">
      <c r="A1347" s="29"/>
      <c r="B1347" s="29"/>
      <c r="C1347" s="15" t="s">
        <v>19</v>
      </c>
      <c r="D1347" s="15">
        <v>64.0</v>
      </c>
      <c r="E1347" s="15" t="s">
        <v>3810</v>
      </c>
      <c r="F1347" s="15" t="s">
        <v>1479</v>
      </c>
      <c r="G1347" s="15" t="s">
        <v>2660</v>
      </c>
      <c r="H1347" s="15">
        <v>0.0</v>
      </c>
      <c r="I1347" s="15" t="s">
        <v>448</v>
      </c>
      <c r="J1347" s="15" t="s">
        <v>22</v>
      </c>
      <c r="K1347" s="15" t="s">
        <v>892</v>
      </c>
      <c r="L1347" s="15" t="s">
        <v>24</v>
      </c>
      <c r="M1347" s="16">
        <v>0.0</v>
      </c>
      <c r="N1347" s="16">
        <v>1.0</v>
      </c>
      <c r="O1347" s="16">
        <f>(15/28+17/28+22/28+25/28+25/28)*0.2</f>
        <v>0.7428571429</v>
      </c>
      <c r="P1347" s="17">
        <v>45246.0</v>
      </c>
      <c r="Q1347" s="18">
        <v>1.725</v>
      </c>
      <c r="R1347" s="15" t="s">
        <v>33</v>
      </c>
      <c r="S1347" s="19">
        <f t="shared" si="1"/>
        <v>0.5385714286</v>
      </c>
      <c r="T1347" s="19">
        <f t="shared" si="8"/>
        <v>47.24963544</v>
      </c>
      <c r="U1347" s="144"/>
    </row>
    <row r="1348">
      <c r="A1348" s="107"/>
      <c r="B1348" s="107"/>
      <c r="C1348" s="8" t="s">
        <v>19</v>
      </c>
      <c r="D1348" s="8">
        <v>22.0</v>
      </c>
      <c r="E1348" s="8" t="s">
        <v>3811</v>
      </c>
      <c r="F1348" s="8" t="s">
        <v>1473</v>
      </c>
      <c r="G1348" s="8" t="s">
        <v>2556</v>
      </c>
      <c r="H1348" s="8">
        <v>-1.0</v>
      </c>
      <c r="I1348" s="8" t="s">
        <v>1031</v>
      </c>
      <c r="J1348" s="8" t="s">
        <v>22</v>
      </c>
      <c r="K1348" s="8" t="s">
        <v>225</v>
      </c>
      <c r="L1348" s="8" t="s">
        <v>24</v>
      </c>
      <c r="M1348" s="9">
        <v>0.25</v>
      </c>
      <c r="N1348" s="9">
        <v>1.0</v>
      </c>
      <c r="O1348" s="9">
        <f>25/28</f>
        <v>0.8928571429</v>
      </c>
      <c r="P1348" s="10">
        <v>45246.0</v>
      </c>
      <c r="Q1348" s="11">
        <v>1.825</v>
      </c>
      <c r="R1348" s="8" t="s">
        <v>25</v>
      </c>
      <c r="S1348" s="12">
        <f t="shared" si="1"/>
        <v>-0.8928571429</v>
      </c>
      <c r="T1348" s="12">
        <f t="shared" si="8"/>
        <v>46.3567783</v>
      </c>
      <c r="U1348" s="145"/>
    </row>
    <row r="1349">
      <c r="A1349" s="29"/>
      <c r="B1349" s="29"/>
      <c r="C1349" s="15" t="s">
        <v>19</v>
      </c>
      <c r="D1349" s="15">
        <v>45.0</v>
      </c>
      <c r="E1349" s="15" t="s">
        <v>3812</v>
      </c>
      <c r="F1349" s="15" t="s">
        <v>1473</v>
      </c>
      <c r="G1349" s="15" t="s">
        <v>2660</v>
      </c>
      <c r="H1349" s="15">
        <v>-1.0</v>
      </c>
      <c r="I1349" s="15" t="s">
        <v>820</v>
      </c>
      <c r="J1349" s="15" t="s">
        <v>22</v>
      </c>
      <c r="K1349" s="15" t="s">
        <v>892</v>
      </c>
      <c r="L1349" s="15" t="s">
        <v>24</v>
      </c>
      <c r="M1349" s="16">
        <v>0.0</v>
      </c>
      <c r="N1349" s="16">
        <v>0.8</v>
      </c>
      <c r="O1349" s="16">
        <v>0.714</v>
      </c>
      <c r="P1349" s="17">
        <v>45246.0</v>
      </c>
      <c r="Q1349" s="18">
        <v>1.9</v>
      </c>
      <c r="R1349" s="15" t="s">
        <v>70</v>
      </c>
      <c r="S1349" s="19">
        <f t="shared" si="1"/>
        <v>0</v>
      </c>
      <c r="T1349" s="19">
        <f t="shared" si="8"/>
        <v>46.3567783</v>
      </c>
      <c r="U1349" s="144"/>
    </row>
    <row r="1350">
      <c r="A1350" s="107"/>
      <c r="B1350" s="107"/>
      <c r="C1350" s="8" t="s">
        <v>19</v>
      </c>
      <c r="D1350" s="8">
        <v>73.0</v>
      </c>
      <c r="E1350" s="8" t="s">
        <v>3813</v>
      </c>
      <c r="F1350" s="8" t="s">
        <v>1473</v>
      </c>
      <c r="G1350" s="8" t="s">
        <v>2660</v>
      </c>
      <c r="H1350" s="8">
        <v>-1.0</v>
      </c>
      <c r="I1350" s="8" t="s">
        <v>1031</v>
      </c>
      <c r="J1350" s="8" t="s">
        <v>22</v>
      </c>
      <c r="K1350" s="8" t="s">
        <v>892</v>
      </c>
      <c r="L1350" s="8" t="s">
        <v>24</v>
      </c>
      <c r="M1350" s="9">
        <v>0.0</v>
      </c>
      <c r="N1350" s="9">
        <v>1.0</v>
      </c>
      <c r="O1350" s="9">
        <v>1.0</v>
      </c>
      <c r="P1350" s="10">
        <v>45246.0</v>
      </c>
      <c r="Q1350" s="11">
        <v>1.925</v>
      </c>
      <c r="R1350" s="8" t="s">
        <v>33</v>
      </c>
      <c r="S1350" s="12">
        <f t="shared" si="1"/>
        <v>0.925</v>
      </c>
      <c r="T1350" s="12">
        <f t="shared" si="8"/>
        <v>47.2817783</v>
      </c>
      <c r="U1350" s="145"/>
    </row>
    <row r="1351">
      <c r="A1351" s="29"/>
      <c r="B1351" s="29"/>
      <c r="C1351" s="15" t="s">
        <v>19</v>
      </c>
      <c r="D1351" s="15">
        <v>87.0</v>
      </c>
      <c r="E1351" s="15" t="s">
        <v>3814</v>
      </c>
      <c r="F1351" s="15"/>
      <c r="G1351" s="15"/>
      <c r="H1351" s="15"/>
      <c r="I1351" s="15" t="s">
        <v>624</v>
      </c>
      <c r="J1351" s="15" t="s">
        <v>22</v>
      </c>
      <c r="K1351" s="15" t="s">
        <v>29</v>
      </c>
      <c r="L1351" s="15" t="s">
        <v>24</v>
      </c>
      <c r="M1351" s="16">
        <v>-8.5</v>
      </c>
      <c r="N1351" s="16">
        <v>0.1</v>
      </c>
      <c r="O1351" s="16">
        <v>0.1</v>
      </c>
      <c r="P1351" s="17">
        <v>45246.0</v>
      </c>
      <c r="Q1351" s="18">
        <v>1.66</v>
      </c>
      <c r="R1351" s="15" t="s">
        <v>33</v>
      </c>
      <c r="S1351" s="19">
        <f t="shared" si="1"/>
        <v>0.066</v>
      </c>
      <c r="T1351" s="19">
        <f t="shared" si="8"/>
        <v>47.3477783</v>
      </c>
      <c r="U1351" s="144"/>
    </row>
    <row r="1352">
      <c r="A1352" s="107"/>
      <c r="B1352" s="107"/>
      <c r="C1352" s="8" t="s">
        <v>40</v>
      </c>
      <c r="D1352" s="8">
        <v>45.0</v>
      </c>
      <c r="E1352" s="8" t="s">
        <v>3815</v>
      </c>
      <c r="F1352" s="8"/>
      <c r="G1352" s="8"/>
      <c r="H1352" s="8"/>
      <c r="I1352" s="8" t="s">
        <v>101</v>
      </c>
      <c r="J1352" s="8" t="s">
        <v>22</v>
      </c>
      <c r="K1352" s="8" t="s">
        <v>29</v>
      </c>
      <c r="L1352" s="8" t="s">
        <v>1803</v>
      </c>
      <c r="M1352" s="9">
        <v>-2.5</v>
      </c>
      <c r="N1352" s="9">
        <v>0.5</v>
      </c>
      <c r="O1352" s="9">
        <v>0.5</v>
      </c>
      <c r="P1352" s="10">
        <v>45246.0</v>
      </c>
      <c r="Q1352" s="11">
        <v>1.725</v>
      </c>
      <c r="R1352" s="8" t="s">
        <v>25</v>
      </c>
      <c r="S1352" s="12">
        <f t="shared" si="1"/>
        <v>-0.5</v>
      </c>
      <c r="T1352" s="12">
        <f t="shared" si="8"/>
        <v>46.8477783</v>
      </c>
      <c r="U1352" s="145"/>
    </row>
    <row r="1353">
      <c r="A1353" s="29"/>
      <c r="B1353" s="29"/>
      <c r="C1353" s="15" t="s">
        <v>19</v>
      </c>
      <c r="D1353" s="15">
        <v>22.0</v>
      </c>
      <c r="E1353" s="15" t="s">
        <v>3816</v>
      </c>
      <c r="F1353" s="15" t="s">
        <v>1473</v>
      </c>
      <c r="G1353" s="15" t="s">
        <v>2556</v>
      </c>
      <c r="H1353" s="15">
        <v>-1.0</v>
      </c>
      <c r="I1353" s="15" t="s">
        <v>189</v>
      </c>
      <c r="J1353" s="15" t="s">
        <v>22</v>
      </c>
      <c r="K1353" s="15" t="s">
        <v>225</v>
      </c>
      <c r="L1353" s="15" t="s">
        <v>1522</v>
      </c>
      <c r="M1353" s="16">
        <v>3.5</v>
      </c>
      <c r="N1353" s="16">
        <v>0.5</v>
      </c>
      <c r="O1353" s="16">
        <v>0.5</v>
      </c>
      <c r="P1353" s="17">
        <v>45246.0</v>
      </c>
      <c r="Q1353" s="18">
        <v>1.975</v>
      </c>
      <c r="R1353" s="15" t="s">
        <v>33</v>
      </c>
      <c r="S1353" s="19">
        <f t="shared" si="1"/>
        <v>0.4875</v>
      </c>
      <c r="T1353" s="19">
        <f t="shared" si="8"/>
        <v>47.3352783</v>
      </c>
      <c r="U1353" s="144"/>
    </row>
    <row r="1354">
      <c r="A1354" s="107"/>
      <c r="B1354" s="107"/>
      <c r="C1354" s="8" t="s">
        <v>19</v>
      </c>
      <c r="D1354" s="8">
        <v>0.0</v>
      </c>
      <c r="E1354" s="8" t="s">
        <v>3817</v>
      </c>
      <c r="F1354" s="8" t="s">
        <v>1473</v>
      </c>
      <c r="G1354" s="8" t="s">
        <v>2556</v>
      </c>
      <c r="H1354" s="8"/>
      <c r="I1354" s="8" t="s">
        <v>2468</v>
      </c>
      <c r="J1354" s="8" t="s">
        <v>598</v>
      </c>
      <c r="K1354" s="8" t="s">
        <v>941</v>
      </c>
      <c r="L1354" s="8" t="s">
        <v>39</v>
      </c>
      <c r="M1354" s="9">
        <v>0.0</v>
      </c>
      <c r="N1354" s="9">
        <v>0.1</v>
      </c>
      <c r="O1354" s="9">
        <v>0.1</v>
      </c>
      <c r="P1354" s="10">
        <v>45246.0</v>
      </c>
      <c r="Q1354" s="11">
        <v>1.19</v>
      </c>
      <c r="R1354" s="8" t="s">
        <v>33</v>
      </c>
      <c r="S1354" s="12">
        <f t="shared" si="1"/>
        <v>0.019</v>
      </c>
      <c r="T1354" s="12">
        <f t="shared" si="8"/>
        <v>47.3542783</v>
      </c>
      <c r="U1354" s="145"/>
    </row>
    <row r="1355">
      <c r="A1355" s="29"/>
      <c r="B1355" s="29"/>
      <c r="C1355" s="15" t="s">
        <v>19</v>
      </c>
      <c r="D1355" s="15">
        <v>21.0</v>
      </c>
      <c r="E1355" s="15" t="s">
        <v>3818</v>
      </c>
      <c r="F1355" s="15" t="s">
        <v>1473</v>
      </c>
      <c r="G1355" s="15" t="s">
        <v>2556</v>
      </c>
      <c r="H1355" s="15">
        <v>0.0</v>
      </c>
      <c r="I1355" s="15" t="s">
        <v>101</v>
      </c>
      <c r="J1355" s="15" t="s">
        <v>22</v>
      </c>
      <c r="K1355" s="15" t="s">
        <v>225</v>
      </c>
      <c r="L1355" s="15" t="s">
        <v>24</v>
      </c>
      <c r="M1355" s="16">
        <v>0.5</v>
      </c>
      <c r="N1355" s="16">
        <v>1.0</v>
      </c>
      <c r="O1355" s="16">
        <v>1.0</v>
      </c>
      <c r="P1355" s="17">
        <v>45247.0</v>
      </c>
      <c r="Q1355" s="18">
        <v>1.03</v>
      </c>
      <c r="R1355" s="15" t="s">
        <v>33</v>
      </c>
      <c r="S1355" s="19">
        <f t="shared" si="1"/>
        <v>0.03</v>
      </c>
      <c r="T1355" s="19">
        <f t="shared" si="8"/>
        <v>47.3842783</v>
      </c>
      <c r="U1355" s="144"/>
    </row>
    <row r="1356">
      <c r="A1356" s="107"/>
      <c r="B1356" s="107"/>
      <c r="C1356" s="8" t="s">
        <v>19</v>
      </c>
      <c r="D1356" s="8">
        <v>28.0</v>
      </c>
      <c r="E1356" s="8" t="s">
        <v>3819</v>
      </c>
      <c r="F1356" s="8" t="s">
        <v>1473</v>
      </c>
      <c r="G1356" s="8" t="s">
        <v>2556</v>
      </c>
      <c r="H1356" s="8">
        <v>0.0</v>
      </c>
      <c r="I1356" s="8" t="s">
        <v>187</v>
      </c>
      <c r="J1356" s="8" t="s">
        <v>22</v>
      </c>
      <c r="K1356" s="8" t="s">
        <v>225</v>
      </c>
      <c r="L1356" s="8" t="s">
        <v>24</v>
      </c>
      <c r="M1356" s="9">
        <v>0.25</v>
      </c>
      <c r="N1356" s="9">
        <v>0.4</v>
      </c>
      <c r="O1356" s="9">
        <v>0.25</v>
      </c>
      <c r="P1356" s="10">
        <v>45247.0</v>
      </c>
      <c r="Q1356" s="11">
        <v>1.825</v>
      </c>
      <c r="R1356" s="8" t="s">
        <v>25</v>
      </c>
      <c r="S1356" s="12">
        <f t="shared" si="1"/>
        <v>-0.25</v>
      </c>
      <c r="T1356" s="12">
        <f t="shared" si="8"/>
        <v>47.1342783</v>
      </c>
      <c r="U1356" s="145"/>
    </row>
    <row r="1357">
      <c r="A1357" s="29"/>
      <c r="B1357" s="29"/>
      <c r="C1357" s="15" t="s">
        <v>40</v>
      </c>
      <c r="D1357" s="15">
        <v>35.0</v>
      </c>
      <c r="E1357" s="15" t="s">
        <v>3820</v>
      </c>
      <c r="F1357" s="15" t="s">
        <v>1473</v>
      </c>
      <c r="G1357" s="15" t="s">
        <v>2660</v>
      </c>
      <c r="H1357" s="15">
        <v>0.0</v>
      </c>
      <c r="I1357" s="15" t="s">
        <v>187</v>
      </c>
      <c r="J1357" s="15" t="s">
        <v>22</v>
      </c>
      <c r="K1357" s="15" t="s">
        <v>1150</v>
      </c>
      <c r="L1357" s="15" t="s">
        <v>24</v>
      </c>
      <c r="M1357" s="16">
        <v>0.0</v>
      </c>
      <c r="N1357" s="16">
        <v>0.4</v>
      </c>
      <c r="O1357" s="16">
        <v>0.39</v>
      </c>
      <c r="P1357" s="17">
        <v>45247.0</v>
      </c>
      <c r="Q1357" s="18">
        <v>1.8</v>
      </c>
      <c r="R1357" s="15" t="s">
        <v>25</v>
      </c>
      <c r="S1357" s="19">
        <f t="shared" si="1"/>
        <v>-0.39</v>
      </c>
      <c r="T1357" s="19">
        <f t="shared" si="8"/>
        <v>46.7442783</v>
      </c>
      <c r="U1357" s="144"/>
    </row>
    <row r="1358">
      <c r="A1358" s="107"/>
      <c r="B1358" s="107"/>
      <c r="C1358" s="8" t="s">
        <v>19</v>
      </c>
      <c r="D1358" s="8">
        <v>61.0</v>
      </c>
      <c r="E1358" s="8" t="s">
        <v>3821</v>
      </c>
      <c r="F1358" s="8" t="s">
        <v>1473</v>
      </c>
      <c r="G1358" s="8" t="s">
        <v>2556</v>
      </c>
      <c r="H1358" s="8">
        <v>0.0</v>
      </c>
      <c r="I1358" s="8" t="s">
        <v>583</v>
      </c>
      <c r="J1358" s="8" t="s">
        <v>22</v>
      </c>
      <c r="K1358" s="8" t="s">
        <v>941</v>
      </c>
      <c r="L1358" s="8" t="s">
        <v>39</v>
      </c>
      <c r="M1358" s="9">
        <v>0.0</v>
      </c>
      <c r="N1358" s="9">
        <f t="shared" ref="N1358:O1358" si="41">0.2*0.27</f>
        <v>0.054</v>
      </c>
      <c r="O1358" s="9">
        <f t="shared" si="41"/>
        <v>0.054</v>
      </c>
      <c r="P1358" s="10">
        <v>45247.0</v>
      </c>
      <c r="Q1358" s="11">
        <v>1.825</v>
      </c>
      <c r="R1358" s="8" t="s">
        <v>25</v>
      </c>
      <c r="S1358" s="12">
        <f t="shared" si="1"/>
        <v>-0.054</v>
      </c>
      <c r="T1358" s="12">
        <f t="shared" si="8"/>
        <v>46.6902783</v>
      </c>
      <c r="U1358" s="145"/>
    </row>
    <row r="1359">
      <c r="A1359" s="29"/>
      <c r="B1359" s="29"/>
      <c r="C1359" s="15" t="s">
        <v>19</v>
      </c>
      <c r="D1359" s="15">
        <v>63.0</v>
      </c>
      <c r="E1359" s="15" t="s">
        <v>3822</v>
      </c>
      <c r="F1359" s="15" t="s">
        <v>1473</v>
      </c>
      <c r="G1359" s="15" t="s">
        <v>2660</v>
      </c>
      <c r="H1359" s="15">
        <v>0.0</v>
      </c>
      <c r="I1359" s="15" t="s">
        <v>583</v>
      </c>
      <c r="J1359" s="15" t="s">
        <v>22</v>
      </c>
      <c r="K1359" s="15" t="s">
        <v>892</v>
      </c>
      <c r="L1359" s="15" t="s">
        <v>39</v>
      </c>
      <c r="M1359" s="16">
        <v>0.0</v>
      </c>
      <c r="N1359" s="16">
        <v>0.8</v>
      </c>
      <c r="O1359" s="16">
        <f>0.8*0.27</f>
        <v>0.216</v>
      </c>
      <c r="P1359" s="55">
        <v>45247.0</v>
      </c>
      <c r="Q1359" s="18">
        <v>1.875</v>
      </c>
      <c r="R1359" s="15" t="s">
        <v>25</v>
      </c>
      <c r="S1359" s="19">
        <f t="shared" si="1"/>
        <v>-0.216</v>
      </c>
      <c r="T1359" s="19">
        <f t="shared" si="8"/>
        <v>46.4742783</v>
      </c>
      <c r="U1359" s="144"/>
    </row>
    <row r="1360">
      <c r="A1360" s="107"/>
      <c r="B1360" s="107"/>
      <c r="C1360" s="8" t="s">
        <v>19</v>
      </c>
      <c r="D1360" s="8">
        <v>31.0</v>
      </c>
      <c r="E1360" s="8" t="s">
        <v>3823</v>
      </c>
      <c r="F1360" s="8" t="s">
        <v>1473</v>
      </c>
      <c r="G1360" s="8" t="s">
        <v>2556</v>
      </c>
      <c r="H1360" s="8">
        <f t="shared" ref="H1360:H1361" si="42">1</f>
        <v>1</v>
      </c>
      <c r="I1360" s="8" t="s">
        <v>28</v>
      </c>
      <c r="J1360" s="8" t="s">
        <v>22</v>
      </c>
      <c r="K1360" s="8" t="s">
        <v>225</v>
      </c>
      <c r="L1360" s="8" t="s">
        <v>24</v>
      </c>
      <c r="M1360" s="9">
        <v>4.25</v>
      </c>
      <c r="N1360" s="9">
        <v>0.6</v>
      </c>
      <c r="O1360" s="9">
        <v>0.6</v>
      </c>
      <c r="P1360" s="10">
        <v>45247.0</v>
      </c>
      <c r="Q1360" s="11">
        <v>1.85</v>
      </c>
      <c r="R1360" s="8" t="s">
        <v>25</v>
      </c>
      <c r="S1360" s="12">
        <f t="shared" si="1"/>
        <v>-0.6</v>
      </c>
      <c r="T1360" s="12">
        <f t="shared" si="8"/>
        <v>45.8742783</v>
      </c>
      <c r="U1360" s="145"/>
    </row>
    <row r="1361">
      <c r="A1361" s="29"/>
      <c r="B1361" s="29"/>
      <c r="C1361" s="15" t="s">
        <v>19</v>
      </c>
      <c r="D1361" s="15">
        <v>33.0</v>
      </c>
      <c r="E1361" s="15" t="s">
        <v>3824</v>
      </c>
      <c r="F1361" s="15" t="s">
        <v>1473</v>
      </c>
      <c r="G1361" s="15" t="s">
        <v>2556</v>
      </c>
      <c r="H1361" s="15">
        <f t="shared" si="42"/>
        <v>1</v>
      </c>
      <c r="I1361" s="15" t="s">
        <v>28</v>
      </c>
      <c r="J1361" s="15" t="s">
        <v>22</v>
      </c>
      <c r="K1361" s="15" t="s">
        <v>225</v>
      </c>
      <c r="L1361" s="15" t="s">
        <v>24</v>
      </c>
      <c r="M1361" s="16">
        <v>3.75</v>
      </c>
      <c r="N1361" s="16">
        <v>0.3</v>
      </c>
      <c r="O1361" s="16">
        <f>0.571*0.3</f>
        <v>0.1713</v>
      </c>
      <c r="P1361" s="17">
        <v>45247.0</v>
      </c>
      <c r="Q1361" s="18">
        <v>1.975</v>
      </c>
      <c r="R1361" s="15" t="s">
        <v>25</v>
      </c>
      <c r="S1361" s="19">
        <f t="shared" si="1"/>
        <v>-0.1713</v>
      </c>
      <c r="T1361" s="19">
        <f t="shared" si="8"/>
        <v>45.7029783</v>
      </c>
      <c r="U1361" s="144"/>
    </row>
    <row r="1362">
      <c r="A1362" s="107"/>
      <c r="B1362" s="107"/>
      <c r="C1362" s="8" t="s">
        <v>19</v>
      </c>
      <c r="D1362" s="8">
        <v>69.0</v>
      </c>
      <c r="E1362" s="8" t="s">
        <v>3825</v>
      </c>
      <c r="F1362" s="8" t="s">
        <v>1473</v>
      </c>
      <c r="G1362" s="8" t="s">
        <v>2660</v>
      </c>
      <c r="H1362" s="8">
        <v>0.0</v>
      </c>
      <c r="I1362" s="8" t="s">
        <v>167</v>
      </c>
      <c r="J1362" s="8" t="s">
        <v>22</v>
      </c>
      <c r="K1362" s="8" t="s">
        <v>892</v>
      </c>
      <c r="L1362" s="8" t="s">
        <v>24</v>
      </c>
      <c r="M1362" s="9">
        <v>0.0</v>
      </c>
      <c r="N1362" s="9">
        <v>0.6</v>
      </c>
      <c r="O1362" s="9">
        <v>0.6</v>
      </c>
      <c r="P1362" s="10">
        <v>45247.0</v>
      </c>
      <c r="Q1362" s="11">
        <v>1.9</v>
      </c>
      <c r="R1362" s="8" t="s">
        <v>70</v>
      </c>
      <c r="S1362" s="12">
        <f t="shared" si="1"/>
        <v>0</v>
      </c>
      <c r="T1362" s="12">
        <f t="shared" si="8"/>
        <v>45.7029783</v>
      </c>
      <c r="U1362" s="145"/>
    </row>
    <row r="1363">
      <c r="A1363" s="29"/>
      <c r="B1363" s="29"/>
      <c r="C1363" s="15" t="s">
        <v>19</v>
      </c>
      <c r="D1363" s="15">
        <v>75.0</v>
      </c>
      <c r="E1363" s="15" t="s">
        <v>3826</v>
      </c>
      <c r="F1363" s="15" t="s">
        <v>1473</v>
      </c>
      <c r="G1363" s="15" t="s">
        <v>2660</v>
      </c>
      <c r="H1363" s="15">
        <v>-2.0</v>
      </c>
      <c r="I1363" s="15" t="s">
        <v>96</v>
      </c>
      <c r="J1363" s="15" t="s">
        <v>22</v>
      </c>
      <c r="K1363" s="15" t="s">
        <v>892</v>
      </c>
      <c r="L1363" s="15" t="s">
        <v>24</v>
      </c>
      <c r="M1363" s="16">
        <v>0.0</v>
      </c>
      <c r="N1363" s="16">
        <v>0.8</v>
      </c>
      <c r="O1363" s="16">
        <v>0.8</v>
      </c>
      <c r="P1363" s="17">
        <v>45247.0</v>
      </c>
      <c r="Q1363" s="18">
        <v>2.2</v>
      </c>
      <c r="R1363" s="15" t="s">
        <v>70</v>
      </c>
      <c r="S1363" s="19">
        <f t="shared" si="1"/>
        <v>0</v>
      </c>
      <c r="T1363" s="19">
        <f t="shared" si="8"/>
        <v>45.7029783</v>
      </c>
      <c r="U1363" s="144"/>
    </row>
    <row r="1364">
      <c r="A1364" s="107"/>
      <c r="B1364" s="107"/>
      <c r="C1364" s="8" t="s">
        <v>19</v>
      </c>
      <c r="D1364" s="8">
        <v>20.0</v>
      </c>
      <c r="E1364" s="8" t="s">
        <v>3827</v>
      </c>
      <c r="F1364" s="8" t="s">
        <v>1473</v>
      </c>
      <c r="G1364" s="8" t="s">
        <v>2556</v>
      </c>
      <c r="H1364" s="8">
        <v>-1.0</v>
      </c>
      <c r="I1364" s="8" t="s">
        <v>248</v>
      </c>
      <c r="J1364" s="8" t="s">
        <v>22</v>
      </c>
      <c r="K1364" s="8" t="s">
        <v>225</v>
      </c>
      <c r="L1364" s="8" t="s">
        <v>24</v>
      </c>
      <c r="M1364" s="9">
        <v>0.5</v>
      </c>
      <c r="N1364" s="9">
        <v>0.9</v>
      </c>
      <c r="O1364" s="9">
        <v>0.9</v>
      </c>
      <c r="P1364" s="10">
        <v>45247.0</v>
      </c>
      <c r="Q1364" s="11">
        <v>2.0</v>
      </c>
      <c r="R1364" s="8" t="s">
        <v>25</v>
      </c>
      <c r="S1364" s="12">
        <f t="shared" si="1"/>
        <v>-0.9</v>
      </c>
      <c r="T1364" s="12">
        <f t="shared" si="8"/>
        <v>44.8029783</v>
      </c>
      <c r="U1364" s="145"/>
    </row>
    <row r="1365">
      <c r="A1365" s="29"/>
      <c r="B1365" s="29"/>
      <c r="C1365" s="15" t="s">
        <v>19</v>
      </c>
      <c r="D1365" s="15">
        <v>23.0</v>
      </c>
      <c r="E1365" s="15" t="s">
        <v>3828</v>
      </c>
      <c r="F1365" s="15" t="s">
        <v>1473</v>
      </c>
      <c r="G1365" s="15" t="s">
        <v>2556</v>
      </c>
      <c r="H1365" s="15">
        <v>-1.0</v>
      </c>
      <c r="I1365" s="15" t="s">
        <v>248</v>
      </c>
      <c r="J1365" s="15" t="s">
        <v>22</v>
      </c>
      <c r="K1365" s="15" t="s">
        <v>1165</v>
      </c>
      <c r="L1365" s="15" t="s">
        <v>24</v>
      </c>
      <c r="M1365" s="16"/>
      <c r="N1365" s="16">
        <v>0.1</v>
      </c>
      <c r="O1365" s="16">
        <v>0.1</v>
      </c>
      <c r="P1365" s="17">
        <v>45247.0</v>
      </c>
      <c r="Q1365" s="18">
        <v>4.0</v>
      </c>
      <c r="R1365" s="15" t="s">
        <v>25</v>
      </c>
      <c r="S1365" s="19">
        <f t="shared" si="1"/>
        <v>-0.1</v>
      </c>
      <c r="T1365" s="19">
        <f t="shared" si="8"/>
        <v>44.7029783</v>
      </c>
      <c r="U1365" s="144"/>
    </row>
    <row r="1366">
      <c r="A1366" s="107"/>
      <c r="B1366" s="107"/>
      <c r="C1366" s="8" t="s">
        <v>19</v>
      </c>
      <c r="D1366" s="8">
        <v>41.0</v>
      </c>
      <c r="E1366" s="8" t="s">
        <v>3829</v>
      </c>
      <c r="F1366" s="8" t="s">
        <v>1473</v>
      </c>
      <c r="G1366" s="8" t="s">
        <v>2660</v>
      </c>
      <c r="H1366" s="8">
        <v>0.0</v>
      </c>
      <c r="I1366" s="8" t="s">
        <v>82</v>
      </c>
      <c r="J1366" s="8" t="s">
        <v>22</v>
      </c>
      <c r="K1366" s="8" t="s">
        <v>892</v>
      </c>
      <c r="L1366" s="8" t="s">
        <v>1522</v>
      </c>
      <c r="M1366" s="9">
        <v>0.0</v>
      </c>
      <c r="N1366" s="9">
        <v>0.8</v>
      </c>
      <c r="O1366" s="9">
        <v>0.8</v>
      </c>
      <c r="P1366" s="10">
        <v>45247.0</v>
      </c>
      <c r="Q1366" s="11">
        <v>1.85</v>
      </c>
      <c r="R1366" s="8" t="s">
        <v>70</v>
      </c>
      <c r="S1366" s="12">
        <f t="shared" si="1"/>
        <v>0</v>
      </c>
      <c r="T1366" s="12">
        <f t="shared" si="8"/>
        <v>44.7029783</v>
      </c>
      <c r="U1366" s="145"/>
    </row>
    <row r="1367">
      <c r="A1367" s="29"/>
      <c r="B1367" s="29"/>
      <c r="C1367" s="15" t="s">
        <v>19</v>
      </c>
      <c r="D1367" s="15">
        <v>62.0</v>
      </c>
      <c r="E1367" s="15" t="s">
        <v>3830</v>
      </c>
      <c r="F1367" s="15"/>
      <c r="G1367" s="15"/>
      <c r="H1367" s="15">
        <v>0.0</v>
      </c>
      <c r="I1367" s="15" t="s">
        <v>44</v>
      </c>
      <c r="J1367" s="15" t="s">
        <v>22</v>
      </c>
      <c r="K1367" s="15" t="s">
        <v>440</v>
      </c>
      <c r="L1367" s="15" t="s">
        <v>24</v>
      </c>
      <c r="M1367" s="16">
        <v>0.75</v>
      </c>
      <c r="N1367" s="16">
        <v>0.75</v>
      </c>
      <c r="O1367" s="16">
        <v>0.54</v>
      </c>
      <c r="P1367" s="17">
        <v>45247.0</v>
      </c>
      <c r="Q1367" s="18">
        <v>1.7</v>
      </c>
      <c r="R1367" s="15" t="s">
        <v>25</v>
      </c>
      <c r="S1367" s="19">
        <f t="shared" si="1"/>
        <v>-0.54</v>
      </c>
      <c r="T1367" s="19">
        <f t="shared" si="8"/>
        <v>44.1629783</v>
      </c>
      <c r="U1367" s="144"/>
    </row>
    <row r="1368">
      <c r="A1368" s="107"/>
      <c r="B1368" s="107"/>
      <c r="C1368" s="8" t="s">
        <v>19</v>
      </c>
      <c r="D1368" s="8">
        <v>75.0</v>
      </c>
      <c r="E1368" s="8" t="s">
        <v>3831</v>
      </c>
      <c r="F1368" s="8" t="s">
        <v>1479</v>
      </c>
      <c r="G1368" s="8" t="s">
        <v>2556</v>
      </c>
      <c r="H1368" s="8">
        <v>2</v>
      </c>
      <c r="I1368" s="8" t="s">
        <v>583</v>
      </c>
      <c r="J1368" s="8" t="s">
        <v>22</v>
      </c>
      <c r="K1368" s="8" t="s">
        <v>225</v>
      </c>
      <c r="L1368" s="8" t="s">
        <v>24</v>
      </c>
      <c r="M1368" s="9">
        <v>0.5</v>
      </c>
      <c r="N1368" s="9">
        <v>1.0</v>
      </c>
      <c r="O1368" s="9">
        <v>1.0</v>
      </c>
      <c r="P1368" s="10">
        <v>45248.0</v>
      </c>
      <c r="Q1368" s="11">
        <v>1.9</v>
      </c>
      <c r="R1368" s="8" t="s">
        <v>33</v>
      </c>
      <c r="S1368" s="12">
        <f t="shared" si="1"/>
        <v>0.9</v>
      </c>
      <c r="T1368" s="12">
        <f t="shared" si="8"/>
        <v>45.0629783</v>
      </c>
      <c r="U1368" s="145"/>
    </row>
    <row r="1369">
      <c r="A1369" s="29"/>
      <c r="B1369" s="29"/>
      <c r="C1369" s="15" t="s">
        <v>19</v>
      </c>
      <c r="D1369" s="15">
        <v>75.0</v>
      </c>
      <c r="E1369" s="15" t="s">
        <v>3832</v>
      </c>
      <c r="F1369" s="15" t="s">
        <v>1473</v>
      </c>
      <c r="G1369" s="15" t="s">
        <v>2556</v>
      </c>
      <c r="H1369" s="15">
        <v>0.0</v>
      </c>
      <c r="I1369" s="15" t="s">
        <v>88</v>
      </c>
      <c r="J1369" s="15" t="s">
        <v>22</v>
      </c>
      <c r="K1369" s="15" t="s">
        <v>225</v>
      </c>
      <c r="L1369" s="15" t="s">
        <v>24</v>
      </c>
      <c r="M1369" s="16">
        <v>0.25</v>
      </c>
      <c r="N1369" s="16">
        <v>0.25</v>
      </c>
      <c r="O1369" s="16">
        <v>0.25</v>
      </c>
      <c r="P1369" s="17">
        <v>45248.0</v>
      </c>
      <c r="Q1369" s="18">
        <v>1.7</v>
      </c>
      <c r="R1369" s="15" t="s">
        <v>25</v>
      </c>
      <c r="S1369" s="19">
        <f t="shared" si="1"/>
        <v>-0.25</v>
      </c>
      <c r="T1369" s="19">
        <f t="shared" si="8"/>
        <v>44.8129783</v>
      </c>
      <c r="U1369" s="144"/>
    </row>
    <row r="1370">
      <c r="A1370" s="107"/>
      <c r="B1370" s="107"/>
      <c r="C1370" s="8" t="s">
        <v>19</v>
      </c>
      <c r="D1370" s="8">
        <v>87.0</v>
      </c>
      <c r="E1370" s="8" t="s">
        <v>3833</v>
      </c>
      <c r="F1370" s="8"/>
      <c r="G1370" s="8"/>
      <c r="H1370" s="8"/>
      <c r="I1370" s="8" t="s">
        <v>583</v>
      </c>
      <c r="J1370" s="8" t="s">
        <v>22</v>
      </c>
      <c r="K1370" s="8" t="s">
        <v>29</v>
      </c>
      <c r="L1370" s="8" t="s">
        <v>24</v>
      </c>
      <c r="M1370" s="9">
        <v>-7.5</v>
      </c>
      <c r="N1370" s="9">
        <v>0.3</v>
      </c>
      <c r="O1370" s="9">
        <v>0.3</v>
      </c>
      <c r="P1370" s="10">
        <v>45248.0</v>
      </c>
      <c r="Q1370" s="11">
        <v>1.7</v>
      </c>
      <c r="R1370" s="8" t="s">
        <v>33</v>
      </c>
      <c r="S1370" s="12">
        <f t="shared" si="1"/>
        <v>0.21</v>
      </c>
      <c r="T1370" s="12">
        <f t="shared" si="8"/>
        <v>45.0229783</v>
      </c>
      <c r="U1370" s="145"/>
    </row>
    <row r="1371">
      <c r="A1371" s="29"/>
      <c r="B1371" s="29"/>
      <c r="C1371" s="15" t="s">
        <v>19</v>
      </c>
      <c r="D1371" s="15">
        <v>71.0</v>
      </c>
      <c r="E1371" s="15" t="s">
        <v>3834</v>
      </c>
      <c r="F1371" s="15" t="s">
        <v>1473</v>
      </c>
      <c r="G1371" s="15" t="s">
        <v>2556</v>
      </c>
      <c r="H1371" s="15">
        <v>0.0</v>
      </c>
      <c r="I1371" s="15" t="s">
        <v>3835</v>
      </c>
      <c r="J1371" s="15" t="s">
        <v>22</v>
      </c>
      <c r="K1371" s="15" t="s">
        <v>225</v>
      </c>
      <c r="L1371" s="15" t="s">
        <v>24</v>
      </c>
      <c r="M1371" s="16">
        <v>0.5</v>
      </c>
      <c r="N1371" s="16">
        <v>0.2</v>
      </c>
      <c r="O1371" s="16">
        <v>0.2</v>
      </c>
      <c r="P1371" s="17">
        <v>45248.0</v>
      </c>
      <c r="Q1371" s="18">
        <v>1.9</v>
      </c>
      <c r="R1371" s="15" t="s">
        <v>25</v>
      </c>
      <c r="S1371" s="19">
        <f t="shared" si="1"/>
        <v>-0.2</v>
      </c>
      <c r="T1371" s="19">
        <f t="shared" si="8"/>
        <v>44.8229783</v>
      </c>
      <c r="U1371" s="144"/>
    </row>
    <row r="1372">
      <c r="A1372" s="107"/>
      <c r="B1372" s="107"/>
      <c r="C1372" s="8" t="s">
        <v>19</v>
      </c>
      <c r="D1372" s="8">
        <v>26.0</v>
      </c>
      <c r="E1372" s="8" t="s">
        <v>3836</v>
      </c>
      <c r="F1372" s="8" t="s">
        <v>1473</v>
      </c>
      <c r="G1372" s="8" t="s">
        <v>2660</v>
      </c>
      <c r="H1372" s="8">
        <v>0.0</v>
      </c>
      <c r="I1372" s="8" t="s">
        <v>93</v>
      </c>
      <c r="J1372" s="8" t="s">
        <v>22</v>
      </c>
      <c r="K1372" s="8" t="s">
        <v>892</v>
      </c>
      <c r="L1372" s="8" t="s">
        <v>39</v>
      </c>
      <c r="M1372" s="9">
        <v>0.0</v>
      </c>
      <c r="N1372" s="9">
        <v>0.5</v>
      </c>
      <c r="O1372" s="9">
        <v>0.5</v>
      </c>
      <c r="P1372" s="10">
        <v>45248.0</v>
      </c>
      <c r="Q1372" s="11">
        <v>1.825</v>
      </c>
      <c r="R1372" s="8" t="s">
        <v>70</v>
      </c>
      <c r="S1372" s="12">
        <f t="shared" si="1"/>
        <v>0</v>
      </c>
      <c r="T1372" s="12">
        <f t="shared" si="8"/>
        <v>44.8229783</v>
      </c>
      <c r="U1372" s="145"/>
    </row>
    <row r="1373">
      <c r="A1373" s="29"/>
      <c r="B1373" s="29"/>
      <c r="C1373" s="15" t="s">
        <v>40</v>
      </c>
      <c r="D1373" s="15">
        <v>23.0</v>
      </c>
      <c r="E1373" s="15" t="s">
        <v>3837</v>
      </c>
      <c r="F1373" s="15" t="s">
        <v>1473</v>
      </c>
      <c r="G1373" s="15" t="s">
        <v>2556</v>
      </c>
      <c r="H1373" s="15">
        <v>0.0</v>
      </c>
      <c r="I1373" s="15" t="s">
        <v>66</v>
      </c>
      <c r="J1373" s="15" t="s">
        <v>22</v>
      </c>
      <c r="K1373" s="15" t="s">
        <v>225</v>
      </c>
      <c r="L1373" s="15" t="s">
        <v>24</v>
      </c>
      <c r="M1373" s="16">
        <v>1.0</v>
      </c>
      <c r="N1373" s="16">
        <v>0.2</v>
      </c>
      <c r="O1373" s="16">
        <v>0.2</v>
      </c>
      <c r="P1373" s="17">
        <v>45248.0</v>
      </c>
      <c r="Q1373" s="18">
        <v>1.925</v>
      </c>
      <c r="R1373" s="15" t="s">
        <v>33</v>
      </c>
      <c r="S1373" s="19">
        <f t="shared" si="1"/>
        <v>0.185</v>
      </c>
      <c r="T1373" s="19">
        <f t="shared" si="8"/>
        <v>45.0079783</v>
      </c>
      <c r="U1373" s="144"/>
    </row>
    <row r="1374">
      <c r="A1374" s="107"/>
      <c r="B1374" s="107"/>
      <c r="C1374" s="8" t="s">
        <v>19</v>
      </c>
      <c r="D1374" s="8">
        <v>29.0</v>
      </c>
      <c r="E1374" s="8" t="s">
        <v>3838</v>
      </c>
      <c r="F1374" s="8" t="s">
        <v>1479</v>
      </c>
      <c r="G1374" s="8" t="s">
        <v>2556</v>
      </c>
      <c r="H1374" s="8">
        <f>1</f>
        <v>1</v>
      </c>
      <c r="I1374" s="8" t="s">
        <v>1501</v>
      </c>
      <c r="J1374" s="8" t="s">
        <v>22</v>
      </c>
      <c r="K1374" s="8" t="s">
        <v>225</v>
      </c>
      <c r="L1374" s="8" t="s">
        <v>39</v>
      </c>
      <c r="M1374" s="9">
        <v>0.25</v>
      </c>
      <c r="N1374" s="9">
        <v>0.5</v>
      </c>
      <c r="O1374" s="9">
        <f>0.517*0.5</f>
        <v>0.2585</v>
      </c>
      <c r="P1374" s="10">
        <v>45248.0</v>
      </c>
      <c r="Q1374" s="11">
        <v>1.95</v>
      </c>
      <c r="R1374" s="8" t="s">
        <v>70</v>
      </c>
      <c r="S1374" s="12">
        <f t="shared" si="1"/>
        <v>0</v>
      </c>
      <c r="T1374" s="12">
        <f t="shared" si="8"/>
        <v>45.0079783</v>
      </c>
      <c r="U1374" s="145"/>
    </row>
    <row r="1375">
      <c r="A1375" s="29"/>
      <c r="B1375" s="29"/>
      <c r="C1375" s="15" t="s">
        <v>19</v>
      </c>
      <c r="D1375" s="15">
        <v>64.0</v>
      </c>
      <c r="E1375" s="15" t="s">
        <v>3839</v>
      </c>
      <c r="F1375" s="15" t="s">
        <v>1473</v>
      </c>
      <c r="G1375" s="15" t="s">
        <v>2660</v>
      </c>
      <c r="H1375" s="15">
        <v>0.0</v>
      </c>
      <c r="I1375" s="15" t="s">
        <v>448</v>
      </c>
      <c r="J1375" s="15" t="s">
        <v>22</v>
      </c>
      <c r="K1375" s="15" t="s">
        <v>892</v>
      </c>
      <c r="L1375" s="15" t="s">
        <v>39</v>
      </c>
      <c r="M1375" s="16">
        <v>0.0</v>
      </c>
      <c r="N1375" s="16">
        <v>0.6</v>
      </c>
      <c r="O1375" s="16">
        <v>0.6</v>
      </c>
      <c r="P1375" s="17">
        <v>45248.0</v>
      </c>
      <c r="Q1375" s="18">
        <v>1.7</v>
      </c>
      <c r="R1375" s="15" t="s">
        <v>70</v>
      </c>
      <c r="S1375" s="19">
        <f t="shared" si="1"/>
        <v>0</v>
      </c>
      <c r="T1375" s="19">
        <f t="shared" si="8"/>
        <v>45.0079783</v>
      </c>
      <c r="U1375" s="144"/>
    </row>
    <row r="1376">
      <c r="A1376" s="107"/>
      <c r="B1376" s="107"/>
      <c r="C1376" s="8" t="s">
        <v>40</v>
      </c>
      <c r="D1376" s="8">
        <v>55.0</v>
      </c>
      <c r="E1376" s="8" t="s">
        <v>3840</v>
      </c>
      <c r="F1376" s="8" t="s">
        <v>1473</v>
      </c>
      <c r="G1376" s="8" t="s">
        <v>2556</v>
      </c>
      <c r="H1376" s="8">
        <v>-2.0</v>
      </c>
      <c r="I1376" s="8" t="s">
        <v>229</v>
      </c>
      <c r="J1376" s="8" t="s">
        <v>22</v>
      </c>
      <c r="K1376" s="8" t="s">
        <v>225</v>
      </c>
      <c r="L1376" s="8" t="s">
        <v>24</v>
      </c>
      <c r="M1376" s="9">
        <v>0.25</v>
      </c>
      <c r="N1376" s="9">
        <v>0.2</v>
      </c>
      <c r="O1376" s="9">
        <v>0.2</v>
      </c>
      <c r="P1376" s="10">
        <v>45248.0</v>
      </c>
      <c r="Q1376" s="11">
        <v>1.825</v>
      </c>
      <c r="R1376" s="8" t="s">
        <v>30</v>
      </c>
      <c r="S1376" s="12">
        <f t="shared" si="1"/>
        <v>0.0825</v>
      </c>
      <c r="T1376" s="12">
        <f t="shared" si="8"/>
        <v>45.0904783</v>
      </c>
      <c r="U1376" s="145"/>
    </row>
    <row r="1377">
      <c r="A1377" s="29"/>
      <c r="B1377" s="29"/>
      <c r="C1377" s="15" t="s">
        <v>19</v>
      </c>
      <c r="D1377" s="15">
        <v>58.0</v>
      </c>
      <c r="E1377" s="15" t="s">
        <v>3841</v>
      </c>
      <c r="F1377" s="15" t="s">
        <v>1473</v>
      </c>
      <c r="G1377" s="15" t="s">
        <v>2660</v>
      </c>
      <c r="H1377" s="15">
        <v>-2.0</v>
      </c>
      <c r="I1377" s="15" t="s">
        <v>229</v>
      </c>
      <c r="J1377" s="15" t="s">
        <v>22</v>
      </c>
      <c r="K1377" s="15" t="s">
        <v>892</v>
      </c>
      <c r="L1377" s="15" t="s">
        <v>24</v>
      </c>
      <c r="M1377" s="16">
        <v>0.0</v>
      </c>
      <c r="N1377" s="16">
        <v>0.2</v>
      </c>
      <c r="O1377" s="16">
        <v>0.2</v>
      </c>
      <c r="P1377" s="17">
        <v>45248.0</v>
      </c>
      <c r="Q1377" s="18">
        <v>1.9</v>
      </c>
      <c r="R1377" s="15" t="s">
        <v>70</v>
      </c>
      <c r="S1377" s="19">
        <f t="shared" si="1"/>
        <v>0</v>
      </c>
      <c r="T1377" s="19">
        <f t="shared" si="8"/>
        <v>45.0904783</v>
      </c>
      <c r="U1377" s="144"/>
    </row>
    <row r="1378">
      <c r="A1378" s="107"/>
      <c r="B1378" s="107"/>
      <c r="C1378" s="8" t="s">
        <v>19</v>
      </c>
      <c r="D1378" s="8">
        <v>23.0</v>
      </c>
      <c r="E1378" s="8" t="s">
        <v>3842</v>
      </c>
      <c r="F1378" s="8" t="s">
        <v>1473</v>
      </c>
      <c r="G1378" s="8" t="s">
        <v>2660</v>
      </c>
      <c r="H1378" s="8">
        <v>0.0</v>
      </c>
      <c r="I1378" s="8" t="s">
        <v>432</v>
      </c>
      <c r="J1378" s="8" t="s">
        <v>22</v>
      </c>
      <c r="K1378" s="8" t="s">
        <v>1150</v>
      </c>
      <c r="L1378" s="8" t="s">
        <v>24</v>
      </c>
      <c r="M1378" s="9">
        <v>0.0</v>
      </c>
      <c r="N1378" s="9">
        <v>0.4</v>
      </c>
      <c r="O1378" s="9">
        <v>0.4</v>
      </c>
      <c r="P1378" s="10">
        <v>45248.0</v>
      </c>
      <c r="Q1378" s="11">
        <v>1.975</v>
      </c>
      <c r="R1378" s="8" t="s">
        <v>70</v>
      </c>
      <c r="S1378" s="12">
        <f t="shared" si="1"/>
        <v>0</v>
      </c>
      <c r="T1378" s="12">
        <f t="shared" si="8"/>
        <v>45.0904783</v>
      </c>
      <c r="U1378" s="145"/>
    </row>
    <row r="1379">
      <c r="A1379" s="29"/>
      <c r="B1379" s="29"/>
      <c r="C1379" s="15" t="s">
        <v>19</v>
      </c>
      <c r="D1379" s="15">
        <v>23.0</v>
      </c>
      <c r="E1379" s="15" t="s">
        <v>3843</v>
      </c>
      <c r="F1379" s="15" t="s">
        <v>1479</v>
      </c>
      <c r="G1379" s="15" t="s">
        <v>2660</v>
      </c>
      <c r="H1379" s="15">
        <f>1</f>
        <v>1</v>
      </c>
      <c r="I1379" s="15" t="s">
        <v>185</v>
      </c>
      <c r="J1379" s="15" t="s">
        <v>22</v>
      </c>
      <c r="K1379" s="15" t="s">
        <v>1150</v>
      </c>
      <c r="L1379" s="15" t="s">
        <v>39</v>
      </c>
      <c r="M1379" s="16">
        <v>0.0</v>
      </c>
      <c r="N1379" s="16">
        <v>0.2</v>
      </c>
      <c r="O1379" s="16">
        <v>0.21</v>
      </c>
      <c r="P1379" s="17">
        <v>45248.0</v>
      </c>
      <c r="Q1379" s="18">
        <v>2.1</v>
      </c>
      <c r="R1379" s="15" t="s">
        <v>33</v>
      </c>
      <c r="S1379" s="19">
        <f t="shared" si="1"/>
        <v>0.231</v>
      </c>
      <c r="T1379" s="19">
        <f t="shared" si="8"/>
        <v>45.3214783</v>
      </c>
      <c r="U1379" s="144"/>
    </row>
    <row r="1380">
      <c r="A1380" s="107"/>
      <c r="B1380" s="107"/>
      <c r="C1380" s="8" t="s">
        <v>40</v>
      </c>
      <c r="D1380" s="8">
        <v>14.0</v>
      </c>
      <c r="E1380" s="8" t="s">
        <v>3844</v>
      </c>
      <c r="F1380" s="8" t="s">
        <v>1473</v>
      </c>
      <c r="G1380" s="8" t="s">
        <v>2660</v>
      </c>
      <c r="H1380" s="8">
        <v>0.0</v>
      </c>
      <c r="I1380" s="8" t="s">
        <v>82</v>
      </c>
      <c r="J1380" s="8" t="s">
        <v>22</v>
      </c>
      <c r="K1380" s="8" t="s">
        <v>1150</v>
      </c>
      <c r="L1380" s="8" t="s">
        <v>39</v>
      </c>
      <c r="M1380" s="9">
        <v>0.0</v>
      </c>
      <c r="N1380" s="9">
        <v>0.6</v>
      </c>
      <c r="O1380" s="9">
        <v>0.55</v>
      </c>
      <c r="P1380" s="54">
        <v>45248.0</v>
      </c>
      <c r="Q1380" s="11">
        <v>1.775</v>
      </c>
      <c r="R1380" s="8" t="s">
        <v>33</v>
      </c>
      <c r="S1380" s="12">
        <f t="shared" si="1"/>
        <v>0.42625</v>
      </c>
      <c r="T1380" s="12">
        <f t="shared" si="8"/>
        <v>45.7477283</v>
      </c>
      <c r="U1380" s="145"/>
    </row>
    <row r="1381">
      <c r="A1381" s="29"/>
      <c r="B1381" s="29"/>
      <c r="C1381" s="15" t="s">
        <v>19</v>
      </c>
      <c r="D1381" s="15">
        <v>30.0</v>
      </c>
      <c r="E1381" s="15" t="s">
        <v>3844</v>
      </c>
      <c r="F1381" s="15" t="s">
        <v>1473</v>
      </c>
      <c r="G1381" s="15" t="s">
        <v>2660</v>
      </c>
      <c r="H1381" s="15">
        <f>1</f>
        <v>1</v>
      </c>
      <c r="I1381" s="15" t="s">
        <v>82</v>
      </c>
      <c r="J1381" s="15" t="s">
        <v>22</v>
      </c>
      <c r="K1381" s="15" t="s">
        <v>1150</v>
      </c>
      <c r="L1381" s="15" t="s">
        <v>39</v>
      </c>
      <c r="M1381" s="16">
        <v>0.0</v>
      </c>
      <c r="N1381" s="16">
        <v>0.2</v>
      </c>
      <c r="O1381" s="16">
        <f>0.31*0.2</f>
        <v>0.062</v>
      </c>
      <c r="P1381" s="17">
        <v>45248.0</v>
      </c>
      <c r="Q1381" s="18">
        <v>1.625</v>
      </c>
      <c r="R1381" s="15" t="s">
        <v>33</v>
      </c>
      <c r="S1381" s="19">
        <f t="shared" si="1"/>
        <v>0.03875</v>
      </c>
      <c r="T1381" s="19">
        <f t="shared" si="8"/>
        <v>45.7864783</v>
      </c>
      <c r="U1381" s="144"/>
    </row>
    <row r="1382">
      <c r="A1382" s="107"/>
      <c r="B1382" s="107"/>
      <c r="C1382" s="8" t="s">
        <v>19</v>
      </c>
      <c r="D1382" s="8">
        <v>68.0</v>
      </c>
      <c r="E1382" s="8" t="s">
        <v>3845</v>
      </c>
      <c r="F1382" s="8" t="s">
        <v>1479</v>
      </c>
      <c r="G1382" s="8" t="s">
        <v>2660</v>
      </c>
      <c r="H1382" s="8">
        <v>-1.0</v>
      </c>
      <c r="I1382" s="8" t="s">
        <v>583</v>
      </c>
      <c r="J1382" s="8" t="s">
        <v>22</v>
      </c>
      <c r="K1382" s="8" t="s">
        <v>892</v>
      </c>
      <c r="L1382" s="8" t="s">
        <v>24</v>
      </c>
      <c r="M1382" s="9">
        <v>0.0</v>
      </c>
      <c r="N1382" s="9">
        <v>0.4</v>
      </c>
      <c r="O1382" s="9">
        <v>0.4</v>
      </c>
      <c r="P1382" s="10">
        <v>45248.0</v>
      </c>
      <c r="Q1382" s="11">
        <v>1.775</v>
      </c>
      <c r="R1382" s="8" t="s">
        <v>33</v>
      </c>
      <c r="S1382" s="12">
        <f t="shared" si="1"/>
        <v>0.31</v>
      </c>
      <c r="T1382" s="12">
        <f t="shared" si="8"/>
        <v>46.0964783</v>
      </c>
      <c r="U1382" s="145"/>
    </row>
    <row r="1383">
      <c r="A1383" s="29"/>
      <c r="B1383" s="29"/>
      <c r="C1383" s="15" t="s">
        <v>19</v>
      </c>
      <c r="D1383" s="15">
        <v>88.0</v>
      </c>
      <c r="E1383" s="15" t="s">
        <v>3846</v>
      </c>
      <c r="F1383" s="15"/>
      <c r="G1383" s="15"/>
      <c r="H1383" s="15"/>
      <c r="I1383" s="15" t="s">
        <v>82</v>
      </c>
      <c r="J1383" s="15" t="s">
        <v>22</v>
      </c>
      <c r="K1383" s="15" t="s">
        <v>2939</v>
      </c>
      <c r="L1383" s="15" t="s">
        <v>24</v>
      </c>
      <c r="M1383" s="16">
        <v>-11.5</v>
      </c>
      <c r="N1383" s="16">
        <v>0.3</v>
      </c>
      <c r="O1383" s="16">
        <v>0.3</v>
      </c>
      <c r="P1383" s="17">
        <v>45248.0</v>
      </c>
      <c r="Q1383" s="18">
        <v>1.33</v>
      </c>
      <c r="R1383" s="15" t="s">
        <v>70</v>
      </c>
      <c r="S1383" s="19">
        <f t="shared" si="1"/>
        <v>0</v>
      </c>
      <c r="T1383" s="19">
        <f t="shared" si="8"/>
        <v>46.0964783</v>
      </c>
      <c r="U1383" s="144"/>
    </row>
    <row r="1384">
      <c r="A1384" s="107"/>
      <c r="B1384" s="107"/>
      <c r="C1384" s="8" t="s">
        <v>19</v>
      </c>
      <c r="D1384" s="8">
        <v>60.0</v>
      </c>
      <c r="E1384" s="8" t="s">
        <v>3847</v>
      </c>
      <c r="F1384" s="8" t="s">
        <v>1473</v>
      </c>
      <c r="G1384" s="8" t="s">
        <v>2660</v>
      </c>
      <c r="H1384" s="8">
        <v>0.0</v>
      </c>
      <c r="I1384" s="8" t="s">
        <v>1194</v>
      </c>
      <c r="J1384" s="8" t="s">
        <v>22</v>
      </c>
      <c r="K1384" s="8" t="s">
        <v>892</v>
      </c>
      <c r="L1384" s="8" t="s">
        <v>24</v>
      </c>
      <c r="M1384" s="9">
        <v>0.0</v>
      </c>
      <c r="N1384" s="9">
        <v>0.4</v>
      </c>
      <c r="O1384" s="9">
        <f>0.2+0.2*14/29</f>
        <v>0.2965517241</v>
      </c>
      <c r="P1384" s="10">
        <v>45248.0</v>
      </c>
      <c r="Q1384" s="11">
        <f>1.17</f>
        <v>1.17</v>
      </c>
      <c r="R1384" s="8" t="s">
        <v>33</v>
      </c>
      <c r="S1384" s="12">
        <f t="shared" si="1"/>
        <v>0.0504137931</v>
      </c>
      <c r="T1384" s="12">
        <f t="shared" si="8"/>
        <v>46.14689209</v>
      </c>
      <c r="U1384" s="145"/>
    </row>
    <row r="1385">
      <c r="A1385" s="29"/>
      <c r="B1385" s="29"/>
      <c r="C1385" s="15" t="s">
        <v>19</v>
      </c>
      <c r="D1385" s="15">
        <v>47.0</v>
      </c>
      <c r="E1385" s="15" t="s">
        <v>3848</v>
      </c>
      <c r="F1385" s="15" t="s">
        <v>1473</v>
      </c>
      <c r="G1385" s="15" t="s">
        <v>2556</v>
      </c>
      <c r="H1385" s="15">
        <v>-1.0</v>
      </c>
      <c r="I1385" s="15" t="s">
        <v>178</v>
      </c>
      <c r="J1385" s="15" t="s">
        <v>22</v>
      </c>
      <c r="K1385" s="15" t="s">
        <v>225</v>
      </c>
      <c r="L1385" s="15" t="s">
        <v>1522</v>
      </c>
      <c r="M1385" s="16">
        <v>0.5</v>
      </c>
      <c r="N1385" s="16">
        <v>0.5</v>
      </c>
      <c r="O1385" s="16">
        <v>0.41</v>
      </c>
      <c r="P1385" s="17">
        <v>45248.0</v>
      </c>
      <c r="Q1385" s="18">
        <v>1.75</v>
      </c>
      <c r="R1385" s="15" t="s">
        <v>33</v>
      </c>
      <c r="S1385" s="19">
        <f t="shared" si="1"/>
        <v>0.3075</v>
      </c>
      <c r="T1385" s="19">
        <f t="shared" si="8"/>
        <v>46.45439209</v>
      </c>
      <c r="U1385" s="144"/>
    </row>
    <row r="1386">
      <c r="A1386" s="107"/>
      <c r="B1386" s="107"/>
      <c r="C1386" s="8" t="s">
        <v>40</v>
      </c>
      <c r="D1386" s="8">
        <v>64.0</v>
      </c>
      <c r="E1386" s="8" t="s">
        <v>3849</v>
      </c>
      <c r="F1386" s="8" t="s">
        <v>1473</v>
      </c>
      <c r="G1386" s="8" t="s">
        <v>2556</v>
      </c>
      <c r="H1386" s="8">
        <v>-1.0</v>
      </c>
      <c r="I1386" s="8" t="s">
        <v>66</v>
      </c>
      <c r="J1386" s="8" t="s">
        <v>22</v>
      </c>
      <c r="K1386" s="8" t="s">
        <v>1165</v>
      </c>
      <c r="L1386" s="8" t="s">
        <v>24</v>
      </c>
      <c r="M1386" s="9"/>
      <c r="N1386" s="9">
        <v>0.1</v>
      </c>
      <c r="O1386" s="9">
        <v>0.1</v>
      </c>
      <c r="P1386" s="10">
        <v>45248.0</v>
      </c>
      <c r="Q1386" s="11">
        <v>1.3334</v>
      </c>
      <c r="R1386" s="8" t="s">
        <v>33</v>
      </c>
      <c r="S1386" s="12">
        <f t="shared" si="1"/>
        <v>0.03334</v>
      </c>
      <c r="T1386" s="12">
        <f t="shared" si="8"/>
        <v>46.48773209</v>
      </c>
      <c r="U1386" s="145"/>
    </row>
    <row r="1387">
      <c r="A1387" s="29"/>
      <c r="B1387" s="29"/>
      <c r="C1387" s="15" t="s">
        <v>19</v>
      </c>
      <c r="D1387" s="15">
        <v>45.0</v>
      </c>
      <c r="E1387" s="15" t="s">
        <v>3850</v>
      </c>
      <c r="F1387" s="15" t="s">
        <v>1473</v>
      </c>
      <c r="G1387" s="15" t="s">
        <v>2556</v>
      </c>
      <c r="H1387" s="15">
        <v>0.0</v>
      </c>
      <c r="I1387" s="15" t="s">
        <v>714</v>
      </c>
      <c r="J1387" s="15" t="s">
        <v>22</v>
      </c>
      <c r="K1387" s="15" t="s">
        <v>225</v>
      </c>
      <c r="L1387" s="15" t="s">
        <v>24</v>
      </c>
      <c r="M1387" s="16">
        <v>0.5</v>
      </c>
      <c r="N1387" s="16">
        <v>0.5</v>
      </c>
      <c r="O1387" s="16">
        <v>0.5</v>
      </c>
      <c r="P1387" s="17">
        <v>45248.0</v>
      </c>
      <c r="Q1387" s="18">
        <v>1.825</v>
      </c>
      <c r="R1387" s="15" t="s">
        <v>70</v>
      </c>
      <c r="S1387" s="19">
        <f t="shared" si="1"/>
        <v>0</v>
      </c>
      <c r="T1387" s="19">
        <f t="shared" si="8"/>
        <v>46.48773209</v>
      </c>
      <c r="U1387" s="144"/>
    </row>
    <row r="1388">
      <c r="A1388" s="107"/>
      <c r="B1388" s="107"/>
      <c r="C1388" s="8" t="s">
        <v>19</v>
      </c>
      <c r="D1388" s="8">
        <v>82.0</v>
      </c>
      <c r="E1388" s="8" t="s">
        <v>3851</v>
      </c>
      <c r="F1388" s="8" t="s">
        <v>1479</v>
      </c>
      <c r="G1388" s="8" t="s">
        <v>2660</v>
      </c>
      <c r="H1388" s="8">
        <v>-3.0</v>
      </c>
      <c r="I1388" s="8" t="s">
        <v>169</v>
      </c>
      <c r="J1388" s="8" t="s">
        <v>22</v>
      </c>
      <c r="K1388" s="8" t="s">
        <v>892</v>
      </c>
      <c r="L1388" s="8" t="s">
        <v>1522</v>
      </c>
      <c r="M1388" s="9">
        <v>0.0</v>
      </c>
      <c r="N1388" s="9">
        <v>0.75</v>
      </c>
      <c r="O1388" s="9">
        <v>0.75</v>
      </c>
      <c r="P1388" s="10">
        <v>45248.0</v>
      </c>
      <c r="Q1388" s="11">
        <v>1.75</v>
      </c>
      <c r="R1388" s="8" t="s">
        <v>70</v>
      </c>
      <c r="S1388" s="12">
        <f t="shared" si="1"/>
        <v>0</v>
      </c>
      <c r="T1388" s="12">
        <f t="shared" si="8"/>
        <v>46.48773209</v>
      </c>
      <c r="U1388" s="145"/>
    </row>
    <row r="1389">
      <c r="A1389" s="29"/>
      <c r="B1389" s="29"/>
      <c r="C1389" s="15" t="s">
        <v>19</v>
      </c>
      <c r="D1389" s="15">
        <v>46.0</v>
      </c>
      <c r="E1389" s="15" t="s">
        <v>3852</v>
      </c>
      <c r="F1389" s="15" t="s">
        <v>1473</v>
      </c>
      <c r="G1389" s="15" t="s">
        <v>2556</v>
      </c>
      <c r="H1389" s="15">
        <v>-1.0</v>
      </c>
      <c r="I1389" s="15" t="s">
        <v>68</v>
      </c>
      <c r="J1389" s="15" t="s">
        <v>22</v>
      </c>
      <c r="K1389" s="15" t="s">
        <v>225</v>
      </c>
      <c r="L1389" s="15" t="s">
        <v>24</v>
      </c>
      <c r="M1389" s="16">
        <v>0.25</v>
      </c>
      <c r="N1389" s="16">
        <v>0.25</v>
      </c>
      <c r="O1389" s="16">
        <v>0.25</v>
      </c>
      <c r="P1389" s="17">
        <v>45248.0</v>
      </c>
      <c r="Q1389" s="18">
        <v>1.04</v>
      </c>
      <c r="R1389" s="15" t="s">
        <v>33</v>
      </c>
      <c r="S1389" s="19">
        <f t="shared" si="1"/>
        <v>0.01</v>
      </c>
      <c r="T1389" s="19">
        <f t="shared" si="8"/>
        <v>46.49773209</v>
      </c>
      <c r="U1389" s="144"/>
    </row>
    <row r="1390">
      <c r="A1390" s="107"/>
      <c r="B1390" s="107"/>
      <c r="C1390" s="8" t="s">
        <v>19</v>
      </c>
      <c r="D1390" s="8">
        <v>27.0</v>
      </c>
      <c r="E1390" s="8" t="s">
        <v>3853</v>
      </c>
      <c r="F1390" s="8" t="s">
        <v>1479</v>
      </c>
      <c r="G1390" s="8" t="s">
        <v>2556</v>
      </c>
      <c r="H1390" s="8">
        <v>0.0</v>
      </c>
      <c r="I1390" s="8" t="s">
        <v>432</v>
      </c>
      <c r="J1390" s="8" t="s">
        <v>22</v>
      </c>
      <c r="K1390" s="8" t="s">
        <v>225</v>
      </c>
      <c r="L1390" s="8" t="s">
        <v>24</v>
      </c>
      <c r="M1390" s="9">
        <v>0.5</v>
      </c>
      <c r="N1390" s="9">
        <v>0.5</v>
      </c>
      <c r="O1390" s="9">
        <v>0.5</v>
      </c>
      <c r="P1390" s="10">
        <v>45248.0</v>
      </c>
      <c r="Q1390" s="11">
        <v>1.9</v>
      </c>
      <c r="R1390" s="8" t="s">
        <v>70</v>
      </c>
      <c r="S1390" s="12">
        <f t="shared" si="1"/>
        <v>0</v>
      </c>
      <c r="T1390" s="12">
        <f t="shared" si="8"/>
        <v>46.49773209</v>
      </c>
      <c r="U1390" s="145"/>
    </row>
    <row r="1391">
      <c r="A1391" s="29"/>
      <c r="B1391" s="29"/>
      <c r="C1391" s="15" t="s">
        <v>19</v>
      </c>
      <c r="D1391" s="15">
        <v>85.0</v>
      </c>
      <c r="E1391" s="15" t="s">
        <v>3854</v>
      </c>
      <c r="F1391" s="15"/>
      <c r="G1391" s="15"/>
      <c r="H1391" s="15"/>
      <c r="I1391" s="15" t="s">
        <v>44</v>
      </c>
      <c r="J1391" s="15" t="s">
        <v>22</v>
      </c>
      <c r="K1391" s="15" t="s">
        <v>2939</v>
      </c>
      <c r="L1391" s="15" t="s">
        <v>24</v>
      </c>
      <c r="M1391" s="16">
        <v>-10.5</v>
      </c>
      <c r="N1391" s="16">
        <v>0.1</v>
      </c>
      <c r="O1391" s="16">
        <v>0.1</v>
      </c>
      <c r="P1391" s="17">
        <v>45248.0</v>
      </c>
      <c r="Q1391" s="18">
        <v>1.375</v>
      </c>
      <c r="R1391" s="15" t="s">
        <v>33</v>
      </c>
      <c r="S1391" s="19">
        <f t="shared" si="1"/>
        <v>0.0375</v>
      </c>
      <c r="T1391" s="19">
        <f t="shared" si="8"/>
        <v>46.53523209</v>
      </c>
      <c r="U1391" s="144"/>
    </row>
    <row r="1392">
      <c r="A1392" s="107"/>
      <c r="B1392" s="107"/>
      <c r="C1392" s="8" t="s">
        <v>19</v>
      </c>
      <c r="D1392" s="8">
        <v>86.0</v>
      </c>
      <c r="E1392" s="8" t="s">
        <v>3855</v>
      </c>
      <c r="F1392" s="8"/>
      <c r="G1392" s="8"/>
      <c r="H1392" s="8"/>
      <c r="I1392" s="8" t="s">
        <v>432</v>
      </c>
      <c r="J1392" s="8" t="s">
        <v>22</v>
      </c>
      <c r="K1392" s="8" t="s">
        <v>23</v>
      </c>
      <c r="L1392" s="8" t="s">
        <v>39</v>
      </c>
      <c r="M1392" s="9">
        <v>-12.5</v>
      </c>
      <c r="N1392" s="9">
        <v>0.3</v>
      </c>
      <c r="O1392" s="9">
        <f>0.862*0.3</f>
        <v>0.2586</v>
      </c>
      <c r="P1392" s="10">
        <v>45248.0</v>
      </c>
      <c r="Q1392" s="11">
        <f>180/150</f>
        <v>1.2</v>
      </c>
      <c r="R1392" s="8" t="s">
        <v>33</v>
      </c>
      <c r="S1392" s="12">
        <f t="shared" si="1"/>
        <v>0.05172</v>
      </c>
      <c r="T1392" s="12">
        <f t="shared" si="8"/>
        <v>46.58695209</v>
      </c>
      <c r="U1392" s="145"/>
    </row>
    <row r="1393">
      <c r="A1393" s="29"/>
      <c r="B1393" s="29"/>
      <c r="C1393" s="15" t="s">
        <v>19</v>
      </c>
      <c r="D1393" s="15">
        <v>62.0</v>
      </c>
      <c r="E1393" s="15" t="s">
        <v>3856</v>
      </c>
      <c r="F1393" s="15" t="s">
        <v>1473</v>
      </c>
      <c r="G1393" s="15" t="s">
        <v>2660</v>
      </c>
      <c r="H1393" s="15">
        <v>0.0</v>
      </c>
      <c r="I1393" s="15" t="s">
        <v>50</v>
      </c>
      <c r="J1393" s="15" t="s">
        <v>22</v>
      </c>
      <c r="K1393" s="15" t="s">
        <v>892</v>
      </c>
      <c r="L1393" s="15" t="s">
        <v>24</v>
      </c>
      <c r="M1393" s="16">
        <v>0.0</v>
      </c>
      <c r="N1393" s="16">
        <v>0.5</v>
      </c>
      <c r="O1393" s="16">
        <v>0.15</v>
      </c>
      <c r="P1393" s="17">
        <v>45248.0</v>
      </c>
      <c r="Q1393" s="18">
        <v>2.375</v>
      </c>
      <c r="R1393" s="15" t="s">
        <v>25</v>
      </c>
      <c r="S1393" s="19">
        <f t="shared" si="1"/>
        <v>-0.15</v>
      </c>
      <c r="T1393" s="19">
        <f t="shared" si="8"/>
        <v>46.43695209</v>
      </c>
      <c r="U1393" s="144"/>
    </row>
    <row r="1394">
      <c r="A1394" s="107"/>
      <c r="B1394" s="107"/>
      <c r="C1394" s="8" t="s">
        <v>19</v>
      </c>
      <c r="D1394" s="8">
        <f t="shared" ref="D1394:D1395" si="43">45+20</f>
        <v>65</v>
      </c>
      <c r="E1394" s="8" t="s">
        <v>3857</v>
      </c>
      <c r="F1394" s="8" t="s">
        <v>1473</v>
      </c>
      <c r="G1394" s="8" t="s">
        <v>2556</v>
      </c>
      <c r="H1394" s="8">
        <f t="shared" ref="H1394:H1395" si="44">1</f>
        <v>1</v>
      </c>
      <c r="I1394" s="8" t="s">
        <v>229</v>
      </c>
      <c r="J1394" s="8" t="s">
        <v>22</v>
      </c>
      <c r="K1394" s="8" t="s">
        <v>225</v>
      </c>
      <c r="L1394" s="8" t="s">
        <v>24</v>
      </c>
      <c r="M1394" s="9">
        <v>0.5</v>
      </c>
      <c r="N1394" s="9">
        <v>0.5</v>
      </c>
      <c r="O1394" s="9">
        <v>0.5</v>
      </c>
      <c r="P1394" s="10">
        <v>45249.0</v>
      </c>
      <c r="Q1394" s="11">
        <v>1.775</v>
      </c>
      <c r="R1394" s="8" t="s">
        <v>25</v>
      </c>
      <c r="S1394" s="12">
        <f t="shared" si="1"/>
        <v>-0.5</v>
      </c>
      <c r="T1394" s="12">
        <f t="shared" si="8"/>
        <v>45.93695209</v>
      </c>
      <c r="U1394" s="145"/>
    </row>
    <row r="1395">
      <c r="A1395" s="29"/>
      <c r="B1395" s="29"/>
      <c r="C1395" s="15" t="s">
        <v>40</v>
      </c>
      <c r="D1395" s="15">
        <f t="shared" si="43"/>
        <v>65</v>
      </c>
      <c r="E1395" s="15" t="s">
        <v>3858</v>
      </c>
      <c r="F1395" s="15" t="s">
        <v>1473</v>
      </c>
      <c r="G1395" s="15" t="s">
        <v>2556</v>
      </c>
      <c r="H1395" s="15">
        <f t="shared" si="44"/>
        <v>1</v>
      </c>
      <c r="I1395" s="15" t="s">
        <v>229</v>
      </c>
      <c r="J1395" s="15" t="s">
        <v>22</v>
      </c>
      <c r="K1395" s="15" t="s">
        <v>1165</v>
      </c>
      <c r="L1395" s="15" t="s">
        <v>24</v>
      </c>
      <c r="M1395" s="16"/>
      <c r="N1395" s="16">
        <v>0.1</v>
      </c>
      <c r="O1395" s="16">
        <v>0.1</v>
      </c>
      <c r="P1395" s="55">
        <v>45249.0</v>
      </c>
      <c r="Q1395" s="18">
        <v>4.0</v>
      </c>
      <c r="R1395" s="15" t="s">
        <v>25</v>
      </c>
      <c r="S1395" s="19">
        <f t="shared" si="1"/>
        <v>-0.1</v>
      </c>
      <c r="T1395" s="19">
        <f t="shared" si="8"/>
        <v>45.83695209</v>
      </c>
      <c r="U1395" s="144"/>
    </row>
    <row r="1396">
      <c r="A1396" s="107"/>
      <c r="B1396" s="107"/>
      <c r="C1396" s="8" t="s">
        <v>40</v>
      </c>
      <c r="D1396" s="8">
        <v>87.0</v>
      </c>
      <c r="E1396" s="8" t="s">
        <v>3859</v>
      </c>
      <c r="F1396" s="8"/>
      <c r="G1396" s="8"/>
      <c r="H1396" s="8"/>
      <c r="I1396" s="8" t="s">
        <v>273</v>
      </c>
      <c r="J1396" s="8" t="s">
        <v>22</v>
      </c>
      <c r="K1396" s="8" t="s">
        <v>29</v>
      </c>
      <c r="L1396" s="8" t="s">
        <v>24</v>
      </c>
      <c r="M1396" s="9">
        <v>-7.5</v>
      </c>
      <c r="N1396" s="9">
        <v>0.3</v>
      </c>
      <c r="O1396" s="9">
        <v>0.3</v>
      </c>
      <c r="P1396" s="10">
        <v>45249.0</v>
      </c>
      <c r="Q1396" s="11">
        <f>183/150</f>
        <v>1.22</v>
      </c>
      <c r="R1396" s="8" t="s">
        <v>33</v>
      </c>
      <c r="S1396" s="12">
        <f t="shared" si="1"/>
        <v>0.066</v>
      </c>
      <c r="T1396" s="12">
        <f t="shared" si="8"/>
        <v>45.90295209</v>
      </c>
      <c r="U1396" s="145"/>
    </row>
    <row r="1397">
      <c r="A1397" s="29"/>
      <c r="B1397" s="29"/>
      <c r="C1397" s="15" t="s">
        <v>19</v>
      </c>
      <c r="D1397" s="15">
        <v>66.0</v>
      </c>
      <c r="E1397" s="15" t="s">
        <v>3860</v>
      </c>
      <c r="F1397" s="15"/>
      <c r="G1397" s="15"/>
      <c r="H1397" s="15"/>
      <c r="I1397" s="15" t="s">
        <v>88</v>
      </c>
      <c r="J1397" s="15" t="s">
        <v>22</v>
      </c>
      <c r="K1397" s="15" t="s">
        <v>440</v>
      </c>
      <c r="L1397" s="15" t="s">
        <v>24</v>
      </c>
      <c r="M1397" s="16">
        <v>0.5</v>
      </c>
      <c r="N1397" s="16">
        <v>0.25</v>
      </c>
      <c r="O1397" s="16">
        <v>0.25</v>
      </c>
      <c r="P1397" s="17">
        <v>45249.0</v>
      </c>
      <c r="Q1397" s="18">
        <v>1.8</v>
      </c>
      <c r="R1397" s="15" t="s">
        <v>25</v>
      </c>
      <c r="S1397" s="19">
        <f t="shared" si="1"/>
        <v>-0.25</v>
      </c>
      <c r="T1397" s="19">
        <f t="shared" si="8"/>
        <v>45.65295209</v>
      </c>
      <c r="U1397" s="144"/>
    </row>
    <row r="1398">
      <c r="A1398" s="107"/>
      <c r="B1398" s="107"/>
      <c r="C1398" s="8" t="s">
        <v>19</v>
      </c>
      <c r="D1398" s="8">
        <v>71.0</v>
      </c>
      <c r="E1398" s="8" t="s">
        <v>3861</v>
      </c>
      <c r="F1398" s="8" t="s">
        <v>1473</v>
      </c>
      <c r="G1398" s="8" t="s">
        <v>2660</v>
      </c>
      <c r="H1398" s="8">
        <v>2</v>
      </c>
      <c r="I1398" s="8" t="s">
        <v>93</v>
      </c>
      <c r="J1398" s="8" t="s">
        <v>22</v>
      </c>
      <c r="K1398" s="8" t="s">
        <v>892</v>
      </c>
      <c r="L1398" s="8" t="s">
        <v>24</v>
      </c>
      <c r="M1398" s="9">
        <v>0.0</v>
      </c>
      <c r="N1398" s="9">
        <v>1.0</v>
      </c>
      <c r="O1398" s="9">
        <v>1.0</v>
      </c>
      <c r="P1398" s="10">
        <v>45249.0</v>
      </c>
      <c r="Q1398" s="11">
        <v>1.725</v>
      </c>
      <c r="R1398" s="8" t="s">
        <v>33</v>
      </c>
      <c r="S1398" s="12">
        <f t="shared" si="1"/>
        <v>0.725</v>
      </c>
      <c r="T1398" s="12">
        <f t="shared" si="8"/>
        <v>46.37795209</v>
      </c>
      <c r="U1398" s="145"/>
    </row>
    <row r="1399">
      <c r="A1399" s="29"/>
      <c r="B1399" s="29"/>
      <c r="C1399" s="15" t="s">
        <v>40</v>
      </c>
      <c r="D1399" s="15">
        <v>84.0</v>
      </c>
      <c r="E1399" s="15" t="s">
        <v>3862</v>
      </c>
      <c r="F1399" s="15" t="s">
        <v>1479</v>
      </c>
      <c r="G1399" s="15" t="s">
        <v>2660</v>
      </c>
      <c r="H1399" s="15">
        <v>0.0</v>
      </c>
      <c r="I1399" s="15" t="s">
        <v>1025</v>
      </c>
      <c r="J1399" s="15" t="s">
        <v>22</v>
      </c>
      <c r="K1399" s="15" t="s">
        <v>892</v>
      </c>
      <c r="L1399" s="15" t="s">
        <v>24</v>
      </c>
      <c r="M1399" s="16">
        <v>0.0</v>
      </c>
      <c r="N1399" s="16">
        <v>0.5</v>
      </c>
      <c r="O1399" s="16">
        <v>0.5</v>
      </c>
      <c r="P1399" s="17">
        <v>45249.0</v>
      </c>
      <c r="Q1399" s="18">
        <v>1.7</v>
      </c>
      <c r="R1399" s="15" t="s">
        <v>70</v>
      </c>
      <c r="S1399" s="19">
        <f t="shared" si="1"/>
        <v>0</v>
      </c>
      <c r="T1399" s="19">
        <f t="shared" si="8"/>
        <v>46.37795209</v>
      </c>
      <c r="U1399" s="144"/>
    </row>
    <row r="1400">
      <c r="A1400" s="107"/>
      <c r="B1400" s="107"/>
      <c r="C1400" s="8" t="s">
        <v>19</v>
      </c>
      <c r="D1400" s="8">
        <v>45.0</v>
      </c>
      <c r="E1400" s="8" t="s">
        <v>3863</v>
      </c>
      <c r="F1400" s="8" t="s">
        <v>1473</v>
      </c>
      <c r="G1400" s="8" t="s">
        <v>2556</v>
      </c>
      <c r="H1400" s="8">
        <v>-2.0</v>
      </c>
      <c r="I1400" s="8" t="s">
        <v>229</v>
      </c>
      <c r="J1400" s="8" t="s">
        <v>22</v>
      </c>
      <c r="K1400" s="8" t="s">
        <v>225</v>
      </c>
      <c r="L1400" s="8" t="s">
        <v>24</v>
      </c>
      <c r="M1400" s="9">
        <v>0.5</v>
      </c>
      <c r="N1400" s="9">
        <v>0.75</v>
      </c>
      <c r="O1400" s="9">
        <v>0.64</v>
      </c>
      <c r="P1400" s="10">
        <v>45249.0</v>
      </c>
      <c r="Q1400" s="11">
        <v>1.7</v>
      </c>
      <c r="R1400" s="8" t="s">
        <v>25</v>
      </c>
      <c r="S1400" s="12">
        <f t="shared" si="1"/>
        <v>-0.64</v>
      </c>
      <c r="T1400" s="12">
        <f t="shared" si="8"/>
        <v>45.73795209</v>
      </c>
      <c r="U1400" s="145"/>
    </row>
    <row r="1401">
      <c r="A1401" s="29"/>
      <c r="B1401" s="29"/>
      <c r="C1401" s="15" t="s">
        <v>19</v>
      </c>
      <c r="D1401" s="15">
        <v>84.0</v>
      </c>
      <c r="E1401" s="15" t="s">
        <v>3864</v>
      </c>
      <c r="F1401" s="15" t="s">
        <v>1473</v>
      </c>
      <c r="G1401" s="15" t="s">
        <v>2660</v>
      </c>
      <c r="H1401" s="15">
        <f>1</f>
        <v>1</v>
      </c>
      <c r="I1401" s="15" t="s">
        <v>93</v>
      </c>
      <c r="J1401" s="15" t="s">
        <v>22</v>
      </c>
      <c r="K1401" s="15" t="s">
        <v>892</v>
      </c>
      <c r="L1401" s="15" t="s">
        <v>24</v>
      </c>
      <c r="M1401" s="16">
        <v>0.0</v>
      </c>
      <c r="N1401" s="16">
        <v>0.5</v>
      </c>
      <c r="O1401" s="16">
        <v>0.5</v>
      </c>
      <c r="P1401" s="17">
        <v>45249.0</v>
      </c>
      <c r="Q1401" s="18">
        <v>1.7</v>
      </c>
      <c r="R1401" s="15" t="s">
        <v>70</v>
      </c>
      <c r="S1401" s="19">
        <f t="shared" si="1"/>
        <v>0</v>
      </c>
      <c r="T1401" s="19">
        <f t="shared" si="8"/>
        <v>45.73795209</v>
      </c>
      <c r="U1401" s="144"/>
    </row>
    <row r="1402">
      <c r="A1402" s="107"/>
      <c r="B1402" s="107"/>
      <c r="C1402" s="8" t="s">
        <v>19</v>
      </c>
      <c r="D1402" s="8">
        <v>0.0</v>
      </c>
      <c r="E1402" s="8" t="s">
        <v>3865</v>
      </c>
      <c r="F1402" s="8"/>
      <c r="G1402" s="8"/>
      <c r="H1402" s="8"/>
      <c r="I1402" s="8" t="s">
        <v>44</v>
      </c>
      <c r="J1402" s="8" t="s">
        <v>598</v>
      </c>
      <c r="K1402" s="8"/>
      <c r="L1402" s="8" t="s">
        <v>39</v>
      </c>
      <c r="M1402" s="9">
        <v>2.5</v>
      </c>
      <c r="N1402" s="9">
        <v>0.1</v>
      </c>
      <c r="O1402" s="9">
        <v>0.1</v>
      </c>
      <c r="P1402" s="10">
        <v>45249.0</v>
      </c>
      <c r="Q1402" s="11">
        <v>1.8</v>
      </c>
      <c r="R1402" s="8" t="s">
        <v>25</v>
      </c>
      <c r="S1402" s="12">
        <f t="shared" si="1"/>
        <v>-0.1</v>
      </c>
      <c r="T1402" s="12">
        <f t="shared" si="8"/>
        <v>45.63795209</v>
      </c>
      <c r="U1402" s="145"/>
    </row>
    <row r="1403">
      <c r="A1403" s="29"/>
      <c r="B1403" s="29"/>
      <c r="C1403" s="15" t="s">
        <v>19</v>
      </c>
      <c r="D1403" s="15">
        <v>69.0</v>
      </c>
      <c r="E1403" s="15" t="s">
        <v>3866</v>
      </c>
      <c r="F1403" s="15" t="s">
        <v>1479</v>
      </c>
      <c r="G1403" s="15" t="s">
        <v>2660</v>
      </c>
      <c r="H1403" s="15">
        <v>-1.0</v>
      </c>
      <c r="I1403" s="15" t="s">
        <v>93</v>
      </c>
      <c r="J1403" s="15" t="s">
        <v>22</v>
      </c>
      <c r="K1403" s="15" t="s">
        <v>892</v>
      </c>
      <c r="L1403" s="15" t="s">
        <v>24</v>
      </c>
      <c r="M1403" s="16">
        <v>0.0</v>
      </c>
      <c r="N1403" s="16">
        <v>1.0</v>
      </c>
      <c r="O1403" s="16">
        <v>1.0</v>
      </c>
      <c r="P1403" s="17">
        <v>45249.0</v>
      </c>
      <c r="Q1403" s="18">
        <v>1.775</v>
      </c>
      <c r="R1403" s="15" t="s">
        <v>70</v>
      </c>
      <c r="S1403" s="19">
        <f t="shared" si="1"/>
        <v>0</v>
      </c>
      <c r="T1403" s="19">
        <f t="shared" si="8"/>
        <v>45.63795209</v>
      </c>
      <c r="U1403" s="144"/>
    </row>
    <row r="1404">
      <c r="A1404" s="107"/>
      <c r="B1404" s="107"/>
      <c r="C1404" s="8" t="s">
        <v>19</v>
      </c>
      <c r="D1404" s="8">
        <v>50.0</v>
      </c>
      <c r="E1404" s="8" t="s">
        <v>3867</v>
      </c>
      <c r="F1404" s="8" t="s">
        <v>1479</v>
      </c>
      <c r="G1404" s="8" t="s">
        <v>2660</v>
      </c>
      <c r="H1404" s="8">
        <f>1</f>
        <v>1</v>
      </c>
      <c r="I1404" s="8" t="s">
        <v>908</v>
      </c>
      <c r="J1404" s="8" t="s">
        <v>22</v>
      </c>
      <c r="K1404" s="8" t="s">
        <v>892</v>
      </c>
      <c r="L1404" s="8" t="s">
        <v>1851</v>
      </c>
      <c r="M1404" s="9">
        <v>0.0</v>
      </c>
      <c r="N1404" s="9">
        <v>0.5</v>
      </c>
      <c r="O1404" s="9">
        <v>0.5</v>
      </c>
      <c r="P1404" s="10">
        <v>45249.0</v>
      </c>
      <c r="Q1404" s="11">
        <v>1.725</v>
      </c>
      <c r="R1404" s="8" t="s">
        <v>70</v>
      </c>
      <c r="S1404" s="12">
        <f t="shared" si="1"/>
        <v>0</v>
      </c>
      <c r="T1404" s="12">
        <f t="shared" si="8"/>
        <v>45.63795209</v>
      </c>
      <c r="U1404" s="145"/>
    </row>
    <row r="1405">
      <c r="A1405" s="29"/>
      <c r="B1405" s="29"/>
      <c r="C1405" s="15" t="s">
        <v>40</v>
      </c>
      <c r="D1405" s="15">
        <v>31.0</v>
      </c>
      <c r="E1405" s="15" t="s">
        <v>3868</v>
      </c>
      <c r="F1405" s="15" t="s">
        <v>1479</v>
      </c>
      <c r="G1405" s="15" t="s">
        <v>2556</v>
      </c>
      <c r="H1405" s="15">
        <v>0.0</v>
      </c>
      <c r="I1405" s="15" t="s">
        <v>48</v>
      </c>
      <c r="J1405" s="15" t="s">
        <v>22</v>
      </c>
      <c r="K1405" s="15" t="s">
        <v>225</v>
      </c>
      <c r="L1405" s="15" t="s">
        <v>24</v>
      </c>
      <c r="M1405" s="16">
        <v>0.5</v>
      </c>
      <c r="N1405" s="16">
        <v>0.5</v>
      </c>
      <c r="O1405" s="16">
        <v>0.5</v>
      </c>
      <c r="P1405" s="17">
        <v>45249.0</v>
      </c>
      <c r="Q1405" s="18">
        <v>1.875</v>
      </c>
      <c r="R1405" s="15" t="s">
        <v>33</v>
      </c>
      <c r="S1405" s="19">
        <f t="shared" si="1"/>
        <v>0.4375</v>
      </c>
      <c r="T1405" s="19">
        <f t="shared" si="8"/>
        <v>46.07545209</v>
      </c>
      <c r="U1405" s="144"/>
    </row>
    <row r="1406">
      <c r="A1406" s="107"/>
      <c r="B1406" s="107"/>
      <c r="C1406" s="8" t="s">
        <v>19</v>
      </c>
      <c r="D1406" s="8">
        <v>37.0</v>
      </c>
      <c r="E1406" s="8" t="s">
        <v>3869</v>
      </c>
      <c r="F1406" s="8" t="s">
        <v>1473</v>
      </c>
      <c r="G1406" s="8" t="s">
        <v>2556</v>
      </c>
      <c r="H1406" s="8">
        <v>-1.0</v>
      </c>
      <c r="I1406" s="8" t="s">
        <v>178</v>
      </c>
      <c r="J1406" s="8" t="s">
        <v>22</v>
      </c>
      <c r="K1406" s="8" t="s">
        <v>225</v>
      </c>
      <c r="L1406" s="8" t="s">
        <v>24</v>
      </c>
      <c r="M1406" s="9">
        <v>0.75</v>
      </c>
      <c r="N1406" s="9">
        <v>0.25</v>
      </c>
      <c r="O1406" s="9">
        <v>0.25</v>
      </c>
      <c r="P1406" s="10">
        <v>45249.0</v>
      </c>
      <c r="Q1406" s="11">
        <v>1.975</v>
      </c>
      <c r="R1406" s="8" t="s">
        <v>25</v>
      </c>
      <c r="S1406" s="12">
        <f t="shared" si="1"/>
        <v>-0.25</v>
      </c>
      <c r="T1406" s="12">
        <f t="shared" si="8"/>
        <v>45.82545209</v>
      </c>
      <c r="U1406" s="145"/>
    </row>
    <row r="1407">
      <c r="A1407" s="29"/>
      <c r="B1407" s="29"/>
      <c r="C1407" s="15" t="s">
        <v>40</v>
      </c>
      <c r="D1407" s="15">
        <v>37.0</v>
      </c>
      <c r="E1407" s="15" t="s">
        <v>3870</v>
      </c>
      <c r="F1407" s="15" t="s">
        <v>1473</v>
      </c>
      <c r="G1407" s="15" t="s">
        <v>2556</v>
      </c>
      <c r="H1407" s="15">
        <v>-1.0</v>
      </c>
      <c r="I1407" s="15" t="s">
        <v>178</v>
      </c>
      <c r="J1407" s="15" t="s">
        <v>22</v>
      </c>
      <c r="K1407" s="15" t="s">
        <v>225</v>
      </c>
      <c r="L1407" s="15" t="s">
        <v>24</v>
      </c>
      <c r="M1407" s="16">
        <v>0.5</v>
      </c>
      <c r="N1407" s="16">
        <v>0.75</v>
      </c>
      <c r="O1407" s="16">
        <v>0.75</v>
      </c>
      <c r="P1407" s="17">
        <v>45249.0</v>
      </c>
      <c r="Q1407" s="18">
        <v>1.97</v>
      </c>
      <c r="R1407" s="15" t="s">
        <v>25</v>
      </c>
      <c r="S1407" s="19">
        <f t="shared" si="1"/>
        <v>-0.75</v>
      </c>
      <c r="T1407" s="19">
        <f t="shared" si="8"/>
        <v>45.07545209</v>
      </c>
      <c r="U1407" s="144"/>
    </row>
    <row r="1408">
      <c r="A1408" s="107"/>
      <c r="B1408" s="107"/>
      <c r="C1408" s="8" t="s">
        <v>40</v>
      </c>
      <c r="D1408" s="8">
        <v>45.0</v>
      </c>
      <c r="E1408" s="8" t="s">
        <v>3871</v>
      </c>
      <c r="F1408" s="8" t="s">
        <v>1473</v>
      </c>
      <c r="G1408" s="8" t="s">
        <v>2556</v>
      </c>
      <c r="H1408" s="8">
        <v>0.0</v>
      </c>
      <c r="I1408" s="8" t="s">
        <v>48</v>
      </c>
      <c r="J1408" s="8" t="s">
        <v>22</v>
      </c>
      <c r="K1408" s="8" t="s">
        <v>225</v>
      </c>
      <c r="L1408" s="8" t="s">
        <v>24</v>
      </c>
      <c r="M1408" s="9">
        <v>0.75</v>
      </c>
      <c r="N1408" s="9">
        <v>1.0</v>
      </c>
      <c r="O1408" s="9">
        <v>1.0</v>
      </c>
      <c r="P1408" s="10">
        <v>45249.0</v>
      </c>
      <c r="Q1408" s="11">
        <v>1.9</v>
      </c>
      <c r="R1408" s="8" t="s">
        <v>33</v>
      </c>
      <c r="S1408" s="12">
        <f t="shared" si="1"/>
        <v>0.9</v>
      </c>
      <c r="T1408" s="12">
        <f t="shared" si="8"/>
        <v>45.97545209</v>
      </c>
      <c r="U1408" s="145"/>
    </row>
    <row r="1409">
      <c r="A1409" s="29"/>
      <c r="B1409" s="29"/>
      <c r="C1409" s="15" t="s">
        <v>40</v>
      </c>
      <c r="D1409" s="15">
        <v>77.0</v>
      </c>
      <c r="E1409" s="15" t="s">
        <v>3872</v>
      </c>
      <c r="F1409" s="15" t="s">
        <v>1479</v>
      </c>
      <c r="G1409" s="15" t="s">
        <v>2660</v>
      </c>
      <c r="H1409" s="15">
        <v>0.0</v>
      </c>
      <c r="I1409" s="15" t="s">
        <v>397</v>
      </c>
      <c r="J1409" s="15" t="s">
        <v>22</v>
      </c>
      <c r="K1409" s="15" t="s">
        <v>892</v>
      </c>
      <c r="L1409" s="15" t="s">
        <v>24</v>
      </c>
      <c r="M1409" s="16">
        <v>0.0</v>
      </c>
      <c r="N1409" s="16">
        <v>0.8</v>
      </c>
      <c r="O1409" s="16">
        <v>0.8</v>
      </c>
      <c r="P1409" s="17">
        <v>45249.0</v>
      </c>
      <c r="Q1409" s="18">
        <v>1.85</v>
      </c>
      <c r="R1409" s="15" t="s">
        <v>33</v>
      </c>
      <c r="S1409" s="19">
        <f t="shared" si="1"/>
        <v>0.68</v>
      </c>
      <c r="T1409" s="19">
        <f t="shared" si="8"/>
        <v>46.65545209</v>
      </c>
      <c r="U1409" s="144"/>
    </row>
    <row r="1410">
      <c r="A1410" s="107"/>
      <c r="B1410" s="107"/>
      <c r="C1410" s="8" t="s">
        <v>19</v>
      </c>
      <c r="D1410" s="8">
        <v>69.0</v>
      </c>
      <c r="E1410" s="8" t="s">
        <v>3873</v>
      </c>
      <c r="F1410" s="8" t="s">
        <v>1473</v>
      </c>
      <c r="G1410" s="8" t="s">
        <v>2660</v>
      </c>
      <c r="H1410" s="8">
        <v>0.0</v>
      </c>
      <c r="I1410" s="8" t="s">
        <v>50</v>
      </c>
      <c r="J1410" s="8" t="s">
        <v>22</v>
      </c>
      <c r="K1410" s="8" t="s">
        <v>892</v>
      </c>
      <c r="L1410" s="8" t="s">
        <v>24</v>
      </c>
      <c r="M1410" s="9">
        <v>0.0</v>
      </c>
      <c r="N1410" s="9">
        <v>0.25</v>
      </c>
      <c r="O1410" s="9">
        <v>0.25</v>
      </c>
      <c r="P1410" s="10">
        <v>45249.0</v>
      </c>
      <c r="Q1410" s="11">
        <v>2.3</v>
      </c>
      <c r="R1410" s="8" t="s">
        <v>25</v>
      </c>
      <c r="S1410" s="12">
        <f t="shared" si="1"/>
        <v>-0.25</v>
      </c>
      <c r="T1410" s="12">
        <f t="shared" si="8"/>
        <v>46.40545209</v>
      </c>
      <c r="U1410" s="145"/>
    </row>
    <row r="1411">
      <c r="A1411" s="29"/>
      <c r="B1411" s="29"/>
      <c r="C1411" s="15" t="s">
        <v>19</v>
      </c>
      <c r="D1411" s="15">
        <v>30.0</v>
      </c>
      <c r="E1411" s="15" t="s">
        <v>3874</v>
      </c>
      <c r="F1411" s="15" t="s">
        <v>1473</v>
      </c>
      <c r="G1411" s="15" t="s">
        <v>2660</v>
      </c>
      <c r="H1411" s="15">
        <v>0.0</v>
      </c>
      <c r="I1411" s="15" t="s">
        <v>50</v>
      </c>
      <c r="J1411" s="15" t="s">
        <v>22</v>
      </c>
      <c r="K1411" s="15" t="s">
        <v>1150</v>
      </c>
      <c r="L1411" s="15" t="s">
        <v>24</v>
      </c>
      <c r="M1411" s="16">
        <v>0.0</v>
      </c>
      <c r="N1411" s="16">
        <v>0.75</v>
      </c>
      <c r="O1411" s="16">
        <v>0.75</v>
      </c>
      <c r="P1411" s="17">
        <v>45249.0</v>
      </c>
      <c r="Q1411" s="18">
        <v>1.95</v>
      </c>
      <c r="R1411" s="15" t="s">
        <v>70</v>
      </c>
      <c r="S1411" s="19">
        <f t="shared" si="1"/>
        <v>0</v>
      </c>
      <c r="T1411" s="19">
        <f t="shared" si="8"/>
        <v>46.40545209</v>
      </c>
      <c r="U1411" s="144"/>
    </row>
    <row r="1412">
      <c r="A1412" s="107"/>
      <c r="B1412" s="107"/>
      <c r="C1412" s="8" t="s">
        <v>40</v>
      </c>
      <c r="D1412" s="8">
        <v>80.0</v>
      </c>
      <c r="E1412" s="8" t="s">
        <v>3875</v>
      </c>
      <c r="F1412" s="8" t="s">
        <v>1473</v>
      </c>
      <c r="G1412" s="8" t="s">
        <v>2556</v>
      </c>
      <c r="H1412" s="8">
        <v>0.0</v>
      </c>
      <c r="I1412" s="8" t="s">
        <v>354</v>
      </c>
      <c r="J1412" s="8" t="s">
        <v>22</v>
      </c>
      <c r="K1412" s="8" t="s">
        <v>941</v>
      </c>
      <c r="L1412" s="8" t="s">
        <v>24</v>
      </c>
      <c r="M1412" s="9">
        <v>0.0</v>
      </c>
      <c r="N1412" s="9">
        <v>0.5</v>
      </c>
      <c r="O1412" s="9">
        <v>0.5</v>
      </c>
      <c r="P1412" s="10">
        <v>45249.0</v>
      </c>
      <c r="Q1412" s="11">
        <v>2.625</v>
      </c>
      <c r="R1412" s="8" t="s">
        <v>70</v>
      </c>
      <c r="S1412" s="12">
        <f t="shared" si="1"/>
        <v>0</v>
      </c>
      <c r="T1412" s="12">
        <f t="shared" si="8"/>
        <v>46.40545209</v>
      </c>
      <c r="U1412" s="145"/>
    </row>
    <row r="1413">
      <c r="A1413" s="29"/>
      <c r="B1413" s="29"/>
      <c r="C1413" s="15" t="s">
        <v>19</v>
      </c>
      <c r="D1413" s="15">
        <v>64.0</v>
      </c>
      <c r="E1413" s="15" t="s">
        <v>3876</v>
      </c>
      <c r="F1413" s="15" t="s">
        <v>1479</v>
      </c>
      <c r="G1413" s="15" t="s">
        <v>2660</v>
      </c>
      <c r="H1413" s="15">
        <v>-1.0</v>
      </c>
      <c r="I1413" s="15" t="s">
        <v>341</v>
      </c>
      <c r="J1413" s="15" t="s">
        <v>22</v>
      </c>
      <c r="K1413" s="15" t="s">
        <v>892</v>
      </c>
      <c r="L1413" s="15" t="s">
        <v>1522</v>
      </c>
      <c r="M1413" s="16">
        <v>0.0</v>
      </c>
      <c r="N1413" s="16">
        <v>1.0</v>
      </c>
      <c r="O1413" s="16">
        <v>1.0</v>
      </c>
      <c r="P1413" s="17">
        <v>45249.0</v>
      </c>
      <c r="Q1413" s="18">
        <v>1.8</v>
      </c>
      <c r="R1413" s="15" t="s">
        <v>25</v>
      </c>
      <c r="S1413" s="19">
        <f t="shared" si="1"/>
        <v>-1</v>
      </c>
      <c r="T1413" s="19">
        <f t="shared" si="8"/>
        <v>45.40545209</v>
      </c>
      <c r="U1413" s="144"/>
    </row>
    <row r="1414">
      <c r="A1414" s="107"/>
      <c r="B1414" s="107"/>
      <c r="C1414" s="8" t="s">
        <v>19</v>
      </c>
      <c r="D1414" s="8">
        <v>24.0</v>
      </c>
      <c r="E1414" s="8" t="s">
        <v>3877</v>
      </c>
      <c r="F1414" s="8" t="s">
        <v>1473</v>
      </c>
      <c r="G1414" s="8" t="s">
        <v>2573</v>
      </c>
      <c r="H1414" s="8">
        <v>0.0</v>
      </c>
      <c r="I1414" s="8" t="s">
        <v>316</v>
      </c>
      <c r="J1414" s="8" t="s">
        <v>22</v>
      </c>
      <c r="K1414" s="8" t="s">
        <v>894</v>
      </c>
      <c r="L1414" s="8" t="s">
        <v>1522</v>
      </c>
      <c r="M1414" s="9">
        <v>-0.5</v>
      </c>
      <c r="N1414" s="9">
        <v>0.5</v>
      </c>
      <c r="O1414" s="9">
        <v>0.5</v>
      </c>
      <c r="P1414" s="10">
        <v>45249.0</v>
      </c>
      <c r="Q1414" s="11">
        <v>1.975</v>
      </c>
      <c r="R1414" s="8" t="s">
        <v>33</v>
      </c>
      <c r="S1414" s="12">
        <f t="shared" si="1"/>
        <v>0.4875</v>
      </c>
      <c r="T1414" s="12">
        <f t="shared" si="8"/>
        <v>45.89295209</v>
      </c>
      <c r="U1414" s="145"/>
    </row>
    <row r="1415">
      <c r="A1415" s="29"/>
      <c r="B1415" s="29"/>
      <c r="C1415" s="15" t="s">
        <v>19</v>
      </c>
      <c r="D1415" s="15">
        <v>39.0</v>
      </c>
      <c r="E1415" s="15" t="s">
        <v>3878</v>
      </c>
      <c r="F1415" s="15" t="s">
        <v>1479</v>
      </c>
      <c r="G1415" s="15" t="s">
        <v>2660</v>
      </c>
      <c r="H1415" s="15">
        <v>-1.0</v>
      </c>
      <c r="I1415" s="15" t="s">
        <v>248</v>
      </c>
      <c r="J1415" s="15" t="s">
        <v>22</v>
      </c>
      <c r="K1415" s="15" t="s">
        <v>892</v>
      </c>
      <c r="L1415" s="15" t="s">
        <v>24</v>
      </c>
      <c r="M1415" s="16">
        <v>0.0</v>
      </c>
      <c r="N1415" s="16">
        <v>0.5</v>
      </c>
      <c r="O1415" s="16">
        <v>0.5</v>
      </c>
      <c r="P1415" s="17">
        <v>45249.0</v>
      </c>
      <c r="Q1415" s="18">
        <v>1.875</v>
      </c>
      <c r="R1415" s="15" t="s">
        <v>70</v>
      </c>
      <c r="S1415" s="19">
        <f t="shared" si="1"/>
        <v>0</v>
      </c>
      <c r="T1415" s="19">
        <f t="shared" si="8"/>
        <v>45.89295209</v>
      </c>
      <c r="U1415" s="144"/>
    </row>
    <row r="1416">
      <c r="A1416" s="107"/>
      <c r="B1416" s="107"/>
      <c r="C1416" s="8" t="s">
        <v>19</v>
      </c>
      <c r="D1416" s="8">
        <v>0.0</v>
      </c>
      <c r="E1416" s="8" t="s">
        <v>3879</v>
      </c>
      <c r="F1416" s="8" t="s">
        <v>1479</v>
      </c>
      <c r="G1416" s="8" t="s">
        <v>2556</v>
      </c>
      <c r="H1416" s="8">
        <v>0.0</v>
      </c>
      <c r="I1416" s="8" t="s">
        <v>121</v>
      </c>
      <c r="J1416" s="8" t="s">
        <v>598</v>
      </c>
      <c r="K1416" s="8" t="s">
        <v>1847</v>
      </c>
      <c r="L1416" s="8" t="s">
        <v>1522</v>
      </c>
      <c r="M1416" s="9">
        <v>-0.5</v>
      </c>
      <c r="N1416" s="9">
        <v>0.5</v>
      </c>
      <c r="O1416" s="9">
        <v>0.47</v>
      </c>
      <c r="P1416" s="10">
        <v>45249.0</v>
      </c>
      <c r="Q1416" s="11">
        <v>2.3</v>
      </c>
      <c r="R1416" s="8" t="s">
        <v>25</v>
      </c>
      <c r="S1416" s="12">
        <f t="shared" si="1"/>
        <v>-0.47</v>
      </c>
      <c r="T1416" s="12">
        <f t="shared" si="8"/>
        <v>45.42295209</v>
      </c>
      <c r="U1416" s="145"/>
    </row>
    <row r="1417">
      <c r="A1417" s="29"/>
      <c r="B1417" s="29"/>
      <c r="C1417" s="15" t="s">
        <v>19</v>
      </c>
      <c r="D1417" s="15">
        <v>65.0</v>
      </c>
      <c r="E1417" s="15" t="s">
        <v>3880</v>
      </c>
      <c r="F1417" s="15"/>
      <c r="G1417" s="15"/>
      <c r="H1417" s="15">
        <v>0.0</v>
      </c>
      <c r="I1417" s="15" t="s">
        <v>93</v>
      </c>
      <c r="J1417" s="15" t="s">
        <v>22</v>
      </c>
      <c r="K1417" s="15" t="s">
        <v>440</v>
      </c>
      <c r="L1417" s="15" t="s">
        <v>24</v>
      </c>
      <c r="M1417" s="16">
        <v>0.5</v>
      </c>
      <c r="N1417" s="16">
        <v>0.5</v>
      </c>
      <c r="O1417" s="16">
        <v>0.5</v>
      </c>
      <c r="P1417" s="17">
        <v>45249.0</v>
      </c>
      <c r="Q1417" s="18">
        <v>2.05</v>
      </c>
      <c r="R1417" s="15" t="s">
        <v>33</v>
      </c>
      <c r="S1417" s="19">
        <f t="shared" si="1"/>
        <v>0.525</v>
      </c>
      <c r="T1417" s="19">
        <f t="shared" si="8"/>
        <v>45.94795209</v>
      </c>
      <c r="U1417" s="144"/>
    </row>
    <row r="1418">
      <c r="A1418" s="107"/>
      <c r="B1418" s="107"/>
      <c r="C1418" s="8" t="s">
        <v>19</v>
      </c>
      <c r="D1418" s="8">
        <v>79.0</v>
      </c>
      <c r="E1418" s="8" t="s">
        <v>3878</v>
      </c>
      <c r="F1418" s="8" t="s">
        <v>1479</v>
      </c>
      <c r="G1418" s="8" t="s">
        <v>2660</v>
      </c>
      <c r="H1418" s="8">
        <v>-1.0</v>
      </c>
      <c r="I1418" s="8" t="s">
        <v>248</v>
      </c>
      <c r="J1418" s="8" t="s">
        <v>22</v>
      </c>
      <c r="K1418" s="8" t="s">
        <v>892</v>
      </c>
      <c r="L1418" s="8" t="s">
        <v>24</v>
      </c>
      <c r="M1418" s="9">
        <v>0.0</v>
      </c>
      <c r="N1418" s="9">
        <v>0.5</v>
      </c>
      <c r="O1418" s="9">
        <v>0.5</v>
      </c>
      <c r="P1418" s="10">
        <v>45249.0</v>
      </c>
      <c r="Q1418" s="11">
        <v>1.9</v>
      </c>
      <c r="R1418" s="8" t="s">
        <v>70</v>
      </c>
      <c r="S1418" s="12">
        <f t="shared" si="1"/>
        <v>0</v>
      </c>
      <c r="T1418" s="12">
        <f t="shared" si="8"/>
        <v>45.94795209</v>
      </c>
      <c r="U1418" s="145"/>
    </row>
    <row r="1419">
      <c r="A1419" s="29"/>
      <c r="B1419" s="29"/>
      <c r="C1419" s="15" t="s">
        <v>19</v>
      </c>
      <c r="D1419" s="15">
        <v>87.0</v>
      </c>
      <c r="E1419" s="15" t="s">
        <v>3881</v>
      </c>
      <c r="F1419" s="15"/>
      <c r="G1419" s="15"/>
      <c r="H1419" s="15"/>
      <c r="I1419" s="15" t="s">
        <v>2932</v>
      </c>
      <c r="J1419" s="15" t="s">
        <v>22</v>
      </c>
      <c r="K1419" s="15" t="s">
        <v>2939</v>
      </c>
      <c r="L1419" s="15" t="s">
        <v>39</v>
      </c>
      <c r="M1419" s="16">
        <v>-9.5</v>
      </c>
      <c r="N1419" s="16">
        <v>0.3</v>
      </c>
      <c r="O1419" s="16">
        <v>0.3</v>
      </c>
      <c r="P1419" s="17">
        <v>45249.0</v>
      </c>
      <c r="Q1419" s="18">
        <v>1.825</v>
      </c>
      <c r="R1419" s="15" t="s">
        <v>25</v>
      </c>
      <c r="S1419" s="19">
        <f t="shared" si="1"/>
        <v>-0.3</v>
      </c>
      <c r="T1419" s="19">
        <f t="shared" si="8"/>
        <v>45.64795209</v>
      </c>
      <c r="U1419" s="144"/>
    </row>
    <row r="1420">
      <c r="A1420" s="107"/>
      <c r="B1420" s="107"/>
      <c r="C1420" s="8" t="s">
        <v>19</v>
      </c>
      <c r="D1420" s="8">
        <v>80.0</v>
      </c>
      <c r="E1420" s="8" t="s">
        <v>3882</v>
      </c>
      <c r="F1420" s="8" t="s">
        <v>1479</v>
      </c>
      <c r="G1420" s="8" t="s">
        <v>2660</v>
      </c>
      <c r="H1420" s="8">
        <v>-1.0</v>
      </c>
      <c r="I1420" s="8" t="s">
        <v>68</v>
      </c>
      <c r="J1420" s="8" t="s">
        <v>22</v>
      </c>
      <c r="K1420" s="8" t="s">
        <v>892</v>
      </c>
      <c r="L1420" s="8" t="s">
        <v>24</v>
      </c>
      <c r="M1420" s="9">
        <v>0.0</v>
      </c>
      <c r="N1420" s="9">
        <v>0.25</v>
      </c>
      <c r="O1420" s="9">
        <v>0.25</v>
      </c>
      <c r="P1420" s="10">
        <v>45249.0</v>
      </c>
      <c r="Q1420" s="11">
        <v>2.025</v>
      </c>
      <c r="R1420" s="8" t="s">
        <v>70</v>
      </c>
      <c r="S1420" s="12">
        <f t="shared" si="1"/>
        <v>0</v>
      </c>
      <c r="T1420" s="12">
        <f t="shared" si="8"/>
        <v>45.64795209</v>
      </c>
      <c r="U1420" s="145"/>
    </row>
    <row r="1421">
      <c r="A1421" s="29"/>
      <c r="B1421" s="29"/>
      <c r="C1421" s="15" t="s">
        <v>19</v>
      </c>
      <c r="D1421" s="15">
        <v>56.0</v>
      </c>
      <c r="E1421" s="15" t="s">
        <v>3883</v>
      </c>
      <c r="F1421" s="15" t="s">
        <v>1479</v>
      </c>
      <c r="G1421" s="15" t="s">
        <v>2660</v>
      </c>
      <c r="H1421" s="15">
        <v>-1.0</v>
      </c>
      <c r="I1421" s="15" t="s">
        <v>93</v>
      </c>
      <c r="J1421" s="15" t="s">
        <v>22</v>
      </c>
      <c r="K1421" s="15" t="s">
        <v>892</v>
      </c>
      <c r="L1421" s="15" t="s">
        <v>39</v>
      </c>
      <c r="M1421" s="16">
        <v>0.0</v>
      </c>
      <c r="N1421" s="16">
        <v>1.0</v>
      </c>
      <c r="O1421" s="16">
        <v>0.87</v>
      </c>
      <c r="P1421" s="17">
        <v>45249.0</v>
      </c>
      <c r="Q1421" s="18">
        <v>1.825</v>
      </c>
      <c r="R1421" s="15" t="s">
        <v>70</v>
      </c>
      <c r="S1421" s="19">
        <f t="shared" si="1"/>
        <v>0</v>
      </c>
      <c r="T1421" s="19">
        <f t="shared" si="8"/>
        <v>45.64795209</v>
      </c>
      <c r="U1421" s="144"/>
    </row>
    <row r="1422">
      <c r="A1422" s="107"/>
      <c r="B1422" s="107"/>
      <c r="C1422" s="8" t="s">
        <v>19</v>
      </c>
      <c r="S1422" s="12" t="str">
        <f t="shared" si="1"/>
        <v/>
      </c>
      <c r="T1422" s="12">
        <f t="shared" si="8"/>
        <v>45.64795209</v>
      </c>
      <c r="U1422" s="145"/>
    </row>
    <row r="1423">
      <c r="A1423" s="29"/>
      <c r="B1423" s="29"/>
      <c r="C1423" s="15" t="s">
        <v>19</v>
      </c>
      <c r="D1423" s="15"/>
      <c r="E1423" s="15" t="s">
        <v>3884</v>
      </c>
      <c r="F1423" s="15" t="s">
        <v>1473</v>
      </c>
      <c r="G1423" s="15" t="s">
        <v>2556</v>
      </c>
      <c r="H1423" s="15">
        <v>0.0</v>
      </c>
      <c r="I1423" s="15" t="s">
        <v>635</v>
      </c>
      <c r="J1423" s="15" t="s">
        <v>22</v>
      </c>
      <c r="K1423" s="15" t="s">
        <v>225</v>
      </c>
      <c r="L1423" s="15" t="s">
        <v>1522</v>
      </c>
      <c r="M1423" s="16">
        <v>1.0</v>
      </c>
      <c r="N1423" s="16">
        <v>0.4</v>
      </c>
      <c r="O1423" s="16">
        <v>0.4</v>
      </c>
      <c r="P1423" s="17">
        <v>45250.0</v>
      </c>
      <c r="Q1423" s="18">
        <v>1.775</v>
      </c>
      <c r="R1423" s="15" t="s">
        <v>25</v>
      </c>
      <c r="S1423" s="19">
        <f t="shared" si="1"/>
        <v>-0.4</v>
      </c>
      <c r="T1423" s="19">
        <f t="shared" si="8"/>
        <v>45.24795209</v>
      </c>
      <c r="U1423" s="144"/>
    </row>
    <row r="1424">
      <c r="A1424" s="107"/>
      <c r="B1424" s="107"/>
      <c r="C1424" s="8" t="s">
        <v>19</v>
      </c>
      <c r="D1424" s="8">
        <v>20.0</v>
      </c>
      <c r="E1424" s="8" t="s">
        <v>3885</v>
      </c>
      <c r="F1424" s="8" t="s">
        <v>1473</v>
      </c>
      <c r="G1424" s="8" t="s">
        <v>2556</v>
      </c>
      <c r="H1424" s="8">
        <v>0.0</v>
      </c>
      <c r="I1424" s="8" t="s">
        <v>82</v>
      </c>
      <c r="J1424" s="8" t="s">
        <v>22</v>
      </c>
      <c r="K1424" s="8" t="s">
        <v>225</v>
      </c>
      <c r="L1424" s="8" t="s">
        <v>39</v>
      </c>
      <c r="M1424" s="9">
        <v>0.25</v>
      </c>
      <c r="N1424" s="9">
        <v>1.0</v>
      </c>
      <c r="O1424" s="9">
        <v>1.0</v>
      </c>
      <c r="P1424" s="10">
        <v>45251.0</v>
      </c>
      <c r="Q1424" s="11">
        <v>1.59</v>
      </c>
      <c r="R1424" s="8" t="s">
        <v>30</v>
      </c>
      <c r="S1424" s="12">
        <f t="shared" si="1"/>
        <v>0.295</v>
      </c>
      <c r="T1424" s="12">
        <f t="shared" si="8"/>
        <v>45.54295209</v>
      </c>
      <c r="U1424" s="145"/>
    </row>
    <row r="1425">
      <c r="A1425" s="29"/>
      <c r="B1425" s="29"/>
      <c r="C1425" s="15" t="s">
        <v>19</v>
      </c>
      <c r="D1425" s="15">
        <v>40.0</v>
      </c>
      <c r="E1425" s="15" t="s">
        <v>3886</v>
      </c>
      <c r="F1425" s="15" t="s">
        <v>1479</v>
      </c>
      <c r="G1425" s="15" t="s">
        <v>2556</v>
      </c>
      <c r="H1425" s="15">
        <v>-1.0</v>
      </c>
      <c r="I1425" s="15" t="s">
        <v>644</v>
      </c>
      <c r="J1425" s="15" t="s">
        <v>22</v>
      </c>
      <c r="K1425" s="15" t="s">
        <v>225</v>
      </c>
      <c r="L1425" s="15" t="s">
        <v>24</v>
      </c>
      <c r="M1425" s="16">
        <v>0.5</v>
      </c>
      <c r="N1425" s="16">
        <v>0.5</v>
      </c>
      <c r="O1425" s="16">
        <v>0.5</v>
      </c>
      <c r="P1425" s="17">
        <v>45251.0</v>
      </c>
      <c r="Q1425" s="18">
        <v>1.85</v>
      </c>
      <c r="R1425" s="15" t="s">
        <v>25</v>
      </c>
      <c r="S1425" s="19">
        <f t="shared" si="1"/>
        <v>-0.5</v>
      </c>
      <c r="T1425" s="19">
        <f t="shared" si="8"/>
        <v>45.04295209</v>
      </c>
      <c r="U1425" s="144"/>
    </row>
    <row r="1426">
      <c r="A1426" s="107"/>
      <c r="B1426" s="107"/>
      <c r="C1426" s="8" t="s">
        <v>19</v>
      </c>
      <c r="D1426" s="8">
        <v>0.0</v>
      </c>
      <c r="E1426" s="8" t="s">
        <v>3887</v>
      </c>
      <c r="F1426" s="8"/>
      <c r="G1426" s="8"/>
      <c r="H1426" s="8"/>
      <c r="I1426" s="8" t="s">
        <v>2468</v>
      </c>
      <c r="J1426" s="8" t="s">
        <v>598</v>
      </c>
      <c r="K1426" s="8" t="s">
        <v>3888</v>
      </c>
      <c r="L1426" s="8" t="s">
        <v>24</v>
      </c>
      <c r="M1426" s="9">
        <v>0.5</v>
      </c>
      <c r="N1426" s="9">
        <v>0.5</v>
      </c>
      <c r="O1426" s="9">
        <v>0.5</v>
      </c>
      <c r="P1426" s="56">
        <v>45251.0</v>
      </c>
      <c r="Q1426" s="11">
        <v>1.725</v>
      </c>
      <c r="R1426" s="8" t="s">
        <v>25</v>
      </c>
      <c r="S1426" s="12">
        <f t="shared" si="1"/>
        <v>-0.5</v>
      </c>
      <c r="T1426" s="12">
        <f t="shared" si="8"/>
        <v>44.54295209</v>
      </c>
      <c r="U1426" s="145"/>
    </row>
    <row r="1427">
      <c r="A1427" s="29"/>
      <c r="B1427" s="29"/>
      <c r="C1427" s="15" t="s">
        <v>19</v>
      </c>
      <c r="D1427" s="15">
        <v>38.0</v>
      </c>
      <c r="E1427" s="15" t="s">
        <v>3889</v>
      </c>
      <c r="F1427" s="15" t="s">
        <v>1473</v>
      </c>
      <c r="G1427" s="15" t="s">
        <v>2556</v>
      </c>
      <c r="H1427" s="15">
        <v>0.0</v>
      </c>
      <c r="I1427" s="15" t="s">
        <v>644</v>
      </c>
      <c r="J1427" s="15" t="s">
        <v>22</v>
      </c>
      <c r="K1427" s="15" t="s">
        <v>941</v>
      </c>
      <c r="L1427" s="15" t="s">
        <v>24</v>
      </c>
      <c r="M1427" s="16">
        <v>0.0</v>
      </c>
      <c r="N1427" s="16">
        <v>0.8</v>
      </c>
      <c r="O1427" s="16">
        <v>0.8</v>
      </c>
      <c r="P1427" s="17">
        <v>45251.0</v>
      </c>
      <c r="Q1427" s="18">
        <v>1.75</v>
      </c>
      <c r="R1427" s="15" t="s">
        <v>33</v>
      </c>
      <c r="S1427" s="19">
        <f t="shared" si="1"/>
        <v>0.6</v>
      </c>
      <c r="T1427" s="19">
        <f t="shared" si="8"/>
        <v>45.14295209</v>
      </c>
      <c r="U1427" s="144"/>
    </row>
    <row r="1428">
      <c r="A1428" s="107"/>
      <c r="B1428" s="107"/>
      <c r="C1428" s="8" t="s">
        <v>19</v>
      </c>
      <c r="D1428" s="8">
        <v>38.0</v>
      </c>
      <c r="E1428" s="8" t="s">
        <v>3890</v>
      </c>
      <c r="F1428" s="8" t="s">
        <v>1473</v>
      </c>
      <c r="G1428" s="8" t="s">
        <v>2660</v>
      </c>
      <c r="H1428" s="8">
        <v>0.0</v>
      </c>
      <c r="I1428" s="8" t="s">
        <v>644</v>
      </c>
      <c r="J1428" s="8" t="s">
        <v>22</v>
      </c>
      <c r="K1428" s="8" t="s">
        <v>892</v>
      </c>
      <c r="L1428" s="8" t="s">
        <v>24</v>
      </c>
      <c r="M1428" s="9">
        <v>0.0</v>
      </c>
      <c r="N1428" s="9">
        <v>0.2</v>
      </c>
      <c r="O1428" s="9">
        <v>0.2</v>
      </c>
      <c r="P1428" s="10">
        <v>45251.0</v>
      </c>
      <c r="Q1428" s="11">
        <v>1.75</v>
      </c>
      <c r="R1428" s="8" t="s">
        <v>33</v>
      </c>
      <c r="S1428" s="12">
        <f t="shared" si="1"/>
        <v>0.15</v>
      </c>
      <c r="T1428" s="12">
        <f t="shared" si="8"/>
        <v>45.29295209</v>
      </c>
      <c r="U1428" s="145"/>
    </row>
    <row r="1429">
      <c r="A1429" s="29"/>
      <c r="B1429" s="29"/>
      <c r="C1429" s="15" t="s">
        <v>19</v>
      </c>
      <c r="D1429" s="15">
        <v>58.0</v>
      </c>
      <c r="E1429" s="15" t="s">
        <v>3891</v>
      </c>
      <c r="F1429" s="15" t="s">
        <v>1479</v>
      </c>
      <c r="G1429" s="15" t="s">
        <v>2660</v>
      </c>
      <c r="H1429" s="15">
        <v>-2.0</v>
      </c>
      <c r="I1429" s="15" t="s">
        <v>644</v>
      </c>
      <c r="J1429" s="15" t="s">
        <v>22</v>
      </c>
      <c r="K1429" s="15" t="s">
        <v>892</v>
      </c>
      <c r="L1429" s="15" t="s">
        <v>24</v>
      </c>
      <c r="M1429" s="16">
        <v>0.0</v>
      </c>
      <c r="N1429" s="16">
        <v>0.5</v>
      </c>
      <c r="O1429" s="16">
        <v>0.5</v>
      </c>
      <c r="P1429" s="17">
        <v>45251.0</v>
      </c>
      <c r="Q1429" s="18">
        <v>1.7</v>
      </c>
      <c r="R1429" s="15" t="s">
        <v>70</v>
      </c>
      <c r="S1429" s="19">
        <f t="shared" si="1"/>
        <v>0</v>
      </c>
      <c r="T1429" s="19">
        <f t="shared" si="8"/>
        <v>45.29295209</v>
      </c>
      <c r="U1429" s="144"/>
    </row>
    <row r="1430">
      <c r="A1430" s="107"/>
      <c r="B1430" s="107"/>
      <c r="C1430" s="8" t="s">
        <v>19</v>
      </c>
      <c r="D1430" s="8">
        <v>33.0</v>
      </c>
      <c r="E1430" s="8" t="s">
        <v>3892</v>
      </c>
      <c r="F1430" s="8" t="s">
        <v>1473</v>
      </c>
      <c r="G1430" s="8" t="s">
        <v>2556</v>
      </c>
      <c r="H1430" s="8">
        <f>1</f>
        <v>1</v>
      </c>
      <c r="I1430" s="8" t="s">
        <v>48</v>
      </c>
      <c r="J1430" s="8" t="s">
        <v>22</v>
      </c>
      <c r="K1430" s="8" t="s">
        <v>225</v>
      </c>
      <c r="L1430" s="8" t="s">
        <v>1803</v>
      </c>
      <c r="M1430" s="9">
        <v>0.25</v>
      </c>
      <c r="N1430" s="9">
        <v>1.0</v>
      </c>
      <c r="O1430" s="9">
        <v>1.0</v>
      </c>
      <c r="P1430" s="10">
        <v>45252.0</v>
      </c>
      <c r="Q1430" s="11">
        <v>1.8</v>
      </c>
      <c r="R1430" s="8" t="s">
        <v>25</v>
      </c>
      <c r="S1430" s="12">
        <f t="shared" si="1"/>
        <v>-1</v>
      </c>
      <c r="T1430" s="12">
        <f t="shared" si="8"/>
        <v>44.29295209</v>
      </c>
      <c r="U1430" s="145"/>
    </row>
    <row r="1431">
      <c r="A1431" s="29"/>
      <c r="B1431" s="29"/>
      <c r="C1431" s="15" t="s">
        <v>19</v>
      </c>
      <c r="D1431" s="15">
        <v>54.0</v>
      </c>
      <c r="E1431" s="15" t="s">
        <v>3893</v>
      </c>
      <c r="F1431" s="15" t="s">
        <v>1479</v>
      </c>
      <c r="G1431" s="15" t="s">
        <v>2573</v>
      </c>
      <c r="H1431" s="15">
        <v>0.0</v>
      </c>
      <c r="I1431" s="15" t="s">
        <v>96</v>
      </c>
      <c r="J1431" s="15" t="s">
        <v>22</v>
      </c>
      <c r="K1431" s="15" t="s">
        <v>894</v>
      </c>
      <c r="L1431" s="15" t="s">
        <v>24</v>
      </c>
      <c r="M1431" s="16">
        <v>-0.25</v>
      </c>
      <c r="N1431" s="16">
        <v>0.8</v>
      </c>
      <c r="O1431" s="16">
        <v>0.71</v>
      </c>
      <c r="P1431" s="17">
        <v>45252.0</v>
      </c>
      <c r="Q1431" s="18">
        <v>1.975</v>
      </c>
      <c r="R1431" s="15" t="s">
        <v>70</v>
      </c>
      <c r="S1431" s="19">
        <f t="shared" si="1"/>
        <v>0</v>
      </c>
      <c r="T1431" s="19">
        <f t="shared" si="8"/>
        <v>44.29295209</v>
      </c>
      <c r="U1431" s="144"/>
    </row>
    <row r="1432">
      <c r="A1432" s="107"/>
      <c r="B1432" s="107"/>
      <c r="C1432" s="8" t="s">
        <v>19</v>
      </c>
      <c r="D1432" s="8">
        <v>0.0</v>
      </c>
      <c r="E1432" s="8" t="s">
        <v>3894</v>
      </c>
      <c r="F1432" s="8" t="s">
        <v>1473</v>
      </c>
      <c r="G1432" s="8" t="s">
        <v>2573</v>
      </c>
      <c r="H1432" s="8"/>
      <c r="I1432" s="8" t="s">
        <v>93</v>
      </c>
      <c r="J1432" s="8" t="s">
        <v>598</v>
      </c>
      <c r="K1432" s="8" t="s">
        <v>894</v>
      </c>
      <c r="L1432" s="8" t="s">
        <v>39</v>
      </c>
      <c r="M1432" s="9">
        <v>-1.5</v>
      </c>
      <c r="N1432" s="9">
        <v>0.25</v>
      </c>
      <c r="O1432" s="9">
        <v>0.25</v>
      </c>
      <c r="P1432" s="10">
        <v>45252.0</v>
      </c>
      <c r="Q1432" s="11">
        <v>1.925</v>
      </c>
      <c r="R1432" s="8" t="s">
        <v>25</v>
      </c>
      <c r="S1432" s="12">
        <f t="shared" si="1"/>
        <v>-0.25</v>
      </c>
      <c r="T1432" s="12">
        <f t="shared" si="8"/>
        <v>44.04295209</v>
      </c>
      <c r="U1432" s="145"/>
    </row>
    <row r="1433">
      <c r="A1433" s="29"/>
      <c r="B1433" s="29"/>
      <c r="C1433" s="15" t="s">
        <v>19</v>
      </c>
      <c r="D1433" s="15">
        <v>19.0</v>
      </c>
      <c r="E1433" s="15" t="s">
        <v>3895</v>
      </c>
      <c r="F1433" s="15" t="s">
        <v>1473</v>
      </c>
      <c r="G1433" s="15" t="s">
        <v>2660</v>
      </c>
      <c r="H1433" s="15">
        <v>-1.0</v>
      </c>
      <c r="I1433" s="15" t="s">
        <v>248</v>
      </c>
      <c r="J1433" s="15" t="s">
        <v>22</v>
      </c>
      <c r="K1433" s="15" t="s">
        <v>1150</v>
      </c>
      <c r="L1433" s="15" t="s">
        <v>24</v>
      </c>
      <c r="M1433" s="16">
        <v>0.0</v>
      </c>
      <c r="N1433" s="16">
        <v>1.0</v>
      </c>
      <c r="O1433" s="16">
        <v>1.0</v>
      </c>
      <c r="P1433" s="17">
        <v>45252.0</v>
      </c>
      <c r="Q1433" s="18">
        <v>1.9</v>
      </c>
      <c r="R1433" s="15" t="s">
        <v>70</v>
      </c>
      <c r="S1433" s="19">
        <f t="shared" si="1"/>
        <v>0</v>
      </c>
      <c r="T1433" s="19">
        <f t="shared" si="8"/>
        <v>44.04295209</v>
      </c>
      <c r="U1433" s="144"/>
    </row>
    <row r="1434">
      <c r="A1434" s="107"/>
      <c r="B1434" s="107"/>
      <c r="C1434" s="8" t="s">
        <v>19</v>
      </c>
      <c r="D1434" s="8">
        <v>71.0</v>
      </c>
      <c r="E1434" s="8" t="s">
        <v>3896</v>
      </c>
      <c r="F1434" s="8" t="s">
        <v>1473</v>
      </c>
      <c r="G1434" s="8" t="s">
        <v>2660</v>
      </c>
      <c r="H1434" s="8">
        <v>0.0</v>
      </c>
      <c r="I1434" s="8" t="s">
        <v>248</v>
      </c>
      <c r="J1434" s="8" t="s">
        <v>22</v>
      </c>
      <c r="K1434" s="8" t="s">
        <v>892</v>
      </c>
      <c r="L1434" s="8" t="s">
        <v>24</v>
      </c>
      <c r="M1434" s="9">
        <v>0.0</v>
      </c>
      <c r="N1434" s="9">
        <v>0.5</v>
      </c>
      <c r="O1434" s="9">
        <v>0.5</v>
      </c>
      <c r="P1434" s="10">
        <v>45252.0</v>
      </c>
      <c r="Q1434" s="11">
        <v>1.725</v>
      </c>
      <c r="R1434" s="8" t="s">
        <v>70</v>
      </c>
      <c r="S1434" s="12">
        <f t="shared" si="1"/>
        <v>0</v>
      </c>
      <c r="T1434" s="12">
        <f t="shared" si="8"/>
        <v>44.04295209</v>
      </c>
      <c r="U1434" s="145"/>
    </row>
    <row r="1435">
      <c r="A1435" s="29"/>
      <c r="B1435" s="29"/>
      <c r="C1435" s="15" t="s">
        <v>19</v>
      </c>
      <c r="D1435" s="15">
        <v>54.0</v>
      </c>
      <c r="E1435" s="15" t="s">
        <v>3897</v>
      </c>
      <c r="F1435" s="15" t="s">
        <v>1473</v>
      </c>
      <c r="G1435" s="15" t="s">
        <v>2660</v>
      </c>
      <c r="H1435" s="15">
        <v>0.0</v>
      </c>
      <c r="I1435" s="15" t="s">
        <v>93</v>
      </c>
      <c r="J1435" s="15" t="s">
        <v>22</v>
      </c>
      <c r="K1435" s="15" t="s">
        <v>892</v>
      </c>
      <c r="L1435" s="15" t="s">
        <v>1803</v>
      </c>
      <c r="M1435" s="16">
        <v>0.0</v>
      </c>
      <c r="N1435" s="16">
        <v>1.0</v>
      </c>
      <c r="O1435" s="16">
        <v>1.0</v>
      </c>
      <c r="P1435" s="17">
        <v>45252.0</v>
      </c>
      <c r="Q1435" s="18">
        <v>1.9</v>
      </c>
      <c r="R1435" s="15" t="s">
        <v>25</v>
      </c>
      <c r="S1435" s="19">
        <f t="shared" si="1"/>
        <v>-1</v>
      </c>
      <c r="T1435" s="19">
        <f t="shared" si="8"/>
        <v>43.04295209</v>
      </c>
      <c r="U1435" s="144"/>
    </row>
    <row r="1436">
      <c r="A1436" s="107"/>
      <c r="B1436" s="107"/>
      <c r="C1436" s="8" t="s">
        <v>19</v>
      </c>
      <c r="D1436" s="8">
        <v>12.0</v>
      </c>
      <c r="E1436" s="8" t="s">
        <v>3898</v>
      </c>
      <c r="F1436" s="8" t="s">
        <v>1479</v>
      </c>
      <c r="G1436" s="8" t="s">
        <v>2556</v>
      </c>
      <c r="H1436" s="8">
        <v>0.0</v>
      </c>
      <c r="I1436" s="8" t="s">
        <v>178</v>
      </c>
      <c r="J1436" s="8" t="s">
        <v>22</v>
      </c>
      <c r="K1436" s="8" t="s">
        <v>225</v>
      </c>
      <c r="L1436" s="8" t="s">
        <v>1522</v>
      </c>
      <c r="M1436" s="9">
        <v>0.25</v>
      </c>
      <c r="N1436" s="9">
        <v>0.75</v>
      </c>
      <c r="O1436" s="9">
        <v>0.75</v>
      </c>
      <c r="P1436" s="10">
        <v>45252.0</v>
      </c>
      <c r="Q1436" s="11">
        <v>1.975</v>
      </c>
      <c r="R1436" s="8" t="s">
        <v>25</v>
      </c>
      <c r="S1436" s="12">
        <f t="shared" si="1"/>
        <v>-0.75</v>
      </c>
      <c r="T1436" s="12">
        <f t="shared" si="8"/>
        <v>42.29295209</v>
      </c>
      <c r="U1436" s="145"/>
    </row>
    <row r="1437">
      <c r="A1437" s="29"/>
      <c r="B1437" s="29"/>
      <c r="C1437" s="15" t="s">
        <v>19</v>
      </c>
      <c r="D1437" s="15">
        <v>26.0</v>
      </c>
      <c r="E1437" s="15" t="s">
        <v>3899</v>
      </c>
      <c r="F1437" s="15" t="s">
        <v>1479</v>
      </c>
      <c r="G1437" s="15" t="s">
        <v>2660</v>
      </c>
      <c r="H1437" s="15">
        <v>-1.0</v>
      </c>
      <c r="I1437" s="15" t="s">
        <v>316</v>
      </c>
      <c r="J1437" s="15" t="s">
        <v>22</v>
      </c>
      <c r="K1437" s="15" t="s">
        <v>1150</v>
      </c>
      <c r="L1437" s="15" t="s">
        <v>24</v>
      </c>
      <c r="M1437" s="16">
        <v>0.0</v>
      </c>
      <c r="N1437" s="16">
        <v>0.3</v>
      </c>
      <c r="O1437" s="16">
        <v>0.3</v>
      </c>
      <c r="P1437" s="17">
        <v>45252.0</v>
      </c>
      <c r="Q1437" s="18">
        <v>2.0</v>
      </c>
      <c r="R1437" s="15" t="s">
        <v>25</v>
      </c>
      <c r="S1437" s="19">
        <f t="shared" si="1"/>
        <v>-0.3</v>
      </c>
      <c r="T1437" s="19">
        <f t="shared" si="8"/>
        <v>41.99295209</v>
      </c>
      <c r="U1437" s="144"/>
    </row>
    <row r="1438">
      <c r="A1438" s="107"/>
      <c r="B1438" s="107"/>
      <c r="C1438" s="8" t="s">
        <v>40</v>
      </c>
      <c r="D1438" s="8">
        <v>34.0</v>
      </c>
      <c r="E1438" s="8" t="s">
        <v>3900</v>
      </c>
      <c r="F1438" s="8" t="s">
        <v>1479</v>
      </c>
      <c r="G1438" s="8" t="s">
        <v>2556</v>
      </c>
      <c r="H1438" s="8">
        <v>-1.0</v>
      </c>
      <c r="I1438" s="8" t="s">
        <v>703</v>
      </c>
      <c r="J1438" s="8" t="s">
        <v>22</v>
      </c>
      <c r="K1438" s="8" t="s">
        <v>225</v>
      </c>
      <c r="L1438" s="8" t="s">
        <v>24</v>
      </c>
      <c r="M1438" s="9">
        <v>2.25</v>
      </c>
      <c r="N1438" s="9">
        <v>0.75</v>
      </c>
      <c r="O1438" s="9">
        <v>0.55</v>
      </c>
      <c r="P1438" s="10">
        <v>45253.0</v>
      </c>
      <c r="Q1438" s="11">
        <v>1.825</v>
      </c>
      <c r="R1438" s="8" t="s">
        <v>25</v>
      </c>
      <c r="S1438" s="12">
        <f t="shared" si="1"/>
        <v>-0.55</v>
      </c>
      <c r="T1438" s="12">
        <f t="shared" si="8"/>
        <v>41.44295209</v>
      </c>
      <c r="U1438" s="145"/>
    </row>
    <row r="1439">
      <c r="A1439" s="29"/>
      <c r="B1439" s="29"/>
      <c r="C1439" s="15" t="s">
        <v>40</v>
      </c>
      <c r="D1439" s="15">
        <v>37.0</v>
      </c>
      <c r="E1439" s="15" t="s">
        <v>3900</v>
      </c>
      <c r="F1439" s="15" t="s">
        <v>1479</v>
      </c>
      <c r="G1439" s="15" t="s">
        <v>2660</v>
      </c>
      <c r="H1439" s="15">
        <v>-2.0</v>
      </c>
      <c r="I1439" s="15" t="s">
        <v>703</v>
      </c>
      <c r="J1439" s="15" t="s">
        <v>22</v>
      </c>
      <c r="K1439" s="15" t="s">
        <v>225</v>
      </c>
      <c r="L1439" s="15" t="s">
        <v>24</v>
      </c>
      <c r="M1439" s="16">
        <v>2.25</v>
      </c>
      <c r="N1439" s="16">
        <v>0.25</v>
      </c>
      <c r="O1439" s="16">
        <v>0.25</v>
      </c>
      <c r="P1439" s="17">
        <v>45253.0</v>
      </c>
      <c r="Q1439" s="18">
        <v>1.2</v>
      </c>
      <c r="R1439" s="15" t="s">
        <v>33</v>
      </c>
      <c r="S1439" s="19">
        <f t="shared" si="1"/>
        <v>0.05</v>
      </c>
      <c r="T1439" s="19">
        <f t="shared" si="8"/>
        <v>41.49295209</v>
      </c>
      <c r="U1439" s="144"/>
    </row>
    <row r="1440">
      <c r="A1440" s="107"/>
      <c r="B1440" s="107"/>
      <c r="C1440" s="8" t="s">
        <v>19</v>
      </c>
      <c r="D1440" s="8">
        <v>28.0</v>
      </c>
      <c r="E1440" s="8" t="s">
        <v>3901</v>
      </c>
      <c r="F1440" s="8" t="s">
        <v>1473</v>
      </c>
      <c r="G1440" s="8" t="s">
        <v>2556</v>
      </c>
      <c r="H1440" s="8">
        <f>1</f>
        <v>1</v>
      </c>
      <c r="I1440" s="8" t="s">
        <v>1172</v>
      </c>
      <c r="J1440" s="8" t="s">
        <v>22</v>
      </c>
      <c r="K1440" s="8" t="s">
        <v>225</v>
      </c>
      <c r="L1440" s="8" t="s">
        <v>39</v>
      </c>
      <c r="M1440" s="9">
        <v>0.25</v>
      </c>
      <c r="N1440" s="9">
        <v>1.0</v>
      </c>
      <c r="O1440" s="9">
        <v>1.0</v>
      </c>
      <c r="P1440" s="10">
        <v>45253.0</v>
      </c>
      <c r="Q1440" s="11">
        <v>1.51</v>
      </c>
      <c r="R1440" s="8" t="s">
        <v>33</v>
      </c>
      <c r="S1440" s="12">
        <f t="shared" si="1"/>
        <v>0.51</v>
      </c>
      <c r="T1440" s="12">
        <f t="shared" si="8"/>
        <v>42.00295209</v>
      </c>
      <c r="U1440" s="145"/>
    </row>
    <row r="1441">
      <c r="A1441" s="29"/>
      <c r="B1441" s="29"/>
      <c r="C1441" s="15" t="s">
        <v>19</v>
      </c>
      <c r="D1441" s="15">
        <v>0.0</v>
      </c>
      <c r="E1441" s="15" t="s">
        <v>3902</v>
      </c>
      <c r="F1441" s="15"/>
      <c r="G1441" s="15"/>
      <c r="H1441" s="15"/>
      <c r="I1441" s="15" t="s">
        <v>768</v>
      </c>
      <c r="J1441" s="15" t="s">
        <v>598</v>
      </c>
      <c r="K1441" s="15" t="s">
        <v>440</v>
      </c>
      <c r="L1441" s="15" t="s">
        <v>24</v>
      </c>
      <c r="M1441" s="16">
        <v>5.5</v>
      </c>
      <c r="N1441" s="16">
        <v>0.4</v>
      </c>
      <c r="O1441" s="16">
        <v>0.4</v>
      </c>
      <c r="P1441" s="17">
        <v>45253.0</v>
      </c>
      <c r="Q1441" s="18">
        <v>1.875</v>
      </c>
      <c r="R1441" s="15" t="s">
        <v>25</v>
      </c>
      <c r="S1441" s="19">
        <f t="shared" si="1"/>
        <v>-0.4</v>
      </c>
      <c r="T1441" s="19">
        <f t="shared" si="8"/>
        <v>41.60295209</v>
      </c>
      <c r="U1441" s="144"/>
    </row>
    <row r="1442">
      <c r="A1442" s="107"/>
      <c r="B1442" s="107"/>
      <c r="C1442" s="8" t="s">
        <v>19</v>
      </c>
      <c r="D1442" s="8"/>
      <c r="E1442" s="8" t="s">
        <v>3903</v>
      </c>
      <c r="F1442" s="8" t="s">
        <v>1473</v>
      </c>
      <c r="G1442" s="8" t="s">
        <v>2660</v>
      </c>
      <c r="H1442" s="8">
        <v>0.0</v>
      </c>
      <c r="I1442" s="8" t="s">
        <v>820</v>
      </c>
      <c r="J1442" s="8" t="s">
        <v>22</v>
      </c>
      <c r="K1442" s="8" t="s">
        <v>892</v>
      </c>
      <c r="L1442" s="8" t="s">
        <v>39</v>
      </c>
      <c r="M1442" s="9">
        <v>0.0</v>
      </c>
      <c r="N1442" s="9">
        <v>0.5</v>
      </c>
      <c r="O1442" s="9">
        <v>0.5</v>
      </c>
      <c r="P1442" s="10">
        <v>45253.0</v>
      </c>
      <c r="Q1442" s="11">
        <v>1.675</v>
      </c>
      <c r="R1442" s="8" t="s">
        <v>70</v>
      </c>
      <c r="S1442" s="12">
        <f t="shared" si="1"/>
        <v>0</v>
      </c>
      <c r="T1442" s="12">
        <f t="shared" si="8"/>
        <v>41.60295209</v>
      </c>
      <c r="U1442" s="145"/>
    </row>
    <row r="1443">
      <c r="A1443" s="29"/>
      <c r="B1443" s="29"/>
      <c r="C1443" s="15" t="s">
        <v>19</v>
      </c>
      <c r="D1443" s="15">
        <v>82.0</v>
      </c>
      <c r="E1443" s="15" t="s">
        <v>3904</v>
      </c>
      <c r="F1443" s="15" t="s">
        <v>1473</v>
      </c>
      <c r="G1443" s="15" t="s">
        <v>2660</v>
      </c>
      <c r="H1443" s="15">
        <v>-2.0</v>
      </c>
      <c r="I1443" s="15" t="s">
        <v>1031</v>
      </c>
      <c r="J1443" s="15" t="s">
        <v>22</v>
      </c>
      <c r="K1443" s="15" t="s">
        <v>892</v>
      </c>
      <c r="L1443" s="15" t="s">
        <v>24</v>
      </c>
      <c r="M1443" s="16">
        <v>0.0</v>
      </c>
      <c r="N1443" s="16">
        <v>0.5</v>
      </c>
      <c r="O1443" s="16">
        <v>0.5</v>
      </c>
      <c r="P1443" s="17">
        <v>45253.0</v>
      </c>
      <c r="Q1443" s="18">
        <v>1.8</v>
      </c>
      <c r="R1443" s="15" t="s">
        <v>70</v>
      </c>
      <c r="S1443" s="19">
        <f t="shared" si="1"/>
        <v>0</v>
      </c>
      <c r="T1443" s="19">
        <f t="shared" si="8"/>
        <v>41.60295209</v>
      </c>
      <c r="U1443" s="144"/>
    </row>
    <row r="1444">
      <c r="A1444" s="107"/>
      <c r="B1444" s="107"/>
      <c r="C1444" s="8" t="s">
        <v>19</v>
      </c>
      <c r="D1444" s="8">
        <v>69.0</v>
      </c>
      <c r="E1444" s="8" t="s">
        <v>3905</v>
      </c>
      <c r="F1444" s="8" t="s">
        <v>1473</v>
      </c>
      <c r="G1444" s="8" t="s">
        <v>2660</v>
      </c>
      <c r="H1444" s="8">
        <v>-1.0</v>
      </c>
      <c r="I1444" s="8" t="s">
        <v>714</v>
      </c>
      <c r="J1444" s="8" t="s">
        <v>22</v>
      </c>
      <c r="K1444" s="8" t="s">
        <v>892</v>
      </c>
      <c r="L1444" s="8" t="s">
        <v>39</v>
      </c>
      <c r="M1444" s="9">
        <v>0.0</v>
      </c>
      <c r="N1444" s="9">
        <v>0.6</v>
      </c>
      <c r="O1444" s="9">
        <v>0.6</v>
      </c>
      <c r="P1444" s="10">
        <v>45253.0</v>
      </c>
      <c r="Q1444" s="11">
        <v>1.925</v>
      </c>
      <c r="R1444" s="8" t="s">
        <v>33</v>
      </c>
      <c r="S1444" s="12">
        <f t="shared" si="1"/>
        <v>0.555</v>
      </c>
      <c r="T1444" s="12">
        <f t="shared" si="8"/>
        <v>42.15795209</v>
      </c>
      <c r="U1444" s="145"/>
    </row>
    <row r="1445">
      <c r="A1445" s="29"/>
      <c r="B1445" s="29"/>
      <c r="C1445" s="15" t="s">
        <v>19</v>
      </c>
      <c r="D1445" s="15">
        <v>37.0</v>
      </c>
      <c r="E1445" s="15" t="s">
        <v>3906</v>
      </c>
      <c r="F1445" s="15" t="s">
        <v>1473</v>
      </c>
      <c r="G1445" s="15" t="s">
        <v>2556</v>
      </c>
      <c r="H1445" s="15">
        <f t="shared" ref="H1445:H1446" si="45">1</f>
        <v>1</v>
      </c>
      <c r="I1445" s="15" t="s">
        <v>187</v>
      </c>
      <c r="J1445" s="15" t="s">
        <v>22</v>
      </c>
      <c r="K1445" s="15" t="s">
        <v>225</v>
      </c>
      <c r="L1445" s="15" t="s">
        <v>24</v>
      </c>
      <c r="M1445" s="16">
        <v>1.5</v>
      </c>
      <c r="N1445" s="16">
        <v>0.4</v>
      </c>
      <c r="O1445" s="16">
        <v>0.4</v>
      </c>
      <c r="P1445" s="17">
        <v>45254.0</v>
      </c>
      <c r="Q1445" s="18">
        <v>1.7</v>
      </c>
      <c r="R1445" s="15" t="s">
        <v>33</v>
      </c>
      <c r="S1445" s="19">
        <f t="shared" si="1"/>
        <v>0.28</v>
      </c>
      <c r="T1445" s="19">
        <f t="shared" si="8"/>
        <v>42.43795209</v>
      </c>
      <c r="U1445" s="144"/>
    </row>
    <row r="1446">
      <c r="A1446" s="107"/>
      <c r="B1446" s="107"/>
      <c r="C1446" s="8" t="s">
        <v>19</v>
      </c>
      <c r="D1446" s="8">
        <v>39.0</v>
      </c>
      <c r="E1446" s="8" t="s">
        <v>3907</v>
      </c>
      <c r="F1446" s="8" t="s">
        <v>1473</v>
      </c>
      <c r="G1446" s="8" t="s">
        <v>2556</v>
      </c>
      <c r="H1446" s="8">
        <f t="shared" si="45"/>
        <v>1</v>
      </c>
      <c r="I1446" s="8" t="s">
        <v>187</v>
      </c>
      <c r="J1446" s="8" t="s">
        <v>22</v>
      </c>
      <c r="K1446" s="8" t="s">
        <v>225</v>
      </c>
      <c r="L1446" s="8" t="s">
        <v>24</v>
      </c>
      <c r="M1446" s="9">
        <v>1.25</v>
      </c>
      <c r="N1446" s="9">
        <v>0.4</v>
      </c>
      <c r="O1446" s="9">
        <v>0.4</v>
      </c>
      <c r="P1446" s="10">
        <v>45254.0</v>
      </c>
      <c r="Q1446" s="11">
        <v>1.925</v>
      </c>
      <c r="R1446" s="8" t="s">
        <v>33</v>
      </c>
      <c r="S1446" s="12">
        <f t="shared" si="1"/>
        <v>0.37</v>
      </c>
      <c r="T1446" s="12">
        <f t="shared" si="8"/>
        <v>42.80795209</v>
      </c>
      <c r="U1446" s="145"/>
    </row>
    <row r="1447">
      <c r="A1447" s="29"/>
      <c r="B1447" s="29"/>
      <c r="C1447" s="15" t="s">
        <v>19</v>
      </c>
      <c r="D1447" s="15">
        <v>65.0</v>
      </c>
      <c r="E1447" s="15" t="s">
        <v>3908</v>
      </c>
      <c r="F1447" s="15" t="s">
        <v>1473</v>
      </c>
      <c r="G1447" s="15" t="s">
        <v>2573</v>
      </c>
      <c r="H1447" s="15">
        <v>-1.0</v>
      </c>
      <c r="I1447" s="15" t="s">
        <v>583</v>
      </c>
      <c r="J1447" s="15" t="s">
        <v>22</v>
      </c>
      <c r="K1447" s="15" t="s">
        <v>894</v>
      </c>
      <c r="L1447" s="15" t="s">
        <v>39</v>
      </c>
      <c r="M1447" s="16">
        <v>-0.25</v>
      </c>
      <c r="N1447" s="16">
        <v>0.25</v>
      </c>
      <c r="O1447" s="16">
        <v>0.25</v>
      </c>
      <c r="P1447" s="55">
        <v>45254.0</v>
      </c>
      <c r="Q1447" s="18">
        <v>1.825</v>
      </c>
      <c r="R1447" s="15" t="s">
        <v>79</v>
      </c>
      <c r="S1447" s="19">
        <f t="shared" si="1"/>
        <v>-0.125</v>
      </c>
      <c r="T1447" s="19">
        <f t="shared" si="8"/>
        <v>42.68295209</v>
      </c>
      <c r="U1447" s="144"/>
    </row>
    <row r="1448">
      <c r="A1448" s="107"/>
      <c r="B1448" s="107"/>
      <c r="C1448" s="8" t="s">
        <v>19</v>
      </c>
      <c r="D1448" s="8">
        <v>30.0</v>
      </c>
      <c r="E1448" s="8" t="s">
        <v>3909</v>
      </c>
      <c r="F1448" s="8" t="s">
        <v>1473</v>
      </c>
      <c r="G1448" s="8" t="s">
        <v>2556</v>
      </c>
      <c r="H1448" s="8">
        <v>-1.0</v>
      </c>
      <c r="I1448" s="8" t="s">
        <v>1031</v>
      </c>
      <c r="J1448" s="8" t="s">
        <v>22</v>
      </c>
      <c r="K1448" s="8" t="s">
        <v>225</v>
      </c>
      <c r="L1448" s="8" t="s">
        <v>24</v>
      </c>
      <c r="M1448" s="9">
        <v>0.25</v>
      </c>
      <c r="N1448" s="9">
        <v>1.0</v>
      </c>
      <c r="O1448" s="9">
        <v>1.0</v>
      </c>
      <c r="P1448" s="10">
        <v>45254.0</v>
      </c>
      <c r="Q1448" s="11">
        <v>1.015</v>
      </c>
      <c r="R1448" s="8" t="s">
        <v>33</v>
      </c>
      <c r="S1448" s="12">
        <f t="shared" si="1"/>
        <v>0.015</v>
      </c>
      <c r="T1448" s="12">
        <f t="shared" si="8"/>
        <v>42.69795209</v>
      </c>
      <c r="U1448" s="145"/>
    </row>
    <row r="1449">
      <c r="A1449" s="29"/>
      <c r="B1449" s="29"/>
      <c r="C1449" s="15" t="s">
        <v>19</v>
      </c>
      <c r="D1449" s="15">
        <v>56.0</v>
      </c>
      <c r="E1449" s="15" t="s">
        <v>3910</v>
      </c>
      <c r="F1449" s="15" t="s">
        <v>1479</v>
      </c>
      <c r="G1449" s="15" t="s">
        <v>2660</v>
      </c>
      <c r="H1449" s="15">
        <v>0.0</v>
      </c>
      <c r="I1449" s="15" t="s">
        <v>3911</v>
      </c>
      <c r="J1449" s="15" t="s">
        <v>22</v>
      </c>
      <c r="K1449" s="15" t="s">
        <v>892</v>
      </c>
      <c r="L1449" s="15" t="s">
        <v>39</v>
      </c>
      <c r="M1449" s="16">
        <v>0.0</v>
      </c>
      <c r="N1449" s="16">
        <v>1.0</v>
      </c>
      <c r="O1449" s="16">
        <v>0.46</v>
      </c>
      <c r="P1449" s="17">
        <v>45254.0</v>
      </c>
      <c r="Q1449" s="18">
        <v>2.05</v>
      </c>
      <c r="R1449" s="15" t="s">
        <v>25</v>
      </c>
      <c r="S1449" s="19">
        <f t="shared" si="1"/>
        <v>-0.46</v>
      </c>
      <c r="T1449" s="19">
        <f t="shared" si="8"/>
        <v>42.23795209</v>
      </c>
      <c r="U1449" s="144"/>
    </row>
    <row r="1450">
      <c r="A1450" s="107"/>
      <c r="B1450" s="107"/>
      <c r="C1450" s="8" t="s">
        <v>19</v>
      </c>
      <c r="D1450" s="8">
        <v>28.0</v>
      </c>
      <c r="E1450" s="8" t="s">
        <v>3912</v>
      </c>
      <c r="F1450" s="8" t="s">
        <v>1479</v>
      </c>
      <c r="G1450" s="8" t="s">
        <v>2556</v>
      </c>
      <c r="H1450" s="8">
        <v>0.0</v>
      </c>
      <c r="I1450" s="8" t="s">
        <v>248</v>
      </c>
      <c r="J1450" s="8" t="s">
        <v>22</v>
      </c>
      <c r="K1450" s="8" t="s">
        <v>941</v>
      </c>
      <c r="L1450" s="8" t="s">
        <v>24</v>
      </c>
      <c r="M1450" s="9">
        <v>0.0</v>
      </c>
      <c r="N1450" s="9">
        <v>1.0</v>
      </c>
      <c r="O1450" s="9">
        <v>1.0</v>
      </c>
      <c r="P1450" s="10">
        <v>45254.0</v>
      </c>
      <c r="Q1450" s="11">
        <v>1.8</v>
      </c>
      <c r="R1450" s="8" t="s">
        <v>70</v>
      </c>
      <c r="S1450" s="12">
        <f t="shared" si="1"/>
        <v>0</v>
      </c>
      <c r="T1450" s="12">
        <f t="shared" si="8"/>
        <v>42.23795209</v>
      </c>
      <c r="U1450" s="145"/>
    </row>
    <row r="1451">
      <c r="A1451" s="29"/>
      <c r="B1451" s="29"/>
      <c r="C1451" s="15" t="s">
        <v>19</v>
      </c>
      <c r="D1451" s="15">
        <v>76.0</v>
      </c>
      <c r="E1451" s="15" t="s">
        <v>3913</v>
      </c>
      <c r="F1451" s="15" t="s">
        <v>1479</v>
      </c>
      <c r="G1451" s="15" t="s">
        <v>2660</v>
      </c>
      <c r="H1451" s="15">
        <v>0.0</v>
      </c>
      <c r="I1451" s="15" t="s">
        <v>224</v>
      </c>
      <c r="J1451" s="15" t="s">
        <v>22</v>
      </c>
      <c r="K1451" s="15" t="s">
        <v>892</v>
      </c>
      <c r="L1451" s="15" t="s">
        <v>24</v>
      </c>
      <c r="M1451" s="16">
        <v>0.0</v>
      </c>
      <c r="N1451" s="16">
        <v>0.8</v>
      </c>
      <c r="O1451" s="16">
        <v>0.8</v>
      </c>
      <c r="P1451" s="17">
        <v>45254.0</v>
      </c>
      <c r="Q1451" s="18">
        <v>1.9</v>
      </c>
      <c r="R1451" s="15" t="s">
        <v>70</v>
      </c>
      <c r="S1451" s="19">
        <f t="shared" si="1"/>
        <v>0</v>
      </c>
      <c r="T1451" s="19">
        <f t="shared" si="8"/>
        <v>42.23795209</v>
      </c>
      <c r="U1451" s="144"/>
    </row>
    <row r="1452">
      <c r="A1452" s="107"/>
      <c r="B1452" s="107"/>
      <c r="C1452" s="8" t="s">
        <v>19</v>
      </c>
      <c r="D1452" s="8">
        <v>2.0</v>
      </c>
      <c r="E1452" s="8" t="s">
        <v>3914</v>
      </c>
      <c r="F1452" s="8" t="s">
        <v>1473</v>
      </c>
      <c r="G1452" s="8" t="s">
        <v>2556</v>
      </c>
      <c r="H1452" s="8">
        <v>0.0</v>
      </c>
      <c r="I1452" s="8" t="s">
        <v>1025</v>
      </c>
      <c r="J1452" s="8" t="s">
        <v>22</v>
      </c>
      <c r="K1452" s="8" t="s">
        <v>225</v>
      </c>
      <c r="L1452" s="8" t="s">
        <v>24</v>
      </c>
      <c r="M1452" s="9">
        <v>1.25</v>
      </c>
      <c r="N1452" s="9">
        <v>0.25</v>
      </c>
      <c r="O1452" s="9">
        <v>0.25</v>
      </c>
      <c r="P1452" s="10">
        <v>45254.0</v>
      </c>
      <c r="Q1452" s="11">
        <v>1.65</v>
      </c>
      <c r="R1452" s="8" t="s">
        <v>33</v>
      </c>
      <c r="S1452" s="12">
        <f t="shared" si="1"/>
        <v>0.1625</v>
      </c>
      <c r="T1452" s="12">
        <f t="shared" si="8"/>
        <v>42.40045209</v>
      </c>
      <c r="U1452" s="145"/>
    </row>
    <row r="1453">
      <c r="A1453" s="29"/>
      <c r="B1453" s="29"/>
      <c r="C1453" s="15" t="s">
        <v>19</v>
      </c>
      <c r="D1453" s="15">
        <v>63.0</v>
      </c>
      <c r="E1453" s="15" t="s">
        <v>3915</v>
      </c>
      <c r="F1453" s="15" t="s">
        <v>1479</v>
      </c>
      <c r="G1453" s="15" t="s">
        <v>2660</v>
      </c>
      <c r="H1453" s="15">
        <f t="shared" ref="H1453:H1454" si="46">1</f>
        <v>1</v>
      </c>
      <c r="I1453" s="15" t="s">
        <v>248</v>
      </c>
      <c r="J1453" s="15" t="s">
        <v>22</v>
      </c>
      <c r="K1453" s="15" t="s">
        <v>892</v>
      </c>
      <c r="L1453" s="15" t="s">
        <v>24</v>
      </c>
      <c r="M1453" s="16">
        <v>0.0</v>
      </c>
      <c r="N1453" s="16">
        <v>1.0</v>
      </c>
      <c r="O1453" s="16">
        <v>1.0</v>
      </c>
      <c r="P1453" s="17">
        <v>45254.0</v>
      </c>
      <c r="Q1453" s="18">
        <v>1.8</v>
      </c>
      <c r="R1453" s="15" t="s">
        <v>70</v>
      </c>
      <c r="S1453" s="19">
        <f t="shared" si="1"/>
        <v>0</v>
      </c>
      <c r="T1453" s="19">
        <f t="shared" si="8"/>
        <v>42.40045209</v>
      </c>
      <c r="U1453" s="144"/>
    </row>
    <row r="1454">
      <c r="A1454" s="107"/>
      <c r="B1454" s="107"/>
      <c r="C1454" s="8" t="s">
        <v>19</v>
      </c>
      <c r="D1454" s="8">
        <v>37.0</v>
      </c>
      <c r="E1454" s="8" t="s">
        <v>3916</v>
      </c>
      <c r="F1454" s="8" t="s">
        <v>1473</v>
      </c>
      <c r="G1454" s="8" t="s">
        <v>2660</v>
      </c>
      <c r="H1454" s="8">
        <f t="shared" si="46"/>
        <v>1</v>
      </c>
      <c r="I1454" s="8" t="s">
        <v>432</v>
      </c>
      <c r="J1454" s="8" t="s">
        <v>22</v>
      </c>
      <c r="K1454" s="8" t="s">
        <v>892</v>
      </c>
      <c r="L1454" s="8" t="s">
        <v>39</v>
      </c>
      <c r="M1454" s="9">
        <v>0.0</v>
      </c>
      <c r="N1454" s="9">
        <v>0.25</v>
      </c>
      <c r="O1454" s="9">
        <v>0.25</v>
      </c>
      <c r="P1454" s="10">
        <v>45254.0</v>
      </c>
      <c r="Q1454" s="11">
        <v>1.85</v>
      </c>
      <c r="R1454" s="8" t="s">
        <v>33</v>
      </c>
      <c r="S1454" s="12">
        <f t="shared" si="1"/>
        <v>0.2125</v>
      </c>
      <c r="T1454" s="12">
        <f t="shared" si="8"/>
        <v>42.61295209</v>
      </c>
      <c r="U1454" s="145"/>
    </row>
    <row r="1455">
      <c r="A1455" s="29"/>
      <c r="B1455" s="29"/>
      <c r="C1455" s="15" t="s">
        <v>19</v>
      </c>
      <c r="D1455" s="15">
        <v>38.0</v>
      </c>
      <c r="E1455" s="15" t="s">
        <v>3917</v>
      </c>
      <c r="F1455" s="15"/>
      <c r="G1455" s="15"/>
      <c r="H1455" s="15"/>
      <c r="I1455" s="15" t="s">
        <v>44</v>
      </c>
      <c r="J1455" s="15" t="s">
        <v>22</v>
      </c>
      <c r="K1455" s="15" t="s">
        <v>2939</v>
      </c>
      <c r="L1455" s="15" t="s">
        <v>24</v>
      </c>
      <c r="M1455" s="16">
        <v>-3.5</v>
      </c>
      <c r="N1455" s="16">
        <v>0.25</v>
      </c>
      <c r="O1455" s="16">
        <v>0.25</v>
      </c>
      <c r="P1455" s="17">
        <v>45254.0</v>
      </c>
      <c r="Q1455" s="18">
        <v>1.71</v>
      </c>
      <c r="R1455" s="15" t="s">
        <v>33</v>
      </c>
      <c r="S1455" s="19">
        <f t="shared" si="1"/>
        <v>0.1775</v>
      </c>
      <c r="T1455" s="19">
        <f t="shared" si="8"/>
        <v>42.79045209</v>
      </c>
      <c r="U1455" s="144"/>
    </row>
    <row r="1456">
      <c r="A1456" s="107"/>
      <c r="B1456" s="107"/>
      <c r="C1456" s="8" t="s">
        <v>19</v>
      </c>
      <c r="D1456" s="8">
        <v>55.0</v>
      </c>
      <c r="E1456" s="8" t="s">
        <v>3918</v>
      </c>
      <c r="F1456" s="8" t="s">
        <v>1473</v>
      </c>
      <c r="G1456" s="8" t="s">
        <v>2660</v>
      </c>
      <c r="H1456" s="8">
        <v>0.0</v>
      </c>
      <c r="I1456" s="8" t="s">
        <v>44</v>
      </c>
      <c r="J1456" s="8" t="s">
        <v>22</v>
      </c>
      <c r="K1456" s="8" t="s">
        <v>892</v>
      </c>
      <c r="L1456" s="8" t="s">
        <v>39</v>
      </c>
      <c r="M1456" s="9">
        <v>0.0</v>
      </c>
      <c r="N1456" s="9">
        <v>0.25</v>
      </c>
      <c r="O1456" s="9">
        <v>0.25</v>
      </c>
      <c r="P1456" s="10">
        <v>45254.0</v>
      </c>
      <c r="Q1456" s="11">
        <v>1.9</v>
      </c>
      <c r="R1456" s="8" t="s">
        <v>33</v>
      </c>
      <c r="S1456" s="12">
        <f t="shared" si="1"/>
        <v>0.225</v>
      </c>
      <c r="T1456" s="12">
        <f t="shared" si="8"/>
        <v>43.01545209</v>
      </c>
      <c r="U1456" s="145"/>
    </row>
    <row r="1457">
      <c r="A1457" s="29"/>
      <c r="B1457" s="29"/>
      <c r="C1457" s="15" t="s">
        <v>19</v>
      </c>
      <c r="D1457" s="15">
        <v>19.0</v>
      </c>
      <c r="E1457" s="15" t="s">
        <v>3919</v>
      </c>
      <c r="F1457" s="15" t="s">
        <v>1479</v>
      </c>
      <c r="G1457" s="15" t="s">
        <v>2660</v>
      </c>
      <c r="H1457" s="15">
        <f>1</f>
        <v>1</v>
      </c>
      <c r="I1457" s="15" t="s">
        <v>44</v>
      </c>
      <c r="J1457" s="15" t="s">
        <v>22</v>
      </c>
      <c r="K1457" s="15" t="s">
        <v>1150</v>
      </c>
      <c r="L1457" s="15" t="s">
        <v>39</v>
      </c>
      <c r="M1457" s="16">
        <v>0.0</v>
      </c>
      <c r="N1457" s="16">
        <v>0.4</v>
      </c>
      <c r="O1457" s="16">
        <v>0.28</v>
      </c>
      <c r="P1457" s="17">
        <v>45255.0</v>
      </c>
      <c r="Q1457" s="18">
        <v>1.875</v>
      </c>
      <c r="R1457" s="15" t="s">
        <v>33</v>
      </c>
      <c r="S1457" s="19">
        <f t="shared" si="1"/>
        <v>0.245</v>
      </c>
      <c r="T1457" s="19">
        <f t="shared" si="8"/>
        <v>43.26045209</v>
      </c>
      <c r="U1457" s="144"/>
    </row>
    <row r="1458">
      <c r="A1458" s="107"/>
      <c r="B1458" s="107"/>
      <c r="C1458" s="8" t="s">
        <v>19</v>
      </c>
      <c r="D1458" s="8">
        <v>24.0</v>
      </c>
      <c r="E1458" s="8" t="s">
        <v>3919</v>
      </c>
      <c r="F1458" s="8" t="s">
        <v>1479</v>
      </c>
      <c r="G1458" s="8" t="s">
        <v>2660</v>
      </c>
      <c r="H1458" s="8">
        <v>2</v>
      </c>
      <c r="I1458" s="8" t="s">
        <v>44</v>
      </c>
      <c r="J1458" s="8" t="s">
        <v>22</v>
      </c>
      <c r="K1458" s="8" t="s">
        <v>1150</v>
      </c>
      <c r="L1458" s="8" t="s">
        <v>39</v>
      </c>
      <c r="M1458" s="9">
        <v>0.0</v>
      </c>
      <c r="N1458" s="9">
        <v>0.25</v>
      </c>
      <c r="O1458" s="9">
        <v>0.25</v>
      </c>
      <c r="P1458" s="10">
        <v>45255.0</v>
      </c>
      <c r="Q1458" s="11">
        <v>1.7</v>
      </c>
      <c r="R1458" s="8" t="s">
        <v>33</v>
      </c>
      <c r="S1458" s="12">
        <f t="shared" si="1"/>
        <v>0.175</v>
      </c>
      <c r="T1458" s="12">
        <f t="shared" si="8"/>
        <v>43.43545209</v>
      </c>
      <c r="U1458" s="145"/>
    </row>
    <row r="1459">
      <c r="A1459" s="29"/>
      <c r="B1459" s="29"/>
      <c r="C1459" s="15" t="s">
        <v>19</v>
      </c>
      <c r="D1459" s="15"/>
      <c r="E1459" s="15" t="s">
        <v>3920</v>
      </c>
      <c r="F1459" s="15" t="s">
        <v>1473</v>
      </c>
      <c r="G1459" s="15" t="s">
        <v>2660</v>
      </c>
      <c r="H1459" s="15">
        <v>-1.0</v>
      </c>
      <c r="I1459" s="15" t="s">
        <v>1025</v>
      </c>
      <c r="J1459" s="15" t="s">
        <v>22</v>
      </c>
      <c r="K1459" s="15" t="s">
        <v>1150</v>
      </c>
      <c r="L1459" s="15" t="s">
        <v>24</v>
      </c>
      <c r="M1459" s="16">
        <v>0.0</v>
      </c>
      <c r="N1459" s="16">
        <v>0.5</v>
      </c>
      <c r="O1459" s="16">
        <v>0.5</v>
      </c>
      <c r="P1459" s="17">
        <v>45255.0</v>
      </c>
      <c r="Q1459" s="18">
        <v>1.775</v>
      </c>
      <c r="R1459" s="15" t="s">
        <v>70</v>
      </c>
      <c r="S1459" s="19">
        <f t="shared" si="1"/>
        <v>0</v>
      </c>
      <c r="T1459" s="19">
        <f t="shared" si="8"/>
        <v>43.43545209</v>
      </c>
      <c r="U1459" s="144"/>
    </row>
    <row r="1460">
      <c r="A1460" s="107"/>
      <c r="B1460" s="107"/>
      <c r="C1460" s="8" t="s">
        <v>19</v>
      </c>
      <c r="D1460" s="8">
        <v>56.0</v>
      </c>
      <c r="E1460" s="8" t="s">
        <v>3921</v>
      </c>
      <c r="F1460" s="8" t="s">
        <v>1473</v>
      </c>
      <c r="G1460" s="8" t="s">
        <v>2660</v>
      </c>
      <c r="H1460" s="8">
        <v>-1.0</v>
      </c>
      <c r="I1460" s="8" t="s">
        <v>1025</v>
      </c>
      <c r="J1460" s="8" t="s">
        <v>22</v>
      </c>
      <c r="K1460" s="8" t="s">
        <v>892</v>
      </c>
      <c r="L1460" s="8" t="s">
        <v>24</v>
      </c>
      <c r="M1460" s="9">
        <v>0.0</v>
      </c>
      <c r="N1460" s="9">
        <v>0.2</v>
      </c>
      <c r="O1460" s="9">
        <v>0.2</v>
      </c>
      <c r="P1460" s="10">
        <v>45255.0</v>
      </c>
      <c r="Q1460" s="11">
        <v>1.725</v>
      </c>
      <c r="R1460" s="8" t="s">
        <v>70</v>
      </c>
      <c r="S1460" s="12">
        <f t="shared" si="1"/>
        <v>0</v>
      </c>
      <c r="T1460" s="12">
        <f t="shared" si="8"/>
        <v>43.43545209</v>
      </c>
      <c r="U1460" s="145"/>
    </row>
    <row r="1461">
      <c r="A1461" s="29"/>
      <c r="B1461" s="29"/>
      <c r="C1461" s="15" t="s">
        <v>19</v>
      </c>
      <c r="D1461" s="15">
        <v>54.0</v>
      </c>
      <c r="E1461" s="15" t="s">
        <v>3922</v>
      </c>
      <c r="F1461" s="15" t="s">
        <v>1473</v>
      </c>
      <c r="G1461" s="15" t="s">
        <v>2556</v>
      </c>
      <c r="H1461" s="15">
        <v>-4.0</v>
      </c>
      <c r="I1461" s="15" t="s">
        <v>44</v>
      </c>
      <c r="J1461" s="15" t="s">
        <v>22</v>
      </c>
      <c r="K1461" s="15" t="s">
        <v>225</v>
      </c>
      <c r="L1461" s="15" t="s">
        <v>39</v>
      </c>
      <c r="M1461" s="16">
        <v>0.5</v>
      </c>
      <c r="N1461" s="16">
        <v>0.25</v>
      </c>
      <c r="O1461" s="16">
        <v>0.25</v>
      </c>
      <c r="P1461" s="17">
        <v>45255.0</v>
      </c>
      <c r="Q1461" s="18">
        <v>1.75</v>
      </c>
      <c r="R1461" s="15" t="s">
        <v>33</v>
      </c>
      <c r="S1461" s="19">
        <f t="shared" si="1"/>
        <v>0.1875</v>
      </c>
      <c r="T1461" s="19">
        <f t="shared" si="8"/>
        <v>43.62295209</v>
      </c>
      <c r="U1461" s="144"/>
    </row>
    <row r="1462">
      <c r="A1462" s="107"/>
      <c r="B1462" s="107"/>
      <c r="C1462" s="8" t="s">
        <v>19</v>
      </c>
      <c r="D1462" s="8">
        <v>56.0</v>
      </c>
      <c r="E1462" s="8" t="s">
        <v>3923</v>
      </c>
      <c r="F1462" s="8" t="s">
        <v>1473</v>
      </c>
      <c r="G1462" s="8" t="s">
        <v>2556</v>
      </c>
      <c r="H1462" s="8">
        <v>-3.0</v>
      </c>
      <c r="I1462" s="8" t="s">
        <v>44</v>
      </c>
      <c r="J1462" s="8" t="s">
        <v>22</v>
      </c>
      <c r="K1462" s="8" t="s">
        <v>225</v>
      </c>
      <c r="L1462" s="8" t="s">
        <v>39</v>
      </c>
      <c r="M1462" s="9">
        <v>0.25</v>
      </c>
      <c r="N1462" s="9">
        <v>0.75</v>
      </c>
      <c r="O1462" s="9">
        <v>0.55</v>
      </c>
      <c r="P1462" s="56">
        <v>45255.0</v>
      </c>
      <c r="Q1462" s="11">
        <v>1.95</v>
      </c>
      <c r="R1462" s="8" t="s">
        <v>25</v>
      </c>
      <c r="S1462" s="12">
        <f t="shared" si="1"/>
        <v>-0.55</v>
      </c>
      <c r="T1462" s="12">
        <f t="shared" si="8"/>
        <v>43.07295209</v>
      </c>
      <c r="U1462" s="145"/>
    </row>
    <row r="1463">
      <c r="A1463" s="29"/>
      <c r="B1463" s="29"/>
      <c r="C1463" s="15" t="s">
        <v>19</v>
      </c>
      <c r="D1463" s="15">
        <v>34.0</v>
      </c>
      <c r="E1463" s="15" t="s">
        <v>3924</v>
      </c>
      <c r="F1463" s="15" t="s">
        <v>1473</v>
      </c>
      <c r="G1463" s="15" t="s">
        <v>2660</v>
      </c>
      <c r="H1463" s="15">
        <v>0.0</v>
      </c>
      <c r="I1463" s="15" t="s">
        <v>908</v>
      </c>
      <c r="J1463" s="15" t="s">
        <v>22</v>
      </c>
      <c r="K1463" s="15" t="s">
        <v>1150</v>
      </c>
      <c r="L1463" s="15" t="s">
        <v>24</v>
      </c>
      <c r="M1463" s="16">
        <v>0.0</v>
      </c>
      <c r="N1463" s="16">
        <v>0.5</v>
      </c>
      <c r="O1463" s="16">
        <v>0.5</v>
      </c>
      <c r="P1463" s="17">
        <v>45255.0</v>
      </c>
      <c r="Q1463" s="18">
        <v>1.725</v>
      </c>
      <c r="R1463" s="15" t="s">
        <v>70</v>
      </c>
      <c r="S1463" s="19">
        <f t="shared" si="1"/>
        <v>0</v>
      </c>
      <c r="T1463" s="19">
        <f t="shared" si="8"/>
        <v>43.07295209</v>
      </c>
      <c r="U1463" s="144"/>
    </row>
    <row r="1464">
      <c r="A1464" s="107"/>
      <c r="B1464" s="107"/>
      <c r="C1464" s="8" t="s">
        <v>19</v>
      </c>
      <c r="D1464" s="8">
        <v>24.0</v>
      </c>
      <c r="E1464" s="8" t="s">
        <v>3925</v>
      </c>
      <c r="F1464" s="8" t="s">
        <v>1479</v>
      </c>
      <c r="G1464" s="8" t="s">
        <v>2660</v>
      </c>
      <c r="H1464" s="8">
        <v>0.0</v>
      </c>
      <c r="I1464" s="8" t="s">
        <v>44</v>
      </c>
      <c r="J1464" s="8" t="s">
        <v>22</v>
      </c>
      <c r="K1464" s="8" t="s">
        <v>1150</v>
      </c>
      <c r="L1464" s="8" t="s">
        <v>39</v>
      </c>
      <c r="M1464" s="9">
        <v>0.0</v>
      </c>
      <c r="N1464" s="9">
        <v>1.0</v>
      </c>
      <c r="O1464" s="9">
        <v>1.0</v>
      </c>
      <c r="P1464" s="10">
        <v>45255.0</v>
      </c>
      <c r="Q1464" s="11">
        <v>2.02</v>
      </c>
      <c r="R1464" s="8" t="s">
        <v>70</v>
      </c>
      <c r="S1464" s="12">
        <f t="shared" si="1"/>
        <v>0</v>
      </c>
      <c r="T1464" s="12">
        <f t="shared" si="8"/>
        <v>43.07295209</v>
      </c>
      <c r="U1464" s="145"/>
    </row>
    <row r="1465">
      <c r="A1465" s="29"/>
      <c r="B1465" s="29"/>
      <c r="C1465" s="15" t="s">
        <v>40</v>
      </c>
      <c r="D1465" s="15">
        <v>45.0</v>
      </c>
      <c r="E1465" s="15" t="s">
        <v>3926</v>
      </c>
      <c r="F1465" s="15" t="s">
        <v>1473</v>
      </c>
      <c r="G1465" s="15" t="s">
        <v>2556</v>
      </c>
      <c r="H1465" s="15">
        <v>-1.0</v>
      </c>
      <c r="I1465" s="15" t="s">
        <v>42</v>
      </c>
      <c r="J1465" s="15" t="s">
        <v>22</v>
      </c>
      <c r="K1465" s="15" t="s">
        <v>225</v>
      </c>
      <c r="L1465" s="15" t="s">
        <v>24</v>
      </c>
      <c r="M1465" s="16">
        <v>0.5</v>
      </c>
      <c r="N1465" s="16">
        <v>1.0</v>
      </c>
      <c r="O1465" s="16">
        <v>1.0</v>
      </c>
      <c r="P1465" s="17">
        <v>45255.0</v>
      </c>
      <c r="Q1465" s="18">
        <v>1.775</v>
      </c>
      <c r="R1465" s="15" t="s">
        <v>33</v>
      </c>
      <c r="S1465" s="19">
        <f t="shared" si="1"/>
        <v>0.775</v>
      </c>
      <c r="T1465" s="19">
        <f t="shared" si="8"/>
        <v>43.84795209</v>
      </c>
      <c r="U1465" s="144"/>
    </row>
    <row r="1466">
      <c r="A1466" s="107"/>
      <c r="B1466" s="107"/>
      <c r="C1466" s="8" t="s">
        <v>19</v>
      </c>
      <c r="D1466" s="8">
        <v>64.0</v>
      </c>
      <c r="E1466" s="8" t="s">
        <v>3927</v>
      </c>
      <c r="F1466" s="8" t="s">
        <v>1473</v>
      </c>
      <c r="G1466" s="8" t="s">
        <v>2660</v>
      </c>
      <c r="H1466" s="8">
        <v>-1.0</v>
      </c>
      <c r="I1466" s="8" t="s">
        <v>583</v>
      </c>
      <c r="J1466" s="8" t="s">
        <v>22</v>
      </c>
      <c r="K1466" s="8" t="s">
        <v>892</v>
      </c>
      <c r="L1466" s="8" t="s">
        <v>24</v>
      </c>
      <c r="M1466" s="9">
        <v>0.0</v>
      </c>
      <c r="N1466" s="9">
        <v>1.0</v>
      </c>
      <c r="O1466" s="9">
        <v>1.0</v>
      </c>
      <c r="P1466" s="10">
        <v>45255.0</v>
      </c>
      <c r="Q1466" s="11">
        <v>2.2</v>
      </c>
      <c r="R1466" s="8" t="s">
        <v>70</v>
      </c>
      <c r="S1466" s="12">
        <f t="shared" si="1"/>
        <v>0</v>
      </c>
      <c r="T1466" s="12">
        <f t="shared" si="8"/>
        <v>43.84795209</v>
      </c>
      <c r="U1466" s="145"/>
    </row>
    <row r="1467">
      <c r="A1467" s="29"/>
      <c r="B1467" s="29"/>
      <c r="C1467" s="15" t="s">
        <v>19</v>
      </c>
      <c r="D1467" s="15">
        <v>36.0</v>
      </c>
      <c r="E1467" s="15" t="s">
        <v>3928</v>
      </c>
      <c r="F1467" s="15" t="s">
        <v>1473</v>
      </c>
      <c r="G1467" s="15" t="s">
        <v>2556</v>
      </c>
      <c r="H1467" s="15">
        <v>0.0</v>
      </c>
      <c r="I1467" s="15" t="s">
        <v>952</v>
      </c>
      <c r="J1467" s="15" t="s">
        <v>22</v>
      </c>
      <c r="K1467" s="15" t="s">
        <v>225</v>
      </c>
      <c r="L1467" s="15" t="s">
        <v>24</v>
      </c>
      <c r="M1467" s="16">
        <v>0.5</v>
      </c>
      <c r="N1467" s="16">
        <v>0.2</v>
      </c>
      <c r="O1467" s="16">
        <f>0.906*0.2</f>
        <v>0.1812</v>
      </c>
      <c r="P1467" s="17">
        <v>45255.0</v>
      </c>
      <c r="Q1467" s="18">
        <v>1.725</v>
      </c>
      <c r="R1467" s="15" t="s">
        <v>25</v>
      </c>
      <c r="S1467" s="19">
        <f t="shared" si="1"/>
        <v>-0.1812</v>
      </c>
      <c r="T1467" s="19">
        <f t="shared" si="8"/>
        <v>43.66675209</v>
      </c>
      <c r="U1467" s="144"/>
    </row>
    <row r="1468">
      <c r="A1468" s="107"/>
      <c r="B1468" s="107"/>
      <c r="C1468" s="8" t="s">
        <v>19</v>
      </c>
      <c r="D1468" s="8">
        <v>79.0</v>
      </c>
      <c r="E1468" s="8" t="s">
        <v>3929</v>
      </c>
      <c r="F1468" s="8" t="s">
        <v>1473</v>
      </c>
      <c r="G1468" s="8" t="s">
        <v>2660</v>
      </c>
      <c r="H1468" s="8">
        <v>-1.0</v>
      </c>
      <c r="I1468" s="8" t="s">
        <v>42</v>
      </c>
      <c r="J1468" s="8" t="s">
        <v>22</v>
      </c>
      <c r="K1468" s="8" t="s">
        <v>892</v>
      </c>
      <c r="L1468" s="8" t="s">
        <v>24</v>
      </c>
      <c r="M1468" s="9">
        <v>0.0</v>
      </c>
      <c r="N1468" s="9">
        <v>0.25</v>
      </c>
      <c r="O1468" s="9">
        <v>0.25</v>
      </c>
      <c r="P1468" s="10">
        <v>45255.0</v>
      </c>
      <c r="Q1468" s="11">
        <v>2.5</v>
      </c>
      <c r="R1468" s="8" t="s">
        <v>70</v>
      </c>
      <c r="S1468" s="12">
        <f t="shared" si="1"/>
        <v>0</v>
      </c>
      <c r="T1468" s="12">
        <f t="shared" si="8"/>
        <v>43.66675209</v>
      </c>
      <c r="U1468" s="145"/>
    </row>
    <row r="1469">
      <c r="A1469" s="29"/>
      <c r="B1469" s="29"/>
      <c r="C1469" s="15" t="s">
        <v>19</v>
      </c>
      <c r="D1469" s="15">
        <v>65.0</v>
      </c>
      <c r="E1469" s="15" t="s">
        <v>3930</v>
      </c>
      <c r="F1469" s="15" t="s">
        <v>1473</v>
      </c>
      <c r="G1469" s="15" t="s">
        <v>2556</v>
      </c>
      <c r="H1469" s="15">
        <v>-2.0</v>
      </c>
      <c r="I1469" s="15" t="s">
        <v>178</v>
      </c>
      <c r="J1469" s="15" t="s">
        <v>22</v>
      </c>
      <c r="K1469" s="15" t="s">
        <v>225</v>
      </c>
      <c r="L1469" s="15" t="s">
        <v>39</v>
      </c>
      <c r="M1469" s="16">
        <v>0.5</v>
      </c>
      <c r="N1469" s="16">
        <v>0.75</v>
      </c>
      <c r="O1469" s="16">
        <v>0.75</v>
      </c>
      <c r="P1469" s="17">
        <v>45255.0</v>
      </c>
      <c r="Q1469" s="18">
        <v>1.825</v>
      </c>
      <c r="R1469" s="15" t="s">
        <v>25</v>
      </c>
      <c r="S1469" s="19">
        <f t="shared" si="1"/>
        <v>-0.75</v>
      </c>
      <c r="T1469" s="19">
        <f t="shared" si="8"/>
        <v>42.91675209</v>
      </c>
      <c r="U1469" s="144"/>
    </row>
    <row r="1470">
      <c r="A1470" s="107"/>
      <c r="B1470" s="107"/>
      <c r="C1470" s="8" t="s">
        <v>19</v>
      </c>
      <c r="D1470" s="8">
        <v>66.0</v>
      </c>
      <c r="E1470" s="8" t="s">
        <v>3931</v>
      </c>
      <c r="F1470" s="8" t="s">
        <v>1473</v>
      </c>
      <c r="G1470" s="8" t="s">
        <v>2556</v>
      </c>
      <c r="H1470" s="8">
        <v>-2.0</v>
      </c>
      <c r="I1470" s="8" t="s">
        <v>178</v>
      </c>
      <c r="J1470" s="8" t="s">
        <v>22</v>
      </c>
      <c r="K1470" s="8" t="s">
        <v>1165</v>
      </c>
      <c r="L1470" s="8" t="s">
        <v>39</v>
      </c>
      <c r="M1470" s="9"/>
      <c r="N1470" s="9">
        <v>0.15</v>
      </c>
      <c r="O1470" s="9">
        <v>0.15</v>
      </c>
      <c r="P1470" s="10">
        <v>45255.0</v>
      </c>
      <c r="Q1470" s="11">
        <v>4.75</v>
      </c>
      <c r="R1470" s="8" t="s">
        <v>25</v>
      </c>
      <c r="S1470" s="12">
        <f t="shared" si="1"/>
        <v>-0.15</v>
      </c>
      <c r="T1470" s="12">
        <f t="shared" si="8"/>
        <v>42.76675209</v>
      </c>
      <c r="U1470" s="145"/>
    </row>
    <row r="1471">
      <c r="A1471" s="29"/>
      <c r="B1471" s="29"/>
      <c r="C1471" s="15" t="s">
        <v>40</v>
      </c>
      <c r="D1471" s="15">
        <v>74.0</v>
      </c>
      <c r="E1471" s="15" t="s">
        <v>3932</v>
      </c>
      <c r="F1471" s="15" t="s">
        <v>1473</v>
      </c>
      <c r="G1471" s="15" t="s">
        <v>2556</v>
      </c>
      <c r="H1471" s="15">
        <v>-1.0</v>
      </c>
      <c r="I1471" s="15" t="s">
        <v>683</v>
      </c>
      <c r="J1471" s="15" t="s">
        <v>22</v>
      </c>
      <c r="K1471" s="15" t="s">
        <v>225</v>
      </c>
      <c r="L1471" s="15" t="s">
        <v>24</v>
      </c>
      <c r="M1471" s="16">
        <v>0.25</v>
      </c>
      <c r="N1471" s="16">
        <v>0.8</v>
      </c>
      <c r="O1471" s="16">
        <v>0.8</v>
      </c>
      <c r="P1471" s="17">
        <v>45255.0</v>
      </c>
      <c r="Q1471" s="18">
        <v>1.5</v>
      </c>
      <c r="R1471" s="15" t="s">
        <v>30</v>
      </c>
      <c r="S1471" s="19">
        <f t="shared" si="1"/>
        <v>0.2</v>
      </c>
      <c r="T1471" s="19">
        <f t="shared" si="8"/>
        <v>42.96675209</v>
      </c>
      <c r="U1471" s="144"/>
    </row>
    <row r="1472">
      <c r="A1472" s="107"/>
      <c r="B1472" s="107"/>
      <c r="C1472" s="8" t="s">
        <v>19</v>
      </c>
      <c r="D1472" s="8">
        <v>70.0</v>
      </c>
      <c r="E1472" s="8" t="s">
        <v>3933</v>
      </c>
      <c r="F1472" s="8" t="s">
        <v>1479</v>
      </c>
      <c r="G1472" s="8" t="s">
        <v>2556</v>
      </c>
      <c r="H1472" s="8">
        <v>0.0</v>
      </c>
      <c r="I1472" s="8" t="s">
        <v>121</v>
      </c>
      <c r="J1472" s="8" t="s">
        <v>22</v>
      </c>
      <c r="K1472" s="8" t="s">
        <v>941</v>
      </c>
      <c r="L1472" s="8" t="s">
        <v>24</v>
      </c>
      <c r="M1472" s="9">
        <v>0.0</v>
      </c>
      <c r="N1472" s="9">
        <v>0.2</v>
      </c>
      <c r="O1472" s="9">
        <v>0.2</v>
      </c>
      <c r="P1472" s="10">
        <v>45255.0</v>
      </c>
      <c r="Q1472" s="11">
        <v>2.625</v>
      </c>
      <c r="R1472" s="8" t="s">
        <v>25</v>
      </c>
      <c r="S1472" s="12">
        <f t="shared" si="1"/>
        <v>-0.2</v>
      </c>
      <c r="T1472" s="12">
        <f t="shared" si="8"/>
        <v>42.76675209</v>
      </c>
      <c r="U1472" s="145"/>
    </row>
    <row r="1473">
      <c r="A1473" s="29"/>
      <c r="B1473" s="29"/>
      <c r="C1473" s="15" t="s">
        <v>40</v>
      </c>
      <c r="D1473" s="15">
        <v>71.0</v>
      </c>
      <c r="E1473" s="15" t="s">
        <v>3934</v>
      </c>
      <c r="F1473" s="15"/>
      <c r="G1473" s="15"/>
      <c r="H1473" s="15"/>
      <c r="I1473" s="15" t="s">
        <v>50</v>
      </c>
      <c r="J1473" s="15" t="s">
        <v>22</v>
      </c>
      <c r="K1473" s="15" t="s">
        <v>440</v>
      </c>
      <c r="L1473" s="15" t="s">
        <v>24</v>
      </c>
      <c r="M1473" s="16">
        <v>5.5</v>
      </c>
      <c r="N1473" s="16">
        <v>0.25</v>
      </c>
      <c r="O1473" s="16">
        <v>0.25</v>
      </c>
      <c r="P1473" s="17">
        <v>45255.0</v>
      </c>
      <c r="Q1473" s="18">
        <v>1.725</v>
      </c>
      <c r="R1473" s="15" t="s">
        <v>25</v>
      </c>
      <c r="S1473" s="19">
        <f t="shared" si="1"/>
        <v>-0.25</v>
      </c>
      <c r="T1473" s="19">
        <f t="shared" si="8"/>
        <v>42.51675209</v>
      </c>
      <c r="U1473" s="144"/>
    </row>
    <row r="1474">
      <c r="A1474" s="107"/>
      <c r="B1474" s="107"/>
      <c r="C1474" s="8" t="s">
        <v>19</v>
      </c>
      <c r="D1474" s="8">
        <v>45.0</v>
      </c>
      <c r="E1474" s="8" t="s">
        <v>3935</v>
      </c>
      <c r="F1474" s="8" t="s">
        <v>1473</v>
      </c>
      <c r="G1474" s="8" t="s">
        <v>2556</v>
      </c>
      <c r="H1474" s="8">
        <v>0.0</v>
      </c>
      <c r="I1474" s="8" t="s">
        <v>66</v>
      </c>
      <c r="J1474" s="8" t="s">
        <v>22</v>
      </c>
      <c r="K1474" s="8" t="s">
        <v>225</v>
      </c>
      <c r="L1474" s="8" t="s">
        <v>24</v>
      </c>
      <c r="M1474" s="9">
        <v>0.25</v>
      </c>
      <c r="N1474" s="9">
        <v>1.0</v>
      </c>
      <c r="O1474" s="9">
        <v>1.0</v>
      </c>
      <c r="P1474" s="10">
        <v>45255.0</v>
      </c>
      <c r="Q1474" s="11">
        <v>1.825</v>
      </c>
      <c r="R1474" s="8" t="s">
        <v>30</v>
      </c>
      <c r="S1474" s="12">
        <f t="shared" si="1"/>
        <v>0.4125</v>
      </c>
      <c r="T1474" s="12">
        <f t="shared" si="8"/>
        <v>42.92925209</v>
      </c>
      <c r="U1474" s="145"/>
    </row>
    <row r="1475">
      <c r="A1475" s="29"/>
      <c r="B1475" s="29"/>
      <c r="C1475" s="15" t="s">
        <v>19</v>
      </c>
      <c r="D1475" s="15">
        <v>45.0</v>
      </c>
      <c r="E1475" s="15" t="s">
        <v>3936</v>
      </c>
      <c r="F1475" s="15" t="s">
        <v>1473</v>
      </c>
      <c r="G1475" s="15" t="s">
        <v>2556</v>
      </c>
      <c r="H1475" s="15">
        <v>0.0</v>
      </c>
      <c r="I1475" s="15" t="s">
        <v>66</v>
      </c>
      <c r="J1475" s="15" t="s">
        <v>22</v>
      </c>
      <c r="K1475" s="15" t="s">
        <v>225</v>
      </c>
      <c r="L1475" s="15" t="s">
        <v>24</v>
      </c>
      <c r="M1475" s="16">
        <v>0.5</v>
      </c>
      <c r="N1475" s="16">
        <v>1.0</v>
      </c>
      <c r="O1475" s="16">
        <v>1.0</v>
      </c>
      <c r="P1475" s="17">
        <v>45255.0</v>
      </c>
      <c r="Q1475" s="18">
        <v>1.9</v>
      </c>
      <c r="R1475" s="15" t="s">
        <v>33</v>
      </c>
      <c r="S1475" s="19">
        <f t="shared" si="1"/>
        <v>0.9</v>
      </c>
      <c r="T1475" s="19">
        <f t="shared" si="8"/>
        <v>43.82925209</v>
      </c>
      <c r="U1475" s="144"/>
    </row>
    <row r="1476">
      <c r="A1476" s="107"/>
      <c r="B1476" s="107"/>
      <c r="C1476" s="8" t="s">
        <v>40</v>
      </c>
      <c r="D1476" s="8">
        <v>22.0</v>
      </c>
      <c r="E1476" s="8" t="s">
        <v>3937</v>
      </c>
      <c r="F1476" s="8" t="s">
        <v>1473</v>
      </c>
      <c r="G1476" s="8" t="s">
        <v>2556</v>
      </c>
      <c r="H1476" s="8">
        <v>0.0</v>
      </c>
      <c r="I1476" s="8" t="s">
        <v>93</v>
      </c>
      <c r="J1476" s="8" t="s">
        <v>22</v>
      </c>
      <c r="K1476" s="8" t="s">
        <v>225</v>
      </c>
      <c r="L1476" s="8" t="s">
        <v>24</v>
      </c>
      <c r="M1476" s="9">
        <v>0.75</v>
      </c>
      <c r="N1476" s="9">
        <v>0.6</v>
      </c>
      <c r="O1476" s="9">
        <v>0.6</v>
      </c>
      <c r="P1476" s="10">
        <v>45255.0</v>
      </c>
      <c r="Q1476" s="11">
        <v>1.85</v>
      </c>
      <c r="R1476" s="8" t="s">
        <v>70</v>
      </c>
      <c r="S1476" s="12">
        <f t="shared" si="1"/>
        <v>0</v>
      </c>
      <c r="T1476" s="12">
        <f t="shared" si="8"/>
        <v>43.82925209</v>
      </c>
      <c r="U1476" s="145"/>
    </row>
    <row r="1477">
      <c r="A1477" s="29"/>
      <c r="B1477" s="29"/>
      <c r="C1477" s="15" t="s">
        <v>19</v>
      </c>
      <c r="D1477" s="15">
        <v>59.0</v>
      </c>
      <c r="E1477" s="15" t="s">
        <v>3938</v>
      </c>
      <c r="F1477" s="15" t="s">
        <v>1473</v>
      </c>
      <c r="G1477" s="15" t="s">
        <v>2660</v>
      </c>
      <c r="H1477" s="15">
        <v>0.0</v>
      </c>
      <c r="I1477" s="15" t="s">
        <v>93</v>
      </c>
      <c r="J1477" s="15" t="s">
        <v>22</v>
      </c>
      <c r="K1477" s="15" t="s">
        <v>892</v>
      </c>
      <c r="L1477" s="15" t="s">
        <v>39</v>
      </c>
      <c r="M1477" s="16">
        <v>0.0</v>
      </c>
      <c r="N1477" s="16">
        <v>0.25</v>
      </c>
      <c r="O1477" s="16">
        <v>0.25</v>
      </c>
      <c r="P1477" s="17">
        <v>45255.0</v>
      </c>
      <c r="Q1477" s="18">
        <v>2.02</v>
      </c>
      <c r="R1477" s="15" t="s">
        <v>25</v>
      </c>
      <c r="S1477" s="19">
        <f t="shared" si="1"/>
        <v>-0.25</v>
      </c>
      <c r="T1477" s="19">
        <f t="shared" si="8"/>
        <v>43.57925209</v>
      </c>
      <c r="U1477" s="144"/>
    </row>
    <row r="1478">
      <c r="A1478" s="107"/>
      <c r="B1478" s="107"/>
      <c r="C1478" s="8" t="s">
        <v>19</v>
      </c>
      <c r="D1478" s="8">
        <v>40.0</v>
      </c>
      <c r="E1478" s="8" t="s">
        <v>3939</v>
      </c>
      <c r="F1478" s="8" t="s">
        <v>1473</v>
      </c>
      <c r="G1478" s="8" t="s">
        <v>2556</v>
      </c>
      <c r="H1478" s="8">
        <v>0.0</v>
      </c>
      <c r="I1478" s="8" t="s">
        <v>248</v>
      </c>
      <c r="J1478" s="8" t="s">
        <v>22</v>
      </c>
      <c r="K1478" s="8" t="s">
        <v>941</v>
      </c>
      <c r="L1478" s="8" t="s">
        <v>24</v>
      </c>
      <c r="M1478" s="9">
        <v>0.0</v>
      </c>
      <c r="N1478" s="9">
        <v>0.6</v>
      </c>
      <c r="O1478" s="9">
        <v>0.6</v>
      </c>
      <c r="P1478" s="10">
        <v>45255.0</v>
      </c>
      <c r="Q1478" s="11">
        <v>2.2</v>
      </c>
      <c r="R1478" s="8" t="s">
        <v>25</v>
      </c>
      <c r="S1478" s="12">
        <f t="shared" si="1"/>
        <v>-0.6</v>
      </c>
      <c r="T1478" s="12">
        <f t="shared" si="8"/>
        <v>42.97925209</v>
      </c>
      <c r="U1478" s="145"/>
    </row>
    <row r="1479">
      <c r="A1479" s="29"/>
      <c r="B1479" s="29"/>
      <c r="C1479" s="15" t="s">
        <v>19</v>
      </c>
      <c r="D1479" s="15">
        <v>55.0</v>
      </c>
      <c r="E1479" s="15" t="s">
        <v>3940</v>
      </c>
      <c r="F1479" s="15" t="s">
        <v>1473</v>
      </c>
      <c r="G1479" s="15" t="s">
        <v>2556</v>
      </c>
      <c r="H1479" s="15">
        <v>-1.0</v>
      </c>
      <c r="I1479" s="15" t="s">
        <v>178</v>
      </c>
      <c r="J1479" s="15" t="s">
        <v>22</v>
      </c>
      <c r="K1479" s="15" t="s">
        <v>225</v>
      </c>
      <c r="L1479" s="15" t="s">
        <v>1522</v>
      </c>
      <c r="M1479" s="16">
        <v>0.5</v>
      </c>
      <c r="N1479" s="16">
        <v>1.0</v>
      </c>
      <c r="O1479" s="16">
        <v>0.54</v>
      </c>
      <c r="P1479" s="17">
        <v>45255.0</v>
      </c>
      <c r="Q1479" s="18">
        <v>1.8</v>
      </c>
      <c r="R1479" s="15" t="s">
        <v>25</v>
      </c>
      <c r="S1479" s="19">
        <f t="shared" si="1"/>
        <v>-0.54</v>
      </c>
      <c r="T1479" s="19">
        <f t="shared" si="8"/>
        <v>42.43925209</v>
      </c>
      <c r="U1479" s="144"/>
    </row>
    <row r="1480">
      <c r="A1480" s="107"/>
      <c r="B1480" s="107"/>
      <c r="C1480" s="8" t="s">
        <v>19</v>
      </c>
      <c r="D1480" s="8">
        <v>61.0</v>
      </c>
      <c r="E1480" s="8" t="s">
        <v>3941</v>
      </c>
      <c r="F1480" s="8" t="s">
        <v>1473</v>
      </c>
      <c r="G1480" s="8" t="s">
        <v>2660</v>
      </c>
      <c r="H1480" s="8">
        <v>0.0</v>
      </c>
      <c r="I1480" s="8" t="s">
        <v>397</v>
      </c>
      <c r="J1480" s="8" t="s">
        <v>22</v>
      </c>
      <c r="K1480" s="8" t="s">
        <v>892</v>
      </c>
      <c r="L1480" s="8" t="s">
        <v>24</v>
      </c>
      <c r="M1480" s="9">
        <v>0.0</v>
      </c>
      <c r="N1480" s="9">
        <v>0.6</v>
      </c>
      <c r="O1480" s="9">
        <v>0.6</v>
      </c>
      <c r="P1480" s="10">
        <v>45255.0</v>
      </c>
      <c r="Q1480" s="11">
        <v>2.25</v>
      </c>
      <c r="R1480" s="8" t="s">
        <v>70</v>
      </c>
      <c r="S1480" s="12">
        <f t="shared" si="1"/>
        <v>0</v>
      </c>
      <c r="T1480" s="12">
        <f t="shared" si="8"/>
        <v>42.43925209</v>
      </c>
      <c r="U1480" s="145"/>
    </row>
    <row r="1481">
      <c r="A1481" s="29"/>
      <c r="B1481" s="29"/>
      <c r="C1481" s="15" t="s">
        <v>19</v>
      </c>
      <c r="D1481" s="15">
        <v>55.0</v>
      </c>
      <c r="E1481" s="15" t="s">
        <v>3939</v>
      </c>
      <c r="F1481" s="15" t="s">
        <v>1473</v>
      </c>
      <c r="G1481" s="15" t="s">
        <v>2556</v>
      </c>
      <c r="H1481" s="15">
        <v>0.0</v>
      </c>
      <c r="I1481" s="15" t="s">
        <v>248</v>
      </c>
      <c r="J1481" s="15" t="s">
        <v>22</v>
      </c>
      <c r="K1481" s="15" t="s">
        <v>941</v>
      </c>
      <c r="L1481" s="15" t="s">
        <v>24</v>
      </c>
      <c r="M1481" s="16">
        <v>0.0</v>
      </c>
      <c r="N1481" s="16">
        <v>0.4</v>
      </c>
      <c r="O1481" s="16">
        <v>0.4</v>
      </c>
      <c r="P1481" s="17">
        <v>45255.0</v>
      </c>
      <c r="Q1481" s="18">
        <v>2.1</v>
      </c>
      <c r="R1481" s="15" t="s">
        <v>25</v>
      </c>
      <c r="S1481" s="19">
        <f t="shared" si="1"/>
        <v>-0.4</v>
      </c>
      <c r="T1481" s="19">
        <f t="shared" si="8"/>
        <v>42.03925209</v>
      </c>
      <c r="U1481" s="144"/>
    </row>
    <row r="1482">
      <c r="A1482" s="107"/>
      <c r="B1482" s="107"/>
      <c r="C1482" s="8" t="s">
        <v>40</v>
      </c>
      <c r="D1482" s="8">
        <v>53.0</v>
      </c>
      <c r="E1482" s="8" t="s">
        <v>3942</v>
      </c>
      <c r="F1482" s="114" t="s">
        <v>1473</v>
      </c>
      <c r="G1482" s="114" t="s">
        <v>2556</v>
      </c>
      <c r="H1482" s="114">
        <v>0.0</v>
      </c>
      <c r="I1482" s="8" t="s">
        <v>93</v>
      </c>
      <c r="J1482" s="8" t="s">
        <v>22</v>
      </c>
      <c r="K1482" s="8" t="s">
        <v>225</v>
      </c>
      <c r="L1482" s="8" t="s">
        <v>1522</v>
      </c>
      <c r="M1482" s="9">
        <v>0.25</v>
      </c>
      <c r="N1482" s="9">
        <v>1.0</v>
      </c>
      <c r="O1482" s="9">
        <v>1.0</v>
      </c>
      <c r="P1482" s="10">
        <v>45255.0</v>
      </c>
      <c r="Q1482" s="11">
        <v>1.9</v>
      </c>
      <c r="R1482" s="8" t="s">
        <v>33</v>
      </c>
      <c r="S1482" s="12">
        <f t="shared" si="1"/>
        <v>0.9</v>
      </c>
      <c r="T1482" s="12">
        <f t="shared" si="8"/>
        <v>42.93925209</v>
      </c>
      <c r="U1482" s="145"/>
    </row>
    <row r="1483">
      <c r="A1483" s="29"/>
      <c r="B1483" s="29"/>
      <c r="C1483" s="15" t="s">
        <v>19</v>
      </c>
      <c r="D1483" s="15">
        <v>0.0</v>
      </c>
      <c r="E1483" s="15" t="s">
        <v>3943</v>
      </c>
      <c r="F1483" s="15" t="s">
        <v>1473</v>
      </c>
      <c r="G1483" s="15" t="s">
        <v>2556</v>
      </c>
      <c r="H1483" s="15"/>
      <c r="I1483" s="15" t="s">
        <v>82</v>
      </c>
      <c r="J1483" s="15" t="s">
        <v>598</v>
      </c>
      <c r="K1483" s="15" t="s">
        <v>225</v>
      </c>
      <c r="L1483" s="15" t="s">
        <v>39</v>
      </c>
      <c r="M1483" s="16">
        <v>0.5</v>
      </c>
      <c r="N1483" s="16">
        <v>0.1</v>
      </c>
      <c r="O1483" s="16">
        <v>0.1</v>
      </c>
      <c r="P1483" s="17">
        <v>45255.0</v>
      </c>
      <c r="Q1483" s="18">
        <v>1.1</v>
      </c>
      <c r="R1483" s="15" t="s">
        <v>33</v>
      </c>
      <c r="S1483" s="19">
        <f t="shared" si="1"/>
        <v>0.01</v>
      </c>
      <c r="T1483" s="19">
        <f t="shared" si="8"/>
        <v>42.94925209</v>
      </c>
      <c r="U1483" s="144"/>
    </row>
    <row r="1484">
      <c r="A1484" s="107"/>
      <c r="B1484" s="107"/>
      <c r="C1484" s="8" t="s">
        <v>19</v>
      </c>
      <c r="D1484" s="8"/>
      <c r="E1484" s="8" t="s">
        <v>3944</v>
      </c>
      <c r="F1484" s="8"/>
      <c r="G1484" s="8"/>
      <c r="H1484" s="8"/>
      <c r="I1484" s="8" t="s">
        <v>82</v>
      </c>
      <c r="J1484" s="8" t="s">
        <v>22</v>
      </c>
      <c r="K1484" s="8" t="s">
        <v>440</v>
      </c>
      <c r="L1484" s="8" t="s">
        <v>39</v>
      </c>
      <c r="M1484" s="9">
        <v>2.75</v>
      </c>
      <c r="N1484" s="9">
        <v>0.25</v>
      </c>
      <c r="O1484" s="9">
        <v>0.25</v>
      </c>
      <c r="P1484" s="10">
        <v>45255.0</v>
      </c>
      <c r="Q1484" s="11">
        <v>1.7</v>
      </c>
      <c r="R1484" s="8" t="s">
        <v>33</v>
      </c>
      <c r="S1484" s="12">
        <f t="shared" si="1"/>
        <v>0.175</v>
      </c>
      <c r="T1484" s="12">
        <f t="shared" si="8"/>
        <v>43.12425209</v>
      </c>
      <c r="U1484" s="145"/>
    </row>
    <row r="1485">
      <c r="A1485" s="29"/>
      <c r="B1485" s="29"/>
      <c r="C1485" s="15" t="s">
        <v>19</v>
      </c>
      <c r="D1485" s="15">
        <v>0.0</v>
      </c>
      <c r="E1485" s="15" t="s">
        <v>3945</v>
      </c>
      <c r="F1485" s="15" t="s">
        <v>1479</v>
      </c>
      <c r="G1485" s="15" t="s">
        <v>2556</v>
      </c>
      <c r="H1485" s="15">
        <v>0.0</v>
      </c>
      <c r="I1485" s="15" t="s">
        <v>50</v>
      </c>
      <c r="J1485" s="15" t="s">
        <v>22</v>
      </c>
      <c r="K1485" s="15" t="s">
        <v>225</v>
      </c>
      <c r="L1485" s="15" t="s">
        <v>24</v>
      </c>
      <c r="M1485" s="16">
        <v>0.5</v>
      </c>
      <c r="N1485" s="16">
        <v>1.0</v>
      </c>
      <c r="O1485" s="16">
        <v>1.0</v>
      </c>
      <c r="P1485" s="17">
        <v>45256.0</v>
      </c>
      <c r="Q1485" s="18">
        <v>1.68</v>
      </c>
      <c r="R1485" s="15" t="s">
        <v>33</v>
      </c>
      <c r="S1485" s="19">
        <f t="shared" si="1"/>
        <v>0.68</v>
      </c>
      <c r="T1485" s="19">
        <f t="shared" si="8"/>
        <v>43.80425209</v>
      </c>
      <c r="U1485" s="144"/>
    </row>
    <row r="1486">
      <c r="A1486" s="107"/>
      <c r="B1486" s="107"/>
      <c r="C1486" s="8" t="s">
        <v>19</v>
      </c>
      <c r="D1486" s="8">
        <v>0.0</v>
      </c>
      <c r="E1486" s="8" t="s">
        <v>3946</v>
      </c>
      <c r="F1486" s="8" t="s">
        <v>1479</v>
      </c>
      <c r="G1486" s="8" t="s">
        <v>2556</v>
      </c>
      <c r="H1486" s="8">
        <f>1</f>
        <v>1</v>
      </c>
      <c r="I1486" s="8" t="s">
        <v>44</v>
      </c>
      <c r="J1486" s="8" t="s">
        <v>22</v>
      </c>
      <c r="K1486" s="8" t="s">
        <v>1847</v>
      </c>
      <c r="L1486" s="8" t="s">
        <v>39</v>
      </c>
      <c r="M1486" s="9">
        <v>-0.5</v>
      </c>
      <c r="N1486" s="9">
        <v>0.25</v>
      </c>
      <c r="O1486" s="9">
        <v>0.25</v>
      </c>
      <c r="P1486" s="10">
        <v>45256.0</v>
      </c>
      <c r="Q1486" s="11">
        <v>1.725</v>
      </c>
      <c r="R1486" s="8" t="s">
        <v>70</v>
      </c>
      <c r="S1486" s="12">
        <f t="shared" si="1"/>
        <v>0</v>
      </c>
      <c r="T1486" s="12">
        <f t="shared" si="8"/>
        <v>43.80425209</v>
      </c>
      <c r="U1486" s="145"/>
    </row>
    <row r="1487">
      <c r="A1487" s="29"/>
      <c r="B1487" s="29"/>
      <c r="C1487" s="15" t="s">
        <v>19</v>
      </c>
      <c r="D1487" s="15">
        <v>0.0</v>
      </c>
      <c r="E1487" s="15" t="s">
        <v>3947</v>
      </c>
      <c r="F1487" s="15" t="s">
        <v>1479</v>
      </c>
      <c r="G1487" s="15" t="s">
        <v>2660</v>
      </c>
      <c r="H1487" s="15">
        <v>2</v>
      </c>
      <c r="I1487" s="15" t="s">
        <v>44</v>
      </c>
      <c r="J1487" s="15" t="s">
        <v>22</v>
      </c>
      <c r="K1487" s="15" t="s">
        <v>1150</v>
      </c>
      <c r="L1487" s="15" t="s">
        <v>39</v>
      </c>
      <c r="M1487" s="16">
        <v>0.0</v>
      </c>
      <c r="N1487" s="16">
        <v>0.5</v>
      </c>
      <c r="O1487" s="16">
        <v>0.5</v>
      </c>
      <c r="P1487" s="17">
        <v>45256.0</v>
      </c>
      <c r="Q1487" s="18">
        <v>1.75</v>
      </c>
      <c r="R1487" s="15" t="s">
        <v>33</v>
      </c>
      <c r="S1487" s="19">
        <f t="shared" si="1"/>
        <v>0.375</v>
      </c>
      <c r="T1487" s="19">
        <f t="shared" si="8"/>
        <v>44.17925209</v>
      </c>
      <c r="U1487" s="144"/>
    </row>
    <row r="1488">
      <c r="A1488" s="107"/>
      <c r="B1488" s="107"/>
      <c r="C1488" s="8" t="s">
        <v>19</v>
      </c>
      <c r="D1488" s="8">
        <v>66.0</v>
      </c>
      <c r="E1488" s="8" t="s">
        <v>3948</v>
      </c>
      <c r="F1488" s="8" t="s">
        <v>1473</v>
      </c>
      <c r="G1488" s="8" t="s">
        <v>2556</v>
      </c>
      <c r="H1488" s="8">
        <f>1</f>
        <v>1</v>
      </c>
      <c r="I1488" s="8" t="s">
        <v>99</v>
      </c>
      <c r="J1488" s="8" t="s">
        <v>22</v>
      </c>
      <c r="K1488" s="8" t="s">
        <v>1847</v>
      </c>
      <c r="L1488" s="8" t="s">
        <v>24</v>
      </c>
      <c r="M1488" s="9">
        <v>-0.5</v>
      </c>
      <c r="N1488" s="9">
        <v>0.2</v>
      </c>
      <c r="O1488" s="9">
        <f>0.394*0.2</f>
        <v>0.0788</v>
      </c>
      <c r="P1488" s="10">
        <v>45256.0</v>
      </c>
      <c r="Q1488" s="11">
        <v>1.8</v>
      </c>
      <c r="R1488" s="8" t="s">
        <v>25</v>
      </c>
      <c r="S1488" s="12">
        <f t="shared" si="1"/>
        <v>-0.0788</v>
      </c>
      <c r="T1488" s="12">
        <f t="shared" si="8"/>
        <v>44.10045209</v>
      </c>
      <c r="U1488" s="145"/>
    </row>
    <row r="1489">
      <c r="A1489" s="29"/>
      <c r="B1489" s="29"/>
      <c r="C1489" s="15" t="s">
        <v>19</v>
      </c>
      <c r="D1489" s="15">
        <v>40.0</v>
      </c>
      <c r="E1489" s="36" t="s">
        <v>3949</v>
      </c>
      <c r="F1489" s="37" t="s">
        <v>1473</v>
      </c>
      <c r="G1489" s="37" t="s">
        <v>2556</v>
      </c>
      <c r="H1489" s="37">
        <v>0.0</v>
      </c>
      <c r="I1489" s="37" t="s">
        <v>229</v>
      </c>
      <c r="J1489" s="37" t="s">
        <v>22</v>
      </c>
      <c r="K1489" s="37" t="s">
        <v>941</v>
      </c>
      <c r="L1489" s="37" t="s">
        <v>24</v>
      </c>
      <c r="M1489" s="24">
        <v>0.0</v>
      </c>
      <c r="N1489" s="16">
        <v>0.6</v>
      </c>
      <c r="O1489" s="16">
        <v>0.6</v>
      </c>
      <c r="P1489" s="17">
        <v>45256.0</v>
      </c>
      <c r="Q1489" s="18">
        <v>2.1</v>
      </c>
      <c r="R1489" s="15" t="s">
        <v>70</v>
      </c>
      <c r="S1489" s="19">
        <f t="shared" si="1"/>
        <v>0</v>
      </c>
      <c r="T1489" s="19">
        <f t="shared" si="8"/>
        <v>44.10045209</v>
      </c>
      <c r="U1489" s="144"/>
    </row>
    <row r="1490">
      <c r="A1490" s="107"/>
      <c r="B1490" s="107"/>
      <c r="C1490" s="8" t="s">
        <v>19</v>
      </c>
      <c r="D1490" s="8">
        <v>19.0</v>
      </c>
      <c r="E1490" s="31" t="s">
        <v>3950</v>
      </c>
      <c r="F1490" s="32" t="s">
        <v>1479</v>
      </c>
      <c r="G1490" s="32" t="s">
        <v>2660</v>
      </c>
      <c r="H1490" s="32">
        <f>1</f>
        <v>1</v>
      </c>
      <c r="I1490" s="32" t="s">
        <v>88</v>
      </c>
      <c r="J1490" s="32" t="s">
        <v>22</v>
      </c>
      <c r="K1490" s="32" t="s">
        <v>1150</v>
      </c>
      <c r="L1490" s="32" t="s">
        <v>24</v>
      </c>
      <c r="M1490" s="33">
        <v>0.0</v>
      </c>
      <c r="N1490" s="9">
        <v>0.5</v>
      </c>
      <c r="O1490" s="9">
        <v>0.5</v>
      </c>
      <c r="P1490" s="10">
        <v>45256.0</v>
      </c>
      <c r="Q1490" s="11">
        <v>1.875</v>
      </c>
      <c r="R1490" s="8" t="s">
        <v>25</v>
      </c>
      <c r="S1490" s="12">
        <f t="shared" si="1"/>
        <v>-0.5</v>
      </c>
      <c r="T1490" s="12">
        <f t="shared" si="8"/>
        <v>43.60045209</v>
      </c>
      <c r="U1490" s="145"/>
    </row>
    <row r="1491">
      <c r="A1491" s="29"/>
      <c r="B1491" s="29"/>
      <c r="C1491" s="15" t="s">
        <v>40</v>
      </c>
      <c r="D1491" s="120">
        <v>39.0</v>
      </c>
      <c r="E1491" s="156" t="s">
        <v>3951</v>
      </c>
      <c r="F1491" s="42" t="s">
        <v>1473</v>
      </c>
      <c r="G1491" s="42" t="s">
        <v>2556</v>
      </c>
      <c r="H1491" s="42">
        <v>0.0</v>
      </c>
      <c r="I1491" s="42" t="s">
        <v>316</v>
      </c>
      <c r="J1491" s="42" t="s">
        <v>22</v>
      </c>
      <c r="K1491" s="42" t="s">
        <v>225</v>
      </c>
      <c r="L1491" s="37" t="s">
        <v>24</v>
      </c>
      <c r="M1491" s="16">
        <v>0.5</v>
      </c>
      <c r="N1491" s="16">
        <v>0.8</v>
      </c>
      <c r="O1491" s="16">
        <v>0.8</v>
      </c>
      <c r="P1491" s="17">
        <v>45256.0</v>
      </c>
      <c r="Q1491" s="18">
        <v>1.825</v>
      </c>
      <c r="R1491" s="15" t="s">
        <v>25</v>
      </c>
      <c r="S1491" s="19">
        <f t="shared" si="1"/>
        <v>-0.8</v>
      </c>
      <c r="T1491" s="19">
        <f t="shared" si="8"/>
        <v>42.80045209</v>
      </c>
      <c r="U1491" s="144"/>
    </row>
    <row r="1492">
      <c r="A1492" s="107"/>
      <c r="B1492" s="107"/>
      <c r="C1492" s="8" t="s">
        <v>19</v>
      </c>
      <c r="D1492" s="8">
        <v>71.0</v>
      </c>
      <c r="E1492" s="8" t="s">
        <v>3952</v>
      </c>
      <c r="F1492" s="8" t="s">
        <v>1473</v>
      </c>
      <c r="G1492" s="8" t="s">
        <v>2660</v>
      </c>
      <c r="H1492" s="8">
        <v>0.0</v>
      </c>
      <c r="I1492" s="8" t="s">
        <v>93</v>
      </c>
      <c r="J1492" s="8" t="s">
        <v>22</v>
      </c>
      <c r="K1492" s="8" t="s">
        <v>892</v>
      </c>
      <c r="L1492" s="32" t="s">
        <v>24</v>
      </c>
      <c r="M1492" s="9">
        <v>0.0</v>
      </c>
      <c r="N1492" s="9">
        <v>1.0</v>
      </c>
      <c r="O1492" s="9">
        <v>1.0</v>
      </c>
      <c r="P1492" s="10">
        <v>45256.0</v>
      </c>
      <c r="Q1492" s="11">
        <v>1.75</v>
      </c>
      <c r="R1492" s="8" t="s">
        <v>70</v>
      </c>
      <c r="S1492" s="12">
        <f t="shared" si="1"/>
        <v>0</v>
      </c>
      <c r="T1492" s="12">
        <f t="shared" si="8"/>
        <v>42.80045209</v>
      </c>
      <c r="U1492" s="145"/>
    </row>
    <row r="1493">
      <c r="A1493" s="29"/>
      <c r="B1493" s="29"/>
      <c r="C1493" s="15" t="s">
        <v>19</v>
      </c>
      <c r="D1493" s="15">
        <v>81.0</v>
      </c>
      <c r="E1493" s="15" t="s">
        <v>3953</v>
      </c>
      <c r="F1493" s="15" t="s">
        <v>1473</v>
      </c>
      <c r="G1493" s="15" t="s">
        <v>2660</v>
      </c>
      <c r="H1493" s="15">
        <v>-1.0</v>
      </c>
      <c r="I1493" s="15" t="s">
        <v>93</v>
      </c>
      <c r="J1493" s="15" t="s">
        <v>22</v>
      </c>
      <c r="K1493" s="15" t="s">
        <v>892</v>
      </c>
      <c r="L1493" s="37" t="s">
        <v>24</v>
      </c>
      <c r="M1493" s="16">
        <v>0.0</v>
      </c>
      <c r="N1493" s="16">
        <v>0.15</v>
      </c>
      <c r="O1493" s="16">
        <v>0.15</v>
      </c>
      <c r="P1493" s="17">
        <v>45256.0</v>
      </c>
      <c r="Q1493" s="18">
        <v>4.15</v>
      </c>
      <c r="R1493" s="15" t="s">
        <v>25</v>
      </c>
      <c r="S1493" s="19">
        <f t="shared" si="1"/>
        <v>-0.15</v>
      </c>
      <c r="T1493" s="19">
        <f t="shared" si="8"/>
        <v>42.65045209</v>
      </c>
      <c r="U1493" s="144"/>
    </row>
    <row r="1494">
      <c r="A1494" s="107"/>
      <c r="B1494" s="107"/>
      <c r="C1494" s="8" t="s">
        <v>19</v>
      </c>
      <c r="D1494" s="8">
        <v>14.0</v>
      </c>
      <c r="E1494" s="8" t="s">
        <v>3954</v>
      </c>
      <c r="F1494" s="8" t="s">
        <v>1473</v>
      </c>
      <c r="G1494" s="8" t="s">
        <v>2556</v>
      </c>
      <c r="H1494" s="8">
        <v>0.0</v>
      </c>
      <c r="I1494" s="8" t="s">
        <v>369</v>
      </c>
      <c r="J1494" s="8" t="s">
        <v>22</v>
      </c>
      <c r="K1494" s="8" t="s">
        <v>225</v>
      </c>
      <c r="L1494" s="32" t="s">
        <v>24</v>
      </c>
      <c r="M1494" s="9">
        <v>0.5</v>
      </c>
      <c r="N1494" s="9">
        <v>1.0</v>
      </c>
      <c r="O1494" s="9">
        <v>1.0</v>
      </c>
      <c r="P1494" s="10">
        <v>45256.0</v>
      </c>
      <c r="Q1494" s="11">
        <v>1.975</v>
      </c>
      <c r="R1494" s="8" t="s">
        <v>33</v>
      </c>
      <c r="S1494" s="12">
        <f t="shared" si="1"/>
        <v>0.975</v>
      </c>
      <c r="T1494" s="12">
        <f t="shared" si="8"/>
        <v>43.62545209</v>
      </c>
      <c r="U1494" s="145"/>
    </row>
    <row r="1495">
      <c r="A1495" s="29"/>
      <c r="B1495" s="29"/>
      <c r="C1495" s="15" t="s">
        <v>19</v>
      </c>
      <c r="D1495" s="15">
        <v>45.0</v>
      </c>
      <c r="E1495" s="15" t="s">
        <v>3955</v>
      </c>
      <c r="F1495" s="15" t="s">
        <v>1473</v>
      </c>
      <c r="G1495" s="15" t="s">
        <v>2660</v>
      </c>
      <c r="H1495" s="15">
        <f t="shared" ref="H1495:H1496" si="47">1</f>
        <v>1</v>
      </c>
      <c r="I1495" s="15" t="s">
        <v>115</v>
      </c>
      <c r="J1495" s="15" t="s">
        <v>22</v>
      </c>
      <c r="K1495" s="15" t="s">
        <v>892</v>
      </c>
      <c r="L1495" s="37" t="s">
        <v>24</v>
      </c>
      <c r="M1495" s="16">
        <v>0.0</v>
      </c>
      <c r="N1495" s="16">
        <v>1.0</v>
      </c>
      <c r="O1495" s="16">
        <v>0.15</v>
      </c>
      <c r="P1495" s="17">
        <v>45256.0</v>
      </c>
      <c r="Q1495" s="18">
        <v>1.75</v>
      </c>
      <c r="R1495" s="15" t="s">
        <v>25</v>
      </c>
      <c r="S1495" s="19">
        <f t="shared" si="1"/>
        <v>-0.15</v>
      </c>
      <c r="T1495" s="19">
        <f t="shared" si="8"/>
        <v>43.47545209</v>
      </c>
      <c r="U1495" s="144"/>
    </row>
    <row r="1496">
      <c r="A1496" s="107"/>
      <c r="B1496" s="107"/>
      <c r="C1496" s="8" t="s">
        <v>40</v>
      </c>
      <c r="D1496" s="8">
        <v>71.0</v>
      </c>
      <c r="E1496" s="8" t="s">
        <v>3956</v>
      </c>
      <c r="F1496" s="8" t="s">
        <v>1473</v>
      </c>
      <c r="G1496" s="8" t="s">
        <v>2556</v>
      </c>
      <c r="H1496" s="8">
        <f t="shared" si="47"/>
        <v>1</v>
      </c>
      <c r="I1496" s="8" t="s">
        <v>463</v>
      </c>
      <c r="J1496" s="8" t="s">
        <v>22</v>
      </c>
      <c r="K1496" s="8" t="s">
        <v>225</v>
      </c>
      <c r="L1496" s="32" t="s">
        <v>24</v>
      </c>
      <c r="M1496" s="9">
        <v>0.25</v>
      </c>
      <c r="N1496" s="9">
        <v>0.8</v>
      </c>
      <c r="O1496" s="9">
        <v>0.8</v>
      </c>
      <c r="P1496" s="10">
        <v>45256.0</v>
      </c>
      <c r="Q1496" s="11">
        <v>1.75</v>
      </c>
      <c r="R1496" s="8" t="s">
        <v>30</v>
      </c>
      <c r="S1496" s="12">
        <f t="shared" si="1"/>
        <v>0.3</v>
      </c>
      <c r="T1496" s="12">
        <f t="shared" si="8"/>
        <v>43.77545209</v>
      </c>
      <c r="U1496" s="145"/>
    </row>
    <row r="1497">
      <c r="A1497" s="29"/>
      <c r="B1497" s="29"/>
      <c r="C1497" s="15" t="s">
        <v>40</v>
      </c>
      <c r="D1497" s="15">
        <v>89.0</v>
      </c>
      <c r="E1497" s="15" t="s">
        <v>3957</v>
      </c>
      <c r="F1497" s="15"/>
      <c r="G1497" s="15"/>
      <c r="H1497" s="15"/>
      <c r="I1497" s="15" t="s">
        <v>58</v>
      </c>
      <c r="J1497" s="15" t="s">
        <v>22</v>
      </c>
      <c r="K1497" s="15" t="s">
        <v>23</v>
      </c>
      <c r="L1497" s="37" t="s">
        <v>24</v>
      </c>
      <c r="M1497" s="16">
        <v>-7.5</v>
      </c>
      <c r="N1497" s="16">
        <v>0.35</v>
      </c>
      <c r="O1497" s="16">
        <v>0.35</v>
      </c>
      <c r="P1497" s="17">
        <v>45256.0</v>
      </c>
      <c r="Q1497" s="18">
        <v>2.0</v>
      </c>
      <c r="R1497" s="15" t="s">
        <v>70</v>
      </c>
      <c r="S1497" s="19">
        <f t="shared" si="1"/>
        <v>0</v>
      </c>
      <c r="T1497" s="19">
        <f t="shared" si="8"/>
        <v>43.77545209</v>
      </c>
      <c r="U1497" s="144"/>
    </row>
    <row r="1498">
      <c r="A1498" s="107"/>
      <c r="B1498" s="107"/>
      <c r="C1498" s="8" t="s">
        <v>19</v>
      </c>
      <c r="D1498" s="8">
        <v>57.0</v>
      </c>
      <c r="E1498" s="8" t="s">
        <v>3958</v>
      </c>
      <c r="F1498" s="8" t="s">
        <v>1479</v>
      </c>
      <c r="G1498" s="8" t="s">
        <v>2660</v>
      </c>
      <c r="H1498" s="8">
        <v>0.0</v>
      </c>
      <c r="I1498" s="8" t="s">
        <v>106</v>
      </c>
      <c r="J1498" s="8" t="s">
        <v>22</v>
      </c>
      <c r="K1498" s="8" t="s">
        <v>892</v>
      </c>
      <c r="L1498" s="32" t="s">
        <v>24</v>
      </c>
      <c r="M1498" s="9">
        <v>0.0</v>
      </c>
      <c r="N1498" s="9">
        <v>0.5</v>
      </c>
      <c r="O1498" s="9">
        <v>0.5</v>
      </c>
      <c r="P1498" s="10">
        <v>45256.0</v>
      </c>
      <c r="Q1498" s="11">
        <v>1.85</v>
      </c>
      <c r="R1498" s="8" t="s">
        <v>70</v>
      </c>
      <c r="S1498" s="12">
        <f t="shared" si="1"/>
        <v>0</v>
      </c>
      <c r="T1498" s="12">
        <f t="shared" si="8"/>
        <v>43.77545209</v>
      </c>
      <c r="U1498" s="145"/>
    </row>
    <row r="1499">
      <c r="A1499" s="29"/>
      <c r="B1499" s="29"/>
      <c r="C1499" s="15" t="s">
        <v>19</v>
      </c>
      <c r="D1499" s="15">
        <v>68.0</v>
      </c>
      <c r="E1499" s="15" t="s">
        <v>3959</v>
      </c>
      <c r="F1499" s="15" t="s">
        <v>1473</v>
      </c>
      <c r="G1499" s="15" t="s">
        <v>2660</v>
      </c>
      <c r="H1499" s="15">
        <v>-1.0</v>
      </c>
      <c r="I1499" s="15" t="s">
        <v>3476</v>
      </c>
      <c r="J1499" s="15" t="s">
        <v>22</v>
      </c>
      <c r="K1499" s="15" t="s">
        <v>892</v>
      </c>
      <c r="L1499" s="37" t="s">
        <v>24</v>
      </c>
      <c r="M1499" s="16">
        <v>0.0</v>
      </c>
      <c r="N1499" s="16">
        <v>1.0</v>
      </c>
      <c r="O1499" s="16">
        <v>1.0</v>
      </c>
      <c r="P1499" s="17">
        <v>45256.0</v>
      </c>
      <c r="Q1499" s="18">
        <v>1.95</v>
      </c>
      <c r="R1499" s="15" t="s">
        <v>70</v>
      </c>
      <c r="S1499" s="19">
        <f t="shared" si="1"/>
        <v>0</v>
      </c>
      <c r="T1499" s="19">
        <f t="shared" si="8"/>
        <v>43.77545209</v>
      </c>
      <c r="U1499" s="144"/>
    </row>
    <row r="1500">
      <c r="A1500" s="107"/>
      <c r="B1500" s="107"/>
      <c r="C1500" s="8" t="s">
        <v>40</v>
      </c>
      <c r="D1500" s="8">
        <v>36.0</v>
      </c>
      <c r="E1500" s="8" t="s">
        <v>3960</v>
      </c>
      <c r="F1500" s="8" t="s">
        <v>1473</v>
      </c>
      <c r="G1500" s="8" t="s">
        <v>2556</v>
      </c>
      <c r="H1500" s="8">
        <v>0.0</v>
      </c>
      <c r="I1500" s="8" t="s">
        <v>38</v>
      </c>
      <c r="J1500" s="8" t="s">
        <v>22</v>
      </c>
      <c r="K1500" s="8" t="s">
        <v>225</v>
      </c>
      <c r="L1500" s="32" t="s">
        <v>24</v>
      </c>
      <c r="M1500" s="9">
        <v>0.25</v>
      </c>
      <c r="N1500" s="9">
        <v>1.0</v>
      </c>
      <c r="O1500" s="9">
        <v>0.3</v>
      </c>
      <c r="P1500" s="10">
        <v>45256.0</v>
      </c>
      <c r="Q1500" s="11">
        <v>1.9</v>
      </c>
      <c r="R1500" s="8" t="s">
        <v>25</v>
      </c>
      <c r="S1500" s="12">
        <f t="shared" si="1"/>
        <v>-0.3</v>
      </c>
      <c r="T1500" s="12">
        <f t="shared" si="8"/>
        <v>43.47545209</v>
      </c>
      <c r="U1500" s="145"/>
    </row>
    <row r="1501">
      <c r="A1501" s="29"/>
      <c r="B1501" s="29"/>
      <c r="C1501" s="15" t="s">
        <v>19</v>
      </c>
      <c r="D1501" s="15">
        <v>57.0</v>
      </c>
      <c r="E1501" s="15" t="s">
        <v>3961</v>
      </c>
      <c r="F1501" s="15" t="s">
        <v>1473</v>
      </c>
      <c r="G1501" s="15" t="s">
        <v>2660</v>
      </c>
      <c r="H1501" s="15">
        <v>0.0</v>
      </c>
      <c r="I1501" s="15" t="s">
        <v>121</v>
      </c>
      <c r="J1501" s="15" t="s">
        <v>22</v>
      </c>
      <c r="K1501" s="15" t="s">
        <v>892</v>
      </c>
      <c r="L1501" s="37" t="s">
        <v>24</v>
      </c>
      <c r="M1501" s="16">
        <v>0.0</v>
      </c>
      <c r="N1501" s="16">
        <v>0.5</v>
      </c>
      <c r="O1501" s="16">
        <v>0.5</v>
      </c>
      <c r="P1501" s="17">
        <v>45256.0</v>
      </c>
      <c r="Q1501" s="18">
        <v>1.7</v>
      </c>
      <c r="R1501" s="15" t="s">
        <v>70</v>
      </c>
      <c r="S1501" s="19">
        <f t="shared" si="1"/>
        <v>0</v>
      </c>
      <c r="T1501" s="19">
        <f t="shared" si="8"/>
        <v>43.47545209</v>
      </c>
      <c r="U1501" s="144"/>
    </row>
    <row r="1502">
      <c r="A1502" s="107"/>
      <c r="B1502" s="107"/>
      <c r="C1502" s="8" t="s">
        <v>40</v>
      </c>
      <c r="D1502" s="8">
        <v>88.0</v>
      </c>
      <c r="E1502" s="8" t="s">
        <v>3962</v>
      </c>
      <c r="F1502" s="8"/>
      <c r="G1502" s="8"/>
      <c r="H1502" s="8"/>
      <c r="I1502" s="8" t="s">
        <v>38</v>
      </c>
      <c r="J1502" s="8" t="s">
        <v>22</v>
      </c>
      <c r="K1502" s="8" t="s">
        <v>29</v>
      </c>
      <c r="L1502" s="32" t="s">
        <v>24</v>
      </c>
      <c r="M1502" s="9">
        <v>-1.5</v>
      </c>
      <c r="N1502" s="9">
        <v>0.5</v>
      </c>
      <c r="O1502" s="9">
        <v>0.5</v>
      </c>
      <c r="P1502" s="10">
        <v>45256.0</v>
      </c>
      <c r="Q1502" s="11">
        <v>1.48</v>
      </c>
      <c r="R1502" s="8" t="s">
        <v>33</v>
      </c>
      <c r="S1502" s="12">
        <f t="shared" si="1"/>
        <v>0.24</v>
      </c>
      <c r="T1502" s="12">
        <f t="shared" si="8"/>
        <v>43.71545209</v>
      </c>
      <c r="U1502" s="145"/>
    </row>
    <row r="1503">
      <c r="A1503" s="29"/>
      <c r="B1503" s="29"/>
      <c r="C1503" s="15" t="s">
        <v>19</v>
      </c>
      <c r="D1503" s="15">
        <v>63.0</v>
      </c>
      <c r="E1503" s="15" t="s">
        <v>3963</v>
      </c>
      <c r="F1503" s="15" t="s">
        <v>1473</v>
      </c>
      <c r="G1503" s="15" t="s">
        <v>2556</v>
      </c>
      <c r="H1503" s="15">
        <v>-1.0</v>
      </c>
      <c r="I1503" s="15" t="s">
        <v>93</v>
      </c>
      <c r="J1503" s="15" t="s">
        <v>22</v>
      </c>
      <c r="K1503" s="15" t="s">
        <v>225</v>
      </c>
      <c r="L1503" s="37" t="s">
        <v>24</v>
      </c>
      <c r="M1503" s="16">
        <v>0.25</v>
      </c>
      <c r="N1503" s="16">
        <v>1.0</v>
      </c>
      <c r="O1503" s="16">
        <v>1.0</v>
      </c>
      <c r="P1503" s="17">
        <v>45256.0</v>
      </c>
      <c r="Q1503" s="18">
        <v>1.8</v>
      </c>
      <c r="R1503" s="15" t="s">
        <v>33</v>
      </c>
      <c r="S1503" s="19">
        <f t="shared" si="1"/>
        <v>0.8</v>
      </c>
      <c r="T1503" s="19">
        <f t="shared" si="8"/>
        <v>44.51545209</v>
      </c>
      <c r="U1503" s="144"/>
    </row>
    <row r="1504">
      <c r="A1504" s="107"/>
      <c r="B1504" s="107"/>
      <c r="C1504" s="8" t="s">
        <v>19</v>
      </c>
      <c r="D1504" s="8">
        <v>0.0</v>
      </c>
      <c r="E1504" s="8" t="s">
        <v>3964</v>
      </c>
      <c r="F1504" s="8" t="s">
        <v>1473</v>
      </c>
      <c r="G1504" s="8" t="s">
        <v>2573</v>
      </c>
      <c r="H1504" s="8"/>
      <c r="I1504" s="8" t="s">
        <v>82</v>
      </c>
      <c r="J1504" s="8" t="s">
        <v>598</v>
      </c>
      <c r="K1504" s="8" t="s">
        <v>894</v>
      </c>
      <c r="L1504" s="8" t="s">
        <v>39</v>
      </c>
      <c r="M1504" s="9">
        <v>-0.25</v>
      </c>
      <c r="N1504" s="9">
        <v>0.1</v>
      </c>
      <c r="O1504" s="9">
        <v>0.1</v>
      </c>
      <c r="P1504" s="10">
        <v>45256.0</v>
      </c>
      <c r="Q1504" s="11">
        <v>1.9</v>
      </c>
      <c r="R1504" s="8" t="s">
        <v>79</v>
      </c>
      <c r="S1504" s="12">
        <f t="shared" si="1"/>
        <v>-0.05</v>
      </c>
      <c r="T1504" s="12">
        <f t="shared" si="8"/>
        <v>44.46545209</v>
      </c>
      <c r="U1504" s="145"/>
    </row>
    <row r="1505">
      <c r="A1505" s="29"/>
      <c r="B1505" s="29"/>
      <c r="C1505" s="15" t="s">
        <v>19</v>
      </c>
      <c r="D1505" s="15">
        <v>77.0</v>
      </c>
      <c r="E1505" s="15" t="s">
        <v>3965</v>
      </c>
      <c r="F1505" s="15" t="s">
        <v>1479</v>
      </c>
      <c r="G1505" s="15" t="s">
        <v>2556</v>
      </c>
      <c r="H1505" s="15">
        <v>-1.0</v>
      </c>
      <c r="I1505" s="15" t="s">
        <v>923</v>
      </c>
      <c r="J1505" s="15" t="s">
        <v>22</v>
      </c>
      <c r="K1505" s="15" t="s">
        <v>225</v>
      </c>
      <c r="L1505" s="15" t="s">
        <v>24</v>
      </c>
      <c r="M1505" s="16">
        <v>0.25</v>
      </c>
      <c r="N1505" s="16">
        <v>0.4</v>
      </c>
      <c r="O1505" s="16">
        <v>0.4</v>
      </c>
      <c r="P1505" s="17">
        <v>45258.0</v>
      </c>
      <c r="Q1505" s="18">
        <v>1.7</v>
      </c>
      <c r="R1505" s="15" t="s">
        <v>33</v>
      </c>
      <c r="S1505" s="19">
        <f t="shared" si="1"/>
        <v>0.28</v>
      </c>
      <c r="T1505" s="19">
        <f t="shared" si="8"/>
        <v>44.74545209</v>
      </c>
      <c r="U1505" s="144"/>
    </row>
    <row r="1506">
      <c r="A1506" s="107"/>
      <c r="B1506" s="107"/>
      <c r="C1506" s="8" t="s">
        <v>19</v>
      </c>
      <c r="D1506" s="8">
        <v>29.0</v>
      </c>
      <c r="E1506" s="8" t="s">
        <v>3966</v>
      </c>
      <c r="F1506" s="8" t="s">
        <v>1479</v>
      </c>
      <c r="G1506" s="8" t="s">
        <v>2660</v>
      </c>
      <c r="H1506" s="8">
        <v>0.0</v>
      </c>
      <c r="I1506" s="8" t="s">
        <v>96</v>
      </c>
      <c r="J1506" s="8" t="s">
        <v>22</v>
      </c>
      <c r="K1506" s="8" t="s">
        <v>1150</v>
      </c>
      <c r="L1506" s="8" t="s">
        <v>24</v>
      </c>
      <c r="M1506" s="9">
        <v>0.0</v>
      </c>
      <c r="N1506" s="9">
        <v>0.4</v>
      </c>
      <c r="O1506" s="9">
        <v>0.4</v>
      </c>
      <c r="P1506" s="10">
        <v>45258.0</v>
      </c>
      <c r="Q1506" s="11">
        <v>1.725</v>
      </c>
      <c r="R1506" s="8" t="s">
        <v>70</v>
      </c>
      <c r="S1506" s="12">
        <f t="shared" si="1"/>
        <v>0</v>
      </c>
      <c r="T1506" s="12">
        <f t="shared" si="8"/>
        <v>44.74545209</v>
      </c>
      <c r="U1506" s="145"/>
    </row>
    <row r="1507">
      <c r="A1507" s="29"/>
      <c r="B1507" s="29"/>
      <c r="C1507" s="15" t="s">
        <v>19</v>
      </c>
      <c r="D1507" s="15">
        <v>63.0</v>
      </c>
      <c r="E1507" s="15" t="s">
        <v>3967</v>
      </c>
      <c r="F1507" s="15" t="s">
        <v>1479</v>
      </c>
      <c r="G1507" s="15" t="s">
        <v>2660</v>
      </c>
      <c r="H1507" s="15">
        <v>-2.0</v>
      </c>
      <c r="I1507" s="15" t="s">
        <v>703</v>
      </c>
      <c r="J1507" s="15" t="s">
        <v>22</v>
      </c>
      <c r="K1507" s="15" t="s">
        <v>892</v>
      </c>
      <c r="L1507" s="15" t="s">
        <v>1522</v>
      </c>
      <c r="M1507" s="16">
        <v>0.0</v>
      </c>
      <c r="N1507" s="16">
        <v>0.2</v>
      </c>
      <c r="O1507" s="16">
        <v>0.2</v>
      </c>
      <c r="P1507" s="17">
        <v>45259.0</v>
      </c>
      <c r="Q1507" s="18">
        <v>1.75</v>
      </c>
      <c r="R1507" s="15" t="s">
        <v>33</v>
      </c>
      <c r="S1507" s="19">
        <f t="shared" si="1"/>
        <v>0.15</v>
      </c>
      <c r="T1507" s="19">
        <f t="shared" si="8"/>
        <v>44.89545209</v>
      </c>
      <c r="U1507" s="144"/>
    </row>
    <row r="1508">
      <c r="A1508" s="107"/>
      <c r="B1508" s="107"/>
      <c r="C1508" s="8" t="s">
        <v>19</v>
      </c>
      <c r="D1508" s="8">
        <v>66.0</v>
      </c>
      <c r="E1508" s="8" t="s">
        <v>3968</v>
      </c>
      <c r="F1508" s="8" t="s">
        <v>1479</v>
      </c>
      <c r="G1508" s="8" t="s">
        <v>2660</v>
      </c>
      <c r="H1508" s="8">
        <v>0.0</v>
      </c>
      <c r="I1508" s="8" t="s">
        <v>187</v>
      </c>
      <c r="J1508" s="8" t="s">
        <v>22</v>
      </c>
      <c r="K1508" s="8" t="s">
        <v>892</v>
      </c>
      <c r="L1508" s="8" t="s">
        <v>1522</v>
      </c>
      <c r="M1508" s="9">
        <v>0.0</v>
      </c>
      <c r="N1508" s="9">
        <v>0.5</v>
      </c>
      <c r="O1508" s="9">
        <v>0.5</v>
      </c>
      <c r="P1508" s="10">
        <v>45259.0</v>
      </c>
      <c r="Q1508" s="11">
        <v>1.85</v>
      </c>
      <c r="R1508" s="8" t="s">
        <v>70</v>
      </c>
      <c r="S1508" s="12">
        <f t="shared" si="1"/>
        <v>0</v>
      </c>
      <c r="T1508" s="12">
        <f t="shared" si="8"/>
        <v>44.89545209</v>
      </c>
      <c r="U1508" s="145"/>
    </row>
    <row r="1509">
      <c r="A1509" s="29"/>
      <c r="B1509" s="29"/>
      <c r="C1509" s="15" t="s">
        <v>19</v>
      </c>
      <c r="D1509" s="15">
        <v>55.0</v>
      </c>
      <c r="E1509" s="15" t="s">
        <v>3969</v>
      </c>
      <c r="F1509" s="15" t="s">
        <v>1473</v>
      </c>
      <c r="G1509" s="15" t="s">
        <v>2573</v>
      </c>
      <c r="H1509" s="15">
        <v>0.0</v>
      </c>
      <c r="I1509" s="15" t="s">
        <v>1961</v>
      </c>
      <c r="J1509" s="15" t="s">
        <v>22</v>
      </c>
      <c r="K1509" s="15" t="s">
        <v>894</v>
      </c>
      <c r="L1509" s="15" t="s">
        <v>1522</v>
      </c>
      <c r="M1509" s="16">
        <v>-0.25</v>
      </c>
      <c r="N1509" s="16">
        <v>0.2</v>
      </c>
      <c r="O1509" s="16">
        <v>0.2</v>
      </c>
      <c r="P1509" s="17">
        <v>45259.0</v>
      </c>
      <c r="Q1509" s="18">
        <v>1.825</v>
      </c>
      <c r="R1509" s="15" t="s">
        <v>33</v>
      </c>
      <c r="S1509" s="19">
        <f t="shared" si="1"/>
        <v>0.165</v>
      </c>
      <c r="T1509" s="19">
        <f t="shared" si="8"/>
        <v>45.06045209</v>
      </c>
      <c r="U1509" s="144"/>
    </row>
    <row r="1510">
      <c r="A1510" s="107"/>
      <c r="B1510" s="107"/>
      <c r="C1510" s="8" t="s">
        <v>19</v>
      </c>
      <c r="D1510" s="8"/>
      <c r="E1510" s="8" t="s">
        <v>3970</v>
      </c>
      <c r="F1510" s="8" t="s">
        <v>1479</v>
      </c>
      <c r="G1510" s="8" t="s">
        <v>2660</v>
      </c>
      <c r="H1510" s="8">
        <v>-1.0</v>
      </c>
      <c r="I1510" s="8" t="s">
        <v>48</v>
      </c>
      <c r="J1510" s="8" t="s">
        <v>22</v>
      </c>
      <c r="K1510" s="8" t="s">
        <v>892</v>
      </c>
      <c r="L1510" s="8" t="s">
        <v>24</v>
      </c>
      <c r="M1510" s="9">
        <v>0.0</v>
      </c>
      <c r="N1510" s="9">
        <v>0.4</v>
      </c>
      <c r="O1510" s="9">
        <v>0.4</v>
      </c>
      <c r="P1510" s="10">
        <v>45259.0</v>
      </c>
      <c r="Q1510" s="11">
        <v>1.975</v>
      </c>
      <c r="R1510" s="8" t="s">
        <v>25</v>
      </c>
      <c r="S1510" s="12">
        <f t="shared" si="1"/>
        <v>-0.4</v>
      </c>
      <c r="T1510" s="12">
        <f t="shared" si="8"/>
        <v>44.66045209</v>
      </c>
      <c r="U1510" s="145"/>
    </row>
    <row r="1511">
      <c r="A1511" s="29"/>
      <c r="B1511" s="29"/>
      <c r="C1511" s="15" t="s">
        <v>19</v>
      </c>
      <c r="D1511" s="15">
        <v>25.0</v>
      </c>
      <c r="E1511" s="15" t="s">
        <v>3971</v>
      </c>
      <c r="F1511" s="15" t="s">
        <v>1473</v>
      </c>
      <c r="G1511" s="15"/>
      <c r="H1511" s="15"/>
      <c r="I1511" s="15" t="s">
        <v>207</v>
      </c>
      <c r="J1511" s="15" t="s">
        <v>22</v>
      </c>
      <c r="K1511" s="15" t="s">
        <v>2962</v>
      </c>
      <c r="L1511" s="15" t="s">
        <v>39</v>
      </c>
      <c r="M1511" s="16"/>
      <c r="N1511" s="16">
        <v>0.25</v>
      </c>
      <c r="O1511" s="16">
        <v>0.25</v>
      </c>
      <c r="P1511" s="17">
        <v>45259.0</v>
      </c>
      <c r="Q1511" s="18">
        <v>3.25</v>
      </c>
      <c r="R1511" s="15" t="s">
        <v>25</v>
      </c>
      <c r="S1511" s="19">
        <f t="shared" si="1"/>
        <v>-0.25</v>
      </c>
      <c r="T1511" s="19">
        <f t="shared" si="8"/>
        <v>44.41045209</v>
      </c>
      <c r="U1511" s="144"/>
    </row>
    <row r="1512">
      <c r="A1512" s="107"/>
      <c r="B1512" s="107"/>
      <c r="C1512" s="8" t="s">
        <v>40</v>
      </c>
      <c r="D1512" s="8">
        <v>45.0</v>
      </c>
      <c r="E1512" s="8" t="s">
        <v>3972</v>
      </c>
      <c r="F1512" s="8" t="s">
        <v>1479</v>
      </c>
      <c r="G1512" s="8" t="s">
        <v>2556</v>
      </c>
      <c r="H1512" s="8">
        <v>0.0</v>
      </c>
      <c r="I1512" s="8" t="s">
        <v>191</v>
      </c>
      <c r="J1512" s="8" t="s">
        <v>22</v>
      </c>
      <c r="K1512" s="8" t="s">
        <v>225</v>
      </c>
      <c r="L1512" s="8" t="s">
        <v>24</v>
      </c>
      <c r="M1512" s="9">
        <v>0.5</v>
      </c>
      <c r="N1512" s="9">
        <v>0.8</v>
      </c>
      <c r="O1512" s="9">
        <v>0.8</v>
      </c>
      <c r="P1512" s="10">
        <v>45259.0</v>
      </c>
      <c r="Q1512" s="11">
        <v>1.812</v>
      </c>
      <c r="R1512" s="8" t="s">
        <v>33</v>
      </c>
      <c r="S1512" s="12">
        <f t="shared" si="1"/>
        <v>0.6496</v>
      </c>
      <c r="T1512" s="12">
        <f t="shared" si="8"/>
        <v>45.06005209</v>
      </c>
      <c r="U1512" s="145"/>
    </row>
    <row r="1513">
      <c r="A1513" s="29"/>
      <c r="B1513" s="29"/>
      <c r="C1513" s="15" t="s">
        <v>19</v>
      </c>
      <c r="D1513" s="15">
        <v>0.0</v>
      </c>
      <c r="E1513" s="15" t="s">
        <v>3973</v>
      </c>
      <c r="F1513" s="15"/>
      <c r="G1513" s="15"/>
      <c r="H1513" s="15"/>
      <c r="I1513" s="15" t="s">
        <v>1961</v>
      </c>
      <c r="J1513" s="15" t="s">
        <v>598</v>
      </c>
      <c r="K1513" s="15" t="s">
        <v>440</v>
      </c>
      <c r="L1513" s="15" t="s">
        <v>39</v>
      </c>
      <c r="M1513" s="16">
        <v>2.75</v>
      </c>
      <c r="N1513" s="16">
        <v>0.1</v>
      </c>
      <c r="O1513" s="16">
        <v>0.1</v>
      </c>
      <c r="P1513" s="17">
        <v>45259.0</v>
      </c>
      <c r="Q1513" s="18">
        <v>1.775</v>
      </c>
      <c r="R1513" s="15" t="s">
        <v>33</v>
      </c>
      <c r="S1513" s="19">
        <f t="shared" si="1"/>
        <v>0.0775</v>
      </c>
      <c r="T1513" s="19">
        <f t="shared" si="8"/>
        <v>45.13755209</v>
      </c>
      <c r="U1513" s="144"/>
    </row>
    <row r="1514">
      <c r="A1514" s="107"/>
      <c r="B1514" s="107"/>
      <c r="C1514" s="8" t="s">
        <v>19</v>
      </c>
      <c r="D1514" s="8">
        <v>68.0</v>
      </c>
      <c r="E1514" s="8" t="s">
        <v>3974</v>
      </c>
      <c r="F1514" s="8" t="s">
        <v>1473</v>
      </c>
      <c r="G1514" s="8" t="s">
        <v>2660</v>
      </c>
      <c r="H1514" s="8">
        <v>-2.0</v>
      </c>
      <c r="I1514" s="8" t="s">
        <v>124</v>
      </c>
      <c r="J1514" s="8" t="s">
        <v>22</v>
      </c>
      <c r="K1514" s="8" t="s">
        <v>892</v>
      </c>
      <c r="L1514" s="8" t="s">
        <v>24</v>
      </c>
      <c r="M1514" s="9">
        <v>0.0</v>
      </c>
      <c r="N1514" s="9">
        <v>0.8</v>
      </c>
      <c r="O1514" s="9">
        <v>0.8</v>
      </c>
      <c r="P1514" s="10">
        <v>45259.0</v>
      </c>
      <c r="Q1514" s="11">
        <v>1.85</v>
      </c>
      <c r="R1514" s="8" t="s">
        <v>70</v>
      </c>
      <c r="S1514" s="12">
        <f t="shared" si="1"/>
        <v>0</v>
      </c>
      <c r="T1514" s="12">
        <f t="shared" si="8"/>
        <v>45.13755209</v>
      </c>
      <c r="U1514" s="145"/>
    </row>
    <row r="1515">
      <c r="A1515" s="29"/>
      <c r="B1515" s="29"/>
      <c r="C1515" s="15" t="s">
        <v>19</v>
      </c>
      <c r="D1515" s="15">
        <v>37.0</v>
      </c>
      <c r="E1515" s="15" t="s">
        <v>3975</v>
      </c>
      <c r="F1515" s="15" t="s">
        <v>1479</v>
      </c>
      <c r="G1515" s="15" t="s">
        <v>2556</v>
      </c>
      <c r="H1515" s="15">
        <v>0.0</v>
      </c>
      <c r="I1515" s="15" t="s">
        <v>248</v>
      </c>
      <c r="J1515" s="15" t="s">
        <v>22</v>
      </c>
      <c r="K1515" s="15" t="s">
        <v>941</v>
      </c>
      <c r="L1515" s="15" t="s">
        <v>24</v>
      </c>
      <c r="M1515" s="16">
        <v>0.0</v>
      </c>
      <c r="N1515" s="16">
        <v>0.4</v>
      </c>
      <c r="O1515" s="16">
        <v>0.4</v>
      </c>
      <c r="P1515" s="17">
        <v>45259.0</v>
      </c>
      <c r="Q1515" s="18">
        <v>1.8</v>
      </c>
      <c r="R1515" s="15" t="s">
        <v>70</v>
      </c>
      <c r="S1515" s="19">
        <f t="shared" si="1"/>
        <v>0</v>
      </c>
      <c r="T1515" s="19">
        <f t="shared" si="8"/>
        <v>45.13755209</v>
      </c>
      <c r="U1515" s="144"/>
    </row>
    <row r="1516">
      <c r="A1516" s="107"/>
      <c r="B1516" s="107"/>
      <c r="C1516" s="8" t="s">
        <v>19</v>
      </c>
      <c r="D1516" s="8">
        <v>59.0</v>
      </c>
      <c r="E1516" s="8" t="s">
        <v>3976</v>
      </c>
      <c r="F1516" s="8" t="s">
        <v>1479</v>
      </c>
      <c r="G1516" s="8" t="s">
        <v>2660</v>
      </c>
      <c r="H1516" s="8">
        <v>-1.0</v>
      </c>
      <c r="I1516" s="8" t="s">
        <v>432</v>
      </c>
      <c r="J1516" s="8" t="s">
        <v>22</v>
      </c>
      <c r="K1516" s="8" t="s">
        <v>892</v>
      </c>
      <c r="L1516" s="8" t="s">
        <v>1803</v>
      </c>
      <c r="M1516" s="9">
        <v>0.0</v>
      </c>
      <c r="N1516" s="9">
        <v>0.6</v>
      </c>
      <c r="O1516" s="9">
        <v>0.6</v>
      </c>
      <c r="P1516" s="10">
        <v>45259.0</v>
      </c>
      <c r="Q1516" s="11">
        <v>1.8</v>
      </c>
      <c r="R1516" s="8" t="s">
        <v>70</v>
      </c>
      <c r="S1516" s="12">
        <f t="shared" si="1"/>
        <v>0</v>
      </c>
      <c r="T1516" s="12">
        <f t="shared" si="8"/>
        <v>45.13755209</v>
      </c>
      <c r="U1516" s="145"/>
    </row>
    <row r="1517">
      <c r="A1517" s="29"/>
      <c r="B1517" s="29"/>
      <c r="C1517" s="15" t="s">
        <v>19</v>
      </c>
      <c r="D1517" s="15">
        <v>38.0</v>
      </c>
      <c r="E1517" s="15" t="s">
        <v>3977</v>
      </c>
      <c r="F1517" s="15" t="s">
        <v>1473</v>
      </c>
      <c r="G1517" s="15" t="s">
        <v>2556</v>
      </c>
      <c r="H1517" s="15">
        <v>0.0</v>
      </c>
      <c r="I1517" s="15" t="s">
        <v>121</v>
      </c>
      <c r="J1517" s="15" t="s">
        <v>22</v>
      </c>
      <c r="K1517" s="15" t="s">
        <v>225</v>
      </c>
      <c r="L1517" s="15" t="s">
        <v>39</v>
      </c>
      <c r="M1517" s="16">
        <v>0.25</v>
      </c>
      <c r="N1517" s="16">
        <v>0.25</v>
      </c>
      <c r="O1517" s="16">
        <v>0.25</v>
      </c>
      <c r="P1517" s="17">
        <v>45259.0</v>
      </c>
      <c r="Q1517" s="18">
        <v>1.8</v>
      </c>
      <c r="R1517" s="15" t="s">
        <v>25</v>
      </c>
      <c r="S1517" s="19">
        <f t="shared" si="1"/>
        <v>-0.25</v>
      </c>
      <c r="T1517" s="19">
        <f t="shared" si="8"/>
        <v>44.88755209</v>
      </c>
      <c r="U1517" s="144"/>
    </row>
    <row r="1518">
      <c r="A1518" s="107"/>
      <c r="B1518" s="107"/>
      <c r="C1518" s="8" t="s">
        <v>19</v>
      </c>
      <c r="D1518" s="8">
        <v>15.0</v>
      </c>
      <c r="E1518" s="8" t="s">
        <v>3978</v>
      </c>
      <c r="F1518" s="8" t="s">
        <v>1479</v>
      </c>
      <c r="G1518" s="8" t="s">
        <v>2660</v>
      </c>
      <c r="H1518" s="8">
        <v>0.0</v>
      </c>
      <c r="I1518" s="8" t="s">
        <v>3351</v>
      </c>
      <c r="J1518" s="8" t="s">
        <v>22</v>
      </c>
      <c r="K1518" s="8" t="s">
        <v>1150</v>
      </c>
      <c r="L1518" s="8" t="s">
        <v>24</v>
      </c>
      <c r="M1518" s="9">
        <v>0.0</v>
      </c>
      <c r="N1518" s="9">
        <v>0.4</v>
      </c>
      <c r="O1518" s="9">
        <v>0.4</v>
      </c>
      <c r="P1518" s="10">
        <v>45259.0</v>
      </c>
      <c r="Q1518" s="11">
        <v>1.825</v>
      </c>
      <c r="R1518" s="8" t="s">
        <v>33</v>
      </c>
      <c r="S1518" s="12">
        <f t="shared" si="1"/>
        <v>0.33</v>
      </c>
      <c r="T1518" s="12">
        <f t="shared" si="8"/>
        <v>45.21755209</v>
      </c>
      <c r="U1518" s="145"/>
    </row>
    <row r="1519">
      <c r="A1519" s="29"/>
      <c r="B1519" s="29"/>
      <c r="C1519" s="15" t="s">
        <v>19</v>
      </c>
      <c r="D1519" s="15">
        <v>69.0</v>
      </c>
      <c r="E1519" s="15" t="s">
        <v>3979</v>
      </c>
      <c r="F1519" s="15" t="s">
        <v>1473</v>
      </c>
      <c r="G1519" s="15" t="s">
        <v>2556</v>
      </c>
      <c r="H1519" s="15">
        <v>-2.0</v>
      </c>
      <c r="I1519" s="15" t="s">
        <v>124</v>
      </c>
      <c r="J1519" s="15" t="s">
        <v>22</v>
      </c>
      <c r="K1519" s="15" t="s">
        <v>225</v>
      </c>
      <c r="L1519" s="15" t="s">
        <v>24</v>
      </c>
      <c r="M1519" s="16">
        <v>0.25</v>
      </c>
      <c r="N1519" s="16">
        <v>0.2</v>
      </c>
      <c r="O1519" s="16">
        <v>0.2</v>
      </c>
      <c r="P1519" s="17">
        <v>45260.0</v>
      </c>
      <c r="Q1519" s="18">
        <v>1.35</v>
      </c>
      <c r="R1519" s="15" t="s">
        <v>33</v>
      </c>
      <c r="S1519" s="19">
        <f t="shared" si="1"/>
        <v>0.07</v>
      </c>
      <c r="T1519" s="19">
        <f t="shared" si="8"/>
        <v>45.28755209</v>
      </c>
      <c r="U1519" s="144"/>
    </row>
    <row r="1520">
      <c r="A1520" s="107"/>
      <c r="B1520" s="107"/>
      <c r="C1520" s="8" t="s">
        <v>19</v>
      </c>
      <c r="D1520" s="8">
        <v>65.0</v>
      </c>
      <c r="E1520" s="8" t="s">
        <v>3980</v>
      </c>
      <c r="F1520" s="8" t="s">
        <v>1479</v>
      </c>
      <c r="G1520" s="8" t="s">
        <v>2660</v>
      </c>
      <c r="H1520" s="8">
        <v>-1.0</v>
      </c>
      <c r="I1520" s="8" t="s">
        <v>164</v>
      </c>
      <c r="J1520" s="8" t="s">
        <v>22</v>
      </c>
      <c r="K1520" s="8" t="s">
        <v>892</v>
      </c>
      <c r="L1520" s="8" t="s">
        <v>39</v>
      </c>
      <c r="M1520" s="9">
        <v>0.0</v>
      </c>
      <c r="N1520" s="9">
        <v>0.25</v>
      </c>
      <c r="O1520" s="9">
        <v>0.25</v>
      </c>
      <c r="P1520" s="10">
        <v>45260.0</v>
      </c>
      <c r="Q1520" s="11">
        <v>1.775</v>
      </c>
      <c r="R1520" s="8" t="s">
        <v>33</v>
      </c>
      <c r="S1520" s="12">
        <f t="shared" si="1"/>
        <v>0.19375</v>
      </c>
      <c r="T1520" s="12">
        <f t="shared" si="8"/>
        <v>45.48130209</v>
      </c>
      <c r="U1520" s="145"/>
    </row>
    <row r="1521">
      <c r="A1521" s="29"/>
      <c r="B1521" s="29"/>
      <c r="C1521" s="15" t="s">
        <v>19</v>
      </c>
      <c r="D1521" s="15">
        <v>34.0</v>
      </c>
      <c r="E1521" s="15" t="s">
        <v>3981</v>
      </c>
      <c r="F1521" s="15" t="s">
        <v>1479</v>
      </c>
      <c r="G1521" s="15" t="s">
        <v>2660</v>
      </c>
      <c r="H1521" s="15">
        <v>-1.0</v>
      </c>
      <c r="I1521" s="15" t="s">
        <v>612</v>
      </c>
      <c r="J1521" s="15" t="s">
        <v>22</v>
      </c>
      <c r="K1521" s="15" t="s">
        <v>1150</v>
      </c>
      <c r="L1521" s="15" t="s">
        <v>24</v>
      </c>
      <c r="M1521" s="16">
        <v>0.0</v>
      </c>
      <c r="N1521" s="16">
        <v>0.8</v>
      </c>
      <c r="O1521" s="16">
        <v>0.8</v>
      </c>
      <c r="P1521" s="17">
        <v>45261.0</v>
      </c>
      <c r="Q1521" s="18">
        <v>1.75</v>
      </c>
      <c r="R1521" s="15" t="s">
        <v>70</v>
      </c>
      <c r="S1521" s="19">
        <f t="shared" si="1"/>
        <v>0</v>
      </c>
      <c r="T1521" s="19">
        <f t="shared" si="8"/>
        <v>45.48130209</v>
      </c>
      <c r="U1521" s="144"/>
    </row>
    <row r="1522">
      <c r="A1522" s="107"/>
      <c r="B1522" s="107"/>
      <c r="C1522" s="8" t="s">
        <v>19</v>
      </c>
      <c r="D1522" s="8">
        <v>66.0</v>
      </c>
      <c r="E1522" s="8" t="s">
        <v>3982</v>
      </c>
      <c r="F1522" s="8" t="s">
        <v>1473</v>
      </c>
      <c r="G1522" s="8" t="s">
        <v>2556</v>
      </c>
      <c r="H1522" s="8">
        <v>-2.0</v>
      </c>
      <c r="I1522" s="8" t="s">
        <v>583</v>
      </c>
      <c r="J1522" s="8" t="s">
        <v>22</v>
      </c>
      <c r="K1522" s="8" t="s">
        <v>1165</v>
      </c>
      <c r="L1522" s="8" t="s">
        <v>24</v>
      </c>
      <c r="M1522" s="9"/>
      <c r="N1522" s="9">
        <v>0.1</v>
      </c>
      <c r="O1522" s="9">
        <v>0.1</v>
      </c>
      <c r="P1522" s="10">
        <v>45261.0</v>
      </c>
      <c r="Q1522" s="11">
        <v>6.0</v>
      </c>
      <c r="R1522" s="8" t="s">
        <v>25</v>
      </c>
      <c r="S1522" s="12">
        <f t="shared" si="1"/>
        <v>-0.1</v>
      </c>
      <c r="T1522" s="12">
        <f t="shared" si="8"/>
        <v>45.38130209</v>
      </c>
      <c r="U1522" s="145"/>
    </row>
    <row r="1523">
      <c r="A1523" s="29"/>
      <c r="B1523" s="29"/>
      <c r="C1523" s="15" t="s">
        <v>19</v>
      </c>
      <c r="D1523" s="15">
        <v>72.0</v>
      </c>
      <c r="E1523" s="15" t="s">
        <v>3983</v>
      </c>
      <c r="F1523" s="15" t="s">
        <v>1473</v>
      </c>
      <c r="G1523" s="15" t="s">
        <v>2660</v>
      </c>
      <c r="H1523" s="15">
        <v>-1.0</v>
      </c>
      <c r="I1523" s="15" t="s">
        <v>583</v>
      </c>
      <c r="J1523" s="15" t="s">
        <v>22</v>
      </c>
      <c r="K1523" s="15" t="s">
        <v>1150</v>
      </c>
      <c r="L1523" s="15" t="s">
        <v>24</v>
      </c>
      <c r="M1523" s="16">
        <v>0.0</v>
      </c>
      <c r="N1523" s="16">
        <v>1.0</v>
      </c>
      <c r="O1523" s="16">
        <v>1.0</v>
      </c>
      <c r="P1523" s="17">
        <v>45261.0</v>
      </c>
      <c r="Q1523" s="18">
        <v>1.875</v>
      </c>
      <c r="R1523" s="15" t="s">
        <v>33</v>
      </c>
      <c r="S1523" s="19">
        <f t="shared" si="1"/>
        <v>0.875</v>
      </c>
      <c r="T1523" s="19">
        <f t="shared" si="8"/>
        <v>46.25630209</v>
      </c>
      <c r="U1523" s="144"/>
    </row>
    <row r="1524">
      <c r="A1524" s="107"/>
      <c r="B1524" s="107"/>
      <c r="C1524" s="8" t="s">
        <v>19</v>
      </c>
      <c r="D1524" s="8">
        <v>70.0</v>
      </c>
      <c r="E1524" s="8" t="s">
        <v>3984</v>
      </c>
      <c r="F1524" s="8" t="s">
        <v>1479</v>
      </c>
      <c r="G1524" s="8" t="s">
        <v>2660</v>
      </c>
      <c r="H1524" s="8">
        <v>0.0</v>
      </c>
      <c r="I1524" s="8" t="s">
        <v>525</v>
      </c>
      <c r="J1524" s="8" t="s">
        <v>22</v>
      </c>
      <c r="K1524" s="8" t="s">
        <v>892</v>
      </c>
      <c r="L1524" s="8" t="s">
        <v>24</v>
      </c>
      <c r="M1524" s="9">
        <v>0.0</v>
      </c>
      <c r="N1524" s="9">
        <v>0.6</v>
      </c>
      <c r="O1524" s="9">
        <v>0.6</v>
      </c>
      <c r="P1524" s="10">
        <v>45261.0</v>
      </c>
      <c r="Q1524" s="11">
        <v>2.0</v>
      </c>
      <c r="R1524" s="8" t="s">
        <v>25</v>
      </c>
      <c r="S1524" s="12">
        <f t="shared" si="1"/>
        <v>-0.6</v>
      </c>
      <c r="T1524" s="12">
        <f t="shared" si="8"/>
        <v>45.65630209</v>
      </c>
      <c r="U1524" s="145"/>
    </row>
    <row r="1525">
      <c r="A1525" s="29"/>
      <c r="B1525" s="29"/>
      <c r="C1525" s="15" t="s">
        <v>19</v>
      </c>
      <c r="D1525" s="15">
        <v>20.0</v>
      </c>
      <c r="E1525" s="15" t="s">
        <v>3985</v>
      </c>
      <c r="F1525" s="15" t="s">
        <v>1479</v>
      </c>
      <c r="G1525" s="15" t="s">
        <v>2660</v>
      </c>
      <c r="H1525" s="15">
        <v>0.0</v>
      </c>
      <c r="I1525" s="15" t="s">
        <v>187</v>
      </c>
      <c r="J1525" s="15" t="s">
        <v>22</v>
      </c>
      <c r="K1525" s="15" t="s">
        <v>892</v>
      </c>
      <c r="L1525" s="15" t="s">
        <v>1522</v>
      </c>
      <c r="M1525" s="16">
        <v>0.0</v>
      </c>
      <c r="N1525" s="16">
        <v>0.6</v>
      </c>
      <c r="O1525" s="16">
        <v>0.6</v>
      </c>
      <c r="P1525" s="17">
        <v>45261.0</v>
      </c>
      <c r="Q1525" s="18">
        <v>1.025</v>
      </c>
      <c r="R1525" s="15" t="s">
        <v>33</v>
      </c>
      <c r="S1525" s="19">
        <f t="shared" si="1"/>
        <v>0.015</v>
      </c>
      <c r="T1525" s="19">
        <f t="shared" si="8"/>
        <v>45.67130209</v>
      </c>
      <c r="U1525" s="144"/>
    </row>
    <row r="1526">
      <c r="A1526" s="107"/>
      <c r="B1526" s="107"/>
      <c r="C1526" s="8" t="s">
        <v>19</v>
      </c>
      <c r="D1526" s="8">
        <v>17.0</v>
      </c>
      <c r="E1526" s="8" t="s">
        <v>3986</v>
      </c>
      <c r="F1526" s="8" t="s">
        <v>1473</v>
      </c>
      <c r="G1526" s="8" t="s">
        <v>2556</v>
      </c>
      <c r="H1526" s="8">
        <v>0.0</v>
      </c>
      <c r="I1526" s="8" t="s">
        <v>248</v>
      </c>
      <c r="J1526" s="8" t="s">
        <v>22</v>
      </c>
      <c r="K1526" s="8" t="s">
        <v>225</v>
      </c>
      <c r="L1526" s="8" t="s">
        <v>1522</v>
      </c>
      <c r="M1526" s="9">
        <v>0.25</v>
      </c>
      <c r="N1526" s="9">
        <v>0.6</v>
      </c>
      <c r="O1526" s="9">
        <v>0.6</v>
      </c>
      <c r="P1526" s="10">
        <v>45261.0</v>
      </c>
      <c r="Q1526" s="11">
        <v>1.775</v>
      </c>
      <c r="R1526" s="8" t="s">
        <v>25</v>
      </c>
      <c r="S1526" s="12">
        <f t="shared" si="1"/>
        <v>-0.6</v>
      </c>
      <c r="T1526" s="12">
        <f t="shared" si="8"/>
        <v>45.07130209</v>
      </c>
      <c r="U1526" s="145"/>
    </row>
    <row r="1527">
      <c r="A1527" s="29"/>
      <c r="B1527" s="29"/>
      <c r="C1527" s="15" t="s">
        <v>19</v>
      </c>
      <c r="D1527" s="15">
        <v>18.0</v>
      </c>
      <c r="E1527" s="15" t="s">
        <v>3987</v>
      </c>
      <c r="F1527" s="15" t="s">
        <v>1473</v>
      </c>
      <c r="G1527" s="15" t="s">
        <v>2556</v>
      </c>
      <c r="H1527" s="15">
        <v>0.0</v>
      </c>
      <c r="I1527" s="15" t="s">
        <v>248</v>
      </c>
      <c r="J1527" s="15" t="s">
        <v>22</v>
      </c>
      <c r="K1527" s="15" t="s">
        <v>941</v>
      </c>
      <c r="L1527" s="15" t="s">
        <v>24</v>
      </c>
      <c r="M1527" s="16">
        <v>0.0</v>
      </c>
      <c r="N1527" s="16">
        <v>0.4</v>
      </c>
      <c r="O1527" s="16">
        <v>0.4</v>
      </c>
      <c r="P1527" s="17">
        <v>45261.0</v>
      </c>
      <c r="Q1527" s="18">
        <v>2.25</v>
      </c>
      <c r="R1527" s="15" t="s">
        <v>25</v>
      </c>
      <c r="S1527" s="19">
        <f t="shared" si="1"/>
        <v>-0.4</v>
      </c>
      <c r="T1527" s="19">
        <f t="shared" si="8"/>
        <v>44.67130209</v>
      </c>
      <c r="U1527" s="144"/>
    </row>
    <row r="1528">
      <c r="A1528" s="107"/>
      <c r="B1528" s="107"/>
      <c r="C1528" s="8" t="s">
        <v>19</v>
      </c>
      <c r="D1528" s="8">
        <v>40.0</v>
      </c>
      <c r="E1528" s="8" t="s">
        <v>3988</v>
      </c>
      <c r="F1528" s="8" t="s">
        <v>1473</v>
      </c>
      <c r="G1528" s="8" t="s">
        <v>2660</v>
      </c>
      <c r="H1528" s="8">
        <v>0.0</v>
      </c>
      <c r="I1528" s="8" t="s">
        <v>273</v>
      </c>
      <c r="J1528" s="8" t="s">
        <v>22</v>
      </c>
      <c r="K1528" s="8" t="s">
        <v>892</v>
      </c>
      <c r="L1528" s="8" t="s">
        <v>24</v>
      </c>
      <c r="M1528" s="9">
        <v>0.0</v>
      </c>
      <c r="N1528" s="9">
        <v>1.0</v>
      </c>
      <c r="O1528" s="9">
        <v>0.94</v>
      </c>
      <c r="P1528" s="10">
        <v>45261.0</v>
      </c>
      <c r="Q1528" s="11">
        <v>1.925</v>
      </c>
      <c r="R1528" s="8" t="s">
        <v>70</v>
      </c>
      <c r="S1528" s="12">
        <f t="shared" si="1"/>
        <v>0</v>
      </c>
      <c r="T1528" s="12">
        <f t="shared" si="8"/>
        <v>44.67130209</v>
      </c>
      <c r="U1528" s="145"/>
    </row>
    <row r="1529">
      <c r="A1529" s="29"/>
      <c r="B1529" s="29"/>
      <c r="C1529" s="15" t="s">
        <v>19</v>
      </c>
      <c r="D1529" s="15">
        <v>57.0</v>
      </c>
      <c r="E1529" s="15" t="s">
        <v>3989</v>
      </c>
      <c r="F1529" s="15" t="s">
        <v>1473</v>
      </c>
      <c r="G1529" s="15" t="s">
        <v>2660</v>
      </c>
      <c r="H1529" s="15">
        <v>-2.0</v>
      </c>
      <c r="I1529" s="15" t="s">
        <v>172</v>
      </c>
      <c r="J1529" s="15" t="s">
        <v>22</v>
      </c>
      <c r="K1529" s="15" t="s">
        <v>892</v>
      </c>
      <c r="L1529" s="15" t="s">
        <v>39</v>
      </c>
      <c r="M1529" s="16">
        <v>0.0</v>
      </c>
      <c r="N1529" s="16">
        <v>0.8</v>
      </c>
      <c r="O1529" s="16">
        <v>0.8</v>
      </c>
      <c r="P1529" s="17">
        <v>45261.0</v>
      </c>
      <c r="Q1529" s="18">
        <v>2.1</v>
      </c>
      <c r="R1529" s="15" t="s">
        <v>33</v>
      </c>
      <c r="S1529" s="19">
        <f t="shared" si="1"/>
        <v>0.88</v>
      </c>
      <c r="T1529" s="19">
        <f t="shared" si="8"/>
        <v>45.55130209</v>
      </c>
      <c r="U1529" s="144"/>
    </row>
    <row r="1530">
      <c r="A1530" s="107"/>
      <c r="B1530" s="107"/>
      <c r="C1530" s="8" t="s">
        <v>19</v>
      </c>
      <c r="D1530" s="8">
        <v>20.0</v>
      </c>
      <c r="E1530" s="8" t="s">
        <v>3990</v>
      </c>
      <c r="F1530" s="8" t="s">
        <v>1473</v>
      </c>
      <c r="G1530" s="8" t="s">
        <v>2660</v>
      </c>
      <c r="H1530" s="8">
        <v>0.0</v>
      </c>
      <c r="I1530" s="8" t="s">
        <v>172</v>
      </c>
      <c r="J1530" s="8" t="s">
        <v>22</v>
      </c>
      <c r="K1530" s="8" t="s">
        <v>1150</v>
      </c>
      <c r="L1530" s="8" t="s">
        <v>39</v>
      </c>
      <c r="M1530" s="9">
        <v>0.0</v>
      </c>
      <c r="N1530" s="9">
        <v>0.4</v>
      </c>
      <c r="O1530" s="9">
        <v>0.4</v>
      </c>
      <c r="P1530" s="10">
        <v>45261.0</v>
      </c>
      <c r="Q1530" s="11">
        <v>1.7</v>
      </c>
      <c r="R1530" s="8" t="s">
        <v>33</v>
      </c>
      <c r="S1530" s="12">
        <f t="shared" si="1"/>
        <v>0.28</v>
      </c>
      <c r="T1530" s="12">
        <f t="shared" si="8"/>
        <v>45.83130209</v>
      </c>
      <c r="U1530" s="145"/>
    </row>
    <row r="1531">
      <c r="A1531" s="29"/>
      <c r="B1531" s="29"/>
      <c r="C1531" s="15" t="s">
        <v>19</v>
      </c>
      <c r="D1531" s="15">
        <v>0.0</v>
      </c>
      <c r="E1531" s="15" t="s">
        <v>3991</v>
      </c>
      <c r="F1531" s="15"/>
      <c r="G1531" s="15"/>
      <c r="H1531" s="15"/>
      <c r="I1531" s="15" t="s">
        <v>913</v>
      </c>
      <c r="J1531" s="15" t="s">
        <v>598</v>
      </c>
      <c r="K1531" s="15" t="s">
        <v>440</v>
      </c>
      <c r="L1531" s="15" t="s">
        <v>39</v>
      </c>
      <c r="M1531" s="16">
        <v>2.5</v>
      </c>
      <c r="N1531" s="16">
        <v>0.1</v>
      </c>
      <c r="O1531" s="16">
        <v>0.1</v>
      </c>
      <c r="P1531" s="17">
        <v>45261.0</v>
      </c>
      <c r="Q1531" s="18">
        <v>1.85</v>
      </c>
      <c r="R1531" s="15" t="s">
        <v>33</v>
      </c>
      <c r="S1531" s="19">
        <f t="shared" si="1"/>
        <v>0.085</v>
      </c>
      <c r="T1531" s="19">
        <f t="shared" si="8"/>
        <v>45.91630209</v>
      </c>
      <c r="U1531" s="144"/>
    </row>
    <row r="1532">
      <c r="A1532" s="107"/>
      <c r="B1532" s="107"/>
      <c r="C1532" s="8" t="s">
        <v>19</v>
      </c>
      <c r="D1532" s="8">
        <v>55.0</v>
      </c>
      <c r="E1532" s="8" t="s">
        <v>3992</v>
      </c>
      <c r="F1532" s="8" t="s">
        <v>1473</v>
      </c>
      <c r="G1532" s="8" t="s">
        <v>2573</v>
      </c>
      <c r="H1532" s="8">
        <f>1</f>
        <v>1</v>
      </c>
      <c r="I1532" s="8" t="s">
        <v>316</v>
      </c>
      <c r="J1532" s="8" t="s">
        <v>22</v>
      </c>
      <c r="K1532" s="8" t="s">
        <v>894</v>
      </c>
      <c r="L1532" s="8" t="s">
        <v>24</v>
      </c>
      <c r="M1532" s="9">
        <v>-0.5</v>
      </c>
      <c r="N1532" s="9">
        <v>0.1</v>
      </c>
      <c r="O1532" s="9">
        <v>0.1</v>
      </c>
      <c r="P1532" s="10">
        <v>45261.0</v>
      </c>
      <c r="Q1532" s="11">
        <v>1.95</v>
      </c>
      <c r="R1532" s="8" t="s">
        <v>25</v>
      </c>
      <c r="S1532" s="12">
        <f t="shared" si="1"/>
        <v>-0.1</v>
      </c>
      <c r="T1532" s="12">
        <f t="shared" si="8"/>
        <v>45.81630209</v>
      </c>
      <c r="U1532" s="145"/>
    </row>
    <row r="1533">
      <c r="A1533" s="29"/>
      <c r="B1533" s="29"/>
      <c r="C1533" s="15" t="s">
        <v>19</v>
      </c>
      <c r="D1533" s="15">
        <v>32.0</v>
      </c>
      <c r="E1533" s="15" t="s">
        <v>3993</v>
      </c>
      <c r="F1533" s="15" t="s">
        <v>1473</v>
      </c>
      <c r="G1533" s="15" t="s">
        <v>2660</v>
      </c>
      <c r="H1533" s="15">
        <v>-1.0</v>
      </c>
      <c r="I1533" s="15" t="s">
        <v>44</v>
      </c>
      <c r="J1533" s="15" t="s">
        <v>22</v>
      </c>
      <c r="K1533" s="15" t="s">
        <v>1150</v>
      </c>
      <c r="L1533" s="15" t="s">
        <v>39</v>
      </c>
      <c r="M1533" s="16">
        <v>0.0</v>
      </c>
      <c r="N1533" s="16">
        <v>0.25</v>
      </c>
      <c r="O1533" s="16">
        <v>0.25</v>
      </c>
      <c r="P1533" s="17">
        <v>45261.0</v>
      </c>
      <c r="Q1533" s="18">
        <v>1.775</v>
      </c>
      <c r="R1533" s="15" t="s">
        <v>25</v>
      </c>
      <c r="S1533" s="19">
        <f t="shared" si="1"/>
        <v>-0.25</v>
      </c>
      <c r="T1533" s="19">
        <f t="shared" si="8"/>
        <v>45.56630209</v>
      </c>
      <c r="U1533" s="144"/>
    </row>
    <row r="1534">
      <c r="A1534" s="107"/>
      <c r="B1534" s="107"/>
      <c r="C1534" s="8" t="s">
        <v>19</v>
      </c>
      <c r="D1534" s="8">
        <v>25.0</v>
      </c>
      <c r="E1534" s="8" t="s">
        <v>3994</v>
      </c>
      <c r="F1534" s="8" t="s">
        <v>1473</v>
      </c>
      <c r="G1534" s="8" t="s">
        <v>2660</v>
      </c>
      <c r="H1534" s="8">
        <v>0.0</v>
      </c>
      <c r="I1534" s="8" t="s">
        <v>82</v>
      </c>
      <c r="J1534" s="8" t="s">
        <v>22</v>
      </c>
      <c r="K1534" s="8" t="s">
        <v>2805</v>
      </c>
      <c r="L1534" s="8" t="s">
        <v>24</v>
      </c>
      <c r="M1534" s="9">
        <v>0.0</v>
      </c>
      <c r="N1534" s="9">
        <v>0.4</v>
      </c>
      <c r="O1534" s="9">
        <v>0.21</v>
      </c>
      <c r="P1534" s="10">
        <v>45261.0</v>
      </c>
      <c r="Q1534" s="11">
        <v>1.47</v>
      </c>
      <c r="R1534" s="8" t="s">
        <v>33</v>
      </c>
      <c r="S1534" s="12">
        <f t="shared" si="1"/>
        <v>0.0987</v>
      </c>
      <c r="T1534" s="12">
        <f t="shared" si="8"/>
        <v>45.66500209</v>
      </c>
      <c r="U1534" s="145"/>
    </row>
    <row r="1535">
      <c r="A1535" s="29"/>
      <c r="B1535" s="29"/>
      <c r="C1535" s="15" t="s">
        <v>19</v>
      </c>
      <c r="D1535" s="15">
        <v>25.0</v>
      </c>
      <c r="E1535" s="15" t="s">
        <v>3995</v>
      </c>
      <c r="F1535" s="15" t="s">
        <v>1473</v>
      </c>
      <c r="G1535" s="15" t="s">
        <v>2660</v>
      </c>
      <c r="H1535" s="15">
        <v>0.0</v>
      </c>
      <c r="I1535" s="15" t="s">
        <v>82</v>
      </c>
      <c r="J1535" s="15" t="s">
        <v>22</v>
      </c>
      <c r="K1535" s="15" t="s">
        <v>1150</v>
      </c>
      <c r="L1535" s="15" t="s">
        <v>24</v>
      </c>
      <c r="M1535" s="16">
        <v>0.0</v>
      </c>
      <c r="N1535" s="16">
        <v>0.2</v>
      </c>
      <c r="O1535" s="16">
        <v>0.2</v>
      </c>
      <c r="P1535" s="17">
        <v>45261.0</v>
      </c>
      <c r="Q1535" s="18">
        <v>1.775</v>
      </c>
      <c r="R1535" s="15" t="s">
        <v>33</v>
      </c>
      <c r="S1535" s="19">
        <f t="shared" si="1"/>
        <v>0.155</v>
      </c>
      <c r="T1535" s="19">
        <f t="shared" si="8"/>
        <v>45.82000209</v>
      </c>
      <c r="U1535" s="144"/>
    </row>
    <row r="1536">
      <c r="A1536" s="107"/>
      <c r="B1536" s="107"/>
      <c r="C1536" s="8" t="s">
        <v>19</v>
      </c>
      <c r="D1536" s="8">
        <v>25.0</v>
      </c>
      <c r="E1536" s="95" t="s">
        <v>3996</v>
      </c>
      <c r="F1536" s="8" t="s">
        <v>1473</v>
      </c>
      <c r="G1536" s="8" t="s">
        <v>2556</v>
      </c>
      <c r="H1536" s="8">
        <v>0.0</v>
      </c>
      <c r="I1536" s="8" t="s">
        <v>82</v>
      </c>
      <c r="J1536" s="8" t="s">
        <v>22</v>
      </c>
      <c r="K1536" s="8" t="s">
        <v>941</v>
      </c>
      <c r="L1536" s="8" t="s">
        <v>24</v>
      </c>
      <c r="M1536" s="9">
        <v>0.0</v>
      </c>
      <c r="N1536" s="9">
        <v>0.4</v>
      </c>
      <c r="O1536" s="9">
        <v>0.4</v>
      </c>
      <c r="P1536" s="10">
        <v>45261.0</v>
      </c>
      <c r="Q1536" s="11">
        <v>1.47</v>
      </c>
      <c r="R1536" s="8" t="s">
        <v>33</v>
      </c>
      <c r="S1536" s="12">
        <f t="shared" si="1"/>
        <v>0.188</v>
      </c>
      <c r="T1536" s="12">
        <f t="shared" si="8"/>
        <v>46.00800209</v>
      </c>
      <c r="U1536" s="145"/>
    </row>
    <row r="1537">
      <c r="A1537" s="29"/>
      <c r="B1537" s="29"/>
      <c r="C1537" s="15" t="s">
        <v>19</v>
      </c>
      <c r="D1537" s="15">
        <v>20.0</v>
      </c>
      <c r="E1537" s="15" t="s">
        <v>3997</v>
      </c>
      <c r="F1537" s="15" t="s">
        <v>1479</v>
      </c>
      <c r="G1537" s="15" t="s">
        <v>2556</v>
      </c>
      <c r="H1537" s="15">
        <v>0.0</v>
      </c>
      <c r="I1537" s="15" t="s">
        <v>820</v>
      </c>
      <c r="J1537" s="15" t="s">
        <v>22</v>
      </c>
      <c r="K1537" s="15" t="s">
        <v>225</v>
      </c>
      <c r="L1537" s="15" t="s">
        <v>1522</v>
      </c>
      <c r="M1537" s="16">
        <v>1.0</v>
      </c>
      <c r="N1537" s="16">
        <v>0.2</v>
      </c>
      <c r="O1537" s="16">
        <v>0.2</v>
      </c>
      <c r="P1537" s="17">
        <v>45262.0</v>
      </c>
      <c r="Q1537" s="18">
        <v>1.95</v>
      </c>
      <c r="R1537" s="15" t="s">
        <v>25</v>
      </c>
      <c r="S1537" s="19">
        <f t="shared" si="1"/>
        <v>-0.2</v>
      </c>
      <c r="T1537" s="19">
        <f t="shared" si="8"/>
        <v>45.80800209</v>
      </c>
      <c r="U1537" s="144"/>
    </row>
    <row r="1538">
      <c r="A1538" s="107"/>
      <c r="B1538" s="107"/>
      <c r="C1538" s="8" t="s">
        <v>19</v>
      </c>
      <c r="D1538" s="8">
        <v>45.0</v>
      </c>
      <c r="E1538" s="8" t="s">
        <v>3998</v>
      </c>
      <c r="F1538" s="8" t="s">
        <v>1479</v>
      </c>
      <c r="G1538" s="8" t="s">
        <v>2556</v>
      </c>
      <c r="H1538" s="8">
        <f t="shared" ref="H1538:H1541" si="48">1</f>
        <v>1</v>
      </c>
      <c r="I1538" s="8" t="s">
        <v>448</v>
      </c>
      <c r="J1538" s="8" t="s">
        <v>22</v>
      </c>
      <c r="K1538" s="8" t="s">
        <v>225</v>
      </c>
      <c r="L1538" s="8" t="s">
        <v>39</v>
      </c>
      <c r="M1538" s="9">
        <v>0.25</v>
      </c>
      <c r="N1538" s="9">
        <v>0.6</v>
      </c>
      <c r="O1538" s="9">
        <v>0.6</v>
      </c>
      <c r="P1538" s="54">
        <v>45262.0</v>
      </c>
      <c r="Q1538" s="11">
        <v>2.025</v>
      </c>
      <c r="R1538" s="8" t="s">
        <v>33</v>
      </c>
      <c r="S1538" s="12">
        <f t="shared" si="1"/>
        <v>0.615</v>
      </c>
      <c r="T1538" s="12">
        <f t="shared" si="8"/>
        <v>46.42300209</v>
      </c>
      <c r="U1538" s="145"/>
    </row>
    <row r="1539">
      <c r="A1539" s="29"/>
      <c r="B1539" s="29"/>
      <c r="C1539" s="15" t="s">
        <v>19</v>
      </c>
      <c r="D1539" s="15">
        <v>46.0</v>
      </c>
      <c r="E1539" s="15" t="s">
        <v>3999</v>
      </c>
      <c r="F1539" s="15" t="s">
        <v>1473</v>
      </c>
      <c r="G1539" s="15" t="s">
        <v>2660</v>
      </c>
      <c r="H1539" s="15">
        <f t="shared" si="48"/>
        <v>1</v>
      </c>
      <c r="I1539" s="15" t="s">
        <v>448</v>
      </c>
      <c r="J1539" s="15" t="s">
        <v>22</v>
      </c>
      <c r="K1539" s="15" t="s">
        <v>892</v>
      </c>
      <c r="L1539" s="15" t="s">
        <v>39</v>
      </c>
      <c r="M1539" s="16">
        <v>0.0</v>
      </c>
      <c r="N1539" s="16">
        <v>0.25</v>
      </c>
      <c r="O1539" s="16">
        <v>0.25</v>
      </c>
      <c r="P1539" s="17">
        <v>45262.0</v>
      </c>
      <c r="Q1539" s="18">
        <v>1.725</v>
      </c>
      <c r="R1539" s="15" t="s">
        <v>70</v>
      </c>
      <c r="S1539" s="19">
        <f t="shared" si="1"/>
        <v>0</v>
      </c>
      <c r="T1539" s="19">
        <f t="shared" si="8"/>
        <v>46.42300209</v>
      </c>
      <c r="U1539" s="144"/>
    </row>
    <row r="1540">
      <c r="A1540" s="107"/>
      <c r="B1540" s="107"/>
      <c r="C1540" s="8" t="s">
        <v>19</v>
      </c>
      <c r="D1540" s="8">
        <v>56.0</v>
      </c>
      <c r="E1540" s="8" t="s">
        <v>3999</v>
      </c>
      <c r="F1540" s="8" t="s">
        <v>1473</v>
      </c>
      <c r="G1540" s="8" t="s">
        <v>2660</v>
      </c>
      <c r="H1540" s="8">
        <f t="shared" si="48"/>
        <v>1</v>
      </c>
      <c r="I1540" s="8" t="s">
        <v>448</v>
      </c>
      <c r="J1540" s="8" t="s">
        <v>22</v>
      </c>
      <c r="K1540" s="8" t="s">
        <v>892</v>
      </c>
      <c r="L1540" s="8" t="s">
        <v>39</v>
      </c>
      <c r="M1540" s="9">
        <v>0.0</v>
      </c>
      <c r="N1540" s="9">
        <v>0.45</v>
      </c>
      <c r="O1540" s="9">
        <v>0.45</v>
      </c>
      <c r="P1540" s="10">
        <v>45262.0</v>
      </c>
      <c r="Q1540" s="11">
        <v>1.725</v>
      </c>
      <c r="R1540" s="8" t="s">
        <v>70</v>
      </c>
      <c r="S1540" s="12">
        <f t="shared" si="1"/>
        <v>0</v>
      </c>
      <c r="T1540" s="12">
        <f t="shared" si="8"/>
        <v>46.42300209</v>
      </c>
      <c r="U1540" s="145"/>
    </row>
    <row r="1541">
      <c r="A1541" s="29"/>
      <c r="B1541" s="29"/>
      <c r="C1541" s="15" t="s">
        <v>40</v>
      </c>
      <c r="D1541" s="15">
        <v>29.0</v>
      </c>
      <c r="E1541" s="15" t="s">
        <v>4000</v>
      </c>
      <c r="F1541" s="15" t="s">
        <v>1479</v>
      </c>
      <c r="G1541" s="15" t="s">
        <v>2660</v>
      </c>
      <c r="H1541" s="15">
        <f t="shared" si="48"/>
        <v>1</v>
      </c>
      <c r="I1541" s="15" t="s">
        <v>93</v>
      </c>
      <c r="J1541" s="15" t="s">
        <v>22</v>
      </c>
      <c r="K1541" s="15" t="s">
        <v>1150</v>
      </c>
      <c r="L1541" s="15" t="s">
        <v>39</v>
      </c>
      <c r="M1541" s="16">
        <v>0.0</v>
      </c>
      <c r="N1541" s="16">
        <v>1.0</v>
      </c>
      <c r="O1541" s="16">
        <v>1.0</v>
      </c>
      <c r="P1541" s="17">
        <v>45262.0</v>
      </c>
      <c r="Q1541" s="18">
        <v>2.085</v>
      </c>
      <c r="R1541" s="15" t="s">
        <v>25</v>
      </c>
      <c r="S1541" s="19">
        <f t="shared" si="1"/>
        <v>-1</v>
      </c>
      <c r="T1541" s="19">
        <f t="shared" si="8"/>
        <v>45.42300209</v>
      </c>
      <c r="U1541" s="144"/>
    </row>
    <row r="1542">
      <c r="A1542" s="107"/>
      <c r="B1542" s="107"/>
      <c r="C1542" s="8" t="s">
        <v>19</v>
      </c>
      <c r="D1542" s="8">
        <v>57.0</v>
      </c>
      <c r="E1542" s="8" t="s">
        <v>4001</v>
      </c>
      <c r="F1542" s="8" t="s">
        <v>1479</v>
      </c>
      <c r="G1542" s="8" t="s">
        <v>2573</v>
      </c>
      <c r="H1542" s="8">
        <v>2</v>
      </c>
      <c r="I1542" s="8" t="s">
        <v>115</v>
      </c>
      <c r="J1542" s="8" t="s">
        <v>22</v>
      </c>
      <c r="K1542" s="8" t="s">
        <v>894</v>
      </c>
      <c r="L1542" s="8" t="s">
        <v>24</v>
      </c>
      <c r="M1542" s="9">
        <v>-0.25</v>
      </c>
      <c r="N1542" s="9">
        <v>0.1</v>
      </c>
      <c r="O1542" s="9">
        <v>0.1</v>
      </c>
      <c r="P1542" s="10">
        <v>45262.0</v>
      </c>
      <c r="Q1542" s="11">
        <v>1.8</v>
      </c>
      <c r="R1542" s="8" t="s">
        <v>33</v>
      </c>
      <c r="S1542" s="12">
        <f t="shared" si="1"/>
        <v>0.08</v>
      </c>
      <c r="T1542" s="12">
        <f t="shared" si="8"/>
        <v>45.50300209</v>
      </c>
      <c r="U1542" s="145"/>
    </row>
    <row r="1543">
      <c r="A1543" s="29"/>
      <c r="B1543" s="29"/>
      <c r="C1543" s="15" t="s">
        <v>19</v>
      </c>
      <c r="D1543" s="15">
        <v>52.0</v>
      </c>
      <c r="E1543" s="15" t="s">
        <v>4002</v>
      </c>
      <c r="F1543" s="15" t="s">
        <v>1473</v>
      </c>
      <c r="G1543" s="15" t="s">
        <v>2660</v>
      </c>
      <c r="H1543" s="15">
        <v>-1.0</v>
      </c>
      <c r="I1543" s="15" t="s">
        <v>229</v>
      </c>
      <c r="J1543" s="15" t="s">
        <v>22</v>
      </c>
      <c r="K1543" s="15" t="s">
        <v>892</v>
      </c>
      <c r="L1543" s="15" t="s">
        <v>39</v>
      </c>
      <c r="M1543" s="16">
        <v>0.0</v>
      </c>
      <c r="N1543" s="16">
        <v>0.8</v>
      </c>
      <c r="O1543" s="16">
        <v>0.8</v>
      </c>
      <c r="P1543" s="17">
        <v>45262.0</v>
      </c>
      <c r="Q1543" s="18">
        <v>1.775</v>
      </c>
      <c r="R1543" s="15" t="s">
        <v>33</v>
      </c>
      <c r="S1543" s="19">
        <f t="shared" si="1"/>
        <v>0.62</v>
      </c>
      <c r="T1543" s="19">
        <f t="shared" si="8"/>
        <v>46.12300209</v>
      </c>
      <c r="U1543" s="144"/>
    </row>
    <row r="1544">
      <c r="A1544" s="107"/>
      <c r="B1544" s="107"/>
      <c r="C1544" s="8" t="s">
        <v>19</v>
      </c>
      <c r="D1544" s="8">
        <v>67.0</v>
      </c>
      <c r="E1544" s="8" t="s">
        <v>4003</v>
      </c>
      <c r="F1544" s="8" t="s">
        <v>1479</v>
      </c>
      <c r="G1544" s="8" t="s">
        <v>2660</v>
      </c>
      <c r="H1544" s="8">
        <f>1</f>
        <v>1</v>
      </c>
      <c r="I1544" s="8" t="s">
        <v>229</v>
      </c>
      <c r="J1544" s="8" t="s">
        <v>22</v>
      </c>
      <c r="K1544" s="8" t="s">
        <v>892</v>
      </c>
      <c r="L1544" s="8" t="s">
        <v>24</v>
      </c>
      <c r="M1544" s="9">
        <v>0.0</v>
      </c>
      <c r="N1544" s="9">
        <v>0.6</v>
      </c>
      <c r="O1544" s="9">
        <v>0.6</v>
      </c>
      <c r="P1544" s="10">
        <v>45262.0</v>
      </c>
      <c r="Q1544" s="11">
        <v>1.7</v>
      </c>
      <c r="R1544" s="8" t="s">
        <v>70</v>
      </c>
      <c r="S1544" s="12">
        <f t="shared" si="1"/>
        <v>0</v>
      </c>
      <c r="T1544" s="12">
        <f t="shared" si="8"/>
        <v>46.12300209</v>
      </c>
      <c r="U1544" s="145"/>
    </row>
    <row r="1545">
      <c r="A1545" s="29"/>
      <c r="B1545" s="29"/>
      <c r="C1545" s="15" t="s">
        <v>19</v>
      </c>
      <c r="D1545" s="15">
        <v>28.0</v>
      </c>
      <c r="E1545" s="15" t="s">
        <v>4004</v>
      </c>
      <c r="F1545" s="15" t="s">
        <v>1479</v>
      </c>
      <c r="G1545" s="15" t="s">
        <v>2556</v>
      </c>
      <c r="H1545" s="15">
        <v>0.0</v>
      </c>
      <c r="I1545" s="15" t="s">
        <v>525</v>
      </c>
      <c r="J1545" s="15" t="s">
        <v>22</v>
      </c>
      <c r="K1545" s="15" t="s">
        <v>225</v>
      </c>
      <c r="L1545" s="15" t="s">
        <v>24</v>
      </c>
      <c r="M1545" s="16">
        <v>0.25</v>
      </c>
      <c r="N1545" s="16">
        <v>1.0</v>
      </c>
      <c r="O1545" s="16">
        <v>1.0</v>
      </c>
      <c r="P1545" s="17">
        <v>45262.0</v>
      </c>
      <c r="Q1545" s="18">
        <v>1.775</v>
      </c>
      <c r="R1545" s="15" t="s">
        <v>70</v>
      </c>
      <c r="S1545" s="19">
        <f t="shared" si="1"/>
        <v>0</v>
      </c>
      <c r="T1545" s="19">
        <f t="shared" si="8"/>
        <v>46.12300209</v>
      </c>
      <c r="U1545" s="144"/>
    </row>
    <row r="1546">
      <c r="A1546" s="107"/>
      <c r="B1546" s="107"/>
      <c r="C1546" s="8" t="s">
        <v>19</v>
      </c>
      <c r="D1546" s="8">
        <v>23.0</v>
      </c>
      <c r="E1546" s="8" t="s">
        <v>4005</v>
      </c>
      <c r="F1546" s="8" t="s">
        <v>1473</v>
      </c>
      <c r="G1546" s="8" t="s">
        <v>2660</v>
      </c>
      <c r="H1546" s="8">
        <v>0.0</v>
      </c>
      <c r="I1546" s="8" t="s">
        <v>806</v>
      </c>
      <c r="J1546" s="8" t="s">
        <v>22</v>
      </c>
      <c r="K1546" s="8" t="s">
        <v>892</v>
      </c>
      <c r="L1546" s="8" t="s">
        <v>24</v>
      </c>
      <c r="M1546" s="9">
        <v>0.0</v>
      </c>
      <c r="N1546" s="9">
        <v>1.0</v>
      </c>
      <c r="O1546" s="9">
        <v>1.0</v>
      </c>
      <c r="P1546" s="10">
        <v>45262.0</v>
      </c>
      <c r="Q1546" s="11">
        <v>1.875</v>
      </c>
      <c r="R1546" s="8" t="s">
        <v>70</v>
      </c>
      <c r="S1546" s="12">
        <f t="shared" si="1"/>
        <v>0</v>
      </c>
      <c r="T1546" s="12">
        <f t="shared" si="8"/>
        <v>46.12300209</v>
      </c>
      <c r="U1546" s="145"/>
    </row>
    <row r="1547">
      <c r="A1547" s="29"/>
      <c r="B1547" s="29"/>
      <c r="C1547" s="15" t="s">
        <v>19</v>
      </c>
      <c r="D1547" s="15">
        <v>30.0</v>
      </c>
      <c r="E1547" s="15" t="s">
        <v>4006</v>
      </c>
      <c r="F1547" s="15" t="s">
        <v>1473</v>
      </c>
      <c r="G1547" s="15" t="s">
        <v>2556</v>
      </c>
      <c r="H1547" s="15">
        <v>0.0</v>
      </c>
      <c r="I1547" s="15" t="s">
        <v>1031</v>
      </c>
      <c r="J1547" s="15" t="s">
        <v>22</v>
      </c>
      <c r="K1547" s="15" t="s">
        <v>225</v>
      </c>
      <c r="L1547" s="15" t="s">
        <v>24</v>
      </c>
      <c r="M1547" s="16">
        <v>0.5</v>
      </c>
      <c r="N1547" s="16">
        <v>1.0</v>
      </c>
      <c r="O1547" s="16">
        <v>1.0</v>
      </c>
      <c r="P1547" s="17">
        <v>45262.0</v>
      </c>
      <c r="Q1547" s="18">
        <v>1.85</v>
      </c>
      <c r="R1547" s="15" t="s">
        <v>25</v>
      </c>
      <c r="S1547" s="19">
        <f t="shared" si="1"/>
        <v>-1</v>
      </c>
      <c r="T1547" s="19">
        <f t="shared" si="8"/>
        <v>45.12300209</v>
      </c>
      <c r="U1547" s="144"/>
    </row>
    <row r="1548">
      <c r="A1548" s="107"/>
      <c r="B1548" s="107"/>
      <c r="C1548" s="8" t="s">
        <v>19</v>
      </c>
      <c r="D1548" s="8">
        <v>45.0</v>
      </c>
      <c r="E1548" s="8" t="s">
        <v>4007</v>
      </c>
      <c r="F1548" s="8" t="s">
        <v>1473</v>
      </c>
      <c r="G1548" s="8" t="s">
        <v>2556</v>
      </c>
      <c r="H1548" s="8">
        <v>0.0</v>
      </c>
      <c r="I1548" s="8" t="s">
        <v>624</v>
      </c>
      <c r="J1548" s="8" t="s">
        <v>22</v>
      </c>
      <c r="K1548" s="8" t="s">
        <v>225</v>
      </c>
      <c r="L1548" s="8" t="s">
        <v>24</v>
      </c>
      <c r="M1548" s="9">
        <v>0.5</v>
      </c>
      <c r="N1548" s="9">
        <v>1.0</v>
      </c>
      <c r="O1548" s="9">
        <v>1.0</v>
      </c>
      <c r="P1548" s="10">
        <v>45262.0</v>
      </c>
      <c r="Q1548" s="11">
        <v>1.8</v>
      </c>
      <c r="R1548" s="8" t="s">
        <v>25</v>
      </c>
      <c r="S1548" s="12">
        <f t="shared" si="1"/>
        <v>-1</v>
      </c>
      <c r="T1548" s="12">
        <f t="shared" si="8"/>
        <v>44.12300209</v>
      </c>
      <c r="U1548" s="145"/>
    </row>
    <row r="1549">
      <c r="A1549" s="29"/>
      <c r="B1549" s="29"/>
      <c r="C1549" s="15" t="s">
        <v>19</v>
      </c>
      <c r="D1549" s="15">
        <v>50.0</v>
      </c>
      <c r="E1549" s="15" t="s">
        <v>4008</v>
      </c>
      <c r="F1549" s="15" t="s">
        <v>1473</v>
      </c>
      <c r="G1549" s="15" t="s">
        <v>2660</v>
      </c>
      <c r="H1549" s="15">
        <v>0.0</v>
      </c>
      <c r="I1549" s="15" t="s">
        <v>121</v>
      </c>
      <c r="J1549" s="15" t="s">
        <v>22</v>
      </c>
      <c r="K1549" s="15" t="s">
        <v>892</v>
      </c>
      <c r="L1549" s="15" t="s">
        <v>1522</v>
      </c>
      <c r="M1549" s="16">
        <v>0.0</v>
      </c>
      <c r="N1549" s="16">
        <v>0.2</v>
      </c>
      <c r="O1549" s="16">
        <f>0.2*0.25</f>
        <v>0.05</v>
      </c>
      <c r="P1549" s="17">
        <v>45262.0</v>
      </c>
      <c r="Q1549" s="18">
        <v>1.975</v>
      </c>
      <c r="R1549" s="15" t="s">
        <v>25</v>
      </c>
      <c r="S1549" s="19">
        <f t="shared" si="1"/>
        <v>-0.05</v>
      </c>
      <c r="T1549" s="19">
        <f t="shared" si="8"/>
        <v>44.07300209</v>
      </c>
      <c r="U1549" s="144"/>
    </row>
    <row r="1550">
      <c r="A1550" s="107"/>
      <c r="B1550" s="107"/>
      <c r="C1550" s="8" t="s">
        <v>19</v>
      </c>
      <c r="D1550" s="8">
        <v>55.0</v>
      </c>
      <c r="E1550" s="8" t="s">
        <v>4009</v>
      </c>
      <c r="F1550" s="8" t="s">
        <v>1473</v>
      </c>
      <c r="G1550" s="8" t="s">
        <v>2660</v>
      </c>
      <c r="H1550" s="8">
        <v>-1.0</v>
      </c>
      <c r="I1550" s="8" t="s">
        <v>121</v>
      </c>
      <c r="J1550" s="8" t="s">
        <v>22</v>
      </c>
      <c r="K1550" s="8" t="s">
        <v>892</v>
      </c>
      <c r="L1550" s="8" t="s">
        <v>1522</v>
      </c>
      <c r="M1550" s="9">
        <v>0.0</v>
      </c>
      <c r="N1550" s="9">
        <v>1.0</v>
      </c>
      <c r="O1550" s="9">
        <v>0.25</v>
      </c>
      <c r="P1550" s="10">
        <v>45262.0</v>
      </c>
      <c r="Q1550" s="11">
        <v>2.025</v>
      </c>
      <c r="R1550" s="8" t="s">
        <v>25</v>
      </c>
      <c r="S1550" s="12">
        <f t="shared" si="1"/>
        <v>-0.25</v>
      </c>
      <c r="T1550" s="12">
        <f t="shared" si="8"/>
        <v>43.82300209</v>
      </c>
      <c r="U1550" s="145"/>
    </row>
    <row r="1551">
      <c r="A1551" s="29"/>
      <c r="B1551" s="29"/>
      <c r="C1551" s="15" t="s">
        <v>19</v>
      </c>
      <c r="D1551" s="15">
        <v>20.0</v>
      </c>
      <c r="E1551" s="15" t="s">
        <v>4010</v>
      </c>
      <c r="F1551" s="15" t="s">
        <v>1473</v>
      </c>
      <c r="G1551" s="15" t="s">
        <v>2660</v>
      </c>
      <c r="H1551" s="15">
        <f>1</f>
        <v>1</v>
      </c>
      <c r="I1551" s="15" t="s">
        <v>66</v>
      </c>
      <c r="J1551" s="15" t="s">
        <v>22</v>
      </c>
      <c r="K1551" s="15" t="s">
        <v>892</v>
      </c>
      <c r="L1551" s="15" t="s">
        <v>24</v>
      </c>
      <c r="M1551" s="16">
        <v>0.0</v>
      </c>
      <c r="N1551" s="16">
        <v>1.2</v>
      </c>
      <c r="O1551" s="16">
        <v>1.2</v>
      </c>
      <c r="P1551" s="17">
        <v>45262.0</v>
      </c>
      <c r="Q1551" s="18">
        <v>1.95</v>
      </c>
      <c r="R1551" s="15" t="s">
        <v>33</v>
      </c>
      <c r="S1551" s="19">
        <f t="shared" si="1"/>
        <v>1.14</v>
      </c>
      <c r="T1551" s="19">
        <f t="shared" si="8"/>
        <v>44.96300209</v>
      </c>
      <c r="U1551" s="144"/>
    </row>
    <row r="1552">
      <c r="A1552" s="107"/>
      <c r="B1552" s="107"/>
      <c r="C1552" s="8" t="s">
        <v>19</v>
      </c>
      <c r="D1552" s="8">
        <v>22.0</v>
      </c>
      <c r="E1552" s="8" t="s">
        <v>4011</v>
      </c>
      <c r="F1552" s="8" t="s">
        <v>1479</v>
      </c>
      <c r="G1552" s="8" t="s">
        <v>2556</v>
      </c>
      <c r="H1552" s="8">
        <v>0.0</v>
      </c>
      <c r="I1552" s="8" t="s">
        <v>66</v>
      </c>
      <c r="J1552" s="8" t="s">
        <v>22</v>
      </c>
      <c r="K1552" s="8" t="s">
        <v>225</v>
      </c>
      <c r="L1552" s="8" t="s">
        <v>24</v>
      </c>
      <c r="M1552" s="9">
        <v>0.5</v>
      </c>
      <c r="N1552" s="9">
        <v>0.6</v>
      </c>
      <c r="O1552" s="9">
        <v>0.6</v>
      </c>
      <c r="P1552" s="10">
        <v>45262.0</v>
      </c>
      <c r="Q1552" s="11">
        <v>1.2</v>
      </c>
      <c r="R1552" s="8" t="s">
        <v>33</v>
      </c>
      <c r="S1552" s="12">
        <f t="shared" si="1"/>
        <v>0.12</v>
      </c>
      <c r="T1552" s="12">
        <f t="shared" si="8"/>
        <v>45.08300209</v>
      </c>
      <c r="U1552" s="145"/>
    </row>
    <row r="1553">
      <c r="A1553" s="29"/>
      <c r="B1553" s="29"/>
      <c r="C1553" s="15" t="s">
        <v>19</v>
      </c>
      <c r="D1553" s="15">
        <v>25.0</v>
      </c>
      <c r="E1553" s="15" t="s">
        <v>4012</v>
      </c>
      <c r="F1553" s="15" t="s">
        <v>1479</v>
      </c>
      <c r="G1553" s="15" t="s">
        <v>2556</v>
      </c>
      <c r="H1553" s="15">
        <f t="shared" ref="H1553:H1555" si="49">1</f>
        <v>1</v>
      </c>
      <c r="I1553" s="15" t="s">
        <v>66</v>
      </c>
      <c r="J1553" s="15" t="s">
        <v>22</v>
      </c>
      <c r="K1553" s="15" t="s">
        <v>225</v>
      </c>
      <c r="L1553" s="15" t="s">
        <v>24</v>
      </c>
      <c r="M1553" s="16">
        <v>0.5</v>
      </c>
      <c r="N1553" s="16">
        <v>1.0</v>
      </c>
      <c r="O1553" s="16">
        <v>1.0</v>
      </c>
      <c r="P1553" s="17">
        <v>45262.0</v>
      </c>
      <c r="Q1553" s="18">
        <v>2.0</v>
      </c>
      <c r="R1553" s="15" t="s">
        <v>33</v>
      </c>
      <c r="S1553" s="19">
        <f t="shared" si="1"/>
        <v>1</v>
      </c>
      <c r="T1553" s="19">
        <f t="shared" si="8"/>
        <v>46.08300209</v>
      </c>
      <c r="U1553" s="144"/>
    </row>
    <row r="1554">
      <c r="A1554" s="107"/>
      <c r="B1554" s="107"/>
      <c r="C1554" s="8" t="s">
        <v>40</v>
      </c>
      <c r="D1554" s="8">
        <v>25.0</v>
      </c>
      <c r="E1554" s="8" t="s">
        <v>4013</v>
      </c>
      <c r="F1554" s="8" t="s">
        <v>1473</v>
      </c>
      <c r="G1554" s="8" t="s">
        <v>2556</v>
      </c>
      <c r="H1554" s="8">
        <f t="shared" si="49"/>
        <v>1</v>
      </c>
      <c r="I1554" s="8" t="s">
        <v>93</v>
      </c>
      <c r="J1554" s="8" t="s">
        <v>22</v>
      </c>
      <c r="K1554" s="8" t="s">
        <v>225</v>
      </c>
      <c r="L1554" s="8" t="s">
        <v>24</v>
      </c>
      <c r="M1554" s="9">
        <v>0.75</v>
      </c>
      <c r="N1554" s="9">
        <v>0.8</v>
      </c>
      <c r="O1554" s="9">
        <v>0.8</v>
      </c>
      <c r="P1554" s="10">
        <v>45262.0</v>
      </c>
      <c r="Q1554" s="11">
        <v>1.975</v>
      </c>
      <c r="R1554" s="8" t="s">
        <v>79</v>
      </c>
      <c r="S1554" s="12">
        <f t="shared" si="1"/>
        <v>-0.4</v>
      </c>
      <c r="T1554" s="12">
        <f t="shared" si="8"/>
        <v>45.68300209</v>
      </c>
      <c r="U1554" s="145"/>
    </row>
    <row r="1555">
      <c r="A1555" s="29"/>
      <c r="B1555" s="29"/>
      <c r="C1555" s="15" t="s">
        <v>19</v>
      </c>
      <c r="D1555" s="15">
        <v>44.0</v>
      </c>
      <c r="E1555" s="15" t="s">
        <v>4014</v>
      </c>
      <c r="F1555" s="15" t="s">
        <v>1473</v>
      </c>
      <c r="G1555" s="15" t="s">
        <v>2660</v>
      </c>
      <c r="H1555" s="15">
        <f t="shared" si="49"/>
        <v>1</v>
      </c>
      <c r="I1555" s="15" t="s">
        <v>66</v>
      </c>
      <c r="J1555" s="15" t="s">
        <v>22</v>
      </c>
      <c r="K1555" s="15" t="s">
        <v>892</v>
      </c>
      <c r="L1555" s="15" t="s">
        <v>39</v>
      </c>
      <c r="M1555" s="16">
        <v>0.0</v>
      </c>
      <c r="N1555" s="16">
        <v>0.75</v>
      </c>
      <c r="O1555" s="16">
        <v>0.01</v>
      </c>
      <c r="P1555" s="17">
        <v>45262.0</v>
      </c>
      <c r="Q1555" s="18">
        <v>1.7</v>
      </c>
      <c r="R1555" s="15" t="s">
        <v>25</v>
      </c>
      <c r="S1555" s="19">
        <f t="shared" si="1"/>
        <v>-0.01</v>
      </c>
      <c r="T1555" s="19">
        <f t="shared" si="8"/>
        <v>45.67300209</v>
      </c>
      <c r="U1555" s="144"/>
    </row>
    <row r="1556">
      <c r="A1556" s="107"/>
      <c r="B1556" s="107"/>
      <c r="C1556" s="8" t="s">
        <v>19</v>
      </c>
      <c r="D1556" s="8">
        <v>54.0</v>
      </c>
      <c r="E1556" s="8" t="s">
        <v>4015</v>
      </c>
      <c r="F1556" s="8" t="s">
        <v>1473</v>
      </c>
      <c r="G1556" s="8" t="s">
        <v>2660</v>
      </c>
      <c r="H1556" s="8">
        <v>0.0</v>
      </c>
      <c r="I1556" s="8" t="s">
        <v>121</v>
      </c>
      <c r="J1556" s="8" t="s">
        <v>22</v>
      </c>
      <c r="K1556" s="8" t="s">
        <v>892</v>
      </c>
      <c r="L1556" s="8" t="s">
        <v>39</v>
      </c>
      <c r="M1556" s="9">
        <v>0.0</v>
      </c>
      <c r="N1556" s="9">
        <v>0.1</v>
      </c>
      <c r="O1556" s="9">
        <v>0.1</v>
      </c>
      <c r="P1556" s="10">
        <v>45262.0</v>
      </c>
      <c r="Q1556" s="11">
        <v>1.8</v>
      </c>
      <c r="R1556" s="8" t="s">
        <v>33</v>
      </c>
      <c r="S1556" s="12">
        <f t="shared" si="1"/>
        <v>0.08</v>
      </c>
      <c r="T1556" s="12">
        <f t="shared" si="8"/>
        <v>45.75300209</v>
      </c>
      <c r="U1556" s="145"/>
    </row>
    <row r="1557">
      <c r="A1557" s="29"/>
      <c r="B1557" s="29"/>
      <c r="C1557" s="15" t="s">
        <v>19</v>
      </c>
      <c r="D1557" s="15">
        <v>0.0</v>
      </c>
      <c r="E1557" s="15" t="s">
        <v>4016</v>
      </c>
      <c r="F1557" s="15"/>
      <c r="G1557" s="15"/>
      <c r="H1557" s="15"/>
      <c r="I1557" s="15" t="s">
        <v>44</v>
      </c>
      <c r="J1557" s="15" t="s">
        <v>598</v>
      </c>
      <c r="K1557" s="15" t="s">
        <v>2634</v>
      </c>
      <c r="L1557" s="15" t="s">
        <v>39</v>
      </c>
      <c r="M1557" s="16"/>
      <c r="N1557" s="16">
        <v>0.1</v>
      </c>
      <c r="O1557" s="16">
        <v>0.1</v>
      </c>
      <c r="P1557" s="17">
        <v>45262.0</v>
      </c>
      <c r="Q1557" s="18">
        <v>1.75</v>
      </c>
      <c r="R1557" s="15" t="s">
        <v>25</v>
      </c>
      <c r="S1557" s="19">
        <f t="shared" si="1"/>
        <v>-0.1</v>
      </c>
      <c r="T1557" s="19">
        <f t="shared" si="8"/>
        <v>45.65300209</v>
      </c>
      <c r="U1557" s="144"/>
    </row>
    <row r="1558">
      <c r="A1558" s="107"/>
      <c r="B1558" s="107"/>
      <c r="C1558" s="8" t="s">
        <v>19</v>
      </c>
      <c r="D1558" s="8">
        <v>64.0</v>
      </c>
      <c r="E1558" s="8" t="s">
        <v>4017</v>
      </c>
      <c r="F1558" s="8" t="s">
        <v>1479</v>
      </c>
      <c r="G1558" s="8" t="s">
        <v>2660</v>
      </c>
      <c r="H1558" s="8">
        <v>-1.0</v>
      </c>
      <c r="I1558" s="8" t="s">
        <v>121</v>
      </c>
      <c r="J1558" s="8" t="s">
        <v>22</v>
      </c>
      <c r="K1558" s="8" t="s">
        <v>892</v>
      </c>
      <c r="L1558" s="8" t="s">
        <v>24</v>
      </c>
      <c r="M1558" s="9">
        <v>0.0</v>
      </c>
      <c r="N1558" s="9">
        <v>0.2</v>
      </c>
      <c r="O1558" s="9">
        <v>0.2</v>
      </c>
      <c r="P1558" s="10">
        <v>45262.0</v>
      </c>
      <c r="Q1558" s="11">
        <v>1.85</v>
      </c>
      <c r="R1558" s="8" t="s">
        <v>70</v>
      </c>
      <c r="S1558" s="12">
        <f t="shared" si="1"/>
        <v>0</v>
      </c>
      <c r="T1558" s="12">
        <f t="shared" si="8"/>
        <v>45.65300209</v>
      </c>
      <c r="U1558" s="145"/>
    </row>
    <row r="1559">
      <c r="A1559" s="29"/>
      <c r="B1559" s="29"/>
      <c r="C1559" s="15" t="s">
        <v>19</v>
      </c>
      <c r="D1559" s="15">
        <v>83.0</v>
      </c>
      <c r="E1559" s="15" t="s">
        <v>4018</v>
      </c>
      <c r="F1559" s="15" t="s">
        <v>1479</v>
      </c>
      <c r="G1559" s="15" t="s">
        <v>2660</v>
      </c>
      <c r="H1559" s="15">
        <v>-2.0</v>
      </c>
      <c r="I1559" s="15" t="s">
        <v>66</v>
      </c>
      <c r="J1559" s="15" t="s">
        <v>22</v>
      </c>
      <c r="K1559" s="15" t="s">
        <v>892</v>
      </c>
      <c r="L1559" s="15" t="s">
        <v>24</v>
      </c>
      <c r="M1559" s="16">
        <v>0.0</v>
      </c>
      <c r="N1559" s="16">
        <v>0.6</v>
      </c>
      <c r="O1559" s="16">
        <v>0.6</v>
      </c>
      <c r="P1559" s="17">
        <v>45262.0</v>
      </c>
      <c r="Q1559" s="18">
        <v>2.05</v>
      </c>
      <c r="R1559" s="15" t="s">
        <v>70</v>
      </c>
      <c r="S1559" s="19">
        <f t="shared" si="1"/>
        <v>0</v>
      </c>
      <c r="T1559" s="19">
        <f t="shared" si="8"/>
        <v>45.65300209</v>
      </c>
      <c r="U1559" s="144"/>
    </row>
    <row r="1560">
      <c r="A1560" s="107"/>
      <c r="B1560" s="107"/>
      <c r="C1560" s="8" t="s">
        <v>40</v>
      </c>
      <c r="D1560" s="8">
        <v>57.0</v>
      </c>
      <c r="E1560" s="8" t="s">
        <v>4019</v>
      </c>
      <c r="F1560" s="8" t="s">
        <v>1479</v>
      </c>
      <c r="G1560" s="8" t="s">
        <v>2556</v>
      </c>
      <c r="H1560" s="8">
        <v>2</v>
      </c>
      <c r="I1560" s="8" t="s">
        <v>93</v>
      </c>
      <c r="J1560" s="8" t="s">
        <v>22</v>
      </c>
      <c r="K1560" s="8" t="s">
        <v>225</v>
      </c>
      <c r="L1560" s="8" t="s">
        <v>24</v>
      </c>
      <c r="M1560" s="9">
        <v>0.5</v>
      </c>
      <c r="N1560" s="9">
        <v>1.0</v>
      </c>
      <c r="O1560" s="9">
        <v>1.0</v>
      </c>
      <c r="P1560" s="10">
        <v>45262.0</v>
      </c>
      <c r="Q1560" s="11">
        <v>1.825</v>
      </c>
      <c r="R1560" s="8" t="s">
        <v>25</v>
      </c>
      <c r="S1560" s="12">
        <f t="shared" si="1"/>
        <v>-1</v>
      </c>
      <c r="T1560" s="12">
        <f t="shared" si="8"/>
        <v>44.65300209</v>
      </c>
      <c r="U1560" s="145"/>
    </row>
    <row r="1561">
      <c r="A1561" s="29"/>
      <c r="B1561" s="29"/>
      <c r="C1561" s="15" t="s">
        <v>19</v>
      </c>
      <c r="D1561" s="15">
        <v>58.0</v>
      </c>
      <c r="E1561" s="15" t="s">
        <v>4020</v>
      </c>
      <c r="F1561" s="15" t="s">
        <v>1473</v>
      </c>
      <c r="G1561" s="15" t="s">
        <v>2573</v>
      </c>
      <c r="H1561" s="15">
        <v>0.0</v>
      </c>
      <c r="I1561" s="15" t="s">
        <v>50</v>
      </c>
      <c r="J1561" s="15" t="s">
        <v>22</v>
      </c>
      <c r="K1561" s="15" t="s">
        <v>894</v>
      </c>
      <c r="L1561" s="15" t="s">
        <v>39</v>
      </c>
      <c r="M1561" s="16">
        <v>-0.25</v>
      </c>
      <c r="N1561" s="16">
        <v>0.1</v>
      </c>
      <c r="O1561" s="16">
        <v>0.1</v>
      </c>
      <c r="P1561" s="17">
        <v>45262.0</v>
      </c>
      <c r="Q1561" s="18">
        <v>1.75</v>
      </c>
      <c r="R1561" s="15" t="s">
        <v>33</v>
      </c>
      <c r="S1561" s="19">
        <f t="shared" si="1"/>
        <v>0.075</v>
      </c>
      <c r="T1561" s="19">
        <f t="shared" si="8"/>
        <v>44.72800209</v>
      </c>
      <c r="U1561" s="144"/>
    </row>
    <row r="1562">
      <c r="A1562" s="107"/>
      <c r="B1562" s="107"/>
      <c r="C1562" s="8" t="s">
        <v>19</v>
      </c>
      <c r="D1562" s="8">
        <v>44.0</v>
      </c>
      <c r="E1562" s="8" t="s">
        <v>4021</v>
      </c>
      <c r="F1562" s="8" t="s">
        <v>1473</v>
      </c>
      <c r="G1562" s="8" t="s">
        <v>2660</v>
      </c>
      <c r="H1562" s="8">
        <v>-1.0</v>
      </c>
      <c r="I1562" s="8" t="s">
        <v>50</v>
      </c>
      <c r="J1562" s="8" t="s">
        <v>22</v>
      </c>
      <c r="K1562" s="8" t="s">
        <v>892</v>
      </c>
      <c r="L1562" s="8" t="s">
        <v>39</v>
      </c>
      <c r="M1562" s="9">
        <v>0.0</v>
      </c>
      <c r="N1562" s="9">
        <v>0.8</v>
      </c>
      <c r="O1562" s="9">
        <v>0.8</v>
      </c>
      <c r="P1562" s="10">
        <v>45262.0</v>
      </c>
      <c r="Q1562" s="11">
        <v>1.975</v>
      </c>
      <c r="R1562" s="8" t="s">
        <v>70</v>
      </c>
      <c r="S1562" s="12">
        <f t="shared" si="1"/>
        <v>0</v>
      </c>
      <c r="T1562" s="12">
        <f t="shared" si="8"/>
        <v>44.72800209</v>
      </c>
      <c r="U1562" s="145"/>
    </row>
    <row r="1563">
      <c r="A1563" s="29"/>
      <c r="B1563" s="29"/>
      <c r="C1563" s="15" t="s">
        <v>19</v>
      </c>
      <c r="D1563" s="15">
        <v>65.0</v>
      </c>
      <c r="E1563" s="15" t="s">
        <v>4022</v>
      </c>
      <c r="F1563" s="15" t="s">
        <v>1473</v>
      </c>
      <c r="G1563" s="15" t="s">
        <v>2660</v>
      </c>
      <c r="H1563" s="15">
        <v>0.0</v>
      </c>
      <c r="I1563" s="15" t="s">
        <v>88</v>
      </c>
      <c r="J1563" s="15" t="s">
        <v>22</v>
      </c>
      <c r="K1563" s="15" t="s">
        <v>892</v>
      </c>
      <c r="L1563" s="15" t="s">
        <v>24</v>
      </c>
      <c r="M1563" s="16">
        <v>0.0</v>
      </c>
      <c r="N1563" s="16">
        <v>0.4</v>
      </c>
      <c r="O1563" s="16">
        <v>0.4</v>
      </c>
      <c r="P1563" s="17">
        <v>45263.0</v>
      </c>
      <c r="Q1563" s="18">
        <v>1.775</v>
      </c>
      <c r="R1563" s="15" t="s">
        <v>70</v>
      </c>
      <c r="S1563" s="19">
        <f t="shared" si="1"/>
        <v>0</v>
      </c>
      <c r="T1563" s="19">
        <f t="shared" si="8"/>
        <v>44.72800209</v>
      </c>
      <c r="U1563" s="144"/>
    </row>
    <row r="1564">
      <c r="A1564" s="107"/>
      <c r="B1564" s="107"/>
      <c r="C1564" s="8" t="s">
        <v>19</v>
      </c>
      <c r="D1564" s="8">
        <v>40.0</v>
      </c>
      <c r="E1564" s="8" t="s">
        <v>4023</v>
      </c>
      <c r="F1564" s="8" t="s">
        <v>1479</v>
      </c>
      <c r="G1564" s="8" t="s">
        <v>2556</v>
      </c>
      <c r="H1564" s="8">
        <f>1</f>
        <v>1</v>
      </c>
      <c r="I1564" s="8" t="s">
        <v>48</v>
      </c>
      <c r="J1564" s="8" t="s">
        <v>22</v>
      </c>
      <c r="K1564" s="8" t="s">
        <v>225</v>
      </c>
      <c r="L1564" s="8" t="s">
        <v>24</v>
      </c>
      <c r="M1564" s="9">
        <v>0.75</v>
      </c>
      <c r="N1564" s="9">
        <v>0.6</v>
      </c>
      <c r="O1564" s="9">
        <v>0.6</v>
      </c>
      <c r="P1564" s="10">
        <v>45263.0</v>
      </c>
      <c r="Q1564" s="11">
        <v>1.875</v>
      </c>
      <c r="R1564" s="8" t="s">
        <v>79</v>
      </c>
      <c r="S1564" s="12">
        <f t="shared" si="1"/>
        <v>-0.3</v>
      </c>
      <c r="T1564" s="12">
        <f t="shared" si="8"/>
        <v>44.42800209</v>
      </c>
      <c r="U1564" s="145"/>
    </row>
    <row r="1565">
      <c r="A1565" s="29"/>
      <c r="B1565" s="29"/>
      <c r="C1565" s="15" t="s">
        <v>19</v>
      </c>
      <c r="D1565" s="15">
        <v>30.0</v>
      </c>
      <c r="E1565" s="15" t="s">
        <v>4024</v>
      </c>
      <c r="F1565" s="15" t="s">
        <v>1479</v>
      </c>
      <c r="G1565" s="15" t="s">
        <v>2660</v>
      </c>
      <c r="H1565" s="15">
        <v>-1.0</v>
      </c>
      <c r="I1565" s="15" t="s">
        <v>115</v>
      </c>
      <c r="J1565" s="15" t="s">
        <v>22</v>
      </c>
      <c r="K1565" s="15" t="s">
        <v>892</v>
      </c>
      <c r="L1565" s="15" t="s">
        <v>24</v>
      </c>
      <c r="M1565" s="16">
        <v>0.0</v>
      </c>
      <c r="N1565" s="16">
        <v>0.8</v>
      </c>
      <c r="O1565" s="16">
        <v>0.8</v>
      </c>
      <c r="P1565" s="17">
        <v>45263.0</v>
      </c>
      <c r="Q1565" s="18">
        <v>1.825</v>
      </c>
      <c r="R1565" s="15" t="s">
        <v>33</v>
      </c>
      <c r="S1565" s="19">
        <f t="shared" si="1"/>
        <v>0.66</v>
      </c>
      <c r="T1565" s="19">
        <f t="shared" si="8"/>
        <v>45.08800209</v>
      </c>
      <c r="U1565" s="144"/>
    </row>
    <row r="1566">
      <c r="A1566" s="107"/>
      <c r="B1566" s="107"/>
      <c r="C1566" s="8" t="s">
        <v>19</v>
      </c>
      <c r="D1566" s="8">
        <v>20.0</v>
      </c>
      <c r="E1566" s="8" t="s">
        <v>4025</v>
      </c>
      <c r="F1566" s="8" t="s">
        <v>1473</v>
      </c>
      <c r="G1566" s="8" t="s">
        <v>2556</v>
      </c>
      <c r="H1566" s="8">
        <v>0.0</v>
      </c>
      <c r="I1566" s="8" t="s">
        <v>229</v>
      </c>
      <c r="J1566" s="8" t="s">
        <v>22</v>
      </c>
      <c r="K1566" s="8" t="s">
        <v>225</v>
      </c>
      <c r="L1566" s="8" t="s">
        <v>24</v>
      </c>
      <c r="M1566" s="9">
        <v>0.75</v>
      </c>
      <c r="N1566" s="9">
        <v>0.6</v>
      </c>
      <c r="O1566" s="9">
        <v>0.6</v>
      </c>
      <c r="P1566" s="10">
        <v>45263.0</v>
      </c>
      <c r="Q1566" s="11">
        <v>1.36</v>
      </c>
      <c r="R1566" s="8" t="s">
        <v>33</v>
      </c>
      <c r="S1566" s="12">
        <f t="shared" si="1"/>
        <v>0.216</v>
      </c>
      <c r="T1566" s="12">
        <f t="shared" si="8"/>
        <v>45.30400209</v>
      </c>
      <c r="U1566" s="145"/>
    </row>
    <row r="1567">
      <c r="A1567" s="29"/>
      <c r="B1567" s="29"/>
      <c r="C1567" s="15" t="s">
        <v>19</v>
      </c>
      <c r="D1567" s="15">
        <v>20.0</v>
      </c>
      <c r="E1567" s="15" t="s">
        <v>4026</v>
      </c>
      <c r="F1567" s="15"/>
      <c r="G1567" s="15"/>
      <c r="H1567" s="15"/>
      <c r="I1567" s="15" t="s">
        <v>207</v>
      </c>
      <c r="J1567" s="15" t="s">
        <v>22</v>
      </c>
      <c r="K1567" s="15" t="s">
        <v>2634</v>
      </c>
      <c r="L1567" s="15" t="s">
        <v>24</v>
      </c>
      <c r="M1567" s="16"/>
      <c r="N1567" s="16">
        <v>0.6</v>
      </c>
      <c r="O1567" s="16">
        <v>0.6</v>
      </c>
      <c r="P1567" s="17">
        <v>45263.0</v>
      </c>
      <c r="Q1567" s="18">
        <v>1.875</v>
      </c>
      <c r="R1567" s="15" t="s">
        <v>25</v>
      </c>
      <c r="S1567" s="19">
        <f t="shared" si="1"/>
        <v>-0.6</v>
      </c>
      <c r="T1567" s="19">
        <f t="shared" si="8"/>
        <v>44.70400209</v>
      </c>
      <c r="U1567" s="144"/>
    </row>
    <row r="1568">
      <c r="A1568" s="107"/>
      <c r="B1568" s="107"/>
      <c r="C1568" s="8" t="s">
        <v>19</v>
      </c>
      <c r="D1568" s="8">
        <v>41.0</v>
      </c>
      <c r="E1568" s="8" t="s">
        <v>4027</v>
      </c>
      <c r="F1568" s="8" t="s">
        <v>1473</v>
      </c>
      <c r="G1568" s="8" t="s">
        <v>2660</v>
      </c>
      <c r="H1568" s="8">
        <v>-1.0</v>
      </c>
      <c r="I1568" s="8" t="s">
        <v>93</v>
      </c>
      <c r="J1568" s="8" t="s">
        <v>22</v>
      </c>
      <c r="K1568" s="8" t="s">
        <v>892</v>
      </c>
      <c r="L1568" s="8" t="s">
        <v>24</v>
      </c>
      <c r="M1568" s="9">
        <v>0.0</v>
      </c>
      <c r="N1568" s="9">
        <v>1.0</v>
      </c>
      <c r="O1568" s="9">
        <v>0.89</v>
      </c>
      <c r="P1568" s="10">
        <v>45263.0</v>
      </c>
      <c r="Q1568" s="11">
        <v>1.825</v>
      </c>
      <c r="R1568" s="8" t="s">
        <v>25</v>
      </c>
      <c r="S1568" s="12">
        <f t="shared" si="1"/>
        <v>-0.89</v>
      </c>
      <c r="T1568" s="12">
        <f t="shared" si="8"/>
        <v>43.81400209</v>
      </c>
      <c r="U1568" s="145"/>
    </row>
    <row r="1569">
      <c r="A1569" s="29"/>
      <c r="B1569" s="29"/>
      <c r="C1569" s="15" t="s">
        <v>19</v>
      </c>
      <c r="D1569" s="15">
        <v>56.0</v>
      </c>
      <c r="E1569" s="15" t="s">
        <v>4028</v>
      </c>
      <c r="F1569" s="15" t="s">
        <v>1479</v>
      </c>
      <c r="G1569" s="15" t="s">
        <v>2660</v>
      </c>
      <c r="H1569" s="15">
        <v>0.0</v>
      </c>
      <c r="I1569" s="15" t="s">
        <v>93</v>
      </c>
      <c r="J1569" s="15" t="s">
        <v>22</v>
      </c>
      <c r="K1569" s="15" t="s">
        <v>892</v>
      </c>
      <c r="L1569" s="15" t="s">
        <v>24</v>
      </c>
      <c r="M1569" s="16">
        <v>0.0</v>
      </c>
      <c r="N1569" s="16">
        <v>1.0</v>
      </c>
      <c r="O1569" s="16">
        <v>1.0</v>
      </c>
      <c r="P1569" s="17">
        <v>45263.0</v>
      </c>
      <c r="Q1569" s="18">
        <v>1.875</v>
      </c>
      <c r="R1569" s="15" t="s">
        <v>33</v>
      </c>
      <c r="S1569" s="19">
        <f t="shared" si="1"/>
        <v>0.875</v>
      </c>
      <c r="T1569" s="19">
        <f t="shared" si="8"/>
        <v>44.68900209</v>
      </c>
      <c r="U1569" s="144"/>
    </row>
    <row r="1570">
      <c r="A1570" s="107"/>
      <c r="B1570" s="107"/>
      <c r="C1570" s="8" t="s">
        <v>19</v>
      </c>
      <c r="D1570" s="8">
        <v>55.0</v>
      </c>
      <c r="E1570" s="8" t="s">
        <v>4029</v>
      </c>
      <c r="F1570" s="8" t="s">
        <v>1479</v>
      </c>
      <c r="G1570" s="8" t="s">
        <v>2573</v>
      </c>
      <c r="H1570" s="8">
        <v>-2.0</v>
      </c>
      <c r="I1570" s="8" t="s">
        <v>583</v>
      </c>
      <c r="J1570" s="8" t="s">
        <v>22</v>
      </c>
      <c r="K1570" s="8" t="s">
        <v>894</v>
      </c>
      <c r="L1570" s="8" t="s">
        <v>24</v>
      </c>
      <c r="M1570" s="9">
        <v>-0.25</v>
      </c>
      <c r="N1570" s="9">
        <v>0.2</v>
      </c>
      <c r="O1570" s="9">
        <v>0.2</v>
      </c>
      <c r="P1570" s="10">
        <v>45263.0</v>
      </c>
      <c r="Q1570" s="11">
        <v>1.9</v>
      </c>
      <c r="R1570" s="8" t="s">
        <v>33</v>
      </c>
      <c r="S1570" s="12">
        <f t="shared" si="1"/>
        <v>0.18</v>
      </c>
      <c r="T1570" s="12">
        <f t="shared" si="8"/>
        <v>44.86900209</v>
      </c>
      <c r="U1570" s="145"/>
    </row>
    <row r="1571">
      <c r="A1571" s="29"/>
      <c r="B1571" s="29"/>
      <c r="C1571" s="15" t="s">
        <v>19</v>
      </c>
      <c r="D1571" s="15">
        <v>57.0</v>
      </c>
      <c r="E1571" s="15" t="s">
        <v>4029</v>
      </c>
      <c r="F1571" s="15" t="s">
        <v>1479</v>
      </c>
      <c r="G1571" s="15" t="s">
        <v>2573</v>
      </c>
      <c r="H1571" s="15">
        <v>-1.0</v>
      </c>
      <c r="I1571" s="15" t="s">
        <v>583</v>
      </c>
      <c r="J1571" s="15" t="s">
        <v>22</v>
      </c>
      <c r="K1571" s="15" t="s">
        <v>894</v>
      </c>
      <c r="L1571" s="15" t="s">
        <v>24</v>
      </c>
      <c r="M1571" s="16">
        <v>-0.25</v>
      </c>
      <c r="N1571" s="16">
        <v>0.1</v>
      </c>
      <c r="O1571" s="16">
        <v>0.1</v>
      </c>
      <c r="P1571" s="17">
        <v>45263.0</v>
      </c>
      <c r="Q1571" s="18">
        <v>1.9</v>
      </c>
      <c r="R1571" s="15" t="s">
        <v>79</v>
      </c>
      <c r="S1571" s="19">
        <f t="shared" si="1"/>
        <v>-0.05</v>
      </c>
      <c r="T1571" s="19">
        <f t="shared" si="8"/>
        <v>44.81900209</v>
      </c>
      <c r="U1571" s="144"/>
    </row>
    <row r="1572">
      <c r="A1572" s="107"/>
      <c r="B1572" s="107"/>
      <c r="C1572" s="8" t="s">
        <v>19</v>
      </c>
      <c r="D1572" s="8">
        <v>77.0</v>
      </c>
      <c r="E1572" s="8" t="s">
        <v>4030</v>
      </c>
      <c r="F1572" s="8" t="s">
        <v>1479</v>
      </c>
      <c r="G1572" s="8" t="s">
        <v>2660</v>
      </c>
      <c r="H1572" s="8">
        <v>0.0</v>
      </c>
      <c r="I1572" s="8" t="s">
        <v>93</v>
      </c>
      <c r="J1572" s="8" t="s">
        <v>22</v>
      </c>
      <c r="K1572" s="8" t="s">
        <v>892</v>
      </c>
      <c r="L1572" s="8" t="s">
        <v>24</v>
      </c>
      <c r="M1572" s="9">
        <v>0.0</v>
      </c>
      <c r="N1572" s="9">
        <v>0.2</v>
      </c>
      <c r="O1572" s="9">
        <v>0.2</v>
      </c>
      <c r="P1572" s="10">
        <v>45263.0</v>
      </c>
      <c r="Q1572" s="11">
        <v>1.75</v>
      </c>
      <c r="R1572" s="8" t="s">
        <v>70</v>
      </c>
      <c r="S1572" s="12">
        <f t="shared" si="1"/>
        <v>0</v>
      </c>
      <c r="T1572" s="12">
        <f t="shared" si="8"/>
        <v>44.81900209</v>
      </c>
      <c r="U1572" s="145"/>
    </row>
    <row r="1573">
      <c r="A1573" s="29"/>
      <c r="B1573" s="29"/>
      <c r="C1573" s="15" t="s">
        <v>19</v>
      </c>
      <c r="D1573" s="15">
        <v>35.0</v>
      </c>
      <c r="E1573" s="15" t="s">
        <v>4031</v>
      </c>
      <c r="F1573" s="15" t="s">
        <v>1479</v>
      </c>
      <c r="G1573" s="15" t="s">
        <v>2556</v>
      </c>
      <c r="H1573" s="15">
        <v>0.0</v>
      </c>
      <c r="I1573" s="15" t="s">
        <v>369</v>
      </c>
      <c r="J1573" s="15" t="s">
        <v>22</v>
      </c>
      <c r="K1573" s="15" t="s">
        <v>225</v>
      </c>
      <c r="L1573" s="15" t="s">
        <v>24</v>
      </c>
      <c r="M1573" s="16">
        <v>0.5</v>
      </c>
      <c r="N1573" s="16">
        <v>0.6</v>
      </c>
      <c r="O1573" s="16">
        <v>0.57</v>
      </c>
      <c r="P1573" s="17">
        <v>45263.0</v>
      </c>
      <c r="Q1573" s="18">
        <v>1.05</v>
      </c>
      <c r="R1573" s="15" t="s">
        <v>33</v>
      </c>
      <c r="S1573" s="19">
        <f t="shared" si="1"/>
        <v>0.0285</v>
      </c>
      <c r="T1573" s="19">
        <f t="shared" si="8"/>
        <v>44.84750209</v>
      </c>
      <c r="U1573" s="144"/>
    </row>
    <row r="1574">
      <c r="A1574" s="107"/>
      <c r="B1574" s="107"/>
      <c r="C1574" s="8" t="s">
        <v>19</v>
      </c>
      <c r="D1574" s="8">
        <v>63.0</v>
      </c>
      <c r="E1574" s="8" t="s">
        <v>4032</v>
      </c>
      <c r="F1574" s="8" t="s">
        <v>1473</v>
      </c>
      <c r="G1574" s="8" t="s">
        <v>2556</v>
      </c>
      <c r="H1574" s="8">
        <v>-4.0</v>
      </c>
      <c r="I1574" s="8" t="s">
        <v>185</v>
      </c>
      <c r="J1574" s="8" t="s">
        <v>22</v>
      </c>
      <c r="K1574" s="8" t="s">
        <v>2634</v>
      </c>
      <c r="L1574" s="8" t="s">
        <v>39</v>
      </c>
      <c r="M1574" s="9"/>
      <c r="N1574" s="9">
        <v>0.1</v>
      </c>
      <c r="O1574" s="9">
        <v>0.1</v>
      </c>
      <c r="P1574" s="54">
        <v>45263.0</v>
      </c>
      <c r="Q1574" s="11">
        <v>2.75</v>
      </c>
      <c r="R1574" s="8" t="s">
        <v>33</v>
      </c>
      <c r="S1574" s="12">
        <f t="shared" si="1"/>
        <v>0.175</v>
      </c>
      <c r="T1574" s="12">
        <f t="shared" si="8"/>
        <v>45.02250209</v>
      </c>
      <c r="U1574" s="145"/>
    </row>
    <row r="1575">
      <c r="A1575" s="29"/>
      <c r="B1575" s="29"/>
      <c r="C1575" s="15" t="s">
        <v>19</v>
      </c>
      <c r="D1575" s="15">
        <v>39.0</v>
      </c>
      <c r="E1575" s="15" t="s">
        <v>4033</v>
      </c>
      <c r="F1575" s="15" t="s">
        <v>1473</v>
      </c>
      <c r="G1575" s="15" t="s">
        <v>2556</v>
      </c>
      <c r="H1575" s="15">
        <v>0.0</v>
      </c>
      <c r="I1575" s="15" t="s">
        <v>44</v>
      </c>
      <c r="J1575" s="15" t="s">
        <v>22</v>
      </c>
      <c r="K1575" s="15" t="s">
        <v>440</v>
      </c>
      <c r="L1575" s="15" t="s">
        <v>24</v>
      </c>
      <c r="M1575" s="16">
        <v>1.5</v>
      </c>
      <c r="N1575" s="16">
        <v>0.1</v>
      </c>
      <c r="O1575" s="16">
        <v>0.1</v>
      </c>
      <c r="P1575" s="17">
        <v>45263.0</v>
      </c>
      <c r="Q1575" s="18">
        <v>1.725</v>
      </c>
      <c r="R1575" s="15" t="s">
        <v>25</v>
      </c>
      <c r="S1575" s="19">
        <f t="shared" si="1"/>
        <v>-0.1</v>
      </c>
      <c r="T1575" s="19">
        <f t="shared" si="8"/>
        <v>44.92250209</v>
      </c>
      <c r="U1575" s="144"/>
    </row>
    <row r="1576">
      <c r="A1576" s="107"/>
      <c r="B1576" s="107"/>
      <c r="C1576" s="8" t="s">
        <v>19</v>
      </c>
      <c r="D1576" s="8">
        <v>56.0</v>
      </c>
      <c r="E1576" s="8" t="s">
        <v>4034</v>
      </c>
      <c r="F1576" s="8" t="s">
        <v>1479</v>
      </c>
      <c r="G1576" s="8" t="s">
        <v>2660</v>
      </c>
      <c r="H1576" s="8">
        <v>0.0</v>
      </c>
      <c r="I1576" s="8" t="s">
        <v>121</v>
      </c>
      <c r="J1576" s="8" t="s">
        <v>22</v>
      </c>
      <c r="K1576" s="8" t="s">
        <v>892</v>
      </c>
      <c r="L1576" s="8" t="s">
        <v>24</v>
      </c>
      <c r="M1576" s="9">
        <v>0.0</v>
      </c>
      <c r="N1576" s="9">
        <v>0.6</v>
      </c>
      <c r="O1576" s="9">
        <v>0.6</v>
      </c>
      <c r="P1576" s="10">
        <v>45263.0</v>
      </c>
      <c r="Q1576" s="11">
        <v>1.825</v>
      </c>
      <c r="R1576" s="8" t="s">
        <v>70</v>
      </c>
      <c r="S1576" s="12">
        <f t="shared" si="1"/>
        <v>0</v>
      </c>
      <c r="T1576" s="12">
        <f t="shared" si="8"/>
        <v>44.92250209</v>
      </c>
      <c r="U1576" s="145"/>
    </row>
    <row r="1577">
      <c r="A1577" s="29"/>
      <c r="B1577" s="29"/>
      <c r="C1577" s="15" t="s">
        <v>40</v>
      </c>
      <c r="D1577" s="15">
        <v>20.0</v>
      </c>
      <c r="E1577" s="15" t="s">
        <v>4035</v>
      </c>
      <c r="F1577" s="15" t="s">
        <v>1473</v>
      </c>
      <c r="G1577" s="15" t="s">
        <v>2556</v>
      </c>
      <c r="H1577" s="15">
        <v>0.0</v>
      </c>
      <c r="I1577" s="15" t="s">
        <v>93</v>
      </c>
      <c r="J1577" s="15" t="s">
        <v>22</v>
      </c>
      <c r="K1577" s="15" t="s">
        <v>225</v>
      </c>
      <c r="L1577" s="15" t="s">
        <v>39</v>
      </c>
      <c r="M1577" s="16">
        <v>0.5</v>
      </c>
      <c r="N1577" s="16">
        <v>0.7</v>
      </c>
      <c r="O1577" s="16">
        <v>0.7</v>
      </c>
      <c r="P1577" s="17">
        <v>45263.0</v>
      </c>
      <c r="Q1577" s="18">
        <f>1.45</f>
        <v>1.45</v>
      </c>
      <c r="R1577" s="15" t="s">
        <v>33</v>
      </c>
      <c r="S1577" s="19">
        <f t="shared" si="1"/>
        <v>0.315</v>
      </c>
      <c r="T1577" s="19">
        <f t="shared" si="8"/>
        <v>45.23750209</v>
      </c>
      <c r="U1577" s="144"/>
    </row>
    <row r="1578">
      <c r="A1578" s="107"/>
      <c r="B1578" s="107"/>
      <c r="C1578" s="8" t="s">
        <v>40</v>
      </c>
      <c r="D1578" s="8">
        <v>20.0</v>
      </c>
      <c r="E1578" s="8" t="s">
        <v>4036</v>
      </c>
      <c r="F1578" s="8" t="s">
        <v>1473</v>
      </c>
      <c r="G1578" s="8" t="s">
        <v>2556</v>
      </c>
      <c r="H1578" s="8">
        <v>0.0</v>
      </c>
      <c r="I1578" s="8" t="s">
        <v>93</v>
      </c>
      <c r="J1578" s="8" t="s">
        <v>22</v>
      </c>
      <c r="K1578" s="8" t="s">
        <v>225</v>
      </c>
      <c r="L1578" s="8" t="s">
        <v>39</v>
      </c>
      <c r="M1578" s="9">
        <v>0.25</v>
      </c>
      <c r="N1578" s="9">
        <v>0.25</v>
      </c>
      <c r="O1578" s="9">
        <v>0.25</v>
      </c>
      <c r="P1578" s="10">
        <v>45263.0</v>
      </c>
      <c r="Q1578" s="11">
        <v>1.23</v>
      </c>
      <c r="R1578" s="8" t="s">
        <v>33</v>
      </c>
      <c r="S1578" s="12">
        <f t="shared" si="1"/>
        <v>0.0575</v>
      </c>
      <c r="T1578" s="12">
        <f t="shared" si="8"/>
        <v>45.29500209</v>
      </c>
      <c r="U1578" s="145"/>
    </row>
    <row r="1579">
      <c r="A1579" s="29"/>
      <c r="B1579" s="29"/>
      <c r="C1579" s="15" t="s">
        <v>19</v>
      </c>
      <c r="D1579" s="15">
        <v>20.0</v>
      </c>
      <c r="E1579" s="15" t="s">
        <v>4037</v>
      </c>
      <c r="F1579" s="15" t="s">
        <v>1473</v>
      </c>
      <c r="G1579" s="15" t="s">
        <v>2556</v>
      </c>
      <c r="H1579" s="15">
        <v>0.0</v>
      </c>
      <c r="I1579" s="15" t="s">
        <v>124</v>
      </c>
      <c r="J1579" s="15" t="s">
        <v>22</v>
      </c>
      <c r="K1579" s="15" t="s">
        <v>225</v>
      </c>
      <c r="L1579" s="15" t="s">
        <v>24</v>
      </c>
      <c r="M1579" s="16">
        <v>0.25</v>
      </c>
      <c r="N1579" s="16">
        <v>0.5</v>
      </c>
      <c r="O1579" s="16">
        <v>0.5</v>
      </c>
      <c r="P1579" s="17">
        <v>45263.0</v>
      </c>
      <c r="Q1579" s="18">
        <v>2.05</v>
      </c>
      <c r="R1579" s="15" t="s">
        <v>33</v>
      </c>
      <c r="S1579" s="19">
        <f t="shared" si="1"/>
        <v>0.525</v>
      </c>
      <c r="T1579" s="19">
        <f t="shared" si="8"/>
        <v>45.82000209</v>
      </c>
      <c r="U1579" s="144"/>
    </row>
    <row r="1580">
      <c r="A1580" s="107"/>
      <c r="B1580" s="107"/>
      <c r="C1580" s="8" t="s">
        <v>19</v>
      </c>
      <c r="D1580" s="8">
        <v>25.0</v>
      </c>
      <c r="E1580" s="8" t="s">
        <v>4038</v>
      </c>
      <c r="F1580" s="8" t="s">
        <v>1479</v>
      </c>
      <c r="G1580" s="8" t="s">
        <v>2660</v>
      </c>
      <c r="H1580" s="8">
        <v>-1.0</v>
      </c>
      <c r="I1580" s="8" t="s">
        <v>66</v>
      </c>
      <c r="J1580" s="8" t="s">
        <v>22</v>
      </c>
      <c r="K1580" s="8" t="s">
        <v>892</v>
      </c>
      <c r="L1580" s="8" t="s">
        <v>24</v>
      </c>
      <c r="M1580" s="9">
        <v>0.0</v>
      </c>
      <c r="N1580" s="9">
        <v>1.0</v>
      </c>
      <c r="O1580" s="9">
        <v>1.0</v>
      </c>
      <c r="P1580" s="10">
        <v>45263.0</v>
      </c>
      <c r="Q1580" s="11">
        <v>1.7</v>
      </c>
      <c r="R1580" s="8" t="s">
        <v>70</v>
      </c>
      <c r="S1580" s="12">
        <f t="shared" si="1"/>
        <v>0</v>
      </c>
      <c r="T1580" s="12">
        <f t="shared" si="8"/>
        <v>45.82000209</v>
      </c>
      <c r="U1580" s="145"/>
    </row>
    <row r="1581">
      <c r="A1581" s="29"/>
      <c r="B1581" s="29"/>
      <c r="C1581" s="15" t="s">
        <v>40</v>
      </c>
      <c r="D1581" s="15">
        <v>65.0</v>
      </c>
      <c r="E1581" s="15" t="s">
        <v>4039</v>
      </c>
      <c r="F1581" s="15" t="s">
        <v>1473</v>
      </c>
      <c r="G1581" s="15" t="s">
        <v>2556</v>
      </c>
      <c r="H1581" s="15">
        <v>0.0</v>
      </c>
      <c r="I1581" s="15" t="s">
        <v>38</v>
      </c>
      <c r="J1581" s="15" t="s">
        <v>22</v>
      </c>
      <c r="K1581" s="15" t="s">
        <v>1165</v>
      </c>
      <c r="L1581" s="15" t="s">
        <v>24</v>
      </c>
      <c r="M1581" s="16"/>
      <c r="N1581" s="16">
        <v>0.1</v>
      </c>
      <c r="O1581" s="16">
        <v>0.1</v>
      </c>
      <c r="P1581" s="17">
        <v>45263.0</v>
      </c>
      <c r="Q1581" s="18">
        <v>8.0</v>
      </c>
      <c r="R1581" s="15" t="s">
        <v>33</v>
      </c>
      <c r="S1581" s="19">
        <f t="shared" si="1"/>
        <v>0.7</v>
      </c>
      <c r="T1581" s="19">
        <f t="shared" si="8"/>
        <v>46.52000209</v>
      </c>
      <c r="U1581" s="144"/>
    </row>
    <row r="1582">
      <c r="A1582" s="107"/>
      <c r="B1582" s="107"/>
      <c r="C1582" s="8" t="s">
        <v>19</v>
      </c>
      <c r="D1582" s="8">
        <v>24.0</v>
      </c>
      <c r="E1582" s="8" t="s">
        <v>4040</v>
      </c>
      <c r="F1582" s="8" t="s">
        <v>1473</v>
      </c>
      <c r="G1582" s="8" t="s">
        <v>2556</v>
      </c>
      <c r="H1582" s="8">
        <v>0.0</v>
      </c>
      <c r="I1582" s="8" t="s">
        <v>635</v>
      </c>
      <c r="J1582" s="8" t="s">
        <v>22</v>
      </c>
      <c r="K1582" s="8" t="s">
        <v>440</v>
      </c>
      <c r="L1582" s="8" t="s">
        <v>39</v>
      </c>
      <c r="M1582" s="9">
        <v>1.5</v>
      </c>
      <c r="N1582" s="9">
        <v>0.1</v>
      </c>
      <c r="O1582" s="9">
        <v>0.1</v>
      </c>
      <c r="P1582" s="10">
        <v>45263.0</v>
      </c>
      <c r="Q1582" s="11">
        <v>1.8</v>
      </c>
      <c r="R1582" s="8" t="s">
        <v>33</v>
      </c>
      <c r="S1582" s="12">
        <f t="shared" si="1"/>
        <v>0.08</v>
      </c>
      <c r="T1582" s="12">
        <f t="shared" si="8"/>
        <v>46.60000209</v>
      </c>
      <c r="U1582" s="145"/>
    </row>
    <row r="1583">
      <c r="A1583" s="29"/>
      <c r="B1583" s="29"/>
      <c r="C1583" s="15" t="s">
        <v>19</v>
      </c>
      <c r="D1583" s="15">
        <v>22.0</v>
      </c>
      <c r="E1583" s="15" t="s">
        <v>4041</v>
      </c>
      <c r="F1583" s="15" t="s">
        <v>1473</v>
      </c>
      <c r="G1583" s="15" t="s">
        <v>2556</v>
      </c>
      <c r="H1583" s="15">
        <f>1</f>
        <v>1</v>
      </c>
      <c r="I1583" s="15" t="s">
        <v>877</v>
      </c>
      <c r="J1583" s="15" t="s">
        <v>22</v>
      </c>
      <c r="K1583" s="15" t="s">
        <v>225</v>
      </c>
      <c r="L1583" s="15" t="s">
        <v>1851</v>
      </c>
      <c r="M1583" s="16">
        <v>0.5</v>
      </c>
      <c r="N1583" s="16">
        <v>1.0</v>
      </c>
      <c r="O1583" s="16">
        <v>1.0</v>
      </c>
      <c r="P1583" s="17">
        <v>45265.0</v>
      </c>
      <c r="Q1583" s="18">
        <v>1.825</v>
      </c>
      <c r="R1583" s="15" t="s">
        <v>33</v>
      </c>
      <c r="S1583" s="19">
        <f t="shared" si="1"/>
        <v>0.825</v>
      </c>
      <c r="T1583" s="19">
        <f t="shared" si="8"/>
        <v>47.42500209</v>
      </c>
      <c r="U1583" s="144"/>
    </row>
    <row r="1584">
      <c r="A1584" s="107"/>
      <c r="B1584" s="107"/>
      <c r="C1584" s="8" t="s">
        <v>19</v>
      </c>
      <c r="D1584" s="8">
        <v>73.0</v>
      </c>
      <c r="E1584" s="8" t="s">
        <v>4042</v>
      </c>
      <c r="F1584" s="8" t="s">
        <v>1479</v>
      </c>
      <c r="G1584" s="8" t="s">
        <v>2660</v>
      </c>
      <c r="H1584" s="8">
        <v>-2.0</v>
      </c>
      <c r="I1584" s="8" t="s">
        <v>174</v>
      </c>
      <c r="J1584" s="8" t="s">
        <v>22</v>
      </c>
      <c r="K1584" s="8" t="s">
        <v>892</v>
      </c>
      <c r="L1584" s="8" t="s">
        <v>24</v>
      </c>
      <c r="M1584" s="9">
        <v>0.0</v>
      </c>
      <c r="N1584" s="9">
        <v>1.0</v>
      </c>
      <c r="O1584" s="9">
        <v>1.0</v>
      </c>
      <c r="P1584" s="10">
        <v>45265.0</v>
      </c>
      <c r="Q1584" s="11">
        <v>1.725</v>
      </c>
      <c r="R1584" s="8" t="s">
        <v>70</v>
      </c>
      <c r="S1584" s="12">
        <f t="shared" si="1"/>
        <v>0</v>
      </c>
      <c r="T1584" s="12">
        <f t="shared" si="8"/>
        <v>47.42500209</v>
      </c>
      <c r="U1584" s="145"/>
    </row>
    <row r="1585">
      <c r="A1585" s="29"/>
      <c r="B1585" s="29"/>
      <c r="C1585" s="15" t="s">
        <v>19</v>
      </c>
      <c r="D1585" s="15">
        <v>79.0</v>
      </c>
      <c r="E1585" s="15" t="s">
        <v>4043</v>
      </c>
      <c r="F1585" s="15" t="s">
        <v>1473</v>
      </c>
      <c r="G1585" s="15" t="s">
        <v>2556</v>
      </c>
      <c r="H1585" s="15">
        <v>-1.0</v>
      </c>
      <c r="I1585" s="15" t="s">
        <v>42</v>
      </c>
      <c r="J1585" s="15" t="s">
        <v>22</v>
      </c>
      <c r="K1585" s="15" t="s">
        <v>225</v>
      </c>
      <c r="L1585" s="15" t="s">
        <v>24</v>
      </c>
      <c r="M1585" s="16">
        <v>0.25</v>
      </c>
      <c r="N1585" s="16">
        <v>0.2</v>
      </c>
      <c r="O1585" s="16">
        <v>0.2</v>
      </c>
      <c r="P1585" s="17">
        <v>45265.0</v>
      </c>
      <c r="Q1585" s="18">
        <v>1.725</v>
      </c>
      <c r="R1585" s="15" t="s">
        <v>996</v>
      </c>
      <c r="S1585" s="19">
        <f t="shared" si="1"/>
        <v>0.0725</v>
      </c>
      <c r="T1585" s="19">
        <f t="shared" si="8"/>
        <v>47.49750209</v>
      </c>
      <c r="U1585" s="144"/>
    </row>
    <row r="1586">
      <c r="A1586" s="107"/>
      <c r="B1586" s="107"/>
      <c r="C1586" s="8" t="s">
        <v>19</v>
      </c>
      <c r="D1586" s="8">
        <v>80.0</v>
      </c>
      <c r="E1586" s="8" t="s">
        <v>4044</v>
      </c>
      <c r="F1586" s="8" t="s">
        <v>1473</v>
      </c>
      <c r="G1586" s="8" t="s">
        <v>2556</v>
      </c>
      <c r="H1586" s="8">
        <v>-1.0</v>
      </c>
      <c r="I1586" s="8" t="s">
        <v>42</v>
      </c>
      <c r="J1586" s="8" t="s">
        <v>22</v>
      </c>
      <c r="K1586" s="8" t="s">
        <v>892</v>
      </c>
      <c r="L1586" s="8" t="s">
        <v>24</v>
      </c>
      <c r="M1586" s="9">
        <v>0.0</v>
      </c>
      <c r="N1586" s="9">
        <v>0.1</v>
      </c>
      <c r="O1586" s="9">
        <v>0.1</v>
      </c>
      <c r="P1586" s="10">
        <v>45265.0</v>
      </c>
      <c r="Q1586" s="11">
        <v>4.15</v>
      </c>
      <c r="R1586" s="8" t="s">
        <v>70</v>
      </c>
      <c r="S1586" s="12">
        <f t="shared" si="1"/>
        <v>0</v>
      </c>
      <c r="T1586" s="12">
        <f t="shared" si="8"/>
        <v>47.49750209</v>
      </c>
      <c r="U1586" s="145"/>
    </row>
    <row r="1587">
      <c r="A1587" s="29"/>
      <c r="B1587" s="29"/>
      <c r="C1587" s="15" t="s">
        <v>19</v>
      </c>
      <c r="D1587" s="15">
        <v>20.0</v>
      </c>
      <c r="E1587" s="15" t="s">
        <v>4045</v>
      </c>
      <c r="F1587" s="15" t="s">
        <v>1479</v>
      </c>
      <c r="G1587" s="15" t="s">
        <v>2660</v>
      </c>
      <c r="H1587" s="15">
        <v>-1.0</v>
      </c>
      <c r="I1587" s="15" t="s">
        <v>42</v>
      </c>
      <c r="J1587" s="15" t="s">
        <v>22</v>
      </c>
      <c r="K1587" s="15" t="s">
        <v>1150</v>
      </c>
      <c r="L1587" s="15" t="s">
        <v>24</v>
      </c>
      <c r="M1587" s="16">
        <v>0.0</v>
      </c>
      <c r="N1587" s="16">
        <v>0.8</v>
      </c>
      <c r="O1587" s="16">
        <v>0.8</v>
      </c>
      <c r="P1587" s="17">
        <v>45265.0</v>
      </c>
      <c r="Q1587" s="18">
        <v>1.725</v>
      </c>
      <c r="R1587" s="15" t="s">
        <v>70</v>
      </c>
      <c r="S1587" s="19">
        <f t="shared" si="1"/>
        <v>0</v>
      </c>
      <c r="T1587" s="19">
        <f t="shared" si="8"/>
        <v>47.49750209</v>
      </c>
      <c r="U1587" s="144"/>
    </row>
    <row r="1588">
      <c r="A1588" s="107"/>
      <c r="B1588" s="107"/>
      <c r="C1588" s="8" t="s">
        <v>19</v>
      </c>
      <c r="D1588" s="8">
        <v>89.0</v>
      </c>
      <c r="E1588" s="8" t="s">
        <v>4046</v>
      </c>
      <c r="F1588" s="8"/>
      <c r="G1588" s="8"/>
      <c r="H1588" s="8">
        <v>0.0</v>
      </c>
      <c r="I1588" s="8" t="s">
        <v>1031</v>
      </c>
      <c r="J1588" s="8" t="s">
        <v>22</v>
      </c>
      <c r="K1588" s="8" t="s">
        <v>29</v>
      </c>
      <c r="L1588" s="8" t="s">
        <v>24</v>
      </c>
      <c r="M1588" s="9">
        <v>-2.5</v>
      </c>
      <c r="N1588" s="9">
        <v>0.4</v>
      </c>
      <c r="O1588" s="9">
        <v>0.4</v>
      </c>
      <c r="P1588" s="10">
        <v>45265.0</v>
      </c>
      <c r="Q1588" s="11">
        <v>1.2</v>
      </c>
      <c r="R1588" s="8" t="s">
        <v>33</v>
      </c>
      <c r="S1588" s="12">
        <f t="shared" si="1"/>
        <v>0.08</v>
      </c>
      <c r="T1588" s="12">
        <f t="shared" si="8"/>
        <v>47.57750209</v>
      </c>
      <c r="U1588" s="145"/>
    </row>
    <row r="1589">
      <c r="A1589" s="29"/>
      <c r="B1589" s="29"/>
      <c r="C1589" s="15" t="s">
        <v>19</v>
      </c>
      <c r="D1589" s="15">
        <v>0.0</v>
      </c>
      <c r="E1589" s="15" t="s">
        <v>4047</v>
      </c>
      <c r="F1589" s="15" t="s">
        <v>1473</v>
      </c>
      <c r="G1589" s="15" t="s">
        <v>2573</v>
      </c>
      <c r="H1589" s="15"/>
      <c r="I1589" s="15" t="s">
        <v>60</v>
      </c>
      <c r="J1589" s="15" t="s">
        <v>598</v>
      </c>
      <c r="K1589" s="15" t="s">
        <v>894</v>
      </c>
      <c r="L1589" s="15" t="s">
        <v>24</v>
      </c>
      <c r="M1589" s="16">
        <v>-0.5</v>
      </c>
      <c r="N1589" s="16">
        <v>0.1</v>
      </c>
      <c r="O1589" s="16">
        <v>0.1</v>
      </c>
      <c r="P1589" s="17">
        <v>45265.0</v>
      </c>
      <c r="Q1589" s="18">
        <v>1.775</v>
      </c>
      <c r="R1589" s="15" t="s">
        <v>25</v>
      </c>
      <c r="S1589" s="19">
        <f t="shared" si="1"/>
        <v>-0.1</v>
      </c>
      <c r="T1589" s="19">
        <f t="shared" si="8"/>
        <v>47.47750209</v>
      </c>
      <c r="U1589" s="144"/>
    </row>
    <row r="1590">
      <c r="A1590" s="107"/>
      <c r="B1590" s="107"/>
      <c r="C1590" s="8" t="s">
        <v>19</v>
      </c>
      <c r="D1590" s="8">
        <v>32.0</v>
      </c>
      <c r="E1590" s="8" t="s">
        <v>4048</v>
      </c>
      <c r="F1590" s="8" t="s">
        <v>1473</v>
      </c>
      <c r="G1590" s="8" t="s">
        <v>2556</v>
      </c>
      <c r="H1590" s="8">
        <v>0.0</v>
      </c>
      <c r="I1590" s="8" t="s">
        <v>248</v>
      </c>
      <c r="J1590" s="8" t="s">
        <v>22</v>
      </c>
      <c r="K1590" s="8" t="s">
        <v>225</v>
      </c>
      <c r="L1590" s="8" t="s">
        <v>24</v>
      </c>
      <c r="M1590" s="9">
        <v>0.25</v>
      </c>
      <c r="N1590" s="9">
        <v>0.2</v>
      </c>
      <c r="O1590" s="9">
        <v>0.2</v>
      </c>
      <c r="P1590" s="10">
        <v>45265.0</v>
      </c>
      <c r="Q1590" s="11">
        <v>1.28</v>
      </c>
      <c r="R1590" s="8" t="s">
        <v>33</v>
      </c>
      <c r="S1590" s="12">
        <f t="shared" si="1"/>
        <v>0.056</v>
      </c>
      <c r="T1590" s="12">
        <f t="shared" si="8"/>
        <v>47.53350209</v>
      </c>
      <c r="U1590" s="145"/>
    </row>
    <row r="1591">
      <c r="A1591" s="29"/>
      <c r="B1591" s="29"/>
      <c r="C1591" s="15" t="s">
        <v>19</v>
      </c>
      <c r="D1591" s="15">
        <v>77.0</v>
      </c>
      <c r="E1591" s="15" t="s">
        <v>4049</v>
      </c>
      <c r="F1591" s="15" t="s">
        <v>1479</v>
      </c>
      <c r="G1591" s="15" t="s">
        <v>2660</v>
      </c>
      <c r="H1591" s="15">
        <f>1</f>
        <v>1</v>
      </c>
      <c r="I1591" s="15" t="s">
        <v>229</v>
      </c>
      <c r="J1591" s="15" t="s">
        <v>22</v>
      </c>
      <c r="K1591" s="15" t="s">
        <v>892</v>
      </c>
      <c r="L1591" s="15" t="s">
        <v>39</v>
      </c>
      <c r="M1591" s="16">
        <v>0.0</v>
      </c>
      <c r="N1591" s="16">
        <v>0.5</v>
      </c>
      <c r="O1591" s="16">
        <v>0.5</v>
      </c>
      <c r="P1591" s="17">
        <v>45266.0</v>
      </c>
      <c r="Q1591" s="18">
        <v>1.7</v>
      </c>
      <c r="R1591" s="15" t="s">
        <v>33</v>
      </c>
      <c r="S1591" s="19">
        <f t="shared" si="1"/>
        <v>0.35</v>
      </c>
      <c r="T1591" s="19">
        <f t="shared" si="8"/>
        <v>47.88350209</v>
      </c>
      <c r="U1591" s="144"/>
    </row>
    <row r="1592">
      <c r="A1592" s="107"/>
      <c r="B1592" s="107"/>
      <c r="C1592" s="8" t="s">
        <v>19</v>
      </c>
      <c r="D1592" s="8">
        <v>0.0</v>
      </c>
      <c r="E1592" s="8" t="s">
        <v>4050</v>
      </c>
      <c r="F1592" s="8" t="s">
        <v>1479</v>
      </c>
      <c r="G1592" s="8"/>
      <c r="H1592" s="8"/>
      <c r="I1592" s="8" t="s">
        <v>50</v>
      </c>
      <c r="J1592" s="8" t="s">
        <v>598</v>
      </c>
      <c r="K1592" s="8" t="s">
        <v>1847</v>
      </c>
      <c r="L1592" s="8" t="s">
        <v>39</v>
      </c>
      <c r="M1592" s="9">
        <v>-0.5</v>
      </c>
      <c r="N1592" s="9">
        <v>0.1</v>
      </c>
      <c r="O1592" s="9">
        <v>0.1</v>
      </c>
      <c r="P1592" s="10">
        <v>45266.0</v>
      </c>
      <c r="Q1592" s="11">
        <v>1.8</v>
      </c>
      <c r="R1592" s="8" t="s">
        <v>33</v>
      </c>
      <c r="S1592" s="12">
        <f t="shared" si="1"/>
        <v>0.08</v>
      </c>
      <c r="T1592" s="12">
        <f t="shared" si="8"/>
        <v>47.96350209</v>
      </c>
      <c r="U1592" s="145"/>
    </row>
    <row r="1593">
      <c r="A1593" s="29"/>
      <c r="B1593" s="29"/>
      <c r="C1593" s="15" t="s">
        <v>19</v>
      </c>
      <c r="D1593" s="15">
        <v>0.0</v>
      </c>
      <c r="E1593" s="15" t="s">
        <v>4051</v>
      </c>
      <c r="F1593" s="15" t="s">
        <v>1473</v>
      </c>
      <c r="G1593" s="15"/>
      <c r="H1593" s="15"/>
      <c r="I1593" s="15" t="s">
        <v>82</v>
      </c>
      <c r="J1593" s="15" t="s">
        <v>598</v>
      </c>
      <c r="K1593" s="15" t="s">
        <v>892</v>
      </c>
      <c r="L1593" s="15" t="s">
        <v>39</v>
      </c>
      <c r="M1593" s="16">
        <v>0.0</v>
      </c>
      <c r="N1593" s="16">
        <v>0.25</v>
      </c>
      <c r="O1593" s="16">
        <v>0.25</v>
      </c>
      <c r="P1593" s="17">
        <v>45266.0</v>
      </c>
      <c r="Q1593" s="18">
        <v>1.825</v>
      </c>
      <c r="R1593" s="15" t="s">
        <v>70</v>
      </c>
      <c r="S1593" s="19">
        <f t="shared" si="1"/>
        <v>0</v>
      </c>
      <c r="T1593" s="19">
        <f t="shared" si="8"/>
        <v>47.96350209</v>
      </c>
      <c r="U1593" s="144"/>
    </row>
    <row r="1594">
      <c r="A1594" s="107"/>
      <c r="B1594" s="107"/>
      <c r="C1594" s="8" t="s">
        <v>40</v>
      </c>
      <c r="D1594" s="8">
        <v>0.0</v>
      </c>
      <c r="E1594" s="8" t="s">
        <v>4052</v>
      </c>
      <c r="F1594" s="8" t="s">
        <v>1473</v>
      </c>
      <c r="G1594" s="8" t="s">
        <v>2573</v>
      </c>
      <c r="H1594" s="8">
        <v>0.0</v>
      </c>
      <c r="I1594" s="8" t="s">
        <v>28</v>
      </c>
      <c r="J1594" s="8" t="s">
        <v>598</v>
      </c>
      <c r="K1594" s="8" t="s">
        <v>894</v>
      </c>
      <c r="L1594" s="8" t="s">
        <v>1522</v>
      </c>
      <c r="M1594" s="9">
        <v>-1.5</v>
      </c>
      <c r="N1594" s="9">
        <v>0.1</v>
      </c>
      <c r="O1594" s="9">
        <v>0.1</v>
      </c>
      <c r="P1594" s="10">
        <v>45266.0</v>
      </c>
      <c r="Q1594" s="11">
        <v>1.9</v>
      </c>
      <c r="R1594" s="8" t="s">
        <v>25</v>
      </c>
      <c r="S1594" s="12">
        <f t="shared" si="1"/>
        <v>-0.1</v>
      </c>
      <c r="T1594" s="12">
        <f t="shared" si="8"/>
        <v>47.86350209</v>
      </c>
      <c r="U1594" s="145"/>
    </row>
    <row r="1595">
      <c r="A1595" s="29"/>
      <c r="B1595" s="29"/>
      <c r="C1595" s="15" t="s">
        <v>19</v>
      </c>
      <c r="D1595" s="15">
        <v>70.0</v>
      </c>
      <c r="E1595" s="15" t="s">
        <v>4053</v>
      </c>
      <c r="F1595" s="15" t="s">
        <v>1473</v>
      </c>
      <c r="G1595" s="15" t="s">
        <v>2556</v>
      </c>
      <c r="H1595" s="15">
        <v>0.0</v>
      </c>
      <c r="I1595" s="15" t="s">
        <v>42</v>
      </c>
      <c r="J1595" s="15" t="s">
        <v>22</v>
      </c>
      <c r="K1595" s="15" t="s">
        <v>941</v>
      </c>
      <c r="L1595" s="15" t="s">
        <v>24</v>
      </c>
      <c r="M1595" s="16">
        <v>0.0</v>
      </c>
      <c r="N1595" s="16">
        <v>0.8</v>
      </c>
      <c r="O1595" s="16">
        <v>0.8</v>
      </c>
      <c r="P1595" s="17">
        <v>45266.0</v>
      </c>
      <c r="Q1595" s="18">
        <v>2.375</v>
      </c>
      <c r="R1595" s="15" t="s">
        <v>70</v>
      </c>
      <c r="S1595" s="19">
        <f t="shared" si="1"/>
        <v>0</v>
      </c>
      <c r="T1595" s="19">
        <f t="shared" si="8"/>
        <v>47.86350209</v>
      </c>
      <c r="U1595" s="144"/>
    </row>
    <row r="1596">
      <c r="A1596" s="107"/>
      <c r="B1596" s="107"/>
      <c r="C1596" s="8" t="s">
        <v>19</v>
      </c>
      <c r="D1596" s="8">
        <v>34.0</v>
      </c>
      <c r="E1596" s="8" t="s">
        <v>4054</v>
      </c>
      <c r="F1596" s="8" t="s">
        <v>1479</v>
      </c>
      <c r="G1596" s="8" t="s">
        <v>2660</v>
      </c>
      <c r="H1596" s="8">
        <v>0.0</v>
      </c>
      <c r="I1596" s="8" t="s">
        <v>913</v>
      </c>
      <c r="J1596" s="8" t="s">
        <v>22</v>
      </c>
      <c r="K1596" s="8" t="s">
        <v>1150</v>
      </c>
      <c r="L1596" s="8" t="s">
        <v>39</v>
      </c>
      <c r="M1596" s="9">
        <v>0.0</v>
      </c>
      <c r="N1596" s="9">
        <v>0.5</v>
      </c>
      <c r="O1596" s="9">
        <v>0.5</v>
      </c>
      <c r="P1596" s="10">
        <v>45266.0</v>
      </c>
      <c r="Q1596" s="11">
        <v>1.75</v>
      </c>
      <c r="R1596" s="8" t="s">
        <v>70</v>
      </c>
      <c r="S1596" s="12">
        <f t="shared" si="1"/>
        <v>0</v>
      </c>
      <c r="T1596" s="12">
        <f t="shared" si="8"/>
        <v>47.86350209</v>
      </c>
      <c r="U1596" s="145"/>
    </row>
    <row r="1597">
      <c r="A1597" s="29"/>
      <c r="B1597" s="29"/>
      <c r="C1597" s="15" t="s">
        <v>19</v>
      </c>
      <c r="D1597" s="15">
        <v>7.0</v>
      </c>
      <c r="E1597" s="15" t="s">
        <v>4055</v>
      </c>
      <c r="F1597" s="15" t="s">
        <v>1479</v>
      </c>
      <c r="G1597" s="15" t="s">
        <v>2660</v>
      </c>
      <c r="H1597" s="15">
        <v>0.0</v>
      </c>
      <c r="I1597" s="15" t="s">
        <v>248</v>
      </c>
      <c r="J1597" s="15" t="s">
        <v>22</v>
      </c>
      <c r="K1597" s="15" t="s">
        <v>892</v>
      </c>
      <c r="L1597" s="15" t="s">
        <v>24</v>
      </c>
      <c r="M1597" s="16">
        <v>0.0</v>
      </c>
      <c r="N1597" s="16">
        <v>0.2</v>
      </c>
      <c r="O1597" s="16">
        <v>0.2</v>
      </c>
      <c r="P1597" s="17">
        <v>45266.0</v>
      </c>
      <c r="Q1597" s="18">
        <v>1.8</v>
      </c>
      <c r="R1597" s="15" t="s">
        <v>25</v>
      </c>
      <c r="S1597" s="19">
        <f t="shared" si="1"/>
        <v>-0.2</v>
      </c>
      <c r="T1597" s="19">
        <f t="shared" si="8"/>
        <v>47.66350209</v>
      </c>
      <c r="U1597" s="144"/>
    </row>
    <row r="1598">
      <c r="A1598" s="107"/>
      <c r="B1598" s="107"/>
      <c r="C1598" s="8" t="s">
        <v>19</v>
      </c>
      <c r="D1598" s="8">
        <v>0.0</v>
      </c>
      <c r="E1598" s="8" t="s">
        <v>4056</v>
      </c>
      <c r="F1598" s="8" t="s">
        <v>1473</v>
      </c>
      <c r="G1598" s="8" t="s">
        <v>2556</v>
      </c>
      <c r="H1598" s="8"/>
      <c r="I1598" s="8" t="s">
        <v>82</v>
      </c>
      <c r="J1598" s="8" t="s">
        <v>598</v>
      </c>
      <c r="K1598" s="8" t="s">
        <v>225</v>
      </c>
      <c r="L1598" s="8" t="s">
        <v>39</v>
      </c>
      <c r="M1598" s="9">
        <v>0.5</v>
      </c>
      <c r="N1598" s="9">
        <v>0.25</v>
      </c>
      <c r="O1598" s="9">
        <v>0.25</v>
      </c>
      <c r="P1598" s="10">
        <v>45266.0</v>
      </c>
      <c r="Q1598" s="11">
        <v>1.75</v>
      </c>
      <c r="R1598" s="8" t="s">
        <v>33</v>
      </c>
      <c r="S1598" s="12">
        <f t="shared" si="1"/>
        <v>0.1875</v>
      </c>
      <c r="T1598" s="12">
        <f t="shared" si="8"/>
        <v>47.85100209</v>
      </c>
      <c r="U1598" s="145"/>
    </row>
    <row r="1599">
      <c r="A1599" s="29"/>
      <c r="B1599" s="29"/>
      <c r="C1599" s="15" t="s">
        <v>19</v>
      </c>
      <c r="D1599" s="15">
        <v>19.0</v>
      </c>
      <c r="E1599" s="15" t="s">
        <v>4057</v>
      </c>
      <c r="F1599" s="15" t="s">
        <v>1479</v>
      </c>
      <c r="G1599" s="15" t="s">
        <v>2660</v>
      </c>
      <c r="H1599" s="15">
        <v>0.0</v>
      </c>
      <c r="I1599" s="15" t="s">
        <v>1031</v>
      </c>
      <c r="J1599" s="15" t="s">
        <v>22</v>
      </c>
      <c r="K1599" s="15" t="s">
        <v>1150</v>
      </c>
      <c r="L1599" s="15" t="s">
        <v>24</v>
      </c>
      <c r="M1599" s="16">
        <v>0.0</v>
      </c>
      <c r="N1599" s="16">
        <v>0.8</v>
      </c>
      <c r="O1599" s="16">
        <v>0.8</v>
      </c>
      <c r="P1599" s="55">
        <v>45266.0</v>
      </c>
      <c r="Q1599" s="18">
        <v>1.7</v>
      </c>
      <c r="R1599" s="15" t="s">
        <v>33</v>
      </c>
      <c r="S1599" s="19">
        <f t="shared" si="1"/>
        <v>0.56</v>
      </c>
      <c r="T1599" s="19">
        <f t="shared" si="8"/>
        <v>48.41100209</v>
      </c>
      <c r="U1599" s="144"/>
    </row>
    <row r="1600">
      <c r="A1600" s="107"/>
      <c r="B1600" s="107"/>
      <c r="C1600" s="8" t="s">
        <v>19</v>
      </c>
      <c r="D1600" s="8">
        <v>67.0</v>
      </c>
      <c r="E1600" s="8" t="s">
        <v>4058</v>
      </c>
      <c r="F1600" s="8" t="s">
        <v>1479</v>
      </c>
      <c r="G1600" s="8" t="s">
        <v>2660</v>
      </c>
      <c r="H1600" s="8">
        <v>0.0</v>
      </c>
      <c r="I1600" s="8" t="s">
        <v>233</v>
      </c>
      <c r="J1600" s="8" t="s">
        <v>22</v>
      </c>
      <c r="K1600" s="8" t="s">
        <v>892</v>
      </c>
      <c r="L1600" s="8" t="s">
        <v>24</v>
      </c>
      <c r="M1600" s="9">
        <v>0.0</v>
      </c>
      <c r="N1600" s="9">
        <v>1.0</v>
      </c>
      <c r="O1600" s="9">
        <v>1.0</v>
      </c>
      <c r="P1600" s="54">
        <v>45266.0</v>
      </c>
      <c r="Q1600" s="11">
        <v>1.7</v>
      </c>
      <c r="R1600" s="8" t="s">
        <v>70</v>
      </c>
      <c r="S1600" s="12">
        <f t="shared" si="1"/>
        <v>0</v>
      </c>
      <c r="T1600" s="12">
        <f t="shared" si="8"/>
        <v>48.41100209</v>
      </c>
      <c r="U1600" s="145"/>
    </row>
    <row r="1601">
      <c r="A1601" s="29"/>
      <c r="B1601" s="29"/>
      <c r="C1601" s="15" t="s">
        <v>19</v>
      </c>
      <c r="D1601" s="15">
        <v>59.0</v>
      </c>
      <c r="E1601" s="15" t="s">
        <v>4059</v>
      </c>
      <c r="F1601" s="15" t="s">
        <v>1473</v>
      </c>
      <c r="G1601" s="15" t="s">
        <v>2556</v>
      </c>
      <c r="H1601" s="15">
        <v>-3.0</v>
      </c>
      <c r="I1601" s="15" t="s">
        <v>248</v>
      </c>
      <c r="J1601" s="15" t="s">
        <v>22</v>
      </c>
      <c r="K1601" s="15" t="s">
        <v>225</v>
      </c>
      <c r="L1601" s="15" t="s">
        <v>24</v>
      </c>
      <c r="M1601" s="16">
        <v>0.5</v>
      </c>
      <c r="N1601" s="16">
        <v>0.4</v>
      </c>
      <c r="O1601" s="16">
        <v>0.4</v>
      </c>
      <c r="P1601" s="55">
        <v>45266.0</v>
      </c>
      <c r="Q1601" s="18">
        <v>1.75</v>
      </c>
      <c r="R1601" s="15" t="s">
        <v>33</v>
      </c>
      <c r="S1601" s="19">
        <f t="shared" si="1"/>
        <v>0.3</v>
      </c>
      <c r="T1601" s="19">
        <f t="shared" si="8"/>
        <v>48.71100209</v>
      </c>
      <c r="U1601" s="144"/>
    </row>
    <row r="1602">
      <c r="A1602" s="107"/>
      <c r="B1602" s="107"/>
      <c r="C1602" s="8" t="s">
        <v>19</v>
      </c>
      <c r="D1602" s="8">
        <v>77.0</v>
      </c>
      <c r="E1602" s="8" t="s">
        <v>4060</v>
      </c>
      <c r="F1602" s="8" t="s">
        <v>1473</v>
      </c>
      <c r="G1602" s="8" t="s">
        <v>2556</v>
      </c>
      <c r="H1602" s="8">
        <v>-1.0</v>
      </c>
      <c r="I1602" s="8" t="s">
        <v>248</v>
      </c>
      <c r="J1602" s="8" t="s">
        <v>22</v>
      </c>
      <c r="K1602" s="8" t="s">
        <v>1023</v>
      </c>
      <c r="L1602" s="8" t="s">
        <v>24</v>
      </c>
      <c r="M1602" s="9">
        <f>0.5</f>
        <v>0.5</v>
      </c>
      <c r="N1602" s="9">
        <v>0.1</v>
      </c>
      <c r="O1602" s="9">
        <v>0.1</v>
      </c>
      <c r="P1602" s="54">
        <v>45266.0</v>
      </c>
      <c r="Q1602" s="11">
        <v>6.5</v>
      </c>
      <c r="R1602" s="8" t="s">
        <v>25</v>
      </c>
      <c r="S1602" s="12">
        <f t="shared" si="1"/>
        <v>-0.1</v>
      </c>
      <c r="T1602" s="12">
        <f t="shared" si="8"/>
        <v>48.61100209</v>
      </c>
      <c r="U1602" s="145"/>
    </row>
    <row r="1603">
      <c r="A1603" s="29"/>
      <c r="B1603" s="29"/>
      <c r="C1603" s="15" t="s">
        <v>19</v>
      </c>
      <c r="D1603" s="15">
        <v>38.0</v>
      </c>
      <c r="E1603" s="15" t="s">
        <v>4061</v>
      </c>
      <c r="F1603" s="15" t="s">
        <v>1473</v>
      </c>
      <c r="G1603" s="15" t="s">
        <v>2556</v>
      </c>
      <c r="H1603" s="15">
        <v>0.0</v>
      </c>
      <c r="I1603" s="15" t="s">
        <v>187</v>
      </c>
      <c r="J1603" s="15" t="s">
        <v>22</v>
      </c>
      <c r="K1603" s="15" t="s">
        <v>225</v>
      </c>
      <c r="L1603" s="15" t="s">
        <v>24</v>
      </c>
      <c r="M1603" s="16">
        <v>0.5</v>
      </c>
      <c r="N1603" s="16">
        <v>0.2</v>
      </c>
      <c r="O1603" s="16">
        <v>0.2</v>
      </c>
      <c r="P1603" s="17">
        <v>45267.0</v>
      </c>
      <c r="Q1603" s="18">
        <v>1.75</v>
      </c>
      <c r="R1603" s="15" t="s">
        <v>33</v>
      </c>
      <c r="S1603" s="19">
        <f t="shared" si="1"/>
        <v>0.15</v>
      </c>
      <c r="T1603" s="19">
        <f t="shared" si="8"/>
        <v>48.76100209</v>
      </c>
      <c r="U1603" s="144"/>
    </row>
    <row r="1604">
      <c r="A1604" s="107"/>
      <c r="B1604" s="107"/>
      <c r="C1604" s="8" t="s">
        <v>19</v>
      </c>
      <c r="D1604" s="8">
        <v>78.0</v>
      </c>
      <c r="E1604" s="8" t="s">
        <v>4062</v>
      </c>
      <c r="F1604" s="8" t="s">
        <v>1479</v>
      </c>
      <c r="G1604" s="8" t="s">
        <v>2660</v>
      </c>
      <c r="H1604" s="8">
        <v>2</v>
      </c>
      <c r="I1604" s="8" t="s">
        <v>624</v>
      </c>
      <c r="J1604" s="8" t="s">
        <v>22</v>
      </c>
      <c r="K1604" s="8" t="s">
        <v>892</v>
      </c>
      <c r="L1604" s="8" t="s">
        <v>24</v>
      </c>
      <c r="M1604" s="9">
        <v>0.0</v>
      </c>
      <c r="N1604" s="9">
        <v>0.5</v>
      </c>
      <c r="O1604" s="9">
        <v>0.5</v>
      </c>
      <c r="P1604" s="10">
        <v>45267.0</v>
      </c>
      <c r="Q1604" s="11">
        <v>1.725</v>
      </c>
      <c r="R1604" s="8" t="s">
        <v>70</v>
      </c>
      <c r="S1604" s="12">
        <f t="shared" si="1"/>
        <v>0</v>
      </c>
      <c r="T1604" s="12">
        <f t="shared" si="8"/>
        <v>48.76100209</v>
      </c>
      <c r="U1604" s="145"/>
    </row>
    <row r="1605">
      <c r="A1605" s="29"/>
      <c r="B1605" s="29"/>
      <c r="C1605" s="15" t="s">
        <v>40</v>
      </c>
      <c r="D1605" s="15">
        <v>85.0</v>
      </c>
      <c r="E1605" s="15" t="s">
        <v>4063</v>
      </c>
      <c r="F1605" s="15"/>
      <c r="G1605" s="15"/>
      <c r="H1605" s="15"/>
      <c r="I1605" s="15" t="s">
        <v>82</v>
      </c>
      <c r="J1605" s="15" t="s">
        <v>22</v>
      </c>
      <c r="K1605" s="15" t="s">
        <v>2939</v>
      </c>
      <c r="L1605" s="15" t="s">
        <v>24</v>
      </c>
      <c r="M1605" s="16">
        <v>-7.5</v>
      </c>
      <c r="N1605" s="16">
        <v>0.5</v>
      </c>
      <c r="O1605" s="16">
        <v>0.5</v>
      </c>
      <c r="P1605" s="17">
        <v>45267.0</v>
      </c>
      <c r="Q1605" s="18">
        <v>1.75</v>
      </c>
      <c r="R1605" s="15" t="s">
        <v>25</v>
      </c>
      <c r="S1605" s="19">
        <f t="shared" si="1"/>
        <v>-0.5</v>
      </c>
      <c r="T1605" s="19">
        <f t="shared" si="8"/>
        <v>48.26100209</v>
      </c>
      <c r="U1605" s="144"/>
    </row>
    <row r="1606">
      <c r="A1606" s="107"/>
      <c r="B1606" s="107"/>
      <c r="C1606" s="8" t="s">
        <v>19</v>
      </c>
      <c r="D1606" s="8">
        <v>29.0</v>
      </c>
      <c r="E1606" s="8" t="s">
        <v>4064</v>
      </c>
      <c r="F1606" s="8" t="s">
        <v>1473</v>
      </c>
      <c r="G1606" s="8" t="s">
        <v>2556</v>
      </c>
      <c r="H1606" s="8">
        <f>1</f>
        <v>1</v>
      </c>
      <c r="I1606" s="8" t="s">
        <v>157</v>
      </c>
      <c r="J1606" s="8" t="s">
        <v>22</v>
      </c>
      <c r="K1606" s="8" t="s">
        <v>225</v>
      </c>
      <c r="L1606" s="8" t="s">
        <v>24</v>
      </c>
      <c r="M1606" s="9">
        <v>0.5</v>
      </c>
      <c r="N1606" s="9">
        <v>0.6</v>
      </c>
      <c r="O1606" s="9">
        <v>0.51</v>
      </c>
      <c r="P1606" s="10">
        <v>45267.0</v>
      </c>
      <c r="Q1606" s="11">
        <v>1.95</v>
      </c>
      <c r="R1606" s="8" t="s">
        <v>33</v>
      </c>
      <c r="S1606" s="12">
        <f t="shared" si="1"/>
        <v>0.4845</v>
      </c>
      <c r="T1606" s="12">
        <f t="shared" si="8"/>
        <v>48.74550209</v>
      </c>
      <c r="U1606" s="145"/>
    </row>
    <row r="1607">
      <c r="A1607" s="29"/>
      <c r="B1607" s="29"/>
      <c r="C1607" s="15" t="s">
        <v>19</v>
      </c>
      <c r="D1607" s="15">
        <v>79.0</v>
      </c>
      <c r="E1607" s="15" t="s">
        <v>4065</v>
      </c>
      <c r="F1607" s="15" t="s">
        <v>1473</v>
      </c>
      <c r="G1607" s="15" t="s">
        <v>2660</v>
      </c>
      <c r="H1607" s="15">
        <v>-1.0</v>
      </c>
      <c r="I1607" s="15" t="s">
        <v>923</v>
      </c>
      <c r="J1607" s="15" t="s">
        <v>22</v>
      </c>
      <c r="K1607" s="15" t="s">
        <v>892</v>
      </c>
      <c r="L1607" s="15" t="s">
        <v>24</v>
      </c>
      <c r="M1607" s="16">
        <v>0.0</v>
      </c>
      <c r="N1607" s="16">
        <v>0.8</v>
      </c>
      <c r="O1607" s="16">
        <v>0.8</v>
      </c>
      <c r="P1607" s="17">
        <v>45268.0</v>
      </c>
      <c r="Q1607" s="18">
        <v>2.3</v>
      </c>
      <c r="R1607" s="15" t="s">
        <v>70</v>
      </c>
      <c r="S1607" s="19">
        <f t="shared" si="1"/>
        <v>0</v>
      </c>
      <c r="T1607" s="19">
        <f t="shared" si="8"/>
        <v>48.74550209</v>
      </c>
      <c r="U1607" s="144"/>
    </row>
    <row r="1608">
      <c r="A1608" s="107"/>
      <c r="B1608" s="107"/>
      <c r="C1608" s="8" t="s">
        <v>19</v>
      </c>
      <c r="D1608" s="8">
        <v>45.0</v>
      </c>
      <c r="E1608" s="8" t="s">
        <v>4066</v>
      </c>
      <c r="F1608" s="8" t="s">
        <v>1473</v>
      </c>
      <c r="G1608" s="8" t="s">
        <v>2556</v>
      </c>
      <c r="H1608" s="8">
        <v>0.0</v>
      </c>
      <c r="I1608" s="8" t="s">
        <v>167</v>
      </c>
      <c r="J1608" s="8" t="s">
        <v>22</v>
      </c>
      <c r="K1608" s="8" t="s">
        <v>225</v>
      </c>
      <c r="L1608" s="8" t="s">
        <v>24</v>
      </c>
      <c r="M1608" s="9">
        <v>0.5</v>
      </c>
      <c r="N1608" s="9">
        <v>0.8</v>
      </c>
      <c r="O1608" s="9">
        <v>0.8</v>
      </c>
      <c r="P1608" s="10">
        <v>45268.0</v>
      </c>
      <c r="Q1608" s="11">
        <v>1.775</v>
      </c>
      <c r="R1608" s="8" t="s">
        <v>33</v>
      </c>
      <c r="S1608" s="12">
        <f t="shared" si="1"/>
        <v>0.62</v>
      </c>
      <c r="T1608" s="12">
        <f t="shared" si="8"/>
        <v>49.36550209</v>
      </c>
      <c r="U1608" s="145"/>
    </row>
    <row r="1609">
      <c r="A1609" s="29"/>
      <c r="B1609" s="29"/>
      <c r="C1609" s="15" t="s">
        <v>19</v>
      </c>
      <c r="D1609" s="15">
        <v>0.0</v>
      </c>
      <c r="E1609" s="15" t="s">
        <v>4067</v>
      </c>
      <c r="F1609" s="15" t="s">
        <v>1479</v>
      </c>
      <c r="G1609" s="15" t="s">
        <v>2556</v>
      </c>
      <c r="H1609" s="15">
        <v>0.0</v>
      </c>
      <c r="I1609" s="15" t="s">
        <v>44</v>
      </c>
      <c r="J1609" s="15" t="s">
        <v>598</v>
      </c>
      <c r="K1609" s="15" t="s">
        <v>1847</v>
      </c>
      <c r="L1609" s="15" t="s">
        <v>39</v>
      </c>
      <c r="M1609" s="16">
        <v>-0.5</v>
      </c>
      <c r="N1609" s="16">
        <v>0.15</v>
      </c>
      <c r="O1609" s="16">
        <v>0.15</v>
      </c>
      <c r="P1609" s="17">
        <v>45268.0</v>
      </c>
      <c r="Q1609" s="18">
        <v>1.95</v>
      </c>
      <c r="R1609" s="15" t="s">
        <v>25</v>
      </c>
      <c r="S1609" s="19">
        <f t="shared" si="1"/>
        <v>-0.15</v>
      </c>
      <c r="T1609" s="19">
        <f t="shared" si="8"/>
        <v>49.21550209</v>
      </c>
      <c r="U1609" s="144"/>
    </row>
    <row r="1610">
      <c r="A1610" s="107"/>
      <c r="B1610" s="107"/>
      <c r="C1610" s="8" t="s">
        <v>19</v>
      </c>
      <c r="D1610" s="8">
        <v>72.0</v>
      </c>
      <c r="E1610" s="8" t="s">
        <v>4068</v>
      </c>
      <c r="F1610" s="8" t="s">
        <v>1479</v>
      </c>
      <c r="G1610" s="8" t="s">
        <v>2660</v>
      </c>
      <c r="H1610" s="8">
        <v>-1.0</v>
      </c>
      <c r="I1610" s="8" t="s">
        <v>124</v>
      </c>
      <c r="J1610" s="8" t="s">
        <v>22</v>
      </c>
      <c r="K1610" s="8" t="s">
        <v>892</v>
      </c>
      <c r="L1610" s="8" t="s">
        <v>24</v>
      </c>
      <c r="M1610" s="9">
        <v>0.0</v>
      </c>
      <c r="N1610" s="9">
        <v>0.5</v>
      </c>
      <c r="O1610" s="9">
        <v>0.5</v>
      </c>
      <c r="P1610" s="10">
        <v>45268.0</v>
      </c>
      <c r="Q1610" s="11">
        <v>2.825</v>
      </c>
      <c r="R1610" s="8" t="s">
        <v>25</v>
      </c>
      <c r="S1610" s="12">
        <f t="shared" si="1"/>
        <v>-0.5</v>
      </c>
      <c r="T1610" s="12">
        <f t="shared" si="8"/>
        <v>48.71550209</v>
      </c>
      <c r="U1610" s="145"/>
    </row>
    <row r="1611">
      <c r="A1611" s="29"/>
      <c r="B1611" s="29"/>
      <c r="C1611" s="15" t="s">
        <v>19</v>
      </c>
      <c r="D1611" s="15">
        <v>60.0</v>
      </c>
      <c r="E1611" s="15" t="s">
        <v>4069</v>
      </c>
      <c r="F1611" s="15" t="s">
        <v>1473</v>
      </c>
      <c r="G1611" s="15" t="s">
        <v>2660</v>
      </c>
      <c r="H1611" s="15">
        <v>-2.0</v>
      </c>
      <c r="I1611" s="15" t="s">
        <v>273</v>
      </c>
      <c r="J1611" s="15" t="s">
        <v>22</v>
      </c>
      <c r="K1611" s="15" t="s">
        <v>892</v>
      </c>
      <c r="L1611" s="15" t="s">
        <v>24</v>
      </c>
      <c r="M1611" s="16">
        <v>0.0</v>
      </c>
      <c r="N1611" s="16">
        <v>1.0</v>
      </c>
      <c r="O1611" s="16">
        <v>1.0</v>
      </c>
      <c r="P1611" s="17">
        <v>45268.0</v>
      </c>
      <c r="Q1611" s="18">
        <v>2.0</v>
      </c>
      <c r="R1611" s="15" t="s">
        <v>33</v>
      </c>
      <c r="S1611" s="19">
        <f t="shared" si="1"/>
        <v>1</v>
      </c>
      <c r="T1611" s="19">
        <f t="shared" si="8"/>
        <v>49.71550209</v>
      </c>
      <c r="U1611" s="144"/>
    </row>
    <row r="1612">
      <c r="A1612" s="107"/>
      <c r="B1612" s="107"/>
      <c r="C1612" s="8" t="s">
        <v>19</v>
      </c>
      <c r="D1612" s="8">
        <v>63.0</v>
      </c>
      <c r="E1612" s="8" t="s">
        <v>4070</v>
      </c>
      <c r="F1612" s="8" t="s">
        <v>1473</v>
      </c>
      <c r="G1612" s="8" t="s">
        <v>2660</v>
      </c>
      <c r="H1612" s="8">
        <v>-1.0</v>
      </c>
      <c r="I1612" s="8" t="s">
        <v>172</v>
      </c>
      <c r="J1612" s="8" t="s">
        <v>22</v>
      </c>
      <c r="K1612" s="8" t="s">
        <v>892</v>
      </c>
      <c r="L1612" s="8" t="s">
        <v>39</v>
      </c>
      <c r="M1612" s="9">
        <v>0.0</v>
      </c>
      <c r="N1612" s="9">
        <v>0.6</v>
      </c>
      <c r="O1612" s="9">
        <v>0.6</v>
      </c>
      <c r="P1612" s="10">
        <v>45268.0</v>
      </c>
      <c r="Q1612" s="11">
        <v>1.7</v>
      </c>
      <c r="R1612" s="8" t="s">
        <v>70</v>
      </c>
      <c r="S1612" s="12">
        <f t="shared" si="1"/>
        <v>0</v>
      </c>
      <c r="T1612" s="12">
        <f t="shared" si="8"/>
        <v>49.71550209</v>
      </c>
      <c r="U1612" s="145"/>
    </row>
    <row r="1613">
      <c r="A1613" s="29"/>
      <c r="B1613" s="29"/>
      <c r="C1613" s="15" t="s">
        <v>19</v>
      </c>
      <c r="D1613" s="15">
        <v>44.0</v>
      </c>
      <c r="E1613" s="15" t="s">
        <v>4071</v>
      </c>
      <c r="F1613" s="15" t="s">
        <v>1473</v>
      </c>
      <c r="G1613" s="15" t="s">
        <v>2556</v>
      </c>
      <c r="H1613" s="15">
        <v>-1.0</v>
      </c>
      <c r="I1613" s="15" t="s">
        <v>174</v>
      </c>
      <c r="J1613" s="15" t="s">
        <v>22</v>
      </c>
      <c r="K1613" s="15" t="s">
        <v>225</v>
      </c>
      <c r="L1613" s="15" t="s">
        <v>24</v>
      </c>
      <c r="M1613" s="16">
        <v>0.5</v>
      </c>
      <c r="N1613" s="16">
        <v>0.6</v>
      </c>
      <c r="O1613" s="16">
        <v>0.6</v>
      </c>
      <c r="P1613" s="17">
        <v>45268.0</v>
      </c>
      <c r="Q1613" s="18">
        <v>1.75</v>
      </c>
      <c r="R1613" s="15" t="s">
        <v>25</v>
      </c>
      <c r="S1613" s="19">
        <f t="shared" si="1"/>
        <v>-0.6</v>
      </c>
      <c r="T1613" s="19">
        <f t="shared" si="8"/>
        <v>49.11550209</v>
      </c>
      <c r="U1613" s="144"/>
    </row>
    <row r="1614">
      <c r="A1614" s="107"/>
      <c r="B1614" s="107"/>
      <c r="C1614" s="8" t="s">
        <v>19</v>
      </c>
      <c r="D1614" s="8">
        <v>70.0</v>
      </c>
      <c r="E1614" s="8" t="s">
        <v>4072</v>
      </c>
      <c r="F1614" s="8" t="s">
        <v>1479</v>
      </c>
      <c r="G1614" s="8" t="s">
        <v>2660</v>
      </c>
      <c r="H1614" s="8">
        <v>-1.0</v>
      </c>
      <c r="I1614" s="8" t="s">
        <v>93</v>
      </c>
      <c r="J1614" s="8" t="s">
        <v>22</v>
      </c>
      <c r="K1614" s="8" t="s">
        <v>892</v>
      </c>
      <c r="L1614" s="8" t="s">
        <v>24</v>
      </c>
      <c r="M1614" s="9">
        <v>0.0</v>
      </c>
      <c r="N1614" s="9">
        <v>0.6</v>
      </c>
      <c r="O1614" s="9">
        <v>0.6</v>
      </c>
      <c r="P1614" s="10">
        <v>45269.0</v>
      </c>
      <c r="Q1614" s="11">
        <v>2.05</v>
      </c>
      <c r="R1614" s="8" t="s">
        <v>33</v>
      </c>
      <c r="S1614" s="12">
        <f t="shared" si="1"/>
        <v>0.63</v>
      </c>
      <c r="T1614" s="12">
        <f t="shared" si="8"/>
        <v>49.74550209</v>
      </c>
      <c r="U1614" s="145"/>
    </row>
    <row r="1615">
      <c r="A1615" s="29"/>
      <c r="B1615" s="29"/>
      <c r="C1615" s="15" t="s">
        <v>19</v>
      </c>
      <c r="D1615" s="15">
        <v>60.0</v>
      </c>
      <c r="E1615" s="15" t="s">
        <v>4073</v>
      </c>
      <c r="F1615" s="15" t="s">
        <v>1473</v>
      </c>
      <c r="G1615" s="15" t="s">
        <v>2660</v>
      </c>
      <c r="H1615" s="15">
        <v>2</v>
      </c>
      <c r="I1615" s="15" t="s">
        <v>218</v>
      </c>
      <c r="J1615" s="15" t="s">
        <v>22</v>
      </c>
      <c r="K1615" s="15" t="s">
        <v>892</v>
      </c>
      <c r="L1615" s="15" t="s">
        <v>24</v>
      </c>
      <c r="M1615" s="16">
        <v>0.0</v>
      </c>
      <c r="N1615" s="16">
        <v>0.8</v>
      </c>
      <c r="O1615" s="16">
        <v>0.8</v>
      </c>
      <c r="P1615" s="17">
        <v>45269.0</v>
      </c>
      <c r="Q1615" s="18">
        <v>1.85</v>
      </c>
      <c r="R1615" s="15" t="s">
        <v>25</v>
      </c>
      <c r="S1615" s="19">
        <f t="shared" si="1"/>
        <v>-0.8</v>
      </c>
      <c r="T1615" s="19">
        <f t="shared" si="8"/>
        <v>48.94550209</v>
      </c>
      <c r="U1615" s="144"/>
    </row>
    <row r="1616">
      <c r="A1616" s="107"/>
      <c r="B1616" s="107"/>
      <c r="C1616" s="8" t="s">
        <v>19</v>
      </c>
      <c r="D1616" s="8">
        <v>32.0</v>
      </c>
      <c r="E1616" s="8" t="s">
        <v>4074</v>
      </c>
      <c r="F1616" s="8" t="s">
        <v>1479</v>
      </c>
      <c r="G1616" s="8" t="s">
        <v>2660</v>
      </c>
      <c r="H1616" s="8">
        <v>0.0</v>
      </c>
      <c r="I1616" s="8" t="s">
        <v>93</v>
      </c>
      <c r="J1616" s="8" t="s">
        <v>22</v>
      </c>
      <c r="K1616" s="8" t="s">
        <v>1150</v>
      </c>
      <c r="L1616" s="8" t="s">
        <v>24</v>
      </c>
      <c r="M1616" s="9">
        <v>0.0</v>
      </c>
      <c r="N1616" s="9">
        <v>0.8</v>
      </c>
      <c r="O1616" s="9">
        <v>0.8</v>
      </c>
      <c r="P1616" s="54">
        <v>45269.0</v>
      </c>
      <c r="Q1616" s="11">
        <v>1.775</v>
      </c>
      <c r="R1616" s="8" t="s">
        <v>70</v>
      </c>
      <c r="S1616" s="12">
        <f t="shared" si="1"/>
        <v>0</v>
      </c>
      <c r="T1616" s="12">
        <f t="shared" si="8"/>
        <v>48.94550209</v>
      </c>
      <c r="U1616" s="145"/>
    </row>
    <row r="1617">
      <c r="A1617" s="29"/>
      <c r="B1617" s="29"/>
      <c r="C1617" s="15" t="s">
        <v>19</v>
      </c>
      <c r="D1617" s="15">
        <v>28.0</v>
      </c>
      <c r="E1617" s="15" t="s">
        <v>4075</v>
      </c>
      <c r="F1617" s="15" t="s">
        <v>1479</v>
      </c>
      <c r="G1617" s="15" t="s">
        <v>2660</v>
      </c>
      <c r="H1617" s="15">
        <v>0.0</v>
      </c>
      <c r="I1617" s="15" t="s">
        <v>612</v>
      </c>
      <c r="J1617" s="15" t="s">
        <v>22</v>
      </c>
      <c r="K1617" s="15" t="s">
        <v>892</v>
      </c>
      <c r="L1617" s="15" t="s">
        <v>24</v>
      </c>
      <c r="M1617" s="16">
        <v>0.0</v>
      </c>
      <c r="N1617" s="16">
        <v>1.0</v>
      </c>
      <c r="O1617" s="16">
        <v>1.0</v>
      </c>
      <c r="P1617" s="17">
        <v>45269.0</v>
      </c>
      <c r="Q1617" s="18">
        <v>1.9</v>
      </c>
      <c r="R1617" s="15" t="s">
        <v>33</v>
      </c>
      <c r="S1617" s="19">
        <f t="shared" si="1"/>
        <v>0.9</v>
      </c>
      <c r="T1617" s="19">
        <f t="shared" si="8"/>
        <v>49.84550209</v>
      </c>
      <c r="U1617" s="144"/>
    </row>
    <row r="1618">
      <c r="A1618" s="107"/>
      <c r="B1618" s="107"/>
      <c r="C1618" s="8" t="s">
        <v>19</v>
      </c>
      <c r="D1618" s="8">
        <v>55.0</v>
      </c>
      <c r="E1618" s="8" t="s">
        <v>4076</v>
      </c>
      <c r="F1618" s="8" t="s">
        <v>1479</v>
      </c>
      <c r="G1618" s="8" t="s">
        <v>2556</v>
      </c>
      <c r="H1618" s="8">
        <v>0.0</v>
      </c>
      <c r="I1618" s="8" t="s">
        <v>93</v>
      </c>
      <c r="J1618" s="8" t="s">
        <v>22</v>
      </c>
      <c r="K1618" s="8" t="s">
        <v>225</v>
      </c>
      <c r="L1618" s="8" t="s">
        <v>24</v>
      </c>
      <c r="M1618" s="9">
        <v>0.25</v>
      </c>
      <c r="N1618" s="9">
        <v>0.6</v>
      </c>
      <c r="O1618" s="9">
        <v>0.6</v>
      </c>
      <c r="P1618" s="10">
        <v>45269.0</v>
      </c>
      <c r="Q1618" s="11">
        <v>1.09</v>
      </c>
      <c r="R1618" s="8" t="s">
        <v>33</v>
      </c>
      <c r="S1618" s="12">
        <f t="shared" si="1"/>
        <v>0.054</v>
      </c>
      <c r="T1618" s="12">
        <f t="shared" si="8"/>
        <v>49.89950209</v>
      </c>
      <c r="U1618" s="145"/>
    </row>
    <row r="1619">
      <c r="A1619" s="29"/>
      <c r="B1619" s="29"/>
      <c r="C1619" s="15" t="s">
        <v>40</v>
      </c>
      <c r="D1619" s="15">
        <v>65.0</v>
      </c>
      <c r="E1619" s="15" t="s">
        <v>4077</v>
      </c>
      <c r="F1619" s="15" t="s">
        <v>1479</v>
      </c>
      <c r="G1619" s="15" t="s">
        <v>2556</v>
      </c>
      <c r="H1619" s="15">
        <v>0.0</v>
      </c>
      <c r="I1619" s="15" t="s">
        <v>93</v>
      </c>
      <c r="J1619" s="15" t="s">
        <v>22</v>
      </c>
      <c r="K1619" s="15" t="s">
        <v>1847</v>
      </c>
      <c r="L1619" s="15" t="s">
        <v>39</v>
      </c>
      <c r="M1619" s="16">
        <v>-0.5</v>
      </c>
      <c r="N1619" s="16">
        <v>0.1</v>
      </c>
      <c r="O1619" s="16">
        <v>0.1</v>
      </c>
      <c r="P1619" s="17">
        <v>45269.0</v>
      </c>
      <c r="Q1619" s="18">
        <v>1.8</v>
      </c>
      <c r="R1619" s="15" t="s">
        <v>33</v>
      </c>
      <c r="S1619" s="19">
        <f t="shared" si="1"/>
        <v>0.08</v>
      </c>
      <c r="T1619" s="19">
        <f t="shared" si="8"/>
        <v>49.97950209</v>
      </c>
      <c r="U1619" s="144"/>
    </row>
    <row r="1620">
      <c r="A1620" s="107"/>
      <c r="B1620" s="107"/>
      <c r="C1620" s="8" t="s">
        <v>19</v>
      </c>
      <c r="D1620" s="8">
        <v>68.0</v>
      </c>
      <c r="E1620" s="8" t="s">
        <v>4078</v>
      </c>
      <c r="F1620" s="8" t="s">
        <v>1473</v>
      </c>
      <c r="G1620" s="8" t="s">
        <v>2660</v>
      </c>
      <c r="H1620" s="8">
        <v>0.0</v>
      </c>
      <c r="I1620" s="8" t="s">
        <v>115</v>
      </c>
      <c r="J1620" s="8" t="s">
        <v>22</v>
      </c>
      <c r="K1620" s="8" t="s">
        <v>892</v>
      </c>
      <c r="L1620" s="8" t="s">
        <v>24</v>
      </c>
      <c r="M1620" s="9">
        <v>0.0</v>
      </c>
      <c r="N1620" s="9">
        <v>0.5</v>
      </c>
      <c r="O1620" s="9">
        <v>0.5</v>
      </c>
      <c r="P1620" s="10">
        <v>45269.0</v>
      </c>
      <c r="Q1620" s="11">
        <v>2.2</v>
      </c>
      <c r="R1620" s="8" t="s">
        <v>70</v>
      </c>
      <c r="S1620" s="12">
        <f t="shared" si="1"/>
        <v>0</v>
      </c>
      <c r="T1620" s="12">
        <f t="shared" si="8"/>
        <v>49.97950209</v>
      </c>
      <c r="U1620" s="145"/>
    </row>
    <row r="1621">
      <c r="A1621" s="29"/>
      <c r="B1621" s="29"/>
      <c r="C1621" s="15" t="s">
        <v>19</v>
      </c>
      <c r="D1621" s="15">
        <v>67.0</v>
      </c>
      <c r="E1621" s="15" t="s">
        <v>4079</v>
      </c>
      <c r="F1621" s="15" t="s">
        <v>1473</v>
      </c>
      <c r="G1621" s="15" t="s">
        <v>2660</v>
      </c>
      <c r="H1621" s="15">
        <v>-1.0</v>
      </c>
      <c r="I1621" s="15" t="s">
        <v>48</v>
      </c>
      <c r="J1621" s="15" t="s">
        <v>22</v>
      </c>
      <c r="K1621" s="15" t="s">
        <v>892</v>
      </c>
      <c r="L1621" s="15" t="s">
        <v>24</v>
      </c>
      <c r="M1621" s="16">
        <v>0.0</v>
      </c>
      <c r="N1621" s="16">
        <v>0.6</v>
      </c>
      <c r="O1621" s="16">
        <v>0.6</v>
      </c>
      <c r="P1621" s="17">
        <v>45269.0</v>
      </c>
      <c r="Q1621" s="18">
        <v>1.9</v>
      </c>
      <c r="R1621" s="15" t="s">
        <v>70</v>
      </c>
      <c r="S1621" s="19">
        <f t="shared" si="1"/>
        <v>0</v>
      </c>
      <c r="T1621" s="19">
        <f t="shared" si="8"/>
        <v>49.97950209</v>
      </c>
      <c r="U1621" s="144"/>
    </row>
    <row r="1622">
      <c r="A1622" s="107"/>
      <c r="B1622" s="107"/>
      <c r="C1622" s="8" t="s">
        <v>19</v>
      </c>
      <c r="D1622" s="8">
        <v>38.0</v>
      </c>
      <c r="E1622" s="8" t="s">
        <v>4080</v>
      </c>
      <c r="F1622" s="8" t="s">
        <v>1473</v>
      </c>
      <c r="G1622" s="8" t="s">
        <v>2660</v>
      </c>
      <c r="H1622" s="8">
        <v>0.0</v>
      </c>
      <c r="I1622" s="8" t="s">
        <v>913</v>
      </c>
      <c r="J1622" s="8" t="s">
        <v>22</v>
      </c>
      <c r="K1622" s="8" t="s">
        <v>892</v>
      </c>
      <c r="L1622" s="8" t="s">
        <v>24</v>
      </c>
      <c r="M1622" s="9">
        <v>0.0</v>
      </c>
      <c r="N1622" s="9">
        <v>0.6</v>
      </c>
      <c r="O1622" s="9">
        <v>0.03</v>
      </c>
      <c r="P1622" s="10">
        <v>45269.0</v>
      </c>
      <c r="Q1622" s="11">
        <v>1.85</v>
      </c>
      <c r="R1622" s="8" t="s">
        <v>25</v>
      </c>
      <c r="S1622" s="12">
        <f t="shared" si="1"/>
        <v>-0.03</v>
      </c>
      <c r="T1622" s="12">
        <f t="shared" si="8"/>
        <v>49.94950209</v>
      </c>
      <c r="U1622" s="145"/>
    </row>
    <row r="1623">
      <c r="A1623" s="29"/>
      <c r="B1623" s="29"/>
      <c r="C1623" s="15" t="s">
        <v>19</v>
      </c>
      <c r="D1623" s="15">
        <v>75.0</v>
      </c>
      <c r="E1623" s="15" t="s">
        <v>4081</v>
      </c>
      <c r="F1623" s="15" t="s">
        <v>1479</v>
      </c>
      <c r="G1623" s="15" t="s">
        <v>2660</v>
      </c>
      <c r="H1623" s="15">
        <v>-1.0</v>
      </c>
      <c r="I1623" s="15" t="s">
        <v>877</v>
      </c>
      <c r="J1623" s="15" t="s">
        <v>22</v>
      </c>
      <c r="K1623" s="15" t="s">
        <v>892</v>
      </c>
      <c r="L1623" s="15" t="s">
        <v>24</v>
      </c>
      <c r="M1623" s="16">
        <v>0.0</v>
      </c>
      <c r="N1623" s="16">
        <v>0.2</v>
      </c>
      <c r="O1623" s="16">
        <v>0.2</v>
      </c>
      <c r="P1623" s="17">
        <v>45269.0</v>
      </c>
      <c r="Q1623" s="18">
        <v>1.7</v>
      </c>
      <c r="R1623" s="15" t="s">
        <v>70</v>
      </c>
      <c r="S1623" s="19">
        <f t="shared" si="1"/>
        <v>0</v>
      </c>
      <c r="T1623" s="19">
        <f t="shared" si="8"/>
        <v>49.94950209</v>
      </c>
      <c r="U1623" s="144"/>
    </row>
    <row r="1624">
      <c r="A1624" s="107"/>
      <c r="B1624" s="107"/>
      <c r="C1624" s="8" t="s">
        <v>19</v>
      </c>
      <c r="D1624" s="8">
        <v>74.0</v>
      </c>
      <c r="E1624" s="8" t="s">
        <v>4082</v>
      </c>
      <c r="F1624" s="8" t="s">
        <v>1479</v>
      </c>
      <c r="G1624" s="8" t="s">
        <v>2660</v>
      </c>
      <c r="H1624" s="8">
        <f>1</f>
        <v>1</v>
      </c>
      <c r="I1624" s="8" t="s">
        <v>44</v>
      </c>
      <c r="J1624" s="8" t="s">
        <v>22</v>
      </c>
      <c r="K1624" s="8" t="s">
        <v>892</v>
      </c>
      <c r="L1624" s="8" t="s">
        <v>39</v>
      </c>
      <c r="M1624" s="9">
        <v>0.0</v>
      </c>
      <c r="N1624" s="9">
        <v>0.1</v>
      </c>
      <c r="O1624" s="9">
        <v>0.1</v>
      </c>
      <c r="P1624" s="54">
        <v>45269.0</v>
      </c>
      <c r="Q1624" s="11">
        <v>1.7</v>
      </c>
      <c r="R1624" s="8" t="s">
        <v>33</v>
      </c>
      <c r="S1624" s="12">
        <f t="shared" si="1"/>
        <v>0.07</v>
      </c>
      <c r="T1624" s="12">
        <f t="shared" si="8"/>
        <v>50.01950209</v>
      </c>
      <c r="U1624" s="145"/>
    </row>
    <row r="1625">
      <c r="A1625" s="29"/>
      <c r="B1625" s="29"/>
      <c r="C1625" s="15" t="s">
        <v>19</v>
      </c>
      <c r="D1625" s="15">
        <v>25.0</v>
      </c>
      <c r="E1625" s="15" t="s">
        <v>4083</v>
      </c>
      <c r="F1625" s="15" t="s">
        <v>1473</v>
      </c>
      <c r="G1625" s="15" t="s">
        <v>2660</v>
      </c>
      <c r="H1625" s="15">
        <v>0.0</v>
      </c>
      <c r="I1625" s="15" t="s">
        <v>121</v>
      </c>
      <c r="J1625" s="15" t="s">
        <v>22</v>
      </c>
      <c r="K1625" s="15" t="s">
        <v>892</v>
      </c>
      <c r="L1625" s="15" t="s">
        <v>24</v>
      </c>
      <c r="M1625" s="16">
        <v>0.0</v>
      </c>
      <c r="N1625" s="16">
        <v>0.75</v>
      </c>
      <c r="O1625" s="16">
        <v>0.75</v>
      </c>
      <c r="P1625" s="17">
        <v>45269.0</v>
      </c>
      <c r="Q1625" s="18">
        <v>1.8</v>
      </c>
      <c r="R1625" s="15" t="s">
        <v>33</v>
      </c>
      <c r="S1625" s="19">
        <f t="shared" si="1"/>
        <v>0.6</v>
      </c>
      <c r="T1625" s="19">
        <f t="shared" si="8"/>
        <v>50.61950209</v>
      </c>
      <c r="U1625" s="144"/>
    </row>
    <row r="1626">
      <c r="A1626" s="107"/>
      <c r="B1626" s="107"/>
      <c r="C1626" s="8" t="s">
        <v>19</v>
      </c>
      <c r="D1626" s="8">
        <v>14.0</v>
      </c>
      <c r="E1626" s="8" t="s">
        <v>4084</v>
      </c>
      <c r="F1626" s="8" t="s">
        <v>1473</v>
      </c>
      <c r="G1626" s="8" t="s">
        <v>2556</v>
      </c>
      <c r="H1626" s="8">
        <v>0.0</v>
      </c>
      <c r="I1626" s="8" t="s">
        <v>66</v>
      </c>
      <c r="J1626" s="8" t="s">
        <v>22</v>
      </c>
      <c r="K1626" s="8" t="s">
        <v>1165</v>
      </c>
      <c r="L1626" s="8" t="s">
        <v>24</v>
      </c>
      <c r="M1626" s="9"/>
      <c r="N1626" s="9">
        <v>0.1</v>
      </c>
      <c r="O1626" s="9">
        <v>0.1</v>
      </c>
      <c r="P1626" s="10">
        <v>45269.0</v>
      </c>
      <c r="Q1626" s="11">
        <v>6.0</v>
      </c>
      <c r="R1626" s="8" t="s">
        <v>25</v>
      </c>
      <c r="S1626" s="12">
        <f t="shared" si="1"/>
        <v>-0.1</v>
      </c>
      <c r="T1626" s="12">
        <f t="shared" si="8"/>
        <v>50.51950209</v>
      </c>
      <c r="U1626" s="145"/>
    </row>
    <row r="1627">
      <c r="A1627" s="29"/>
      <c r="B1627" s="29"/>
      <c r="C1627" s="15" t="s">
        <v>19</v>
      </c>
      <c r="D1627" s="15">
        <v>33.0</v>
      </c>
      <c r="E1627" s="15" t="s">
        <v>4085</v>
      </c>
      <c r="F1627" s="15" t="s">
        <v>1479</v>
      </c>
      <c r="G1627" s="15" t="s">
        <v>2660</v>
      </c>
      <c r="H1627" s="15">
        <v>0.0</v>
      </c>
      <c r="I1627" s="15" t="s">
        <v>93</v>
      </c>
      <c r="J1627" s="15" t="s">
        <v>22</v>
      </c>
      <c r="K1627" s="15" t="s">
        <v>892</v>
      </c>
      <c r="L1627" s="15" t="s">
        <v>39</v>
      </c>
      <c r="M1627" s="16">
        <v>0.0</v>
      </c>
      <c r="N1627" s="16">
        <v>0.25</v>
      </c>
      <c r="O1627" s="16">
        <v>0.25</v>
      </c>
      <c r="P1627" s="17">
        <v>45269.0</v>
      </c>
      <c r="Q1627" s="18">
        <v>1.8</v>
      </c>
      <c r="R1627" s="15" t="s">
        <v>33</v>
      </c>
      <c r="S1627" s="19">
        <f t="shared" si="1"/>
        <v>0.2</v>
      </c>
      <c r="T1627" s="19">
        <f t="shared" si="8"/>
        <v>50.71950209</v>
      </c>
      <c r="U1627" s="144"/>
    </row>
    <row r="1628">
      <c r="A1628" s="107"/>
      <c r="B1628" s="107"/>
      <c r="C1628" s="8" t="s">
        <v>19</v>
      </c>
      <c r="D1628" s="8">
        <v>31.0</v>
      </c>
      <c r="E1628" s="8" t="s">
        <v>4086</v>
      </c>
      <c r="F1628" s="8" t="s">
        <v>1479</v>
      </c>
      <c r="G1628" s="8" t="s">
        <v>2660</v>
      </c>
      <c r="H1628" s="8">
        <v>0.0</v>
      </c>
      <c r="I1628" s="8" t="s">
        <v>66</v>
      </c>
      <c r="J1628" s="8" t="s">
        <v>22</v>
      </c>
      <c r="K1628" s="8" t="s">
        <v>1150</v>
      </c>
      <c r="L1628" s="8" t="s">
        <v>24</v>
      </c>
      <c r="M1628" s="9">
        <v>0.0</v>
      </c>
      <c r="N1628" s="9">
        <v>0.25</v>
      </c>
      <c r="O1628" s="9">
        <v>0.25</v>
      </c>
      <c r="P1628" s="10">
        <v>45269.0</v>
      </c>
      <c r="Q1628" s="11">
        <v>1.725</v>
      </c>
      <c r="R1628" s="8" t="s">
        <v>70</v>
      </c>
      <c r="S1628" s="12">
        <f t="shared" si="1"/>
        <v>0</v>
      </c>
      <c r="T1628" s="12">
        <f t="shared" si="8"/>
        <v>50.71950209</v>
      </c>
      <c r="U1628" s="145"/>
    </row>
    <row r="1629">
      <c r="A1629" s="29"/>
      <c r="B1629" s="29"/>
      <c r="C1629" s="15" t="s">
        <v>40</v>
      </c>
      <c r="D1629" s="15">
        <v>35.0</v>
      </c>
      <c r="E1629" s="15" t="s">
        <v>4087</v>
      </c>
      <c r="F1629" s="15" t="s">
        <v>1479</v>
      </c>
      <c r="G1629" s="15" t="s">
        <v>2556</v>
      </c>
      <c r="H1629" s="15">
        <f t="shared" ref="H1629:H1630" si="50">1</f>
        <v>1</v>
      </c>
      <c r="I1629" s="15" t="s">
        <v>42</v>
      </c>
      <c r="J1629" s="15" t="s">
        <v>22</v>
      </c>
      <c r="K1629" s="15" t="s">
        <v>225</v>
      </c>
      <c r="L1629" s="15" t="s">
        <v>24</v>
      </c>
      <c r="M1629" s="16">
        <v>0.25</v>
      </c>
      <c r="N1629" s="16">
        <v>0.5</v>
      </c>
      <c r="O1629" s="16">
        <v>0.5</v>
      </c>
      <c r="P1629" s="17">
        <v>45270.0</v>
      </c>
      <c r="Q1629" s="18">
        <v>1.75</v>
      </c>
      <c r="R1629" s="15" t="s">
        <v>996</v>
      </c>
      <c r="S1629" s="19">
        <f t="shared" si="1"/>
        <v>0.1875</v>
      </c>
      <c r="T1629" s="19">
        <f t="shared" si="8"/>
        <v>50.90700209</v>
      </c>
      <c r="U1629" s="144"/>
    </row>
    <row r="1630">
      <c r="A1630" s="107"/>
      <c r="B1630" s="107"/>
      <c r="C1630" s="8" t="s">
        <v>40</v>
      </c>
      <c r="D1630" s="8">
        <v>56.0</v>
      </c>
      <c r="E1630" s="8" t="s">
        <v>4088</v>
      </c>
      <c r="F1630" s="8" t="s">
        <v>1473</v>
      </c>
      <c r="G1630" s="8" t="s">
        <v>2660</v>
      </c>
      <c r="H1630" s="8">
        <f t="shared" si="50"/>
        <v>1</v>
      </c>
      <c r="I1630" s="8" t="s">
        <v>229</v>
      </c>
      <c r="J1630" s="8" t="s">
        <v>22</v>
      </c>
      <c r="K1630" s="8" t="s">
        <v>892</v>
      </c>
      <c r="L1630" s="8" t="s">
        <v>24</v>
      </c>
      <c r="M1630" s="9">
        <v>0.0</v>
      </c>
      <c r="N1630" s="9">
        <v>0.6</v>
      </c>
      <c r="O1630" s="9">
        <v>0.6</v>
      </c>
      <c r="P1630" s="10">
        <v>45270.0</v>
      </c>
      <c r="Q1630" s="11">
        <v>1.8</v>
      </c>
      <c r="R1630" s="8" t="s">
        <v>33</v>
      </c>
      <c r="S1630" s="12">
        <f t="shared" si="1"/>
        <v>0.48</v>
      </c>
      <c r="T1630" s="12">
        <f t="shared" si="8"/>
        <v>51.38700209</v>
      </c>
      <c r="U1630" s="145"/>
    </row>
    <row r="1631">
      <c r="A1631" s="29"/>
      <c r="B1631" s="29"/>
      <c r="C1631" s="15" t="s">
        <v>19</v>
      </c>
      <c r="D1631" s="15">
        <v>20.0</v>
      </c>
      <c r="E1631" s="15" t="s">
        <v>4089</v>
      </c>
      <c r="F1631" s="15" t="s">
        <v>1473</v>
      </c>
      <c r="G1631" s="15" t="s">
        <v>2556</v>
      </c>
      <c r="H1631" s="15">
        <v>0.0</v>
      </c>
      <c r="I1631" s="15" t="s">
        <v>229</v>
      </c>
      <c r="J1631" s="15" t="s">
        <v>22</v>
      </c>
      <c r="K1631" s="15" t="s">
        <v>225</v>
      </c>
      <c r="L1631" s="15" t="s">
        <v>24</v>
      </c>
      <c r="M1631" s="16">
        <v>0.25</v>
      </c>
      <c r="N1631" s="16">
        <v>0.4</v>
      </c>
      <c r="O1631" s="16">
        <v>0.4</v>
      </c>
      <c r="P1631" s="17">
        <v>45270.0</v>
      </c>
      <c r="Q1631" s="18">
        <v>1.01</v>
      </c>
      <c r="R1631" s="15" t="s">
        <v>33</v>
      </c>
      <c r="S1631" s="19">
        <f t="shared" si="1"/>
        <v>0.004</v>
      </c>
      <c r="T1631" s="19">
        <f t="shared" si="8"/>
        <v>51.39100209</v>
      </c>
      <c r="U1631" s="144"/>
    </row>
    <row r="1632">
      <c r="A1632" s="107"/>
      <c r="B1632" s="107"/>
      <c r="C1632" s="8" t="s">
        <v>19</v>
      </c>
      <c r="D1632" s="8">
        <v>67.0</v>
      </c>
      <c r="E1632" s="8" t="s">
        <v>4090</v>
      </c>
      <c r="F1632" s="8" t="s">
        <v>1479</v>
      </c>
      <c r="G1632" s="8" t="s">
        <v>2660</v>
      </c>
      <c r="H1632" s="8">
        <v>-4.0</v>
      </c>
      <c r="I1632" s="8" t="s">
        <v>229</v>
      </c>
      <c r="J1632" s="8" t="s">
        <v>22</v>
      </c>
      <c r="K1632" s="8" t="s">
        <v>892</v>
      </c>
      <c r="L1632" s="8" t="s">
        <v>24</v>
      </c>
      <c r="M1632" s="9">
        <v>0.0</v>
      </c>
      <c r="N1632" s="9">
        <v>0.8</v>
      </c>
      <c r="O1632" s="9">
        <v>0.8</v>
      </c>
      <c r="P1632" s="10">
        <v>45270.0</v>
      </c>
      <c r="Q1632" s="11">
        <v>1.7</v>
      </c>
      <c r="R1632" s="8" t="s">
        <v>25</v>
      </c>
      <c r="S1632" s="12">
        <f t="shared" si="1"/>
        <v>-0.8</v>
      </c>
      <c r="T1632" s="12">
        <f t="shared" si="8"/>
        <v>50.59100209</v>
      </c>
      <c r="U1632" s="145"/>
    </row>
    <row r="1633">
      <c r="A1633" s="29"/>
      <c r="B1633" s="29"/>
      <c r="C1633" s="15" t="s">
        <v>19</v>
      </c>
      <c r="D1633" s="15">
        <v>41.0</v>
      </c>
      <c r="E1633" s="15" t="s">
        <v>4091</v>
      </c>
      <c r="F1633" s="15" t="s">
        <v>1479</v>
      </c>
      <c r="G1633" s="15" t="s">
        <v>2556</v>
      </c>
      <c r="H1633" s="15">
        <v>0.0</v>
      </c>
      <c r="I1633" s="15" t="s">
        <v>229</v>
      </c>
      <c r="J1633" s="15" t="s">
        <v>22</v>
      </c>
      <c r="K1633" s="15" t="s">
        <v>225</v>
      </c>
      <c r="L1633" s="15" t="s">
        <v>24</v>
      </c>
      <c r="M1633" s="16">
        <v>0.5</v>
      </c>
      <c r="N1633" s="16">
        <v>0.6</v>
      </c>
      <c r="O1633" s="16">
        <v>0.6</v>
      </c>
      <c r="P1633" s="17">
        <v>45270.0</v>
      </c>
      <c r="Q1633" s="18">
        <v>1.725</v>
      </c>
      <c r="R1633" s="15" t="s">
        <v>33</v>
      </c>
      <c r="S1633" s="19">
        <f t="shared" si="1"/>
        <v>0.435</v>
      </c>
      <c r="T1633" s="19">
        <f t="shared" si="8"/>
        <v>51.02600209</v>
      </c>
      <c r="U1633" s="144"/>
    </row>
    <row r="1634">
      <c r="A1634" s="107"/>
      <c r="B1634" s="107"/>
      <c r="C1634" s="8" t="s">
        <v>40</v>
      </c>
      <c r="D1634" s="8">
        <v>69.0</v>
      </c>
      <c r="E1634" s="8" t="s">
        <v>4092</v>
      </c>
      <c r="F1634" s="8" t="s">
        <v>1479</v>
      </c>
      <c r="G1634" s="8" t="s">
        <v>2556</v>
      </c>
      <c r="H1634" s="8">
        <v>0.0</v>
      </c>
      <c r="I1634" s="8" t="s">
        <v>93</v>
      </c>
      <c r="J1634" s="8" t="s">
        <v>22</v>
      </c>
      <c r="K1634" s="8" t="s">
        <v>225</v>
      </c>
      <c r="L1634" s="8" t="s">
        <v>1522</v>
      </c>
      <c r="M1634" s="9">
        <v>0.25</v>
      </c>
      <c r="N1634" s="9">
        <v>0.5</v>
      </c>
      <c r="O1634" s="9">
        <v>0.5</v>
      </c>
      <c r="P1634" s="10">
        <v>45270.0</v>
      </c>
      <c r="Q1634" s="11">
        <v>1.775</v>
      </c>
      <c r="R1634" s="8" t="s">
        <v>996</v>
      </c>
      <c r="S1634" s="12">
        <f t="shared" si="1"/>
        <v>0.19375</v>
      </c>
      <c r="T1634" s="12">
        <f t="shared" si="8"/>
        <v>51.21975209</v>
      </c>
      <c r="U1634" s="145"/>
    </row>
    <row r="1635">
      <c r="A1635" s="29"/>
      <c r="B1635" s="29"/>
      <c r="C1635" s="15" t="s">
        <v>19</v>
      </c>
      <c r="D1635" s="15">
        <v>27.0</v>
      </c>
      <c r="E1635" s="15" t="s">
        <v>4093</v>
      </c>
      <c r="F1635" s="15" t="s">
        <v>1473</v>
      </c>
      <c r="G1635" s="15" t="s">
        <v>2660</v>
      </c>
      <c r="H1635" s="15">
        <v>0.0</v>
      </c>
      <c r="I1635" s="15" t="s">
        <v>806</v>
      </c>
      <c r="J1635" s="15" t="s">
        <v>22</v>
      </c>
      <c r="K1635" s="15" t="s">
        <v>892</v>
      </c>
      <c r="L1635" s="15" t="s">
        <v>24</v>
      </c>
      <c r="M1635" s="16">
        <v>0.0</v>
      </c>
      <c r="N1635" s="16">
        <v>0.5</v>
      </c>
      <c r="O1635" s="16">
        <v>0.5</v>
      </c>
      <c r="P1635" s="17">
        <v>45270.0</v>
      </c>
      <c r="Q1635" s="18">
        <v>1.975</v>
      </c>
      <c r="R1635" s="15" t="s">
        <v>70</v>
      </c>
      <c r="S1635" s="19">
        <f t="shared" si="1"/>
        <v>0</v>
      </c>
      <c r="T1635" s="19">
        <f t="shared" si="8"/>
        <v>51.21975209</v>
      </c>
      <c r="U1635" s="144"/>
    </row>
    <row r="1636">
      <c r="A1636" s="107"/>
      <c r="B1636" s="107"/>
      <c r="C1636" s="8" t="s">
        <v>19</v>
      </c>
      <c r="D1636" s="8">
        <v>0.0</v>
      </c>
      <c r="E1636" s="8" t="s">
        <v>4094</v>
      </c>
      <c r="F1636" s="8"/>
      <c r="G1636" s="8"/>
      <c r="H1636" s="8"/>
      <c r="I1636" s="8" t="s">
        <v>121</v>
      </c>
      <c r="J1636" s="8" t="s">
        <v>598</v>
      </c>
      <c r="K1636" s="8" t="s">
        <v>2634</v>
      </c>
      <c r="L1636" s="8" t="s">
        <v>39</v>
      </c>
      <c r="M1636" s="9"/>
      <c r="N1636" s="9">
        <v>0.1</v>
      </c>
      <c r="O1636" s="9">
        <v>0.1</v>
      </c>
      <c r="P1636" s="10">
        <v>45270.0</v>
      </c>
      <c r="Q1636" s="11">
        <v>2.05</v>
      </c>
      <c r="R1636" s="8" t="s">
        <v>25</v>
      </c>
      <c r="S1636" s="12">
        <f t="shared" si="1"/>
        <v>-0.1</v>
      </c>
      <c r="T1636" s="12">
        <f t="shared" si="8"/>
        <v>51.11975209</v>
      </c>
      <c r="U1636" s="145"/>
    </row>
    <row r="1637">
      <c r="A1637" s="29"/>
      <c r="B1637" s="29"/>
      <c r="C1637" s="15" t="s">
        <v>19</v>
      </c>
      <c r="D1637" s="15">
        <v>27.0</v>
      </c>
      <c r="E1637" s="15" t="s">
        <v>4095</v>
      </c>
      <c r="F1637" s="15" t="s">
        <v>1473</v>
      </c>
      <c r="G1637" s="15" t="s">
        <v>2556</v>
      </c>
      <c r="H1637" s="15">
        <v>0.0</v>
      </c>
      <c r="I1637" s="15" t="s">
        <v>42</v>
      </c>
      <c r="J1637" s="15" t="s">
        <v>22</v>
      </c>
      <c r="K1637" s="15" t="s">
        <v>225</v>
      </c>
      <c r="L1637" s="15" t="s">
        <v>24</v>
      </c>
      <c r="M1637" s="16">
        <v>0.5</v>
      </c>
      <c r="N1637" s="16">
        <v>0.5</v>
      </c>
      <c r="O1637" s="16">
        <v>0.5</v>
      </c>
      <c r="P1637" s="17">
        <v>45270.0</v>
      </c>
      <c r="Q1637" s="18">
        <v>1.75</v>
      </c>
      <c r="R1637" s="15" t="s">
        <v>25</v>
      </c>
      <c r="S1637" s="19">
        <f t="shared" si="1"/>
        <v>-0.5</v>
      </c>
      <c r="T1637" s="19">
        <f t="shared" si="8"/>
        <v>50.61975209</v>
      </c>
      <c r="U1637" s="144"/>
    </row>
    <row r="1638">
      <c r="A1638" s="107"/>
      <c r="B1638" s="107"/>
      <c r="C1638" s="8" t="s">
        <v>40</v>
      </c>
      <c r="D1638" s="8">
        <v>30.0</v>
      </c>
      <c r="E1638" s="8" t="s">
        <v>4096</v>
      </c>
      <c r="F1638" s="8" t="s">
        <v>1473</v>
      </c>
      <c r="G1638" s="8" t="s">
        <v>2660</v>
      </c>
      <c r="H1638" s="8">
        <v>0.0</v>
      </c>
      <c r="I1638" s="8" t="s">
        <v>873</v>
      </c>
      <c r="J1638" s="8" t="s">
        <v>22</v>
      </c>
      <c r="K1638" s="8" t="s">
        <v>1150</v>
      </c>
      <c r="L1638" s="8" t="s">
        <v>24</v>
      </c>
      <c r="M1638" s="9">
        <v>0.0</v>
      </c>
      <c r="N1638" s="9">
        <v>0.2</v>
      </c>
      <c r="O1638" s="9">
        <v>0.2</v>
      </c>
      <c r="P1638" s="10">
        <v>45270.0</v>
      </c>
      <c r="Q1638" s="11">
        <v>1.875</v>
      </c>
      <c r="R1638" s="8" t="s">
        <v>70</v>
      </c>
      <c r="S1638" s="12">
        <f t="shared" si="1"/>
        <v>0</v>
      </c>
      <c r="T1638" s="12">
        <f t="shared" si="8"/>
        <v>50.61975209</v>
      </c>
      <c r="U1638" s="145"/>
    </row>
    <row r="1639">
      <c r="A1639" s="29"/>
      <c r="B1639" s="29"/>
      <c r="C1639" s="15" t="s">
        <v>19</v>
      </c>
      <c r="D1639" s="15">
        <v>0.0</v>
      </c>
      <c r="E1639" s="15" t="s">
        <v>4097</v>
      </c>
      <c r="F1639" s="15" t="s">
        <v>1473</v>
      </c>
      <c r="G1639" s="15"/>
      <c r="H1639" s="15"/>
      <c r="I1639" s="15" t="s">
        <v>768</v>
      </c>
      <c r="J1639" s="15" t="s">
        <v>598</v>
      </c>
      <c r="K1639" s="15" t="s">
        <v>29</v>
      </c>
      <c r="L1639" s="15" t="s">
        <v>39</v>
      </c>
      <c r="M1639" s="16">
        <v>-6.5</v>
      </c>
      <c r="N1639" s="16">
        <v>0.1</v>
      </c>
      <c r="O1639" s="16">
        <v>0.1</v>
      </c>
      <c r="P1639" s="17">
        <v>45270.0</v>
      </c>
      <c r="Q1639" s="18">
        <v>1.775</v>
      </c>
      <c r="R1639" s="15" t="s">
        <v>25</v>
      </c>
      <c r="S1639" s="19">
        <f t="shared" si="1"/>
        <v>-0.1</v>
      </c>
      <c r="T1639" s="19">
        <f t="shared" si="8"/>
        <v>50.51975209</v>
      </c>
      <c r="U1639" s="144"/>
    </row>
    <row r="1640">
      <c r="A1640" s="107"/>
      <c r="B1640" s="107"/>
      <c r="C1640" s="8" t="s">
        <v>19</v>
      </c>
      <c r="D1640" s="8">
        <v>13.0</v>
      </c>
      <c r="E1640" s="8" t="s">
        <v>4098</v>
      </c>
      <c r="F1640" s="8" t="s">
        <v>1473</v>
      </c>
      <c r="G1640" s="8" t="s">
        <v>2556</v>
      </c>
      <c r="H1640" s="8">
        <v>0.0</v>
      </c>
      <c r="I1640" s="8" t="s">
        <v>952</v>
      </c>
      <c r="J1640" s="8" t="s">
        <v>22</v>
      </c>
      <c r="K1640" s="8" t="s">
        <v>225</v>
      </c>
      <c r="L1640" s="8" t="s">
        <v>24</v>
      </c>
      <c r="M1640" s="9">
        <v>0.5</v>
      </c>
      <c r="N1640" s="9">
        <v>0.8</v>
      </c>
      <c r="O1640" s="9">
        <v>0.8</v>
      </c>
      <c r="P1640" s="10">
        <v>45270.0</v>
      </c>
      <c r="Q1640" s="11">
        <v>1.22</v>
      </c>
      <c r="R1640" s="8" t="s">
        <v>33</v>
      </c>
      <c r="S1640" s="12">
        <f t="shared" si="1"/>
        <v>0.176</v>
      </c>
      <c r="T1640" s="12">
        <f t="shared" si="8"/>
        <v>50.69575209</v>
      </c>
      <c r="U1640" s="145"/>
    </row>
    <row r="1641">
      <c r="A1641" s="29"/>
      <c r="B1641" s="29"/>
      <c r="C1641" s="15" t="s">
        <v>40</v>
      </c>
      <c r="D1641" s="15">
        <v>80.0</v>
      </c>
      <c r="E1641" s="15" t="s">
        <v>4099</v>
      </c>
      <c r="F1641" s="15" t="s">
        <v>1473</v>
      </c>
      <c r="G1641" s="15" t="s">
        <v>2556</v>
      </c>
      <c r="H1641" s="15">
        <v>-3.0</v>
      </c>
      <c r="I1641" s="15" t="s">
        <v>106</v>
      </c>
      <c r="J1641" s="15" t="s">
        <v>22</v>
      </c>
      <c r="K1641" s="15" t="s">
        <v>225</v>
      </c>
      <c r="L1641" s="15" t="s">
        <v>24</v>
      </c>
      <c r="M1641" s="16">
        <v>0.5</v>
      </c>
      <c r="N1641" s="16">
        <v>0.6</v>
      </c>
      <c r="O1641" s="16">
        <v>0.08</v>
      </c>
      <c r="P1641" s="17">
        <v>45270.0</v>
      </c>
      <c r="Q1641" s="18">
        <v>1.725</v>
      </c>
      <c r="R1641" s="15" t="s">
        <v>25</v>
      </c>
      <c r="S1641" s="19">
        <f t="shared" si="1"/>
        <v>-0.08</v>
      </c>
      <c r="T1641" s="19">
        <f t="shared" si="8"/>
        <v>50.61575209</v>
      </c>
      <c r="U1641" s="144"/>
    </row>
    <row r="1642">
      <c r="A1642" s="107"/>
      <c r="B1642" s="107"/>
      <c r="C1642" s="8" t="s">
        <v>40</v>
      </c>
      <c r="D1642" s="8">
        <v>80.0</v>
      </c>
      <c r="E1642" s="8" t="s">
        <v>4100</v>
      </c>
      <c r="F1642" s="8" t="s">
        <v>1473</v>
      </c>
      <c r="G1642" s="8" t="s">
        <v>2556</v>
      </c>
      <c r="H1642" s="8">
        <v>-3.0</v>
      </c>
      <c r="I1642" s="8" t="s">
        <v>106</v>
      </c>
      <c r="J1642" s="8" t="s">
        <v>22</v>
      </c>
      <c r="K1642" s="8" t="s">
        <v>1165</v>
      </c>
      <c r="L1642" s="8" t="s">
        <v>24</v>
      </c>
      <c r="M1642" s="9"/>
      <c r="N1642" s="9">
        <v>0.05</v>
      </c>
      <c r="O1642" s="9">
        <v>0.05</v>
      </c>
      <c r="P1642" s="54">
        <v>45270.0</v>
      </c>
      <c r="Q1642" s="11">
        <v>7.5</v>
      </c>
      <c r="R1642" s="8" t="s">
        <v>25</v>
      </c>
      <c r="S1642" s="12">
        <f t="shared" si="1"/>
        <v>-0.05</v>
      </c>
      <c r="T1642" s="12">
        <f t="shared" si="8"/>
        <v>50.56575209</v>
      </c>
      <c r="U1642" s="145"/>
    </row>
    <row r="1643">
      <c r="A1643" s="29"/>
      <c r="B1643" s="29"/>
      <c r="C1643" s="15" t="s">
        <v>40</v>
      </c>
      <c r="D1643" s="15">
        <v>20.0</v>
      </c>
      <c r="E1643" s="15" t="s">
        <v>4101</v>
      </c>
      <c r="F1643" s="15" t="s">
        <v>1479</v>
      </c>
      <c r="G1643" s="15" t="s">
        <v>2556</v>
      </c>
      <c r="H1643" s="15">
        <v>2</v>
      </c>
      <c r="I1643" s="15" t="s">
        <v>93</v>
      </c>
      <c r="J1643" s="15" t="s">
        <v>22</v>
      </c>
      <c r="K1643" s="15" t="s">
        <v>225</v>
      </c>
      <c r="L1643" s="15" t="s">
        <v>24</v>
      </c>
      <c r="M1643" s="16">
        <v>1.0</v>
      </c>
      <c r="N1643" s="16">
        <v>0.7</v>
      </c>
      <c r="O1643" s="16">
        <v>0.59</v>
      </c>
      <c r="P1643" s="17">
        <v>45270.0</v>
      </c>
      <c r="Q1643" s="18">
        <v>1.61</v>
      </c>
      <c r="R1643" s="15" t="s">
        <v>33</v>
      </c>
      <c r="S1643" s="19">
        <f t="shared" si="1"/>
        <v>0.3599</v>
      </c>
      <c r="T1643" s="19">
        <f t="shared" si="8"/>
        <v>50.92565209</v>
      </c>
      <c r="U1643" s="144"/>
    </row>
    <row r="1644">
      <c r="A1644" s="107"/>
      <c r="B1644" s="107"/>
      <c r="C1644" s="8" t="s">
        <v>19</v>
      </c>
      <c r="D1644" s="8">
        <v>72.0</v>
      </c>
      <c r="E1644" s="8" t="s">
        <v>4102</v>
      </c>
      <c r="F1644" s="8" t="s">
        <v>1479</v>
      </c>
      <c r="G1644" s="8" t="s">
        <v>2660</v>
      </c>
      <c r="H1644" s="8">
        <v>-2.0</v>
      </c>
      <c r="I1644" s="8" t="s">
        <v>167</v>
      </c>
      <c r="J1644" s="8" t="s">
        <v>22</v>
      </c>
      <c r="K1644" s="8" t="s">
        <v>892</v>
      </c>
      <c r="L1644" s="8" t="s">
        <v>24</v>
      </c>
      <c r="M1644" s="9">
        <v>0.0</v>
      </c>
      <c r="N1644" s="9">
        <v>0.4</v>
      </c>
      <c r="O1644" s="9">
        <v>0.4</v>
      </c>
      <c r="P1644" s="10">
        <v>45272.0</v>
      </c>
      <c r="Q1644" s="11">
        <v>1.7</v>
      </c>
      <c r="R1644" s="8" t="s">
        <v>70</v>
      </c>
      <c r="S1644" s="12">
        <f t="shared" si="1"/>
        <v>0</v>
      </c>
      <c r="T1644" s="12">
        <f t="shared" si="8"/>
        <v>50.92565209</v>
      </c>
      <c r="U1644" s="145"/>
    </row>
    <row r="1645">
      <c r="A1645" s="29"/>
      <c r="B1645" s="29"/>
      <c r="C1645" s="15" t="s">
        <v>19</v>
      </c>
      <c r="D1645" s="15">
        <v>22.0</v>
      </c>
      <c r="E1645" s="15" t="s">
        <v>4103</v>
      </c>
      <c r="F1645" s="15" t="s">
        <v>1473</v>
      </c>
      <c r="G1645" s="15" t="s">
        <v>2556</v>
      </c>
      <c r="H1645" s="15">
        <v>0.0</v>
      </c>
      <c r="I1645" s="15" t="s">
        <v>1031</v>
      </c>
      <c r="J1645" s="15" t="s">
        <v>22</v>
      </c>
      <c r="K1645" s="15" t="s">
        <v>225</v>
      </c>
      <c r="L1645" s="15" t="s">
        <v>24</v>
      </c>
      <c r="M1645" s="16">
        <v>0.75</v>
      </c>
      <c r="N1645" s="16">
        <v>0.8</v>
      </c>
      <c r="O1645" s="16">
        <v>0.8</v>
      </c>
      <c r="P1645" s="55">
        <v>45272.0</v>
      </c>
      <c r="Q1645" s="18">
        <v>1.9</v>
      </c>
      <c r="R1645" s="15" t="s">
        <v>4104</v>
      </c>
      <c r="S1645" s="19">
        <f t="shared" si="1"/>
        <v>-0.4</v>
      </c>
      <c r="T1645" s="19">
        <f t="shared" si="8"/>
        <v>50.52565209</v>
      </c>
      <c r="U1645" s="144"/>
    </row>
    <row r="1646">
      <c r="A1646" s="107"/>
      <c r="B1646" s="107"/>
      <c r="C1646" s="8" t="s">
        <v>19</v>
      </c>
      <c r="D1646" s="8">
        <v>23.0</v>
      </c>
      <c r="E1646" s="8" t="s">
        <v>4105</v>
      </c>
      <c r="F1646" s="8" t="s">
        <v>1473</v>
      </c>
      <c r="G1646" s="8" t="s">
        <v>2660</v>
      </c>
      <c r="H1646" s="8">
        <v>0.0</v>
      </c>
      <c r="I1646" s="8" t="s">
        <v>1031</v>
      </c>
      <c r="J1646" s="8" t="s">
        <v>22</v>
      </c>
      <c r="K1646" s="8" t="s">
        <v>1150</v>
      </c>
      <c r="L1646" s="8" t="s">
        <v>24</v>
      </c>
      <c r="M1646" s="9">
        <v>0.0</v>
      </c>
      <c r="N1646" s="9">
        <v>0.2</v>
      </c>
      <c r="O1646" s="9">
        <v>0.2</v>
      </c>
      <c r="P1646" s="10">
        <v>45272.0</v>
      </c>
      <c r="Q1646" s="11">
        <v>3.2</v>
      </c>
      <c r="R1646" s="8" t="s">
        <v>25</v>
      </c>
      <c r="S1646" s="12">
        <f t="shared" si="1"/>
        <v>-0.2</v>
      </c>
      <c r="T1646" s="12">
        <f t="shared" si="8"/>
        <v>50.32565209</v>
      </c>
      <c r="U1646" s="145"/>
    </row>
    <row r="1647">
      <c r="A1647" s="29"/>
      <c r="B1647" s="29"/>
      <c r="C1647" s="15" t="s">
        <v>19</v>
      </c>
      <c r="D1647" s="15">
        <v>28.0</v>
      </c>
      <c r="E1647" s="15" t="s">
        <v>4106</v>
      </c>
      <c r="F1647" s="15" t="s">
        <v>1479</v>
      </c>
      <c r="G1647" s="15" t="s">
        <v>2660</v>
      </c>
      <c r="H1647" s="15">
        <v>0.0</v>
      </c>
      <c r="I1647" s="15" t="s">
        <v>106</v>
      </c>
      <c r="J1647" s="15" t="s">
        <v>22</v>
      </c>
      <c r="K1647" s="15" t="s">
        <v>1150</v>
      </c>
      <c r="L1647" s="15" t="s">
        <v>24</v>
      </c>
      <c r="M1647" s="16">
        <v>0.0</v>
      </c>
      <c r="N1647" s="16">
        <v>0.5</v>
      </c>
      <c r="O1647" s="16">
        <v>0.5</v>
      </c>
      <c r="P1647" s="17">
        <v>45272.0</v>
      </c>
      <c r="Q1647" s="18">
        <v>1.75</v>
      </c>
      <c r="R1647" s="15" t="s">
        <v>70</v>
      </c>
      <c r="S1647" s="19">
        <f t="shared" si="1"/>
        <v>0</v>
      </c>
      <c r="T1647" s="19">
        <f t="shared" si="8"/>
        <v>50.32565209</v>
      </c>
      <c r="U1647" s="144"/>
    </row>
    <row r="1648">
      <c r="A1648" s="107"/>
      <c r="B1648" s="107"/>
      <c r="C1648" s="8" t="s">
        <v>19</v>
      </c>
      <c r="D1648" s="8">
        <v>30.0</v>
      </c>
      <c r="E1648" s="8" t="s">
        <v>4107</v>
      </c>
      <c r="F1648" s="8" t="s">
        <v>1479</v>
      </c>
      <c r="G1648" s="8" t="s">
        <v>2660</v>
      </c>
      <c r="H1648" s="8">
        <v>0.0</v>
      </c>
      <c r="I1648" s="8" t="s">
        <v>106</v>
      </c>
      <c r="J1648" s="8" t="s">
        <v>22</v>
      </c>
      <c r="K1648" s="8" t="s">
        <v>892</v>
      </c>
      <c r="L1648" s="8" t="s">
        <v>24</v>
      </c>
      <c r="M1648" s="9">
        <v>0.0</v>
      </c>
      <c r="N1648" s="9">
        <v>0.5</v>
      </c>
      <c r="O1648" s="9">
        <v>0.5</v>
      </c>
      <c r="P1648" s="10">
        <v>45272.0</v>
      </c>
      <c r="Q1648" s="11">
        <v>1.7</v>
      </c>
      <c r="R1648" s="8" t="s">
        <v>70</v>
      </c>
      <c r="S1648" s="12">
        <f t="shared" si="1"/>
        <v>0</v>
      </c>
      <c r="T1648" s="12">
        <f t="shared" si="8"/>
        <v>50.32565209</v>
      </c>
      <c r="U1648" s="145"/>
    </row>
    <row r="1649">
      <c r="A1649" s="29"/>
      <c r="B1649" s="29"/>
      <c r="C1649" s="15" t="s">
        <v>19</v>
      </c>
      <c r="D1649" s="15">
        <v>0.0</v>
      </c>
      <c r="E1649" s="15" t="s">
        <v>4108</v>
      </c>
      <c r="F1649" s="15"/>
      <c r="G1649" s="15"/>
      <c r="H1649" s="15"/>
      <c r="I1649" s="15" t="s">
        <v>1961</v>
      </c>
      <c r="J1649" s="15" t="s">
        <v>598</v>
      </c>
      <c r="K1649" s="15" t="s">
        <v>440</v>
      </c>
      <c r="L1649" s="15" t="s">
        <v>39</v>
      </c>
      <c r="M1649" s="16">
        <v>2.75</v>
      </c>
      <c r="N1649" s="16">
        <v>0.15</v>
      </c>
      <c r="O1649" s="16">
        <v>0.15</v>
      </c>
      <c r="P1649" s="17">
        <v>45272.0</v>
      </c>
      <c r="Q1649" s="18">
        <v>1.86</v>
      </c>
      <c r="R1649" s="15" t="s">
        <v>25</v>
      </c>
      <c r="S1649" s="19">
        <f t="shared" si="1"/>
        <v>-0.15</v>
      </c>
      <c r="T1649" s="19">
        <f t="shared" si="8"/>
        <v>50.17565209</v>
      </c>
      <c r="U1649" s="144"/>
    </row>
    <row r="1650">
      <c r="A1650" s="107"/>
      <c r="B1650" s="107"/>
      <c r="C1650" s="8" t="s">
        <v>19</v>
      </c>
      <c r="D1650" s="8">
        <v>65.0</v>
      </c>
      <c r="E1650" s="8" t="s">
        <v>4109</v>
      </c>
      <c r="F1650" s="8" t="s">
        <v>1479</v>
      </c>
      <c r="G1650" s="8" t="s">
        <v>2660</v>
      </c>
      <c r="H1650" s="8">
        <v>0.0</v>
      </c>
      <c r="I1650" s="8" t="s">
        <v>248</v>
      </c>
      <c r="J1650" s="8" t="s">
        <v>22</v>
      </c>
      <c r="K1650" s="8" t="s">
        <v>892</v>
      </c>
      <c r="L1650" s="8" t="s">
        <v>24</v>
      </c>
      <c r="M1650" s="9">
        <v>0.0</v>
      </c>
      <c r="N1650" s="9">
        <v>0.4</v>
      </c>
      <c r="O1650" s="9">
        <v>0.4</v>
      </c>
      <c r="P1650" s="10">
        <v>45272.0</v>
      </c>
      <c r="Q1650" s="11">
        <v>2.05</v>
      </c>
      <c r="R1650" s="8" t="s">
        <v>25</v>
      </c>
      <c r="S1650" s="12">
        <f t="shared" si="1"/>
        <v>-0.4</v>
      </c>
      <c r="T1650" s="12">
        <f t="shared" si="8"/>
        <v>49.77565209</v>
      </c>
      <c r="U1650" s="145"/>
    </row>
    <row r="1651">
      <c r="A1651" s="29"/>
      <c r="B1651" s="29"/>
      <c r="C1651" s="15" t="s">
        <v>40</v>
      </c>
      <c r="D1651" s="15">
        <v>65.0</v>
      </c>
      <c r="E1651" s="15" t="s">
        <v>4110</v>
      </c>
      <c r="F1651" s="15" t="s">
        <v>1473</v>
      </c>
      <c r="G1651" s="15" t="s">
        <v>2556</v>
      </c>
      <c r="H1651" s="15">
        <v>-1.0</v>
      </c>
      <c r="I1651" s="15" t="s">
        <v>42</v>
      </c>
      <c r="J1651" s="15" t="s">
        <v>22</v>
      </c>
      <c r="K1651" s="15" t="s">
        <v>225</v>
      </c>
      <c r="L1651" s="15" t="s">
        <v>24</v>
      </c>
      <c r="M1651" s="16">
        <v>0.5</v>
      </c>
      <c r="N1651" s="16">
        <v>0.6</v>
      </c>
      <c r="O1651" s="16">
        <v>0.6</v>
      </c>
      <c r="P1651" s="17">
        <v>45273.0</v>
      </c>
      <c r="Q1651" s="18">
        <v>1.725</v>
      </c>
      <c r="R1651" s="15" t="s">
        <v>33</v>
      </c>
      <c r="S1651" s="19">
        <f t="shared" si="1"/>
        <v>0.435</v>
      </c>
      <c r="T1651" s="19">
        <f t="shared" si="8"/>
        <v>50.21065209</v>
      </c>
      <c r="U1651" s="144"/>
    </row>
    <row r="1652">
      <c r="A1652" s="107"/>
      <c r="B1652" s="107"/>
      <c r="C1652" s="8" t="s">
        <v>40</v>
      </c>
      <c r="D1652" s="8">
        <v>65.0</v>
      </c>
      <c r="E1652" s="8" t="s">
        <v>4111</v>
      </c>
      <c r="F1652" s="8" t="s">
        <v>1473</v>
      </c>
      <c r="G1652" s="8" t="s">
        <v>2556</v>
      </c>
      <c r="H1652" s="8">
        <v>-1.0</v>
      </c>
      <c r="I1652" s="8" t="s">
        <v>42</v>
      </c>
      <c r="J1652" s="8" t="s">
        <v>22</v>
      </c>
      <c r="K1652" s="8" t="s">
        <v>225</v>
      </c>
      <c r="L1652" s="8" t="s">
        <v>24</v>
      </c>
      <c r="M1652" s="9">
        <v>0.25</v>
      </c>
      <c r="N1652" s="9">
        <v>0.4</v>
      </c>
      <c r="O1652" s="9">
        <v>0.4</v>
      </c>
      <c r="P1652" s="10">
        <v>45273.0</v>
      </c>
      <c r="Q1652" s="11">
        <v>2.0</v>
      </c>
      <c r="R1652" s="8" t="s">
        <v>996</v>
      </c>
      <c r="S1652" s="12">
        <f t="shared" si="1"/>
        <v>0.2</v>
      </c>
      <c r="T1652" s="12">
        <f t="shared" si="8"/>
        <v>50.41065209</v>
      </c>
      <c r="U1652" s="145"/>
    </row>
    <row r="1653">
      <c r="A1653" s="29"/>
      <c r="B1653" s="29"/>
      <c r="C1653" s="15" t="s">
        <v>19</v>
      </c>
      <c r="D1653" s="15">
        <v>17.0</v>
      </c>
      <c r="E1653" s="15" t="s">
        <v>4112</v>
      </c>
      <c r="F1653" s="15" t="s">
        <v>1479</v>
      </c>
      <c r="G1653" s="15" t="s">
        <v>2573</v>
      </c>
      <c r="H1653" s="15">
        <v>0.0</v>
      </c>
      <c r="I1653" s="15" t="s">
        <v>196</v>
      </c>
      <c r="J1653" s="15" t="s">
        <v>22</v>
      </c>
      <c r="K1653" s="15" t="s">
        <v>894</v>
      </c>
      <c r="L1653" s="15" t="s">
        <v>24</v>
      </c>
      <c r="M1653" s="16">
        <v>-0.25</v>
      </c>
      <c r="N1653" s="16">
        <v>0.5</v>
      </c>
      <c r="O1653" s="16">
        <v>0.5</v>
      </c>
      <c r="P1653" s="17">
        <v>45273.0</v>
      </c>
      <c r="Q1653" s="18">
        <v>1.8</v>
      </c>
      <c r="R1653" s="15" t="s">
        <v>33</v>
      </c>
      <c r="S1653" s="19">
        <f t="shared" si="1"/>
        <v>0.4</v>
      </c>
      <c r="T1653" s="19">
        <f t="shared" si="8"/>
        <v>50.81065209</v>
      </c>
      <c r="U1653" s="144"/>
    </row>
    <row r="1654">
      <c r="A1654" s="107"/>
      <c r="B1654" s="107"/>
      <c r="C1654" s="8" t="s">
        <v>19</v>
      </c>
      <c r="D1654" s="8">
        <v>0.0</v>
      </c>
      <c r="E1654" s="8" t="s">
        <v>4113</v>
      </c>
      <c r="F1654" s="8" t="s">
        <v>1473</v>
      </c>
      <c r="G1654" s="8" t="s">
        <v>2660</v>
      </c>
      <c r="H1654" s="8">
        <v>0.0</v>
      </c>
      <c r="I1654" s="8" t="s">
        <v>873</v>
      </c>
      <c r="J1654" s="8" t="s">
        <v>598</v>
      </c>
      <c r="K1654" s="8" t="s">
        <v>892</v>
      </c>
      <c r="L1654" s="8" t="s">
        <v>39</v>
      </c>
      <c r="M1654" s="9">
        <v>0.0</v>
      </c>
      <c r="N1654" s="9">
        <v>0.1</v>
      </c>
      <c r="O1654" s="9">
        <v>0.1</v>
      </c>
      <c r="P1654" s="10">
        <v>45273.0</v>
      </c>
      <c r="Q1654" s="11">
        <v>1.75</v>
      </c>
      <c r="R1654" s="8" t="s">
        <v>70</v>
      </c>
      <c r="S1654" s="12">
        <f t="shared" si="1"/>
        <v>0</v>
      </c>
      <c r="T1654" s="12">
        <f t="shared" si="8"/>
        <v>50.81065209</v>
      </c>
      <c r="U1654" s="145"/>
    </row>
    <row r="1655">
      <c r="A1655" s="29"/>
      <c r="B1655" s="29"/>
      <c r="C1655" s="15" t="s">
        <v>40</v>
      </c>
      <c r="D1655" s="15">
        <v>80.0</v>
      </c>
      <c r="E1655" s="15" t="s">
        <v>4114</v>
      </c>
      <c r="F1655" s="15" t="s">
        <v>1479</v>
      </c>
      <c r="G1655" s="15" t="s">
        <v>2660</v>
      </c>
      <c r="H1655" s="15">
        <v>-1.0</v>
      </c>
      <c r="I1655" s="15" t="s">
        <v>191</v>
      </c>
      <c r="J1655" s="15" t="s">
        <v>22</v>
      </c>
      <c r="K1655" s="15" t="s">
        <v>892</v>
      </c>
      <c r="L1655" s="15" t="s">
        <v>24</v>
      </c>
      <c r="M1655" s="16">
        <v>0.0</v>
      </c>
      <c r="N1655" s="16">
        <v>0.5</v>
      </c>
      <c r="O1655" s="16">
        <v>0.5</v>
      </c>
      <c r="P1655" s="17">
        <v>45273.0</v>
      </c>
      <c r="Q1655" s="18">
        <v>1.625</v>
      </c>
      <c r="R1655" s="15" t="s">
        <v>33</v>
      </c>
      <c r="S1655" s="19">
        <f t="shared" si="1"/>
        <v>0.3125</v>
      </c>
      <c r="T1655" s="19">
        <f t="shared" si="8"/>
        <v>51.12315209</v>
      </c>
      <c r="U1655" s="144"/>
    </row>
    <row r="1656">
      <c r="A1656" s="107"/>
      <c r="B1656" s="107"/>
      <c r="C1656" s="8" t="s">
        <v>40</v>
      </c>
      <c r="D1656" s="8">
        <v>10.0</v>
      </c>
      <c r="E1656" s="8" t="s">
        <v>4115</v>
      </c>
      <c r="F1656" s="8" t="s">
        <v>1473</v>
      </c>
      <c r="G1656" s="8" t="s">
        <v>2556</v>
      </c>
      <c r="H1656" s="8">
        <v>0.0</v>
      </c>
      <c r="I1656" s="8" t="s">
        <v>82</v>
      </c>
      <c r="J1656" s="8" t="s">
        <v>22</v>
      </c>
      <c r="K1656" s="8" t="s">
        <v>225</v>
      </c>
      <c r="L1656" s="8" t="s">
        <v>24</v>
      </c>
      <c r="M1656" s="9">
        <v>0.5</v>
      </c>
      <c r="N1656" s="9">
        <v>1.0</v>
      </c>
      <c r="O1656" s="9">
        <v>1.0</v>
      </c>
      <c r="P1656" s="54">
        <v>45273.0</v>
      </c>
      <c r="Q1656" s="11">
        <v>1.54</v>
      </c>
      <c r="R1656" s="8" t="s">
        <v>33</v>
      </c>
      <c r="S1656" s="12">
        <f t="shared" si="1"/>
        <v>0.54</v>
      </c>
      <c r="T1656" s="12">
        <f t="shared" si="8"/>
        <v>51.66315209</v>
      </c>
      <c r="U1656" s="145"/>
    </row>
    <row r="1657">
      <c r="A1657" s="29"/>
      <c r="B1657" s="29"/>
      <c r="C1657" s="15" t="s">
        <v>19</v>
      </c>
      <c r="D1657" s="139">
        <v>77.0</v>
      </c>
      <c r="E1657" s="15" t="s">
        <v>4116</v>
      </c>
      <c r="F1657" s="15" t="s">
        <v>1473</v>
      </c>
      <c r="G1657" s="15" t="s">
        <v>2660</v>
      </c>
      <c r="H1657" s="15">
        <v>-1.0</v>
      </c>
      <c r="I1657" s="15" t="s">
        <v>1460</v>
      </c>
      <c r="J1657" s="15" t="s">
        <v>22</v>
      </c>
      <c r="K1657" s="15" t="s">
        <v>892</v>
      </c>
      <c r="L1657" s="15" t="s">
        <v>24</v>
      </c>
      <c r="M1657" s="16">
        <v>0.0</v>
      </c>
      <c r="N1657" s="16">
        <v>0.6</v>
      </c>
      <c r="O1657" s="16">
        <v>0.6</v>
      </c>
      <c r="P1657" s="17">
        <v>45273.0</v>
      </c>
      <c r="Q1657" s="18">
        <v>1.7</v>
      </c>
      <c r="R1657" s="15" t="s">
        <v>70</v>
      </c>
      <c r="S1657" s="19">
        <f t="shared" si="1"/>
        <v>0</v>
      </c>
      <c r="T1657" s="19">
        <f t="shared" si="8"/>
        <v>51.66315209</v>
      </c>
      <c r="U1657" s="144"/>
    </row>
    <row r="1658">
      <c r="A1658" s="107"/>
      <c r="B1658" s="107"/>
      <c r="C1658" s="8" t="s">
        <v>19</v>
      </c>
      <c r="D1658" s="8">
        <v>77.0</v>
      </c>
      <c r="E1658" s="8" t="s">
        <v>4117</v>
      </c>
      <c r="F1658" s="8" t="s">
        <v>1473</v>
      </c>
      <c r="G1658" s="8" t="s">
        <v>2660</v>
      </c>
      <c r="H1658" s="8">
        <v>-1.0</v>
      </c>
      <c r="I1658" s="8" t="s">
        <v>1031</v>
      </c>
      <c r="J1658" s="8" t="s">
        <v>22</v>
      </c>
      <c r="K1658" s="8" t="s">
        <v>892</v>
      </c>
      <c r="L1658" s="8" t="s">
        <v>24</v>
      </c>
      <c r="M1658" s="9">
        <v>0.0</v>
      </c>
      <c r="N1658" s="9">
        <v>0.5</v>
      </c>
      <c r="O1658" s="9">
        <v>0.5</v>
      </c>
      <c r="P1658" s="56">
        <v>45274.0</v>
      </c>
      <c r="Q1658" s="11">
        <v>1.95</v>
      </c>
      <c r="R1658" s="8" t="s">
        <v>70</v>
      </c>
      <c r="S1658" s="12">
        <f t="shared" si="1"/>
        <v>0</v>
      </c>
      <c r="T1658" s="12">
        <f t="shared" si="8"/>
        <v>51.66315209</v>
      </c>
      <c r="U1658" s="145"/>
    </row>
    <row r="1659">
      <c r="A1659" s="29"/>
      <c r="B1659" s="29"/>
      <c r="C1659" s="15" t="s">
        <v>19</v>
      </c>
      <c r="D1659" s="15">
        <v>25.0</v>
      </c>
      <c r="E1659" s="15" t="s">
        <v>4118</v>
      </c>
      <c r="F1659" s="15" t="s">
        <v>1473</v>
      </c>
      <c r="G1659" s="15" t="s">
        <v>2556</v>
      </c>
      <c r="H1659" s="15">
        <v>0.0</v>
      </c>
      <c r="I1659" s="15" t="s">
        <v>952</v>
      </c>
      <c r="J1659" s="15" t="s">
        <v>22</v>
      </c>
      <c r="K1659" s="15" t="s">
        <v>225</v>
      </c>
      <c r="L1659" s="15" t="s">
        <v>24</v>
      </c>
      <c r="M1659" s="16">
        <v>0.25</v>
      </c>
      <c r="N1659" s="16">
        <v>0.4</v>
      </c>
      <c r="O1659" s="16">
        <v>0.4</v>
      </c>
      <c r="P1659" s="57">
        <v>45274.0</v>
      </c>
      <c r="Q1659" s="18">
        <v>1.95</v>
      </c>
      <c r="R1659" s="15" t="s">
        <v>70</v>
      </c>
      <c r="S1659" s="19">
        <f t="shared" si="1"/>
        <v>0</v>
      </c>
      <c r="T1659" s="19">
        <f t="shared" si="8"/>
        <v>51.66315209</v>
      </c>
      <c r="U1659" s="144"/>
    </row>
    <row r="1660">
      <c r="A1660" s="107"/>
      <c r="B1660" s="107"/>
      <c r="C1660" s="8" t="s">
        <v>19</v>
      </c>
      <c r="D1660" s="8">
        <v>0.0</v>
      </c>
      <c r="E1660" s="8" t="s">
        <v>4119</v>
      </c>
      <c r="F1660" s="8" t="s">
        <v>1473</v>
      </c>
      <c r="G1660" s="8" t="s">
        <v>2556</v>
      </c>
      <c r="H1660" s="8">
        <v>0.0</v>
      </c>
      <c r="I1660" s="8" t="s">
        <v>1961</v>
      </c>
      <c r="J1660" s="8" t="s">
        <v>598</v>
      </c>
      <c r="K1660" s="8" t="s">
        <v>225</v>
      </c>
      <c r="L1660" s="8" t="s">
        <v>39</v>
      </c>
      <c r="M1660" s="9">
        <v>1.5</v>
      </c>
      <c r="N1660" s="9">
        <v>0.1</v>
      </c>
      <c r="O1660" s="9">
        <v>0.047</v>
      </c>
      <c r="P1660" s="10">
        <v>45274.0</v>
      </c>
      <c r="Q1660" s="11">
        <v>1.86</v>
      </c>
      <c r="R1660" s="8" t="s">
        <v>25</v>
      </c>
      <c r="S1660" s="12">
        <f t="shared" si="1"/>
        <v>-0.047</v>
      </c>
      <c r="T1660" s="12">
        <f t="shared" si="8"/>
        <v>51.61615209</v>
      </c>
      <c r="U1660" s="145"/>
    </row>
    <row r="1661">
      <c r="A1661" s="29"/>
      <c r="B1661" s="29"/>
      <c r="C1661" s="15" t="s">
        <v>19</v>
      </c>
      <c r="D1661" s="15">
        <v>66.0</v>
      </c>
      <c r="E1661" s="15" t="s">
        <v>4120</v>
      </c>
      <c r="F1661" s="15"/>
      <c r="G1661" s="15"/>
      <c r="H1661" s="15"/>
      <c r="I1661" s="15" t="s">
        <v>248</v>
      </c>
      <c r="J1661" s="15" t="s">
        <v>22</v>
      </c>
      <c r="K1661" s="15" t="s">
        <v>440</v>
      </c>
      <c r="L1661" s="15" t="s">
        <v>24</v>
      </c>
      <c r="M1661" s="16">
        <v>0.5</v>
      </c>
      <c r="N1661" s="16">
        <v>0.1</v>
      </c>
      <c r="O1661" s="16">
        <v>0.1</v>
      </c>
      <c r="P1661" s="17">
        <v>45274.0</v>
      </c>
      <c r="Q1661" s="18">
        <v>1.775</v>
      </c>
      <c r="R1661" s="15" t="s">
        <v>33</v>
      </c>
      <c r="S1661" s="19">
        <f t="shared" si="1"/>
        <v>0.0775</v>
      </c>
      <c r="T1661" s="19">
        <f t="shared" si="8"/>
        <v>51.69365209</v>
      </c>
      <c r="U1661" s="144"/>
    </row>
    <row r="1662">
      <c r="A1662" s="107"/>
      <c r="B1662" s="107"/>
      <c r="C1662" s="8" t="s">
        <v>19</v>
      </c>
      <c r="D1662" s="8">
        <v>0.0</v>
      </c>
      <c r="E1662" s="8" t="s">
        <v>4121</v>
      </c>
      <c r="F1662" s="8" t="s">
        <v>1479</v>
      </c>
      <c r="G1662" s="8" t="s">
        <v>2573</v>
      </c>
      <c r="H1662" s="8">
        <v>0.0</v>
      </c>
      <c r="I1662" s="8" t="s">
        <v>913</v>
      </c>
      <c r="J1662" s="8" t="s">
        <v>598</v>
      </c>
      <c r="K1662" s="8" t="s">
        <v>3714</v>
      </c>
      <c r="L1662" s="8" t="s">
        <v>39</v>
      </c>
      <c r="M1662" s="9">
        <v>-0.5</v>
      </c>
      <c r="N1662" s="9">
        <v>0.1</v>
      </c>
      <c r="O1662" s="9">
        <v>0.1</v>
      </c>
      <c r="P1662" s="10">
        <v>45275.0</v>
      </c>
      <c r="Q1662" s="11">
        <v>1.825</v>
      </c>
      <c r="R1662" s="8" t="s">
        <v>25</v>
      </c>
      <c r="S1662" s="12">
        <f t="shared" si="1"/>
        <v>-0.1</v>
      </c>
      <c r="T1662" s="12">
        <f t="shared" si="8"/>
        <v>51.59365209</v>
      </c>
      <c r="U1662" s="145"/>
    </row>
    <row r="1663">
      <c r="A1663" s="29"/>
      <c r="B1663" s="29"/>
      <c r="C1663" s="15" t="s">
        <v>19</v>
      </c>
      <c r="D1663" s="15">
        <v>50.0</v>
      </c>
      <c r="E1663" s="15" t="s">
        <v>4122</v>
      </c>
      <c r="F1663" s="15" t="s">
        <v>1479</v>
      </c>
      <c r="G1663" s="15" t="s">
        <v>2573</v>
      </c>
      <c r="H1663" s="15">
        <f>1</f>
        <v>1</v>
      </c>
      <c r="I1663" s="15" t="s">
        <v>612</v>
      </c>
      <c r="J1663" s="15" t="s">
        <v>22</v>
      </c>
      <c r="K1663" s="15" t="s">
        <v>894</v>
      </c>
      <c r="L1663" s="15" t="s">
        <v>24</v>
      </c>
      <c r="M1663" s="16">
        <v>-0.5</v>
      </c>
      <c r="N1663" s="16">
        <v>0.1</v>
      </c>
      <c r="O1663" s="16">
        <v>0.1</v>
      </c>
      <c r="P1663" s="17">
        <v>45275.0</v>
      </c>
      <c r="Q1663" s="18">
        <v>1.775</v>
      </c>
      <c r="R1663" s="15" t="s">
        <v>33</v>
      </c>
      <c r="S1663" s="19">
        <f t="shared" si="1"/>
        <v>0.0775</v>
      </c>
      <c r="T1663" s="19">
        <f t="shared" si="8"/>
        <v>51.67115209</v>
      </c>
      <c r="U1663" s="144"/>
    </row>
    <row r="1664">
      <c r="A1664" s="107"/>
      <c r="B1664" s="107"/>
      <c r="C1664" s="8" t="s">
        <v>19</v>
      </c>
      <c r="D1664" s="8">
        <v>30.0</v>
      </c>
      <c r="E1664" s="8" t="s">
        <v>4123</v>
      </c>
      <c r="F1664" s="8" t="s">
        <v>1473</v>
      </c>
      <c r="G1664" s="8" t="s">
        <v>2556</v>
      </c>
      <c r="H1664" s="8">
        <v>0.0</v>
      </c>
      <c r="I1664" s="8" t="s">
        <v>38</v>
      </c>
      <c r="J1664" s="8" t="s">
        <v>22</v>
      </c>
      <c r="K1664" s="8" t="s">
        <v>225</v>
      </c>
      <c r="L1664" s="8" t="s">
        <v>39</v>
      </c>
      <c r="M1664" s="9">
        <v>0.5</v>
      </c>
      <c r="N1664" s="9">
        <v>0.1</v>
      </c>
      <c r="O1664" s="9">
        <v>0.1</v>
      </c>
      <c r="P1664" s="10">
        <v>45275.0</v>
      </c>
      <c r="Q1664" s="11">
        <v>1.05</v>
      </c>
      <c r="R1664" s="8" t="s">
        <v>33</v>
      </c>
      <c r="S1664" s="12">
        <f t="shared" si="1"/>
        <v>0.005</v>
      </c>
      <c r="T1664" s="12">
        <f t="shared" si="8"/>
        <v>51.67615209</v>
      </c>
      <c r="U1664" s="145"/>
    </row>
    <row r="1665">
      <c r="A1665" s="29"/>
      <c r="B1665" s="29"/>
      <c r="C1665" s="15" t="s">
        <v>19</v>
      </c>
      <c r="D1665" s="15">
        <v>60.0</v>
      </c>
      <c r="E1665" s="15" t="s">
        <v>4124</v>
      </c>
      <c r="F1665" s="15" t="s">
        <v>1479</v>
      </c>
      <c r="G1665" s="15" t="s">
        <v>2660</v>
      </c>
      <c r="H1665" s="15">
        <v>0.0</v>
      </c>
      <c r="I1665" s="15" t="s">
        <v>167</v>
      </c>
      <c r="J1665" s="15" t="s">
        <v>22</v>
      </c>
      <c r="K1665" s="15" t="s">
        <v>892</v>
      </c>
      <c r="L1665" s="15" t="s">
        <v>24</v>
      </c>
      <c r="M1665" s="16">
        <v>0.0</v>
      </c>
      <c r="N1665" s="16">
        <v>0.6</v>
      </c>
      <c r="O1665" s="16">
        <v>0.6</v>
      </c>
      <c r="P1665" s="17">
        <v>45275.0</v>
      </c>
      <c r="Q1665" s="18">
        <v>1.95</v>
      </c>
      <c r="R1665" s="15" t="s">
        <v>33</v>
      </c>
      <c r="S1665" s="19">
        <f t="shared" si="1"/>
        <v>0.57</v>
      </c>
      <c r="T1665" s="19">
        <f t="shared" si="8"/>
        <v>52.24615209</v>
      </c>
      <c r="U1665" s="144"/>
    </row>
    <row r="1666">
      <c r="A1666" s="107"/>
      <c r="B1666" s="107"/>
      <c r="C1666" s="8" t="s">
        <v>19</v>
      </c>
      <c r="D1666" s="8">
        <v>62.0</v>
      </c>
      <c r="E1666" s="8" t="s">
        <v>4125</v>
      </c>
      <c r="F1666" s="8"/>
      <c r="G1666" s="8"/>
      <c r="H1666" s="8"/>
      <c r="I1666" s="8" t="s">
        <v>167</v>
      </c>
      <c r="J1666" s="8" t="s">
        <v>22</v>
      </c>
      <c r="K1666" s="8" t="s">
        <v>440</v>
      </c>
      <c r="L1666" s="8" t="s">
        <v>24</v>
      </c>
      <c r="M1666" s="9">
        <v>0.5</v>
      </c>
      <c r="N1666" s="9">
        <v>0.1</v>
      </c>
      <c r="O1666" s="9">
        <v>0.1</v>
      </c>
      <c r="P1666" s="10">
        <v>45275.0</v>
      </c>
      <c r="Q1666" s="11">
        <v>1.775</v>
      </c>
      <c r="R1666" s="8" t="s">
        <v>33</v>
      </c>
      <c r="S1666" s="12">
        <f t="shared" si="1"/>
        <v>0.0775</v>
      </c>
      <c r="T1666" s="12">
        <f t="shared" si="8"/>
        <v>52.32365209</v>
      </c>
      <c r="U1666" s="145"/>
    </row>
    <row r="1667">
      <c r="A1667" s="29"/>
      <c r="B1667" s="29"/>
      <c r="C1667" s="15" t="s">
        <v>19</v>
      </c>
      <c r="D1667" s="15">
        <v>72.0</v>
      </c>
      <c r="E1667" s="15" t="s">
        <v>4126</v>
      </c>
      <c r="F1667" s="15" t="s">
        <v>1479</v>
      </c>
      <c r="G1667" s="15" t="s">
        <v>2660</v>
      </c>
      <c r="H1667" s="15">
        <v>-1.0</v>
      </c>
      <c r="I1667" s="15" t="s">
        <v>1031</v>
      </c>
      <c r="J1667" s="15" t="s">
        <v>22</v>
      </c>
      <c r="K1667" s="15" t="s">
        <v>892</v>
      </c>
      <c r="L1667" s="15" t="s">
        <v>24</v>
      </c>
      <c r="M1667" s="16">
        <v>0.0</v>
      </c>
      <c r="N1667" s="16">
        <v>0.5</v>
      </c>
      <c r="O1667" s="16">
        <v>0.5</v>
      </c>
      <c r="P1667" s="17">
        <v>45275.0</v>
      </c>
      <c r="Q1667" s="18">
        <v>2.15</v>
      </c>
      <c r="R1667" s="15" t="s">
        <v>33</v>
      </c>
      <c r="S1667" s="19">
        <f t="shared" si="1"/>
        <v>0.575</v>
      </c>
      <c r="T1667" s="19">
        <f t="shared" si="8"/>
        <v>52.89865209</v>
      </c>
      <c r="U1667" s="144"/>
    </row>
    <row r="1668">
      <c r="A1668" s="107"/>
      <c r="B1668" s="107"/>
      <c r="C1668" s="8" t="s">
        <v>19</v>
      </c>
      <c r="D1668" s="8">
        <v>13.0</v>
      </c>
      <c r="E1668" s="8" t="s">
        <v>4127</v>
      </c>
      <c r="F1668" s="8" t="s">
        <v>1473</v>
      </c>
      <c r="G1668" s="8" t="s">
        <v>2660</v>
      </c>
      <c r="H1668" s="8">
        <v>0.0</v>
      </c>
      <c r="I1668" s="8" t="s">
        <v>794</v>
      </c>
      <c r="J1668" s="8" t="s">
        <v>22</v>
      </c>
      <c r="K1668" s="8" t="s">
        <v>892</v>
      </c>
      <c r="L1668" s="8" t="s">
        <v>39</v>
      </c>
      <c r="M1668" s="9">
        <v>0.0</v>
      </c>
      <c r="N1668" s="9">
        <v>0.1</v>
      </c>
      <c r="O1668" s="9">
        <v>0.1</v>
      </c>
      <c r="P1668" s="10">
        <v>45275.0</v>
      </c>
      <c r="Q1668" s="11">
        <v>1.82</v>
      </c>
      <c r="R1668" s="8" t="s">
        <v>33</v>
      </c>
      <c r="S1668" s="12">
        <f t="shared" si="1"/>
        <v>0.082</v>
      </c>
      <c r="T1668" s="12">
        <f t="shared" si="8"/>
        <v>52.98065209</v>
      </c>
      <c r="U1668" s="145"/>
    </row>
    <row r="1669">
      <c r="A1669" s="29"/>
      <c r="B1669" s="29"/>
      <c r="C1669" s="15" t="s">
        <v>19</v>
      </c>
      <c r="D1669" s="15">
        <v>78.0</v>
      </c>
      <c r="E1669" s="15" t="s">
        <v>4128</v>
      </c>
      <c r="F1669" s="15" t="s">
        <v>1479</v>
      </c>
      <c r="G1669" s="15" t="s">
        <v>2660</v>
      </c>
      <c r="H1669" s="15">
        <f>1</f>
        <v>1</v>
      </c>
      <c r="I1669" s="15" t="s">
        <v>124</v>
      </c>
      <c r="J1669" s="15" t="s">
        <v>22</v>
      </c>
      <c r="K1669" s="15" t="s">
        <v>892</v>
      </c>
      <c r="L1669" s="15" t="s">
        <v>24</v>
      </c>
      <c r="M1669" s="16">
        <v>0.0</v>
      </c>
      <c r="N1669" s="16">
        <v>0.5</v>
      </c>
      <c r="O1669" s="16">
        <v>0.5</v>
      </c>
      <c r="P1669" s="17">
        <v>45275.0</v>
      </c>
      <c r="Q1669" s="18">
        <v>1.95</v>
      </c>
      <c r="R1669" s="15" t="s">
        <v>70</v>
      </c>
      <c r="S1669" s="19">
        <f t="shared" si="1"/>
        <v>0</v>
      </c>
      <c r="T1669" s="19">
        <f t="shared" si="8"/>
        <v>52.98065209</v>
      </c>
      <c r="U1669" s="144"/>
    </row>
    <row r="1670">
      <c r="A1670" s="107"/>
      <c r="B1670" s="107"/>
      <c r="C1670" s="8" t="s">
        <v>19</v>
      </c>
      <c r="D1670" s="8">
        <v>66.0</v>
      </c>
      <c r="E1670" s="8" t="s">
        <v>4129</v>
      </c>
      <c r="F1670" s="8" t="s">
        <v>1479</v>
      </c>
      <c r="G1670" s="8" t="s">
        <v>2556</v>
      </c>
      <c r="H1670" s="8">
        <v>3</v>
      </c>
      <c r="I1670" s="8" t="s">
        <v>4130</v>
      </c>
      <c r="J1670" s="8" t="s">
        <v>22</v>
      </c>
      <c r="K1670" s="8" t="s">
        <v>225</v>
      </c>
      <c r="L1670" s="8" t="s">
        <v>39</v>
      </c>
      <c r="M1670" s="9">
        <v>0.25</v>
      </c>
      <c r="N1670" s="9">
        <v>0.1</v>
      </c>
      <c r="O1670" s="9">
        <v>0.1</v>
      </c>
      <c r="P1670" s="10">
        <v>45275.0</v>
      </c>
      <c r="Q1670" s="11">
        <v>2.0</v>
      </c>
      <c r="R1670" s="8" t="s">
        <v>25</v>
      </c>
      <c r="S1670" s="12">
        <f t="shared" si="1"/>
        <v>-0.1</v>
      </c>
      <c r="T1670" s="12">
        <f t="shared" si="8"/>
        <v>52.88065209</v>
      </c>
      <c r="U1670" s="145"/>
    </row>
    <row r="1671">
      <c r="A1671" s="29"/>
      <c r="B1671" s="29"/>
      <c r="C1671" s="15" t="s">
        <v>19</v>
      </c>
      <c r="D1671" s="15"/>
      <c r="E1671" s="15" t="s">
        <v>4131</v>
      </c>
      <c r="F1671" s="15" t="s">
        <v>1473</v>
      </c>
      <c r="G1671" s="15" t="s">
        <v>2660</v>
      </c>
      <c r="H1671" s="15">
        <v>-3.0</v>
      </c>
      <c r="I1671" s="15" t="s">
        <v>487</v>
      </c>
      <c r="J1671" s="15" t="s">
        <v>22</v>
      </c>
      <c r="K1671" s="15" t="s">
        <v>892</v>
      </c>
      <c r="L1671" s="15" t="s">
        <v>39</v>
      </c>
      <c r="M1671" s="16">
        <v>0.0</v>
      </c>
      <c r="N1671" s="16">
        <v>0.1</v>
      </c>
      <c r="O1671" s="16">
        <v>0.1</v>
      </c>
      <c r="P1671" s="17">
        <v>45276.0</v>
      </c>
      <c r="Q1671" s="18">
        <v>1.775</v>
      </c>
      <c r="R1671" s="15" t="s">
        <v>70</v>
      </c>
      <c r="S1671" s="19">
        <f t="shared" si="1"/>
        <v>0</v>
      </c>
      <c r="T1671" s="19">
        <f t="shared" si="8"/>
        <v>52.88065209</v>
      </c>
      <c r="U1671" s="144"/>
    </row>
    <row r="1672">
      <c r="A1672" s="107"/>
      <c r="B1672" s="107"/>
      <c r="C1672" s="8" t="s">
        <v>19</v>
      </c>
      <c r="D1672" s="8">
        <v>52.0</v>
      </c>
      <c r="E1672" s="8" t="s">
        <v>4132</v>
      </c>
      <c r="F1672" s="8" t="s">
        <v>1479</v>
      </c>
      <c r="G1672" s="8" t="s">
        <v>2556</v>
      </c>
      <c r="H1672" s="8">
        <v>-1.0</v>
      </c>
      <c r="I1672" s="8" t="s">
        <v>121</v>
      </c>
      <c r="J1672" s="8" t="s">
        <v>22</v>
      </c>
      <c r="K1672" s="8" t="s">
        <v>225</v>
      </c>
      <c r="L1672" s="8" t="s">
        <v>24</v>
      </c>
      <c r="M1672" s="9">
        <v>0.25</v>
      </c>
      <c r="N1672" s="9">
        <v>1.0</v>
      </c>
      <c r="O1672" s="9">
        <v>1.0</v>
      </c>
      <c r="P1672" s="10">
        <v>45276.0</v>
      </c>
      <c r="Q1672" s="11">
        <v>1.775</v>
      </c>
      <c r="R1672" s="8" t="s">
        <v>25</v>
      </c>
      <c r="S1672" s="12">
        <f t="shared" si="1"/>
        <v>-1</v>
      </c>
      <c r="T1672" s="12">
        <f t="shared" si="8"/>
        <v>51.88065209</v>
      </c>
      <c r="U1672" s="145"/>
    </row>
    <row r="1673">
      <c r="A1673" s="29"/>
      <c r="B1673" s="29"/>
      <c r="C1673" s="15" t="s">
        <v>19</v>
      </c>
      <c r="D1673" s="15">
        <v>54.0</v>
      </c>
      <c r="E1673" s="15" t="s">
        <v>4133</v>
      </c>
      <c r="F1673" s="15" t="s">
        <v>1473</v>
      </c>
      <c r="G1673" s="15" t="s">
        <v>2660</v>
      </c>
      <c r="H1673" s="15">
        <v>-1.0</v>
      </c>
      <c r="I1673" s="15" t="s">
        <v>88</v>
      </c>
      <c r="J1673" s="15" t="s">
        <v>22</v>
      </c>
      <c r="K1673" s="15" t="s">
        <v>892</v>
      </c>
      <c r="L1673" s="15" t="s">
        <v>24</v>
      </c>
      <c r="M1673" s="16">
        <v>0.0</v>
      </c>
      <c r="N1673" s="16">
        <v>1.0</v>
      </c>
      <c r="O1673" s="16">
        <v>1.0</v>
      </c>
      <c r="P1673" s="17">
        <v>45276.0</v>
      </c>
      <c r="Q1673" s="18">
        <v>1.825</v>
      </c>
      <c r="R1673" s="15" t="s">
        <v>33</v>
      </c>
      <c r="S1673" s="19">
        <f t="shared" si="1"/>
        <v>0.825</v>
      </c>
      <c r="T1673" s="19">
        <f t="shared" si="8"/>
        <v>52.70565209</v>
      </c>
      <c r="U1673" s="144"/>
    </row>
    <row r="1674">
      <c r="A1674" s="107"/>
      <c r="B1674" s="107"/>
      <c r="C1674" s="8" t="s">
        <v>40</v>
      </c>
      <c r="D1674" s="8">
        <v>65.0</v>
      </c>
      <c r="E1674" s="8" t="s">
        <v>4134</v>
      </c>
      <c r="F1674" s="8" t="s">
        <v>1479</v>
      </c>
      <c r="G1674" s="8" t="s">
        <v>2660</v>
      </c>
      <c r="H1674" s="8">
        <v>-2.0</v>
      </c>
      <c r="I1674" s="8" t="s">
        <v>93</v>
      </c>
      <c r="J1674" s="8" t="s">
        <v>22</v>
      </c>
      <c r="K1674" s="8" t="s">
        <v>892</v>
      </c>
      <c r="L1674" s="8" t="s">
        <v>39</v>
      </c>
      <c r="M1674" s="9">
        <v>0.0</v>
      </c>
      <c r="N1674" s="9">
        <v>0.5</v>
      </c>
      <c r="O1674" s="9">
        <v>0.5</v>
      </c>
      <c r="P1674" s="54">
        <v>45276.0</v>
      </c>
      <c r="Q1674" s="11">
        <v>2.0</v>
      </c>
      <c r="R1674" s="8" t="s">
        <v>33</v>
      </c>
      <c r="S1674" s="12">
        <f t="shared" si="1"/>
        <v>0.5</v>
      </c>
      <c r="T1674" s="12">
        <f t="shared" si="8"/>
        <v>53.20565209</v>
      </c>
      <c r="U1674" s="145"/>
    </row>
    <row r="1675">
      <c r="A1675" s="29"/>
      <c r="B1675" s="29"/>
      <c r="C1675" s="15" t="s">
        <v>19</v>
      </c>
      <c r="D1675" s="15">
        <v>72.0</v>
      </c>
      <c r="E1675" s="15" t="s">
        <v>4135</v>
      </c>
      <c r="F1675" s="15" t="s">
        <v>1479</v>
      </c>
      <c r="G1675" s="15" t="s">
        <v>2660</v>
      </c>
      <c r="H1675" s="15">
        <v>-2.0</v>
      </c>
      <c r="I1675" s="15" t="s">
        <v>115</v>
      </c>
      <c r="J1675" s="15" t="s">
        <v>22</v>
      </c>
      <c r="K1675" s="15" t="s">
        <v>892</v>
      </c>
      <c r="L1675" s="15" t="s">
        <v>24</v>
      </c>
      <c r="M1675" s="16">
        <v>0.0</v>
      </c>
      <c r="N1675" s="16">
        <v>1.0</v>
      </c>
      <c r="O1675" s="16">
        <v>1.0</v>
      </c>
      <c r="P1675" s="17">
        <v>45276.0</v>
      </c>
      <c r="Q1675" s="18">
        <v>1.75</v>
      </c>
      <c r="R1675" s="15" t="s">
        <v>70</v>
      </c>
      <c r="S1675" s="19">
        <f t="shared" si="1"/>
        <v>0</v>
      </c>
      <c r="T1675" s="19">
        <f t="shared" si="8"/>
        <v>53.20565209</v>
      </c>
      <c r="U1675" s="144"/>
    </row>
    <row r="1676">
      <c r="A1676" s="107"/>
      <c r="B1676" s="107"/>
      <c r="C1676" s="8" t="s">
        <v>19</v>
      </c>
      <c r="D1676" s="8">
        <v>34.0</v>
      </c>
      <c r="E1676" s="8" t="s">
        <v>4136</v>
      </c>
      <c r="F1676" s="8" t="s">
        <v>1473</v>
      </c>
      <c r="G1676" s="8" t="s">
        <v>2556</v>
      </c>
      <c r="H1676" s="8">
        <v>-2.0</v>
      </c>
      <c r="I1676" s="8" t="s">
        <v>121</v>
      </c>
      <c r="J1676" s="8" t="s">
        <v>22</v>
      </c>
      <c r="K1676" s="8" t="s">
        <v>225</v>
      </c>
      <c r="L1676" s="8" t="s">
        <v>24</v>
      </c>
      <c r="M1676" s="9">
        <v>0.5</v>
      </c>
      <c r="N1676" s="9">
        <v>1.0</v>
      </c>
      <c r="O1676" s="9">
        <v>1.0</v>
      </c>
      <c r="P1676" s="10">
        <v>45276.0</v>
      </c>
      <c r="Q1676" s="11">
        <f>600/500</f>
        <v>1.2</v>
      </c>
      <c r="R1676" s="8" t="s">
        <v>33</v>
      </c>
      <c r="S1676" s="12">
        <f t="shared" si="1"/>
        <v>0.2</v>
      </c>
      <c r="T1676" s="12">
        <f t="shared" si="8"/>
        <v>53.40565209</v>
      </c>
      <c r="U1676" s="145"/>
    </row>
    <row r="1677">
      <c r="A1677" s="29"/>
      <c r="B1677" s="29"/>
      <c r="C1677" s="15" t="s">
        <v>19</v>
      </c>
      <c r="D1677" s="15">
        <v>21.0</v>
      </c>
      <c r="E1677" s="15" t="s">
        <v>4137</v>
      </c>
      <c r="F1677" s="15" t="s">
        <v>1473</v>
      </c>
      <c r="G1677" s="15" t="s">
        <v>2660</v>
      </c>
      <c r="H1677" s="15">
        <v>0.0</v>
      </c>
      <c r="I1677" s="15" t="s">
        <v>66</v>
      </c>
      <c r="J1677" s="15" t="s">
        <v>22</v>
      </c>
      <c r="K1677" s="15" t="s">
        <v>892</v>
      </c>
      <c r="L1677" s="15" t="s">
        <v>39</v>
      </c>
      <c r="M1677" s="16">
        <v>0.0</v>
      </c>
      <c r="N1677" s="16">
        <v>0.1</v>
      </c>
      <c r="O1677" s="16">
        <v>0.1</v>
      </c>
      <c r="P1677" s="17">
        <v>45276.0</v>
      </c>
      <c r="Q1677" s="18">
        <v>1.825</v>
      </c>
      <c r="R1677" s="15" t="s">
        <v>25</v>
      </c>
      <c r="S1677" s="19">
        <f t="shared" si="1"/>
        <v>-0.1</v>
      </c>
      <c r="T1677" s="19">
        <f t="shared" si="8"/>
        <v>53.30565209</v>
      </c>
      <c r="U1677" s="144"/>
    </row>
    <row r="1678">
      <c r="A1678" s="107"/>
      <c r="B1678" s="107"/>
      <c r="C1678" s="8" t="s">
        <v>19</v>
      </c>
      <c r="D1678" s="8">
        <v>27.0</v>
      </c>
      <c r="E1678" s="8" t="s">
        <v>4138</v>
      </c>
      <c r="F1678" s="8" t="s">
        <v>1473</v>
      </c>
      <c r="G1678" s="8" t="s">
        <v>2660</v>
      </c>
      <c r="H1678" s="8">
        <v>0.0</v>
      </c>
      <c r="I1678" s="8" t="s">
        <v>873</v>
      </c>
      <c r="J1678" s="8" t="s">
        <v>22</v>
      </c>
      <c r="K1678" s="8" t="s">
        <v>892</v>
      </c>
      <c r="L1678" s="8" t="s">
        <v>24</v>
      </c>
      <c r="M1678" s="9">
        <v>0.0</v>
      </c>
      <c r="N1678" s="9">
        <v>0.5</v>
      </c>
      <c r="O1678" s="9">
        <v>0.5</v>
      </c>
      <c r="P1678" s="10">
        <v>45276.0</v>
      </c>
      <c r="Q1678" s="11">
        <v>1.7</v>
      </c>
      <c r="R1678" s="8" t="s">
        <v>33</v>
      </c>
      <c r="S1678" s="12">
        <f t="shared" si="1"/>
        <v>0.35</v>
      </c>
      <c r="T1678" s="12">
        <f t="shared" si="8"/>
        <v>53.65565209</v>
      </c>
      <c r="U1678" s="145"/>
    </row>
    <row r="1679">
      <c r="A1679" s="29"/>
      <c r="B1679" s="29"/>
      <c r="C1679" s="15" t="s">
        <v>19</v>
      </c>
      <c r="D1679" s="15">
        <v>59.0</v>
      </c>
      <c r="E1679" s="15" t="s">
        <v>4139</v>
      </c>
      <c r="F1679" s="15" t="s">
        <v>1473</v>
      </c>
      <c r="G1679" s="15" t="s">
        <v>2660</v>
      </c>
      <c r="H1679" s="15">
        <v>0.0</v>
      </c>
      <c r="I1679" s="15" t="s">
        <v>50</v>
      </c>
      <c r="J1679" s="15" t="s">
        <v>22</v>
      </c>
      <c r="K1679" s="15" t="s">
        <v>892</v>
      </c>
      <c r="L1679" s="15" t="s">
        <v>24</v>
      </c>
      <c r="M1679" s="16">
        <v>0.0</v>
      </c>
      <c r="N1679" s="16">
        <v>0.4</v>
      </c>
      <c r="O1679" s="16">
        <v>0.4</v>
      </c>
      <c r="P1679" s="17">
        <v>45276.0</v>
      </c>
      <c r="Q1679" s="18">
        <v>1.85</v>
      </c>
      <c r="R1679" s="15" t="s">
        <v>33</v>
      </c>
      <c r="S1679" s="19">
        <f t="shared" si="1"/>
        <v>0.34</v>
      </c>
      <c r="T1679" s="19">
        <f t="shared" si="8"/>
        <v>53.99565209</v>
      </c>
      <c r="U1679" s="144"/>
    </row>
    <row r="1680">
      <c r="A1680" s="107"/>
      <c r="B1680" s="107"/>
      <c r="C1680" s="8" t="s">
        <v>19</v>
      </c>
      <c r="D1680" s="8">
        <v>30.0</v>
      </c>
      <c r="E1680" s="8" t="s">
        <v>4140</v>
      </c>
      <c r="F1680" s="8" t="s">
        <v>1473</v>
      </c>
      <c r="G1680" s="8" t="s">
        <v>2660</v>
      </c>
      <c r="H1680" s="8">
        <v>0.0</v>
      </c>
      <c r="I1680" s="8" t="s">
        <v>66</v>
      </c>
      <c r="J1680" s="8" t="s">
        <v>22</v>
      </c>
      <c r="K1680" s="8" t="s">
        <v>892</v>
      </c>
      <c r="L1680" s="8" t="s">
        <v>24</v>
      </c>
      <c r="M1680" s="9">
        <v>0.0</v>
      </c>
      <c r="N1680" s="9">
        <v>1.0</v>
      </c>
      <c r="O1680" s="9">
        <v>1.0</v>
      </c>
      <c r="P1680" s="10">
        <v>45276.0</v>
      </c>
      <c r="Q1680" s="11">
        <v>1.22</v>
      </c>
      <c r="R1680" s="8" t="s">
        <v>33</v>
      </c>
      <c r="S1680" s="12">
        <f t="shared" si="1"/>
        <v>0.22</v>
      </c>
      <c r="T1680" s="12">
        <f t="shared" si="8"/>
        <v>54.21565209</v>
      </c>
      <c r="U1680" s="145"/>
    </row>
    <row r="1681">
      <c r="A1681" s="29"/>
      <c r="B1681" s="29"/>
      <c r="C1681" s="15" t="s">
        <v>19</v>
      </c>
      <c r="D1681" s="15">
        <v>53.0</v>
      </c>
      <c r="E1681" s="15" t="s">
        <v>4141</v>
      </c>
      <c r="F1681" s="15" t="s">
        <v>1473</v>
      </c>
      <c r="G1681" s="15" t="s">
        <v>2660</v>
      </c>
      <c r="H1681" s="15">
        <v>0.0</v>
      </c>
      <c r="I1681" s="15" t="s">
        <v>66</v>
      </c>
      <c r="J1681" s="15" t="s">
        <v>22</v>
      </c>
      <c r="K1681" s="15" t="s">
        <v>892</v>
      </c>
      <c r="L1681" s="15" t="s">
        <v>24</v>
      </c>
      <c r="M1681" s="16">
        <v>0.0</v>
      </c>
      <c r="N1681" s="16">
        <v>1.0</v>
      </c>
      <c r="O1681" s="16">
        <v>1.0</v>
      </c>
      <c r="P1681" s="17">
        <v>45276.0</v>
      </c>
      <c r="Q1681" s="18">
        <v>1.775</v>
      </c>
      <c r="R1681" s="15" t="s">
        <v>25</v>
      </c>
      <c r="S1681" s="19">
        <f t="shared" si="1"/>
        <v>-1</v>
      </c>
      <c r="T1681" s="19">
        <f t="shared" si="8"/>
        <v>53.21565209</v>
      </c>
      <c r="U1681" s="144"/>
    </row>
    <row r="1682">
      <c r="A1682" s="107"/>
      <c r="B1682" s="107"/>
      <c r="C1682" s="8" t="s">
        <v>19</v>
      </c>
      <c r="D1682" s="8">
        <v>55.0</v>
      </c>
      <c r="E1682" s="8" t="s">
        <v>4142</v>
      </c>
      <c r="F1682" s="8" t="s">
        <v>1473</v>
      </c>
      <c r="G1682" s="8" t="s">
        <v>2660</v>
      </c>
      <c r="H1682" s="8">
        <v>0.0</v>
      </c>
      <c r="I1682" s="8" t="s">
        <v>224</v>
      </c>
      <c r="J1682" s="8" t="s">
        <v>22</v>
      </c>
      <c r="K1682" s="8" t="s">
        <v>892</v>
      </c>
      <c r="L1682" s="8" t="s">
        <v>24</v>
      </c>
      <c r="M1682" s="9">
        <v>0.0</v>
      </c>
      <c r="N1682" s="9">
        <v>0.4</v>
      </c>
      <c r="O1682" s="9">
        <v>0.31</v>
      </c>
      <c r="P1682" s="10">
        <v>45276.0</v>
      </c>
      <c r="Q1682" s="11">
        <v>1.7</v>
      </c>
      <c r="R1682" s="8" t="s">
        <v>33</v>
      </c>
      <c r="S1682" s="12">
        <f t="shared" si="1"/>
        <v>0.217</v>
      </c>
      <c r="T1682" s="12">
        <f t="shared" si="8"/>
        <v>53.43265209</v>
      </c>
      <c r="U1682" s="145"/>
    </row>
    <row r="1683">
      <c r="A1683" s="29"/>
      <c r="B1683" s="29"/>
      <c r="C1683" s="15" t="s">
        <v>19</v>
      </c>
      <c r="D1683" s="15">
        <v>80.0</v>
      </c>
      <c r="E1683" s="15" t="s">
        <v>4143</v>
      </c>
      <c r="F1683" s="15" t="s">
        <v>1479</v>
      </c>
      <c r="G1683" s="15" t="s">
        <v>2660</v>
      </c>
      <c r="H1683" s="15">
        <v>-1.0</v>
      </c>
      <c r="I1683" s="15" t="s">
        <v>124</v>
      </c>
      <c r="J1683" s="15" t="s">
        <v>22</v>
      </c>
      <c r="K1683" s="15" t="s">
        <v>892</v>
      </c>
      <c r="L1683" s="15" t="s">
        <v>24</v>
      </c>
      <c r="M1683" s="16">
        <v>0.0</v>
      </c>
      <c r="N1683" s="16">
        <v>0.4</v>
      </c>
      <c r="O1683" s="16">
        <v>0.4</v>
      </c>
      <c r="P1683" s="17">
        <v>45276.0</v>
      </c>
      <c r="Q1683" s="18">
        <v>1.725</v>
      </c>
      <c r="R1683" s="15" t="s">
        <v>33</v>
      </c>
      <c r="S1683" s="19">
        <f t="shared" si="1"/>
        <v>0.29</v>
      </c>
      <c r="T1683" s="19">
        <f t="shared" si="8"/>
        <v>53.72265209</v>
      </c>
      <c r="U1683" s="144"/>
    </row>
    <row r="1684">
      <c r="A1684" s="107"/>
      <c r="B1684" s="107"/>
      <c r="C1684" s="8" t="s">
        <v>19</v>
      </c>
      <c r="D1684" s="8">
        <v>76.0</v>
      </c>
      <c r="E1684" s="8" t="s">
        <v>4144</v>
      </c>
      <c r="F1684" s="8" t="s">
        <v>1473</v>
      </c>
      <c r="G1684" s="8" t="s">
        <v>2660</v>
      </c>
      <c r="H1684" s="8">
        <v>-1.0</v>
      </c>
      <c r="I1684" s="8" t="s">
        <v>248</v>
      </c>
      <c r="J1684" s="8" t="s">
        <v>22</v>
      </c>
      <c r="K1684" s="8" t="s">
        <v>892</v>
      </c>
      <c r="L1684" s="8" t="s">
        <v>24</v>
      </c>
      <c r="M1684" s="9">
        <v>0.0</v>
      </c>
      <c r="N1684" s="9">
        <v>0.5</v>
      </c>
      <c r="O1684" s="9">
        <v>0.5</v>
      </c>
      <c r="P1684" s="10">
        <v>45276.0</v>
      </c>
      <c r="Q1684" s="11">
        <v>1.75</v>
      </c>
      <c r="R1684" s="8" t="s">
        <v>25</v>
      </c>
      <c r="S1684" s="12">
        <f t="shared" si="1"/>
        <v>-0.5</v>
      </c>
      <c r="T1684" s="12">
        <f t="shared" si="8"/>
        <v>53.22265209</v>
      </c>
      <c r="U1684" s="145"/>
    </row>
    <row r="1685">
      <c r="A1685" s="29"/>
      <c r="B1685" s="29"/>
      <c r="C1685" s="15" t="s">
        <v>19</v>
      </c>
      <c r="D1685" s="15">
        <v>78.0</v>
      </c>
      <c r="E1685" s="15" t="s">
        <v>4145</v>
      </c>
      <c r="F1685" s="15" t="s">
        <v>1479</v>
      </c>
      <c r="G1685" s="15" t="s">
        <v>2660</v>
      </c>
      <c r="H1685" s="15">
        <v>-1.0</v>
      </c>
      <c r="I1685" s="15" t="s">
        <v>88</v>
      </c>
      <c r="J1685" s="15" t="s">
        <v>22</v>
      </c>
      <c r="K1685" s="15" t="s">
        <v>892</v>
      </c>
      <c r="L1685" s="15" t="s">
        <v>24</v>
      </c>
      <c r="M1685" s="16">
        <v>0.0</v>
      </c>
      <c r="N1685" s="16">
        <v>1.0</v>
      </c>
      <c r="O1685" s="16">
        <v>1.0</v>
      </c>
      <c r="P1685" s="17">
        <v>45277.0</v>
      </c>
      <c r="Q1685" s="18">
        <v>2.0</v>
      </c>
      <c r="R1685" s="15" t="s">
        <v>33</v>
      </c>
      <c r="S1685" s="19">
        <f t="shared" si="1"/>
        <v>1</v>
      </c>
      <c r="T1685" s="19">
        <f t="shared" si="8"/>
        <v>54.22265209</v>
      </c>
      <c r="U1685" s="144"/>
    </row>
    <row r="1686">
      <c r="A1686" s="107"/>
      <c r="B1686" s="107"/>
      <c r="C1686" s="8" t="s">
        <v>19</v>
      </c>
      <c r="D1686" s="8">
        <v>29.0</v>
      </c>
      <c r="E1686" s="8" t="s">
        <v>4146</v>
      </c>
      <c r="F1686" s="8" t="s">
        <v>1473</v>
      </c>
      <c r="G1686" s="8" t="s">
        <v>2556</v>
      </c>
      <c r="H1686" s="8">
        <v>2</v>
      </c>
      <c r="I1686" s="8" t="s">
        <v>93</v>
      </c>
      <c r="J1686" s="8" t="s">
        <v>22</v>
      </c>
      <c r="K1686" s="8" t="s">
        <v>225</v>
      </c>
      <c r="L1686" s="8" t="s">
        <v>39</v>
      </c>
      <c r="M1686" s="9">
        <v>0.25</v>
      </c>
      <c r="N1686" s="9">
        <v>0.5</v>
      </c>
      <c r="O1686" s="9">
        <v>0.5</v>
      </c>
      <c r="P1686" s="10">
        <v>45277.0</v>
      </c>
      <c r="Q1686" s="11">
        <v>1.775</v>
      </c>
      <c r="R1686" s="8" t="s">
        <v>33</v>
      </c>
      <c r="S1686" s="12">
        <f t="shared" si="1"/>
        <v>0.3875</v>
      </c>
      <c r="T1686" s="12">
        <f t="shared" si="8"/>
        <v>54.61015209</v>
      </c>
      <c r="U1686" s="145"/>
    </row>
    <row r="1687">
      <c r="A1687" s="29"/>
      <c r="B1687" s="29"/>
      <c r="C1687" s="15" t="s">
        <v>19</v>
      </c>
      <c r="D1687" s="15">
        <v>28.0</v>
      </c>
      <c r="E1687" s="15" t="s">
        <v>4147</v>
      </c>
      <c r="F1687" s="15" t="s">
        <v>1479</v>
      </c>
      <c r="G1687" s="15" t="s">
        <v>2660</v>
      </c>
      <c r="H1687" s="15">
        <v>0.0</v>
      </c>
      <c r="I1687" s="15" t="s">
        <v>48</v>
      </c>
      <c r="J1687" s="15" t="s">
        <v>22</v>
      </c>
      <c r="K1687" s="15" t="s">
        <v>1150</v>
      </c>
      <c r="L1687" s="15" t="s">
        <v>39</v>
      </c>
      <c r="M1687" s="16">
        <v>0.0</v>
      </c>
      <c r="N1687" s="16">
        <v>0.5</v>
      </c>
      <c r="O1687" s="16">
        <v>0.5</v>
      </c>
      <c r="P1687" s="17">
        <v>45277.0</v>
      </c>
      <c r="Q1687" s="18">
        <v>1.85</v>
      </c>
      <c r="R1687" s="15" t="s">
        <v>70</v>
      </c>
      <c r="S1687" s="19">
        <f t="shared" si="1"/>
        <v>0</v>
      </c>
      <c r="T1687" s="19">
        <f t="shared" si="8"/>
        <v>54.61015209</v>
      </c>
      <c r="U1687" s="144"/>
    </row>
    <row r="1688">
      <c r="A1688" s="107"/>
      <c r="B1688" s="107"/>
      <c r="C1688" s="8" t="s">
        <v>19</v>
      </c>
      <c r="D1688" s="8">
        <v>11.0</v>
      </c>
      <c r="E1688" s="8" t="s">
        <v>4148</v>
      </c>
      <c r="F1688" s="8" t="s">
        <v>1473</v>
      </c>
      <c r="G1688" s="8" t="s">
        <v>2660</v>
      </c>
      <c r="H1688" s="8">
        <v>0.0</v>
      </c>
      <c r="I1688" s="8" t="s">
        <v>38</v>
      </c>
      <c r="J1688" s="8" t="s">
        <v>22</v>
      </c>
      <c r="K1688" s="8" t="s">
        <v>1150</v>
      </c>
      <c r="L1688" s="8" t="s">
        <v>39</v>
      </c>
      <c r="M1688" s="9">
        <v>0.0</v>
      </c>
      <c r="N1688" s="9">
        <v>0.5</v>
      </c>
      <c r="O1688" s="9">
        <v>0.5</v>
      </c>
      <c r="P1688" s="10">
        <v>45277.0</v>
      </c>
      <c r="Q1688" s="11">
        <v>1.725</v>
      </c>
      <c r="R1688" s="8" t="s">
        <v>70</v>
      </c>
      <c r="S1688" s="12">
        <f t="shared" si="1"/>
        <v>0</v>
      </c>
      <c r="T1688" s="12">
        <f t="shared" si="8"/>
        <v>54.61015209</v>
      </c>
      <c r="U1688" s="145"/>
    </row>
    <row r="1689">
      <c r="A1689" s="29"/>
      <c r="B1689" s="29"/>
      <c r="C1689" s="15" t="s">
        <v>19</v>
      </c>
      <c r="D1689" s="15">
        <v>25.0</v>
      </c>
      <c r="E1689" s="15" t="s">
        <v>4149</v>
      </c>
      <c r="F1689" s="15" t="s">
        <v>1479</v>
      </c>
      <c r="G1689" s="15" t="s">
        <v>2660</v>
      </c>
      <c r="H1689" s="15">
        <v>0.0</v>
      </c>
      <c r="I1689" s="15" t="s">
        <v>28</v>
      </c>
      <c r="J1689" s="15" t="s">
        <v>22</v>
      </c>
      <c r="K1689" s="15" t="s">
        <v>1150</v>
      </c>
      <c r="L1689" s="15" t="s">
        <v>24</v>
      </c>
      <c r="M1689" s="16">
        <v>0.0</v>
      </c>
      <c r="N1689" s="16">
        <v>0.25</v>
      </c>
      <c r="O1689" s="16">
        <v>0.25</v>
      </c>
      <c r="P1689" s="17">
        <v>45277.0</v>
      </c>
      <c r="Q1689" s="18">
        <v>1.8</v>
      </c>
      <c r="R1689" s="15" t="s">
        <v>70</v>
      </c>
      <c r="S1689" s="19">
        <f t="shared" si="1"/>
        <v>0</v>
      </c>
      <c r="T1689" s="19">
        <f t="shared" si="8"/>
        <v>54.61015209</v>
      </c>
      <c r="U1689" s="144"/>
    </row>
    <row r="1690">
      <c r="A1690" s="107"/>
      <c r="B1690" s="107"/>
      <c r="C1690" s="8" t="s">
        <v>19</v>
      </c>
      <c r="D1690" s="8">
        <v>63.0</v>
      </c>
      <c r="E1690" s="8" t="s">
        <v>4150</v>
      </c>
      <c r="F1690" s="8" t="s">
        <v>1479</v>
      </c>
      <c r="G1690" s="8" t="s">
        <v>2660</v>
      </c>
      <c r="H1690" s="8">
        <v>0.0</v>
      </c>
      <c r="I1690" s="8" t="s">
        <v>48</v>
      </c>
      <c r="J1690" s="8" t="s">
        <v>22</v>
      </c>
      <c r="K1690" s="8" t="s">
        <v>892</v>
      </c>
      <c r="L1690" s="8" t="s">
        <v>24</v>
      </c>
      <c r="M1690" s="9">
        <v>0.0</v>
      </c>
      <c r="N1690" s="9">
        <v>0.5</v>
      </c>
      <c r="O1690" s="9">
        <v>0.5</v>
      </c>
      <c r="P1690" s="10">
        <v>45277.0</v>
      </c>
      <c r="Q1690" s="11">
        <v>1.9</v>
      </c>
      <c r="R1690" s="8" t="s">
        <v>33</v>
      </c>
      <c r="S1690" s="12">
        <f t="shared" si="1"/>
        <v>0.45</v>
      </c>
      <c r="T1690" s="12">
        <f t="shared" si="8"/>
        <v>55.06015209</v>
      </c>
      <c r="U1690" s="145"/>
    </row>
    <row r="1691">
      <c r="A1691" s="29"/>
      <c r="B1691" s="29"/>
      <c r="C1691" s="15" t="s">
        <v>19</v>
      </c>
      <c r="D1691" s="15">
        <v>66.0</v>
      </c>
      <c r="E1691" s="15" t="s">
        <v>4151</v>
      </c>
      <c r="F1691" s="15" t="s">
        <v>1479</v>
      </c>
      <c r="G1691" s="15" t="s">
        <v>2660</v>
      </c>
      <c r="H1691" s="15">
        <v>0.0</v>
      </c>
      <c r="I1691" s="15" t="s">
        <v>48</v>
      </c>
      <c r="J1691" s="15" t="s">
        <v>22</v>
      </c>
      <c r="K1691" s="15" t="s">
        <v>892</v>
      </c>
      <c r="L1691" s="15" t="s">
        <v>24</v>
      </c>
      <c r="M1691" s="16">
        <v>0.0</v>
      </c>
      <c r="N1691" s="16">
        <v>0.5</v>
      </c>
      <c r="O1691" s="16">
        <v>0.5</v>
      </c>
      <c r="P1691" s="17">
        <v>45277.0</v>
      </c>
      <c r="Q1691" s="18">
        <v>1.833</v>
      </c>
      <c r="R1691" s="15" t="s">
        <v>33</v>
      </c>
      <c r="S1691" s="19">
        <f t="shared" si="1"/>
        <v>0.4165</v>
      </c>
      <c r="T1691" s="19">
        <f t="shared" si="8"/>
        <v>55.47665209</v>
      </c>
      <c r="U1691" s="144"/>
    </row>
    <row r="1692">
      <c r="A1692" s="107"/>
      <c r="B1692" s="107"/>
      <c r="C1692" s="8" t="s">
        <v>19</v>
      </c>
      <c r="D1692" s="8">
        <v>31.0</v>
      </c>
      <c r="E1692" s="8" t="s">
        <v>4152</v>
      </c>
      <c r="F1692" s="8" t="s">
        <v>1479</v>
      </c>
      <c r="G1692" s="8" t="s">
        <v>2556</v>
      </c>
      <c r="H1692" s="8">
        <v>-1.0</v>
      </c>
      <c r="I1692" s="8" t="s">
        <v>93</v>
      </c>
      <c r="J1692" s="8" t="s">
        <v>22</v>
      </c>
      <c r="K1692" s="8" t="s">
        <v>225</v>
      </c>
      <c r="L1692" s="8" t="s">
        <v>24</v>
      </c>
      <c r="M1692" s="9">
        <v>0.5</v>
      </c>
      <c r="N1692" s="9">
        <v>0.25</v>
      </c>
      <c r="O1692" s="9">
        <v>0.25</v>
      </c>
      <c r="P1692" s="10">
        <v>45277.0</v>
      </c>
      <c r="Q1692" s="11">
        <f>1.167</f>
        <v>1.167</v>
      </c>
      <c r="R1692" s="8" t="s">
        <v>33</v>
      </c>
      <c r="S1692" s="12">
        <f t="shared" si="1"/>
        <v>0.04175</v>
      </c>
      <c r="T1692" s="12">
        <f t="shared" si="8"/>
        <v>55.51840209</v>
      </c>
      <c r="U1692" s="145"/>
    </row>
    <row r="1693">
      <c r="A1693" s="29"/>
      <c r="B1693" s="29"/>
      <c r="C1693" s="15" t="s">
        <v>19</v>
      </c>
      <c r="D1693" s="15">
        <v>67.0</v>
      </c>
      <c r="E1693" s="15" t="s">
        <v>4153</v>
      </c>
      <c r="F1693" s="15" t="s">
        <v>1479</v>
      </c>
      <c r="G1693" s="15" t="s">
        <v>2660</v>
      </c>
      <c r="H1693" s="15">
        <v>0.0</v>
      </c>
      <c r="I1693" s="15" t="s">
        <v>109</v>
      </c>
      <c r="J1693" s="15" t="s">
        <v>22</v>
      </c>
      <c r="K1693" s="15" t="s">
        <v>892</v>
      </c>
      <c r="L1693" s="15" t="s">
        <v>24</v>
      </c>
      <c r="M1693" s="16">
        <v>0.0</v>
      </c>
      <c r="N1693" s="16">
        <v>0.5</v>
      </c>
      <c r="O1693" s="16">
        <v>0.46</v>
      </c>
      <c r="P1693" s="17">
        <v>45279.0</v>
      </c>
      <c r="Q1693" s="18">
        <v>1.75</v>
      </c>
      <c r="R1693" s="15" t="s">
        <v>70</v>
      </c>
      <c r="S1693" s="19">
        <f t="shared" si="1"/>
        <v>0</v>
      </c>
      <c r="T1693" s="19">
        <f t="shared" si="8"/>
        <v>55.51840209</v>
      </c>
      <c r="U1693" s="144"/>
    </row>
    <row r="1694">
      <c r="A1694" s="107"/>
      <c r="B1694" s="107"/>
      <c r="C1694" s="8" t="s">
        <v>19</v>
      </c>
      <c r="D1694" s="8">
        <v>20.0</v>
      </c>
      <c r="E1694" s="8" t="s">
        <v>4154</v>
      </c>
      <c r="F1694" s="8" t="s">
        <v>1473</v>
      </c>
      <c r="G1694" s="8" t="s">
        <v>2660</v>
      </c>
      <c r="H1694" s="8">
        <v>0.0</v>
      </c>
      <c r="I1694" s="8" t="s">
        <v>248</v>
      </c>
      <c r="J1694" s="8" t="s">
        <v>22</v>
      </c>
      <c r="K1694" s="8" t="s">
        <v>892</v>
      </c>
      <c r="L1694" s="8" t="s">
        <v>24</v>
      </c>
      <c r="M1694" s="9">
        <v>0.0</v>
      </c>
      <c r="N1694" s="9">
        <v>0.2</v>
      </c>
      <c r="O1694" s="9">
        <v>0.2</v>
      </c>
      <c r="P1694" s="10">
        <v>45279.0</v>
      </c>
      <c r="Q1694" s="11">
        <v>1.775</v>
      </c>
      <c r="R1694" s="8" t="s">
        <v>70</v>
      </c>
      <c r="S1694" s="12">
        <f t="shared" si="1"/>
        <v>0</v>
      </c>
      <c r="T1694" s="12">
        <f t="shared" si="8"/>
        <v>55.51840209</v>
      </c>
      <c r="U1694" s="145"/>
    </row>
    <row r="1695">
      <c r="A1695" s="29"/>
      <c r="B1695" s="29"/>
      <c r="C1695" s="15" t="s">
        <v>19</v>
      </c>
      <c r="D1695" s="15">
        <v>22.0</v>
      </c>
      <c r="E1695" s="15" t="s">
        <v>4155</v>
      </c>
      <c r="F1695" s="15" t="s">
        <v>1473</v>
      </c>
      <c r="G1695" s="15" t="s">
        <v>2556</v>
      </c>
      <c r="H1695" s="15">
        <v>0.0</v>
      </c>
      <c r="I1695" s="15" t="s">
        <v>248</v>
      </c>
      <c r="J1695" s="15" t="s">
        <v>22</v>
      </c>
      <c r="K1695" s="15" t="s">
        <v>941</v>
      </c>
      <c r="L1695" s="15" t="s">
        <v>24</v>
      </c>
      <c r="M1695" s="16">
        <v>0.0</v>
      </c>
      <c r="N1695" s="16">
        <v>0.4</v>
      </c>
      <c r="O1695" s="16">
        <v>0.4</v>
      </c>
      <c r="P1695" s="55">
        <v>45279.0</v>
      </c>
      <c r="Q1695" s="18">
        <v>1.8</v>
      </c>
      <c r="R1695" s="15" t="s">
        <v>70</v>
      </c>
      <c r="S1695" s="19">
        <f t="shared" si="1"/>
        <v>0</v>
      </c>
      <c r="T1695" s="19">
        <f t="shared" si="8"/>
        <v>55.51840209</v>
      </c>
      <c r="U1695" s="144"/>
    </row>
    <row r="1696">
      <c r="A1696" s="107"/>
      <c r="B1696" s="107"/>
      <c r="C1696" s="8" t="s">
        <v>19</v>
      </c>
      <c r="D1696" s="8">
        <v>0.0</v>
      </c>
      <c r="E1696" s="8" t="s">
        <v>4156</v>
      </c>
      <c r="F1696" s="8" t="s">
        <v>1479</v>
      </c>
      <c r="G1696" s="8"/>
      <c r="H1696" s="8"/>
      <c r="I1696" s="8" t="s">
        <v>4130</v>
      </c>
      <c r="J1696" s="8" t="s">
        <v>598</v>
      </c>
      <c r="K1696" s="8" t="s">
        <v>29</v>
      </c>
      <c r="L1696" s="8" t="s">
        <v>39</v>
      </c>
      <c r="M1696" s="9">
        <v>-0.5</v>
      </c>
      <c r="N1696" s="9">
        <v>0.1</v>
      </c>
      <c r="O1696" s="9">
        <v>0.1</v>
      </c>
      <c r="P1696" s="10">
        <v>45279.0</v>
      </c>
      <c r="Q1696" s="11">
        <v>1.61</v>
      </c>
      <c r="R1696" s="8" t="s">
        <v>33</v>
      </c>
      <c r="S1696" s="12">
        <f t="shared" si="1"/>
        <v>0.061</v>
      </c>
      <c r="T1696" s="12">
        <f t="shared" si="8"/>
        <v>55.57940209</v>
      </c>
      <c r="U1696" s="145"/>
    </row>
    <row r="1697">
      <c r="A1697" s="29"/>
      <c r="B1697" s="29"/>
      <c r="C1697" s="15" t="s">
        <v>19</v>
      </c>
      <c r="D1697" s="15">
        <v>0.0</v>
      </c>
      <c r="E1697" s="15" t="s">
        <v>4157</v>
      </c>
      <c r="F1697" s="15" t="s">
        <v>1479</v>
      </c>
      <c r="G1697" s="15" t="s">
        <v>2573</v>
      </c>
      <c r="H1697" s="15"/>
      <c r="I1697" s="15" t="s">
        <v>4130</v>
      </c>
      <c r="J1697" s="15" t="s">
        <v>598</v>
      </c>
      <c r="K1697" s="15" t="s">
        <v>894</v>
      </c>
      <c r="L1697" s="15" t="s">
        <v>1851</v>
      </c>
      <c r="M1697" s="16">
        <v>-1.25</v>
      </c>
      <c r="N1697" s="16">
        <v>0.5</v>
      </c>
      <c r="O1697" s="16">
        <v>0.5</v>
      </c>
      <c r="P1697" s="17">
        <v>45282.0</v>
      </c>
      <c r="Q1697" s="18">
        <v>1.8</v>
      </c>
      <c r="R1697" s="15" t="s">
        <v>33</v>
      </c>
      <c r="S1697" s="19">
        <f t="shared" si="1"/>
        <v>0.4</v>
      </c>
      <c r="T1697" s="19">
        <f t="shared" si="8"/>
        <v>55.97940209</v>
      </c>
      <c r="U1697" s="144"/>
    </row>
    <row r="1698">
      <c r="A1698" s="107"/>
      <c r="B1698" s="107"/>
      <c r="C1698" s="8" t="s">
        <v>19</v>
      </c>
      <c r="D1698" s="8">
        <v>25.0</v>
      </c>
      <c r="E1698" s="8" t="s">
        <v>4158</v>
      </c>
      <c r="F1698" s="8" t="s">
        <v>1479</v>
      </c>
      <c r="G1698" s="8" t="s">
        <v>2660</v>
      </c>
      <c r="H1698" s="8">
        <v>-1.0</v>
      </c>
      <c r="I1698" s="8" t="s">
        <v>675</v>
      </c>
      <c r="J1698" s="8" t="s">
        <v>22</v>
      </c>
      <c r="K1698" s="8" t="s">
        <v>1150</v>
      </c>
      <c r="L1698" s="8" t="s">
        <v>24</v>
      </c>
      <c r="M1698" s="9">
        <v>0.0</v>
      </c>
      <c r="N1698" s="9">
        <v>0.6</v>
      </c>
      <c r="O1698" s="9">
        <v>0.51</v>
      </c>
      <c r="P1698" s="10">
        <v>45280.0</v>
      </c>
      <c r="Q1698" s="11">
        <v>1.825</v>
      </c>
      <c r="R1698" s="8" t="s">
        <v>33</v>
      </c>
      <c r="S1698" s="12">
        <f t="shared" si="1"/>
        <v>0.42075</v>
      </c>
      <c r="T1698" s="12">
        <f t="shared" si="8"/>
        <v>56.40015209</v>
      </c>
      <c r="U1698" s="145"/>
    </row>
    <row r="1699">
      <c r="A1699" s="29"/>
      <c r="B1699" s="29"/>
      <c r="C1699" s="15" t="s">
        <v>19</v>
      </c>
      <c r="D1699" s="15">
        <v>27.0</v>
      </c>
      <c r="E1699" s="15" t="s">
        <v>4159</v>
      </c>
      <c r="F1699" s="15" t="s">
        <v>1479</v>
      </c>
      <c r="G1699" s="15" t="s">
        <v>2556</v>
      </c>
      <c r="H1699" s="15">
        <v>0.0</v>
      </c>
      <c r="I1699" s="15" t="s">
        <v>48</v>
      </c>
      <c r="J1699" s="15" t="s">
        <v>22</v>
      </c>
      <c r="K1699" s="15" t="s">
        <v>225</v>
      </c>
      <c r="L1699" s="15" t="s">
        <v>24</v>
      </c>
      <c r="M1699" s="16">
        <v>0.25</v>
      </c>
      <c r="N1699" s="16">
        <v>0.6</v>
      </c>
      <c r="O1699" s="16">
        <v>0.6</v>
      </c>
      <c r="P1699" s="17">
        <v>45280.0</v>
      </c>
      <c r="Q1699" s="18">
        <f>1.1602</f>
        <v>1.1602</v>
      </c>
      <c r="R1699" s="15" t="s">
        <v>33</v>
      </c>
      <c r="S1699" s="19">
        <f t="shared" si="1"/>
        <v>0.09612</v>
      </c>
      <c r="T1699" s="19">
        <f t="shared" si="8"/>
        <v>56.49627209</v>
      </c>
      <c r="U1699" s="144"/>
    </row>
    <row r="1700">
      <c r="A1700" s="107"/>
      <c r="B1700" s="107"/>
      <c r="C1700" s="8" t="s">
        <v>19</v>
      </c>
      <c r="D1700" s="8">
        <v>30.0</v>
      </c>
      <c r="E1700" s="8" t="s">
        <v>4160</v>
      </c>
      <c r="F1700" s="8" t="s">
        <v>1479</v>
      </c>
      <c r="G1700" s="8" t="s">
        <v>2660</v>
      </c>
      <c r="H1700" s="8">
        <v>0.0</v>
      </c>
      <c r="I1700" s="8" t="s">
        <v>48</v>
      </c>
      <c r="J1700" s="8" t="s">
        <v>22</v>
      </c>
      <c r="K1700" s="8" t="s">
        <v>1150</v>
      </c>
      <c r="L1700" s="8" t="s">
        <v>24</v>
      </c>
      <c r="M1700" s="9">
        <v>0.0</v>
      </c>
      <c r="N1700" s="9">
        <v>0.2</v>
      </c>
      <c r="O1700" s="9">
        <v>0.2</v>
      </c>
      <c r="P1700" s="10">
        <v>45280.0</v>
      </c>
      <c r="Q1700" s="11">
        <v>1.975</v>
      </c>
      <c r="R1700" s="8" t="s">
        <v>70</v>
      </c>
      <c r="S1700" s="12">
        <f t="shared" si="1"/>
        <v>0</v>
      </c>
      <c r="T1700" s="12">
        <f t="shared" si="8"/>
        <v>56.49627209</v>
      </c>
      <c r="U1700" s="145"/>
    </row>
    <row r="1701">
      <c r="A1701" s="29"/>
      <c r="B1701" s="29"/>
      <c r="C1701" s="15" t="s">
        <v>19</v>
      </c>
      <c r="D1701" s="15">
        <v>36.0</v>
      </c>
      <c r="E1701" s="15" t="s">
        <v>4161</v>
      </c>
      <c r="F1701" s="15" t="s">
        <v>1473</v>
      </c>
      <c r="G1701" s="15" t="s">
        <v>2556</v>
      </c>
      <c r="H1701" s="15">
        <v>0.0</v>
      </c>
      <c r="I1701" s="15" t="s">
        <v>48</v>
      </c>
      <c r="J1701" s="15" t="s">
        <v>22</v>
      </c>
      <c r="K1701" s="15" t="s">
        <v>225</v>
      </c>
      <c r="L1701" s="15" t="s">
        <v>24</v>
      </c>
      <c r="M1701" s="16">
        <v>0.25</v>
      </c>
      <c r="N1701" s="16">
        <v>0.4</v>
      </c>
      <c r="O1701" s="16">
        <v>0.27</v>
      </c>
      <c r="P1701" s="17">
        <v>45280.0</v>
      </c>
      <c r="Q1701" s="18">
        <v>1.75</v>
      </c>
      <c r="R1701" s="15" t="s">
        <v>25</v>
      </c>
      <c r="S1701" s="19">
        <f t="shared" si="1"/>
        <v>-0.27</v>
      </c>
      <c r="T1701" s="19">
        <f t="shared" si="8"/>
        <v>56.22627209</v>
      </c>
      <c r="U1701" s="144"/>
    </row>
    <row r="1702">
      <c r="A1702" s="107"/>
      <c r="B1702" s="107"/>
      <c r="C1702" s="8" t="s">
        <v>19</v>
      </c>
      <c r="D1702" s="8">
        <v>0.0</v>
      </c>
      <c r="E1702" s="8" t="s">
        <v>4162</v>
      </c>
      <c r="F1702" s="8" t="s">
        <v>1479</v>
      </c>
      <c r="G1702" s="8" t="s">
        <v>2556</v>
      </c>
      <c r="H1702" s="8">
        <v>0.0</v>
      </c>
      <c r="I1702" s="8" t="s">
        <v>229</v>
      </c>
      <c r="J1702" s="8" t="s">
        <v>22</v>
      </c>
      <c r="K1702" s="8" t="s">
        <v>225</v>
      </c>
      <c r="L1702" s="8" t="s">
        <v>24</v>
      </c>
      <c r="M1702" s="9">
        <v>1.0</v>
      </c>
      <c r="N1702" s="9">
        <v>0.1</v>
      </c>
      <c r="O1702" s="9">
        <v>0.1</v>
      </c>
      <c r="P1702" s="10">
        <v>45280.0</v>
      </c>
      <c r="Q1702" s="11">
        <v>1.925</v>
      </c>
      <c r="R1702" s="8" t="s">
        <v>70</v>
      </c>
      <c r="S1702" s="12">
        <f t="shared" si="1"/>
        <v>0</v>
      </c>
      <c r="T1702" s="12">
        <f t="shared" si="8"/>
        <v>56.22627209</v>
      </c>
      <c r="U1702" s="145"/>
    </row>
    <row r="1703">
      <c r="A1703" s="29"/>
      <c r="B1703" s="29"/>
      <c r="C1703" s="15" t="s">
        <v>19</v>
      </c>
      <c r="D1703" s="15">
        <v>60.0</v>
      </c>
      <c r="E1703" s="15" t="s">
        <v>4163</v>
      </c>
      <c r="F1703" s="15"/>
      <c r="G1703" s="15"/>
      <c r="H1703" s="15"/>
      <c r="I1703" s="15" t="s">
        <v>48</v>
      </c>
      <c r="J1703" s="15" t="s">
        <v>22</v>
      </c>
      <c r="K1703" s="15" t="s">
        <v>440</v>
      </c>
      <c r="L1703" s="15" t="s">
        <v>24</v>
      </c>
      <c r="M1703" s="16">
        <v>3.75</v>
      </c>
      <c r="N1703" s="16">
        <v>0.15</v>
      </c>
      <c r="O1703" s="16">
        <v>0.15</v>
      </c>
      <c r="P1703" s="17">
        <v>45280.0</v>
      </c>
      <c r="Q1703" s="18">
        <v>1.75</v>
      </c>
      <c r="R1703" s="15" t="s">
        <v>996</v>
      </c>
      <c r="S1703" s="19">
        <f t="shared" si="1"/>
        <v>0.05625</v>
      </c>
      <c r="T1703" s="19">
        <f t="shared" si="8"/>
        <v>56.28252209</v>
      </c>
      <c r="U1703" s="144"/>
    </row>
    <row r="1704">
      <c r="A1704" s="107"/>
      <c r="B1704" s="107"/>
      <c r="C1704" s="8" t="s">
        <v>19</v>
      </c>
      <c r="D1704" s="8">
        <v>70.0</v>
      </c>
      <c r="E1704" s="8" t="s">
        <v>4164</v>
      </c>
      <c r="F1704" s="8" t="s">
        <v>1479</v>
      </c>
      <c r="G1704" s="8" t="s">
        <v>2660</v>
      </c>
      <c r="H1704" s="8">
        <v>0.0</v>
      </c>
      <c r="I1704" s="8" t="s">
        <v>48</v>
      </c>
      <c r="J1704" s="8" t="s">
        <v>22</v>
      </c>
      <c r="K1704" s="8" t="s">
        <v>892</v>
      </c>
      <c r="L1704" s="8" t="s">
        <v>24</v>
      </c>
      <c r="M1704" s="9">
        <v>0.0</v>
      </c>
      <c r="N1704" s="9">
        <v>0.2</v>
      </c>
      <c r="O1704" s="9">
        <v>0.02762</v>
      </c>
      <c r="P1704" s="10">
        <v>45280.0</v>
      </c>
      <c r="Q1704" s="11">
        <v>1.75</v>
      </c>
      <c r="R1704" s="8" t="s">
        <v>25</v>
      </c>
      <c r="S1704" s="12">
        <f t="shared" si="1"/>
        <v>-0.02762</v>
      </c>
      <c r="T1704" s="12">
        <f t="shared" si="8"/>
        <v>56.25490209</v>
      </c>
      <c r="U1704" s="145"/>
    </row>
    <row r="1705">
      <c r="A1705" s="29"/>
      <c r="B1705" s="29"/>
      <c r="C1705" s="15" t="s">
        <v>19</v>
      </c>
      <c r="D1705" s="15">
        <v>80.0</v>
      </c>
      <c r="E1705" s="15" t="s">
        <v>4165</v>
      </c>
      <c r="F1705" s="15" t="s">
        <v>1473</v>
      </c>
      <c r="G1705" s="15" t="s">
        <v>2660</v>
      </c>
      <c r="H1705" s="15">
        <v>-1.0</v>
      </c>
      <c r="I1705" s="15" t="s">
        <v>952</v>
      </c>
      <c r="J1705" s="15" t="s">
        <v>22</v>
      </c>
      <c r="K1705" s="15" t="s">
        <v>892</v>
      </c>
      <c r="L1705" s="15" t="s">
        <v>24</v>
      </c>
      <c r="M1705" s="16">
        <v>0.0</v>
      </c>
      <c r="N1705" s="16">
        <v>0.5</v>
      </c>
      <c r="O1705" s="16">
        <v>0.5</v>
      </c>
      <c r="P1705" s="17">
        <v>45280.0</v>
      </c>
      <c r="Q1705" s="18">
        <v>2.1</v>
      </c>
      <c r="R1705" s="15" t="s">
        <v>70</v>
      </c>
      <c r="S1705" s="19">
        <f t="shared" si="1"/>
        <v>0</v>
      </c>
      <c r="T1705" s="19">
        <f t="shared" si="8"/>
        <v>56.25490209</v>
      </c>
      <c r="U1705" s="144"/>
    </row>
    <row r="1706">
      <c r="A1706" s="107"/>
      <c r="B1706" s="107"/>
      <c r="C1706" s="8" t="s">
        <v>19</v>
      </c>
      <c r="D1706" s="8"/>
      <c r="E1706" s="8" t="s">
        <v>4166</v>
      </c>
      <c r="F1706" s="8" t="s">
        <v>1479</v>
      </c>
      <c r="G1706" s="8" t="s">
        <v>2660</v>
      </c>
      <c r="H1706" s="8">
        <v>0.0</v>
      </c>
      <c r="I1706" s="8" t="s">
        <v>42</v>
      </c>
      <c r="J1706" s="8" t="s">
        <v>22</v>
      </c>
      <c r="K1706" s="8" t="s">
        <v>892</v>
      </c>
      <c r="L1706" s="8" t="s">
        <v>24</v>
      </c>
      <c r="M1706" s="9">
        <v>0.0</v>
      </c>
      <c r="N1706" s="9">
        <v>0.5</v>
      </c>
      <c r="O1706" s="9">
        <v>0.5</v>
      </c>
      <c r="P1706" s="10">
        <v>45280.0</v>
      </c>
      <c r="Q1706" s="11">
        <v>1.9</v>
      </c>
      <c r="R1706" s="8" t="s">
        <v>33</v>
      </c>
      <c r="S1706" s="12">
        <f t="shared" si="1"/>
        <v>0.45</v>
      </c>
      <c r="T1706" s="12">
        <f t="shared" si="8"/>
        <v>56.70490209</v>
      </c>
      <c r="U1706" s="145"/>
    </row>
    <row r="1707">
      <c r="A1707" s="29"/>
      <c r="B1707" s="29"/>
      <c r="C1707" s="15" t="s">
        <v>40</v>
      </c>
      <c r="D1707" s="15"/>
      <c r="E1707" s="15" t="s">
        <v>4167</v>
      </c>
      <c r="F1707" s="15" t="s">
        <v>1473</v>
      </c>
      <c r="G1707" s="15" t="s">
        <v>2556</v>
      </c>
      <c r="H1707" s="15">
        <v>0.0</v>
      </c>
      <c r="I1707" s="15" t="s">
        <v>42</v>
      </c>
      <c r="J1707" s="15" t="s">
        <v>22</v>
      </c>
      <c r="K1707" s="15" t="s">
        <v>225</v>
      </c>
      <c r="L1707" s="15" t="s">
        <v>24</v>
      </c>
      <c r="M1707" s="16">
        <v>0.5</v>
      </c>
      <c r="N1707" s="16">
        <v>0.6</v>
      </c>
      <c r="O1707" s="16">
        <v>0.6</v>
      </c>
      <c r="P1707" s="17">
        <v>45280.0</v>
      </c>
      <c r="Q1707" s="18">
        <v>1.735</v>
      </c>
      <c r="R1707" s="15" t="s">
        <v>33</v>
      </c>
      <c r="S1707" s="19">
        <f t="shared" si="1"/>
        <v>0.441</v>
      </c>
      <c r="T1707" s="19">
        <f t="shared" si="8"/>
        <v>57.14590209</v>
      </c>
      <c r="U1707" s="144"/>
    </row>
    <row r="1708">
      <c r="A1708" s="107"/>
      <c r="B1708" s="8"/>
      <c r="C1708" s="8" t="s">
        <v>19</v>
      </c>
      <c r="D1708" s="8">
        <v>32.0</v>
      </c>
      <c r="E1708" s="8" t="s">
        <v>4168</v>
      </c>
      <c r="F1708" s="8" t="s">
        <v>1473</v>
      </c>
      <c r="G1708" s="8" t="s">
        <v>2556</v>
      </c>
      <c r="H1708" s="8">
        <v>0.0</v>
      </c>
      <c r="I1708" s="8" t="s">
        <v>88</v>
      </c>
      <c r="J1708" s="8" t="s">
        <v>22</v>
      </c>
      <c r="K1708" s="8" t="s">
        <v>225</v>
      </c>
      <c r="L1708" s="8" t="s">
        <v>24</v>
      </c>
      <c r="M1708" s="9">
        <v>0.5</v>
      </c>
      <c r="N1708" s="9">
        <v>0.6</v>
      </c>
      <c r="O1708" s="9">
        <v>0.59</v>
      </c>
      <c r="P1708" s="10">
        <v>45297.0</v>
      </c>
      <c r="Q1708" s="11">
        <v>1.825</v>
      </c>
      <c r="R1708" s="8" t="s">
        <v>25</v>
      </c>
      <c r="S1708" s="12">
        <f t="shared" si="1"/>
        <v>-0.59</v>
      </c>
      <c r="T1708" s="12">
        <f t="shared" si="8"/>
        <v>56.55590209</v>
      </c>
      <c r="U1708" s="145"/>
    </row>
    <row r="1709">
      <c r="A1709" s="29"/>
      <c r="B1709" s="15"/>
      <c r="C1709" s="15" t="s">
        <v>19</v>
      </c>
      <c r="D1709" s="15">
        <v>37.0</v>
      </c>
      <c r="E1709" s="15" t="s">
        <v>4169</v>
      </c>
      <c r="F1709" s="15" t="s">
        <v>1473</v>
      </c>
      <c r="G1709" s="15" t="s">
        <v>2556</v>
      </c>
      <c r="H1709" s="15">
        <v>-1.0</v>
      </c>
      <c r="I1709" s="15" t="s">
        <v>42</v>
      </c>
      <c r="J1709" s="15" t="s">
        <v>22</v>
      </c>
      <c r="K1709" s="15" t="s">
        <v>225</v>
      </c>
      <c r="L1709" s="15" t="s">
        <v>24</v>
      </c>
      <c r="M1709" s="16">
        <v>0.5</v>
      </c>
      <c r="N1709" s="16">
        <v>1.0</v>
      </c>
      <c r="O1709" s="16">
        <v>1.0</v>
      </c>
      <c r="P1709" s="17">
        <v>45297.0</v>
      </c>
      <c r="Q1709" s="18">
        <v>1.95</v>
      </c>
      <c r="R1709" s="15" t="s">
        <v>33</v>
      </c>
      <c r="S1709" s="19">
        <f t="shared" si="1"/>
        <v>0.95</v>
      </c>
      <c r="T1709" s="19">
        <f t="shared" si="8"/>
        <v>57.50590209</v>
      </c>
      <c r="U1709" s="144"/>
    </row>
    <row r="1710">
      <c r="A1710" s="107"/>
      <c r="B1710" s="8"/>
      <c r="C1710" s="8" t="s">
        <v>19</v>
      </c>
      <c r="D1710" s="8">
        <v>58.0</v>
      </c>
      <c r="E1710" s="8" t="s">
        <v>4170</v>
      </c>
      <c r="F1710" s="8" t="s">
        <v>1473</v>
      </c>
      <c r="G1710" s="8" t="s">
        <v>2660</v>
      </c>
      <c r="H1710" s="8">
        <v>0.0</v>
      </c>
      <c r="I1710" s="8" t="s">
        <v>1470</v>
      </c>
      <c r="J1710" s="8" t="s">
        <v>22</v>
      </c>
      <c r="K1710" s="8" t="s">
        <v>225</v>
      </c>
      <c r="L1710" s="8" t="s">
        <v>24</v>
      </c>
      <c r="M1710" s="9">
        <v>0.0</v>
      </c>
      <c r="N1710" s="9">
        <v>1.0</v>
      </c>
      <c r="O1710" s="9">
        <v>1.0</v>
      </c>
      <c r="P1710" s="10">
        <v>45297.0</v>
      </c>
      <c r="Q1710" s="11">
        <v>1.7</v>
      </c>
      <c r="R1710" s="8" t="s">
        <v>33</v>
      </c>
      <c r="S1710" s="12">
        <f t="shared" si="1"/>
        <v>0.7</v>
      </c>
      <c r="T1710" s="12">
        <f t="shared" si="8"/>
        <v>58.20590209</v>
      </c>
      <c r="U1710" s="145"/>
    </row>
    <row r="1711">
      <c r="A1711" s="29"/>
      <c r="B1711" s="15"/>
      <c r="C1711" s="15" t="s">
        <v>19</v>
      </c>
      <c r="D1711" s="15">
        <v>59.0</v>
      </c>
      <c r="E1711" s="15" t="s">
        <v>4171</v>
      </c>
      <c r="F1711" s="15" t="s">
        <v>1473</v>
      </c>
      <c r="G1711" s="15" t="s">
        <v>2660</v>
      </c>
      <c r="H1711" s="15">
        <v>0.0</v>
      </c>
      <c r="I1711" s="15" t="s">
        <v>191</v>
      </c>
      <c r="J1711" s="15" t="s">
        <v>22</v>
      </c>
      <c r="K1711" s="15" t="s">
        <v>225</v>
      </c>
      <c r="L1711" s="15" t="s">
        <v>24</v>
      </c>
      <c r="M1711" s="16">
        <v>0.0</v>
      </c>
      <c r="N1711" s="16">
        <v>0.8</v>
      </c>
      <c r="O1711" s="16">
        <v>0.8</v>
      </c>
      <c r="P1711" s="17">
        <v>45297.0</v>
      </c>
      <c r="Q1711" s="18">
        <v>1.75</v>
      </c>
      <c r="R1711" s="15" t="s">
        <v>33</v>
      </c>
      <c r="S1711" s="19">
        <f t="shared" si="1"/>
        <v>0.6</v>
      </c>
      <c r="T1711" s="19">
        <f t="shared" si="8"/>
        <v>58.80590209</v>
      </c>
      <c r="U1711" s="144"/>
    </row>
    <row r="1712">
      <c r="A1712" s="107"/>
      <c r="B1712" s="8"/>
      <c r="C1712" s="8" t="s">
        <v>19</v>
      </c>
      <c r="D1712" s="8">
        <v>89.0</v>
      </c>
      <c r="E1712" s="8" t="s">
        <v>4172</v>
      </c>
      <c r="F1712" s="8"/>
      <c r="G1712" s="8"/>
      <c r="H1712" s="8" t="s">
        <v>2615</v>
      </c>
      <c r="I1712" s="8" t="s">
        <v>66</v>
      </c>
      <c r="J1712" s="8" t="s">
        <v>22</v>
      </c>
      <c r="K1712" s="8" t="s">
        <v>2939</v>
      </c>
      <c r="L1712" s="8" t="s">
        <v>24</v>
      </c>
      <c r="M1712" s="9">
        <v>-3.5</v>
      </c>
      <c r="N1712" s="9">
        <v>0.3</v>
      </c>
      <c r="O1712" s="9">
        <v>0.02</v>
      </c>
      <c r="P1712" s="10">
        <v>45297.0</v>
      </c>
      <c r="Q1712" s="11">
        <v>1.9</v>
      </c>
      <c r="R1712" s="8" t="s">
        <v>25</v>
      </c>
      <c r="S1712" s="12">
        <f t="shared" si="1"/>
        <v>-0.02</v>
      </c>
      <c r="T1712" s="12">
        <f t="shared" si="8"/>
        <v>58.78590209</v>
      </c>
      <c r="U1712" s="145"/>
    </row>
    <row r="1713">
      <c r="A1713" s="29"/>
      <c r="B1713" s="15"/>
      <c r="C1713" s="15" t="s">
        <v>19</v>
      </c>
      <c r="D1713" s="15">
        <v>67.0</v>
      </c>
      <c r="E1713" s="15" t="s">
        <v>4173</v>
      </c>
      <c r="F1713" s="15" t="s">
        <v>1479</v>
      </c>
      <c r="G1713" s="15" t="s">
        <v>2660</v>
      </c>
      <c r="H1713" s="15">
        <v>-1.0</v>
      </c>
      <c r="I1713" s="15" t="s">
        <v>50</v>
      </c>
      <c r="J1713" s="15" t="s">
        <v>22</v>
      </c>
      <c r="K1713" s="15" t="s">
        <v>225</v>
      </c>
      <c r="L1713" s="15" t="s">
        <v>24</v>
      </c>
      <c r="M1713" s="16">
        <v>0.0</v>
      </c>
      <c r="N1713" s="16">
        <v>0.5</v>
      </c>
      <c r="O1713" s="16">
        <v>0.5</v>
      </c>
      <c r="P1713" s="17">
        <v>45297.0</v>
      </c>
      <c r="Q1713" s="18">
        <v>1.775</v>
      </c>
      <c r="R1713" s="15" t="s">
        <v>33</v>
      </c>
      <c r="S1713" s="19">
        <f t="shared" si="1"/>
        <v>0.3875</v>
      </c>
      <c r="T1713" s="19">
        <f t="shared" si="8"/>
        <v>59.17340209</v>
      </c>
      <c r="U1713" s="144"/>
    </row>
    <row r="1714">
      <c r="A1714" s="107"/>
      <c r="B1714" s="8"/>
      <c r="C1714" s="8" t="s">
        <v>40</v>
      </c>
      <c r="D1714" s="8">
        <v>32.0</v>
      </c>
      <c r="E1714" s="8" t="s">
        <v>4174</v>
      </c>
      <c r="F1714" s="8" t="s">
        <v>1479</v>
      </c>
      <c r="G1714" s="8" t="s">
        <v>2660</v>
      </c>
      <c r="H1714" s="8">
        <v>0.0</v>
      </c>
      <c r="I1714" s="8" t="s">
        <v>93</v>
      </c>
      <c r="J1714" s="8" t="s">
        <v>22</v>
      </c>
      <c r="K1714" s="8" t="s">
        <v>225</v>
      </c>
      <c r="L1714" s="8" t="s">
        <v>1522</v>
      </c>
      <c r="M1714" s="9">
        <v>0.0</v>
      </c>
      <c r="N1714" s="9">
        <v>0.6</v>
      </c>
      <c r="O1714" s="9">
        <v>0.6</v>
      </c>
      <c r="P1714" s="10">
        <v>45298.0</v>
      </c>
      <c r="Q1714" s="11">
        <v>1.775</v>
      </c>
      <c r="R1714" s="8" t="s">
        <v>33</v>
      </c>
      <c r="S1714" s="12">
        <f t="shared" si="1"/>
        <v>0.465</v>
      </c>
      <c r="T1714" s="12">
        <f t="shared" si="8"/>
        <v>59.63840209</v>
      </c>
      <c r="U1714" s="145"/>
    </row>
    <row r="1715">
      <c r="A1715" s="29"/>
      <c r="B1715" s="15"/>
      <c r="C1715" s="15" t="s">
        <v>40</v>
      </c>
      <c r="D1715" s="15">
        <v>50.0</v>
      </c>
      <c r="E1715" s="15" t="s">
        <v>4175</v>
      </c>
      <c r="F1715" s="15" t="s">
        <v>1473</v>
      </c>
      <c r="G1715" s="15" t="s">
        <v>2556</v>
      </c>
      <c r="H1715" s="15">
        <f>1</f>
        <v>1</v>
      </c>
      <c r="I1715" s="15" t="s">
        <v>48</v>
      </c>
      <c r="J1715" s="15" t="s">
        <v>22</v>
      </c>
      <c r="K1715" s="15" t="s">
        <v>1165</v>
      </c>
      <c r="L1715" s="15" t="s">
        <v>24</v>
      </c>
      <c r="M1715" s="16"/>
      <c r="N1715" s="16">
        <v>0.1</v>
      </c>
      <c r="O1715" s="16">
        <v>0.1</v>
      </c>
      <c r="P1715" s="17">
        <v>45298.0</v>
      </c>
      <c r="Q1715" s="18">
        <v>3.4</v>
      </c>
      <c r="R1715" s="15" t="s">
        <v>25</v>
      </c>
      <c r="S1715" s="19">
        <f t="shared" si="1"/>
        <v>-0.1</v>
      </c>
      <c r="T1715" s="19">
        <f t="shared" si="8"/>
        <v>59.53840209</v>
      </c>
      <c r="U1715" s="144"/>
    </row>
    <row r="1716">
      <c r="A1716" s="107"/>
      <c r="B1716" s="8"/>
      <c r="C1716" s="8" t="s">
        <v>19</v>
      </c>
      <c r="D1716" s="8">
        <v>23.0</v>
      </c>
      <c r="E1716" s="8" t="s">
        <v>4176</v>
      </c>
      <c r="F1716" s="8" t="s">
        <v>1479</v>
      </c>
      <c r="G1716" s="8" t="s">
        <v>2660</v>
      </c>
      <c r="H1716" s="8">
        <v>0.0</v>
      </c>
      <c r="I1716" s="8" t="s">
        <v>863</v>
      </c>
      <c r="J1716" s="8" t="s">
        <v>22</v>
      </c>
      <c r="K1716" s="8" t="s">
        <v>1150</v>
      </c>
      <c r="L1716" s="8" t="s">
        <v>24</v>
      </c>
      <c r="M1716" s="9">
        <v>0.0</v>
      </c>
      <c r="N1716" s="9">
        <v>0.5</v>
      </c>
      <c r="O1716" s="9">
        <v>0.5</v>
      </c>
      <c r="P1716" s="10">
        <v>45298.0</v>
      </c>
      <c r="Q1716" s="11">
        <v>1.8</v>
      </c>
      <c r="R1716" s="8" t="s">
        <v>70</v>
      </c>
      <c r="S1716" s="12">
        <f t="shared" si="1"/>
        <v>0</v>
      </c>
      <c r="T1716" s="12">
        <f t="shared" si="8"/>
        <v>59.53840209</v>
      </c>
      <c r="U1716" s="145"/>
    </row>
    <row r="1717">
      <c r="A1717" s="29"/>
      <c r="B1717" s="15"/>
      <c r="C1717" s="15" t="s">
        <v>40</v>
      </c>
      <c r="D1717" s="15">
        <v>33.0</v>
      </c>
      <c r="E1717" s="15" t="s">
        <v>4177</v>
      </c>
      <c r="F1717" s="15" t="s">
        <v>1479</v>
      </c>
      <c r="G1717" s="15" t="s">
        <v>2556</v>
      </c>
      <c r="H1717" s="15">
        <v>0.0</v>
      </c>
      <c r="I1717" s="15" t="s">
        <v>106</v>
      </c>
      <c r="J1717" s="15" t="s">
        <v>22</v>
      </c>
      <c r="K1717" s="15" t="s">
        <v>225</v>
      </c>
      <c r="L1717" s="15" t="s">
        <v>24</v>
      </c>
      <c r="M1717" s="16">
        <v>0.5</v>
      </c>
      <c r="N1717" s="16">
        <v>0.5</v>
      </c>
      <c r="O1717" s="16">
        <v>0.5</v>
      </c>
      <c r="P1717" s="17">
        <v>45298.0</v>
      </c>
      <c r="Q1717" s="18">
        <v>1.9</v>
      </c>
      <c r="R1717" s="15" t="s">
        <v>33</v>
      </c>
      <c r="S1717" s="19">
        <f t="shared" si="1"/>
        <v>0.45</v>
      </c>
      <c r="T1717" s="19">
        <f t="shared" si="8"/>
        <v>59.98840209</v>
      </c>
      <c r="U1717" s="144"/>
    </row>
    <row r="1718">
      <c r="A1718" s="107"/>
      <c r="B1718" s="8"/>
      <c r="C1718" s="8" t="s">
        <v>19</v>
      </c>
      <c r="D1718" s="8">
        <v>37.0</v>
      </c>
      <c r="E1718" s="8" t="s">
        <v>4178</v>
      </c>
      <c r="F1718" s="8" t="s">
        <v>1479</v>
      </c>
      <c r="G1718" s="8" t="s">
        <v>2556</v>
      </c>
      <c r="H1718" s="8">
        <v>-1.0</v>
      </c>
      <c r="I1718" s="8" t="s">
        <v>1172</v>
      </c>
      <c r="J1718" s="8" t="s">
        <v>22</v>
      </c>
      <c r="K1718" s="8" t="s">
        <v>225</v>
      </c>
      <c r="L1718" s="8" t="s">
        <v>24</v>
      </c>
      <c r="M1718" s="9">
        <v>1.5</v>
      </c>
      <c r="N1718" s="9">
        <v>0.5</v>
      </c>
      <c r="O1718" s="9">
        <v>0.5</v>
      </c>
      <c r="P1718" s="10">
        <v>45298.0</v>
      </c>
      <c r="Q1718" s="11">
        <v>1.04</v>
      </c>
      <c r="R1718" s="8" t="s">
        <v>33</v>
      </c>
      <c r="S1718" s="12">
        <f t="shared" si="1"/>
        <v>0.02</v>
      </c>
      <c r="T1718" s="12">
        <f t="shared" si="8"/>
        <v>60.00840209</v>
      </c>
      <c r="U1718" s="145"/>
    </row>
    <row r="1719">
      <c r="A1719" s="29"/>
      <c r="B1719" s="15"/>
      <c r="C1719" s="15" t="s">
        <v>40</v>
      </c>
      <c r="D1719" s="15">
        <v>45.0</v>
      </c>
      <c r="E1719" s="15" t="s">
        <v>4179</v>
      </c>
      <c r="F1719" s="15" t="s">
        <v>1479</v>
      </c>
      <c r="G1719" s="15" t="s">
        <v>2556</v>
      </c>
      <c r="H1719" s="15">
        <v>-1.0</v>
      </c>
      <c r="I1719" s="15" t="s">
        <v>48</v>
      </c>
      <c r="J1719" s="15" t="s">
        <v>22</v>
      </c>
      <c r="K1719" s="15" t="s">
        <v>225</v>
      </c>
      <c r="L1719" s="15" t="s">
        <v>24</v>
      </c>
      <c r="M1719" s="16">
        <v>1.25</v>
      </c>
      <c r="N1719" s="16">
        <v>0.6</v>
      </c>
      <c r="O1719" s="16">
        <v>0.6</v>
      </c>
      <c r="P1719" s="17">
        <v>45298.0</v>
      </c>
      <c r="Q1719" s="18">
        <v>1.847</v>
      </c>
      <c r="R1719" s="15" t="s">
        <v>33</v>
      </c>
      <c r="S1719" s="19">
        <f t="shared" si="1"/>
        <v>0.5082</v>
      </c>
      <c r="T1719" s="19">
        <f t="shared" si="8"/>
        <v>60.51660209</v>
      </c>
      <c r="U1719" s="144"/>
    </row>
    <row r="1720">
      <c r="A1720" s="107"/>
      <c r="B1720" s="8"/>
      <c r="C1720" s="8" t="s">
        <v>19</v>
      </c>
      <c r="D1720" s="8">
        <v>40.0</v>
      </c>
      <c r="E1720" s="8" t="s">
        <v>4180</v>
      </c>
      <c r="F1720" s="8" t="s">
        <v>1479</v>
      </c>
      <c r="G1720" s="8" t="s">
        <v>2660</v>
      </c>
      <c r="H1720" s="8">
        <v>-1.0</v>
      </c>
      <c r="I1720" s="8" t="s">
        <v>121</v>
      </c>
      <c r="J1720" s="8" t="s">
        <v>22</v>
      </c>
      <c r="K1720" s="8" t="s">
        <v>892</v>
      </c>
      <c r="L1720" s="8" t="s">
        <v>1803</v>
      </c>
      <c r="M1720" s="9">
        <v>0.0</v>
      </c>
      <c r="N1720" s="9">
        <v>1.0</v>
      </c>
      <c r="O1720" s="9">
        <v>1.0</v>
      </c>
      <c r="P1720" s="10">
        <v>45298.0</v>
      </c>
      <c r="Q1720" s="11">
        <v>1.7</v>
      </c>
      <c r="R1720" s="8" t="s">
        <v>70</v>
      </c>
      <c r="S1720" s="12">
        <f t="shared" si="1"/>
        <v>0</v>
      </c>
      <c r="T1720" s="12">
        <f t="shared" si="8"/>
        <v>60.51660209</v>
      </c>
      <c r="U1720" s="145"/>
    </row>
    <row r="1721">
      <c r="A1721" s="29"/>
      <c r="B1721" s="15"/>
      <c r="C1721" s="15" t="s">
        <v>19</v>
      </c>
      <c r="D1721" s="15">
        <v>60.0</v>
      </c>
      <c r="E1721" s="15" t="s">
        <v>4181</v>
      </c>
      <c r="F1721" s="15" t="s">
        <v>1479</v>
      </c>
      <c r="G1721" s="15" t="s">
        <v>2660</v>
      </c>
      <c r="H1721" s="15">
        <v>-2.0</v>
      </c>
      <c r="I1721" s="15" t="s">
        <v>42</v>
      </c>
      <c r="J1721" s="15" t="s">
        <v>22</v>
      </c>
      <c r="K1721" s="15" t="s">
        <v>892</v>
      </c>
      <c r="L1721" s="15" t="s">
        <v>24</v>
      </c>
      <c r="M1721" s="16">
        <v>0.0</v>
      </c>
      <c r="N1721" s="16">
        <v>0.6</v>
      </c>
      <c r="O1721" s="16">
        <v>0.6</v>
      </c>
      <c r="P1721" s="17">
        <v>45298.0</v>
      </c>
      <c r="Q1721" s="18">
        <v>1.8</v>
      </c>
      <c r="R1721" s="15" t="s">
        <v>70</v>
      </c>
      <c r="S1721" s="19">
        <f t="shared" si="1"/>
        <v>0</v>
      </c>
      <c r="T1721" s="19">
        <f t="shared" si="8"/>
        <v>60.51660209</v>
      </c>
      <c r="U1721" s="144"/>
    </row>
    <row r="1722">
      <c r="A1722" s="107"/>
      <c r="B1722" s="8"/>
      <c r="C1722" s="8" t="s">
        <v>19</v>
      </c>
      <c r="D1722" s="8">
        <v>30.0</v>
      </c>
      <c r="E1722" s="8" t="s">
        <v>4182</v>
      </c>
      <c r="F1722" s="8" t="s">
        <v>1479</v>
      </c>
      <c r="G1722" s="8" t="s">
        <v>2660</v>
      </c>
      <c r="H1722" s="8">
        <v>0.0</v>
      </c>
      <c r="I1722" s="8" t="s">
        <v>68</v>
      </c>
      <c r="J1722" s="8" t="s">
        <v>22</v>
      </c>
      <c r="K1722" s="8" t="s">
        <v>1150</v>
      </c>
      <c r="L1722" s="8" t="s">
        <v>24</v>
      </c>
      <c r="M1722" s="9">
        <v>0.0</v>
      </c>
      <c r="N1722" s="9">
        <v>0.5</v>
      </c>
      <c r="O1722" s="9">
        <v>0.5</v>
      </c>
      <c r="P1722" s="10">
        <v>45298.0</v>
      </c>
      <c r="Q1722" s="11">
        <v>2.0</v>
      </c>
      <c r="R1722" s="8" t="s">
        <v>33</v>
      </c>
      <c r="S1722" s="12">
        <f t="shared" si="1"/>
        <v>0.5</v>
      </c>
      <c r="T1722" s="12">
        <f t="shared" si="8"/>
        <v>61.01660209</v>
      </c>
      <c r="U1722" s="145"/>
    </row>
    <row r="1723">
      <c r="A1723" s="29"/>
      <c r="B1723" s="15"/>
      <c r="C1723" s="15" t="s">
        <v>19</v>
      </c>
      <c r="D1723" s="15">
        <v>0.0</v>
      </c>
      <c r="E1723" s="95" t="s">
        <v>4183</v>
      </c>
      <c r="F1723" s="15" t="s">
        <v>1479</v>
      </c>
      <c r="G1723" s="15" t="s">
        <v>2556</v>
      </c>
      <c r="H1723" s="15"/>
      <c r="I1723" s="15" t="s">
        <v>768</v>
      </c>
      <c r="J1723" s="15" t="s">
        <v>598</v>
      </c>
      <c r="K1723" s="15" t="s">
        <v>225</v>
      </c>
      <c r="L1723" s="15" t="s">
        <v>39</v>
      </c>
      <c r="M1723" s="16">
        <v>10.0</v>
      </c>
      <c r="N1723" s="16">
        <v>0.35</v>
      </c>
      <c r="O1723" s="16">
        <v>0.35</v>
      </c>
      <c r="P1723" s="17">
        <v>45306.0</v>
      </c>
      <c r="Q1723" s="18">
        <v>1.9</v>
      </c>
      <c r="R1723" s="15" t="s">
        <v>25</v>
      </c>
      <c r="S1723" s="19">
        <f t="shared" si="1"/>
        <v>-0.35</v>
      </c>
      <c r="T1723" s="19">
        <f t="shared" si="8"/>
        <v>60.66660209</v>
      </c>
      <c r="U1723" s="144"/>
    </row>
    <row r="1724">
      <c r="A1724" s="107"/>
      <c r="B1724" s="8"/>
      <c r="C1724" s="8" t="s">
        <v>19</v>
      </c>
      <c r="D1724" s="8">
        <v>40.0</v>
      </c>
      <c r="E1724" s="8" t="s">
        <v>4184</v>
      </c>
      <c r="F1724" s="8" t="s">
        <v>1473</v>
      </c>
      <c r="G1724" s="8" t="s">
        <v>2660</v>
      </c>
      <c r="H1724" s="8">
        <f>1</f>
        <v>1</v>
      </c>
      <c r="I1724" s="8" t="s">
        <v>82</v>
      </c>
      <c r="J1724" s="8" t="s">
        <v>22</v>
      </c>
      <c r="K1724" s="8" t="s">
        <v>892</v>
      </c>
      <c r="L1724" s="8" t="s">
        <v>24</v>
      </c>
      <c r="M1724" s="9">
        <v>0.0</v>
      </c>
      <c r="N1724" s="9">
        <v>0.2</v>
      </c>
      <c r="O1724" s="9">
        <v>0.2</v>
      </c>
      <c r="P1724" s="10">
        <v>45300.0</v>
      </c>
      <c r="Q1724" s="11">
        <v>1.8</v>
      </c>
      <c r="R1724" s="8" t="s">
        <v>70</v>
      </c>
      <c r="S1724" s="12">
        <f t="shared" si="1"/>
        <v>0</v>
      </c>
      <c r="T1724" s="12">
        <f t="shared" si="8"/>
        <v>60.66660209</v>
      </c>
      <c r="U1724" s="145"/>
    </row>
    <row r="1725">
      <c r="A1725" s="29"/>
      <c r="B1725" s="15"/>
      <c r="C1725" s="15" t="s">
        <v>19</v>
      </c>
      <c r="D1725" s="15">
        <v>72.0</v>
      </c>
      <c r="E1725" s="15" t="s">
        <v>4185</v>
      </c>
      <c r="F1725" s="15" t="s">
        <v>1479</v>
      </c>
      <c r="G1725" s="15" t="s">
        <v>2660</v>
      </c>
      <c r="H1725" s="15">
        <v>-1.0</v>
      </c>
      <c r="I1725" s="15" t="s">
        <v>157</v>
      </c>
      <c r="J1725" s="15" t="s">
        <v>22</v>
      </c>
      <c r="K1725" s="15" t="s">
        <v>892</v>
      </c>
      <c r="L1725" s="15" t="s">
        <v>24</v>
      </c>
      <c r="M1725" s="16">
        <v>0.0</v>
      </c>
      <c r="N1725" s="16">
        <v>0.8</v>
      </c>
      <c r="O1725" s="16">
        <v>0.8</v>
      </c>
      <c r="P1725" s="55">
        <v>45301.0</v>
      </c>
      <c r="Q1725" s="18">
        <v>1.85</v>
      </c>
      <c r="R1725" s="15" t="s">
        <v>33</v>
      </c>
      <c r="S1725" s="19">
        <f t="shared" si="1"/>
        <v>0.68</v>
      </c>
      <c r="T1725" s="19">
        <f t="shared" si="8"/>
        <v>61.34660209</v>
      </c>
      <c r="U1725" s="144"/>
    </row>
    <row r="1726">
      <c r="A1726" s="107"/>
      <c r="B1726" s="8"/>
      <c r="C1726" s="8" t="s">
        <v>40</v>
      </c>
      <c r="D1726" s="8">
        <v>77.0</v>
      </c>
      <c r="E1726" s="8" t="s">
        <v>4186</v>
      </c>
      <c r="F1726" s="8" t="s">
        <v>1479</v>
      </c>
      <c r="G1726" s="8" t="s">
        <v>2660</v>
      </c>
      <c r="H1726" s="8">
        <v>-1.0</v>
      </c>
      <c r="I1726" s="8" t="s">
        <v>191</v>
      </c>
      <c r="J1726" s="8" t="s">
        <v>22</v>
      </c>
      <c r="K1726" s="8" t="s">
        <v>892</v>
      </c>
      <c r="L1726" s="8" t="s">
        <v>24</v>
      </c>
      <c r="M1726" s="9">
        <v>0.0</v>
      </c>
      <c r="N1726" s="9">
        <v>0.6</v>
      </c>
      <c r="O1726" s="9">
        <v>0.6</v>
      </c>
      <c r="P1726" s="10">
        <v>45301.0</v>
      </c>
      <c r="Q1726" s="11">
        <v>1.625</v>
      </c>
      <c r="R1726" s="8" t="s">
        <v>70</v>
      </c>
      <c r="S1726" s="12">
        <f t="shared" si="1"/>
        <v>0</v>
      </c>
      <c r="T1726" s="12">
        <f t="shared" si="8"/>
        <v>61.34660209</v>
      </c>
      <c r="U1726" s="145"/>
    </row>
    <row r="1727">
      <c r="A1727" s="29"/>
      <c r="B1727" s="15"/>
      <c r="C1727" s="15" t="s">
        <v>19</v>
      </c>
      <c r="D1727" s="15">
        <v>69.0</v>
      </c>
      <c r="E1727" s="15" t="s">
        <v>4187</v>
      </c>
      <c r="F1727" s="15" t="s">
        <v>1473</v>
      </c>
      <c r="G1727" s="15" t="s">
        <v>2556</v>
      </c>
      <c r="H1727" s="15">
        <v>0.0</v>
      </c>
      <c r="I1727" s="15" t="s">
        <v>157</v>
      </c>
      <c r="J1727" s="15" t="s">
        <v>22</v>
      </c>
      <c r="K1727" s="15" t="s">
        <v>1165</v>
      </c>
      <c r="L1727" s="15" t="s">
        <v>24</v>
      </c>
      <c r="M1727" s="16"/>
      <c r="N1727" s="16">
        <v>0.1</v>
      </c>
      <c r="O1727" s="16">
        <v>0.1</v>
      </c>
      <c r="P1727" s="17">
        <v>45301.0</v>
      </c>
      <c r="Q1727" s="18">
        <v>7.0</v>
      </c>
      <c r="R1727" s="15" t="s">
        <v>25</v>
      </c>
      <c r="S1727" s="19">
        <f t="shared" si="1"/>
        <v>-0.1</v>
      </c>
      <c r="T1727" s="19">
        <f t="shared" si="8"/>
        <v>61.24660209</v>
      </c>
      <c r="U1727" s="144"/>
    </row>
    <row r="1728">
      <c r="A1728" s="107"/>
      <c r="B1728" s="8"/>
      <c r="C1728" s="8" t="s">
        <v>19</v>
      </c>
      <c r="D1728" s="8">
        <v>69.0</v>
      </c>
      <c r="E1728" s="8" t="s">
        <v>4188</v>
      </c>
      <c r="F1728" s="8" t="s">
        <v>1473</v>
      </c>
      <c r="G1728" s="8" t="s">
        <v>2660</v>
      </c>
      <c r="H1728" s="8">
        <v>-1.0</v>
      </c>
      <c r="I1728" s="8" t="s">
        <v>248</v>
      </c>
      <c r="J1728" s="8" t="s">
        <v>22</v>
      </c>
      <c r="K1728" s="8" t="s">
        <v>892</v>
      </c>
      <c r="L1728" s="8" t="s">
        <v>24</v>
      </c>
      <c r="M1728" s="9">
        <v>0.0</v>
      </c>
      <c r="N1728" s="9">
        <v>1.0</v>
      </c>
      <c r="O1728" s="9">
        <v>1.0</v>
      </c>
      <c r="P1728" s="10">
        <v>45301.0</v>
      </c>
      <c r="Q1728" s="11">
        <v>1.9</v>
      </c>
      <c r="R1728" s="8" t="s">
        <v>33</v>
      </c>
      <c r="S1728" s="12">
        <f t="shared" si="1"/>
        <v>0.9</v>
      </c>
      <c r="T1728" s="12">
        <f t="shared" si="8"/>
        <v>62.14660209</v>
      </c>
      <c r="U1728" s="145"/>
    </row>
    <row r="1729">
      <c r="A1729" s="29"/>
      <c r="B1729" s="15"/>
      <c r="C1729" s="15" t="s">
        <v>19</v>
      </c>
      <c r="D1729" s="15">
        <v>45.0</v>
      </c>
      <c r="E1729" s="15" t="s">
        <v>4189</v>
      </c>
      <c r="F1729" s="15" t="s">
        <v>1473</v>
      </c>
      <c r="G1729" s="15" t="s">
        <v>2660</v>
      </c>
      <c r="H1729" s="15">
        <v>0.0</v>
      </c>
      <c r="I1729" s="15" t="s">
        <v>82</v>
      </c>
      <c r="J1729" s="15" t="s">
        <v>22</v>
      </c>
      <c r="K1729" s="15" t="s">
        <v>892</v>
      </c>
      <c r="L1729" s="15" t="s">
        <v>1522</v>
      </c>
      <c r="M1729" s="16">
        <v>0.0</v>
      </c>
      <c r="N1729" s="16">
        <v>0.5</v>
      </c>
      <c r="O1729" s="16">
        <v>0.49</v>
      </c>
      <c r="P1729" s="17">
        <v>45301.0</v>
      </c>
      <c r="Q1729" s="18">
        <v>1.9</v>
      </c>
      <c r="R1729" s="15" t="s">
        <v>70</v>
      </c>
      <c r="S1729" s="19">
        <f t="shared" si="1"/>
        <v>0</v>
      </c>
      <c r="T1729" s="19">
        <f t="shared" si="8"/>
        <v>62.14660209</v>
      </c>
      <c r="U1729" s="144"/>
    </row>
    <row r="1730">
      <c r="A1730" s="107"/>
      <c r="B1730" s="8"/>
      <c r="C1730" s="8" t="s">
        <v>40</v>
      </c>
      <c r="D1730" s="8">
        <v>31.0</v>
      </c>
      <c r="E1730" s="8" t="s">
        <v>4190</v>
      </c>
      <c r="F1730" s="8" t="s">
        <v>1473</v>
      </c>
      <c r="G1730" s="8" t="s">
        <v>2556</v>
      </c>
      <c r="H1730" s="8">
        <v>-1.0</v>
      </c>
      <c r="I1730" s="8" t="s">
        <v>157</v>
      </c>
      <c r="J1730" s="8" t="s">
        <v>22</v>
      </c>
      <c r="K1730" s="8" t="s">
        <v>225</v>
      </c>
      <c r="L1730" s="8" t="s">
        <v>24</v>
      </c>
      <c r="M1730" s="9">
        <v>0.5</v>
      </c>
      <c r="N1730" s="9">
        <v>0.6</v>
      </c>
      <c r="O1730" s="9">
        <v>0.6</v>
      </c>
      <c r="P1730" s="10">
        <v>45302.0</v>
      </c>
      <c r="Q1730" s="11">
        <v>1.875</v>
      </c>
      <c r="R1730" s="8" t="s">
        <v>33</v>
      </c>
      <c r="S1730" s="12">
        <f t="shared" si="1"/>
        <v>0.525</v>
      </c>
      <c r="T1730" s="12">
        <f t="shared" si="8"/>
        <v>62.67160209</v>
      </c>
      <c r="U1730" s="145"/>
    </row>
    <row r="1731">
      <c r="A1731" s="29"/>
      <c r="B1731" s="15"/>
      <c r="C1731" s="15" t="s">
        <v>19</v>
      </c>
      <c r="D1731" s="15">
        <v>30.0</v>
      </c>
      <c r="E1731" s="15" t="s">
        <v>4191</v>
      </c>
      <c r="F1731" s="15" t="s">
        <v>1473</v>
      </c>
      <c r="G1731" s="15" t="s">
        <v>2660</v>
      </c>
      <c r="H1731" s="15">
        <f t="shared" ref="H1731:H1732" si="51">1</f>
        <v>1</v>
      </c>
      <c r="I1731" s="15" t="s">
        <v>820</v>
      </c>
      <c r="J1731" s="15" t="s">
        <v>22</v>
      </c>
      <c r="K1731" s="15" t="s">
        <v>892</v>
      </c>
      <c r="L1731" s="15" t="s">
        <v>39</v>
      </c>
      <c r="M1731" s="16">
        <v>0.0</v>
      </c>
      <c r="N1731" s="16">
        <v>0.6</v>
      </c>
      <c r="O1731" s="16">
        <v>0.6</v>
      </c>
      <c r="P1731" s="17">
        <v>45302.0</v>
      </c>
      <c r="Q1731" s="18">
        <v>1.9</v>
      </c>
      <c r="R1731" s="15" t="s">
        <v>25</v>
      </c>
      <c r="S1731" s="19">
        <f t="shared" si="1"/>
        <v>-0.6</v>
      </c>
      <c r="T1731" s="19">
        <f t="shared" si="8"/>
        <v>62.07160209</v>
      </c>
      <c r="U1731" s="144"/>
    </row>
    <row r="1732">
      <c r="A1732" s="107"/>
      <c r="B1732" s="8"/>
      <c r="C1732" s="8" t="s">
        <v>40</v>
      </c>
      <c r="D1732" s="8">
        <v>45.0</v>
      </c>
      <c r="E1732" s="8" t="s">
        <v>4192</v>
      </c>
      <c r="F1732" s="8" t="s">
        <v>1479</v>
      </c>
      <c r="G1732" s="8" t="s">
        <v>2556</v>
      </c>
      <c r="H1732" s="8">
        <f t="shared" si="51"/>
        <v>1</v>
      </c>
      <c r="I1732" s="8" t="s">
        <v>319</v>
      </c>
      <c r="J1732" s="8" t="s">
        <v>22</v>
      </c>
      <c r="K1732" s="8" t="s">
        <v>1847</v>
      </c>
      <c r="L1732" s="8" t="s">
        <v>24</v>
      </c>
      <c r="M1732" s="9">
        <v>-0.5</v>
      </c>
      <c r="N1732" s="9">
        <v>0.5</v>
      </c>
      <c r="O1732" s="9">
        <v>0.5</v>
      </c>
      <c r="P1732" s="10">
        <v>45302.0</v>
      </c>
      <c r="Q1732" s="11">
        <v>1.8</v>
      </c>
      <c r="R1732" s="8" t="s">
        <v>25</v>
      </c>
      <c r="S1732" s="12">
        <f t="shared" si="1"/>
        <v>-0.5</v>
      </c>
      <c r="T1732" s="12">
        <f t="shared" si="8"/>
        <v>61.57160209</v>
      </c>
      <c r="U1732" s="145"/>
    </row>
    <row r="1733">
      <c r="A1733" s="29"/>
      <c r="B1733" s="15"/>
      <c r="C1733" s="15" t="s">
        <v>19</v>
      </c>
      <c r="D1733" s="15">
        <v>75.0</v>
      </c>
      <c r="E1733" s="15" t="s">
        <v>4193</v>
      </c>
      <c r="F1733" s="15" t="s">
        <v>1473</v>
      </c>
      <c r="G1733" s="15" t="s">
        <v>2556</v>
      </c>
      <c r="H1733" s="15">
        <v>0.0</v>
      </c>
      <c r="I1733" s="15" t="s">
        <v>157</v>
      </c>
      <c r="J1733" s="15" t="s">
        <v>22</v>
      </c>
      <c r="K1733" s="15" t="s">
        <v>225</v>
      </c>
      <c r="L1733" s="15" t="s">
        <v>24</v>
      </c>
      <c r="M1733" s="16">
        <v>0.5</v>
      </c>
      <c r="N1733" s="16">
        <v>0.5</v>
      </c>
      <c r="O1733" s="16">
        <v>0.5</v>
      </c>
      <c r="P1733" s="17">
        <v>45303.0</v>
      </c>
      <c r="Q1733" s="18">
        <v>1.265</v>
      </c>
      <c r="R1733" s="15" t="s">
        <v>33</v>
      </c>
      <c r="S1733" s="19">
        <f t="shared" si="1"/>
        <v>0.1325</v>
      </c>
      <c r="T1733" s="19">
        <f t="shared" si="8"/>
        <v>61.70410209</v>
      </c>
      <c r="U1733" s="144"/>
    </row>
    <row r="1734">
      <c r="A1734" s="107"/>
      <c r="B1734" s="8"/>
      <c r="C1734" s="8" t="s">
        <v>19</v>
      </c>
      <c r="D1734" s="8">
        <v>45.0</v>
      </c>
      <c r="E1734" s="8" t="s">
        <v>4194</v>
      </c>
      <c r="F1734" s="8" t="s">
        <v>1479</v>
      </c>
      <c r="G1734" s="8" t="s">
        <v>2556</v>
      </c>
      <c r="H1734" s="8">
        <v>-1.0</v>
      </c>
      <c r="I1734" s="8" t="s">
        <v>187</v>
      </c>
      <c r="J1734" s="8" t="s">
        <v>22</v>
      </c>
      <c r="K1734" s="8" t="s">
        <v>225</v>
      </c>
      <c r="L1734" s="8" t="s">
        <v>24</v>
      </c>
      <c r="M1734" s="9">
        <v>0.25</v>
      </c>
      <c r="N1734" s="9">
        <v>0.6</v>
      </c>
      <c r="O1734" s="9">
        <v>0.6</v>
      </c>
      <c r="P1734" s="10">
        <v>45303.0</v>
      </c>
      <c r="Q1734" s="11">
        <v>1.8</v>
      </c>
      <c r="R1734" s="8" t="s">
        <v>33</v>
      </c>
      <c r="S1734" s="12">
        <f t="shared" si="1"/>
        <v>0.48</v>
      </c>
      <c r="T1734" s="12">
        <f t="shared" si="8"/>
        <v>62.18410209</v>
      </c>
      <c r="U1734" s="145"/>
    </row>
    <row r="1735">
      <c r="A1735" s="29"/>
      <c r="B1735" s="15"/>
      <c r="C1735" s="15" t="s">
        <v>19</v>
      </c>
      <c r="D1735" s="15">
        <v>80.0</v>
      </c>
      <c r="E1735" s="15" t="s">
        <v>4195</v>
      </c>
      <c r="F1735" s="15" t="s">
        <v>1479</v>
      </c>
      <c r="G1735" s="15" t="s">
        <v>2660</v>
      </c>
      <c r="H1735" s="15">
        <v>0.0</v>
      </c>
      <c r="I1735" s="15" t="s">
        <v>187</v>
      </c>
      <c r="J1735" s="15" t="s">
        <v>22</v>
      </c>
      <c r="K1735" s="15" t="s">
        <v>892</v>
      </c>
      <c r="L1735" s="15" t="s">
        <v>24</v>
      </c>
      <c r="M1735" s="16">
        <v>0.0</v>
      </c>
      <c r="N1735" s="16">
        <v>0.6</v>
      </c>
      <c r="O1735" s="16">
        <v>0.6</v>
      </c>
      <c r="P1735" s="17">
        <v>45303.0</v>
      </c>
      <c r="Q1735" s="18">
        <v>1.6</v>
      </c>
      <c r="R1735" s="15" t="s">
        <v>33</v>
      </c>
      <c r="S1735" s="19">
        <f t="shared" si="1"/>
        <v>0.36</v>
      </c>
      <c r="T1735" s="19">
        <f t="shared" si="8"/>
        <v>62.54410209</v>
      </c>
      <c r="U1735" s="144"/>
    </row>
    <row r="1736">
      <c r="A1736" s="107"/>
      <c r="B1736" s="8"/>
      <c r="C1736" s="8" t="s">
        <v>19</v>
      </c>
      <c r="D1736" s="8">
        <v>70.0</v>
      </c>
      <c r="E1736" s="8" t="s">
        <v>4194</v>
      </c>
      <c r="F1736" s="8" t="s">
        <v>1479</v>
      </c>
      <c r="G1736" s="8" t="s">
        <v>2556</v>
      </c>
      <c r="H1736" s="8">
        <v>-1.0</v>
      </c>
      <c r="I1736" s="8" t="s">
        <v>187</v>
      </c>
      <c r="J1736" s="8" t="s">
        <v>22</v>
      </c>
      <c r="K1736" s="8" t="s">
        <v>892</v>
      </c>
      <c r="L1736" s="8" t="s">
        <v>1522</v>
      </c>
      <c r="M1736" s="9">
        <v>0.0</v>
      </c>
      <c r="N1736" s="9">
        <v>0.4</v>
      </c>
      <c r="O1736" s="9">
        <v>0.28</v>
      </c>
      <c r="P1736" s="10">
        <v>45303.0</v>
      </c>
      <c r="Q1736" s="11">
        <v>2.0</v>
      </c>
      <c r="R1736" s="8" t="s">
        <v>33</v>
      </c>
      <c r="S1736" s="12">
        <f t="shared" si="1"/>
        <v>0.28</v>
      </c>
      <c r="T1736" s="12">
        <f t="shared" si="8"/>
        <v>62.82410209</v>
      </c>
      <c r="U1736" s="145"/>
    </row>
    <row r="1737">
      <c r="A1737" s="29"/>
      <c r="B1737" s="15"/>
      <c r="C1737" s="15" t="s">
        <v>19</v>
      </c>
      <c r="D1737" s="15">
        <v>70.0</v>
      </c>
      <c r="E1737" s="15" t="s">
        <v>4196</v>
      </c>
      <c r="F1737" s="15" t="s">
        <v>1473</v>
      </c>
      <c r="G1737" s="15" t="s">
        <v>2660</v>
      </c>
      <c r="H1737" s="15">
        <v>-1.0</v>
      </c>
      <c r="I1737" s="15" t="s">
        <v>248</v>
      </c>
      <c r="J1737" s="15" t="s">
        <v>22</v>
      </c>
      <c r="K1737" s="15" t="s">
        <v>892</v>
      </c>
      <c r="L1737" s="15" t="s">
        <v>24</v>
      </c>
      <c r="M1737" s="16">
        <v>0.0</v>
      </c>
      <c r="N1737" s="16">
        <v>0.8</v>
      </c>
      <c r="O1737" s="16">
        <v>0.8</v>
      </c>
      <c r="P1737" s="17">
        <v>45303.0</v>
      </c>
      <c r="Q1737" s="18">
        <v>1.675</v>
      </c>
      <c r="R1737" s="15" t="s">
        <v>70</v>
      </c>
      <c r="S1737" s="19">
        <f t="shared" si="1"/>
        <v>0</v>
      </c>
      <c r="T1737" s="19">
        <f t="shared" si="8"/>
        <v>62.82410209</v>
      </c>
      <c r="U1737" s="144"/>
    </row>
    <row r="1738">
      <c r="A1738" s="107"/>
      <c r="B1738" s="8"/>
      <c r="C1738" s="8" t="s">
        <v>19</v>
      </c>
      <c r="D1738" s="8">
        <v>59.0</v>
      </c>
      <c r="E1738" s="8" t="s">
        <v>4197</v>
      </c>
      <c r="F1738" s="8"/>
      <c r="G1738" s="8"/>
      <c r="H1738" s="8"/>
      <c r="I1738" s="8" t="s">
        <v>82</v>
      </c>
      <c r="J1738" s="8" t="s">
        <v>22</v>
      </c>
      <c r="K1738" s="8" t="s">
        <v>440</v>
      </c>
      <c r="L1738" s="8" t="s">
        <v>39</v>
      </c>
      <c r="M1738" s="9">
        <v>3.0</v>
      </c>
      <c r="N1738" s="9">
        <v>0.1</v>
      </c>
      <c r="O1738" s="9">
        <v>0.1</v>
      </c>
      <c r="P1738" s="10">
        <v>45303.0</v>
      </c>
      <c r="Q1738" s="11">
        <v>1.7</v>
      </c>
      <c r="R1738" s="8" t="s">
        <v>33</v>
      </c>
      <c r="S1738" s="12">
        <f t="shared" si="1"/>
        <v>0.07</v>
      </c>
      <c r="T1738" s="12">
        <f t="shared" si="8"/>
        <v>62.89410209</v>
      </c>
      <c r="U1738" s="145"/>
    </row>
    <row r="1739">
      <c r="A1739" s="29"/>
      <c r="B1739" s="15"/>
      <c r="C1739" s="15" t="s">
        <v>19</v>
      </c>
      <c r="D1739" s="15">
        <v>15.0</v>
      </c>
      <c r="E1739" s="15" t="s">
        <v>4198</v>
      </c>
      <c r="F1739" s="15" t="s">
        <v>1473</v>
      </c>
      <c r="G1739" s="15" t="s">
        <v>2556</v>
      </c>
      <c r="H1739" s="15">
        <v>0.0</v>
      </c>
      <c r="I1739" s="15" t="s">
        <v>115</v>
      </c>
      <c r="J1739" s="15" t="s">
        <v>22</v>
      </c>
      <c r="K1739" s="15" t="s">
        <v>225</v>
      </c>
      <c r="L1739" s="15" t="s">
        <v>24</v>
      </c>
      <c r="M1739" s="16">
        <v>0.25</v>
      </c>
      <c r="N1739" s="16">
        <v>1.0</v>
      </c>
      <c r="O1739" s="16">
        <v>1.0</v>
      </c>
      <c r="P1739" s="17">
        <v>45304.0</v>
      </c>
      <c r="Q1739" s="18">
        <v>1.775</v>
      </c>
      <c r="R1739" s="15" t="s">
        <v>25</v>
      </c>
      <c r="S1739" s="19">
        <f t="shared" si="1"/>
        <v>-1</v>
      </c>
      <c r="T1739" s="19">
        <f t="shared" si="8"/>
        <v>61.89410209</v>
      </c>
      <c r="U1739" s="144"/>
    </row>
    <row r="1740">
      <c r="A1740" s="107"/>
      <c r="B1740" s="8"/>
      <c r="C1740" s="8" t="s">
        <v>19</v>
      </c>
      <c r="D1740" s="8">
        <v>20.0</v>
      </c>
      <c r="E1740" s="8" t="s">
        <v>4199</v>
      </c>
      <c r="F1740" s="8" t="s">
        <v>1473</v>
      </c>
      <c r="G1740" s="8" t="s">
        <v>2556</v>
      </c>
      <c r="H1740" s="8">
        <v>0.0</v>
      </c>
      <c r="I1740" s="8" t="s">
        <v>28</v>
      </c>
      <c r="J1740" s="8" t="s">
        <v>22</v>
      </c>
      <c r="K1740" s="8" t="s">
        <v>225</v>
      </c>
      <c r="L1740" s="8" t="s">
        <v>24</v>
      </c>
      <c r="M1740" s="9">
        <v>0.5</v>
      </c>
      <c r="N1740" s="9">
        <v>1.0</v>
      </c>
      <c r="O1740" s="9">
        <v>1.0</v>
      </c>
      <c r="P1740" s="10">
        <v>45304.0</v>
      </c>
      <c r="Q1740" s="11">
        <v>1.22</v>
      </c>
      <c r="R1740" s="8" t="s">
        <v>33</v>
      </c>
      <c r="S1740" s="12">
        <f t="shared" si="1"/>
        <v>0.22</v>
      </c>
      <c r="T1740" s="12">
        <f t="shared" si="8"/>
        <v>62.11410209</v>
      </c>
      <c r="U1740" s="145"/>
    </row>
    <row r="1741">
      <c r="A1741" s="29"/>
      <c r="B1741" s="15"/>
      <c r="C1741" s="15" t="s">
        <v>19</v>
      </c>
      <c r="D1741" s="15">
        <v>63.0</v>
      </c>
      <c r="E1741" s="15" t="s">
        <v>4200</v>
      </c>
      <c r="F1741" s="15" t="s">
        <v>1479</v>
      </c>
      <c r="G1741" s="15" t="s">
        <v>2660</v>
      </c>
      <c r="H1741" s="15">
        <f>1</f>
        <v>1</v>
      </c>
      <c r="I1741" s="15" t="s">
        <v>28</v>
      </c>
      <c r="J1741" s="15" t="s">
        <v>22</v>
      </c>
      <c r="K1741" s="15" t="s">
        <v>892</v>
      </c>
      <c r="L1741" s="15" t="s">
        <v>24</v>
      </c>
      <c r="M1741" s="16">
        <v>0.0</v>
      </c>
      <c r="N1741" s="16">
        <v>0.8</v>
      </c>
      <c r="O1741" s="16">
        <v>0.8</v>
      </c>
      <c r="P1741" s="17">
        <v>45304.0</v>
      </c>
      <c r="Q1741" s="18">
        <v>2.075</v>
      </c>
      <c r="R1741" s="15" t="s">
        <v>33</v>
      </c>
      <c r="S1741" s="19">
        <f t="shared" si="1"/>
        <v>0.86</v>
      </c>
      <c r="T1741" s="19">
        <f t="shared" si="8"/>
        <v>62.97410209</v>
      </c>
      <c r="U1741" s="144"/>
    </row>
    <row r="1742">
      <c r="A1742" s="107"/>
      <c r="B1742" s="8"/>
      <c r="C1742" s="8" t="s">
        <v>19</v>
      </c>
      <c r="D1742" s="8">
        <v>55.0</v>
      </c>
      <c r="E1742" s="8" t="s">
        <v>4201</v>
      </c>
      <c r="F1742" s="8" t="s">
        <v>1473</v>
      </c>
      <c r="G1742" s="8" t="s">
        <v>2660</v>
      </c>
      <c r="H1742" s="8">
        <v>0.0</v>
      </c>
      <c r="I1742" s="8" t="s">
        <v>66</v>
      </c>
      <c r="J1742" s="8" t="s">
        <v>22</v>
      </c>
      <c r="K1742" s="8" t="s">
        <v>892</v>
      </c>
      <c r="L1742" s="8" t="s">
        <v>24</v>
      </c>
      <c r="M1742" s="9">
        <v>0.0</v>
      </c>
      <c r="N1742" s="9">
        <v>0.5</v>
      </c>
      <c r="O1742" s="9">
        <v>0.5</v>
      </c>
      <c r="P1742" s="10">
        <v>45304.0</v>
      </c>
      <c r="Q1742" s="11">
        <v>1.75</v>
      </c>
      <c r="R1742" s="8" t="s">
        <v>25</v>
      </c>
      <c r="S1742" s="12">
        <f t="shared" si="1"/>
        <v>-0.5</v>
      </c>
      <c r="T1742" s="12">
        <f t="shared" si="8"/>
        <v>62.47410209</v>
      </c>
      <c r="U1742" s="145"/>
    </row>
    <row r="1743">
      <c r="A1743" s="29"/>
      <c r="B1743" s="15"/>
      <c r="C1743" s="15" t="s">
        <v>19</v>
      </c>
      <c r="D1743" s="15">
        <v>77.0</v>
      </c>
      <c r="E1743" s="15" t="s">
        <v>4200</v>
      </c>
      <c r="F1743" s="15" t="s">
        <v>1479</v>
      </c>
      <c r="G1743" s="15" t="s">
        <v>2660</v>
      </c>
      <c r="H1743" s="15">
        <v>2</v>
      </c>
      <c r="I1743" s="15" t="s">
        <v>28</v>
      </c>
      <c r="J1743" s="15" t="s">
        <v>22</v>
      </c>
      <c r="K1743" s="15" t="s">
        <v>892</v>
      </c>
      <c r="L1743" s="15" t="s">
        <v>24</v>
      </c>
      <c r="M1743" s="16">
        <v>0.0</v>
      </c>
      <c r="N1743" s="16">
        <v>0.5</v>
      </c>
      <c r="O1743" s="16">
        <v>0.5</v>
      </c>
      <c r="P1743" s="17">
        <v>45304.0</v>
      </c>
      <c r="Q1743" s="18">
        <v>2.05</v>
      </c>
      <c r="R1743" s="15" t="s">
        <v>70</v>
      </c>
      <c r="S1743" s="19">
        <f t="shared" si="1"/>
        <v>0</v>
      </c>
      <c r="T1743" s="19">
        <f t="shared" si="8"/>
        <v>62.47410209</v>
      </c>
      <c r="U1743" s="144"/>
    </row>
    <row r="1744">
      <c r="A1744" s="107"/>
      <c r="B1744" s="8"/>
      <c r="C1744" s="8" t="s">
        <v>40</v>
      </c>
      <c r="D1744" s="8">
        <v>28.0</v>
      </c>
      <c r="E1744" s="8" t="s">
        <v>4202</v>
      </c>
      <c r="F1744" s="8" t="s">
        <v>1473</v>
      </c>
      <c r="G1744" s="8" t="s">
        <v>2660</v>
      </c>
      <c r="H1744" s="8">
        <v>0.0</v>
      </c>
      <c r="I1744" s="8" t="s">
        <v>28</v>
      </c>
      <c r="J1744" s="8" t="s">
        <v>22</v>
      </c>
      <c r="K1744" s="8" t="s">
        <v>892</v>
      </c>
      <c r="L1744" s="8" t="s">
        <v>24</v>
      </c>
      <c r="M1744" s="9">
        <v>0.0</v>
      </c>
      <c r="N1744" s="9">
        <v>0.6</v>
      </c>
      <c r="O1744" s="9">
        <v>0.6</v>
      </c>
      <c r="P1744" s="10">
        <v>45304.0</v>
      </c>
      <c r="Q1744" s="11">
        <v>1.8</v>
      </c>
      <c r="R1744" s="8" t="s">
        <v>70</v>
      </c>
      <c r="S1744" s="12">
        <f t="shared" si="1"/>
        <v>0</v>
      </c>
      <c r="T1744" s="12">
        <f t="shared" si="8"/>
        <v>62.47410209</v>
      </c>
      <c r="U1744" s="145"/>
    </row>
    <row r="1745">
      <c r="A1745" s="29"/>
      <c r="B1745" s="15"/>
      <c r="C1745" s="15" t="s">
        <v>40</v>
      </c>
      <c r="D1745" s="15">
        <v>81.0</v>
      </c>
      <c r="E1745" s="15" t="s">
        <v>4203</v>
      </c>
      <c r="F1745" s="15" t="s">
        <v>1473</v>
      </c>
      <c r="G1745" s="15" t="s">
        <v>2660</v>
      </c>
      <c r="H1745" s="15">
        <v>0.0</v>
      </c>
      <c r="I1745" s="15" t="s">
        <v>28</v>
      </c>
      <c r="J1745" s="15" t="s">
        <v>22</v>
      </c>
      <c r="K1745" s="15" t="s">
        <v>1150</v>
      </c>
      <c r="L1745" s="15" t="s">
        <v>24</v>
      </c>
      <c r="M1745" s="16">
        <v>0.0</v>
      </c>
      <c r="N1745" s="16">
        <v>0.2</v>
      </c>
      <c r="O1745" s="16">
        <v>0.2</v>
      </c>
      <c r="P1745" s="17">
        <v>45304.0</v>
      </c>
      <c r="Q1745" s="18">
        <v>1.75</v>
      </c>
      <c r="R1745" s="15" t="s">
        <v>70</v>
      </c>
      <c r="S1745" s="19">
        <f t="shared" si="1"/>
        <v>0</v>
      </c>
      <c r="T1745" s="19">
        <f t="shared" si="8"/>
        <v>62.47410209</v>
      </c>
      <c r="U1745" s="144"/>
    </row>
    <row r="1746">
      <c r="A1746" s="107"/>
      <c r="B1746" s="8"/>
      <c r="C1746" s="8" t="s">
        <v>19</v>
      </c>
      <c r="D1746" s="8">
        <v>32.0</v>
      </c>
      <c r="E1746" s="8" t="s">
        <v>4204</v>
      </c>
      <c r="F1746" s="8" t="s">
        <v>1473</v>
      </c>
      <c r="G1746" s="8" t="s">
        <v>2556</v>
      </c>
      <c r="H1746" s="8">
        <v>0.0</v>
      </c>
      <c r="I1746" s="8" t="s">
        <v>88</v>
      </c>
      <c r="J1746" s="8" t="s">
        <v>22</v>
      </c>
      <c r="K1746" s="8" t="s">
        <v>941</v>
      </c>
      <c r="L1746" s="8" t="s">
        <v>24</v>
      </c>
      <c r="M1746" s="9">
        <v>0.0</v>
      </c>
      <c r="N1746" s="9">
        <v>1.0</v>
      </c>
      <c r="O1746" s="9">
        <v>1.0</v>
      </c>
      <c r="P1746" s="10">
        <v>45304.0</v>
      </c>
      <c r="Q1746" s="11">
        <v>2.0</v>
      </c>
      <c r="R1746" s="8" t="s">
        <v>70</v>
      </c>
      <c r="S1746" s="12">
        <f t="shared" si="1"/>
        <v>0</v>
      </c>
      <c r="T1746" s="12">
        <f t="shared" si="8"/>
        <v>62.47410209</v>
      </c>
      <c r="U1746" s="145"/>
    </row>
    <row r="1747">
      <c r="A1747" s="29"/>
      <c r="B1747" s="15"/>
      <c r="C1747" s="15" t="s">
        <v>19</v>
      </c>
      <c r="D1747" s="15">
        <v>75.0</v>
      </c>
      <c r="E1747" s="15" t="s">
        <v>4205</v>
      </c>
      <c r="F1747" s="15" t="s">
        <v>1479</v>
      </c>
      <c r="G1747" s="15" t="s">
        <v>2660</v>
      </c>
      <c r="H1747" s="15">
        <f>1</f>
        <v>1</v>
      </c>
      <c r="I1747" s="15" t="s">
        <v>66</v>
      </c>
      <c r="J1747" s="15" t="s">
        <v>22</v>
      </c>
      <c r="K1747" s="15" t="s">
        <v>892</v>
      </c>
      <c r="L1747" s="15" t="s">
        <v>39</v>
      </c>
      <c r="M1747" s="16">
        <v>0.0</v>
      </c>
      <c r="N1747" s="16">
        <v>0.5</v>
      </c>
      <c r="O1747" s="16">
        <v>0.5</v>
      </c>
      <c r="P1747" s="17">
        <v>45304.0</v>
      </c>
      <c r="Q1747" s="18">
        <v>2.025</v>
      </c>
      <c r="R1747" s="15" t="s">
        <v>33</v>
      </c>
      <c r="S1747" s="19">
        <f t="shared" si="1"/>
        <v>0.5125</v>
      </c>
      <c r="T1747" s="19">
        <f t="shared" si="8"/>
        <v>62.98660209</v>
      </c>
      <c r="U1747" s="144"/>
    </row>
    <row r="1748">
      <c r="A1748" s="107"/>
      <c r="B1748" s="8"/>
      <c r="C1748" s="8" t="s">
        <v>40</v>
      </c>
      <c r="D1748" s="8">
        <v>30.0</v>
      </c>
      <c r="E1748" s="8" t="s">
        <v>4206</v>
      </c>
      <c r="F1748" s="8" t="s">
        <v>1473</v>
      </c>
      <c r="G1748" s="8" t="s">
        <v>2556</v>
      </c>
      <c r="H1748" s="8">
        <v>0.0</v>
      </c>
      <c r="I1748" s="8" t="s">
        <v>38</v>
      </c>
      <c r="J1748" s="8" t="s">
        <v>22</v>
      </c>
      <c r="K1748" s="8" t="s">
        <v>225</v>
      </c>
      <c r="L1748" s="8" t="s">
        <v>39</v>
      </c>
      <c r="M1748" s="9">
        <v>0.75</v>
      </c>
      <c r="N1748" s="9">
        <v>0.5</v>
      </c>
      <c r="O1748" s="9">
        <v>0.5</v>
      </c>
      <c r="P1748" s="10">
        <v>45304.0</v>
      </c>
      <c r="Q1748" s="11">
        <v>1.85</v>
      </c>
      <c r="R1748" s="8" t="s">
        <v>33</v>
      </c>
      <c r="S1748" s="12">
        <f t="shared" si="1"/>
        <v>0.425</v>
      </c>
      <c r="T1748" s="12">
        <f t="shared" si="8"/>
        <v>63.41160209</v>
      </c>
      <c r="U1748" s="145"/>
    </row>
    <row r="1749">
      <c r="A1749" s="29"/>
      <c r="B1749" s="15"/>
      <c r="C1749" s="15" t="s">
        <v>40</v>
      </c>
      <c r="D1749" s="15">
        <v>30.0</v>
      </c>
      <c r="E1749" s="15" t="s">
        <v>4207</v>
      </c>
      <c r="F1749" s="15" t="s">
        <v>1473</v>
      </c>
      <c r="G1749" s="15" t="s">
        <v>2556</v>
      </c>
      <c r="H1749" s="15">
        <v>0.0</v>
      </c>
      <c r="I1749" s="15" t="s">
        <v>38</v>
      </c>
      <c r="J1749" s="15" t="s">
        <v>22</v>
      </c>
      <c r="K1749" s="15" t="s">
        <v>1165</v>
      </c>
      <c r="L1749" s="15" t="s">
        <v>39</v>
      </c>
      <c r="M1749" s="16"/>
      <c r="N1749" s="16">
        <v>0.1</v>
      </c>
      <c r="O1749" s="16">
        <v>0.1</v>
      </c>
      <c r="P1749" s="17">
        <v>45304.0</v>
      </c>
      <c r="Q1749" s="18">
        <v>3.1</v>
      </c>
      <c r="R1749" s="15" t="s">
        <v>33</v>
      </c>
      <c r="S1749" s="19">
        <f t="shared" si="1"/>
        <v>0.21</v>
      </c>
      <c r="T1749" s="19">
        <f t="shared" si="8"/>
        <v>63.62160209</v>
      </c>
      <c r="U1749" s="144"/>
    </row>
    <row r="1750">
      <c r="A1750" s="107"/>
      <c r="B1750" s="8"/>
      <c r="C1750" s="8" t="s">
        <v>19</v>
      </c>
      <c r="D1750" s="8">
        <v>30.0</v>
      </c>
      <c r="E1750" s="8" t="s">
        <v>4208</v>
      </c>
      <c r="F1750" s="8" t="s">
        <v>1473</v>
      </c>
      <c r="G1750" s="8" t="s">
        <v>2556</v>
      </c>
      <c r="H1750" s="8">
        <f>1</f>
        <v>1</v>
      </c>
      <c r="I1750" s="8" t="s">
        <v>121</v>
      </c>
      <c r="J1750" s="8" t="s">
        <v>22</v>
      </c>
      <c r="K1750" s="8" t="s">
        <v>225</v>
      </c>
      <c r="L1750" s="8" t="s">
        <v>24</v>
      </c>
      <c r="M1750" s="9">
        <v>0.5</v>
      </c>
      <c r="N1750" s="9">
        <v>0.4</v>
      </c>
      <c r="O1750" s="9">
        <v>0.4</v>
      </c>
      <c r="P1750" s="10">
        <v>45304.0</v>
      </c>
      <c r="Q1750" s="11">
        <v>1.19</v>
      </c>
      <c r="R1750" s="8" t="s">
        <v>33</v>
      </c>
      <c r="S1750" s="12">
        <f t="shared" si="1"/>
        <v>0.076</v>
      </c>
      <c r="T1750" s="12">
        <f t="shared" si="8"/>
        <v>63.69760209</v>
      </c>
      <c r="U1750" s="145"/>
    </row>
    <row r="1751">
      <c r="A1751" s="29"/>
      <c r="B1751" s="15"/>
      <c r="C1751" s="15" t="s">
        <v>19</v>
      </c>
      <c r="D1751" s="15">
        <v>15.0</v>
      </c>
      <c r="E1751" s="15" t="s">
        <v>4209</v>
      </c>
      <c r="F1751" s="15" t="s">
        <v>1479</v>
      </c>
      <c r="G1751" s="15" t="s">
        <v>2556</v>
      </c>
      <c r="H1751" s="15">
        <v>0.0</v>
      </c>
      <c r="I1751" s="15" t="s">
        <v>50</v>
      </c>
      <c r="J1751" s="15" t="s">
        <v>22</v>
      </c>
      <c r="K1751" s="15" t="s">
        <v>225</v>
      </c>
      <c r="L1751" s="15" t="s">
        <v>1522</v>
      </c>
      <c r="M1751" s="16">
        <v>0.5</v>
      </c>
      <c r="N1751" s="16">
        <v>1.0</v>
      </c>
      <c r="O1751" s="16">
        <v>1.0</v>
      </c>
      <c r="P1751" s="17">
        <v>45304.0</v>
      </c>
      <c r="Q1751" s="18">
        <v>1.48</v>
      </c>
      <c r="R1751" s="15" t="s">
        <v>33</v>
      </c>
      <c r="S1751" s="19">
        <f t="shared" si="1"/>
        <v>0.48</v>
      </c>
      <c r="T1751" s="19">
        <f t="shared" si="8"/>
        <v>64.17760209</v>
      </c>
      <c r="U1751" s="144"/>
    </row>
    <row r="1752">
      <c r="A1752" s="107"/>
      <c r="B1752" s="8"/>
      <c r="C1752" s="8" t="s">
        <v>19</v>
      </c>
      <c r="D1752" s="8">
        <v>66.0</v>
      </c>
      <c r="E1752" s="8" t="s">
        <v>4210</v>
      </c>
      <c r="F1752" s="8" t="s">
        <v>1479</v>
      </c>
      <c r="G1752" s="8" t="s">
        <v>2660</v>
      </c>
      <c r="H1752" s="8">
        <v>-1.0</v>
      </c>
      <c r="I1752" s="8" t="s">
        <v>169</v>
      </c>
      <c r="J1752" s="8" t="s">
        <v>22</v>
      </c>
      <c r="K1752" s="8" t="s">
        <v>892</v>
      </c>
      <c r="L1752" s="8" t="s">
        <v>24</v>
      </c>
      <c r="M1752" s="9">
        <v>0.0</v>
      </c>
      <c r="N1752" s="9">
        <v>0.6</v>
      </c>
      <c r="O1752" s="9">
        <v>0.6</v>
      </c>
      <c r="P1752" s="10">
        <v>45304.0</v>
      </c>
      <c r="Q1752" s="11">
        <v>1.975</v>
      </c>
      <c r="R1752" s="8" t="s">
        <v>70</v>
      </c>
      <c r="S1752" s="12">
        <f t="shared" si="1"/>
        <v>0</v>
      </c>
      <c r="T1752" s="12">
        <f t="shared" si="8"/>
        <v>64.17760209</v>
      </c>
      <c r="U1752" s="145"/>
    </row>
    <row r="1753">
      <c r="A1753" s="29"/>
      <c r="B1753" s="15"/>
      <c r="C1753" s="15" t="s">
        <v>19</v>
      </c>
      <c r="D1753" s="15">
        <v>81.0</v>
      </c>
      <c r="E1753" s="15" t="s">
        <v>4211</v>
      </c>
      <c r="F1753" s="15" t="s">
        <v>1473</v>
      </c>
      <c r="G1753" s="15" t="s">
        <v>2660</v>
      </c>
      <c r="H1753" s="15">
        <v>-2.0</v>
      </c>
      <c r="I1753" s="15" t="s">
        <v>2456</v>
      </c>
      <c r="J1753" s="15" t="s">
        <v>22</v>
      </c>
      <c r="K1753" s="15" t="s">
        <v>892</v>
      </c>
      <c r="L1753" s="15" t="s">
        <v>1522</v>
      </c>
      <c r="M1753" s="16">
        <v>0.0</v>
      </c>
      <c r="N1753" s="16">
        <v>0.5</v>
      </c>
      <c r="O1753" s="16">
        <v>0.5</v>
      </c>
      <c r="P1753" s="17">
        <v>45304.0</v>
      </c>
      <c r="Q1753" s="18">
        <v>2.42</v>
      </c>
      <c r="R1753" s="15" t="s">
        <v>70</v>
      </c>
      <c r="S1753" s="19">
        <f t="shared" si="1"/>
        <v>0</v>
      </c>
      <c r="T1753" s="19">
        <f t="shared" si="8"/>
        <v>64.17760209</v>
      </c>
      <c r="U1753" s="144"/>
    </row>
    <row r="1754">
      <c r="A1754" s="107"/>
      <c r="B1754" s="8"/>
      <c r="C1754" s="8" t="s">
        <v>19</v>
      </c>
      <c r="D1754" s="8">
        <v>25.0</v>
      </c>
      <c r="E1754" s="8" t="s">
        <v>4212</v>
      </c>
      <c r="F1754" s="8" t="s">
        <v>1473</v>
      </c>
      <c r="G1754" s="8" t="s">
        <v>2660</v>
      </c>
      <c r="H1754" s="8">
        <v>0.0</v>
      </c>
      <c r="I1754" s="8" t="s">
        <v>248</v>
      </c>
      <c r="J1754" s="8" t="s">
        <v>22</v>
      </c>
      <c r="K1754" s="8" t="s">
        <v>892</v>
      </c>
      <c r="L1754" s="8" t="s">
        <v>24</v>
      </c>
      <c r="M1754" s="9">
        <v>0.0</v>
      </c>
      <c r="N1754" s="9">
        <v>1.0</v>
      </c>
      <c r="O1754" s="9">
        <v>1.0</v>
      </c>
      <c r="P1754" s="10">
        <v>45304.0</v>
      </c>
      <c r="Q1754" s="11">
        <v>1.85</v>
      </c>
      <c r="R1754" s="8" t="s">
        <v>33</v>
      </c>
      <c r="S1754" s="12">
        <f t="shared" si="1"/>
        <v>0.85</v>
      </c>
      <c r="T1754" s="12">
        <f t="shared" si="8"/>
        <v>65.02760209</v>
      </c>
      <c r="U1754" s="145"/>
    </row>
    <row r="1755">
      <c r="A1755" s="29"/>
      <c r="B1755" s="15"/>
      <c r="C1755" s="15" t="s">
        <v>19</v>
      </c>
      <c r="D1755" s="15">
        <v>12.0</v>
      </c>
      <c r="E1755" s="15" t="s">
        <v>4213</v>
      </c>
      <c r="F1755" s="15" t="s">
        <v>1473</v>
      </c>
      <c r="G1755" s="15" t="s">
        <v>2660</v>
      </c>
      <c r="H1755" s="15">
        <v>0.0</v>
      </c>
      <c r="I1755" s="15" t="s">
        <v>167</v>
      </c>
      <c r="J1755" s="15" t="s">
        <v>22</v>
      </c>
      <c r="K1755" s="15" t="s">
        <v>1150</v>
      </c>
      <c r="L1755" s="15" t="s">
        <v>24</v>
      </c>
      <c r="M1755" s="16">
        <v>0.0</v>
      </c>
      <c r="N1755" s="16">
        <v>0.5</v>
      </c>
      <c r="O1755" s="16">
        <v>0.5</v>
      </c>
      <c r="P1755" s="17">
        <v>45304.0</v>
      </c>
      <c r="Q1755" s="18">
        <v>2.0</v>
      </c>
      <c r="R1755" s="15" t="s">
        <v>70</v>
      </c>
      <c r="S1755" s="19">
        <f t="shared" si="1"/>
        <v>0</v>
      </c>
      <c r="T1755" s="19">
        <f t="shared" si="8"/>
        <v>65.02760209</v>
      </c>
      <c r="U1755" s="144"/>
    </row>
    <row r="1756">
      <c r="A1756" s="107"/>
      <c r="B1756" s="8"/>
      <c r="C1756" s="8" t="s">
        <v>19</v>
      </c>
      <c r="D1756" s="8">
        <v>60.0</v>
      </c>
      <c r="E1756" s="8" t="s">
        <v>4214</v>
      </c>
      <c r="F1756" s="8" t="s">
        <v>1479</v>
      </c>
      <c r="G1756" s="8" t="s">
        <v>2573</v>
      </c>
      <c r="H1756" s="8">
        <v>0.0</v>
      </c>
      <c r="I1756" s="8" t="s">
        <v>448</v>
      </c>
      <c r="J1756" s="8" t="s">
        <v>22</v>
      </c>
      <c r="K1756" s="8" t="s">
        <v>894</v>
      </c>
      <c r="L1756" s="8" t="s">
        <v>24</v>
      </c>
      <c r="M1756" s="9">
        <v>-0.25</v>
      </c>
      <c r="N1756" s="9">
        <v>0.1</v>
      </c>
      <c r="O1756" s="9">
        <v>0.1</v>
      </c>
      <c r="P1756" s="10">
        <v>45305.0</v>
      </c>
      <c r="Q1756" s="11">
        <v>2.02</v>
      </c>
      <c r="R1756" s="8" t="s">
        <v>79</v>
      </c>
      <c r="S1756" s="12">
        <f t="shared" si="1"/>
        <v>-0.05</v>
      </c>
      <c r="T1756" s="12">
        <f t="shared" si="8"/>
        <v>64.97760209</v>
      </c>
      <c r="U1756" s="145"/>
    </row>
    <row r="1757">
      <c r="A1757" s="29"/>
      <c r="B1757" s="15"/>
      <c r="C1757" s="15" t="s">
        <v>40</v>
      </c>
      <c r="D1757" s="15">
        <v>15.0</v>
      </c>
      <c r="E1757" s="15" t="s">
        <v>4215</v>
      </c>
      <c r="F1757" s="15" t="s">
        <v>1479</v>
      </c>
      <c r="G1757" s="15" t="s">
        <v>2660</v>
      </c>
      <c r="H1757" s="15">
        <v>0.0</v>
      </c>
      <c r="I1757" s="15" t="s">
        <v>93</v>
      </c>
      <c r="J1757" s="15" t="s">
        <v>22</v>
      </c>
      <c r="K1757" s="15" t="s">
        <v>892</v>
      </c>
      <c r="L1757" s="15" t="s">
        <v>39</v>
      </c>
      <c r="M1757" s="16">
        <v>0.0</v>
      </c>
      <c r="N1757" s="16">
        <v>0.5</v>
      </c>
      <c r="O1757" s="16">
        <v>0.5</v>
      </c>
      <c r="P1757" s="17">
        <v>45305.0</v>
      </c>
      <c r="Q1757" s="18">
        <v>1.8</v>
      </c>
      <c r="R1757" s="15" t="s">
        <v>70</v>
      </c>
      <c r="S1757" s="19">
        <f t="shared" si="1"/>
        <v>0</v>
      </c>
      <c r="T1757" s="19">
        <f t="shared" si="8"/>
        <v>64.97760209</v>
      </c>
      <c r="U1757" s="144"/>
    </row>
    <row r="1758">
      <c r="A1758" s="107"/>
      <c r="B1758" s="8"/>
      <c r="C1758" s="8" t="s">
        <v>40</v>
      </c>
      <c r="D1758" s="8">
        <v>60.0</v>
      </c>
      <c r="E1758" s="8" t="s">
        <v>4216</v>
      </c>
      <c r="F1758" s="8" t="s">
        <v>1473</v>
      </c>
      <c r="G1758" s="8" t="s">
        <v>2660</v>
      </c>
      <c r="H1758" s="8">
        <v>0.0</v>
      </c>
      <c r="I1758" s="8" t="s">
        <v>93</v>
      </c>
      <c r="J1758" s="8" t="s">
        <v>22</v>
      </c>
      <c r="K1758" s="8" t="s">
        <v>892</v>
      </c>
      <c r="L1758" s="8" t="s">
        <v>39</v>
      </c>
      <c r="M1758" s="9">
        <v>0.0</v>
      </c>
      <c r="N1758" s="9">
        <v>0.5</v>
      </c>
      <c r="O1758" s="9">
        <v>0.5</v>
      </c>
      <c r="P1758" s="10">
        <v>45305.0</v>
      </c>
      <c r="Q1758" s="11">
        <v>2.075</v>
      </c>
      <c r="R1758" s="8" t="s">
        <v>33</v>
      </c>
      <c r="S1758" s="12">
        <f t="shared" si="1"/>
        <v>0.5375</v>
      </c>
      <c r="T1758" s="12">
        <f t="shared" si="8"/>
        <v>65.51510209</v>
      </c>
      <c r="U1758" s="145"/>
    </row>
    <row r="1759">
      <c r="A1759" s="29"/>
      <c r="B1759" s="15"/>
      <c r="C1759" s="15" t="s">
        <v>19</v>
      </c>
      <c r="D1759" s="15">
        <v>35.0</v>
      </c>
      <c r="E1759" s="15" t="s">
        <v>4217</v>
      </c>
      <c r="F1759" s="15" t="s">
        <v>1479</v>
      </c>
      <c r="G1759" s="15" t="s">
        <v>2660</v>
      </c>
      <c r="H1759" s="15">
        <v>0.0</v>
      </c>
      <c r="I1759" s="15" t="s">
        <v>48</v>
      </c>
      <c r="J1759" s="15" t="s">
        <v>22</v>
      </c>
      <c r="K1759" s="15" t="s">
        <v>892</v>
      </c>
      <c r="L1759" s="15" t="s">
        <v>24</v>
      </c>
      <c r="M1759" s="16">
        <v>0.0</v>
      </c>
      <c r="N1759" s="16">
        <v>1.0</v>
      </c>
      <c r="O1759" s="16">
        <v>1.0</v>
      </c>
      <c r="P1759" s="17">
        <v>45305.0</v>
      </c>
      <c r="Q1759" s="18">
        <v>1.75</v>
      </c>
      <c r="R1759" s="15" t="s">
        <v>70</v>
      </c>
      <c r="S1759" s="19">
        <f t="shared" si="1"/>
        <v>0</v>
      </c>
      <c r="T1759" s="19">
        <f t="shared" si="8"/>
        <v>65.51510209</v>
      </c>
      <c r="U1759" s="144"/>
    </row>
    <row r="1760">
      <c r="A1760" s="107"/>
      <c r="B1760" s="8"/>
      <c r="C1760" s="8" t="s">
        <v>19</v>
      </c>
      <c r="D1760" s="8">
        <v>75.0</v>
      </c>
      <c r="E1760" s="8" t="s">
        <v>4218</v>
      </c>
      <c r="F1760" s="8" t="s">
        <v>1479</v>
      </c>
      <c r="G1760" s="8" t="s">
        <v>2556</v>
      </c>
      <c r="H1760" s="8">
        <v>0.0</v>
      </c>
      <c r="I1760" s="8" t="s">
        <v>525</v>
      </c>
      <c r="J1760" s="8" t="s">
        <v>22</v>
      </c>
      <c r="K1760" s="8" t="s">
        <v>941</v>
      </c>
      <c r="L1760" s="8" t="s">
        <v>24</v>
      </c>
      <c r="M1760" s="9">
        <v>0.0</v>
      </c>
      <c r="N1760" s="9">
        <v>0.75</v>
      </c>
      <c r="O1760" s="9">
        <v>0.75</v>
      </c>
      <c r="P1760" s="10">
        <v>45305.0</v>
      </c>
      <c r="Q1760" s="11">
        <v>2.0</v>
      </c>
      <c r="R1760" s="8" t="s">
        <v>25</v>
      </c>
      <c r="S1760" s="12">
        <f t="shared" si="1"/>
        <v>-0.75</v>
      </c>
      <c r="T1760" s="12">
        <f t="shared" si="8"/>
        <v>64.76510209</v>
      </c>
      <c r="U1760" s="145"/>
    </row>
    <row r="1761">
      <c r="A1761" s="29"/>
      <c r="B1761" s="15"/>
      <c r="C1761" s="15" t="s">
        <v>19</v>
      </c>
      <c r="D1761" s="15">
        <v>60.0</v>
      </c>
      <c r="E1761" s="15" t="s">
        <v>4219</v>
      </c>
      <c r="F1761" s="15" t="s">
        <v>1479</v>
      </c>
      <c r="G1761" s="15" t="s">
        <v>2660</v>
      </c>
      <c r="H1761" s="15">
        <v>0.0</v>
      </c>
      <c r="I1761" s="15" t="s">
        <v>48</v>
      </c>
      <c r="J1761" s="15" t="s">
        <v>22</v>
      </c>
      <c r="K1761" s="15" t="s">
        <v>892</v>
      </c>
      <c r="L1761" s="15" t="s">
        <v>24</v>
      </c>
      <c r="M1761" s="16">
        <v>0.0</v>
      </c>
      <c r="N1761" s="16">
        <v>1.0</v>
      </c>
      <c r="O1761" s="16">
        <v>1.0</v>
      </c>
      <c r="P1761" s="55">
        <v>45305.0</v>
      </c>
      <c r="Q1761" s="18">
        <v>1.725</v>
      </c>
      <c r="R1761" s="15" t="s">
        <v>25</v>
      </c>
      <c r="S1761" s="19">
        <f t="shared" si="1"/>
        <v>-1</v>
      </c>
      <c r="T1761" s="19">
        <f t="shared" si="8"/>
        <v>63.76510209</v>
      </c>
      <c r="U1761" s="144"/>
    </row>
    <row r="1762">
      <c r="A1762" s="107"/>
      <c r="B1762" s="8"/>
      <c r="C1762" s="8" t="s">
        <v>40</v>
      </c>
      <c r="D1762" s="8">
        <v>60.0</v>
      </c>
      <c r="E1762" s="8" t="s">
        <v>4220</v>
      </c>
      <c r="F1762" s="8" t="s">
        <v>1473</v>
      </c>
      <c r="G1762" s="8" t="s">
        <v>2660</v>
      </c>
      <c r="H1762" s="8">
        <v>-1.0</v>
      </c>
      <c r="I1762" s="8" t="s">
        <v>873</v>
      </c>
      <c r="J1762" s="8" t="s">
        <v>22</v>
      </c>
      <c r="K1762" s="8" t="s">
        <v>892</v>
      </c>
      <c r="L1762" s="8" t="s">
        <v>24</v>
      </c>
      <c r="M1762" s="9">
        <v>0.0</v>
      </c>
      <c r="N1762" s="9">
        <v>0.8</v>
      </c>
      <c r="O1762" s="9">
        <v>0.8</v>
      </c>
      <c r="P1762" s="10">
        <v>45305.0</v>
      </c>
      <c r="Q1762" s="11">
        <v>2.25</v>
      </c>
      <c r="R1762" s="8" t="s">
        <v>70</v>
      </c>
      <c r="S1762" s="12">
        <f t="shared" si="1"/>
        <v>0</v>
      </c>
      <c r="T1762" s="12">
        <f t="shared" si="8"/>
        <v>63.76510209</v>
      </c>
      <c r="U1762" s="145"/>
    </row>
    <row r="1763">
      <c r="A1763" s="29"/>
      <c r="B1763" s="15"/>
      <c r="C1763" s="15" t="s">
        <v>40</v>
      </c>
      <c r="D1763" s="15">
        <v>25.0</v>
      </c>
      <c r="E1763" s="15" t="s">
        <v>4221</v>
      </c>
      <c r="F1763" s="15" t="s">
        <v>1473</v>
      </c>
      <c r="G1763" s="15" t="s">
        <v>2660</v>
      </c>
      <c r="H1763" s="15">
        <v>0.0</v>
      </c>
      <c r="I1763" s="15" t="s">
        <v>38</v>
      </c>
      <c r="J1763" s="15" t="s">
        <v>22</v>
      </c>
      <c r="K1763" s="15" t="s">
        <v>1150</v>
      </c>
      <c r="L1763" s="15" t="s">
        <v>39</v>
      </c>
      <c r="M1763" s="16">
        <v>0.0</v>
      </c>
      <c r="N1763" s="16">
        <v>0.5</v>
      </c>
      <c r="O1763" s="16">
        <v>0.5</v>
      </c>
      <c r="P1763" s="17">
        <v>45305.0</v>
      </c>
      <c r="Q1763" s="18">
        <v>1.85</v>
      </c>
      <c r="R1763" s="15" t="s">
        <v>25</v>
      </c>
      <c r="S1763" s="19">
        <f t="shared" si="1"/>
        <v>-0.5</v>
      </c>
      <c r="T1763" s="19">
        <f t="shared" si="8"/>
        <v>63.26510209</v>
      </c>
      <c r="U1763" s="144"/>
    </row>
    <row r="1764">
      <c r="A1764" s="107"/>
      <c r="B1764" s="8"/>
      <c r="C1764" s="8" t="s">
        <v>40</v>
      </c>
      <c r="D1764" s="8">
        <v>60.0</v>
      </c>
      <c r="E1764" s="8" t="s">
        <v>4222</v>
      </c>
      <c r="F1764" s="8" t="s">
        <v>1473</v>
      </c>
      <c r="G1764" s="8" t="s">
        <v>2556</v>
      </c>
      <c r="H1764" s="8">
        <v>-1.0</v>
      </c>
      <c r="I1764" s="8" t="s">
        <v>93</v>
      </c>
      <c r="J1764" s="8" t="s">
        <v>22</v>
      </c>
      <c r="K1764" s="8" t="s">
        <v>225</v>
      </c>
      <c r="L1764" s="8" t="s">
        <v>1522</v>
      </c>
      <c r="M1764" s="9">
        <v>0.5</v>
      </c>
      <c r="N1764" s="9">
        <v>0.5</v>
      </c>
      <c r="O1764" s="9">
        <v>0.5</v>
      </c>
      <c r="P1764" s="10">
        <v>45305.0</v>
      </c>
      <c r="Q1764" s="11">
        <v>1.2588</v>
      </c>
      <c r="R1764" s="8" t="s">
        <v>33</v>
      </c>
      <c r="S1764" s="12">
        <f t="shared" si="1"/>
        <v>0.1294</v>
      </c>
      <c r="T1764" s="12">
        <f t="shared" si="8"/>
        <v>63.39450209</v>
      </c>
      <c r="U1764" s="145"/>
    </row>
    <row r="1765">
      <c r="A1765" s="29"/>
      <c r="B1765" s="15"/>
      <c r="C1765" s="15" t="s">
        <v>19</v>
      </c>
      <c r="D1765" s="15">
        <v>55.0</v>
      </c>
      <c r="E1765" s="15" t="s">
        <v>4223</v>
      </c>
      <c r="F1765" s="15" t="s">
        <v>1479</v>
      </c>
      <c r="G1765" s="15" t="s">
        <v>2660</v>
      </c>
      <c r="H1765" s="15">
        <v>-1.0</v>
      </c>
      <c r="I1765" s="15" t="s">
        <v>248</v>
      </c>
      <c r="J1765" s="15" t="s">
        <v>22</v>
      </c>
      <c r="K1765" s="15" t="s">
        <v>892</v>
      </c>
      <c r="L1765" s="15" t="s">
        <v>24</v>
      </c>
      <c r="M1765" s="16">
        <v>0.0</v>
      </c>
      <c r="N1765" s="16">
        <v>0.2</v>
      </c>
      <c r="O1765" s="16">
        <v>0.2</v>
      </c>
      <c r="P1765" s="17">
        <v>45305.0</v>
      </c>
      <c r="Q1765" s="18">
        <v>2.02</v>
      </c>
      <c r="R1765" s="15" t="s">
        <v>25</v>
      </c>
      <c r="S1765" s="19">
        <f t="shared" si="1"/>
        <v>-0.2</v>
      </c>
      <c r="T1765" s="19">
        <f t="shared" si="8"/>
        <v>63.19450209</v>
      </c>
      <c r="U1765" s="144"/>
    </row>
    <row r="1766">
      <c r="A1766" s="107"/>
      <c r="B1766" s="8"/>
      <c r="C1766" s="8" t="s">
        <v>19</v>
      </c>
      <c r="D1766" s="8">
        <v>60.0</v>
      </c>
      <c r="E1766" s="8" t="s">
        <v>4224</v>
      </c>
      <c r="F1766" s="8" t="s">
        <v>1473</v>
      </c>
      <c r="G1766" s="8" t="s">
        <v>2660</v>
      </c>
      <c r="H1766" s="8">
        <v>-1.0</v>
      </c>
      <c r="I1766" s="8" t="s">
        <v>248</v>
      </c>
      <c r="J1766" s="8" t="s">
        <v>22</v>
      </c>
      <c r="K1766" s="8" t="s">
        <v>892</v>
      </c>
      <c r="L1766" s="8" t="s">
        <v>24</v>
      </c>
      <c r="M1766" s="9">
        <v>0.0</v>
      </c>
      <c r="N1766" s="9">
        <v>0.6</v>
      </c>
      <c r="O1766" s="9">
        <v>0.6</v>
      </c>
      <c r="P1766" s="10">
        <v>45305.0</v>
      </c>
      <c r="Q1766" s="11">
        <v>2.47</v>
      </c>
      <c r="R1766" s="8" t="s">
        <v>33</v>
      </c>
      <c r="S1766" s="12">
        <f t="shared" si="1"/>
        <v>0.882</v>
      </c>
      <c r="T1766" s="12">
        <f t="shared" si="8"/>
        <v>64.07650209</v>
      </c>
      <c r="U1766" s="145"/>
    </row>
    <row r="1767">
      <c r="A1767" s="29"/>
      <c r="B1767" s="15" t="s">
        <v>4225</v>
      </c>
      <c r="C1767" s="15" t="s">
        <v>19</v>
      </c>
      <c r="D1767" s="15">
        <v>0.0</v>
      </c>
      <c r="E1767" s="15" t="s">
        <v>4226</v>
      </c>
      <c r="F1767" s="15" t="s">
        <v>1473</v>
      </c>
      <c r="G1767" s="15" t="s">
        <v>2573</v>
      </c>
      <c r="H1767" s="15">
        <v>0.0</v>
      </c>
      <c r="I1767" s="15" t="s">
        <v>187</v>
      </c>
      <c r="J1767" s="15" t="s">
        <v>22</v>
      </c>
      <c r="K1767" s="15" t="s">
        <v>894</v>
      </c>
      <c r="L1767" s="15" t="s">
        <v>2201</v>
      </c>
      <c r="M1767" s="16">
        <v>-0.25</v>
      </c>
      <c r="N1767" s="16">
        <v>0.1</v>
      </c>
      <c r="O1767" s="16">
        <v>0.1</v>
      </c>
      <c r="P1767" s="17">
        <v>45307.0</v>
      </c>
      <c r="Q1767" s="18">
        <v>1.727</v>
      </c>
      <c r="R1767" s="15" t="s">
        <v>33</v>
      </c>
      <c r="S1767" s="19">
        <f t="shared" si="1"/>
        <v>0.0727</v>
      </c>
      <c r="T1767" s="19">
        <f t="shared" si="8"/>
        <v>64.14920209</v>
      </c>
      <c r="U1767" s="144"/>
    </row>
    <row r="1768">
      <c r="A1768" s="107"/>
      <c r="B1768" s="8" t="s">
        <v>26</v>
      </c>
      <c r="C1768" s="8" t="s">
        <v>19</v>
      </c>
      <c r="D1768" s="8">
        <v>27.0</v>
      </c>
      <c r="E1768" s="8" t="s">
        <v>4227</v>
      </c>
      <c r="F1768" s="8" t="s">
        <v>1473</v>
      </c>
      <c r="G1768" s="8" t="s">
        <v>2556</v>
      </c>
      <c r="H1768" s="8">
        <v>0.0</v>
      </c>
      <c r="I1768" s="8" t="s">
        <v>248</v>
      </c>
      <c r="J1768" s="8" t="s">
        <v>22</v>
      </c>
      <c r="K1768" s="8" t="s">
        <v>225</v>
      </c>
      <c r="L1768" s="8" t="s">
        <v>24</v>
      </c>
      <c r="M1768" s="9">
        <v>0.25</v>
      </c>
      <c r="N1768" s="9">
        <v>0.2</v>
      </c>
      <c r="O1768" s="9">
        <v>0.2</v>
      </c>
      <c r="P1768" s="10">
        <v>45307.0</v>
      </c>
      <c r="Q1768" s="11">
        <v>1.21</v>
      </c>
      <c r="R1768" s="8" t="s">
        <v>33</v>
      </c>
      <c r="S1768" s="12">
        <f t="shared" si="1"/>
        <v>0.042</v>
      </c>
      <c r="T1768" s="12">
        <f t="shared" si="8"/>
        <v>64.19120209</v>
      </c>
      <c r="U1768" s="145"/>
    </row>
    <row r="1769">
      <c r="A1769" s="29"/>
      <c r="B1769" s="15" t="s">
        <v>26</v>
      </c>
      <c r="C1769" s="15" t="s">
        <v>19</v>
      </c>
      <c r="D1769" s="15">
        <v>28.0</v>
      </c>
      <c r="E1769" s="15" t="s">
        <v>4228</v>
      </c>
      <c r="F1769" s="15" t="s">
        <v>1473</v>
      </c>
      <c r="G1769" s="15" t="s">
        <v>2556</v>
      </c>
      <c r="H1769" s="15">
        <v>0.0</v>
      </c>
      <c r="I1769" s="15" t="s">
        <v>248</v>
      </c>
      <c r="J1769" s="15" t="s">
        <v>22</v>
      </c>
      <c r="K1769" s="15" t="s">
        <v>941</v>
      </c>
      <c r="L1769" s="15" t="s">
        <v>24</v>
      </c>
      <c r="M1769" s="16">
        <v>0.0</v>
      </c>
      <c r="N1769" s="16">
        <v>0.5</v>
      </c>
      <c r="O1769" s="16">
        <v>0.5</v>
      </c>
      <c r="P1769" s="17">
        <v>45307.0</v>
      </c>
      <c r="Q1769" s="18">
        <v>2.38</v>
      </c>
      <c r="R1769" s="15" t="s">
        <v>70</v>
      </c>
      <c r="S1769" s="19">
        <f t="shared" si="1"/>
        <v>0</v>
      </c>
      <c r="T1769" s="19">
        <f t="shared" si="8"/>
        <v>64.19120209</v>
      </c>
      <c r="U1769" s="144"/>
    </row>
    <row r="1770">
      <c r="A1770" s="107"/>
      <c r="B1770" s="8" t="s">
        <v>26</v>
      </c>
      <c r="C1770" s="8" t="s">
        <v>19</v>
      </c>
      <c r="D1770" s="8">
        <v>30.0</v>
      </c>
      <c r="E1770" s="8" t="s">
        <v>4229</v>
      </c>
      <c r="F1770" s="8" t="s">
        <v>1473</v>
      </c>
      <c r="G1770" s="8" t="s">
        <v>2660</v>
      </c>
      <c r="H1770" s="8">
        <v>0.0</v>
      </c>
      <c r="I1770" s="8" t="s">
        <v>248</v>
      </c>
      <c r="J1770" s="8" t="s">
        <v>22</v>
      </c>
      <c r="K1770" s="8" t="s">
        <v>892</v>
      </c>
      <c r="L1770" s="8" t="s">
        <v>24</v>
      </c>
      <c r="M1770" s="9">
        <v>0.0</v>
      </c>
      <c r="N1770" s="9">
        <v>0.15</v>
      </c>
      <c r="O1770" s="9">
        <v>0.15</v>
      </c>
      <c r="P1770" s="10">
        <v>45307.0</v>
      </c>
      <c r="Q1770" s="11">
        <v>2.3</v>
      </c>
      <c r="R1770" s="8" t="s">
        <v>70</v>
      </c>
      <c r="S1770" s="12">
        <f t="shared" si="1"/>
        <v>0</v>
      </c>
      <c r="T1770" s="12">
        <f t="shared" si="8"/>
        <v>64.19120209</v>
      </c>
      <c r="U1770" s="145"/>
    </row>
    <row r="1771">
      <c r="A1771" s="29"/>
      <c r="B1771" s="15" t="s">
        <v>26</v>
      </c>
      <c r="C1771" s="15" t="s">
        <v>19</v>
      </c>
      <c r="D1771" s="15">
        <v>60.0</v>
      </c>
      <c r="E1771" s="15" t="s">
        <v>4230</v>
      </c>
      <c r="F1771" s="15" t="s">
        <v>1479</v>
      </c>
      <c r="G1771" s="15" t="s">
        <v>2660</v>
      </c>
      <c r="H1771" s="15">
        <v>0.0</v>
      </c>
      <c r="I1771" s="15" t="s">
        <v>248</v>
      </c>
      <c r="J1771" s="15" t="s">
        <v>22</v>
      </c>
      <c r="K1771" s="15" t="s">
        <v>892</v>
      </c>
      <c r="L1771" s="15" t="s">
        <v>24</v>
      </c>
      <c r="M1771" s="16">
        <v>0.0</v>
      </c>
      <c r="N1771" s="16">
        <v>1.0</v>
      </c>
      <c r="O1771" s="16">
        <v>1.0</v>
      </c>
      <c r="P1771" s="17">
        <v>45307.0</v>
      </c>
      <c r="Q1771" s="18">
        <v>1.9</v>
      </c>
      <c r="R1771" s="15" t="s">
        <v>70</v>
      </c>
      <c r="S1771" s="19">
        <f t="shared" si="1"/>
        <v>0</v>
      </c>
      <c r="T1771" s="19">
        <f t="shared" si="8"/>
        <v>64.19120209</v>
      </c>
      <c r="U1771" s="144"/>
    </row>
    <row r="1772">
      <c r="A1772" s="107"/>
      <c r="B1772" s="8" t="s">
        <v>26</v>
      </c>
      <c r="C1772" s="8" t="s">
        <v>19</v>
      </c>
      <c r="D1772" s="8">
        <v>25.0</v>
      </c>
      <c r="E1772" s="8" t="s">
        <v>4231</v>
      </c>
      <c r="F1772" s="8" t="s">
        <v>1479</v>
      </c>
      <c r="G1772" s="8" t="s">
        <v>2573</v>
      </c>
      <c r="H1772" s="8">
        <v>0.0</v>
      </c>
      <c r="I1772" s="8" t="s">
        <v>794</v>
      </c>
      <c r="J1772" s="8" t="s">
        <v>22</v>
      </c>
      <c r="K1772" s="8" t="s">
        <v>894</v>
      </c>
      <c r="L1772" s="8" t="s">
        <v>1522</v>
      </c>
      <c r="M1772" s="9">
        <v>-0.5</v>
      </c>
      <c r="N1772" s="9">
        <v>0.5</v>
      </c>
      <c r="O1772" s="9">
        <v>0.5</v>
      </c>
      <c r="P1772" s="10">
        <v>45308.0</v>
      </c>
      <c r="Q1772" s="11">
        <v>2.0</v>
      </c>
      <c r="R1772" s="8" t="s">
        <v>25</v>
      </c>
      <c r="S1772" s="12">
        <f t="shared" si="1"/>
        <v>-0.5</v>
      </c>
      <c r="T1772" s="12">
        <f t="shared" si="8"/>
        <v>63.69120209</v>
      </c>
      <c r="U1772" s="145"/>
    </row>
    <row r="1773">
      <c r="A1773" s="29"/>
      <c r="B1773" s="15" t="s">
        <v>26</v>
      </c>
      <c r="C1773" s="15" t="s">
        <v>19</v>
      </c>
      <c r="D1773" s="15">
        <v>25.0</v>
      </c>
      <c r="E1773" s="15" t="s">
        <v>4232</v>
      </c>
      <c r="F1773" s="15" t="s">
        <v>1479</v>
      </c>
      <c r="G1773" s="15" t="s">
        <v>2573</v>
      </c>
      <c r="H1773" s="15">
        <v>0.0</v>
      </c>
      <c r="I1773" s="15" t="s">
        <v>794</v>
      </c>
      <c r="J1773" s="15" t="s">
        <v>22</v>
      </c>
      <c r="K1773" s="15" t="s">
        <v>894</v>
      </c>
      <c r="L1773" s="15" t="s">
        <v>1522</v>
      </c>
      <c r="M1773" s="16">
        <v>-0.25</v>
      </c>
      <c r="N1773" s="16">
        <v>0.25</v>
      </c>
      <c r="O1773" s="16">
        <v>0.25</v>
      </c>
      <c r="P1773" s="17">
        <v>45308.0</v>
      </c>
      <c r="Q1773" s="18">
        <v>1.725</v>
      </c>
      <c r="R1773" s="15" t="s">
        <v>79</v>
      </c>
      <c r="S1773" s="19">
        <f t="shared" si="1"/>
        <v>-0.125</v>
      </c>
      <c r="T1773" s="19">
        <f t="shared" si="8"/>
        <v>63.56620209</v>
      </c>
      <c r="U1773" s="144"/>
    </row>
    <row r="1774">
      <c r="A1774" s="107"/>
      <c r="B1774" s="8" t="s">
        <v>137</v>
      </c>
      <c r="C1774" s="8" t="s">
        <v>19</v>
      </c>
      <c r="D1774" s="8">
        <v>20.0</v>
      </c>
      <c r="E1774" s="8" t="s">
        <v>4233</v>
      </c>
      <c r="F1774" s="8" t="s">
        <v>1473</v>
      </c>
      <c r="G1774" s="8" t="s">
        <v>2660</v>
      </c>
      <c r="H1774" s="8">
        <v>0.0</v>
      </c>
      <c r="I1774" s="8" t="s">
        <v>28</v>
      </c>
      <c r="J1774" s="8" t="s">
        <v>22</v>
      </c>
      <c r="K1774" s="8" t="s">
        <v>1150</v>
      </c>
      <c r="L1774" s="8" t="s">
        <v>24</v>
      </c>
      <c r="M1774" s="9">
        <v>0.0</v>
      </c>
      <c r="N1774" s="9">
        <v>1.0</v>
      </c>
      <c r="O1774" s="9">
        <v>1.0</v>
      </c>
      <c r="P1774" s="10">
        <v>45308.0</v>
      </c>
      <c r="Q1774" s="11">
        <v>1.875</v>
      </c>
      <c r="R1774" s="8" t="s">
        <v>70</v>
      </c>
      <c r="S1774" s="12">
        <f t="shared" si="1"/>
        <v>0</v>
      </c>
      <c r="T1774" s="12">
        <f t="shared" si="8"/>
        <v>63.56620209</v>
      </c>
      <c r="U1774" s="145"/>
    </row>
    <row r="1775">
      <c r="A1775" s="29"/>
      <c r="B1775" s="15" t="s">
        <v>4225</v>
      </c>
      <c r="C1775" s="15" t="s">
        <v>40</v>
      </c>
      <c r="D1775" s="15">
        <v>60.0</v>
      </c>
      <c r="E1775" s="15" t="s">
        <v>4234</v>
      </c>
      <c r="F1775" s="15" t="s">
        <v>1473</v>
      </c>
      <c r="G1775" s="15" t="s">
        <v>2556</v>
      </c>
      <c r="H1775" s="15">
        <v>0.0</v>
      </c>
      <c r="I1775" s="15" t="s">
        <v>1031</v>
      </c>
      <c r="J1775" s="15" t="s">
        <v>22</v>
      </c>
      <c r="K1775" s="15" t="s">
        <v>941</v>
      </c>
      <c r="L1775" s="15" t="s">
        <v>24</v>
      </c>
      <c r="M1775" s="16">
        <v>0.0</v>
      </c>
      <c r="N1775" s="16">
        <v>0.6</v>
      </c>
      <c r="O1775" s="16">
        <v>0.6</v>
      </c>
      <c r="P1775" s="17">
        <v>45308.0</v>
      </c>
      <c r="Q1775" s="18">
        <v>2.37</v>
      </c>
      <c r="R1775" s="15" t="s">
        <v>25</v>
      </c>
      <c r="S1775" s="19">
        <f t="shared" si="1"/>
        <v>-0.6</v>
      </c>
      <c r="T1775" s="19">
        <f t="shared" si="8"/>
        <v>62.96620209</v>
      </c>
      <c r="U1775" s="144"/>
    </row>
    <row r="1776">
      <c r="A1776" s="107"/>
      <c r="B1776" s="8" t="s">
        <v>26</v>
      </c>
      <c r="C1776" s="8" t="s">
        <v>40</v>
      </c>
      <c r="D1776" s="8">
        <v>76.0</v>
      </c>
      <c r="E1776" s="8" t="s">
        <v>4235</v>
      </c>
      <c r="F1776" s="8" t="s">
        <v>1479</v>
      </c>
      <c r="G1776" s="8" t="s">
        <v>2556</v>
      </c>
      <c r="H1776" s="8">
        <f>1</f>
        <v>1</v>
      </c>
      <c r="I1776" s="8" t="s">
        <v>1031</v>
      </c>
      <c r="J1776" s="8" t="s">
        <v>22</v>
      </c>
      <c r="K1776" s="8" t="s">
        <v>225</v>
      </c>
      <c r="L1776" s="8" t="s">
        <v>24</v>
      </c>
      <c r="M1776" s="9">
        <v>0.5</v>
      </c>
      <c r="N1776" s="9">
        <v>1.0</v>
      </c>
      <c r="O1776" s="9">
        <v>1.0</v>
      </c>
      <c r="P1776" s="10">
        <v>45308.0</v>
      </c>
      <c r="Q1776" s="11">
        <v>1.725</v>
      </c>
      <c r="R1776" s="8" t="s">
        <v>33</v>
      </c>
      <c r="S1776" s="12">
        <f t="shared" si="1"/>
        <v>0.725</v>
      </c>
      <c r="T1776" s="12">
        <f t="shared" si="8"/>
        <v>63.69120209</v>
      </c>
      <c r="U1776" s="145"/>
    </row>
    <row r="1777">
      <c r="A1777" s="29"/>
      <c r="B1777" s="15" t="s">
        <v>26</v>
      </c>
      <c r="C1777" s="15" t="s">
        <v>19</v>
      </c>
      <c r="D1777" s="15">
        <v>82.0</v>
      </c>
      <c r="E1777" s="15" t="s">
        <v>4236</v>
      </c>
      <c r="F1777" s="15" t="s">
        <v>1479</v>
      </c>
      <c r="G1777" s="15" t="s">
        <v>2660</v>
      </c>
      <c r="H1777" s="15">
        <v>0.0</v>
      </c>
      <c r="I1777" s="15" t="s">
        <v>106</v>
      </c>
      <c r="J1777" s="15" t="s">
        <v>22</v>
      </c>
      <c r="K1777" s="15" t="s">
        <v>892</v>
      </c>
      <c r="L1777" s="15" t="s">
        <v>24</v>
      </c>
      <c r="M1777" s="16">
        <v>0.0</v>
      </c>
      <c r="N1777" s="16">
        <v>1.0</v>
      </c>
      <c r="O1777" s="16">
        <v>0.88</v>
      </c>
      <c r="P1777" s="17">
        <v>45308.0</v>
      </c>
      <c r="Q1777" s="18">
        <v>1.75</v>
      </c>
      <c r="R1777" s="15" t="s">
        <v>33</v>
      </c>
      <c r="S1777" s="19">
        <f t="shared" si="1"/>
        <v>0.66</v>
      </c>
      <c r="T1777" s="19">
        <f t="shared" si="8"/>
        <v>64.35120209</v>
      </c>
      <c r="U1777" s="144"/>
    </row>
    <row r="1778">
      <c r="A1778" s="107"/>
      <c r="B1778" s="8" t="s">
        <v>18</v>
      </c>
      <c r="C1778" s="8" t="s">
        <v>19</v>
      </c>
      <c r="D1778" s="8">
        <v>65.0</v>
      </c>
      <c r="E1778" s="8" t="s">
        <v>4237</v>
      </c>
      <c r="F1778" s="8" t="s">
        <v>1473</v>
      </c>
      <c r="G1778" s="8" t="s">
        <v>2660</v>
      </c>
      <c r="H1778" s="8">
        <v>-1.0</v>
      </c>
      <c r="I1778" s="8" t="s">
        <v>248</v>
      </c>
      <c r="J1778" s="8" t="s">
        <v>22</v>
      </c>
      <c r="K1778" s="8" t="s">
        <v>892</v>
      </c>
      <c r="L1778" s="8" t="s">
        <v>24</v>
      </c>
      <c r="M1778" s="9">
        <v>0.0</v>
      </c>
      <c r="N1778" s="9">
        <v>0.8</v>
      </c>
      <c r="O1778" s="9">
        <v>0.8</v>
      </c>
      <c r="P1778" s="10">
        <v>45308.0</v>
      </c>
      <c r="Q1778" s="11">
        <v>2.08</v>
      </c>
      <c r="R1778" s="8" t="s">
        <v>70</v>
      </c>
      <c r="S1778" s="12">
        <f t="shared" si="1"/>
        <v>0</v>
      </c>
      <c r="T1778" s="12">
        <f t="shared" si="8"/>
        <v>64.35120209</v>
      </c>
      <c r="U1778" s="145"/>
    </row>
    <row r="1779">
      <c r="A1779" s="29"/>
      <c r="B1779" s="15" t="s">
        <v>26</v>
      </c>
      <c r="C1779" s="15" t="s">
        <v>19</v>
      </c>
      <c r="D1779" s="15">
        <v>29.0</v>
      </c>
      <c r="E1779" s="15" t="s">
        <v>4238</v>
      </c>
      <c r="F1779" s="15" t="s">
        <v>1473</v>
      </c>
      <c r="G1779" s="15"/>
      <c r="H1779" s="15">
        <f>1</f>
        <v>1</v>
      </c>
      <c r="I1779" s="15" t="s">
        <v>82</v>
      </c>
      <c r="J1779" s="15" t="s">
        <v>22</v>
      </c>
      <c r="K1779" s="15" t="s">
        <v>1847</v>
      </c>
      <c r="L1779" s="15" t="s">
        <v>39</v>
      </c>
      <c r="M1779" s="16">
        <v>-0.5</v>
      </c>
      <c r="N1779" s="16">
        <v>0.1</v>
      </c>
      <c r="O1779" s="16">
        <v>0.1</v>
      </c>
      <c r="P1779" s="17">
        <v>45308.0</v>
      </c>
      <c r="Q1779" s="18">
        <v>1.725</v>
      </c>
      <c r="R1779" s="15" t="s">
        <v>25</v>
      </c>
      <c r="S1779" s="19">
        <f t="shared" si="1"/>
        <v>-0.1</v>
      </c>
      <c r="T1779" s="19">
        <f t="shared" si="8"/>
        <v>64.25120209</v>
      </c>
      <c r="U1779" s="144"/>
    </row>
    <row r="1780">
      <c r="A1780" s="107"/>
      <c r="B1780" s="8" t="s">
        <v>26</v>
      </c>
      <c r="C1780" s="8" t="s">
        <v>19</v>
      </c>
      <c r="D1780" s="8">
        <v>11.0</v>
      </c>
      <c r="E1780" s="8" t="s">
        <v>4239</v>
      </c>
      <c r="F1780" s="8"/>
      <c r="G1780" s="8"/>
      <c r="H1780" s="8">
        <v>0.0</v>
      </c>
      <c r="I1780" s="8" t="s">
        <v>82</v>
      </c>
      <c r="J1780" s="8" t="s">
        <v>22</v>
      </c>
      <c r="K1780" s="8" t="s">
        <v>23</v>
      </c>
      <c r="L1780" s="8" t="s">
        <v>39</v>
      </c>
      <c r="M1780" s="9">
        <v>-10.0</v>
      </c>
      <c r="N1780" s="9">
        <v>0.25</v>
      </c>
      <c r="O1780" s="9">
        <v>0.25</v>
      </c>
      <c r="P1780" s="10">
        <v>45308.0</v>
      </c>
      <c r="Q1780" s="11">
        <v>1.85</v>
      </c>
      <c r="R1780" s="8" t="s">
        <v>33</v>
      </c>
      <c r="S1780" s="12">
        <f t="shared" si="1"/>
        <v>0.2125</v>
      </c>
      <c r="T1780" s="12">
        <f t="shared" si="8"/>
        <v>64.46370209</v>
      </c>
      <c r="U1780" s="145"/>
    </row>
    <row r="1781">
      <c r="A1781" s="29"/>
      <c r="B1781" s="15" t="s">
        <v>137</v>
      </c>
      <c r="C1781" s="15" t="s">
        <v>19</v>
      </c>
      <c r="D1781" s="15">
        <v>61.0</v>
      </c>
      <c r="E1781" s="15" t="s">
        <v>4240</v>
      </c>
      <c r="F1781" s="15" t="s">
        <v>1473</v>
      </c>
      <c r="G1781" s="15" t="s">
        <v>2660</v>
      </c>
      <c r="H1781" s="15">
        <v>0.0</v>
      </c>
      <c r="I1781" s="15" t="s">
        <v>923</v>
      </c>
      <c r="J1781" s="15" t="s">
        <v>22</v>
      </c>
      <c r="K1781" s="15" t="s">
        <v>892</v>
      </c>
      <c r="L1781" s="15" t="s">
        <v>24</v>
      </c>
      <c r="M1781" s="16">
        <v>0.0</v>
      </c>
      <c r="N1781" s="16">
        <v>1.0</v>
      </c>
      <c r="O1781" s="16">
        <v>1.0</v>
      </c>
      <c r="P1781" s="17">
        <v>45309.0</v>
      </c>
      <c r="Q1781" s="18">
        <v>1.75</v>
      </c>
      <c r="R1781" s="15" t="s">
        <v>25</v>
      </c>
      <c r="S1781" s="19">
        <f t="shared" si="1"/>
        <v>-1</v>
      </c>
      <c r="T1781" s="19">
        <f t="shared" si="8"/>
        <v>63.46370209</v>
      </c>
      <c r="U1781" s="144"/>
    </row>
    <row r="1782">
      <c r="A1782" s="107"/>
      <c r="B1782" s="8" t="s">
        <v>129</v>
      </c>
      <c r="C1782" s="8" t="s">
        <v>19</v>
      </c>
      <c r="D1782" s="8">
        <v>36.0</v>
      </c>
      <c r="E1782" s="8" t="s">
        <v>4241</v>
      </c>
      <c r="F1782" s="8" t="s">
        <v>1473</v>
      </c>
      <c r="G1782" s="8" t="s">
        <v>2556</v>
      </c>
      <c r="H1782" s="8">
        <v>0.0</v>
      </c>
      <c r="I1782" s="8" t="s">
        <v>616</v>
      </c>
      <c r="J1782" s="8" t="s">
        <v>22</v>
      </c>
      <c r="K1782" s="8" t="s">
        <v>225</v>
      </c>
      <c r="L1782" s="8" t="s">
        <v>24</v>
      </c>
      <c r="M1782" s="9">
        <v>0.5</v>
      </c>
      <c r="N1782" s="9">
        <v>0.6</v>
      </c>
      <c r="O1782" s="9">
        <v>0.5</v>
      </c>
      <c r="P1782" s="10">
        <v>45309.0</v>
      </c>
      <c r="Q1782" s="11">
        <v>1.85</v>
      </c>
      <c r="R1782" s="8" t="s">
        <v>33</v>
      </c>
      <c r="S1782" s="12">
        <f t="shared" si="1"/>
        <v>0.425</v>
      </c>
      <c r="T1782" s="12">
        <f t="shared" si="8"/>
        <v>63.88870209</v>
      </c>
      <c r="U1782" s="145"/>
    </row>
    <row r="1783">
      <c r="A1783" s="29"/>
      <c r="B1783" s="15" t="s">
        <v>129</v>
      </c>
      <c r="C1783" s="15" t="s">
        <v>19</v>
      </c>
      <c r="D1783" s="15">
        <v>37.0</v>
      </c>
      <c r="E1783" s="15" t="s">
        <v>4242</v>
      </c>
      <c r="F1783" s="15" t="s">
        <v>1473</v>
      </c>
      <c r="G1783" s="15" t="s">
        <v>2556</v>
      </c>
      <c r="H1783" s="15">
        <v>0.0</v>
      </c>
      <c r="I1783" s="15" t="s">
        <v>616</v>
      </c>
      <c r="J1783" s="15" t="s">
        <v>22</v>
      </c>
      <c r="K1783" s="15" t="s">
        <v>225</v>
      </c>
      <c r="L1783" s="15" t="s">
        <v>24</v>
      </c>
      <c r="M1783" s="16">
        <v>0.25</v>
      </c>
      <c r="N1783" s="16">
        <v>0.2</v>
      </c>
      <c r="O1783" s="16">
        <v>0.2</v>
      </c>
      <c r="P1783" s="17">
        <v>45309.0</v>
      </c>
      <c r="Q1783" s="18">
        <v>2.0</v>
      </c>
      <c r="R1783" s="15" t="s">
        <v>33</v>
      </c>
      <c r="S1783" s="19">
        <f t="shared" si="1"/>
        <v>0.2</v>
      </c>
      <c r="T1783" s="19">
        <f t="shared" si="8"/>
        <v>64.08870209</v>
      </c>
      <c r="U1783" s="144"/>
    </row>
    <row r="1784">
      <c r="A1784" s="107"/>
      <c r="B1784" s="8" t="s">
        <v>129</v>
      </c>
      <c r="C1784" s="8" t="s">
        <v>19</v>
      </c>
      <c r="D1784" s="8">
        <v>39.0</v>
      </c>
      <c r="E1784" s="8" t="s">
        <v>4243</v>
      </c>
      <c r="F1784" s="8" t="s">
        <v>1473</v>
      </c>
      <c r="G1784" s="8" t="s">
        <v>2556</v>
      </c>
      <c r="H1784" s="8">
        <v>0.0</v>
      </c>
      <c r="I1784" s="8" t="s">
        <v>616</v>
      </c>
      <c r="J1784" s="8" t="s">
        <v>22</v>
      </c>
      <c r="K1784" s="8" t="s">
        <v>1165</v>
      </c>
      <c r="L1784" s="8" t="s">
        <v>24</v>
      </c>
      <c r="M1784" s="9"/>
      <c r="N1784" s="9">
        <v>0.1</v>
      </c>
      <c r="O1784" s="9">
        <v>0.1</v>
      </c>
      <c r="P1784" s="10">
        <v>45309.0</v>
      </c>
      <c r="Q1784" s="11">
        <v>3.6</v>
      </c>
      <c r="R1784" s="8" t="s">
        <v>33</v>
      </c>
      <c r="S1784" s="12">
        <f t="shared" si="1"/>
        <v>0.26</v>
      </c>
      <c r="T1784" s="12">
        <f t="shared" si="8"/>
        <v>64.34870209</v>
      </c>
      <c r="U1784" s="145"/>
    </row>
    <row r="1785">
      <c r="A1785" s="29"/>
      <c r="B1785" s="15" t="s">
        <v>129</v>
      </c>
      <c r="C1785" s="15" t="s">
        <v>19</v>
      </c>
      <c r="D1785" s="15">
        <v>70.0</v>
      </c>
      <c r="E1785" s="15" t="s">
        <v>4244</v>
      </c>
      <c r="F1785" s="15" t="s">
        <v>1473</v>
      </c>
      <c r="G1785" s="15" t="s">
        <v>2660</v>
      </c>
      <c r="H1785" s="15">
        <v>0.0</v>
      </c>
      <c r="I1785" s="15" t="s">
        <v>248</v>
      </c>
      <c r="J1785" s="15" t="s">
        <v>22</v>
      </c>
      <c r="K1785" s="15" t="s">
        <v>892</v>
      </c>
      <c r="L1785" s="15" t="s">
        <v>24</v>
      </c>
      <c r="M1785" s="16">
        <v>0.0</v>
      </c>
      <c r="N1785" s="16">
        <v>0.6</v>
      </c>
      <c r="O1785" s="16">
        <v>0.6</v>
      </c>
      <c r="P1785" s="17">
        <v>45309.0</v>
      </c>
      <c r="Q1785" s="18">
        <v>1.975</v>
      </c>
      <c r="R1785" s="15" t="s">
        <v>70</v>
      </c>
      <c r="S1785" s="19">
        <f t="shared" si="1"/>
        <v>0</v>
      </c>
      <c r="T1785" s="19">
        <f t="shared" si="8"/>
        <v>64.34870209</v>
      </c>
      <c r="U1785" s="144"/>
    </row>
    <row r="1786">
      <c r="A1786" s="107"/>
      <c r="B1786" s="8" t="s">
        <v>4225</v>
      </c>
      <c r="C1786" s="8" t="s">
        <v>40</v>
      </c>
      <c r="D1786" s="8">
        <v>20.0</v>
      </c>
      <c r="E1786" s="8" t="s">
        <v>4245</v>
      </c>
      <c r="F1786" s="8" t="s">
        <v>1479</v>
      </c>
      <c r="G1786" s="8" t="s">
        <v>2556</v>
      </c>
      <c r="H1786" s="8">
        <v>0.0</v>
      </c>
      <c r="I1786" s="8" t="s">
        <v>187</v>
      </c>
      <c r="J1786" s="8" t="s">
        <v>22</v>
      </c>
      <c r="K1786" s="8" t="s">
        <v>225</v>
      </c>
      <c r="L1786" s="8" t="s">
        <v>24</v>
      </c>
      <c r="M1786" s="9">
        <v>2.0</v>
      </c>
      <c r="N1786" s="9">
        <v>0.2</v>
      </c>
      <c r="O1786" s="9">
        <v>0.09</v>
      </c>
      <c r="P1786" s="54">
        <v>45310.0</v>
      </c>
      <c r="Q1786" s="11">
        <v>2.0</v>
      </c>
      <c r="R1786" s="8" t="s">
        <v>25</v>
      </c>
      <c r="S1786" s="12">
        <f t="shared" si="1"/>
        <v>-0.09</v>
      </c>
      <c r="T1786" s="12">
        <f t="shared" si="8"/>
        <v>64.25870209</v>
      </c>
      <c r="U1786" s="145"/>
    </row>
    <row r="1787">
      <c r="A1787" s="29"/>
      <c r="B1787" s="15" t="s">
        <v>4225</v>
      </c>
      <c r="C1787" s="15" t="s">
        <v>40</v>
      </c>
      <c r="D1787" s="15">
        <v>20.0</v>
      </c>
      <c r="E1787" s="15" t="s">
        <v>4246</v>
      </c>
      <c r="F1787" s="15" t="s">
        <v>1479</v>
      </c>
      <c r="G1787" s="15" t="s">
        <v>2556</v>
      </c>
      <c r="H1787" s="15">
        <v>0.0</v>
      </c>
      <c r="I1787" s="15" t="s">
        <v>187</v>
      </c>
      <c r="J1787" s="15" t="s">
        <v>22</v>
      </c>
      <c r="K1787" s="15" t="s">
        <v>225</v>
      </c>
      <c r="L1787" s="15" t="s">
        <v>24</v>
      </c>
      <c r="M1787" s="16">
        <v>1.75</v>
      </c>
      <c r="N1787" s="16">
        <v>0.4</v>
      </c>
      <c r="O1787" s="16">
        <v>0.28</v>
      </c>
      <c r="P1787" s="55">
        <v>45310.0</v>
      </c>
      <c r="Q1787" s="18">
        <v>1.95</v>
      </c>
      <c r="R1787" s="15" t="s">
        <v>25</v>
      </c>
      <c r="S1787" s="19">
        <f t="shared" si="1"/>
        <v>-0.28</v>
      </c>
      <c r="T1787" s="19">
        <f t="shared" si="8"/>
        <v>63.97870209</v>
      </c>
      <c r="U1787" s="144"/>
    </row>
    <row r="1788">
      <c r="A1788" s="107"/>
      <c r="B1788" s="8" t="s">
        <v>4225</v>
      </c>
      <c r="C1788" s="8" t="s">
        <v>40</v>
      </c>
      <c r="D1788" s="8">
        <v>20.0</v>
      </c>
      <c r="E1788" s="8" t="s">
        <v>4247</v>
      </c>
      <c r="F1788" s="8" t="s">
        <v>1479</v>
      </c>
      <c r="G1788" s="8" t="s">
        <v>2556</v>
      </c>
      <c r="H1788" s="8">
        <v>0.0</v>
      </c>
      <c r="I1788" s="8" t="s">
        <v>187</v>
      </c>
      <c r="J1788" s="8" t="s">
        <v>22</v>
      </c>
      <c r="K1788" s="8" t="s">
        <v>941</v>
      </c>
      <c r="L1788" s="8" t="s">
        <v>24</v>
      </c>
      <c r="M1788" s="9">
        <v>0.0</v>
      </c>
      <c r="N1788" s="9">
        <v>0.2</v>
      </c>
      <c r="O1788" s="9">
        <v>0.09</v>
      </c>
      <c r="P1788" s="54">
        <v>45310.0</v>
      </c>
      <c r="Q1788" s="11">
        <v>6.5</v>
      </c>
      <c r="R1788" s="8" t="s">
        <v>25</v>
      </c>
      <c r="S1788" s="12">
        <f t="shared" si="1"/>
        <v>-0.09</v>
      </c>
      <c r="T1788" s="12">
        <f t="shared" si="8"/>
        <v>63.88870209</v>
      </c>
      <c r="U1788" s="145"/>
    </row>
    <row r="1789">
      <c r="A1789" s="29"/>
      <c r="B1789" s="15" t="s">
        <v>137</v>
      </c>
      <c r="C1789" s="15" t="s">
        <v>19</v>
      </c>
      <c r="D1789" s="15">
        <v>35.0</v>
      </c>
      <c r="E1789" s="15" t="s">
        <v>4248</v>
      </c>
      <c r="F1789" s="15" t="s">
        <v>1479</v>
      </c>
      <c r="G1789" s="15" t="s">
        <v>2660</v>
      </c>
      <c r="H1789" s="15">
        <v>0.0</v>
      </c>
      <c r="I1789" s="15" t="s">
        <v>248</v>
      </c>
      <c r="J1789" s="15" t="s">
        <v>22</v>
      </c>
      <c r="K1789" s="15" t="s">
        <v>892</v>
      </c>
      <c r="L1789" s="15" t="s">
        <v>24</v>
      </c>
      <c r="M1789" s="16">
        <v>0.0</v>
      </c>
      <c r="N1789" s="16">
        <v>0.4</v>
      </c>
      <c r="O1789" s="16">
        <v>0.02</v>
      </c>
      <c r="P1789" s="55">
        <v>45310.0</v>
      </c>
      <c r="Q1789" s="18">
        <v>1.98</v>
      </c>
      <c r="R1789" s="15" t="s">
        <v>25</v>
      </c>
      <c r="S1789" s="19">
        <f t="shared" si="1"/>
        <v>-0.02</v>
      </c>
      <c r="T1789" s="19">
        <f t="shared" si="8"/>
        <v>63.86870209</v>
      </c>
      <c r="U1789" s="144"/>
    </row>
    <row r="1790">
      <c r="A1790" s="107"/>
      <c r="B1790" s="8" t="s">
        <v>129</v>
      </c>
      <c r="C1790" s="8" t="s">
        <v>19</v>
      </c>
      <c r="D1790" s="8">
        <v>60.0</v>
      </c>
      <c r="E1790" s="8" t="s">
        <v>4249</v>
      </c>
      <c r="F1790" s="8" t="s">
        <v>1473</v>
      </c>
      <c r="G1790" s="8" t="s">
        <v>2660</v>
      </c>
      <c r="H1790" s="8">
        <v>0.0</v>
      </c>
      <c r="I1790" s="8" t="s">
        <v>248</v>
      </c>
      <c r="J1790" s="8" t="s">
        <v>22</v>
      </c>
      <c r="K1790" s="8" t="s">
        <v>892</v>
      </c>
      <c r="L1790" s="8" t="s">
        <v>24</v>
      </c>
      <c r="M1790" s="9">
        <v>0.0</v>
      </c>
      <c r="N1790" s="9">
        <v>0.4</v>
      </c>
      <c r="O1790" s="9">
        <v>0.37</v>
      </c>
      <c r="P1790" s="10">
        <v>45310.0</v>
      </c>
      <c r="Q1790" s="11">
        <v>1.93</v>
      </c>
      <c r="R1790" s="8" t="s">
        <v>25</v>
      </c>
      <c r="S1790" s="12">
        <f t="shared" si="1"/>
        <v>-0.37</v>
      </c>
      <c r="T1790" s="12">
        <f t="shared" si="8"/>
        <v>63.49870209</v>
      </c>
      <c r="U1790" s="145"/>
    </row>
    <row r="1791">
      <c r="A1791" s="29"/>
      <c r="B1791" s="15" t="s">
        <v>26</v>
      </c>
      <c r="C1791" s="15" t="s">
        <v>19</v>
      </c>
      <c r="D1791" s="15">
        <v>20.0</v>
      </c>
      <c r="E1791" s="15" t="s">
        <v>4250</v>
      </c>
      <c r="F1791" s="15" t="s">
        <v>1479</v>
      </c>
      <c r="G1791" s="15" t="s">
        <v>2660</v>
      </c>
      <c r="H1791" s="15">
        <v>0.0</v>
      </c>
      <c r="I1791" s="15" t="s">
        <v>99</v>
      </c>
      <c r="J1791" s="15" t="s">
        <v>22</v>
      </c>
      <c r="K1791" s="15" t="s">
        <v>1150</v>
      </c>
      <c r="L1791" s="15" t="s">
        <v>1522</v>
      </c>
      <c r="M1791" s="16">
        <v>0.0</v>
      </c>
      <c r="N1791" s="16">
        <v>0.5</v>
      </c>
      <c r="O1791" s="16">
        <v>0.5</v>
      </c>
      <c r="P1791" s="17">
        <v>45311.0</v>
      </c>
      <c r="Q1791" s="18">
        <v>1.975</v>
      </c>
      <c r="R1791" s="15" t="s">
        <v>70</v>
      </c>
      <c r="S1791" s="19">
        <f t="shared" si="1"/>
        <v>0</v>
      </c>
      <c r="T1791" s="19">
        <f t="shared" si="8"/>
        <v>63.49870209</v>
      </c>
      <c r="U1791" s="144"/>
    </row>
    <row r="1792">
      <c r="A1792" s="107"/>
      <c r="B1792" s="8" t="s">
        <v>129</v>
      </c>
      <c r="C1792" s="8" t="s">
        <v>19</v>
      </c>
      <c r="D1792" s="8">
        <v>56.0</v>
      </c>
      <c r="E1792" s="8" t="s">
        <v>4251</v>
      </c>
      <c r="F1792" s="8" t="s">
        <v>1479</v>
      </c>
      <c r="G1792" s="8" t="s">
        <v>2556</v>
      </c>
      <c r="H1792" s="8">
        <v>0.0</v>
      </c>
      <c r="I1792" s="8" t="s">
        <v>28</v>
      </c>
      <c r="J1792" s="8" t="s">
        <v>22</v>
      </c>
      <c r="K1792" s="8" t="s">
        <v>225</v>
      </c>
      <c r="L1792" s="8" t="s">
        <v>24</v>
      </c>
      <c r="M1792" s="9">
        <v>0.5</v>
      </c>
      <c r="N1792" s="9">
        <v>0.8</v>
      </c>
      <c r="O1792" s="9">
        <v>0.8</v>
      </c>
      <c r="P1792" s="10">
        <v>45311.0</v>
      </c>
      <c r="Q1792" s="11">
        <v>1.825</v>
      </c>
      <c r="R1792" s="8" t="s">
        <v>25</v>
      </c>
      <c r="S1792" s="12">
        <f t="shared" si="1"/>
        <v>-0.8</v>
      </c>
      <c r="T1792" s="12">
        <f t="shared" si="8"/>
        <v>62.69870209</v>
      </c>
      <c r="U1792" s="145"/>
    </row>
    <row r="1793">
      <c r="A1793" s="29"/>
      <c r="B1793" s="15" t="s">
        <v>137</v>
      </c>
      <c r="C1793" s="15" t="s">
        <v>19</v>
      </c>
      <c r="D1793" s="15">
        <v>45.0</v>
      </c>
      <c r="E1793" s="15" t="s">
        <v>4252</v>
      </c>
      <c r="F1793" s="15" t="s">
        <v>1473</v>
      </c>
      <c r="G1793" s="15" t="s">
        <v>2556</v>
      </c>
      <c r="H1793" s="15">
        <v>-1.0</v>
      </c>
      <c r="I1793" s="15" t="s">
        <v>659</v>
      </c>
      <c r="J1793" s="15" t="s">
        <v>22</v>
      </c>
      <c r="K1793" s="15" t="s">
        <v>225</v>
      </c>
      <c r="L1793" s="15" t="s">
        <v>24</v>
      </c>
      <c r="M1793" s="16">
        <v>0.5</v>
      </c>
      <c r="N1793" s="16">
        <v>1.0</v>
      </c>
      <c r="O1793" s="16">
        <v>1.0</v>
      </c>
      <c r="P1793" s="17">
        <v>45311.0</v>
      </c>
      <c r="Q1793" s="18">
        <v>1.75</v>
      </c>
      <c r="R1793" s="15" t="s">
        <v>33</v>
      </c>
      <c r="S1793" s="19">
        <f t="shared" si="1"/>
        <v>0.75</v>
      </c>
      <c r="T1793" s="19">
        <f t="shared" si="8"/>
        <v>63.44870209</v>
      </c>
      <c r="U1793" s="144"/>
    </row>
    <row r="1794">
      <c r="A1794" s="107"/>
      <c r="B1794" s="8" t="s">
        <v>26</v>
      </c>
      <c r="C1794" s="8" t="s">
        <v>19</v>
      </c>
      <c r="D1794" s="8">
        <v>80.0</v>
      </c>
      <c r="E1794" s="8" t="s">
        <v>4253</v>
      </c>
      <c r="F1794" s="8" t="s">
        <v>1479</v>
      </c>
      <c r="G1794" s="8" t="s">
        <v>2556</v>
      </c>
      <c r="H1794" s="8">
        <v>0.0</v>
      </c>
      <c r="I1794" s="8" t="s">
        <v>115</v>
      </c>
      <c r="J1794" s="8" t="s">
        <v>22</v>
      </c>
      <c r="K1794" s="8" t="s">
        <v>941</v>
      </c>
      <c r="L1794" s="8" t="s">
        <v>24</v>
      </c>
      <c r="M1794" s="9">
        <v>0.0</v>
      </c>
      <c r="N1794" s="9">
        <v>1.0</v>
      </c>
      <c r="O1794" s="9">
        <v>1.0</v>
      </c>
      <c r="P1794" s="10">
        <v>45311.0</v>
      </c>
      <c r="Q1794" s="11">
        <v>1.8</v>
      </c>
      <c r="R1794" s="8" t="s">
        <v>70</v>
      </c>
      <c r="S1794" s="12">
        <f t="shared" si="1"/>
        <v>0</v>
      </c>
      <c r="T1794" s="12">
        <f t="shared" si="8"/>
        <v>63.44870209</v>
      </c>
      <c r="U1794" s="145"/>
    </row>
    <row r="1795">
      <c r="A1795" s="29"/>
      <c r="B1795" s="15" t="s">
        <v>26</v>
      </c>
      <c r="C1795" s="15" t="s">
        <v>19</v>
      </c>
      <c r="D1795" s="15">
        <v>60.0</v>
      </c>
      <c r="E1795" s="15" t="s">
        <v>4254</v>
      </c>
      <c r="F1795" s="15" t="s">
        <v>1479</v>
      </c>
      <c r="G1795" s="15" t="s">
        <v>2573</v>
      </c>
      <c r="H1795" s="15">
        <v>0.0</v>
      </c>
      <c r="I1795" s="15" t="s">
        <v>93</v>
      </c>
      <c r="J1795" s="15" t="s">
        <v>22</v>
      </c>
      <c r="K1795" s="15" t="s">
        <v>894</v>
      </c>
      <c r="L1795" s="15" t="s">
        <v>24</v>
      </c>
      <c r="M1795" s="16">
        <v>-0.25</v>
      </c>
      <c r="N1795" s="16">
        <v>0.25</v>
      </c>
      <c r="O1795" s="16">
        <v>0.25</v>
      </c>
      <c r="P1795" s="17">
        <v>45311.0</v>
      </c>
      <c r="Q1795" s="18">
        <v>1.75</v>
      </c>
      <c r="R1795" s="15" t="s">
        <v>25</v>
      </c>
      <c r="S1795" s="19">
        <f t="shared" si="1"/>
        <v>-0.25</v>
      </c>
      <c r="T1795" s="19">
        <f t="shared" si="8"/>
        <v>63.19870209</v>
      </c>
      <c r="U1795" s="144"/>
    </row>
    <row r="1796">
      <c r="A1796" s="107"/>
      <c r="B1796" s="8" t="s">
        <v>26</v>
      </c>
      <c r="C1796" s="8" t="s">
        <v>19</v>
      </c>
      <c r="D1796" s="8">
        <v>55.0</v>
      </c>
      <c r="E1796" s="8" t="s">
        <v>4255</v>
      </c>
      <c r="F1796" s="8" t="s">
        <v>1479</v>
      </c>
      <c r="G1796" s="8" t="s">
        <v>2660</v>
      </c>
      <c r="H1796" s="8">
        <v>0.0</v>
      </c>
      <c r="I1796" s="8" t="s">
        <v>273</v>
      </c>
      <c r="J1796" s="8" t="s">
        <v>22</v>
      </c>
      <c r="K1796" s="8" t="s">
        <v>892</v>
      </c>
      <c r="L1796" s="8" t="s">
        <v>39</v>
      </c>
      <c r="M1796" s="9">
        <v>0.0</v>
      </c>
      <c r="N1796" s="9">
        <v>0.5</v>
      </c>
      <c r="O1796" s="9">
        <v>0.5</v>
      </c>
      <c r="P1796" s="10">
        <v>45311.0</v>
      </c>
      <c r="Q1796" s="11">
        <v>1.875</v>
      </c>
      <c r="R1796" s="8" t="s">
        <v>33</v>
      </c>
      <c r="S1796" s="12">
        <f t="shared" si="1"/>
        <v>0.4375</v>
      </c>
      <c r="T1796" s="12">
        <f t="shared" si="8"/>
        <v>63.63620209</v>
      </c>
      <c r="U1796" s="145"/>
    </row>
    <row r="1797">
      <c r="A1797" s="29"/>
      <c r="B1797" s="15" t="s">
        <v>129</v>
      </c>
      <c r="C1797" s="15" t="s">
        <v>19</v>
      </c>
      <c r="D1797" s="15">
        <v>15.0</v>
      </c>
      <c r="E1797" s="15" t="s">
        <v>4256</v>
      </c>
      <c r="F1797" s="15" t="s">
        <v>1473</v>
      </c>
      <c r="G1797" s="15" t="s">
        <v>2556</v>
      </c>
      <c r="H1797" s="15">
        <v>0.0</v>
      </c>
      <c r="I1797" s="15" t="s">
        <v>68</v>
      </c>
      <c r="J1797" s="15" t="s">
        <v>22</v>
      </c>
      <c r="K1797" s="15" t="s">
        <v>225</v>
      </c>
      <c r="L1797" s="15" t="s">
        <v>24</v>
      </c>
      <c r="M1797" s="16">
        <v>0.25</v>
      </c>
      <c r="N1797" s="16">
        <v>0.5</v>
      </c>
      <c r="O1797" s="16">
        <v>0.5</v>
      </c>
      <c r="P1797" s="17">
        <v>45311.0</v>
      </c>
      <c r="Q1797" s="18">
        <v>1.77</v>
      </c>
      <c r="R1797" s="15" t="s">
        <v>996</v>
      </c>
      <c r="S1797" s="19">
        <f t="shared" si="1"/>
        <v>0.1925</v>
      </c>
      <c r="T1797" s="19">
        <f t="shared" si="8"/>
        <v>63.82870209</v>
      </c>
      <c r="U1797" s="144"/>
    </row>
    <row r="1798">
      <c r="A1798" s="107"/>
      <c r="B1798" s="8" t="s">
        <v>129</v>
      </c>
      <c r="C1798" s="8" t="s">
        <v>19</v>
      </c>
      <c r="D1798" s="8">
        <v>15.0</v>
      </c>
      <c r="E1798" s="8" t="s">
        <v>4257</v>
      </c>
      <c r="F1798" s="8" t="s">
        <v>1473</v>
      </c>
      <c r="G1798" s="8" t="s">
        <v>2556</v>
      </c>
      <c r="H1798" s="8">
        <v>0.0</v>
      </c>
      <c r="I1798" s="8" t="s">
        <v>68</v>
      </c>
      <c r="J1798" s="8" t="s">
        <v>22</v>
      </c>
      <c r="K1798" s="8" t="s">
        <v>941</v>
      </c>
      <c r="L1798" s="8" t="s">
        <v>24</v>
      </c>
      <c r="M1798" s="9">
        <v>0.0</v>
      </c>
      <c r="N1798" s="9">
        <v>0.5</v>
      </c>
      <c r="O1798" s="9">
        <v>0.4</v>
      </c>
      <c r="P1798" s="10">
        <v>45311.0</v>
      </c>
      <c r="Q1798" s="11">
        <v>2.25</v>
      </c>
      <c r="R1798" s="8" t="s">
        <v>70</v>
      </c>
      <c r="S1798" s="12">
        <f t="shared" si="1"/>
        <v>0</v>
      </c>
      <c r="T1798" s="12">
        <f t="shared" si="8"/>
        <v>63.82870209</v>
      </c>
      <c r="U1798" s="145"/>
    </row>
    <row r="1799">
      <c r="A1799" s="29"/>
      <c r="B1799" s="15" t="s">
        <v>26</v>
      </c>
      <c r="C1799" s="15" t="s">
        <v>19</v>
      </c>
      <c r="D1799" s="15">
        <v>30.0</v>
      </c>
      <c r="E1799" s="15" t="s">
        <v>4258</v>
      </c>
      <c r="F1799" s="15" t="s">
        <v>1473</v>
      </c>
      <c r="G1799" s="15" t="s">
        <v>2556</v>
      </c>
      <c r="H1799" s="15">
        <v>0.0</v>
      </c>
      <c r="I1799" s="15" t="s">
        <v>115</v>
      </c>
      <c r="J1799" s="15" t="s">
        <v>22</v>
      </c>
      <c r="K1799" s="15" t="s">
        <v>892</v>
      </c>
      <c r="L1799" s="15" t="s">
        <v>24</v>
      </c>
      <c r="M1799" s="16">
        <v>2.0</v>
      </c>
      <c r="N1799" s="16">
        <v>0.5</v>
      </c>
      <c r="O1799" s="16">
        <v>0.5</v>
      </c>
      <c r="P1799" s="17">
        <v>45312.0</v>
      </c>
      <c r="Q1799" s="18">
        <v>1.833</v>
      </c>
      <c r="R1799" s="15" t="s">
        <v>33</v>
      </c>
      <c r="S1799" s="19">
        <f t="shared" si="1"/>
        <v>0.4165</v>
      </c>
      <c r="T1799" s="19">
        <f t="shared" si="8"/>
        <v>64.24520209</v>
      </c>
      <c r="U1799" s="144"/>
    </row>
    <row r="1800">
      <c r="A1800" s="107"/>
      <c r="B1800" s="8" t="s">
        <v>129</v>
      </c>
      <c r="C1800" s="8" t="s">
        <v>19</v>
      </c>
      <c r="D1800" s="8">
        <v>20.0</v>
      </c>
      <c r="E1800" s="8" t="s">
        <v>4259</v>
      </c>
      <c r="F1800" s="8" t="s">
        <v>1473</v>
      </c>
      <c r="G1800" s="8" t="s">
        <v>2660</v>
      </c>
      <c r="H1800" s="8">
        <v>0.0</v>
      </c>
      <c r="I1800" s="8" t="s">
        <v>93</v>
      </c>
      <c r="J1800" s="8" t="s">
        <v>22</v>
      </c>
      <c r="K1800" s="8" t="s">
        <v>1150</v>
      </c>
      <c r="L1800" s="8" t="s">
        <v>24</v>
      </c>
      <c r="M1800" s="9">
        <v>0.0</v>
      </c>
      <c r="N1800" s="9">
        <v>1.0</v>
      </c>
      <c r="O1800" s="9">
        <v>1.0</v>
      </c>
      <c r="P1800" s="10">
        <v>45312.0</v>
      </c>
      <c r="Q1800" s="11">
        <v>2.0</v>
      </c>
      <c r="R1800" s="8" t="s">
        <v>70</v>
      </c>
      <c r="S1800" s="12">
        <f t="shared" si="1"/>
        <v>0</v>
      </c>
      <c r="T1800" s="12">
        <f t="shared" si="8"/>
        <v>64.24520209</v>
      </c>
      <c r="U1800" s="145"/>
    </row>
    <row r="1801">
      <c r="A1801" s="29"/>
      <c r="B1801" s="15" t="s">
        <v>137</v>
      </c>
      <c r="C1801" s="15" t="s">
        <v>19</v>
      </c>
      <c r="D1801" s="15">
        <v>40.0</v>
      </c>
      <c r="E1801" s="15" t="s">
        <v>4260</v>
      </c>
      <c r="F1801" s="15" t="s">
        <v>1473</v>
      </c>
      <c r="G1801" s="15" t="s">
        <v>2556</v>
      </c>
      <c r="H1801" s="15">
        <v>0.0</v>
      </c>
      <c r="I1801" s="15" t="s">
        <v>229</v>
      </c>
      <c r="J1801" s="15" t="s">
        <v>22</v>
      </c>
      <c r="K1801" s="15" t="s">
        <v>225</v>
      </c>
      <c r="L1801" s="15" t="s">
        <v>24</v>
      </c>
      <c r="M1801" s="16">
        <v>0.25</v>
      </c>
      <c r="N1801" s="16">
        <v>0.5</v>
      </c>
      <c r="O1801" s="16">
        <v>0.5</v>
      </c>
      <c r="P1801" s="17">
        <v>45312.0</v>
      </c>
      <c r="Q1801" s="18">
        <v>1.725</v>
      </c>
      <c r="R1801" s="15" t="s">
        <v>25</v>
      </c>
      <c r="S1801" s="19">
        <f t="shared" si="1"/>
        <v>-0.5</v>
      </c>
      <c r="T1801" s="19">
        <f t="shared" si="8"/>
        <v>63.74520209</v>
      </c>
      <c r="U1801" s="144"/>
    </row>
    <row r="1802">
      <c r="A1802" s="107"/>
      <c r="B1802" s="8" t="s">
        <v>129</v>
      </c>
      <c r="C1802" s="8" t="s">
        <v>19</v>
      </c>
      <c r="D1802" s="8">
        <v>20.0</v>
      </c>
      <c r="E1802" s="8" t="s">
        <v>4261</v>
      </c>
      <c r="F1802" s="8" t="s">
        <v>1473</v>
      </c>
      <c r="G1802" s="8" t="s">
        <v>2573</v>
      </c>
      <c r="H1802" s="8">
        <v>0.0</v>
      </c>
      <c r="I1802" s="8" t="s">
        <v>48</v>
      </c>
      <c r="J1802" s="8" t="s">
        <v>22</v>
      </c>
      <c r="K1802" s="8" t="s">
        <v>892</v>
      </c>
      <c r="L1802" s="8" t="s">
        <v>24</v>
      </c>
      <c r="M1802" s="9">
        <v>0.0</v>
      </c>
      <c r="N1802" s="9">
        <v>0.6</v>
      </c>
      <c r="O1802" s="9">
        <v>0.6</v>
      </c>
      <c r="P1802" s="10">
        <v>45312.0</v>
      </c>
      <c r="Q1802" s="11">
        <v>1.68</v>
      </c>
      <c r="R1802" s="8" t="s">
        <v>70</v>
      </c>
      <c r="S1802" s="12">
        <f t="shared" si="1"/>
        <v>0</v>
      </c>
      <c r="T1802" s="12">
        <f t="shared" si="8"/>
        <v>63.74520209</v>
      </c>
      <c r="U1802" s="145"/>
    </row>
    <row r="1803">
      <c r="A1803" s="29"/>
      <c r="B1803" s="15" t="s">
        <v>4225</v>
      </c>
      <c r="C1803" s="15" t="s">
        <v>40</v>
      </c>
      <c r="D1803" s="15">
        <v>65.0</v>
      </c>
      <c r="E1803" s="15" t="s">
        <v>4262</v>
      </c>
      <c r="F1803" s="15" t="s">
        <v>1479</v>
      </c>
      <c r="G1803" s="15" t="s">
        <v>2660</v>
      </c>
      <c r="H1803" s="15" t="s">
        <v>4263</v>
      </c>
      <c r="I1803" s="15" t="s">
        <v>2456</v>
      </c>
      <c r="J1803" s="15" t="s">
        <v>22</v>
      </c>
      <c r="K1803" s="15" t="s">
        <v>892</v>
      </c>
      <c r="L1803" s="15" t="s">
        <v>24</v>
      </c>
      <c r="M1803" s="16">
        <v>0.0</v>
      </c>
      <c r="N1803" s="16">
        <v>1.0</v>
      </c>
      <c r="O1803" s="16">
        <v>0.67</v>
      </c>
      <c r="P1803" s="55">
        <v>45312.0</v>
      </c>
      <c r="Q1803" s="18">
        <v>2.23</v>
      </c>
      <c r="R1803" s="15" t="s">
        <v>70</v>
      </c>
      <c r="S1803" s="19">
        <f t="shared" si="1"/>
        <v>0</v>
      </c>
      <c r="T1803" s="19">
        <f t="shared" si="8"/>
        <v>63.74520209</v>
      </c>
      <c r="U1803" s="144"/>
    </row>
    <row r="1804">
      <c r="A1804" s="107"/>
      <c r="B1804" s="8" t="s">
        <v>137</v>
      </c>
      <c r="C1804" s="8" t="s">
        <v>19</v>
      </c>
      <c r="D1804" s="8">
        <v>67.0</v>
      </c>
      <c r="E1804" s="8" t="s">
        <v>4264</v>
      </c>
      <c r="F1804" s="8" t="s">
        <v>1473</v>
      </c>
      <c r="G1804" s="8" t="s">
        <v>2660</v>
      </c>
      <c r="H1804" s="8">
        <v>-1.0</v>
      </c>
      <c r="I1804" s="8" t="s">
        <v>115</v>
      </c>
      <c r="J1804" s="8" t="s">
        <v>22</v>
      </c>
      <c r="K1804" s="8" t="s">
        <v>892</v>
      </c>
      <c r="L1804" s="8" t="s">
        <v>39</v>
      </c>
      <c r="M1804" s="9">
        <v>0.0</v>
      </c>
      <c r="N1804" s="9">
        <v>1.0</v>
      </c>
      <c r="O1804" s="9">
        <v>0.99</v>
      </c>
      <c r="P1804" s="10">
        <v>45312.0</v>
      </c>
      <c r="Q1804" s="11">
        <v>2.0</v>
      </c>
      <c r="R1804" s="8" t="s">
        <v>25</v>
      </c>
      <c r="S1804" s="12">
        <f t="shared" si="1"/>
        <v>-0.99</v>
      </c>
      <c r="T1804" s="12">
        <f t="shared" si="8"/>
        <v>62.75520209</v>
      </c>
      <c r="U1804" s="145"/>
    </row>
    <row r="1805">
      <c r="A1805" s="29"/>
      <c r="B1805" s="15" t="s">
        <v>129</v>
      </c>
      <c r="C1805" s="15" t="s">
        <v>19</v>
      </c>
      <c r="D1805" s="15">
        <v>65.0</v>
      </c>
      <c r="E1805" s="15" t="s">
        <v>4265</v>
      </c>
      <c r="F1805" s="15" t="s">
        <v>1473</v>
      </c>
      <c r="G1805" s="15" t="s">
        <v>2660</v>
      </c>
      <c r="H1805" s="15">
        <v>0.0</v>
      </c>
      <c r="I1805" s="15" t="s">
        <v>4266</v>
      </c>
      <c r="J1805" s="15" t="s">
        <v>22</v>
      </c>
      <c r="K1805" s="15" t="s">
        <v>892</v>
      </c>
      <c r="L1805" s="15" t="s">
        <v>24</v>
      </c>
      <c r="M1805" s="16">
        <v>0.0</v>
      </c>
      <c r="N1805" s="16">
        <v>0.6</v>
      </c>
      <c r="O1805" s="16">
        <v>0.6</v>
      </c>
      <c r="P1805" s="17">
        <v>45312.0</v>
      </c>
      <c r="Q1805" s="18">
        <v>2.5</v>
      </c>
      <c r="R1805" s="15" t="s">
        <v>25</v>
      </c>
      <c r="S1805" s="19">
        <f t="shared" si="1"/>
        <v>-0.6</v>
      </c>
      <c r="T1805" s="19">
        <f t="shared" si="8"/>
        <v>62.15520209</v>
      </c>
      <c r="U1805" s="144"/>
    </row>
    <row r="1806">
      <c r="A1806" s="107"/>
      <c r="B1806" s="8" t="s">
        <v>18</v>
      </c>
      <c r="C1806" s="8" t="s">
        <v>19</v>
      </c>
      <c r="D1806" s="8">
        <v>30.0</v>
      </c>
      <c r="E1806" s="8" t="s">
        <v>4267</v>
      </c>
      <c r="F1806" s="8" t="s">
        <v>1479</v>
      </c>
      <c r="G1806" s="8" t="s">
        <v>2556</v>
      </c>
      <c r="H1806" s="8">
        <f t="shared" ref="H1806:H1807" si="52">1</f>
        <v>1</v>
      </c>
      <c r="I1806" s="8" t="s">
        <v>167</v>
      </c>
      <c r="J1806" s="8" t="s">
        <v>22</v>
      </c>
      <c r="K1806" s="8" t="s">
        <v>225</v>
      </c>
      <c r="L1806" s="8" t="s">
        <v>24</v>
      </c>
      <c r="M1806" s="9">
        <v>0.5</v>
      </c>
      <c r="N1806" s="9">
        <v>0.75</v>
      </c>
      <c r="O1806" s="9">
        <v>0.75</v>
      </c>
      <c r="P1806" s="10">
        <v>45314.0</v>
      </c>
      <c r="Q1806" s="11">
        <v>1.9</v>
      </c>
      <c r="R1806" s="8" t="s">
        <v>25</v>
      </c>
      <c r="S1806" s="12">
        <f t="shared" si="1"/>
        <v>-0.75</v>
      </c>
      <c r="T1806" s="12">
        <f t="shared" si="8"/>
        <v>61.40520209</v>
      </c>
      <c r="U1806" s="145"/>
    </row>
    <row r="1807">
      <c r="A1807" s="29"/>
      <c r="B1807" s="15" t="s">
        <v>4225</v>
      </c>
      <c r="C1807" s="15" t="s">
        <v>19</v>
      </c>
      <c r="D1807" s="15">
        <v>19.0</v>
      </c>
      <c r="E1807" s="15" t="s">
        <v>4268</v>
      </c>
      <c r="F1807" s="15" t="s">
        <v>1473</v>
      </c>
      <c r="G1807" s="15" t="s">
        <v>2556</v>
      </c>
      <c r="H1807" s="15">
        <f t="shared" si="52"/>
        <v>1</v>
      </c>
      <c r="I1807" s="15" t="s">
        <v>28</v>
      </c>
      <c r="J1807" s="15" t="s">
        <v>22</v>
      </c>
      <c r="K1807" s="15" t="s">
        <v>225</v>
      </c>
      <c r="L1807" s="15" t="s">
        <v>24</v>
      </c>
      <c r="M1807" s="16">
        <v>0.5</v>
      </c>
      <c r="N1807" s="16">
        <v>1.0</v>
      </c>
      <c r="O1807" s="16">
        <v>1.0</v>
      </c>
      <c r="P1807" s="17">
        <v>45314.0</v>
      </c>
      <c r="Q1807" s="18">
        <v>1.85</v>
      </c>
      <c r="R1807" s="15" t="s">
        <v>33</v>
      </c>
      <c r="S1807" s="19">
        <f t="shared" si="1"/>
        <v>0.85</v>
      </c>
      <c r="T1807" s="19">
        <f t="shared" si="8"/>
        <v>62.25520209</v>
      </c>
      <c r="U1807" s="144"/>
    </row>
    <row r="1808">
      <c r="A1808" s="107"/>
      <c r="B1808" s="8" t="s">
        <v>4225</v>
      </c>
      <c r="C1808" s="8" t="s">
        <v>19</v>
      </c>
      <c r="D1808" s="8">
        <v>28.0</v>
      </c>
      <c r="E1808" s="8" t="s">
        <v>4269</v>
      </c>
      <c r="F1808" s="8" t="s">
        <v>1479</v>
      </c>
      <c r="G1808" s="8" t="s">
        <v>2660</v>
      </c>
      <c r="H1808" s="8">
        <v>0.0</v>
      </c>
      <c r="I1808" s="8" t="s">
        <v>612</v>
      </c>
      <c r="J1808" s="8" t="s">
        <v>22</v>
      </c>
      <c r="K1808" s="8" t="s">
        <v>1150</v>
      </c>
      <c r="L1808" s="8" t="s">
        <v>24</v>
      </c>
      <c r="M1808" s="9">
        <v>0.0</v>
      </c>
      <c r="N1808" s="9">
        <v>0.6</v>
      </c>
      <c r="O1808" s="9">
        <v>0.6</v>
      </c>
      <c r="P1808" s="10">
        <v>45314.0</v>
      </c>
      <c r="Q1808" s="11">
        <v>1.85</v>
      </c>
      <c r="R1808" s="8" t="s">
        <v>33</v>
      </c>
      <c r="S1808" s="12">
        <f t="shared" si="1"/>
        <v>0.51</v>
      </c>
      <c r="T1808" s="12">
        <f t="shared" si="8"/>
        <v>62.76520209</v>
      </c>
      <c r="U1808" s="145"/>
    </row>
    <row r="1809">
      <c r="A1809" s="29"/>
      <c r="B1809" s="15" t="s">
        <v>4225</v>
      </c>
      <c r="C1809" s="15" t="s">
        <v>19</v>
      </c>
      <c r="D1809" s="15">
        <v>0.0</v>
      </c>
      <c r="E1809" s="15" t="s">
        <v>4270</v>
      </c>
      <c r="F1809" s="15" t="s">
        <v>1479</v>
      </c>
      <c r="G1809" s="15" t="s">
        <v>2573</v>
      </c>
      <c r="H1809" s="15">
        <v>0.0</v>
      </c>
      <c r="I1809" s="15" t="s">
        <v>189</v>
      </c>
      <c r="J1809" s="15" t="s">
        <v>598</v>
      </c>
      <c r="K1809" s="15" t="s">
        <v>894</v>
      </c>
      <c r="L1809" s="15" t="s">
        <v>2201</v>
      </c>
      <c r="M1809" s="16">
        <v>-1.0</v>
      </c>
      <c r="N1809" s="16">
        <v>0.1</v>
      </c>
      <c r="O1809" s="16">
        <v>0.1</v>
      </c>
      <c r="P1809" s="17">
        <v>45314.0</v>
      </c>
      <c r="Q1809" s="18">
        <v>1.975</v>
      </c>
      <c r="R1809" s="15" t="s">
        <v>70</v>
      </c>
      <c r="S1809" s="19">
        <f t="shared" si="1"/>
        <v>0</v>
      </c>
      <c r="T1809" s="19">
        <f t="shared" si="8"/>
        <v>62.76520209</v>
      </c>
      <c r="U1809" s="144"/>
    </row>
    <row r="1810">
      <c r="A1810" s="107"/>
      <c r="B1810" s="8" t="s">
        <v>4225</v>
      </c>
      <c r="C1810" s="8" t="s">
        <v>19</v>
      </c>
      <c r="D1810" s="8">
        <v>0.0</v>
      </c>
      <c r="E1810" s="8" t="s">
        <v>4271</v>
      </c>
      <c r="F1810" s="8" t="s">
        <v>4272</v>
      </c>
      <c r="G1810" s="8" t="s">
        <v>2573</v>
      </c>
      <c r="H1810" s="8">
        <v>0.0</v>
      </c>
      <c r="I1810" s="8" t="s">
        <v>2456</v>
      </c>
      <c r="J1810" s="8" t="s">
        <v>598</v>
      </c>
      <c r="K1810" s="8" t="s">
        <v>1847</v>
      </c>
      <c r="L1810" s="8" t="s">
        <v>2201</v>
      </c>
      <c r="M1810" s="9">
        <v>-0.5</v>
      </c>
      <c r="N1810" s="9">
        <v>0.1</v>
      </c>
      <c r="O1810" s="9">
        <v>0.1</v>
      </c>
      <c r="P1810" s="10">
        <v>45314.0</v>
      </c>
      <c r="Q1810" s="11">
        <v>1.85</v>
      </c>
      <c r="R1810" s="8" t="s">
        <v>33</v>
      </c>
      <c r="S1810" s="12">
        <f t="shared" si="1"/>
        <v>0.085</v>
      </c>
      <c r="T1810" s="12">
        <f t="shared" si="8"/>
        <v>62.85020209</v>
      </c>
      <c r="U1810" s="145"/>
    </row>
    <row r="1811">
      <c r="A1811" s="29"/>
      <c r="B1811" s="15" t="s">
        <v>129</v>
      </c>
      <c r="C1811" s="15" t="s">
        <v>19</v>
      </c>
      <c r="D1811" s="15">
        <v>44.0</v>
      </c>
      <c r="E1811" s="15" t="s">
        <v>4273</v>
      </c>
      <c r="F1811" s="15" t="s">
        <v>1473</v>
      </c>
      <c r="G1811" s="15" t="s">
        <v>2660</v>
      </c>
      <c r="H1811" s="15">
        <v>-2.0</v>
      </c>
      <c r="I1811" s="15" t="s">
        <v>923</v>
      </c>
      <c r="J1811" s="15" t="s">
        <v>22</v>
      </c>
      <c r="K1811" s="15" t="s">
        <v>892</v>
      </c>
      <c r="L1811" s="15" t="s">
        <v>24</v>
      </c>
      <c r="M1811" s="16">
        <v>0.0</v>
      </c>
      <c r="N1811" s="16">
        <v>0.5</v>
      </c>
      <c r="O1811" s="16">
        <v>0.24</v>
      </c>
      <c r="P1811" s="55">
        <v>45315.0</v>
      </c>
      <c r="Q1811" s="18">
        <v>1.775</v>
      </c>
      <c r="R1811" s="15" t="s">
        <v>70</v>
      </c>
      <c r="S1811" s="19">
        <f t="shared" si="1"/>
        <v>0</v>
      </c>
      <c r="T1811" s="19">
        <f t="shared" si="8"/>
        <v>62.85020209</v>
      </c>
      <c r="U1811" s="144"/>
    </row>
    <row r="1812">
      <c r="A1812" s="107"/>
      <c r="B1812" s="8" t="s">
        <v>26</v>
      </c>
      <c r="C1812" s="8" t="s">
        <v>19</v>
      </c>
      <c r="D1812" s="8">
        <v>45.0</v>
      </c>
      <c r="E1812" s="8" t="s">
        <v>4274</v>
      </c>
      <c r="F1812" s="8"/>
      <c r="G1812" s="8"/>
      <c r="H1812" s="8"/>
      <c r="I1812" s="8" t="s">
        <v>28</v>
      </c>
      <c r="J1812" s="8" t="s">
        <v>22</v>
      </c>
      <c r="K1812" s="8" t="s">
        <v>1471</v>
      </c>
      <c r="L1812" s="8" t="s">
        <v>1803</v>
      </c>
      <c r="M1812" s="9">
        <v>-3.5</v>
      </c>
      <c r="N1812" s="9">
        <v>0.25</v>
      </c>
      <c r="O1812" s="9">
        <v>0.25</v>
      </c>
      <c r="P1812" s="10">
        <v>45315.0</v>
      </c>
      <c r="Q1812" s="11">
        <v>1.725</v>
      </c>
      <c r="R1812" s="8" t="s">
        <v>70</v>
      </c>
      <c r="S1812" s="12">
        <f t="shared" si="1"/>
        <v>0</v>
      </c>
      <c r="T1812" s="12">
        <f t="shared" si="8"/>
        <v>62.85020209</v>
      </c>
      <c r="U1812" s="145"/>
    </row>
    <row r="1813">
      <c r="A1813" s="29"/>
      <c r="B1813" s="15" t="s">
        <v>18</v>
      </c>
      <c r="C1813" s="15" t="s">
        <v>19</v>
      </c>
      <c r="D1813" s="15">
        <v>83.0</v>
      </c>
      <c r="E1813" s="15" t="s">
        <v>4275</v>
      </c>
      <c r="F1813" s="15" t="s">
        <v>1479</v>
      </c>
      <c r="G1813" s="15" t="s">
        <v>2660</v>
      </c>
      <c r="H1813" s="15">
        <v>0.0</v>
      </c>
      <c r="I1813" s="15" t="s">
        <v>187</v>
      </c>
      <c r="J1813" s="15" t="s">
        <v>22</v>
      </c>
      <c r="K1813" s="15" t="s">
        <v>892</v>
      </c>
      <c r="L1813" s="15" t="s">
        <v>24</v>
      </c>
      <c r="M1813" s="16">
        <v>0.0</v>
      </c>
      <c r="N1813" s="16">
        <v>1.0</v>
      </c>
      <c r="O1813" s="16">
        <v>1.0</v>
      </c>
      <c r="P1813" s="17">
        <v>45315.0</v>
      </c>
      <c r="Q1813" s="18">
        <v>1.75</v>
      </c>
      <c r="R1813" s="15" t="s">
        <v>70</v>
      </c>
      <c r="S1813" s="19">
        <f t="shared" si="1"/>
        <v>0</v>
      </c>
      <c r="T1813" s="19">
        <f t="shared" si="8"/>
        <v>62.85020209</v>
      </c>
      <c r="U1813" s="144"/>
    </row>
    <row r="1814">
      <c r="A1814" s="107"/>
      <c r="B1814" s="8" t="s">
        <v>18</v>
      </c>
      <c r="C1814" s="8" t="s">
        <v>40</v>
      </c>
      <c r="D1814" s="8">
        <v>45.0</v>
      </c>
      <c r="E1814" s="8" t="s">
        <v>4276</v>
      </c>
      <c r="F1814" s="8" t="s">
        <v>1479</v>
      </c>
      <c r="G1814" s="8" t="s">
        <v>2573</v>
      </c>
      <c r="H1814" s="8">
        <v>-1.0</v>
      </c>
      <c r="I1814" s="8" t="s">
        <v>248</v>
      </c>
      <c r="J1814" s="8" t="s">
        <v>22</v>
      </c>
      <c r="K1814" s="8" t="s">
        <v>894</v>
      </c>
      <c r="L1814" s="8" t="s">
        <v>24</v>
      </c>
      <c r="M1814" s="9">
        <v>-0.5</v>
      </c>
      <c r="N1814" s="9">
        <v>0.1</v>
      </c>
      <c r="O1814" s="9">
        <v>0.1</v>
      </c>
      <c r="P1814" s="10">
        <v>45315.0</v>
      </c>
      <c r="Q1814" s="11">
        <v>1.95</v>
      </c>
      <c r="R1814" s="8" t="s">
        <v>33</v>
      </c>
      <c r="S1814" s="12">
        <f t="shared" si="1"/>
        <v>0.095</v>
      </c>
      <c r="T1814" s="12">
        <f t="shared" si="8"/>
        <v>62.94520209</v>
      </c>
      <c r="U1814" s="145"/>
    </row>
    <row r="1815">
      <c r="A1815" s="29"/>
      <c r="B1815" s="15" t="s">
        <v>4225</v>
      </c>
      <c r="C1815" s="15" t="s">
        <v>19</v>
      </c>
      <c r="D1815" s="15">
        <v>0.0</v>
      </c>
      <c r="E1815" s="15" t="s">
        <v>4277</v>
      </c>
      <c r="F1815" s="15" t="s">
        <v>1479</v>
      </c>
      <c r="G1815" s="15" t="s">
        <v>2660</v>
      </c>
      <c r="H1815" s="15">
        <v>0.0</v>
      </c>
      <c r="I1815" s="15" t="s">
        <v>227</v>
      </c>
      <c r="J1815" s="15" t="s">
        <v>22</v>
      </c>
      <c r="K1815" s="15" t="s">
        <v>892</v>
      </c>
      <c r="L1815" s="15" t="s">
        <v>1851</v>
      </c>
      <c r="M1815" s="16">
        <v>0.0</v>
      </c>
      <c r="N1815" s="16">
        <v>0.1</v>
      </c>
      <c r="O1815" s="16">
        <v>0.1</v>
      </c>
      <c r="P1815" s="17">
        <v>45315.0</v>
      </c>
      <c r="Q1815" s="18">
        <v>1.8</v>
      </c>
      <c r="R1815" s="15" t="s">
        <v>70</v>
      </c>
      <c r="S1815" s="19">
        <f t="shared" si="1"/>
        <v>0</v>
      </c>
      <c r="T1815" s="19">
        <f t="shared" si="8"/>
        <v>62.94520209</v>
      </c>
      <c r="U1815" s="144"/>
    </row>
    <row r="1816">
      <c r="A1816" s="107"/>
      <c r="B1816" s="8" t="s">
        <v>26</v>
      </c>
      <c r="C1816" s="8" t="s">
        <v>40</v>
      </c>
      <c r="D1816" s="8">
        <v>33.0</v>
      </c>
      <c r="E1816" s="8" t="s">
        <v>4278</v>
      </c>
      <c r="F1816" s="8" t="s">
        <v>1473</v>
      </c>
      <c r="G1816" s="8" t="s">
        <v>2556</v>
      </c>
      <c r="H1816" s="8">
        <v>-1.0</v>
      </c>
      <c r="I1816" s="8" t="s">
        <v>28</v>
      </c>
      <c r="J1816" s="8" t="s">
        <v>22</v>
      </c>
      <c r="K1816" s="8" t="s">
        <v>225</v>
      </c>
      <c r="L1816" s="8" t="s">
        <v>24</v>
      </c>
      <c r="M1816" s="9">
        <v>3.0</v>
      </c>
      <c r="N1816" s="9">
        <v>0.75</v>
      </c>
      <c r="O1816" s="9">
        <v>0.75</v>
      </c>
      <c r="P1816" s="10">
        <v>45315.0</v>
      </c>
      <c r="Q1816" s="11">
        <f>136/125</f>
        <v>1.088</v>
      </c>
      <c r="R1816" s="8" t="s">
        <v>33</v>
      </c>
      <c r="S1816" s="12">
        <f t="shared" si="1"/>
        <v>0.066</v>
      </c>
      <c r="T1816" s="12">
        <f t="shared" si="8"/>
        <v>63.01120209</v>
      </c>
      <c r="U1816" s="145"/>
    </row>
    <row r="1817">
      <c r="A1817" s="29"/>
      <c r="B1817" s="15" t="s">
        <v>26</v>
      </c>
      <c r="C1817" s="15" t="s">
        <v>19</v>
      </c>
      <c r="D1817" s="15">
        <v>63.0</v>
      </c>
      <c r="E1817" s="15" t="s">
        <v>4279</v>
      </c>
      <c r="F1817" s="15" t="s">
        <v>1479</v>
      </c>
      <c r="G1817" s="15" t="s">
        <v>2660</v>
      </c>
      <c r="H1817" s="15">
        <v>2</v>
      </c>
      <c r="I1817" s="15" t="s">
        <v>28</v>
      </c>
      <c r="J1817" s="15" t="s">
        <v>22</v>
      </c>
      <c r="K1817" s="15" t="s">
        <v>892</v>
      </c>
      <c r="L1817" s="15" t="s">
        <v>24</v>
      </c>
      <c r="M1817" s="16">
        <v>0.0</v>
      </c>
      <c r="N1817" s="16">
        <v>0.25</v>
      </c>
      <c r="O1817" s="16">
        <v>0.25</v>
      </c>
      <c r="P1817" s="17">
        <v>45315.0</v>
      </c>
      <c r="Q1817" s="18">
        <v>1.775</v>
      </c>
      <c r="R1817" s="15" t="s">
        <v>70</v>
      </c>
      <c r="S1817" s="19">
        <f t="shared" si="1"/>
        <v>0</v>
      </c>
      <c r="T1817" s="19">
        <f t="shared" si="8"/>
        <v>63.01120209</v>
      </c>
      <c r="U1817" s="144"/>
    </row>
    <row r="1818">
      <c r="A1818" s="107"/>
      <c r="B1818" s="8" t="s">
        <v>26</v>
      </c>
      <c r="C1818" s="8" t="s">
        <v>19</v>
      </c>
      <c r="D1818" s="8">
        <v>69.0</v>
      </c>
      <c r="E1818" s="8" t="s">
        <v>4279</v>
      </c>
      <c r="F1818" s="8" t="s">
        <v>1479</v>
      </c>
      <c r="G1818" s="8" t="s">
        <v>2660</v>
      </c>
      <c r="H1818" s="8">
        <v>3</v>
      </c>
      <c r="I1818" s="8" t="s">
        <v>28</v>
      </c>
      <c r="J1818" s="8" t="s">
        <v>22</v>
      </c>
      <c r="K1818" s="8" t="s">
        <v>892</v>
      </c>
      <c r="L1818" s="8" t="s">
        <v>24</v>
      </c>
      <c r="M1818" s="9">
        <v>0.0</v>
      </c>
      <c r="N1818" s="9">
        <v>0.25</v>
      </c>
      <c r="O1818" s="9">
        <v>0.25</v>
      </c>
      <c r="P1818" s="10">
        <v>45315.0</v>
      </c>
      <c r="Q1818" s="11">
        <v>1.725</v>
      </c>
      <c r="R1818" s="8" t="s">
        <v>25</v>
      </c>
      <c r="S1818" s="12">
        <f t="shared" si="1"/>
        <v>-0.25</v>
      </c>
      <c r="T1818" s="12">
        <f t="shared" si="8"/>
        <v>62.76120209</v>
      </c>
      <c r="U1818" s="145"/>
    </row>
    <row r="1819">
      <c r="A1819" s="29"/>
      <c r="B1819" s="15" t="s">
        <v>26</v>
      </c>
      <c r="C1819" s="15" t="s">
        <v>19</v>
      </c>
      <c r="D1819" s="15">
        <v>79.0</v>
      </c>
      <c r="E1819" s="15" t="s">
        <v>4280</v>
      </c>
      <c r="F1819" s="15" t="s">
        <v>1473</v>
      </c>
      <c r="G1819" s="15" t="s">
        <v>2660</v>
      </c>
      <c r="H1819" s="15">
        <v>0.0</v>
      </c>
      <c r="I1819" s="15" t="s">
        <v>4281</v>
      </c>
      <c r="J1819" s="15" t="s">
        <v>22</v>
      </c>
      <c r="K1819" s="15" t="s">
        <v>892</v>
      </c>
      <c r="L1819" s="15" t="s">
        <v>39</v>
      </c>
      <c r="M1819" s="16">
        <v>0.0</v>
      </c>
      <c r="N1819" s="16">
        <v>0.25</v>
      </c>
      <c r="O1819" s="16">
        <v>0.25</v>
      </c>
      <c r="P1819" s="17">
        <v>45315.0</v>
      </c>
      <c r="Q1819" s="18">
        <v>1.7</v>
      </c>
      <c r="R1819" s="15" t="s">
        <v>25</v>
      </c>
      <c r="S1819" s="19">
        <f t="shared" si="1"/>
        <v>-0.25</v>
      </c>
      <c r="T1819" s="19">
        <f t="shared" si="8"/>
        <v>62.51120209</v>
      </c>
      <c r="U1819" s="144"/>
    </row>
    <row r="1820">
      <c r="A1820" s="107"/>
      <c r="B1820" s="8" t="s">
        <v>26</v>
      </c>
      <c r="C1820" s="8" t="s">
        <v>40</v>
      </c>
      <c r="D1820" s="8">
        <v>20.0</v>
      </c>
      <c r="E1820" s="8" t="s">
        <v>4282</v>
      </c>
      <c r="F1820" s="8" t="s">
        <v>1479</v>
      </c>
      <c r="G1820" s="8" t="s">
        <v>2556</v>
      </c>
      <c r="H1820" s="8">
        <v>2</v>
      </c>
      <c r="I1820" s="8" t="s">
        <v>214</v>
      </c>
      <c r="J1820" s="8" t="s">
        <v>22</v>
      </c>
      <c r="K1820" s="8" t="s">
        <v>225</v>
      </c>
      <c r="L1820" s="8" t="s">
        <v>24</v>
      </c>
      <c r="M1820" s="9">
        <v>0.5</v>
      </c>
      <c r="N1820" s="9">
        <v>0.75</v>
      </c>
      <c r="O1820" s="9">
        <v>0.75</v>
      </c>
      <c r="P1820" s="10">
        <v>45315.0</v>
      </c>
      <c r="Q1820" s="11">
        <v>1.925</v>
      </c>
      <c r="R1820" s="8" t="s">
        <v>25</v>
      </c>
      <c r="S1820" s="12">
        <f t="shared" si="1"/>
        <v>-0.75</v>
      </c>
      <c r="T1820" s="12">
        <f t="shared" si="8"/>
        <v>61.76120209</v>
      </c>
      <c r="U1820" s="145"/>
    </row>
    <row r="1821">
      <c r="A1821" s="29"/>
      <c r="B1821" s="15" t="s">
        <v>26</v>
      </c>
      <c r="C1821" s="15" t="s">
        <v>19</v>
      </c>
      <c r="D1821" s="15">
        <v>0.0</v>
      </c>
      <c r="E1821" s="15" t="s">
        <v>4283</v>
      </c>
      <c r="F1821" s="15" t="s">
        <v>1479</v>
      </c>
      <c r="G1821" s="15" t="s">
        <v>2556</v>
      </c>
      <c r="H1821" s="15">
        <v>0.0</v>
      </c>
      <c r="I1821" s="15" t="s">
        <v>164</v>
      </c>
      <c r="J1821" s="15" t="s">
        <v>22</v>
      </c>
      <c r="K1821" s="15" t="s">
        <v>225</v>
      </c>
      <c r="L1821" s="15" t="s">
        <v>1803</v>
      </c>
      <c r="M1821" s="16">
        <v>1.5</v>
      </c>
      <c r="N1821" s="16">
        <v>0.25</v>
      </c>
      <c r="O1821" s="16">
        <v>0.21</v>
      </c>
      <c r="P1821" s="17">
        <v>45316.0</v>
      </c>
      <c r="Q1821" s="18">
        <v>1.725</v>
      </c>
      <c r="R1821" s="15" t="s">
        <v>25</v>
      </c>
      <c r="S1821" s="19">
        <f t="shared" si="1"/>
        <v>-0.21</v>
      </c>
      <c r="T1821" s="19">
        <f t="shared" si="8"/>
        <v>61.55120209</v>
      </c>
      <c r="U1821" s="144"/>
    </row>
    <row r="1822">
      <c r="A1822" s="107"/>
      <c r="B1822" s="8" t="s">
        <v>26</v>
      </c>
      <c r="C1822" s="8" t="s">
        <v>19</v>
      </c>
      <c r="D1822" s="8">
        <v>0.0</v>
      </c>
      <c r="E1822" s="8" t="s">
        <v>4284</v>
      </c>
      <c r="F1822" s="8" t="s">
        <v>1479</v>
      </c>
      <c r="G1822" s="8" t="s">
        <v>2556</v>
      </c>
      <c r="H1822" s="8">
        <v>0.0</v>
      </c>
      <c r="I1822" s="8" t="s">
        <v>164</v>
      </c>
      <c r="J1822" s="8" t="s">
        <v>22</v>
      </c>
      <c r="K1822" s="8" t="s">
        <v>941</v>
      </c>
      <c r="L1822" s="8" t="s">
        <v>1803</v>
      </c>
      <c r="M1822" s="9">
        <v>0.0</v>
      </c>
      <c r="N1822" s="9">
        <v>0.1</v>
      </c>
      <c r="O1822" s="9">
        <v>0.1</v>
      </c>
      <c r="P1822" s="10">
        <v>45316.0</v>
      </c>
      <c r="Q1822" s="11">
        <v>4.0</v>
      </c>
      <c r="R1822" s="8" t="s">
        <v>25</v>
      </c>
      <c r="S1822" s="12">
        <f t="shared" si="1"/>
        <v>-0.1</v>
      </c>
      <c r="T1822" s="12">
        <f t="shared" si="8"/>
        <v>61.45120209</v>
      </c>
      <c r="U1822" s="145"/>
    </row>
    <row r="1823">
      <c r="A1823" s="29"/>
      <c r="B1823" s="15" t="s">
        <v>26</v>
      </c>
      <c r="C1823" s="15" t="s">
        <v>19</v>
      </c>
      <c r="D1823" s="15">
        <v>0.0</v>
      </c>
      <c r="E1823" s="15" t="s">
        <v>4285</v>
      </c>
      <c r="F1823" s="15" t="s">
        <v>1479</v>
      </c>
      <c r="G1823" s="15" t="s">
        <v>2556</v>
      </c>
      <c r="H1823" s="15">
        <v>0.0</v>
      </c>
      <c r="I1823" s="15" t="s">
        <v>164</v>
      </c>
      <c r="J1823" s="15" t="s">
        <v>22</v>
      </c>
      <c r="K1823" s="15" t="s">
        <v>225</v>
      </c>
      <c r="L1823" s="15" t="s">
        <v>1803</v>
      </c>
      <c r="M1823" s="16">
        <v>1.0</v>
      </c>
      <c r="N1823" s="16">
        <v>0.5</v>
      </c>
      <c r="O1823" s="16">
        <v>0.46</v>
      </c>
      <c r="P1823" s="17">
        <v>45316.0</v>
      </c>
      <c r="Q1823" s="18">
        <v>1.875</v>
      </c>
      <c r="R1823" s="15" t="s">
        <v>25</v>
      </c>
      <c r="S1823" s="19">
        <f t="shared" si="1"/>
        <v>-0.46</v>
      </c>
      <c r="T1823" s="19">
        <f t="shared" si="8"/>
        <v>60.99120209</v>
      </c>
      <c r="U1823" s="144"/>
    </row>
    <row r="1824">
      <c r="A1824" s="107"/>
      <c r="B1824" s="8" t="s">
        <v>26</v>
      </c>
      <c r="C1824" s="8" t="s">
        <v>19</v>
      </c>
      <c r="D1824" s="8">
        <v>0.0</v>
      </c>
      <c r="E1824" s="8" t="s">
        <v>4284</v>
      </c>
      <c r="F1824" s="8" t="s">
        <v>1479</v>
      </c>
      <c r="G1824" s="8" t="s">
        <v>2556</v>
      </c>
      <c r="H1824" s="8">
        <v>0.0</v>
      </c>
      <c r="I1824" s="8" t="s">
        <v>164</v>
      </c>
      <c r="J1824" s="8" t="s">
        <v>22</v>
      </c>
      <c r="K1824" s="8" t="s">
        <v>941</v>
      </c>
      <c r="L1824" s="8" t="s">
        <v>1803</v>
      </c>
      <c r="M1824" s="9">
        <v>0.0</v>
      </c>
      <c r="N1824" s="9">
        <v>0.1</v>
      </c>
      <c r="O1824" s="9">
        <v>0.1</v>
      </c>
      <c r="P1824" s="10">
        <v>45316.0</v>
      </c>
      <c r="Q1824" s="11">
        <v>3.5</v>
      </c>
      <c r="R1824" s="8" t="s">
        <v>25</v>
      </c>
      <c r="S1824" s="12">
        <f t="shared" si="1"/>
        <v>-0.1</v>
      </c>
      <c r="T1824" s="12">
        <f t="shared" si="8"/>
        <v>60.89120209</v>
      </c>
      <c r="U1824" s="145"/>
    </row>
    <row r="1825">
      <c r="A1825" s="29"/>
      <c r="B1825" s="15" t="s">
        <v>4225</v>
      </c>
      <c r="C1825" s="15" t="s">
        <v>40</v>
      </c>
      <c r="D1825" s="15">
        <v>26.0</v>
      </c>
      <c r="E1825" s="15" t="s">
        <v>4286</v>
      </c>
      <c r="F1825" s="15" t="s">
        <v>1479</v>
      </c>
      <c r="G1825" s="15" t="s">
        <v>2573</v>
      </c>
      <c r="H1825" s="15">
        <v>5</v>
      </c>
      <c r="I1825" s="15" t="s">
        <v>167</v>
      </c>
      <c r="J1825" s="15" t="s">
        <v>22</v>
      </c>
      <c r="K1825" s="15" t="s">
        <v>894</v>
      </c>
      <c r="L1825" s="15" t="s">
        <v>24</v>
      </c>
      <c r="M1825" s="16">
        <v>-0.75</v>
      </c>
      <c r="N1825" s="16">
        <v>0.2</v>
      </c>
      <c r="O1825" s="16">
        <v>0.2</v>
      </c>
      <c r="P1825" s="17">
        <v>45316.0</v>
      </c>
      <c r="Q1825" s="18">
        <v>1.725</v>
      </c>
      <c r="R1825" s="15" t="s">
        <v>25</v>
      </c>
      <c r="S1825" s="19">
        <f t="shared" si="1"/>
        <v>-0.2</v>
      </c>
      <c r="T1825" s="19">
        <f t="shared" si="8"/>
        <v>60.69120209</v>
      </c>
      <c r="U1825" s="144"/>
    </row>
    <row r="1826">
      <c r="A1826" s="107"/>
      <c r="B1826" s="8" t="s">
        <v>129</v>
      </c>
      <c r="C1826" s="8" t="s">
        <v>19</v>
      </c>
      <c r="D1826" s="8">
        <v>58.0</v>
      </c>
      <c r="E1826" s="8" t="s">
        <v>4287</v>
      </c>
      <c r="F1826" s="8" t="s">
        <v>1479</v>
      </c>
      <c r="G1826" s="8" t="s">
        <v>2660</v>
      </c>
      <c r="H1826" s="8">
        <v>0.0</v>
      </c>
      <c r="I1826" s="8" t="s">
        <v>248</v>
      </c>
      <c r="J1826" s="8" t="s">
        <v>22</v>
      </c>
      <c r="K1826" s="8" t="s">
        <v>892</v>
      </c>
      <c r="L1826" s="8" t="s">
        <v>24</v>
      </c>
      <c r="M1826" s="9">
        <v>0.0</v>
      </c>
      <c r="N1826" s="9">
        <v>1.0</v>
      </c>
      <c r="O1826" s="9">
        <v>1.0</v>
      </c>
      <c r="P1826" s="10">
        <v>45316.0</v>
      </c>
      <c r="Q1826" s="11">
        <v>1.675</v>
      </c>
      <c r="R1826" s="8" t="s">
        <v>70</v>
      </c>
      <c r="S1826" s="12">
        <f t="shared" si="1"/>
        <v>0</v>
      </c>
      <c r="T1826" s="12">
        <f t="shared" si="8"/>
        <v>60.69120209</v>
      </c>
      <c r="U1826" s="145"/>
    </row>
    <row r="1827">
      <c r="A1827" s="29"/>
      <c r="B1827" s="15" t="s">
        <v>131</v>
      </c>
      <c r="C1827" s="15" t="s">
        <v>40</v>
      </c>
      <c r="D1827" s="15">
        <v>19.0</v>
      </c>
      <c r="E1827" s="15" t="s">
        <v>4288</v>
      </c>
      <c r="F1827" s="15" t="s">
        <v>1473</v>
      </c>
      <c r="G1827" s="15" t="s">
        <v>2556</v>
      </c>
      <c r="H1827" s="15">
        <v>0.0</v>
      </c>
      <c r="I1827" s="15" t="s">
        <v>465</v>
      </c>
      <c r="J1827" s="15" t="s">
        <v>22</v>
      </c>
      <c r="K1827" s="15" t="s">
        <v>225</v>
      </c>
      <c r="L1827" s="15" t="s">
        <v>24</v>
      </c>
      <c r="M1827" s="16">
        <v>0.5</v>
      </c>
      <c r="N1827" s="16">
        <v>1.0</v>
      </c>
      <c r="O1827" s="16">
        <v>1.0</v>
      </c>
      <c r="P1827" s="17">
        <v>45316.0</v>
      </c>
      <c r="Q1827" s="18">
        <v>1.8</v>
      </c>
      <c r="R1827" s="15" t="s">
        <v>33</v>
      </c>
      <c r="S1827" s="19">
        <f t="shared" si="1"/>
        <v>0.8</v>
      </c>
      <c r="T1827" s="19">
        <f t="shared" si="8"/>
        <v>61.49120209</v>
      </c>
      <c r="U1827" s="144"/>
    </row>
    <row r="1828">
      <c r="A1828" s="107"/>
      <c r="B1828" s="8" t="s">
        <v>26</v>
      </c>
      <c r="C1828" s="8" t="s">
        <v>19</v>
      </c>
      <c r="D1828" s="8">
        <v>0.0</v>
      </c>
      <c r="E1828" s="8" t="s">
        <v>4289</v>
      </c>
      <c r="F1828" s="8" t="s">
        <v>1473</v>
      </c>
      <c r="G1828" s="8" t="s">
        <v>2660</v>
      </c>
      <c r="H1828" s="8">
        <v>0.0</v>
      </c>
      <c r="I1828" s="8" t="s">
        <v>82</v>
      </c>
      <c r="J1828" s="8" t="s">
        <v>22</v>
      </c>
      <c r="K1828" s="8" t="s">
        <v>1150</v>
      </c>
      <c r="L1828" s="8" t="s">
        <v>39</v>
      </c>
      <c r="M1828" s="9">
        <v>0.0</v>
      </c>
      <c r="N1828" s="9">
        <v>0.3</v>
      </c>
      <c r="O1828" s="9">
        <v>0.3</v>
      </c>
      <c r="P1828" s="10">
        <v>45316.0</v>
      </c>
      <c r="Q1828" s="11">
        <v>1.75</v>
      </c>
      <c r="R1828" s="8" t="s">
        <v>70</v>
      </c>
      <c r="S1828" s="12">
        <f t="shared" si="1"/>
        <v>0</v>
      </c>
      <c r="T1828" s="12">
        <f t="shared" si="8"/>
        <v>61.49120209</v>
      </c>
      <c r="U1828" s="145"/>
    </row>
    <row r="1829">
      <c r="A1829" s="29"/>
      <c r="B1829" s="15" t="s">
        <v>129</v>
      </c>
      <c r="C1829" s="15" t="s">
        <v>19</v>
      </c>
      <c r="D1829" s="15">
        <v>76.0</v>
      </c>
      <c r="E1829" s="15" t="s">
        <v>4290</v>
      </c>
      <c r="F1829" s="15" t="s">
        <v>1473</v>
      </c>
      <c r="G1829" s="15" t="s">
        <v>2556</v>
      </c>
      <c r="H1829" s="15">
        <v>-1.0</v>
      </c>
      <c r="I1829" s="15" t="s">
        <v>174</v>
      </c>
      <c r="J1829" s="15" t="s">
        <v>22</v>
      </c>
      <c r="K1829" s="15" t="s">
        <v>225</v>
      </c>
      <c r="L1829" s="15" t="s">
        <v>24</v>
      </c>
      <c r="M1829" s="16">
        <v>0.25</v>
      </c>
      <c r="N1829" s="16">
        <v>0.5</v>
      </c>
      <c r="O1829" s="16">
        <v>0.5</v>
      </c>
      <c r="P1829" s="55">
        <v>45317.0</v>
      </c>
      <c r="Q1829" s="18">
        <v>1.725</v>
      </c>
      <c r="R1829" s="15" t="s">
        <v>33</v>
      </c>
      <c r="S1829" s="19">
        <f t="shared" si="1"/>
        <v>0.3625</v>
      </c>
      <c r="T1829" s="19">
        <f t="shared" si="8"/>
        <v>61.85370209</v>
      </c>
      <c r="U1829" s="144"/>
    </row>
    <row r="1830">
      <c r="A1830" s="107"/>
      <c r="B1830" s="8" t="s">
        <v>4225</v>
      </c>
      <c r="C1830" s="8" t="s">
        <v>19</v>
      </c>
      <c r="D1830" s="8">
        <v>0.0</v>
      </c>
      <c r="E1830" s="8" t="s">
        <v>4291</v>
      </c>
      <c r="F1830" s="8" t="s">
        <v>1473</v>
      </c>
      <c r="G1830" s="8" t="s">
        <v>2556</v>
      </c>
      <c r="H1830" s="8">
        <v>0.0</v>
      </c>
      <c r="I1830" s="8" t="s">
        <v>820</v>
      </c>
      <c r="J1830" s="8" t="s">
        <v>22</v>
      </c>
      <c r="K1830" s="8" t="s">
        <v>225</v>
      </c>
      <c r="L1830" s="8" t="s">
        <v>2201</v>
      </c>
      <c r="M1830" s="9">
        <v>0.5</v>
      </c>
      <c r="N1830" s="9">
        <v>0.1</v>
      </c>
      <c r="O1830" s="9">
        <v>0.1</v>
      </c>
      <c r="P1830" s="10">
        <v>45317.0</v>
      </c>
      <c r="Q1830" s="11">
        <v>1.75</v>
      </c>
      <c r="R1830" s="8" t="s">
        <v>33</v>
      </c>
      <c r="S1830" s="12">
        <f t="shared" si="1"/>
        <v>0.075</v>
      </c>
      <c r="T1830" s="12">
        <f t="shared" si="8"/>
        <v>61.92870209</v>
      </c>
      <c r="U1830" s="145"/>
    </row>
    <row r="1831">
      <c r="A1831" s="29"/>
      <c r="B1831" s="15" t="s">
        <v>129</v>
      </c>
      <c r="C1831" s="15" t="s">
        <v>19</v>
      </c>
      <c r="D1831" s="15">
        <v>27.0</v>
      </c>
      <c r="E1831" s="15" t="s">
        <v>4292</v>
      </c>
      <c r="F1831" s="15" t="s">
        <v>1479</v>
      </c>
      <c r="G1831" s="15" t="s">
        <v>2660</v>
      </c>
      <c r="H1831" s="15">
        <v>0.0</v>
      </c>
      <c r="I1831" s="15" t="s">
        <v>4293</v>
      </c>
      <c r="J1831" s="15" t="s">
        <v>22</v>
      </c>
      <c r="K1831" s="15" t="s">
        <v>892</v>
      </c>
      <c r="L1831" s="15" t="s">
        <v>24</v>
      </c>
      <c r="M1831" s="16">
        <v>0.0</v>
      </c>
      <c r="N1831" s="16">
        <v>0.2</v>
      </c>
      <c r="O1831" s="16">
        <v>0.2</v>
      </c>
      <c r="P1831" s="17">
        <v>45317.0</v>
      </c>
      <c r="Q1831" s="18">
        <v>1.7</v>
      </c>
      <c r="R1831" s="15" t="s">
        <v>33</v>
      </c>
      <c r="S1831" s="19">
        <f t="shared" si="1"/>
        <v>0.14</v>
      </c>
      <c r="T1831" s="19">
        <f t="shared" si="8"/>
        <v>62.06870209</v>
      </c>
      <c r="U1831" s="144"/>
    </row>
    <row r="1832">
      <c r="A1832" s="107"/>
      <c r="B1832" s="8" t="s">
        <v>137</v>
      </c>
      <c r="C1832" s="8" t="s">
        <v>19</v>
      </c>
      <c r="D1832" s="8">
        <v>31.0</v>
      </c>
      <c r="E1832" s="8" t="s">
        <v>4294</v>
      </c>
      <c r="F1832" s="8" t="s">
        <v>1473</v>
      </c>
      <c r="G1832" s="8" t="s">
        <v>2556</v>
      </c>
      <c r="H1832" s="8">
        <v>0.0</v>
      </c>
      <c r="I1832" s="8" t="s">
        <v>68</v>
      </c>
      <c r="J1832" s="8" t="s">
        <v>22</v>
      </c>
      <c r="K1832" s="8" t="s">
        <v>225</v>
      </c>
      <c r="L1832" s="8" t="s">
        <v>24</v>
      </c>
      <c r="M1832" s="9">
        <v>0.25</v>
      </c>
      <c r="N1832" s="9">
        <v>0.8</v>
      </c>
      <c r="O1832" s="9">
        <v>0.8</v>
      </c>
      <c r="P1832" s="54">
        <v>45317.0</v>
      </c>
      <c r="Q1832" s="11">
        <v>1.1481</v>
      </c>
      <c r="R1832" s="8" t="s">
        <v>33</v>
      </c>
      <c r="S1832" s="12">
        <f t="shared" si="1"/>
        <v>0.11848</v>
      </c>
      <c r="T1832" s="12">
        <f t="shared" si="8"/>
        <v>62.18718209</v>
      </c>
      <c r="U1832" s="145"/>
    </row>
    <row r="1833">
      <c r="A1833" s="29"/>
      <c r="B1833" s="15" t="s">
        <v>137</v>
      </c>
      <c r="C1833" s="15" t="s">
        <v>19</v>
      </c>
      <c r="D1833" s="15">
        <v>34.0</v>
      </c>
      <c r="E1833" s="15" t="s">
        <v>4295</v>
      </c>
      <c r="F1833" s="15" t="s">
        <v>1473</v>
      </c>
      <c r="G1833" s="15" t="s">
        <v>2556</v>
      </c>
      <c r="H1833" s="15">
        <v>0.0</v>
      </c>
      <c r="I1833" s="15" t="s">
        <v>68</v>
      </c>
      <c r="J1833" s="15" t="s">
        <v>22</v>
      </c>
      <c r="K1833" s="15" t="s">
        <v>941</v>
      </c>
      <c r="L1833" s="15" t="s">
        <v>24</v>
      </c>
      <c r="M1833" s="16">
        <v>0.0</v>
      </c>
      <c r="N1833" s="16">
        <v>0.2</v>
      </c>
      <c r="O1833" s="16">
        <v>0.2</v>
      </c>
      <c r="P1833" s="17">
        <v>45317.0</v>
      </c>
      <c r="Q1833" s="18">
        <v>1.1269</v>
      </c>
      <c r="R1833" s="15" t="s">
        <v>33</v>
      </c>
      <c r="S1833" s="19">
        <f t="shared" si="1"/>
        <v>0.02538</v>
      </c>
      <c r="T1833" s="19">
        <f t="shared" si="8"/>
        <v>62.21256209</v>
      </c>
      <c r="U1833" s="144"/>
    </row>
    <row r="1834">
      <c r="A1834" s="107"/>
      <c r="B1834" s="8" t="s">
        <v>4225</v>
      </c>
      <c r="C1834" s="8" t="s">
        <v>19</v>
      </c>
      <c r="D1834" s="8">
        <v>21.0</v>
      </c>
      <c r="E1834" s="8" t="s">
        <v>4296</v>
      </c>
      <c r="F1834" s="8" t="s">
        <v>1479</v>
      </c>
      <c r="G1834" s="8" t="s">
        <v>2660</v>
      </c>
      <c r="H1834" s="8">
        <v>0.0</v>
      </c>
      <c r="I1834" s="8" t="s">
        <v>28</v>
      </c>
      <c r="J1834" s="8" t="s">
        <v>22</v>
      </c>
      <c r="K1834" s="8" t="s">
        <v>1150</v>
      </c>
      <c r="L1834" s="8" t="s">
        <v>2201</v>
      </c>
      <c r="M1834" s="9">
        <v>0.0</v>
      </c>
      <c r="N1834" s="9">
        <v>0.25</v>
      </c>
      <c r="O1834" s="9">
        <v>0.25</v>
      </c>
      <c r="P1834" s="10">
        <v>45317.0</v>
      </c>
      <c r="Q1834" s="11">
        <v>1.7</v>
      </c>
      <c r="R1834" s="8" t="s">
        <v>25</v>
      </c>
      <c r="S1834" s="12">
        <f t="shared" si="1"/>
        <v>-0.25</v>
      </c>
      <c r="T1834" s="12">
        <f t="shared" si="8"/>
        <v>61.96256209</v>
      </c>
      <c r="U1834" s="145"/>
    </row>
    <row r="1835">
      <c r="A1835" s="29"/>
      <c r="B1835" s="15" t="s">
        <v>129</v>
      </c>
      <c r="C1835" s="15" t="s">
        <v>19</v>
      </c>
      <c r="D1835" s="15">
        <v>60.0</v>
      </c>
      <c r="E1835" s="15" t="s">
        <v>4297</v>
      </c>
      <c r="F1835" s="15" t="s">
        <v>1473</v>
      </c>
      <c r="G1835" s="15" t="s">
        <v>2660</v>
      </c>
      <c r="H1835" s="15">
        <v>0.0</v>
      </c>
      <c r="I1835" s="15" t="s">
        <v>248</v>
      </c>
      <c r="J1835" s="15" t="s">
        <v>22</v>
      </c>
      <c r="K1835" s="15" t="s">
        <v>892</v>
      </c>
      <c r="L1835" s="15" t="s">
        <v>24</v>
      </c>
      <c r="M1835" s="16">
        <v>0.0</v>
      </c>
      <c r="N1835" s="16">
        <v>0.5</v>
      </c>
      <c r="O1835" s="16">
        <v>0.5</v>
      </c>
      <c r="P1835" s="17">
        <v>45317.0</v>
      </c>
      <c r="Q1835" s="18">
        <v>1.675</v>
      </c>
      <c r="R1835" s="15" t="s">
        <v>70</v>
      </c>
      <c r="S1835" s="19">
        <f t="shared" si="1"/>
        <v>0</v>
      </c>
      <c r="T1835" s="19">
        <f t="shared" si="8"/>
        <v>61.96256209</v>
      </c>
      <c r="U1835" s="144"/>
    </row>
    <row r="1836">
      <c r="A1836" s="107"/>
      <c r="B1836" s="8" t="s">
        <v>4225</v>
      </c>
      <c r="C1836" s="8" t="s">
        <v>19</v>
      </c>
      <c r="D1836" s="8">
        <v>0.0</v>
      </c>
      <c r="E1836" s="8" t="s">
        <v>4298</v>
      </c>
      <c r="F1836" s="8" t="s">
        <v>1473</v>
      </c>
      <c r="G1836" s="8" t="s">
        <v>2573</v>
      </c>
      <c r="H1836" s="8">
        <v>0.0</v>
      </c>
      <c r="I1836" s="8" t="s">
        <v>38</v>
      </c>
      <c r="J1836" s="8" t="s">
        <v>22</v>
      </c>
      <c r="K1836" s="8" t="s">
        <v>894</v>
      </c>
      <c r="L1836" s="8" t="s">
        <v>2201</v>
      </c>
      <c r="M1836" s="9">
        <v>-0.5</v>
      </c>
      <c r="N1836" s="9">
        <v>0.1</v>
      </c>
      <c r="O1836" s="9">
        <v>0.1</v>
      </c>
      <c r="P1836" s="10">
        <v>45317.0</v>
      </c>
      <c r="Q1836" s="11">
        <v>1.95</v>
      </c>
      <c r="R1836" s="8" t="s">
        <v>25</v>
      </c>
      <c r="S1836" s="12">
        <f t="shared" si="1"/>
        <v>-0.1</v>
      </c>
      <c r="T1836" s="12">
        <f t="shared" si="8"/>
        <v>61.86256209</v>
      </c>
      <c r="U1836" s="145"/>
    </row>
    <row r="1837">
      <c r="A1837" s="29"/>
      <c r="B1837" s="15" t="s">
        <v>26</v>
      </c>
      <c r="C1837" s="15" t="s">
        <v>19</v>
      </c>
      <c r="D1837" s="15">
        <v>30.0</v>
      </c>
      <c r="E1837" s="15" t="s">
        <v>4299</v>
      </c>
      <c r="F1837" s="15" t="s">
        <v>1479</v>
      </c>
      <c r="G1837" s="15" t="s">
        <v>2556</v>
      </c>
      <c r="H1837" s="15">
        <f>1</f>
        <v>1</v>
      </c>
      <c r="I1837" s="15" t="s">
        <v>28</v>
      </c>
      <c r="J1837" s="15" t="s">
        <v>22</v>
      </c>
      <c r="K1837" s="15" t="s">
        <v>225</v>
      </c>
      <c r="L1837" s="15" t="s">
        <v>24</v>
      </c>
      <c r="M1837" s="16">
        <v>0.75</v>
      </c>
      <c r="N1837" s="16">
        <v>0.2</v>
      </c>
      <c r="O1837" s="16">
        <v>0.2</v>
      </c>
      <c r="P1837" s="17">
        <v>45317.0</v>
      </c>
      <c r="Q1837" s="18">
        <v>1.9</v>
      </c>
      <c r="R1837" s="15" t="s">
        <v>33</v>
      </c>
      <c r="S1837" s="19">
        <f t="shared" si="1"/>
        <v>0.18</v>
      </c>
      <c r="T1837" s="19">
        <f t="shared" si="8"/>
        <v>62.04256209</v>
      </c>
      <c r="U1837" s="144"/>
    </row>
    <row r="1838">
      <c r="A1838" s="107"/>
      <c r="B1838" s="8" t="s">
        <v>26</v>
      </c>
      <c r="C1838" s="8" t="s">
        <v>19</v>
      </c>
      <c r="D1838" s="8">
        <v>20.0</v>
      </c>
      <c r="E1838" s="8" t="s">
        <v>4300</v>
      </c>
      <c r="F1838" s="8" t="s">
        <v>1479</v>
      </c>
      <c r="G1838" s="8" t="s">
        <v>2660</v>
      </c>
      <c r="H1838" s="8">
        <v>0.0</v>
      </c>
      <c r="I1838" s="8" t="s">
        <v>44</v>
      </c>
      <c r="J1838" s="8" t="s">
        <v>22</v>
      </c>
      <c r="K1838" s="8" t="s">
        <v>1150</v>
      </c>
      <c r="L1838" s="8" t="s">
        <v>24</v>
      </c>
      <c r="M1838" s="9">
        <v>0.0</v>
      </c>
      <c r="N1838" s="9">
        <v>0.6</v>
      </c>
      <c r="O1838" s="9">
        <v>0.6</v>
      </c>
      <c r="P1838" s="10">
        <v>45318.0</v>
      </c>
      <c r="Q1838" s="11">
        <v>1.85</v>
      </c>
      <c r="R1838" s="8" t="s">
        <v>70</v>
      </c>
      <c r="S1838" s="12">
        <f t="shared" si="1"/>
        <v>0</v>
      </c>
      <c r="T1838" s="12">
        <f t="shared" si="8"/>
        <v>62.04256209</v>
      </c>
      <c r="U1838" s="145"/>
    </row>
    <row r="1839">
      <c r="A1839" s="29"/>
      <c r="B1839" s="15" t="s">
        <v>26</v>
      </c>
      <c r="C1839" s="15" t="s">
        <v>19</v>
      </c>
      <c r="D1839" s="15">
        <v>60.0</v>
      </c>
      <c r="E1839" s="15" t="s">
        <v>4301</v>
      </c>
      <c r="F1839" s="15" t="s">
        <v>1479</v>
      </c>
      <c r="G1839" s="15" t="s">
        <v>2660</v>
      </c>
      <c r="H1839" s="15">
        <f>1</f>
        <v>1</v>
      </c>
      <c r="I1839" s="15" t="s">
        <v>167</v>
      </c>
      <c r="J1839" s="15" t="s">
        <v>22</v>
      </c>
      <c r="K1839" s="15" t="s">
        <v>892</v>
      </c>
      <c r="L1839" s="15" t="s">
        <v>24</v>
      </c>
      <c r="M1839" s="16">
        <v>0.0</v>
      </c>
      <c r="N1839" s="16">
        <v>0.2</v>
      </c>
      <c r="O1839" s="16">
        <v>0.2</v>
      </c>
      <c r="P1839" s="17">
        <v>45318.0</v>
      </c>
      <c r="Q1839" s="18">
        <v>1.7</v>
      </c>
      <c r="R1839" s="15" t="s">
        <v>33</v>
      </c>
      <c r="S1839" s="19">
        <f t="shared" si="1"/>
        <v>0.14</v>
      </c>
      <c r="T1839" s="19">
        <f t="shared" si="8"/>
        <v>62.18256209</v>
      </c>
      <c r="U1839" s="144"/>
    </row>
    <row r="1840">
      <c r="A1840" s="107"/>
      <c r="B1840" s="8" t="s">
        <v>26</v>
      </c>
      <c r="C1840" s="8" t="s">
        <v>19</v>
      </c>
      <c r="D1840" s="8">
        <v>71.0</v>
      </c>
      <c r="E1840" s="8" t="s">
        <v>4302</v>
      </c>
      <c r="F1840" s="8" t="s">
        <v>1479</v>
      </c>
      <c r="G1840" s="8" t="s">
        <v>2660</v>
      </c>
      <c r="H1840" s="8">
        <v>0.0</v>
      </c>
      <c r="I1840" s="8" t="s">
        <v>44</v>
      </c>
      <c r="J1840" s="8" t="s">
        <v>22</v>
      </c>
      <c r="K1840" s="8" t="s">
        <v>892</v>
      </c>
      <c r="L1840" s="8" t="s">
        <v>24</v>
      </c>
      <c r="M1840" s="9">
        <v>0.0</v>
      </c>
      <c r="N1840" s="9">
        <v>1.0</v>
      </c>
      <c r="O1840" s="9">
        <v>1.0</v>
      </c>
      <c r="P1840" s="10">
        <v>45318.0</v>
      </c>
      <c r="Q1840" s="11">
        <v>1.8</v>
      </c>
      <c r="R1840" s="8" t="s">
        <v>33</v>
      </c>
      <c r="S1840" s="12">
        <f t="shared" si="1"/>
        <v>0.8</v>
      </c>
      <c r="T1840" s="12">
        <f t="shared" si="8"/>
        <v>62.98256209</v>
      </c>
      <c r="U1840" s="145"/>
    </row>
    <row r="1841">
      <c r="A1841" s="29"/>
      <c r="B1841" s="15" t="s">
        <v>137</v>
      </c>
      <c r="C1841" s="15" t="s">
        <v>19</v>
      </c>
      <c r="D1841" s="15">
        <v>80.0</v>
      </c>
      <c r="E1841" s="15" t="s">
        <v>4303</v>
      </c>
      <c r="F1841" s="15" t="s">
        <v>1479</v>
      </c>
      <c r="G1841" s="15" t="s">
        <v>2660</v>
      </c>
      <c r="H1841" s="15">
        <v>-1.0</v>
      </c>
      <c r="I1841" s="15" t="s">
        <v>44</v>
      </c>
      <c r="J1841" s="15" t="s">
        <v>22</v>
      </c>
      <c r="K1841" s="15" t="s">
        <v>892</v>
      </c>
      <c r="L1841" s="15" t="s">
        <v>24</v>
      </c>
      <c r="M1841" s="16">
        <v>0.0</v>
      </c>
      <c r="N1841" s="16">
        <v>0.5</v>
      </c>
      <c r="O1841" s="16">
        <v>0.5</v>
      </c>
      <c r="P1841" s="17">
        <v>45318.0</v>
      </c>
      <c r="Q1841" s="18">
        <v>1.95</v>
      </c>
      <c r="R1841" s="15" t="s">
        <v>70</v>
      </c>
      <c r="S1841" s="19">
        <f t="shared" si="1"/>
        <v>0</v>
      </c>
      <c r="T1841" s="19">
        <f t="shared" si="8"/>
        <v>62.98256209</v>
      </c>
      <c r="U1841" s="144"/>
    </row>
    <row r="1842">
      <c r="A1842" s="107"/>
      <c r="B1842" s="8" t="s">
        <v>26</v>
      </c>
      <c r="C1842" s="8" t="s">
        <v>19</v>
      </c>
      <c r="D1842" s="8">
        <v>61.0</v>
      </c>
      <c r="E1842" s="8" t="s">
        <v>4304</v>
      </c>
      <c r="F1842" s="8" t="s">
        <v>1473</v>
      </c>
      <c r="G1842" s="8" t="s">
        <v>2660</v>
      </c>
      <c r="H1842" s="8">
        <v>-2.0</v>
      </c>
      <c r="I1842" s="8" t="s">
        <v>354</v>
      </c>
      <c r="J1842" s="8" t="s">
        <v>22</v>
      </c>
      <c r="K1842" s="8" t="s">
        <v>892</v>
      </c>
      <c r="L1842" s="8" t="s">
        <v>24</v>
      </c>
      <c r="M1842" s="9">
        <v>0.0</v>
      </c>
      <c r="N1842" s="9">
        <v>0.4</v>
      </c>
      <c r="O1842" s="9">
        <v>0.4</v>
      </c>
      <c r="P1842" s="10">
        <v>45318.0</v>
      </c>
      <c r="Q1842" s="11">
        <v>2.25</v>
      </c>
      <c r="R1842" s="8" t="s">
        <v>25</v>
      </c>
      <c r="S1842" s="12">
        <f t="shared" si="1"/>
        <v>-0.4</v>
      </c>
      <c r="T1842" s="12">
        <f t="shared" si="8"/>
        <v>62.58256209</v>
      </c>
      <c r="U1842" s="145"/>
    </row>
    <row r="1843">
      <c r="A1843" s="29"/>
      <c r="B1843" s="15" t="s">
        <v>26</v>
      </c>
      <c r="C1843" s="15" t="s">
        <v>19</v>
      </c>
      <c r="D1843" s="15">
        <v>59.0</v>
      </c>
      <c r="E1843" s="15" t="s">
        <v>4305</v>
      </c>
      <c r="F1843" s="15" t="s">
        <v>1473</v>
      </c>
      <c r="G1843" s="15" t="s">
        <v>2556</v>
      </c>
      <c r="H1843" s="15">
        <v>0.0</v>
      </c>
      <c r="I1843" s="15" t="s">
        <v>28</v>
      </c>
      <c r="J1843" s="15" t="s">
        <v>22</v>
      </c>
      <c r="K1843" s="15" t="s">
        <v>225</v>
      </c>
      <c r="L1843" s="15" t="s">
        <v>1851</v>
      </c>
      <c r="M1843" s="16">
        <v>0.25</v>
      </c>
      <c r="N1843" s="16">
        <v>0.25</v>
      </c>
      <c r="O1843" s="16">
        <v>0.25</v>
      </c>
      <c r="P1843" s="55">
        <v>45318.0</v>
      </c>
      <c r="Q1843" s="18">
        <v>1.725</v>
      </c>
      <c r="R1843" s="15" t="s">
        <v>25</v>
      </c>
      <c r="S1843" s="19">
        <f t="shared" si="1"/>
        <v>-0.25</v>
      </c>
      <c r="T1843" s="19">
        <f t="shared" si="8"/>
        <v>62.33256209</v>
      </c>
      <c r="U1843" s="144"/>
    </row>
    <row r="1844">
      <c r="A1844" s="107"/>
      <c r="B1844" s="8" t="s">
        <v>26</v>
      </c>
      <c r="C1844" s="8" t="s">
        <v>19</v>
      </c>
      <c r="D1844" s="114">
        <v>61.0</v>
      </c>
      <c r="E1844" s="8" t="s">
        <v>4306</v>
      </c>
      <c r="F1844" s="8" t="s">
        <v>1473</v>
      </c>
      <c r="G1844" s="8" t="s">
        <v>2556</v>
      </c>
      <c r="H1844" s="8">
        <v>0.0</v>
      </c>
      <c r="I1844" s="8" t="s">
        <v>28</v>
      </c>
      <c r="J1844" s="8" t="s">
        <v>22</v>
      </c>
      <c r="K1844" s="8" t="s">
        <v>941</v>
      </c>
      <c r="L1844" s="8" t="s">
        <v>24</v>
      </c>
      <c r="M1844" s="9">
        <v>0.0</v>
      </c>
      <c r="N1844" s="9">
        <v>0.5</v>
      </c>
      <c r="O1844" s="9">
        <v>0.5</v>
      </c>
      <c r="P1844" s="10">
        <v>45318.0</v>
      </c>
      <c r="Q1844" s="11">
        <v>2.2</v>
      </c>
      <c r="R1844" s="8" t="s">
        <v>25</v>
      </c>
      <c r="S1844" s="12">
        <f t="shared" si="1"/>
        <v>-0.5</v>
      </c>
      <c r="T1844" s="12">
        <f t="shared" si="8"/>
        <v>61.83256209</v>
      </c>
      <c r="U1844" s="145"/>
    </row>
    <row r="1845">
      <c r="A1845" s="29"/>
      <c r="B1845" s="15" t="s">
        <v>129</v>
      </c>
      <c r="C1845" s="15" t="s">
        <v>40</v>
      </c>
      <c r="D1845" s="15">
        <v>28.0</v>
      </c>
      <c r="E1845" s="15" t="s">
        <v>4307</v>
      </c>
      <c r="F1845" s="15" t="s">
        <v>1473</v>
      </c>
      <c r="G1845" s="15" t="s">
        <v>2556</v>
      </c>
      <c r="H1845" s="15">
        <v>0.0</v>
      </c>
      <c r="I1845" s="15" t="s">
        <v>644</v>
      </c>
      <c r="J1845" s="15" t="s">
        <v>22</v>
      </c>
      <c r="K1845" s="15" t="s">
        <v>225</v>
      </c>
      <c r="L1845" s="15" t="s">
        <v>24</v>
      </c>
      <c r="M1845" s="16">
        <v>0.25</v>
      </c>
      <c r="N1845" s="16">
        <v>0.6</v>
      </c>
      <c r="O1845" s="16">
        <v>0.52</v>
      </c>
      <c r="P1845" s="17">
        <v>45318.0</v>
      </c>
      <c r="Q1845" s="18">
        <v>1.9</v>
      </c>
      <c r="R1845" s="15" t="s">
        <v>33</v>
      </c>
      <c r="S1845" s="19">
        <f t="shared" si="1"/>
        <v>0.468</v>
      </c>
      <c r="T1845" s="19">
        <f t="shared" si="8"/>
        <v>62.30056209</v>
      </c>
      <c r="U1845" s="144"/>
    </row>
    <row r="1846">
      <c r="A1846" s="107"/>
      <c r="B1846" s="8" t="s">
        <v>129</v>
      </c>
      <c r="C1846" s="8" t="s">
        <v>40</v>
      </c>
      <c r="D1846" s="8">
        <v>29.0</v>
      </c>
      <c r="E1846" s="8" t="s">
        <v>4308</v>
      </c>
      <c r="F1846" s="8" t="s">
        <v>1473</v>
      </c>
      <c r="G1846" s="8" t="s">
        <v>2556</v>
      </c>
      <c r="H1846" s="8">
        <v>0.0</v>
      </c>
      <c r="I1846" s="8" t="s">
        <v>644</v>
      </c>
      <c r="J1846" s="8" t="s">
        <v>22</v>
      </c>
      <c r="K1846" s="8" t="s">
        <v>941</v>
      </c>
      <c r="L1846" s="8" t="s">
        <v>24</v>
      </c>
      <c r="M1846" s="9">
        <v>0.0</v>
      </c>
      <c r="N1846" s="9">
        <v>0.5</v>
      </c>
      <c r="O1846" s="9">
        <v>0.5</v>
      </c>
      <c r="P1846" s="54">
        <v>45318.0</v>
      </c>
      <c r="Q1846" s="11">
        <v>1.7416</v>
      </c>
      <c r="R1846" s="8" t="s">
        <v>33</v>
      </c>
      <c r="S1846" s="12">
        <f t="shared" si="1"/>
        <v>0.3708</v>
      </c>
      <c r="T1846" s="12">
        <f t="shared" si="8"/>
        <v>62.67136209</v>
      </c>
      <c r="U1846" s="145"/>
    </row>
    <row r="1847">
      <c r="A1847" s="29"/>
      <c r="B1847" s="15" t="s">
        <v>137</v>
      </c>
      <c r="C1847" s="15" t="s">
        <v>19</v>
      </c>
      <c r="D1847" s="15">
        <v>73.0</v>
      </c>
      <c r="E1847" s="15" t="s">
        <v>4309</v>
      </c>
      <c r="F1847" s="15" t="s">
        <v>1473</v>
      </c>
      <c r="G1847" s="15" t="s">
        <v>2660</v>
      </c>
      <c r="H1847" s="15">
        <v>0.0</v>
      </c>
      <c r="I1847" s="15" t="s">
        <v>273</v>
      </c>
      <c r="J1847" s="15" t="s">
        <v>22</v>
      </c>
      <c r="K1847" s="15" t="s">
        <v>892</v>
      </c>
      <c r="L1847" s="15" t="s">
        <v>24</v>
      </c>
      <c r="M1847" s="16">
        <v>0.0</v>
      </c>
      <c r="N1847" s="16">
        <v>1.0</v>
      </c>
      <c r="O1847" s="16">
        <v>0.97</v>
      </c>
      <c r="P1847" s="17">
        <v>45318.0</v>
      </c>
      <c r="Q1847" s="18">
        <v>1.9</v>
      </c>
      <c r="R1847" s="15" t="s">
        <v>70</v>
      </c>
      <c r="S1847" s="19">
        <f t="shared" si="1"/>
        <v>0</v>
      </c>
      <c r="T1847" s="19">
        <f t="shared" si="8"/>
        <v>62.67136209</v>
      </c>
      <c r="U1847" s="144"/>
    </row>
    <row r="1848">
      <c r="A1848" s="107"/>
      <c r="B1848" s="8" t="s">
        <v>26</v>
      </c>
      <c r="C1848" s="8" t="s">
        <v>19</v>
      </c>
      <c r="D1848" s="8">
        <v>32.0</v>
      </c>
      <c r="E1848" s="8" t="s">
        <v>4310</v>
      </c>
      <c r="F1848" s="8" t="s">
        <v>1473</v>
      </c>
      <c r="G1848" s="8" t="s">
        <v>2556</v>
      </c>
      <c r="H1848" s="8">
        <v>-1.0</v>
      </c>
      <c r="I1848" s="8" t="s">
        <v>191</v>
      </c>
      <c r="J1848" s="8" t="s">
        <v>22</v>
      </c>
      <c r="K1848" s="8" t="s">
        <v>225</v>
      </c>
      <c r="L1848" s="8" t="s">
        <v>24</v>
      </c>
      <c r="M1848" s="9">
        <v>1.0</v>
      </c>
      <c r="N1848" s="9">
        <v>0.4</v>
      </c>
      <c r="O1848" s="9">
        <v>0.4</v>
      </c>
      <c r="P1848" s="10">
        <v>45318.0</v>
      </c>
      <c r="Q1848" s="11">
        <v>1.88</v>
      </c>
      <c r="R1848" s="8" t="s">
        <v>25</v>
      </c>
      <c r="S1848" s="12">
        <f t="shared" si="1"/>
        <v>-0.4</v>
      </c>
      <c r="T1848" s="12">
        <f t="shared" si="8"/>
        <v>62.27136209</v>
      </c>
      <c r="U1848" s="145"/>
    </row>
    <row r="1849">
      <c r="A1849" s="29"/>
      <c r="B1849" s="15" t="s">
        <v>26</v>
      </c>
      <c r="C1849" s="15" t="s">
        <v>19</v>
      </c>
      <c r="D1849" s="15">
        <v>58.0</v>
      </c>
      <c r="E1849" s="15" t="s">
        <v>4311</v>
      </c>
      <c r="F1849" s="15" t="s">
        <v>1479</v>
      </c>
      <c r="G1849" s="15" t="s">
        <v>2556</v>
      </c>
      <c r="H1849" s="15">
        <f t="shared" ref="H1849:H1850" si="53">1</f>
        <v>1</v>
      </c>
      <c r="I1849" s="15" t="s">
        <v>28</v>
      </c>
      <c r="J1849" s="15" t="s">
        <v>22</v>
      </c>
      <c r="K1849" s="15" t="s">
        <v>225</v>
      </c>
      <c r="L1849" s="15" t="s">
        <v>24</v>
      </c>
      <c r="M1849" s="16">
        <v>0.25</v>
      </c>
      <c r="N1849" s="16">
        <v>0.5</v>
      </c>
      <c r="O1849" s="16">
        <v>0.49</v>
      </c>
      <c r="P1849" s="17">
        <v>45318.0</v>
      </c>
      <c r="Q1849" s="18">
        <v>1.7</v>
      </c>
      <c r="R1849" s="15" t="s">
        <v>33</v>
      </c>
      <c r="S1849" s="19">
        <f t="shared" si="1"/>
        <v>0.343</v>
      </c>
      <c r="T1849" s="19">
        <f t="shared" si="8"/>
        <v>62.61436209</v>
      </c>
      <c r="U1849" s="144"/>
    </row>
    <row r="1850">
      <c r="A1850" s="107"/>
      <c r="B1850" s="8" t="s">
        <v>26</v>
      </c>
      <c r="C1850" s="8" t="s">
        <v>19</v>
      </c>
      <c r="D1850" s="8">
        <v>60.0</v>
      </c>
      <c r="E1850" s="8" t="s">
        <v>4312</v>
      </c>
      <c r="F1850" s="8" t="s">
        <v>1479</v>
      </c>
      <c r="G1850" s="8" t="s">
        <v>2660</v>
      </c>
      <c r="H1850" s="8">
        <f t="shared" si="53"/>
        <v>1</v>
      </c>
      <c r="I1850" s="8" t="s">
        <v>28</v>
      </c>
      <c r="J1850" s="8" t="s">
        <v>22</v>
      </c>
      <c r="K1850" s="8" t="s">
        <v>892</v>
      </c>
      <c r="L1850" s="8" t="s">
        <v>24</v>
      </c>
      <c r="M1850" s="9">
        <v>0.0</v>
      </c>
      <c r="N1850" s="9">
        <v>0.45</v>
      </c>
      <c r="O1850" s="9">
        <v>0.38</v>
      </c>
      <c r="P1850" s="10">
        <v>45318.0</v>
      </c>
      <c r="Q1850" s="11">
        <v>1.833</v>
      </c>
      <c r="R1850" s="8" t="s">
        <v>33</v>
      </c>
      <c r="S1850" s="12">
        <f t="shared" si="1"/>
        <v>0.31654</v>
      </c>
      <c r="T1850" s="12">
        <f t="shared" si="8"/>
        <v>62.93090209</v>
      </c>
      <c r="U1850" s="145"/>
    </row>
    <row r="1851">
      <c r="A1851" s="29"/>
      <c r="B1851" s="15" t="s">
        <v>18</v>
      </c>
      <c r="C1851" s="15" t="s">
        <v>19</v>
      </c>
      <c r="D1851" s="15">
        <v>27.0</v>
      </c>
      <c r="E1851" s="15" t="s">
        <v>4313</v>
      </c>
      <c r="F1851" s="15" t="s">
        <v>1479</v>
      </c>
      <c r="G1851" s="15" t="s">
        <v>2660</v>
      </c>
      <c r="H1851" s="15">
        <v>0.0</v>
      </c>
      <c r="I1851" s="15" t="s">
        <v>50</v>
      </c>
      <c r="J1851" s="15" t="s">
        <v>22</v>
      </c>
      <c r="K1851" s="15" t="s">
        <v>1150</v>
      </c>
      <c r="L1851" s="15" t="s">
        <v>39</v>
      </c>
      <c r="M1851" s="16">
        <v>0.0</v>
      </c>
      <c r="N1851" s="16">
        <v>0.25</v>
      </c>
      <c r="O1851" s="16">
        <v>0.25</v>
      </c>
      <c r="P1851" s="17">
        <v>45318.0</v>
      </c>
      <c r="Q1851" s="18">
        <v>1.8</v>
      </c>
      <c r="R1851" s="15" t="s">
        <v>70</v>
      </c>
      <c r="S1851" s="19">
        <f t="shared" si="1"/>
        <v>0</v>
      </c>
      <c r="T1851" s="19">
        <f t="shared" si="8"/>
        <v>62.93090209</v>
      </c>
      <c r="U1851" s="144"/>
    </row>
    <row r="1852">
      <c r="A1852" s="107"/>
      <c r="B1852" s="8" t="s">
        <v>26</v>
      </c>
      <c r="C1852" s="8" t="s">
        <v>19</v>
      </c>
      <c r="D1852" s="8">
        <v>20.0</v>
      </c>
      <c r="E1852" s="8" t="s">
        <v>4314</v>
      </c>
      <c r="F1852" s="8" t="s">
        <v>1479</v>
      </c>
      <c r="G1852" s="8" t="s">
        <v>2556</v>
      </c>
      <c r="H1852" s="8">
        <v>0.0</v>
      </c>
      <c r="I1852" s="8" t="s">
        <v>644</v>
      </c>
      <c r="J1852" s="8" t="s">
        <v>22</v>
      </c>
      <c r="K1852" s="8" t="s">
        <v>225</v>
      </c>
      <c r="L1852" s="8" t="s">
        <v>24</v>
      </c>
      <c r="M1852" s="9">
        <v>0.5</v>
      </c>
      <c r="N1852" s="9">
        <v>0.4</v>
      </c>
      <c r="O1852" s="9">
        <v>0.0844</v>
      </c>
      <c r="P1852" s="10">
        <v>45318.0</v>
      </c>
      <c r="Q1852" s="11">
        <v>1.775</v>
      </c>
      <c r="R1852" s="8" t="s">
        <v>25</v>
      </c>
      <c r="S1852" s="12">
        <f t="shared" si="1"/>
        <v>-0.0844</v>
      </c>
      <c r="T1852" s="12">
        <f t="shared" si="8"/>
        <v>62.84650209</v>
      </c>
      <c r="U1852" s="145"/>
    </row>
    <row r="1853">
      <c r="A1853" s="29"/>
      <c r="B1853" s="15" t="s">
        <v>26</v>
      </c>
      <c r="C1853" s="15" t="s">
        <v>19</v>
      </c>
      <c r="D1853" s="15">
        <v>20.0</v>
      </c>
      <c r="E1853" s="15" t="s">
        <v>4314</v>
      </c>
      <c r="F1853" s="15" t="s">
        <v>1479</v>
      </c>
      <c r="G1853" s="15" t="s">
        <v>2556</v>
      </c>
      <c r="H1853" s="15">
        <v>0.0</v>
      </c>
      <c r="I1853" s="15" t="s">
        <v>644</v>
      </c>
      <c r="J1853" s="15" t="s">
        <v>22</v>
      </c>
      <c r="K1853" s="15" t="s">
        <v>1150</v>
      </c>
      <c r="L1853" s="15" t="s">
        <v>24</v>
      </c>
      <c r="M1853" s="16">
        <v>0.0</v>
      </c>
      <c r="N1853" s="16">
        <v>0.1</v>
      </c>
      <c r="O1853" s="16">
        <v>0.1</v>
      </c>
      <c r="P1853" s="17">
        <v>45318.0</v>
      </c>
      <c r="Q1853" s="18">
        <v>2.4</v>
      </c>
      <c r="R1853" s="15" t="s">
        <v>70</v>
      </c>
      <c r="S1853" s="19">
        <f t="shared" si="1"/>
        <v>0</v>
      </c>
      <c r="T1853" s="19">
        <f t="shared" si="8"/>
        <v>62.84650209</v>
      </c>
      <c r="U1853" s="144"/>
    </row>
    <row r="1854">
      <c r="A1854" s="107"/>
      <c r="B1854" s="8" t="s">
        <v>26</v>
      </c>
      <c r="C1854" s="8" t="s">
        <v>19</v>
      </c>
      <c r="D1854" s="8">
        <v>30.0</v>
      </c>
      <c r="E1854" s="8" t="s">
        <v>4315</v>
      </c>
      <c r="F1854" s="8" t="s">
        <v>1473</v>
      </c>
      <c r="G1854" s="8" t="s">
        <v>2573</v>
      </c>
      <c r="H1854" s="8" t="s">
        <v>2594</v>
      </c>
      <c r="I1854" s="8" t="s">
        <v>82</v>
      </c>
      <c r="J1854" s="8" t="s">
        <v>22</v>
      </c>
      <c r="K1854" s="8" t="s">
        <v>894</v>
      </c>
      <c r="L1854" s="8" t="s">
        <v>24</v>
      </c>
      <c r="M1854" s="9">
        <v>-0.75</v>
      </c>
      <c r="N1854" s="9">
        <v>0.1</v>
      </c>
      <c r="O1854" s="9">
        <v>0.1</v>
      </c>
      <c r="P1854" s="10">
        <v>45318.0</v>
      </c>
      <c r="Q1854" s="11">
        <v>1.9</v>
      </c>
      <c r="R1854" s="8" t="s">
        <v>30</v>
      </c>
      <c r="S1854" s="12">
        <f t="shared" si="1"/>
        <v>0.045</v>
      </c>
      <c r="T1854" s="12">
        <f t="shared" si="8"/>
        <v>62.89150209</v>
      </c>
      <c r="U1854" s="145"/>
    </row>
    <row r="1855">
      <c r="A1855" s="29"/>
      <c r="B1855" s="15" t="s">
        <v>129</v>
      </c>
      <c r="C1855" s="15" t="s">
        <v>40</v>
      </c>
      <c r="D1855" s="15">
        <v>25.0</v>
      </c>
      <c r="E1855" s="15" t="s">
        <v>4316</v>
      </c>
      <c r="F1855" s="15" t="s">
        <v>1479</v>
      </c>
      <c r="G1855" s="15" t="s">
        <v>2556</v>
      </c>
      <c r="H1855" s="15">
        <f t="shared" ref="H1855:H1858" si="54">1</f>
        <v>1</v>
      </c>
      <c r="I1855" s="15" t="s">
        <v>50</v>
      </c>
      <c r="J1855" s="15" t="s">
        <v>22</v>
      </c>
      <c r="K1855" s="15" t="s">
        <v>1847</v>
      </c>
      <c r="L1855" s="15" t="s">
        <v>39</v>
      </c>
      <c r="M1855" s="16">
        <v>-0.5</v>
      </c>
      <c r="N1855" s="16">
        <v>0.25</v>
      </c>
      <c r="O1855" s="16">
        <v>0.25</v>
      </c>
      <c r="P1855" s="17">
        <v>45319.0</v>
      </c>
      <c r="Q1855" s="18">
        <f>160.26/125</f>
        <v>1.28208</v>
      </c>
      <c r="R1855" s="15" t="s">
        <v>33</v>
      </c>
      <c r="S1855" s="19">
        <f t="shared" si="1"/>
        <v>0.07052</v>
      </c>
      <c r="T1855" s="19">
        <f t="shared" si="8"/>
        <v>62.96202209</v>
      </c>
      <c r="U1855" s="144"/>
    </row>
    <row r="1856">
      <c r="A1856" s="107"/>
      <c r="B1856" s="8" t="s">
        <v>129</v>
      </c>
      <c r="C1856" s="8" t="s">
        <v>40</v>
      </c>
      <c r="D1856" s="8">
        <v>25.0</v>
      </c>
      <c r="E1856" s="8" t="s">
        <v>4317</v>
      </c>
      <c r="F1856" s="8" t="s">
        <v>1479</v>
      </c>
      <c r="G1856" s="8" t="s">
        <v>2556</v>
      </c>
      <c r="H1856" s="8">
        <f t="shared" si="54"/>
        <v>1</v>
      </c>
      <c r="I1856" s="8" t="s">
        <v>50</v>
      </c>
      <c r="J1856" s="8" t="s">
        <v>22</v>
      </c>
      <c r="K1856" s="8" t="s">
        <v>225</v>
      </c>
      <c r="L1856" s="8" t="s">
        <v>39</v>
      </c>
      <c r="M1856" s="9">
        <v>0.25</v>
      </c>
      <c r="N1856" s="9">
        <v>0.25</v>
      </c>
      <c r="O1856" s="9">
        <v>0.25</v>
      </c>
      <c r="P1856" s="10">
        <v>45319.0</v>
      </c>
      <c r="Q1856" s="11">
        <f>146.44/125</f>
        <v>1.17152</v>
      </c>
      <c r="R1856" s="8" t="s">
        <v>33</v>
      </c>
      <c r="S1856" s="12">
        <f t="shared" si="1"/>
        <v>0.04288</v>
      </c>
      <c r="T1856" s="12">
        <f t="shared" si="8"/>
        <v>63.00490209</v>
      </c>
      <c r="U1856" s="145"/>
    </row>
    <row r="1857">
      <c r="A1857" s="29"/>
      <c r="B1857" s="15" t="s">
        <v>26</v>
      </c>
      <c r="C1857" s="15" t="s">
        <v>19</v>
      </c>
      <c r="D1857" s="15">
        <v>59.0</v>
      </c>
      <c r="E1857" s="15" t="s">
        <v>4318</v>
      </c>
      <c r="F1857" s="15" t="s">
        <v>1473</v>
      </c>
      <c r="G1857" s="15" t="s">
        <v>2660</v>
      </c>
      <c r="H1857" s="15">
        <f t="shared" si="54"/>
        <v>1</v>
      </c>
      <c r="I1857" s="15" t="s">
        <v>121</v>
      </c>
      <c r="J1857" s="15" t="s">
        <v>22</v>
      </c>
      <c r="K1857" s="15" t="s">
        <v>892</v>
      </c>
      <c r="L1857" s="15" t="s">
        <v>1522</v>
      </c>
      <c r="M1857" s="16">
        <v>0.0</v>
      </c>
      <c r="N1857" s="16">
        <v>1.0</v>
      </c>
      <c r="O1857" s="16">
        <v>1.0</v>
      </c>
      <c r="P1857" s="17">
        <v>45319.0</v>
      </c>
      <c r="Q1857" s="18">
        <v>2.075</v>
      </c>
      <c r="R1857" s="15" t="s">
        <v>70</v>
      </c>
      <c r="S1857" s="19">
        <f t="shared" si="1"/>
        <v>0</v>
      </c>
      <c r="T1857" s="19">
        <f t="shared" si="8"/>
        <v>63.00490209</v>
      </c>
      <c r="U1857" s="144"/>
    </row>
    <row r="1858">
      <c r="A1858" s="107"/>
      <c r="B1858" s="8" t="s">
        <v>18</v>
      </c>
      <c r="C1858" s="8" t="s">
        <v>19</v>
      </c>
      <c r="D1858" s="8">
        <v>27.0</v>
      </c>
      <c r="E1858" s="8" t="s">
        <v>4319</v>
      </c>
      <c r="F1858" s="8" t="s">
        <v>1473</v>
      </c>
      <c r="G1858" s="8" t="s">
        <v>2556</v>
      </c>
      <c r="H1858" s="8">
        <f t="shared" si="54"/>
        <v>1</v>
      </c>
      <c r="I1858" s="8" t="s">
        <v>50</v>
      </c>
      <c r="J1858" s="8" t="s">
        <v>22</v>
      </c>
      <c r="K1858" s="8" t="s">
        <v>225</v>
      </c>
      <c r="L1858" s="8" t="s">
        <v>24</v>
      </c>
      <c r="M1858" s="9">
        <v>0.25</v>
      </c>
      <c r="N1858" s="9">
        <v>0.5</v>
      </c>
      <c r="O1858" s="9">
        <v>0.5</v>
      </c>
      <c r="P1858" s="10">
        <v>45319.0</v>
      </c>
      <c r="Q1858" s="11">
        <v>1.75</v>
      </c>
      <c r="R1858" s="8" t="s">
        <v>33</v>
      </c>
      <c r="S1858" s="12">
        <f t="shared" si="1"/>
        <v>0.375</v>
      </c>
      <c r="T1858" s="12">
        <f t="shared" si="8"/>
        <v>63.37990209</v>
      </c>
      <c r="U1858" s="145"/>
    </row>
    <row r="1859">
      <c r="A1859" s="29"/>
      <c r="B1859" s="15" t="s">
        <v>18</v>
      </c>
      <c r="C1859" s="15" t="s">
        <v>19</v>
      </c>
      <c r="D1859" s="15">
        <v>27.0</v>
      </c>
      <c r="E1859" s="15" t="s">
        <v>4320</v>
      </c>
      <c r="F1859" s="15" t="s">
        <v>1473</v>
      </c>
      <c r="G1859" s="15" t="s">
        <v>2660</v>
      </c>
      <c r="H1859" s="15" t="s">
        <v>4321</v>
      </c>
      <c r="I1859" s="15" t="s">
        <v>50</v>
      </c>
      <c r="J1859" s="15" t="s">
        <v>22</v>
      </c>
      <c r="K1859" s="15" t="s">
        <v>892</v>
      </c>
      <c r="L1859" s="15" t="s">
        <v>24</v>
      </c>
      <c r="M1859" s="16">
        <v>0.0</v>
      </c>
      <c r="N1859" s="16">
        <v>0.25</v>
      </c>
      <c r="O1859" s="16">
        <v>0.18</v>
      </c>
      <c r="P1859" s="17">
        <v>45319.0</v>
      </c>
      <c r="Q1859" s="18">
        <v>2.075</v>
      </c>
      <c r="R1859" s="15" t="s">
        <v>33</v>
      </c>
      <c r="S1859" s="19">
        <f t="shared" si="1"/>
        <v>0.1935</v>
      </c>
      <c r="T1859" s="19">
        <f t="shared" si="8"/>
        <v>63.57340209</v>
      </c>
      <c r="U1859" s="144"/>
    </row>
    <row r="1860">
      <c r="A1860" s="107"/>
      <c r="B1860" s="8" t="s">
        <v>129</v>
      </c>
      <c r="C1860" s="8" t="s">
        <v>19</v>
      </c>
      <c r="D1860" s="8">
        <v>42.0</v>
      </c>
      <c r="E1860" s="8" t="s">
        <v>4322</v>
      </c>
      <c r="F1860" s="8" t="s">
        <v>1473</v>
      </c>
      <c r="G1860" s="8" t="s">
        <v>2556</v>
      </c>
      <c r="H1860" s="8">
        <v>0.0</v>
      </c>
      <c r="I1860" s="8" t="s">
        <v>93</v>
      </c>
      <c r="J1860" s="8" t="s">
        <v>22</v>
      </c>
      <c r="K1860" s="8" t="s">
        <v>225</v>
      </c>
      <c r="L1860" s="8" t="s">
        <v>24</v>
      </c>
      <c r="M1860" s="9">
        <v>0.25</v>
      </c>
      <c r="N1860" s="9">
        <v>0.5</v>
      </c>
      <c r="O1860" s="9">
        <v>0.5</v>
      </c>
      <c r="P1860" s="10">
        <v>45319.0</v>
      </c>
      <c r="Q1860" s="11">
        <v>1.725</v>
      </c>
      <c r="R1860" s="8" t="s">
        <v>33</v>
      </c>
      <c r="S1860" s="12">
        <f t="shared" si="1"/>
        <v>0.3625</v>
      </c>
      <c r="T1860" s="12">
        <f t="shared" si="8"/>
        <v>63.93590209</v>
      </c>
      <c r="U1860" s="145"/>
    </row>
    <row r="1861">
      <c r="A1861" s="29"/>
      <c r="B1861" s="15" t="s">
        <v>26</v>
      </c>
      <c r="C1861" s="15" t="s">
        <v>19</v>
      </c>
      <c r="D1861" s="15">
        <v>58.0</v>
      </c>
      <c r="E1861" s="15" t="s">
        <v>4323</v>
      </c>
      <c r="F1861" s="15" t="s">
        <v>1479</v>
      </c>
      <c r="G1861" s="15" t="s">
        <v>2660</v>
      </c>
      <c r="H1861" s="15">
        <f>1</f>
        <v>1</v>
      </c>
      <c r="I1861" s="15" t="s">
        <v>93</v>
      </c>
      <c r="J1861" s="15" t="s">
        <v>22</v>
      </c>
      <c r="K1861" s="15" t="s">
        <v>892</v>
      </c>
      <c r="L1861" s="15" t="s">
        <v>1851</v>
      </c>
      <c r="M1861" s="16">
        <v>0.0</v>
      </c>
      <c r="N1861" s="16">
        <v>0.25</v>
      </c>
      <c r="O1861" s="16">
        <v>0.25</v>
      </c>
      <c r="P1861" s="55">
        <v>45319.0</v>
      </c>
      <c r="Q1861" s="18">
        <v>1.725</v>
      </c>
      <c r="R1861" s="15" t="s">
        <v>25</v>
      </c>
      <c r="S1861" s="19">
        <f t="shared" si="1"/>
        <v>-0.25</v>
      </c>
      <c r="T1861" s="19">
        <f t="shared" si="8"/>
        <v>63.68590209</v>
      </c>
      <c r="U1861" s="144"/>
    </row>
    <row r="1862">
      <c r="A1862" s="107"/>
      <c r="B1862" s="8" t="s">
        <v>26</v>
      </c>
      <c r="C1862" s="8" t="s">
        <v>19</v>
      </c>
      <c r="D1862" s="8">
        <v>63.0</v>
      </c>
      <c r="E1862" s="8" t="s">
        <v>4324</v>
      </c>
      <c r="F1862" s="8" t="s">
        <v>1473</v>
      </c>
      <c r="G1862" s="8" t="s">
        <v>2660</v>
      </c>
      <c r="H1862" s="8">
        <v>-1.0</v>
      </c>
      <c r="I1862" s="8" t="s">
        <v>93</v>
      </c>
      <c r="J1862" s="8" t="s">
        <v>22</v>
      </c>
      <c r="K1862" s="8" t="s">
        <v>892</v>
      </c>
      <c r="L1862" s="8" t="s">
        <v>1522</v>
      </c>
      <c r="M1862" s="9">
        <v>0.0</v>
      </c>
      <c r="N1862" s="9">
        <v>0.75</v>
      </c>
      <c r="O1862" s="9">
        <v>0.75</v>
      </c>
      <c r="P1862" s="10">
        <v>45319.0</v>
      </c>
      <c r="Q1862" s="11">
        <v>1.7</v>
      </c>
      <c r="R1862" s="8" t="s">
        <v>25</v>
      </c>
      <c r="S1862" s="12">
        <f t="shared" si="1"/>
        <v>-0.75</v>
      </c>
      <c r="T1862" s="12">
        <f t="shared" si="8"/>
        <v>62.93590209</v>
      </c>
      <c r="U1862" s="145"/>
    </row>
    <row r="1863">
      <c r="A1863" s="29"/>
      <c r="B1863" s="15" t="s">
        <v>26</v>
      </c>
      <c r="C1863" s="15" t="s">
        <v>19</v>
      </c>
      <c r="D1863" s="15">
        <v>74.0</v>
      </c>
      <c r="E1863" s="15" t="s">
        <v>4325</v>
      </c>
      <c r="F1863" s="15" t="s">
        <v>1479</v>
      </c>
      <c r="G1863" s="15" t="s">
        <v>2660</v>
      </c>
      <c r="H1863" s="15">
        <v>-1.0</v>
      </c>
      <c r="I1863" s="15" t="s">
        <v>229</v>
      </c>
      <c r="J1863" s="15" t="s">
        <v>22</v>
      </c>
      <c r="K1863" s="15" t="s">
        <v>892</v>
      </c>
      <c r="L1863" s="15" t="s">
        <v>24</v>
      </c>
      <c r="M1863" s="16">
        <v>0.0</v>
      </c>
      <c r="N1863" s="16">
        <v>0.75</v>
      </c>
      <c r="O1863" s="16">
        <v>0.75</v>
      </c>
      <c r="P1863" s="17">
        <v>45319.0</v>
      </c>
      <c r="Q1863" s="18">
        <v>1.725</v>
      </c>
      <c r="R1863" s="15" t="s">
        <v>33</v>
      </c>
      <c r="S1863" s="19">
        <f t="shared" si="1"/>
        <v>0.54375</v>
      </c>
      <c r="T1863" s="19">
        <f t="shared" si="8"/>
        <v>63.47965209</v>
      </c>
      <c r="U1863" s="144"/>
    </row>
    <row r="1864">
      <c r="A1864" s="107"/>
      <c r="B1864" s="8" t="s">
        <v>129</v>
      </c>
      <c r="C1864" s="8" t="s">
        <v>19</v>
      </c>
      <c r="D1864" s="8">
        <v>78.0</v>
      </c>
      <c r="E1864" s="8" t="s">
        <v>4326</v>
      </c>
      <c r="F1864" s="8" t="s">
        <v>1473</v>
      </c>
      <c r="G1864" s="8" t="s">
        <v>2556</v>
      </c>
      <c r="H1864" s="8">
        <v>-2.0</v>
      </c>
      <c r="I1864" s="8" t="s">
        <v>525</v>
      </c>
      <c r="J1864" s="8" t="s">
        <v>22</v>
      </c>
      <c r="K1864" s="8" t="s">
        <v>225</v>
      </c>
      <c r="L1864" s="8" t="s">
        <v>24</v>
      </c>
      <c r="M1864" s="9">
        <v>0.5</v>
      </c>
      <c r="N1864" s="9">
        <v>0.5</v>
      </c>
      <c r="O1864" s="9">
        <v>0.5</v>
      </c>
      <c r="P1864" s="10">
        <v>45319.0</v>
      </c>
      <c r="Q1864" s="11">
        <v>1.4212</v>
      </c>
      <c r="R1864" s="8" t="s">
        <v>33</v>
      </c>
      <c r="S1864" s="12">
        <f t="shared" si="1"/>
        <v>0.2106</v>
      </c>
      <c r="T1864" s="12">
        <f t="shared" si="8"/>
        <v>63.69025209</v>
      </c>
      <c r="U1864" s="145"/>
    </row>
    <row r="1865">
      <c r="A1865" s="29"/>
      <c r="B1865" s="15" t="s">
        <v>131</v>
      </c>
      <c r="C1865" s="15" t="s">
        <v>19</v>
      </c>
      <c r="D1865" s="15">
        <v>35.0</v>
      </c>
      <c r="E1865" s="15" t="s">
        <v>4327</v>
      </c>
      <c r="F1865" s="15" t="s">
        <v>1473</v>
      </c>
      <c r="G1865" s="15" t="s">
        <v>2556</v>
      </c>
      <c r="H1865" s="15">
        <v>0.0</v>
      </c>
      <c r="I1865" s="15" t="s">
        <v>48</v>
      </c>
      <c r="J1865" s="15" t="s">
        <v>22</v>
      </c>
      <c r="K1865" s="15" t="s">
        <v>225</v>
      </c>
      <c r="L1865" s="15" t="s">
        <v>24</v>
      </c>
      <c r="M1865" s="16">
        <v>0.25</v>
      </c>
      <c r="N1865" s="16">
        <v>1.0</v>
      </c>
      <c r="O1865" s="16">
        <v>0.99</v>
      </c>
      <c r="P1865" s="17">
        <v>45319.0</v>
      </c>
      <c r="Q1865" s="18">
        <v>1.547</v>
      </c>
      <c r="R1865" s="15" t="s">
        <v>33</v>
      </c>
      <c r="S1865" s="19">
        <f t="shared" si="1"/>
        <v>0.54153</v>
      </c>
      <c r="T1865" s="19">
        <f t="shared" si="8"/>
        <v>64.23178209</v>
      </c>
      <c r="U1865" s="144"/>
    </row>
    <row r="1866">
      <c r="A1866" s="107"/>
      <c r="B1866" s="8" t="s">
        <v>26</v>
      </c>
      <c r="C1866" s="8" t="s">
        <v>19</v>
      </c>
      <c r="D1866" s="8">
        <v>53.0</v>
      </c>
      <c r="E1866" s="8" t="s">
        <v>4328</v>
      </c>
      <c r="F1866" s="8"/>
      <c r="G1866" s="8"/>
      <c r="H1866" s="8">
        <v>0.0</v>
      </c>
      <c r="I1866" s="8" t="s">
        <v>952</v>
      </c>
      <c r="J1866" s="8" t="s">
        <v>22</v>
      </c>
      <c r="K1866" s="8" t="s">
        <v>440</v>
      </c>
      <c r="L1866" s="8" t="s">
        <v>39</v>
      </c>
      <c r="M1866" s="9">
        <v>0.5</v>
      </c>
      <c r="N1866" s="9">
        <v>0.1</v>
      </c>
      <c r="O1866" s="9">
        <v>0.1</v>
      </c>
      <c r="P1866" s="10">
        <v>45319.0</v>
      </c>
      <c r="Q1866" s="11">
        <v>1.85</v>
      </c>
      <c r="R1866" s="8" t="s">
        <v>25</v>
      </c>
      <c r="S1866" s="12">
        <f t="shared" si="1"/>
        <v>-0.1</v>
      </c>
      <c r="T1866" s="12">
        <f t="shared" si="8"/>
        <v>64.13178209</v>
      </c>
      <c r="U1866" s="145"/>
    </row>
    <row r="1867">
      <c r="A1867" s="29"/>
      <c r="B1867" s="15" t="s">
        <v>129</v>
      </c>
      <c r="C1867" s="15" t="s">
        <v>19</v>
      </c>
      <c r="D1867" s="15">
        <v>70.0</v>
      </c>
      <c r="E1867" s="15" t="s">
        <v>4329</v>
      </c>
      <c r="F1867" s="15" t="s">
        <v>1473</v>
      </c>
      <c r="G1867" s="15" t="s">
        <v>2556</v>
      </c>
      <c r="H1867" s="15">
        <v>0.0</v>
      </c>
      <c r="I1867" s="15" t="s">
        <v>273</v>
      </c>
      <c r="J1867" s="15" t="s">
        <v>22</v>
      </c>
      <c r="K1867" s="15" t="s">
        <v>941</v>
      </c>
      <c r="L1867" s="15" t="s">
        <v>1851</v>
      </c>
      <c r="M1867" s="16">
        <v>0.0</v>
      </c>
      <c r="N1867" s="16">
        <v>0.25</v>
      </c>
      <c r="O1867" s="16">
        <v>0.25</v>
      </c>
      <c r="P1867" s="17">
        <v>45319.0</v>
      </c>
      <c r="Q1867" s="18">
        <v>2.375</v>
      </c>
      <c r="R1867" s="15" t="s">
        <v>70</v>
      </c>
      <c r="S1867" s="19">
        <f t="shared" si="1"/>
        <v>0</v>
      </c>
      <c r="T1867" s="19">
        <f t="shared" si="8"/>
        <v>64.13178209</v>
      </c>
      <c r="U1867" s="144"/>
    </row>
    <row r="1868">
      <c r="A1868" s="107"/>
      <c r="B1868" s="8" t="s">
        <v>129</v>
      </c>
      <c r="C1868" s="8" t="s">
        <v>19</v>
      </c>
      <c r="D1868" s="8">
        <v>70.0</v>
      </c>
      <c r="E1868" s="8" t="s">
        <v>4330</v>
      </c>
      <c r="F1868" s="8" t="s">
        <v>1473</v>
      </c>
      <c r="G1868" s="8" t="s">
        <v>2660</v>
      </c>
      <c r="H1868" s="8">
        <v>0.0</v>
      </c>
      <c r="I1868" s="8" t="s">
        <v>273</v>
      </c>
      <c r="J1868" s="8" t="s">
        <v>22</v>
      </c>
      <c r="K1868" s="8" t="s">
        <v>892</v>
      </c>
      <c r="L1868" s="8" t="s">
        <v>1851</v>
      </c>
      <c r="M1868" s="9">
        <v>0.0</v>
      </c>
      <c r="N1868" s="9">
        <v>0.25</v>
      </c>
      <c r="O1868" s="9">
        <v>0.17</v>
      </c>
      <c r="P1868" s="10">
        <v>45319.0</v>
      </c>
      <c r="Q1868" s="11">
        <v>2.25</v>
      </c>
      <c r="R1868" s="8" t="s">
        <v>70</v>
      </c>
      <c r="S1868" s="12">
        <f t="shared" si="1"/>
        <v>0</v>
      </c>
      <c r="T1868" s="12">
        <f t="shared" si="8"/>
        <v>64.13178209</v>
      </c>
      <c r="U1868" s="145"/>
    </row>
    <row r="1869">
      <c r="A1869" s="29"/>
      <c r="B1869" s="15" t="s">
        <v>129</v>
      </c>
      <c r="C1869" s="15" t="s">
        <v>19</v>
      </c>
      <c r="D1869" s="15">
        <v>75.0</v>
      </c>
      <c r="E1869" s="15" t="s">
        <v>4331</v>
      </c>
      <c r="F1869" s="15" t="s">
        <v>1473</v>
      </c>
      <c r="G1869" s="15" t="s">
        <v>2660</v>
      </c>
      <c r="H1869" s="15">
        <v>-1.0</v>
      </c>
      <c r="I1869" s="15" t="s">
        <v>273</v>
      </c>
      <c r="J1869" s="15" t="s">
        <v>22</v>
      </c>
      <c r="K1869" s="15" t="s">
        <v>892</v>
      </c>
      <c r="L1869" s="15" t="s">
        <v>24</v>
      </c>
      <c r="M1869" s="16">
        <v>0.0</v>
      </c>
      <c r="N1869" s="16">
        <v>0.75</v>
      </c>
      <c r="O1869" s="16">
        <v>0.75</v>
      </c>
      <c r="P1869" s="17">
        <v>45319.0</v>
      </c>
      <c r="Q1869" s="18">
        <v>1.875</v>
      </c>
      <c r="R1869" s="15" t="s">
        <v>70</v>
      </c>
      <c r="S1869" s="19">
        <f t="shared" si="1"/>
        <v>0</v>
      </c>
      <c r="T1869" s="19">
        <f t="shared" si="8"/>
        <v>64.13178209</v>
      </c>
      <c r="U1869" s="144"/>
    </row>
    <row r="1870">
      <c r="A1870" s="107"/>
      <c r="B1870" s="8" t="s">
        <v>26</v>
      </c>
      <c r="C1870" s="8" t="s">
        <v>19</v>
      </c>
      <c r="D1870" s="8">
        <v>65.0</v>
      </c>
      <c r="E1870" s="8" t="s">
        <v>4332</v>
      </c>
      <c r="F1870" s="8" t="s">
        <v>1473</v>
      </c>
      <c r="G1870" s="8" t="s">
        <v>2660</v>
      </c>
      <c r="H1870" s="8">
        <v>-1.0</v>
      </c>
      <c r="I1870" s="8" t="s">
        <v>48</v>
      </c>
      <c r="J1870" s="8" t="s">
        <v>22</v>
      </c>
      <c r="K1870" s="8" t="s">
        <v>892</v>
      </c>
      <c r="L1870" s="8" t="s">
        <v>24</v>
      </c>
      <c r="M1870" s="9">
        <v>0.0</v>
      </c>
      <c r="N1870" s="9">
        <v>0.75</v>
      </c>
      <c r="O1870" s="9">
        <v>0.5</v>
      </c>
      <c r="P1870" s="10">
        <v>45319.0</v>
      </c>
      <c r="Q1870" s="11">
        <v>1.95</v>
      </c>
      <c r="R1870" s="8" t="s">
        <v>70</v>
      </c>
      <c r="S1870" s="12">
        <f t="shared" si="1"/>
        <v>0</v>
      </c>
      <c r="T1870" s="12">
        <f t="shared" si="8"/>
        <v>64.13178209</v>
      </c>
      <c r="U1870" s="145"/>
    </row>
    <row r="1871">
      <c r="A1871" s="29"/>
      <c r="B1871" s="15" t="s">
        <v>26</v>
      </c>
      <c r="C1871" s="15" t="s">
        <v>19</v>
      </c>
      <c r="D1871" s="15">
        <v>55.0</v>
      </c>
      <c r="E1871" s="15" t="s">
        <v>4333</v>
      </c>
      <c r="F1871" s="15" t="s">
        <v>1479</v>
      </c>
      <c r="G1871" s="15" t="s">
        <v>2556</v>
      </c>
      <c r="H1871" s="15">
        <v>0.0</v>
      </c>
      <c r="I1871" s="15" t="s">
        <v>93</v>
      </c>
      <c r="J1871" s="15" t="s">
        <v>22</v>
      </c>
      <c r="K1871" s="15" t="s">
        <v>225</v>
      </c>
      <c r="L1871" s="15" t="s">
        <v>24</v>
      </c>
      <c r="M1871" s="16">
        <v>0.5</v>
      </c>
      <c r="N1871" s="16">
        <v>0.5</v>
      </c>
      <c r="O1871" s="16">
        <v>0.5</v>
      </c>
      <c r="P1871" s="17">
        <v>45319.0</v>
      </c>
      <c r="Q1871" s="18">
        <v>1.09</v>
      </c>
      <c r="R1871" s="15" t="s">
        <v>33</v>
      </c>
      <c r="S1871" s="19">
        <f t="shared" si="1"/>
        <v>0.045</v>
      </c>
      <c r="T1871" s="19">
        <f t="shared" si="8"/>
        <v>64.17678209</v>
      </c>
      <c r="U1871" s="144"/>
    </row>
    <row r="1872">
      <c r="A1872" s="107"/>
      <c r="B1872" s="8" t="s">
        <v>129</v>
      </c>
      <c r="C1872" s="8" t="s">
        <v>19</v>
      </c>
      <c r="D1872" s="8">
        <v>31.0</v>
      </c>
      <c r="E1872" s="8" t="s">
        <v>4334</v>
      </c>
      <c r="F1872" s="8" t="s">
        <v>1473</v>
      </c>
      <c r="G1872" s="8" t="s">
        <v>2660</v>
      </c>
      <c r="H1872" s="8">
        <v>0.0</v>
      </c>
      <c r="I1872" s="8" t="s">
        <v>4266</v>
      </c>
      <c r="J1872" s="8" t="s">
        <v>22</v>
      </c>
      <c r="K1872" s="8" t="s">
        <v>892</v>
      </c>
      <c r="L1872" s="8" t="s">
        <v>24</v>
      </c>
      <c r="M1872" s="9">
        <v>0.0</v>
      </c>
      <c r="N1872" s="9">
        <v>1.0</v>
      </c>
      <c r="O1872" s="9">
        <v>0.75</v>
      </c>
      <c r="P1872" s="10">
        <v>45319.0</v>
      </c>
      <c r="Q1872" s="11">
        <v>1.58</v>
      </c>
      <c r="R1872" s="8" t="s">
        <v>33</v>
      </c>
      <c r="S1872" s="12">
        <f t="shared" si="1"/>
        <v>0.435</v>
      </c>
      <c r="T1872" s="12">
        <f t="shared" si="8"/>
        <v>64.61178209</v>
      </c>
      <c r="U1872" s="145"/>
    </row>
    <row r="1873">
      <c r="A1873" s="29"/>
      <c r="B1873" s="15" t="s">
        <v>26</v>
      </c>
      <c r="C1873" s="15" t="s">
        <v>19</v>
      </c>
      <c r="D1873" s="15">
        <v>60.0</v>
      </c>
      <c r="E1873" s="15" t="s">
        <v>4335</v>
      </c>
      <c r="F1873" s="15" t="s">
        <v>1479</v>
      </c>
      <c r="G1873" s="15" t="s">
        <v>2556</v>
      </c>
      <c r="H1873" s="15">
        <v>0.0</v>
      </c>
      <c r="I1873" s="15" t="s">
        <v>93</v>
      </c>
      <c r="J1873" s="15" t="s">
        <v>22</v>
      </c>
      <c r="K1873" s="15" t="s">
        <v>941</v>
      </c>
      <c r="L1873" s="15" t="s">
        <v>24</v>
      </c>
      <c r="M1873" s="16">
        <v>0.0</v>
      </c>
      <c r="N1873" s="16">
        <v>0.1</v>
      </c>
      <c r="O1873" s="16">
        <v>0.1</v>
      </c>
      <c r="P1873" s="17">
        <v>45319.0</v>
      </c>
      <c r="Q1873" s="18">
        <v>3.5</v>
      </c>
      <c r="R1873" s="15" t="s">
        <v>33</v>
      </c>
      <c r="S1873" s="19">
        <f t="shared" si="1"/>
        <v>0.25</v>
      </c>
      <c r="T1873" s="19">
        <f t="shared" si="8"/>
        <v>64.86178209</v>
      </c>
      <c r="U1873" s="144"/>
    </row>
    <row r="1874">
      <c r="A1874" s="107"/>
      <c r="B1874" s="8" t="s">
        <v>26</v>
      </c>
      <c r="C1874" s="8" t="s">
        <v>19</v>
      </c>
      <c r="D1874" s="8">
        <v>64.0</v>
      </c>
      <c r="E1874" s="8" t="s">
        <v>4333</v>
      </c>
      <c r="F1874" s="8" t="s">
        <v>1479</v>
      </c>
      <c r="G1874" s="8" t="s">
        <v>2556</v>
      </c>
      <c r="H1874" s="8">
        <v>0.0</v>
      </c>
      <c r="I1874" s="8" t="s">
        <v>93</v>
      </c>
      <c r="J1874" s="8" t="s">
        <v>22</v>
      </c>
      <c r="K1874" s="8" t="s">
        <v>225</v>
      </c>
      <c r="L1874" s="8" t="s">
        <v>24</v>
      </c>
      <c r="M1874" s="9">
        <v>0.5</v>
      </c>
      <c r="N1874" s="9">
        <v>0.2</v>
      </c>
      <c r="O1874" s="9">
        <v>0.2</v>
      </c>
      <c r="P1874" s="10">
        <v>45319.0</v>
      </c>
      <c r="Q1874" s="11">
        <v>1.09</v>
      </c>
      <c r="R1874" s="8" t="s">
        <v>33</v>
      </c>
      <c r="S1874" s="12">
        <f t="shared" si="1"/>
        <v>0.018</v>
      </c>
      <c r="T1874" s="12">
        <f t="shared" si="8"/>
        <v>64.87978209</v>
      </c>
      <c r="U1874" s="145"/>
    </row>
    <row r="1875">
      <c r="A1875" s="29"/>
      <c r="B1875" s="15" t="s">
        <v>26</v>
      </c>
      <c r="C1875" s="15" t="s">
        <v>40</v>
      </c>
      <c r="D1875" s="15">
        <v>85.0</v>
      </c>
      <c r="E1875" s="15" t="s">
        <v>4336</v>
      </c>
      <c r="F1875" s="15" t="s">
        <v>1479</v>
      </c>
      <c r="G1875" s="15" t="s">
        <v>2660</v>
      </c>
      <c r="H1875" s="15">
        <v>-1.0</v>
      </c>
      <c r="I1875" s="15" t="s">
        <v>66</v>
      </c>
      <c r="J1875" s="15" t="s">
        <v>22</v>
      </c>
      <c r="K1875" s="15" t="s">
        <v>892</v>
      </c>
      <c r="L1875" s="15" t="s">
        <v>24</v>
      </c>
      <c r="M1875" s="16">
        <v>0.0</v>
      </c>
      <c r="N1875" s="16">
        <v>0.25</v>
      </c>
      <c r="O1875" s="16">
        <v>0.25</v>
      </c>
      <c r="P1875" s="17">
        <v>45319.0</v>
      </c>
      <c r="Q1875" s="18">
        <v>2.2</v>
      </c>
      <c r="R1875" s="15" t="s">
        <v>70</v>
      </c>
      <c r="S1875" s="19">
        <f t="shared" si="1"/>
        <v>0</v>
      </c>
      <c r="T1875" s="19">
        <f t="shared" si="8"/>
        <v>64.87978209</v>
      </c>
      <c r="U1875" s="144"/>
    </row>
    <row r="1876">
      <c r="A1876" s="107"/>
      <c r="B1876" s="8" t="s">
        <v>4225</v>
      </c>
      <c r="C1876" s="8" t="s">
        <v>19</v>
      </c>
      <c r="D1876" s="8">
        <v>35.0</v>
      </c>
      <c r="E1876" s="8" t="s">
        <v>4337</v>
      </c>
      <c r="F1876" s="8" t="s">
        <v>1473</v>
      </c>
      <c r="G1876" s="8" t="s">
        <v>2556</v>
      </c>
      <c r="H1876" s="8">
        <v>0.0</v>
      </c>
      <c r="I1876" s="8" t="s">
        <v>248</v>
      </c>
      <c r="J1876" s="8" t="s">
        <v>22</v>
      </c>
      <c r="K1876" s="8" t="s">
        <v>225</v>
      </c>
      <c r="L1876" s="8" t="s">
        <v>24</v>
      </c>
      <c r="M1876" s="9">
        <v>0.5</v>
      </c>
      <c r="N1876" s="9">
        <v>0.2</v>
      </c>
      <c r="O1876" s="9">
        <v>0.13</v>
      </c>
      <c r="P1876" s="10">
        <v>45321.0</v>
      </c>
      <c r="Q1876" s="11">
        <v>1.75</v>
      </c>
      <c r="R1876" s="8" t="s">
        <v>33</v>
      </c>
      <c r="S1876" s="12">
        <f t="shared" si="1"/>
        <v>0.0975</v>
      </c>
      <c r="T1876" s="12">
        <f t="shared" si="8"/>
        <v>64.97728209</v>
      </c>
      <c r="U1876" s="145"/>
    </row>
    <row r="1877">
      <c r="A1877" s="29"/>
      <c r="B1877" s="15" t="s">
        <v>4225</v>
      </c>
      <c r="C1877" s="15" t="s">
        <v>19</v>
      </c>
      <c r="D1877" s="15">
        <v>35.0</v>
      </c>
      <c r="E1877" s="15" t="s">
        <v>4338</v>
      </c>
      <c r="F1877" s="15" t="s">
        <v>1473</v>
      </c>
      <c r="G1877" s="15" t="s">
        <v>2556</v>
      </c>
      <c r="H1877" s="15">
        <v>0.0</v>
      </c>
      <c r="I1877" s="15" t="s">
        <v>248</v>
      </c>
      <c r="J1877" s="15" t="s">
        <v>22</v>
      </c>
      <c r="K1877" s="15" t="s">
        <v>941</v>
      </c>
      <c r="L1877" s="15" t="s">
        <v>24</v>
      </c>
      <c r="M1877" s="16">
        <v>0.0</v>
      </c>
      <c r="N1877" s="16">
        <v>0.1</v>
      </c>
      <c r="O1877" s="16">
        <v>0.095</v>
      </c>
      <c r="P1877" s="17">
        <v>45321.0</v>
      </c>
      <c r="Q1877" s="18">
        <v>2.373</v>
      </c>
      <c r="R1877" s="15" t="s">
        <v>33</v>
      </c>
      <c r="S1877" s="19">
        <f t="shared" si="1"/>
        <v>0.130435</v>
      </c>
      <c r="T1877" s="19">
        <f t="shared" si="8"/>
        <v>65.10771709</v>
      </c>
      <c r="U1877" s="144"/>
    </row>
    <row r="1878">
      <c r="A1878" s="107"/>
      <c r="B1878" s="8" t="s">
        <v>137</v>
      </c>
      <c r="C1878" s="8" t="s">
        <v>19</v>
      </c>
      <c r="D1878" s="8">
        <v>77.0</v>
      </c>
      <c r="E1878" s="8" t="s">
        <v>4339</v>
      </c>
      <c r="F1878" s="8" t="s">
        <v>1473</v>
      </c>
      <c r="G1878" s="8" t="s">
        <v>2556</v>
      </c>
      <c r="H1878" s="8">
        <v>-2.0</v>
      </c>
      <c r="I1878" s="8" t="s">
        <v>191</v>
      </c>
      <c r="J1878" s="8" t="s">
        <v>22</v>
      </c>
      <c r="K1878" s="8" t="s">
        <v>941</v>
      </c>
      <c r="L1878" s="8" t="s">
        <v>24</v>
      </c>
      <c r="M1878" s="9">
        <v>0.0</v>
      </c>
      <c r="N1878" s="9">
        <v>0.4</v>
      </c>
      <c r="O1878" s="9">
        <v>0.4</v>
      </c>
      <c r="P1878" s="10">
        <v>45321.0</v>
      </c>
      <c r="Q1878" s="11">
        <v>1.835</v>
      </c>
      <c r="R1878" s="8" t="s">
        <v>70</v>
      </c>
      <c r="S1878" s="12">
        <f t="shared" si="1"/>
        <v>0</v>
      </c>
      <c r="T1878" s="12">
        <f t="shared" si="8"/>
        <v>65.10771709</v>
      </c>
      <c r="U1878" s="145"/>
    </row>
    <row r="1879">
      <c r="A1879" s="29"/>
      <c r="B1879" s="15" t="s">
        <v>129</v>
      </c>
      <c r="C1879" s="15" t="s">
        <v>19</v>
      </c>
      <c r="D1879" s="15">
        <v>80.0</v>
      </c>
      <c r="E1879" s="15" t="s">
        <v>4340</v>
      </c>
      <c r="F1879" s="15" t="s">
        <v>1473</v>
      </c>
      <c r="G1879" s="15" t="s">
        <v>2660</v>
      </c>
      <c r="H1879" s="15">
        <v>0.0</v>
      </c>
      <c r="I1879" s="15" t="s">
        <v>68</v>
      </c>
      <c r="J1879" s="15" t="s">
        <v>22</v>
      </c>
      <c r="K1879" s="15" t="s">
        <v>892</v>
      </c>
      <c r="L1879" s="15" t="s">
        <v>24</v>
      </c>
      <c r="M1879" s="16">
        <v>0.0</v>
      </c>
      <c r="N1879" s="16">
        <v>0.2</v>
      </c>
      <c r="O1879" s="16">
        <v>0.2</v>
      </c>
      <c r="P1879" s="17">
        <v>45321.0</v>
      </c>
      <c r="Q1879" s="18">
        <v>2.0</v>
      </c>
      <c r="R1879" s="15" t="s">
        <v>33</v>
      </c>
      <c r="S1879" s="19">
        <f t="shared" si="1"/>
        <v>0.2</v>
      </c>
      <c r="T1879" s="19">
        <f t="shared" si="8"/>
        <v>65.30771709</v>
      </c>
      <c r="U1879" s="144"/>
    </row>
    <row r="1880">
      <c r="A1880" s="107"/>
      <c r="B1880" s="8" t="s">
        <v>26</v>
      </c>
      <c r="C1880" s="8" t="s">
        <v>19</v>
      </c>
      <c r="D1880" s="8">
        <v>37.0</v>
      </c>
      <c r="E1880" s="8" t="s">
        <v>4341</v>
      </c>
      <c r="F1880" s="8" t="s">
        <v>1479</v>
      </c>
      <c r="G1880" s="8" t="s">
        <v>2556</v>
      </c>
      <c r="H1880" s="8">
        <v>0.0</v>
      </c>
      <c r="I1880" s="8" t="s">
        <v>616</v>
      </c>
      <c r="J1880" s="8" t="s">
        <v>22</v>
      </c>
      <c r="K1880" s="8" t="s">
        <v>225</v>
      </c>
      <c r="L1880" s="8" t="s">
        <v>24</v>
      </c>
      <c r="M1880" s="9">
        <v>0.5</v>
      </c>
      <c r="N1880" s="9">
        <v>0.4</v>
      </c>
      <c r="O1880" s="9">
        <v>0.4</v>
      </c>
      <c r="P1880" s="10">
        <v>45321.0</v>
      </c>
      <c r="Q1880" s="11">
        <f>(1.11688+1.11516)/2</f>
        <v>1.11602</v>
      </c>
      <c r="R1880" s="8" t="s">
        <v>33</v>
      </c>
      <c r="S1880" s="12">
        <f t="shared" si="1"/>
        <v>0.046408</v>
      </c>
      <c r="T1880" s="12">
        <f t="shared" si="8"/>
        <v>65.35412509</v>
      </c>
      <c r="U1880" s="145"/>
    </row>
    <row r="1881">
      <c r="A1881" s="29"/>
      <c r="B1881" s="15" t="s">
        <v>26</v>
      </c>
      <c r="C1881" s="15" t="s">
        <v>19</v>
      </c>
      <c r="D1881" s="15">
        <v>58.0</v>
      </c>
      <c r="E1881" s="15" t="s">
        <v>4342</v>
      </c>
      <c r="F1881" s="15" t="s">
        <v>1473</v>
      </c>
      <c r="G1881" s="15" t="s">
        <v>2556</v>
      </c>
      <c r="H1881" s="15">
        <v>-2.0</v>
      </c>
      <c r="I1881" s="15" t="s">
        <v>28</v>
      </c>
      <c r="J1881" s="15" t="s">
        <v>22</v>
      </c>
      <c r="K1881" s="15" t="s">
        <v>225</v>
      </c>
      <c r="L1881" s="15" t="s">
        <v>24</v>
      </c>
      <c r="M1881" s="16">
        <v>0.5</v>
      </c>
      <c r="N1881" s="16">
        <v>0.8</v>
      </c>
      <c r="O1881" s="16">
        <v>0.8</v>
      </c>
      <c r="P1881" s="17">
        <v>45322.0</v>
      </c>
      <c r="Q1881" s="18">
        <v>1.637</v>
      </c>
      <c r="R1881" s="15" t="s">
        <v>33</v>
      </c>
      <c r="S1881" s="19">
        <f t="shared" si="1"/>
        <v>0.5096</v>
      </c>
      <c r="T1881" s="19">
        <f t="shared" si="8"/>
        <v>65.86372509</v>
      </c>
      <c r="U1881" s="144"/>
    </row>
    <row r="1882">
      <c r="A1882" s="107"/>
      <c r="B1882" s="8" t="s">
        <v>26</v>
      </c>
      <c r="C1882" s="8" t="s">
        <v>19</v>
      </c>
      <c r="D1882" s="8">
        <v>60.0</v>
      </c>
      <c r="E1882" s="8" t="s">
        <v>4343</v>
      </c>
      <c r="F1882" s="8" t="s">
        <v>1473</v>
      </c>
      <c r="G1882" s="8" t="s">
        <v>2556</v>
      </c>
      <c r="H1882" s="8">
        <v>-2.0</v>
      </c>
      <c r="I1882" s="8" t="s">
        <v>28</v>
      </c>
      <c r="J1882" s="8" t="s">
        <v>22</v>
      </c>
      <c r="K1882" s="8" t="s">
        <v>225</v>
      </c>
      <c r="L1882" s="8" t="s">
        <v>24</v>
      </c>
      <c r="M1882" s="9">
        <v>0.25</v>
      </c>
      <c r="N1882" s="9">
        <v>0.2</v>
      </c>
      <c r="O1882" s="9">
        <v>0.2</v>
      </c>
      <c r="P1882" s="54">
        <v>45322.0</v>
      </c>
      <c r="Q1882" s="11">
        <v>2.025</v>
      </c>
      <c r="R1882" s="8" t="s">
        <v>30</v>
      </c>
      <c r="S1882" s="12">
        <f t="shared" si="1"/>
        <v>0.1025</v>
      </c>
      <c r="T1882" s="12">
        <f t="shared" si="8"/>
        <v>65.96622509</v>
      </c>
      <c r="U1882" s="145"/>
    </row>
    <row r="1883">
      <c r="A1883" s="29"/>
      <c r="B1883" s="15" t="s">
        <v>4225</v>
      </c>
      <c r="C1883" s="15" t="s">
        <v>19</v>
      </c>
      <c r="D1883" s="15">
        <v>60.0</v>
      </c>
      <c r="E1883" s="15" t="s">
        <v>4344</v>
      </c>
      <c r="F1883" s="15" t="s">
        <v>1479</v>
      </c>
      <c r="G1883" s="15" t="s">
        <v>2556</v>
      </c>
      <c r="H1883" s="15">
        <v>0.0</v>
      </c>
      <c r="I1883" s="15" t="s">
        <v>952</v>
      </c>
      <c r="J1883" s="15" t="s">
        <v>22</v>
      </c>
      <c r="K1883" s="15" t="s">
        <v>941</v>
      </c>
      <c r="L1883" s="15" t="s">
        <v>24</v>
      </c>
      <c r="M1883" s="16">
        <v>0.0</v>
      </c>
      <c r="N1883" s="16">
        <v>0.2</v>
      </c>
      <c r="O1883" s="16">
        <v>0.2</v>
      </c>
      <c r="P1883" s="17">
        <v>45322.0</v>
      </c>
      <c r="Q1883" s="18">
        <v>2.2</v>
      </c>
      <c r="R1883" s="15" t="s">
        <v>33</v>
      </c>
      <c r="S1883" s="19">
        <f t="shared" si="1"/>
        <v>0.24</v>
      </c>
      <c r="T1883" s="19">
        <f t="shared" si="8"/>
        <v>66.20622509</v>
      </c>
      <c r="U1883" s="144"/>
    </row>
    <row r="1884">
      <c r="A1884" s="107"/>
      <c r="B1884" s="8" t="s">
        <v>4225</v>
      </c>
      <c r="C1884" s="8" t="s">
        <v>19</v>
      </c>
      <c r="D1884" s="8">
        <v>60.0</v>
      </c>
      <c r="E1884" s="8" t="s">
        <v>4345</v>
      </c>
      <c r="F1884" s="8" t="s">
        <v>1479</v>
      </c>
      <c r="G1884" s="8" t="s">
        <v>2660</v>
      </c>
      <c r="H1884" s="8">
        <v>0.0</v>
      </c>
      <c r="I1884" s="8" t="s">
        <v>952</v>
      </c>
      <c r="J1884" s="8" t="s">
        <v>22</v>
      </c>
      <c r="K1884" s="8" t="s">
        <v>892</v>
      </c>
      <c r="L1884" s="8" t="s">
        <v>24</v>
      </c>
      <c r="M1884" s="9">
        <v>0.0</v>
      </c>
      <c r="N1884" s="9">
        <v>0.2</v>
      </c>
      <c r="O1884" s="9">
        <v>0.2</v>
      </c>
      <c r="P1884" s="10">
        <v>45322.0</v>
      </c>
      <c r="Q1884" s="11">
        <v>2.0</v>
      </c>
      <c r="R1884" s="8" t="s">
        <v>33</v>
      </c>
      <c r="S1884" s="12">
        <f t="shared" si="1"/>
        <v>0.2</v>
      </c>
      <c r="T1884" s="12">
        <f t="shared" si="8"/>
        <v>66.40622509</v>
      </c>
      <c r="U1884" s="145"/>
    </row>
    <row r="1885">
      <c r="A1885" s="29"/>
      <c r="B1885" s="15" t="s">
        <v>129</v>
      </c>
      <c r="C1885" s="15" t="s">
        <v>19</v>
      </c>
      <c r="D1885" s="15">
        <v>33.0</v>
      </c>
      <c r="E1885" s="15" t="s">
        <v>4346</v>
      </c>
      <c r="F1885" s="15" t="s">
        <v>1473</v>
      </c>
      <c r="G1885" s="15" t="s">
        <v>2660</v>
      </c>
      <c r="H1885" s="15">
        <v>0.0</v>
      </c>
      <c r="I1885" s="15" t="s">
        <v>248</v>
      </c>
      <c r="J1885" s="15" t="s">
        <v>22</v>
      </c>
      <c r="K1885" s="15" t="s">
        <v>1150</v>
      </c>
      <c r="L1885" s="15" t="s">
        <v>24</v>
      </c>
      <c r="M1885" s="16">
        <v>0.0</v>
      </c>
      <c r="N1885" s="16">
        <v>0.6</v>
      </c>
      <c r="O1885" s="16">
        <v>0.6</v>
      </c>
      <c r="P1885" s="17">
        <v>45322.0</v>
      </c>
      <c r="Q1885" s="18">
        <v>1.65</v>
      </c>
      <c r="R1885" s="15" t="s">
        <v>25</v>
      </c>
      <c r="S1885" s="19">
        <f t="shared" si="1"/>
        <v>-0.6</v>
      </c>
      <c r="T1885" s="19">
        <f t="shared" si="8"/>
        <v>65.80622509</v>
      </c>
      <c r="U1885" s="144"/>
    </row>
    <row r="1886">
      <c r="A1886" s="107"/>
      <c r="B1886" s="8" t="s">
        <v>4225</v>
      </c>
      <c r="C1886" s="8" t="s">
        <v>19</v>
      </c>
      <c r="D1886" s="8">
        <v>90.0</v>
      </c>
      <c r="E1886" s="8" t="s">
        <v>4347</v>
      </c>
      <c r="F1886" s="8" t="s">
        <v>1473</v>
      </c>
      <c r="G1886" s="8" t="s">
        <v>2556</v>
      </c>
      <c r="H1886" s="8">
        <v>0.0</v>
      </c>
      <c r="I1886" s="8" t="s">
        <v>189</v>
      </c>
      <c r="J1886" s="8" t="s">
        <v>22</v>
      </c>
      <c r="K1886" s="8" t="s">
        <v>225</v>
      </c>
      <c r="L1886" s="8" t="s">
        <v>1522</v>
      </c>
      <c r="M1886" s="9">
        <v>0.25</v>
      </c>
      <c r="N1886" s="9">
        <v>1.0</v>
      </c>
      <c r="O1886" s="9">
        <v>1.0</v>
      </c>
      <c r="P1886" s="10">
        <v>45322.0</v>
      </c>
      <c r="Q1886" s="11">
        <v>1.2246</v>
      </c>
      <c r="R1886" s="8" t="s">
        <v>33</v>
      </c>
      <c r="S1886" s="12">
        <f t="shared" si="1"/>
        <v>0.2246</v>
      </c>
      <c r="T1886" s="12">
        <f t="shared" si="8"/>
        <v>66.03082509</v>
      </c>
      <c r="U1886" s="145"/>
    </row>
    <row r="1887">
      <c r="A1887" s="29"/>
      <c r="B1887" s="15" t="s">
        <v>129</v>
      </c>
      <c r="C1887" s="15" t="s">
        <v>19</v>
      </c>
      <c r="D1887" s="15">
        <v>70.0</v>
      </c>
      <c r="E1887" s="15" t="s">
        <v>4348</v>
      </c>
      <c r="F1887" s="15" t="s">
        <v>1479</v>
      </c>
      <c r="G1887" s="15" t="s">
        <v>2660</v>
      </c>
      <c r="H1887" s="15">
        <v>-1.0</v>
      </c>
      <c r="I1887" s="15" t="s">
        <v>923</v>
      </c>
      <c r="J1887" s="15" t="s">
        <v>22</v>
      </c>
      <c r="K1887" s="15" t="s">
        <v>892</v>
      </c>
      <c r="L1887" s="15" t="s">
        <v>24</v>
      </c>
      <c r="M1887" s="16">
        <v>0.0</v>
      </c>
      <c r="N1887" s="16">
        <v>0.25</v>
      </c>
      <c r="O1887" s="16">
        <v>0.237</v>
      </c>
      <c r="P1887" s="17">
        <v>45323.0</v>
      </c>
      <c r="Q1887" s="18">
        <v>1.65</v>
      </c>
      <c r="R1887" s="15" t="s">
        <v>33</v>
      </c>
      <c r="S1887" s="19">
        <f t="shared" si="1"/>
        <v>0.15405</v>
      </c>
      <c r="T1887" s="19">
        <f t="shared" si="8"/>
        <v>66.18487509</v>
      </c>
      <c r="U1887" s="144"/>
    </row>
    <row r="1888">
      <c r="A1888" s="107"/>
      <c r="B1888" s="8" t="s">
        <v>26</v>
      </c>
      <c r="C1888" s="8" t="s">
        <v>40</v>
      </c>
      <c r="D1888" s="8">
        <v>18.0</v>
      </c>
      <c r="E1888" s="8" t="s">
        <v>4349</v>
      </c>
      <c r="F1888" s="8" t="s">
        <v>1479</v>
      </c>
      <c r="G1888" s="8" t="s">
        <v>2660</v>
      </c>
      <c r="H1888" s="8">
        <v>0.0</v>
      </c>
      <c r="I1888" s="8" t="s">
        <v>28</v>
      </c>
      <c r="J1888" s="8" t="s">
        <v>22</v>
      </c>
      <c r="K1888" s="8" t="s">
        <v>1150</v>
      </c>
      <c r="L1888" s="8" t="s">
        <v>24</v>
      </c>
      <c r="M1888" s="9">
        <v>0.0</v>
      </c>
      <c r="N1888" s="9">
        <v>0.2</v>
      </c>
      <c r="O1888" s="9">
        <v>0.2</v>
      </c>
      <c r="P1888" s="10">
        <v>45323.0</v>
      </c>
      <c r="Q1888" s="11">
        <v>1.725</v>
      </c>
      <c r="R1888" s="8" t="s">
        <v>70</v>
      </c>
      <c r="S1888" s="12">
        <f t="shared" si="1"/>
        <v>0</v>
      </c>
      <c r="T1888" s="12">
        <f t="shared" si="8"/>
        <v>66.18487509</v>
      </c>
      <c r="U1888" s="145"/>
    </row>
    <row r="1889">
      <c r="A1889" s="29"/>
      <c r="B1889" s="15" t="s">
        <v>26</v>
      </c>
      <c r="C1889" s="15" t="s">
        <v>40</v>
      </c>
      <c r="D1889" s="15">
        <v>18.0</v>
      </c>
      <c r="E1889" s="15" t="s">
        <v>4350</v>
      </c>
      <c r="F1889" s="15" t="s">
        <v>1479</v>
      </c>
      <c r="G1889" s="15" t="s">
        <v>2660</v>
      </c>
      <c r="H1889" s="15">
        <v>0.0</v>
      </c>
      <c r="I1889" s="15" t="s">
        <v>28</v>
      </c>
      <c r="J1889" s="15" t="s">
        <v>22</v>
      </c>
      <c r="K1889" s="15" t="s">
        <v>892</v>
      </c>
      <c r="L1889" s="15" t="s">
        <v>24</v>
      </c>
      <c r="M1889" s="16">
        <v>0.0</v>
      </c>
      <c r="N1889" s="16">
        <v>0.2</v>
      </c>
      <c r="O1889" s="16">
        <v>0.2</v>
      </c>
      <c r="P1889" s="17">
        <v>45323.0</v>
      </c>
      <c r="Q1889" s="18">
        <v>1.092</v>
      </c>
      <c r="R1889" s="15" t="s">
        <v>33</v>
      </c>
      <c r="S1889" s="19">
        <f t="shared" si="1"/>
        <v>0.0184</v>
      </c>
      <c r="T1889" s="19">
        <f t="shared" si="8"/>
        <v>66.20327509</v>
      </c>
      <c r="U1889" s="144"/>
    </row>
    <row r="1890">
      <c r="A1890" s="107"/>
      <c r="B1890" s="8" t="s">
        <v>4225</v>
      </c>
      <c r="C1890" s="8" t="s">
        <v>19</v>
      </c>
      <c r="D1890" s="8">
        <v>0.0</v>
      </c>
      <c r="E1890" s="8" t="s">
        <v>4351</v>
      </c>
      <c r="F1890" s="8" t="s">
        <v>1473</v>
      </c>
      <c r="G1890" s="8" t="s">
        <v>2556</v>
      </c>
      <c r="H1890" s="8">
        <v>0.0</v>
      </c>
      <c r="I1890" s="8" t="s">
        <v>82</v>
      </c>
      <c r="J1890" s="8" t="s">
        <v>598</v>
      </c>
      <c r="K1890" s="8" t="s">
        <v>4352</v>
      </c>
      <c r="L1890" s="8" t="s">
        <v>39</v>
      </c>
      <c r="M1890" s="9">
        <v>0.0</v>
      </c>
      <c r="N1890" s="9">
        <v>1.0</v>
      </c>
      <c r="O1890" s="9">
        <v>1.0</v>
      </c>
      <c r="P1890" s="10">
        <v>45323.0</v>
      </c>
      <c r="Q1890" s="11">
        <v>2.0</v>
      </c>
      <c r="R1890" s="8" t="s">
        <v>25</v>
      </c>
      <c r="S1890" s="12">
        <f t="shared" si="1"/>
        <v>-1</v>
      </c>
      <c r="T1890" s="12">
        <f t="shared" si="8"/>
        <v>65.20327509</v>
      </c>
      <c r="U1890" s="145"/>
    </row>
    <row r="1891">
      <c r="A1891" s="29"/>
      <c r="B1891" s="15" t="s">
        <v>4225</v>
      </c>
      <c r="C1891" s="15" t="s">
        <v>19</v>
      </c>
      <c r="D1891" s="15">
        <v>68.0</v>
      </c>
      <c r="E1891" s="15" t="s">
        <v>4353</v>
      </c>
      <c r="F1891" s="15" t="s">
        <v>1479</v>
      </c>
      <c r="G1891" s="15" t="s">
        <v>2660</v>
      </c>
      <c r="H1891" s="15">
        <v>-1.0</v>
      </c>
      <c r="I1891" s="15" t="s">
        <v>4354</v>
      </c>
      <c r="J1891" s="15" t="s">
        <v>22</v>
      </c>
      <c r="K1891" s="15" t="s">
        <v>892</v>
      </c>
      <c r="L1891" s="15" t="s">
        <v>24</v>
      </c>
      <c r="M1891" s="16">
        <v>0.0</v>
      </c>
      <c r="N1891" s="16">
        <v>1.0</v>
      </c>
      <c r="O1891" s="16">
        <v>1.0</v>
      </c>
      <c r="P1891" s="17">
        <v>45323.0</v>
      </c>
      <c r="Q1891" s="18">
        <v>1.85</v>
      </c>
      <c r="R1891" s="15" t="s">
        <v>70</v>
      </c>
      <c r="S1891" s="19">
        <f t="shared" si="1"/>
        <v>0</v>
      </c>
      <c r="T1891" s="19">
        <f t="shared" si="8"/>
        <v>65.20327509</v>
      </c>
      <c r="U1891" s="144"/>
    </row>
    <row r="1892">
      <c r="A1892" s="107"/>
      <c r="B1892" s="8" t="s">
        <v>26</v>
      </c>
      <c r="C1892" s="8" t="s">
        <v>19</v>
      </c>
      <c r="D1892" s="8">
        <v>11.0</v>
      </c>
      <c r="E1892" s="8" t="s">
        <v>4355</v>
      </c>
      <c r="F1892" s="8" t="s">
        <v>1473</v>
      </c>
      <c r="G1892" s="8" t="s">
        <v>2660</v>
      </c>
      <c r="H1892" s="8">
        <v>0.0</v>
      </c>
      <c r="I1892" s="8" t="s">
        <v>28</v>
      </c>
      <c r="J1892" s="8" t="s">
        <v>22</v>
      </c>
      <c r="K1892" s="8" t="s">
        <v>1150</v>
      </c>
      <c r="L1892" s="8" t="s">
        <v>1522</v>
      </c>
      <c r="M1892" s="9">
        <v>0.0</v>
      </c>
      <c r="N1892" s="9">
        <v>0.4</v>
      </c>
      <c r="O1892" s="9">
        <v>0.4</v>
      </c>
      <c r="P1892" s="10">
        <v>45323.0</v>
      </c>
      <c r="Q1892" s="11">
        <v>2.0</v>
      </c>
      <c r="R1892" s="8" t="s">
        <v>25</v>
      </c>
      <c r="S1892" s="12">
        <f t="shared" si="1"/>
        <v>-0.4</v>
      </c>
      <c r="T1892" s="12">
        <f t="shared" si="8"/>
        <v>64.80327509</v>
      </c>
      <c r="U1892" s="145"/>
    </row>
    <row r="1893">
      <c r="A1893" s="29"/>
      <c r="B1893" s="15" t="s">
        <v>26</v>
      </c>
      <c r="C1893" s="15" t="s">
        <v>19</v>
      </c>
      <c r="D1893" s="15">
        <v>75.0</v>
      </c>
      <c r="E1893" s="15" t="s">
        <v>4356</v>
      </c>
      <c r="F1893" s="15"/>
      <c r="G1893" s="15"/>
      <c r="H1893" s="15"/>
      <c r="I1893" s="15" t="s">
        <v>28</v>
      </c>
      <c r="J1893" s="15" t="s">
        <v>22</v>
      </c>
      <c r="K1893" s="15" t="s">
        <v>29</v>
      </c>
      <c r="L1893" s="15" t="s">
        <v>24</v>
      </c>
      <c r="M1893" s="16">
        <v>-4.0</v>
      </c>
      <c r="N1893" s="16">
        <v>0.25</v>
      </c>
      <c r="O1893" s="16">
        <v>0.05</v>
      </c>
      <c r="P1893" s="17">
        <v>45323.0</v>
      </c>
      <c r="Q1893" s="18">
        <v>1.7</v>
      </c>
      <c r="R1893" s="15" t="s">
        <v>70</v>
      </c>
      <c r="S1893" s="19">
        <f t="shared" si="1"/>
        <v>0</v>
      </c>
      <c r="T1893" s="19">
        <f t="shared" si="8"/>
        <v>64.80327509</v>
      </c>
      <c r="U1893" s="144"/>
    </row>
    <row r="1894">
      <c r="A1894" s="107"/>
      <c r="B1894" s="8" t="s">
        <v>26</v>
      </c>
      <c r="C1894" s="8" t="s">
        <v>19</v>
      </c>
      <c r="D1894" s="8">
        <v>62.0</v>
      </c>
      <c r="E1894" s="8" t="s">
        <v>4357</v>
      </c>
      <c r="F1894" s="8" t="s">
        <v>1473</v>
      </c>
      <c r="G1894" s="8" t="s">
        <v>2556</v>
      </c>
      <c r="H1894" s="8">
        <v>-1.0</v>
      </c>
      <c r="I1894" s="8" t="s">
        <v>28</v>
      </c>
      <c r="J1894" s="8" t="s">
        <v>22</v>
      </c>
      <c r="K1894" s="8" t="s">
        <v>225</v>
      </c>
      <c r="L1894" s="8" t="s">
        <v>24</v>
      </c>
      <c r="M1894" s="9">
        <v>0.25</v>
      </c>
      <c r="N1894" s="9">
        <v>0.8</v>
      </c>
      <c r="O1894" s="9">
        <v>0.65</v>
      </c>
      <c r="P1894" s="10">
        <v>45323.0</v>
      </c>
      <c r="Q1894" s="11">
        <v>1.8</v>
      </c>
      <c r="R1894" s="8" t="s">
        <v>33</v>
      </c>
      <c r="S1894" s="12">
        <f t="shared" si="1"/>
        <v>0.52</v>
      </c>
      <c r="T1894" s="12">
        <f t="shared" si="8"/>
        <v>65.32327509</v>
      </c>
      <c r="U1894" s="145"/>
    </row>
    <row r="1895">
      <c r="A1895" s="29"/>
      <c r="B1895" s="15" t="s">
        <v>26</v>
      </c>
      <c r="C1895" s="15" t="s">
        <v>19</v>
      </c>
      <c r="D1895" s="15">
        <v>63.0</v>
      </c>
      <c r="E1895" s="15" t="s">
        <v>4358</v>
      </c>
      <c r="F1895" s="15" t="s">
        <v>1473</v>
      </c>
      <c r="G1895" s="15" t="s">
        <v>2660</v>
      </c>
      <c r="H1895" s="15">
        <v>-1.0</v>
      </c>
      <c r="I1895" s="15" t="s">
        <v>28</v>
      </c>
      <c r="J1895" s="15" t="s">
        <v>22</v>
      </c>
      <c r="K1895" s="15" t="s">
        <v>892</v>
      </c>
      <c r="L1895" s="15" t="s">
        <v>24</v>
      </c>
      <c r="M1895" s="16">
        <v>0.0</v>
      </c>
      <c r="N1895" s="16">
        <v>0.2</v>
      </c>
      <c r="O1895" s="16">
        <v>0.2</v>
      </c>
      <c r="P1895" s="17">
        <v>45323.0</v>
      </c>
      <c r="Q1895" s="18">
        <v>2.2</v>
      </c>
      <c r="R1895" s="15" t="s">
        <v>33</v>
      </c>
      <c r="S1895" s="19">
        <f t="shared" si="1"/>
        <v>0.24</v>
      </c>
      <c r="T1895" s="19">
        <f t="shared" si="8"/>
        <v>65.56327509</v>
      </c>
      <c r="U1895" s="144"/>
    </row>
    <row r="1896">
      <c r="A1896" s="107"/>
      <c r="B1896" s="8" t="s">
        <v>129</v>
      </c>
      <c r="C1896" s="8" t="s">
        <v>19</v>
      </c>
      <c r="D1896" s="8">
        <v>62.0</v>
      </c>
      <c r="E1896" s="8" t="s">
        <v>4359</v>
      </c>
      <c r="F1896" s="8" t="s">
        <v>1473</v>
      </c>
      <c r="G1896" s="8" t="s">
        <v>2660</v>
      </c>
      <c r="H1896" s="8">
        <f>1</f>
        <v>1</v>
      </c>
      <c r="I1896" s="8" t="s">
        <v>231</v>
      </c>
      <c r="J1896" s="8" t="s">
        <v>22</v>
      </c>
      <c r="K1896" s="8" t="s">
        <v>892</v>
      </c>
      <c r="L1896" s="8" t="s">
        <v>24</v>
      </c>
      <c r="M1896" s="9">
        <v>0.0</v>
      </c>
      <c r="N1896" s="9">
        <v>1.0</v>
      </c>
      <c r="O1896" s="9">
        <v>1.0</v>
      </c>
      <c r="P1896" s="10">
        <v>45324.0</v>
      </c>
      <c r="Q1896" s="11">
        <v>1.75</v>
      </c>
      <c r="R1896" s="8" t="s">
        <v>33</v>
      </c>
      <c r="S1896" s="12">
        <f t="shared" si="1"/>
        <v>0.75</v>
      </c>
      <c r="T1896" s="12">
        <f t="shared" si="8"/>
        <v>66.31327509</v>
      </c>
      <c r="U1896" s="145"/>
    </row>
    <row r="1897">
      <c r="A1897" s="29"/>
      <c r="B1897" s="15" t="s">
        <v>26</v>
      </c>
      <c r="C1897" s="15" t="s">
        <v>19</v>
      </c>
      <c r="D1897" s="15">
        <v>34.0</v>
      </c>
      <c r="E1897" s="15" t="s">
        <v>4360</v>
      </c>
      <c r="F1897" s="15" t="s">
        <v>1473</v>
      </c>
      <c r="G1897" s="15" t="s">
        <v>2660</v>
      </c>
      <c r="H1897" s="15">
        <v>3</v>
      </c>
      <c r="I1897" s="15" t="s">
        <v>28</v>
      </c>
      <c r="J1897" s="15" t="s">
        <v>22</v>
      </c>
      <c r="K1897" s="15" t="s">
        <v>1150</v>
      </c>
      <c r="L1897" s="15" t="s">
        <v>39</v>
      </c>
      <c r="M1897" s="16">
        <v>0.0</v>
      </c>
      <c r="N1897" s="16">
        <v>0.25</v>
      </c>
      <c r="O1897" s="16">
        <v>0.25</v>
      </c>
      <c r="P1897" s="17">
        <v>45324.0</v>
      </c>
      <c r="Q1897" s="18">
        <v>1.65</v>
      </c>
      <c r="R1897" s="15" t="s">
        <v>70</v>
      </c>
      <c r="S1897" s="19">
        <f t="shared" si="1"/>
        <v>0</v>
      </c>
      <c r="T1897" s="19">
        <f t="shared" si="8"/>
        <v>66.31327509</v>
      </c>
      <c r="U1897" s="144"/>
    </row>
    <row r="1898">
      <c r="A1898" s="107"/>
      <c r="B1898" s="8" t="s">
        <v>137</v>
      </c>
      <c r="C1898" s="8" t="s">
        <v>19</v>
      </c>
      <c r="D1898" s="8">
        <v>52.0</v>
      </c>
      <c r="E1898" s="8" t="s">
        <v>4361</v>
      </c>
      <c r="F1898" s="8" t="s">
        <v>1473</v>
      </c>
      <c r="G1898" s="8" t="s">
        <v>2556</v>
      </c>
      <c r="H1898" s="8">
        <v>-1.0</v>
      </c>
      <c r="I1898" s="8" t="s">
        <v>1031</v>
      </c>
      <c r="J1898" s="8" t="s">
        <v>22</v>
      </c>
      <c r="K1898" s="8" t="s">
        <v>225</v>
      </c>
      <c r="L1898" s="8" t="s">
        <v>24</v>
      </c>
      <c r="M1898" s="9">
        <v>0.25</v>
      </c>
      <c r="N1898" s="9">
        <v>0.25</v>
      </c>
      <c r="O1898" s="9">
        <v>0.25</v>
      </c>
      <c r="P1898" s="10">
        <v>45324.0</v>
      </c>
      <c r="Q1898" s="11">
        <v>1.123</v>
      </c>
      <c r="R1898" s="8" t="s">
        <v>33</v>
      </c>
      <c r="S1898" s="12">
        <f t="shared" si="1"/>
        <v>0.03075</v>
      </c>
      <c r="T1898" s="12">
        <f t="shared" si="8"/>
        <v>66.34402509</v>
      </c>
      <c r="U1898" s="145"/>
    </row>
    <row r="1899">
      <c r="A1899" s="29"/>
      <c r="B1899" s="15" t="s">
        <v>137</v>
      </c>
      <c r="C1899" s="15" t="s">
        <v>19</v>
      </c>
      <c r="D1899" s="15">
        <v>64.0</v>
      </c>
      <c r="E1899" s="15" t="s">
        <v>4362</v>
      </c>
      <c r="F1899" s="15" t="s">
        <v>1473</v>
      </c>
      <c r="G1899" s="15" t="s">
        <v>2660</v>
      </c>
      <c r="H1899" s="15">
        <v>-1.0</v>
      </c>
      <c r="I1899" s="15" t="s">
        <v>1031</v>
      </c>
      <c r="J1899" s="15" t="s">
        <v>22</v>
      </c>
      <c r="K1899" s="15" t="s">
        <v>892</v>
      </c>
      <c r="L1899" s="15" t="s">
        <v>24</v>
      </c>
      <c r="M1899" s="16">
        <v>0.0</v>
      </c>
      <c r="N1899" s="16">
        <v>0.4</v>
      </c>
      <c r="O1899" s="16">
        <v>0.4</v>
      </c>
      <c r="P1899" s="17">
        <v>45324.0</v>
      </c>
      <c r="Q1899" s="18">
        <v>2.25</v>
      </c>
      <c r="R1899" s="15" t="s">
        <v>25</v>
      </c>
      <c r="S1899" s="19">
        <f t="shared" si="1"/>
        <v>-0.4</v>
      </c>
      <c r="T1899" s="19">
        <f t="shared" si="8"/>
        <v>65.94402509</v>
      </c>
      <c r="U1899" s="144"/>
    </row>
    <row r="1900">
      <c r="A1900" s="107"/>
      <c r="B1900" s="8" t="s">
        <v>26</v>
      </c>
      <c r="C1900" s="8" t="s">
        <v>40</v>
      </c>
      <c r="D1900" s="8">
        <v>33.0</v>
      </c>
      <c r="E1900" s="8" t="s">
        <v>4363</v>
      </c>
      <c r="F1900" s="8" t="s">
        <v>1479</v>
      </c>
      <c r="G1900" s="8" t="s">
        <v>2556</v>
      </c>
      <c r="H1900" s="8">
        <f t="shared" ref="H1900:H1901" si="55">1</f>
        <v>1</v>
      </c>
      <c r="I1900" s="8" t="s">
        <v>644</v>
      </c>
      <c r="J1900" s="8" t="s">
        <v>22</v>
      </c>
      <c r="K1900" s="8" t="s">
        <v>225</v>
      </c>
      <c r="L1900" s="8" t="s">
        <v>24</v>
      </c>
      <c r="M1900" s="9">
        <v>1.5</v>
      </c>
      <c r="N1900" s="9">
        <v>0.2</v>
      </c>
      <c r="O1900" s="9">
        <v>0.085</v>
      </c>
      <c r="P1900" s="10">
        <v>45324.0</v>
      </c>
      <c r="Q1900" s="11">
        <v>1.03</v>
      </c>
      <c r="R1900" s="8" t="s">
        <v>33</v>
      </c>
      <c r="S1900" s="12">
        <f t="shared" si="1"/>
        <v>0.00255</v>
      </c>
      <c r="T1900" s="12">
        <f t="shared" si="8"/>
        <v>65.94657509</v>
      </c>
      <c r="U1900" s="145"/>
    </row>
    <row r="1901">
      <c r="A1901" s="29"/>
      <c r="B1901" s="15" t="s">
        <v>26</v>
      </c>
      <c r="C1901" s="15" t="s">
        <v>40</v>
      </c>
      <c r="D1901" s="15">
        <v>34.0</v>
      </c>
      <c r="E1901" s="15" t="s">
        <v>4364</v>
      </c>
      <c r="F1901" s="15" t="s">
        <v>1479</v>
      </c>
      <c r="G1901" s="15" t="s">
        <v>2556</v>
      </c>
      <c r="H1901" s="15">
        <f t="shared" si="55"/>
        <v>1</v>
      </c>
      <c r="I1901" s="15" t="s">
        <v>644</v>
      </c>
      <c r="J1901" s="15" t="s">
        <v>22</v>
      </c>
      <c r="K1901" s="15" t="s">
        <v>1165</v>
      </c>
      <c r="L1901" s="15" t="s">
        <v>24</v>
      </c>
      <c r="M1901" s="16"/>
      <c r="N1901" s="16">
        <v>0.15</v>
      </c>
      <c r="O1901" s="16">
        <v>0.15</v>
      </c>
      <c r="P1901" s="17">
        <v>45324.0</v>
      </c>
      <c r="Q1901" s="18">
        <v>4.0</v>
      </c>
      <c r="R1901" s="15" t="s">
        <v>33</v>
      </c>
      <c r="S1901" s="19">
        <f t="shared" si="1"/>
        <v>0.45</v>
      </c>
      <c r="T1901" s="19">
        <f t="shared" si="8"/>
        <v>66.39657509</v>
      </c>
      <c r="U1901" s="144"/>
    </row>
    <row r="1902">
      <c r="A1902" s="107"/>
      <c r="B1902" s="8" t="s">
        <v>4225</v>
      </c>
      <c r="C1902" s="8" t="s">
        <v>19</v>
      </c>
      <c r="D1902" s="8">
        <v>16.0</v>
      </c>
      <c r="E1902" s="95" t="s">
        <v>4365</v>
      </c>
      <c r="F1902" s="8" t="s">
        <v>1479</v>
      </c>
      <c r="G1902" s="8" t="s">
        <v>2556</v>
      </c>
      <c r="H1902" s="8">
        <v>0.0</v>
      </c>
      <c r="I1902" s="8" t="s">
        <v>172</v>
      </c>
      <c r="J1902" s="8" t="s">
        <v>22</v>
      </c>
      <c r="K1902" s="8" t="s">
        <v>225</v>
      </c>
      <c r="L1902" s="8" t="s">
        <v>24</v>
      </c>
      <c r="M1902" s="9">
        <v>0.75</v>
      </c>
      <c r="N1902" s="9">
        <v>0.25</v>
      </c>
      <c r="O1902" s="9">
        <v>0.106</v>
      </c>
      <c r="P1902" s="10">
        <v>45324.0</v>
      </c>
      <c r="Q1902" s="11">
        <v>1.675</v>
      </c>
      <c r="R1902" s="8" t="s">
        <v>33</v>
      </c>
      <c r="S1902" s="12">
        <f t="shared" si="1"/>
        <v>0.07155</v>
      </c>
      <c r="T1902" s="12">
        <f t="shared" si="8"/>
        <v>66.46812509</v>
      </c>
      <c r="U1902" s="145"/>
    </row>
    <row r="1903">
      <c r="A1903" s="29"/>
      <c r="B1903" s="15" t="s">
        <v>4225</v>
      </c>
      <c r="C1903" s="15" t="s">
        <v>19</v>
      </c>
      <c r="D1903" s="15">
        <v>18.0</v>
      </c>
      <c r="E1903" s="15" t="s">
        <v>4366</v>
      </c>
      <c r="F1903" s="15" t="s">
        <v>1479</v>
      </c>
      <c r="G1903" s="15" t="s">
        <v>2556</v>
      </c>
      <c r="H1903" s="15">
        <v>0.0</v>
      </c>
      <c r="I1903" s="15" t="s">
        <v>172</v>
      </c>
      <c r="J1903" s="15" t="s">
        <v>22</v>
      </c>
      <c r="K1903" s="15" t="s">
        <v>225</v>
      </c>
      <c r="L1903" s="15" t="s">
        <v>24</v>
      </c>
      <c r="M1903" s="16">
        <v>0.5</v>
      </c>
      <c r="N1903" s="16">
        <v>0.25</v>
      </c>
      <c r="O1903" s="16">
        <v>0.243</v>
      </c>
      <c r="P1903" s="17">
        <v>45324.0</v>
      </c>
      <c r="Q1903" s="18">
        <v>1.75</v>
      </c>
      <c r="R1903" s="15" t="s">
        <v>33</v>
      </c>
      <c r="S1903" s="19">
        <f t="shared" si="1"/>
        <v>0.18225</v>
      </c>
      <c r="T1903" s="19">
        <f t="shared" si="8"/>
        <v>66.65037509</v>
      </c>
      <c r="U1903" s="144"/>
    </row>
    <row r="1904">
      <c r="A1904" s="107"/>
      <c r="B1904" s="8" t="s">
        <v>129</v>
      </c>
      <c r="C1904" s="8" t="s">
        <v>19</v>
      </c>
      <c r="D1904" s="8">
        <v>79.0</v>
      </c>
      <c r="E1904" s="8" t="s">
        <v>4367</v>
      </c>
      <c r="F1904" s="8" t="s">
        <v>1473</v>
      </c>
      <c r="G1904" s="8" t="s">
        <v>2660</v>
      </c>
      <c r="H1904" s="8">
        <v>0.0</v>
      </c>
      <c r="I1904" s="8" t="s">
        <v>1031</v>
      </c>
      <c r="J1904" s="8" t="s">
        <v>22</v>
      </c>
      <c r="K1904" s="8" t="s">
        <v>892</v>
      </c>
      <c r="L1904" s="8" t="s">
        <v>24</v>
      </c>
      <c r="M1904" s="9">
        <v>0.0</v>
      </c>
      <c r="N1904" s="9">
        <v>0.4</v>
      </c>
      <c r="O1904" s="9">
        <v>0.293</v>
      </c>
      <c r="P1904" s="54">
        <v>45324.0</v>
      </c>
      <c r="Q1904" s="11">
        <v>2.2</v>
      </c>
      <c r="R1904" s="8" t="s">
        <v>70</v>
      </c>
      <c r="S1904" s="12">
        <f t="shared" si="1"/>
        <v>0</v>
      </c>
      <c r="T1904" s="12">
        <f t="shared" si="8"/>
        <v>66.65037509</v>
      </c>
      <c r="U1904" s="145"/>
    </row>
    <row r="1905">
      <c r="A1905" s="29"/>
      <c r="B1905" s="15" t="s">
        <v>129</v>
      </c>
      <c r="C1905" s="15" t="s">
        <v>40</v>
      </c>
      <c r="D1905" s="15">
        <v>81.0</v>
      </c>
      <c r="E1905" s="15" t="s">
        <v>4368</v>
      </c>
      <c r="F1905" s="15" t="s">
        <v>1473</v>
      </c>
      <c r="G1905" s="15" t="s">
        <v>2556</v>
      </c>
      <c r="H1905" s="15">
        <v>0.0</v>
      </c>
      <c r="I1905" s="15" t="s">
        <v>162</v>
      </c>
      <c r="J1905" s="15" t="s">
        <v>22</v>
      </c>
      <c r="K1905" s="15" t="s">
        <v>4352</v>
      </c>
      <c r="L1905" s="15" t="s">
        <v>24</v>
      </c>
      <c r="M1905" s="16">
        <v>0.0</v>
      </c>
      <c r="N1905" s="16">
        <v>0.3</v>
      </c>
      <c r="O1905" s="16">
        <v>0.3</v>
      </c>
      <c r="P1905" s="17">
        <v>45324.0</v>
      </c>
      <c r="Q1905" s="18">
        <v>2.387</v>
      </c>
      <c r="R1905" s="15" t="s">
        <v>33</v>
      </c>
      <c r="S1905" s="19">
        <f t="shared" si="1"/>
        <v>0.4161</v>
      </c>
      <c r="T1905" s="19">
        <f t="shared" si="8"/>
        <v>67.06647509</v>
      </c>
      <c r="U1905" s="144"/>
    </row>
    <row r="1906">
      <c r="A1906" s="107"/>
      <c r="B1906" s="8" t="s">
        <v>137</v>
      </c>
      <c r="C1906" s="8" t="s">
        <v>19</v>
      </c>
      <c r="D1906" s="8">
        <v>27.0</v>
      </c>
      <c r="E1906" s="8" t="s">
        <v>4369</v>
      </c>
      <c r="F1906" s="8" t="s">
        <v>1473</v>
      </c>
      <c r="G1906" s="8" t="s">
        <v>2660</v>
      </c>
      <c r="H1906" s="8">
        <v>0.0</v>
      </c>
      <c r="I1906" s="8" t="s">
        <v>28</v>
      </c>
      <c r="J1906" s="8" t="s">
        <v>22</v>
      </c>
      <c r="K1906" s="8" t="s">
        <v>1150</v>
      </c>
      <c r="L1906" s="8" t="s">
        <v>1803</v>
      </c>
      <c r="M1906" s="9">
        <v>0.0</v>
      </c>
      <c r="N1906" s="9">
        <v>0.25</v>
      </c>
      <c r="O1906" s="9">
        <v>0.25</v>
      </c>
      <c r="P1906" s="10">
        <v>45324.0</v>
      </c>
      <c r="Q1906" s="11">
        <v>1.85</v>
      </c>
      <c r="R1906" s="8" t="s">
        <v>25</v>
      </c>
      <c r="S1906" s="12">
        <f t="shared" si="1"/>
        <v>-0.25</v>
      </c>
      <c r="T1906" s="12">
        <f t="shared" si="8"/>
        <v>66.81647509</v>
      </c>
      <c r="U1906" s="145"/>
    </row>
    <row r="1907">
      <c r="A1907" s="29"/>
      <c r="B1907" s="15" t="s">
        <v>137</v>
      </c>
      <c r="C1907" s="15" t="s">
        <v>19</v>
      </c>
      <c r="D1907" s="15">
        <v>36.0</v>
      </c>
      <c r="E1907" s="15" t="s">
        <v>4370</v>
      </c>
      <c r="F1907" s="15" t="s">
        <v>1479</v>
      </c>
      <c r="G1907" s="15" t="s">
        <v>2660</v>
      </c>
      <c r="H1907" s="15">
        <v>0.0</v>
      </c>
      <c r="I1907" s="15" t="s">
        <v>28</v>
      </c>
      <c r="J1907" s="15" t="s">
        <v>22</v>
      </c>
      <c r="K1907" s="15" t="s">
        <v>1150</v>
      </c>
      <c r="L1907" s="15" t="s">
        <v>24</v>
      </c>
      <c r="M1907" s="16">
        <v>0.0</v>
      </c>
      <c r="N1907" s="16">
        <v>0.25</v>
      </c>
      <c r="O1907" s="16">
        <v>0.25</v>
      </c>
      <c r="P1907" s="17">
        <v>45324.0</v>
      </c>
      <c r="Q1907" s="18">
        <v>2.0</v>
      </c>
      <c r="R1907" s="15" t="s">
        <v>33</v>
      </c>
      <c r="S1907" s="19">
        <f t="shared" si="1"/>
        <v>0.25</v>
      </c>
      <c r="T1907" s="19">
        <f t="shared" si="8"/>
        <v>67.06647509</v>
      </c>
      <c r="U1907" s="144"/>
    </row>
    <row r="1908">
      <c r="A1908" s="107"/>
      <c r="B1908" s="8" t="s">
        <v>26</v>
      </c>
      <c r="C1908" s="8" t="s">
        <v>19</v>
      </c>
      <c r="D1908" s="8">
        <v>61.0</v>
      </c>
      <c r="E1908" s="8" t="s">
        <v>4371</v>
      </c>
      <c r="F1908" s="8" t="s">
        <v>1479</v>
      </c>
      <c r="G1908" s="8" t="s">
        <v>2556</v>
      </c>
      <c r="H1908" s="8">
        <v>0.0</v>
      </c>
      <c r="I1908" s="8" t="s">
        <v>28</v>
      </c>
      <c r="J1908" s="8" t="s">
        <v>22</v>
      </c>
      <c r="K1908" s="8" t="s">
        <v>225</v>
      </c>
      <c r="L1908" s="8" t="s">
        <v>24</v>
      </c>
      <c r="M1908" s="9">
        <v>0.75</v>
      </c>
      <c r="N1908" s="9">
        <v>0.5</v>
      </c>
      <c r="O1908" s="9">
        <v>0.468</v>
      </c>
      <c r="P1908" s="10">
        <v>45324.0</v>
      </c>
      <c r="Q1908" s="11">
        <v>1.64</v>
      </c>
      <c r="R1908" s="8" t="s">
        <v>33</v>
      </c>
      <c r="S1908" s="12">
        <f t="shared" si="1"/>
        <v>0.29952</v>
      </c>
      <c r="T1908" s="12">
        <f t="shared" si="8"/>
        <v>67.36599509</v>
      </c>
      <c r="U1908" s="145"/>
    </row>
    <row r="1909">
      <c r="A1909" s="29"/>
      <c r="B1909" s="15" t="s">
        <v>26</v>
      </c>
      <c r="C1909" s="15" t="s">
        <v>19</v>
      </c>
      <c r="D1909" s="15">
        <v>64.0</v>
      </c>
      <c r="E1909" s="15" t="s">
        <v>4372</v>
      </c>
      <c r="F1909" s="15" t="s">
        <v>1479</v>
      </c>
      <c r="G1909" s="15" t="s">
        <v>2556</v>
      </c>
      <c r="H1909" s="15">
        <v>0.0</v>
      </c>
      <c r="I1909" s="15" t="s">
        <v>28</v>
      </c>
      <c r="J1909" s="15" t="s">
        <v>22</v>
      </c>
      <c r="K1909" s="15" t="s">
        <v>4352</v>
      </c>
      <c r="L1909" s="15" t="s">
        <v>24</v>
      </c>
      <c r="M1909" s="16">
        <v>0.0</v>
      </c>
      <c r="N1909" s="16">
        <v>0.5</v>
      </c>
      <c r="O1909" s="16">
        <v>0.5</v>
      </c>
      <c r="P1909" s="17">
        <v>45324.0</v>
      </c>
      <c r="Q1909" s="18">
        <v>1.05</v>
      </c>
      <c r="R1909" s="15" t="s">
        <v>33</v>
      </c>
      <c r="S1909" s="19">
        <f t="shared" si="1"/>
        <v>0.025</v>
      </c>
      <c r="T1909" s="19">
        <f t="shared" si="8"/>
        <v>67.39099509</v>
      </c>
      <c r="U1909" s="144"/>
    </row>
    <row r="1910">
      <c r="A1910" s="107"/>
      <c r="B1910" s="8" t="s">
        <v>4225</v>
      </c>
      <c r="C1910" s="8" t="s">
        <v>19</v>
      </c>
      <c r="D1910" s="8">
        <v>0.0</v>
      </c>
      <c r="E1910" s="8" t="s">
        <v>4373</v>
      </c>
      <c r="F1910" s="8" t="s">
        <v>1479</v>
      </c>
      <c r="G1910" s="8" t="s">
        <v>2573</v>
      </c>
      <c r="H1910" s="8">
        <v>0.0</v>
      </c>
      <c r="I1910" s="8" t="s">
        <v>401</v>
      </c>
      <c r="J1910" s="8" t="s">
        <v>22</v>
      </c>
      <c r="K1910" s="8" t="s">
        <v>894</v>
      </c>
      <c r="L1910" s="8" t="s">
        <v>1851</v>
      </c>
      <c r="M1910" s="9">
        <v>-0.25</v>
      </c>
      <c r="N1910" s="9">
        <v>0.1</v>
      </c>
      <c r="O1910" s="9">
        <v>0.1</v>
      </c>
      <c r="P1910" s="10">
        <v>45324.0</v>
      </c>
      <c r="Q1910" s="11">
        <v>1.75</v>
      </c>
      <c r="R1910" s="8" t="s">
        <v>33</v>
      </c>
      <c r="S1910" s="12">
        <f t="shared" si="1"/>
        <v>0.075</v>
      </c>
      <c r="T1910" s="12">
        <f t="shared" si="8"/>
        <v>67.46599509</v>
      </c>
      <c r="U1910" s="145"/>
    </row>
    <row r="1911">
      <c r="A1911" s="29"/>
      <c r="B1911" s="15" t="s">
        <v>26</v>
      </c>
      <c r="C1911" s="15" t="s">
        <v>19</v>
      </c>
      <c r="D1911" s="15">
        <v>70.0</v>
      </c>
      <c r="E1911" s="15" t="s">
        <v>4374</v>
      </c>
      <c r="F1911" s="15" t="s">
        <v>1479</v>
      </c>
      <c r="G1911" s="15" t="s">
        <v>2660</v>
      </c>
      <c r="H1911" s="15">
        <v>0.0</v>
      </c>
      <c r="I1911" s="15" t="s">
        <v>88</v>
      </c>
      <c r="J1911" s="15" t="s">
        <v>22</v>
      </c>
      <c r="K1911" s="15" t="s">
        <v>892</v>
      </c>
      <c r="L1911" s="15" t="s">
        <v>24</v>
      </c>
      <c r="M1911" s="16">
        <v>0.0</v>
      </c>
      <c r="N1911" s="16">
        <v>0.75</v>
      </c>
      <c r="O1911" s="16">
        <v>0.6</v>
      </c>
      <c r="P1911" s="17">
        <v>45325.0</v>
      </c>
      <c r="Q1911" s="18">
        <v>1.9</v>
      </c>
      <c r="R1911" s="15" t="s">
        <v>70</v>
      </c>
      <c r="S1911" s="19">
        <f t="shared" si="1"/>
        <v>0</v>
      </c>
      <c r="T1911" s="19">
        <f t="shared" si="8"/>
        <v>67.46599509</v>
      </c>
      <c r="U1911" s="144"/>
    </row>
    <row r="1912">
      <c r="A1912" s="107"/>
      <c r="B1912" s="8" t="s">
        <v>26</v>
      </c>
      <c r="C1912" s="8" t="s">
        <v>19</v>
      </c>
      <c r="D1912" s="8">
        <v>70.0</v>
      </c>
      <c r="E1912" s="8" t="s">
        <v>4375</v>
      </c>
      <c r="F1912" s="8" t="s">
        <v>1473</v>
      </c>
      <c r="G1912" s="8" t="s">
        <v>2660</v>
      </c>
      <c r="H1912" s="8">
        <v>0.0</v>
      </c>
      <c r="I1912" s="8" t="s">
        <v>28</v>
      </c>
      <c r="J1912" s="8" t="s">
        <v>22</v>
      </c>
      <c r="K1912" s="8" t="s">
        <v>892</v>
      </c>
      <c r="L1912" s="8" t="s">
        <v>24</v>
      </c>
      <c r="M1912" s="9">
        <v>0.0</v>
      </c>
      <c r="N1912" s="9">
        <v>1.0</v>
      </c>
      <c r="O1912" s="9">
        <v>1.0</v>
      </c>
      <c r="P1912" s="10">
        <v>45325.0</v>
      </c>
      <c r="Q1912" s="11">
        <v>1.875</v>
      </c>
      <c r="R1912" s="8" t="s">
        <v>70</v>
      </c>
      <c r="S1912" s="12">
        <f t="shared" si="1"/>
        <v>0</v>
      </c>
      <c r="T1912" s="12">
        <f t="shared" si="8"/>
        <v>67.46599509</v>
      </c>
      <c r="U1912" s="145"/>
    </row>
    <row r="1913">
      <c r="A1913" s="29"/>
      <c r="B1913" s="15" t="s">
        <v>137</v>
      </c>
      <c r="C1913" s="15" t="s">
        <v>19</v>
      </c>
      <c r="D1913" s="15">
        <v>75.0</v>
      </c>
      <c r="E1913" s="15" t="s">
        <v>4376</v>
      </c>
      <c r="F1913" s="15" t="s">
        <v>1479</v>
      </c>
      <c r="G1913" s="15" t="s">
        <v>2660</v>
      </c>
      <c r="H1913" s="15">
        <v>0.0</v>
      </c>
      <c r="I1913" s="15" t="s">
        <v>28</v>
      </c>
      <c r="J1913" s="15" t="s">
        <v>22</v>
      </c>
      <c r="K1913" s="15" t="s">
        <v>892</v>
      </c>
      <c r="L1913" s="15" t="s">
        <v>24</v>
      </c>
      <c r="M1913" s="16">
        <v>0.0</v>
      </c>
      <c r="N1913" s="16">
        <v>1.0</v>
      </c>
      <c r="O1913" s="16">
        <v>0.5</v>
      </c>
      <c r="P1913" s="17">
        <v>45325.0</v>
      </c>
      <c r="Q1913" s="18">
        <v>1.675</v>
      </c>
      <c r="R1913" s="15" t="s">
        <v>70</v>
      </c>
      <c r="S1913" s="19">
        <f t="shared" si="1"/>
        <v>0</v>
      </c>
      <c r="T1913" s="19">
        <f t="shared" si="8"/>
        <v>67.46599509</v>
      </c>
      <c r="U1913" s="144"/>
    </row>
    <row r="1914">
      <c r="A1914" s="107"/>
      <c r="B1914" s="8" t="s">
        <v>129</v>
      </c>
      <c r="C1914" s="8" t="s">
        <v>19</v>
      </c>
      <c r="D1914" s="8">
        <v>28.0</v>
      </c>
      <c r="E1914" s="8" t="s">
        <v>4377</v>
      </c>
      <c r="F1914" s="8" t="s">
        <v>1473</v>
      </c>
      <c r="G1914" s="8" t="s">
        <v>2556</v>
      </c>
      <c r="H1914" s="8">
        <v>0.0</v>
      </c>
      <c r="I1914" s="8" t="s">
        <v>167</v>
      </c>
      <c r="J1914" s="8" t="s">
        <v>22</v>
      </c>
      <c r="K1914" s="8" t="s">
        <v>225</v>
      </c>
      <c r="L1914" s="8" t="s">
        <v>1522</v>
      </c>
      <c r="M1914" s="9">
        <v>0.5</v>
      </c>
      <c r="N1914" s="9">
        <v>0.5</v>
      </c>
      <c r="O1914" s="9">
        <v>0.5</v>
      </c>
      <c r="P1914" s="10">
        <v>45325.0</v>
      </c>
      <c r="Q1914" s="11">
        <v>1.75</v>
      </c>
      <c r="R1914" s="8" t="s">
        <v>33</v>
      </c>
      <c r="S1914" s="12">
        <f t="shared" si="1"/>
        <v>0.375</v>
      </c>
      <c r="T1914" s="12">
        <f t="shared" si="8"/>
        <v>67.84099509</v>
      </c>
      <c r="U1914" s="145"/>
    </row>
    <row r="1915">
      <c r="A1915" s="29"/>
      <c r="B1915" s="15" t="s">
        <v>26</v>
      </c>
      <c r="C1915" s="15" t="s">
        <v>40</v>
      </c>
      <c r="D1915" s="15">
        <v>30.0</v>
      </c>
      <c r="E1915" s="15" t="s">
        <v>4378</v>
      </c>
      <c r="F1915" s="15" t="s">
        <v>1479</v>
      </c>
      <c r="G1915" s="15" t="s">
        <v>2556</v>
      </c>
      <c r="H1915" s="15">
        <f>1</f>
        <v>1</v>
      </c>
      <c r="I1915" s="15" t="s">
        <v>106</v>
      </c>
      <c r="J1915" s="15" t="s">
        <v>22</v>
      </c>
      <c r="K1915" s="15" t="s">
        <v>1847</v>
      </c>
      <c r="L1915" s="15" t="s">
        <v>24</v>
      </c>
      <c r="M1915" s="16">
        <v>0.5</v>
      </c>
      <c r="N1915" s="16">
        <v>0.75</v>
      </c>
      <c r="O1915" s="16">
        <v>0.55</v>
      </c>
      <c r="P1915" s="17">
        <v>45325.0</v>
      </c>
      <c r="Q1915" s="18">
        <v>1.775</v>
      </c>
      <c r="R1915" s="15" t="s">
        <v>33</v>
      </c>
      <c r="S1915" s="19">
        <f t="shared" si="1"/>
        <v>0.42625</v>
      </c>
      <c r="T1915" s="19">
        <f t="shared" si="8"/>
        <v>68.26724509</v>
      </c>
      <c r="U1915" s="144"/>
    </row>
    <row r="1916">
      <c r="A1916" s="107"/>
      <c r="B1916" s="8" t="s">
        <v>18</v>
      </c>
      <c r="C1916" s="8" t="s">
        <v>40</v>
      </c>
      <c r="D1916" s="8">
        <v>58.0</v>
      </c>
      <c r="E1916" s="8" t="s">
        <v>4379</v>
      </c>
      <c r="F1916" s="8" t="s">
        <v>1473</v>
      </c>
      <c r="G1916" s="8" t="s">
        <v>2660</v>
      </c>
      <c r="H1916" s="8">
        <v>-2.0</v>
      </c>
      <c r="I1916" s="8" t="s">
        <v>48</v>
      </c>
      <c r="J1916" s="8" t="s">
        <v>22</v>
      </c>
      <c r="K1916" s="8" t="s">
        <v>892</v>
      </c>
      <c r="L1916" s="8" t="s">
        <v>24</v>
      </c>
      <c r="M1916" s="9">
        <v>0.0</v>
      </c>
      <c r="N1916" s="9">
        <v>1.0</v>
      </c>
      <c r="O1916" s="9">
        <v>0.98</v>
      </c>
      <c r="P1916" s="10">
        <v>45325.0</v>
      </c>
      <c r="Q1916" s="11">
        <v>1.95</v>
      </c>
      <c r="R1916" s="8" t="s">
        <v>70</v>
      </c>
      <c r="S1916" s="12">
        <f t="shared" si="1"/>
        <v>0</v>
      </c>
      <c r="T1916" s="12">
        <f t="shared" si="8"/>
        <v>68.26724509</v>
      </c>
      <c r="U1916" s="145"/>
    </row>
    <row r="1917">
      <c r="A1917" s="29"/>
      <c r="B1917" s="15" t="s">
        <v>4225</v>
      </c>
      <c r="C1917" s="15" t="s">
        <v>19</v>
      </c>
      <c r="D1917" s="15">
        <v>70.0</v>
      </c>
      <c r="E1917" s="15" t="s">
        <v>4380</v>
      </c>
      <c r="F1917" s="15" t="s">
        <v>1479</v>
      </c>
      <c r="G1917" s="15" t="s">
        <v>2660</v>
      </c>
      <c r="H1917" s="15" t="s">
        <v>4381</v>
      </c>
      <c r="I1917" s="15" t="s">
        <v>1493</v>
      </c>
      <c r="J1917" s="15" t="s">
        <v>22</v>
      </c>
      <c r="K1917" s="15" t="s">
        <v>892</v>
      </c>
      <c r="L1917" s="15" t="s">
        <v>24</v>
      </c>
      <c r="M1917" s="16">
        <v>0.0</v>
      </c>
      <c r="N1917" s="16">
        <v>0.5</v>
      </c>
      <c r="O1917" s="16">
        <v>0.5</v>
      </c>
      <c r="P1917" s="17">
        <v>45325.0</v>
      </c>
      <c r="Q1917" s="18">
        <v>1.75</v>
      </c>
      <c r="R1917" s="15" t="s">
        <v>70</v>
      </c>
      <c r="S1917" s="19">
        <f t="shared" si="1"/>
        <v>0</v>
      </c>
      <c r="T1917" s="19">
        <f t="shared" si="8"/>
        <v>68.26724509</v>
      </c>
      <c r="U1917" s="144"/>
    </row>
    <row r="1918">
      <c r="A1918" s="107"/>
      <c r="B1918" s="8" t="s">
        <v>26</v>
      </c>
      <c r="C1918" s="8" t="s">
        <v>19</v>
      </c>
      <c r="D1918" s="8">
        <v>45.0</v>
      </c>
      <c r="E1918" s="8" t="s">
        <v>4382</v>
      </c>
      <c r="F1918" s="8" t="s">
        <v>1473</v>
      </c>
      <c r="G1918" s="8" t="s">
        <v>2556</v>
      </c>
      <c r="H1918" s="8">
        <v>-2.0</v>
      </c>
      <c r="I1918" s="8" t="s">
        <v>121</v>
      </c>
      <c r="J1918" s="8" t="s">
        <v>22</v>
      </c>
      <c r="K1918" s="8" t="s">
        <v>225</v>
      </c>
      <c r="L1918" s="8" t="s">
        <v>1522</v>
      </c>
      <c r="M1918" s="9">
        <v>0.25</v>
      </c>
      <c r="N1918" s="9">
        <v>0.5</v>
      </c>
      <c r="O1918" s="9">
        <v>0.5</v>
      </c>
      <c r="P1918" s="10">
        <v>45325.0</v>
      </c>
      <c r="Q1918" s="11">
        <v>1.021</v>
      </c>
      <c r="R1918" s="8" t="s">
        <v>33</v>
      </c>
      <c r="S1918" s="12">
        <f t="shared" si="1"/>
        <v>0.0105</v>
      </c>
      <c r="T1918" s="12">
        <f t="shared" si="8"/>
        <v>68.27774509</v>
      </c>
      <c r="U1918" s="145"/>
    </row>
    <row r="1919">
      <c r="A1919" s="29"/>
      <c r="B1919" s="15" t="s">
        <v>129</v>
      </c>
      <c r="C1919" s="15" t="s">
        <v>19</v>
      </c>
      <c r="D1919" s="15">
        <v>63.0</v>
      </c>
      <c r="E1919" s="15" t="s">
        <v>4383</v>
      </c>
      <c r="F1919" s="15" t="s">
        <v>1473</v>
      </c>
      <c r="G1919" s="15" t="s">
        <v>2660</v>
      </c>
      <c r="H1919" s="15">
        <v>0.0</v>
      </c>
      <c r="I1919" s="15" t="s">
        <v>4354</v>
      </c>
      <c r="J1919" s="15" t="s">
        <v>22</v>
      </c>
      <c r="K1919" s="15" t="s">
        <v>892</v>
      </c>
      <c r="L1919" s="15" t="s">
        <v>24</v>
      </c>
      <c r="M1919" s="16">
        <v>0.0</v>
      </c>
      <c r="N1919" s="16">
        <v>0.5</v>
      </c>
      <c r="O1919" s="16">
        <v>0.5</v>
      </c>
      <c r="P1919" s="17">
        <v>45325.0</v>
      </c>
      <c r="Q1919" s="18">
        <v>2.5</v>
      </c>
      <c r="R1919" s="15" t="s">
        <v>70</v>
      </c>
      <c r="S1919" s="19">
        <f t="shared" si="1"/>
        <v>0</v>
      </c>
      <c r="T1919" s="19">
        <f t="shared" si="8"/>
        <v>68.27774509</v>
      </c>
      <c r="U1919" s="144"/>
    </row>
    <row r="1920">
      <c r="A1920" s="107"/>
      <c r="B1920" s="8" t="s">
        <v>129</v>
      </c>
      <c r="C1920" s="8" t="s">
        <v>19</v>
      </c>
      <c r="D1920" s="8">
        <v>61.0</v>
      </c>
      <c r="E1920" s="8" t="s">
        <v>4384</v>
      </c>
      <c r="F1920" s="8" t="s">
        <v>1473</v>
      </c>
      <c r="G1920" s="8" t="s">
        <v>2660</v>
      </c>
      <c r="H1920" s="8">
        <f>1</f>
        <v>1</v>
      </c>
      <c r="I1920" s="8" t="s">
        <v>121</v>
      </c>
      <c r="J1920" s="8" t="s">
        <v>22</v>
      </c>
      <c r="K1920" s="8" t="s">
        <v>892</v>
      </c>
      <c r="L1920" s="8" t="s">
        <v>39</v>
      </c>
      <c r="M1920" s="9">
        <v>0.0</v>
      </c>
      <c r="N1920" s="9">
        <v>0.1</v>
      </c>
      <c r="O1920" s="9">
        <v>0.1</v>
      </c>
      <c r="P1920" s="10">
        <v>45325.0</v>
      </c>
      <c r="Q1920" s="11">
        <v>1.75</v>
      </c>
      <c r="R1920" s="8" t="s">
        <v>70</v>
      </c>
      <c r="S1920" s="12">
        <f t="shared" si="1"/>
        <v>0</v>
      </c>
      <c r="T1920" s="12">
        <f t="shared" si="8"/>
        <v>68.27774509</v>
      </c>
      <c r="U1920" s="145"/>
    </row>
    <row r="1921">
      <c r="A1921" s="29"/>
      <c r="B1921" s="15" t="s">
        <v>26</v>
      </c>
      <c r="C1921" s="15" t="s">
        <v>19</v>
      </c>
      <c r="D1921" s="15">
        <v>55.0</v>
      </c>
      <c r="E1921" s="15" t="s">
        <v>4385</v>
      </c>
      <c r="F1921" s="15" t="s">
        <v>1479</v>
      </c>
      <c r="G1921" s="15" t="s">
        <v>2660</v>
      </c>
      <c r="H1921" s="15">
        <v>2</v>
      </c>
      <c r="I1921" s="15" t="s">
        <v>28</v>
      </c>
      <c r="J1921" s="15" t="s">
        <v>22</v>
      </c>
      <c r="K1921" s="15" t="s">
        <v>892</v>
      </c>
      <c r="L1921" s="15" t="s">
        <v>24</v>
      </c>
      <c r="M1921" s="16">
        <v>0.0</v>
      </c>
      <c r="N1921" s="16">
        <v>0.75</v>
      </c>
      <c r="O1921" s="16">
        <v>0.25</v>
      </c>
      <c r="P1921" s="17">
        <v>45325.0</v>
      </c>
      <c r="Q1921" s="18">
        <v>1.8</v>
      </c>
      <c r="R1921" s="15" t="s">
        <v>33</v>
      </c>
      <c r="S1921" s="19">
        <f t="shared" si="1"/>
        <v>0.2</v>
      </c>
      <c r="T1921" s="19">
        <f t="shared" si="8"/>
        <v>68.47774509</v>
      </c>
      <c r="U1921" s="144"/>
    </row>
    <row r="1922">
      <c r="A1922" s="107"/>
      <c r="B1922" s="8" t="s">
        <v>137</v>
      </c>
      <c r="C1922" s="8" t="s">
        <v>19</v>
      </c>
      <c r="D1922" s="8">
        <v>70.0</v>
      </c>
      <c r="E1922" s="8" t="s">
        <v>4386</v>
      </c>
      <c r="F1922" s="8" t="s">
        <v>1479</v>
      </c>
      <c r="G1922" s="8" t="s">
        <v>2556</v>
      </c>
      <c r="H1922" s="8">
        <f>1</f>
        <v>1</v>
      </c>
      <c r="I1922" s="8" t="s">
        <v>273</v>
      </c>
      <c r="J1922" s="8" t="s">
        <v>22</v>
      </c>
      <c r="K1922" s="8" t="s">
        <v>225</v>
      </c>
      <c r="L1922" s="8" t="s">
        <v>24</v>
      </c>
      <c r="M1922" s="9">
        <v>0.25</v>
      </c>
      <c r="N1922" s="9">
        <v>0.75</v>
      </c>
      <c r="O1922" s="9">
        <v>0.75</v>
      </c>
      <c r="P1922" s="10">
        <v>45326.0</v>
      </c>
      <c r="Q1922" s="11">
        <v>1.7</v>
      </c>
      <c r="R1922" s="8" t="s">
        <v>30</v>
      </c>
      <c r="S1922" s="12">
        <f t="shared" si="1"/>
        <v>0.2625</v>
      </c>
      <c r="T1922" s="12">
        <f t="shared" si="8"/>
        <v>68.74024509</v>
      </c>
      <c r="U1922" s="145"/>
    </row>
    <row r="1923">
      <c r="A1923" s="29"/>
      <c r="B1923" s="15" t="s">
        <v>129</v>
      </c>
      <c r="C1923" s="15" t="s">
        <v>19</v>
      </c>
      <c r="D1923" s="15">
        <v>65.0</v>
      </c>
      <c r="E1923" s="15" t="s">
        <v>4387</v>
      </c>
      <c r="F1923" s="15" t="s">
        <v>1473</v>
      </c>
      <c r="G1923" s="15" t="s">
        <v>2556</v>
      </c>
      <c r="H1923" s="15">
        <v>-1.0</v>
      </c>
      <c r="I1923" s="15" t="s">
        <v>875</v>
      </c>
      <c r="J1923" s="15" t="s">
        <v>22</v>
      </c>
      <c r="K1923" s="15" t="s">
        <v>225</v>
      </c>
      <c r="L1923" s="15" t="s">
        <v>24</v>
      </c>
      <c r="M1923" s="16">
        <v>0.25</v>
      </c>
      <c r="N1923" s="16">
        <v>0.5</v>
      </c>
      <c r="O1923" s="16">
        <v>0.5</v>
      </c>
      <c r="P1923" s="17">
        <v>45326.0</v>
      </c>
      <c r="Q1923" s="18">
        <v>1.7</v>
      </c>
      <c r="R1923" s="15" t="s">
        <v>30</v>
      </c>
      <c r="S1923" s="19">
        <f t="shared" si="1"/>
        <v>0.175</v>
      </c>
      <c r="T1923" s="19">
        <f t="shared" si="8"/>
        <v>68.91524509</v>
      </c>
      <c r="U1923" s="144"/>
    </row>
    <row r="1924">
      <c r="A1924" s="107"/>
      <c r="B1924" s="8" t="s">
        <v>137</v>
      </c>
      <c r="C1924" s="8" t="s">
        <v>40</v>
      </c>
      <c r="D1924" s="8">
        <v>69.0</v>
      </c>
      <c r="E1924" s="8" t="s">
        <v>4388</v>
      </c>
      <c r="F1924" s="8" t="s">
        <v>1479</v>
      </c>
      <c r="G1924" s="8" t="s">
        <v>2660</v>
      </c>
      <c r="H1924" s="8">
        <v>-1.0</v>
      </c>
      <c r="I1924" s="8" t="s">
        <v>93</v>
      </c>
      <c r="J1924" s="8" t="s">
        <v>22</v>
      </c>
      <c r="K1924" s="8" t="s">
        <v>892</v>
      </c>
      <c r="L1924" s="8" t="s">
        <v>39</v>
      </c>
      <c r="M1924" s="9">
        <v>0.0</v>
      </c>
      <c r="N1924" s="9">
        <v>0.5</v>
      </c>
      <c r="O1924" s="9">
        <v>0.5</v>
      </c>
      <c r="P1924" s="10">
        <v>45326.0</v>
      </c>
      <c r="Q1924" s="11">
        <v>1.95</v>
      </c>
      <c r="R1924" s="8" t="s">
        <v>70</v>
      </c>
      <c r="S1924" s="12">
        <f t="shared" si="1"/>
        <v>0</v>
      </c>
      <c r="T1924" s="12">
        <f t="shared" si="8"/>
        <v>68.91524509</v>
      </c>
      <c r="U1924" s="145"/>
    </row>
    <row r="1925">
      <c r="A1925" s="29"/>
      <c r="B1925" s="15" t="s">
        <v>4225</v>
      </c>
      <c r="C1925" s="15" t="s">
        <v>19</v>
      </c>
      <c r="D1925" s="15">
        <v>45.0</v>
      </c>
      <c r="E1925" s="15" t="s">
        <v>4389</v>
      </c>
      <c r="F1925" s="15" t="s">
        <v>1473</v>
      </c>
      <c r="G1925" s="15" t="s">
        <v>2556</v>
      </c>
      <c r="H1925" s="15">
        <v>0.0</v>
      </c>
      <c r="I1925" s="15" t="s">
        <v>174</v>
      </c>
      <c r="J1925" s="15" t="s">
        <v>22</v>
      </c>
      <c r="K1925" s="15" t="s">
        <v>225</v>
      </c>
      <c r="L1925" s="15" t="s">
        <v>24</v>
      </c>
      <c r="M1925" s="16">
        <v>0.5</v>
      </c>
      <c r="N1925" s="16">
        <v>0.25</v>
      </c>
      <c r="O1925" s="16">
        <v>0.25</v>
      </c>
      <c r="P1925" s="17">
        <v>45326.0</v>
      </c>
      <c r="Q1925" s="18">
        <v>1.75</v>
      </c>
      <c r="R1925" s="15" t="s">
        <v>33</v>
      </c>
      <c r="S1925" s="19">
        <f t="shared" si="1"/>
        <v>0.1875</v>
      </c>
      <c r="T1925" s="19">
        <f t="shared" si="8"/>
        <v>69.10274509</v>
      </c>
      <c r="U1925" s="144"/>
    </row>
    <row r="1926">
      <c r="A1926" s="107"/>
      <c r="B1926" s="8" t="s">
        <v>26</v>
      </c>
      <c r="C1926" s="8" t="s">
        <v>19</v>
      </c>
      <c r="D1926" s="8">
        <v>68.0</v>
      </c>
      <c r="E1926" s="8" t="s">
        <v>4390</v>
      </c>
      <c r="F1926" s="8" t="s">
        <v>1479</v>
      </c>
      <c r="G1926" s="8" t="s">
        <v>2660</v>
      </c>
      <c r="H1926" s="8">
        <v>0.0</v>
      </c>
      <c r="I1926" s="8" t="s">
        <v>93</v>
      </c>
      <c r="J1926" s="8" t="s">
        <v>22</v>
      </c>
      <c r="K1926" s="8" t="s">
        <v>892</v>
      </c>
      <c r="L1926" s="8" t="s">
        <v>24</v>
      </c>
      <c r="M1926" s="9">
        <v>0.0</v>
      </c>
      <c r="N1926" s="9">
        <v>0.75</v>
      </c>
      <c r="O1926" s="9">
        <v>0.75</v>
      </c>
      <c r="P1926" s="10">
        <v>45326.0</v>
      </c>
      <c r="Q1926" s="11">
        <v>2.05</v>
      </c>
      <c r="R1926" s="8" t="s">
        <v>70</v>
      </c>
      <c r="S1926" s="12">
        <f t="shared" si="1"/>
        <v>0</v>
      </c>
      <c r="T1926" s="12">
        <f t="shared" si="8"/>
        <v>69.10274509</v>
      </c>
      <c r="U1926" s="145"/>
    </row>
    <row r="1927">
      <c r="A1927" s="29"/>
      <c r="B1927" s="15" t="s">
        <v>26</v>
      </c>
      <c r="C1927" s="15" t="s">
        <v>40</v>
      </c>
      <c r="D1927" s="15">
        <v>43.0</v>
      </c>
      <c r="E1927" s="15" t="s">
        <v>4391</v>
      </c>
      <c r="F1927" s="15" t="s">
        <v>1479</v>
      </c>
      <c r="G1927" s="15" t="s">
        <v>2556</v>
      </c>
      <c r="H1927" s="15">
        <v>0.0</v>
      </c>
      <c r="I1927" s="15" t="s">
        <v>106</v>
      </c>
      <c r="J1927" s="15" t="s">
        <v>22</v>
      </c>
      <c r="K1927" s="15" t="s">
        <v>4352</v>
      </c>
      <c r="L1927" s="15" t="s">
        <v>24</v>
      </c>
      <c r="M1927" s="16">
        <v>0.0</v>
      </c>
      <c r="N1927" s="16">
        <v>0.1</v>
      </c>
      <c r="O1927" s="16">
        <v>0.1</v>
      </c>
      <c r="P1927" s="17">
        <v>45326.0</v>
      </c>
      <c r="Q1927" s="18">
        <v>9.0</v>
      </c>
      <c r="R1927" s="15" t="s">
        <v>70</v>
      </c>
      <c r="S1927" s="19">
        <f t="shared" si="1"/>
        <v>0</v>
      </c>
      <c r="T1927" s="19">
        <f t="shared" si="8"/>
        <v>69.10274509</v>
      </c>
      <c r="U1927" s="144"/>
    </row>
    <row r="1928">
      <c r="A1928" s="107"/>
      <c r="B1928" s="8" t="s">
        <v>26</v>
      </c>
      <c r="C1928" s="8" t="s">
        <v>40</v>
      </c>
      <c r="D1928" s="8">
        <v>43.0</v>
      </c>
      <c r="E1928" s="8" t="s">
        <v>4392</v>
      </c>
      <c r="F1928" s="8" t="s">
        <v>1479</v>
      </c>
      <c r="G1928" s="8" t="s">
        <v>2556</v>
      </c>
      <c r="H1928" s="8">
        <v>0.0</v>
      </c>
      <c r="I1928" s="8" t="s">
        <v>106</v>
      </c>
      <c r="J1928" s="8" t="s">
        <v>22</v>
      </c>
      <c r="K1928" s="8" t="s">
        <v>1023</v>
      </c>
      <c r="L1928" s="8" t="s">
        <v>24</v>
      </c>
      <c r="M1928" s="9">
        <v>0.5</v>
      </c>
      <c r="N1928" s="9">
        <v>0.3</v>
      </c>
      <c r="O1928" s="9">
        <v>0.285</v>
      </c>
      <c r="P1928" s="10">
        <v>45326.0</v>
      </c>
      <c r="Q1928" s="11">
        <v>1.5</v>
      </c>
      <c r="R1928" s="8" t="s">
        <v>33</v>
      </c>
      <c r="S1928" s="12">
        <f t="shared" si="1"/>
        <v>0.1425</v>
      </c>
      <c r="T1928" s="12">
        <f t="shared" si="8"/>
        <v>69.24524509</v>
      </c>
      <c r="U1928" s="145"/>
    </row>
    <row r="1929">
      <c r="A1929" s="29"/>
      <c r="B1929" s="15" t="s">
        <v>137</v>
      </c>
      <c r="C1929" s="15" t="s">
        <v>19</v>
      </c>
      <c r="D1929" s="15">
        <v>24.0</v>
      </c>
      <c r="E1929" s="15" t="s">
        <v>4393</v>
      </c>
      <c r="F1929" s="15" t="s">
        <v>1479</v>
      </c>
      <c r="G1929" s="15" t="s">
        <v>2660</v>
      </c>
      <c r="H1929" s="15">
        <v>0.0</v>
      </c>
      <c r="I1929" s="15" t="s">
        <v>93</v>
      </c>
      <c r="J1929" s="15" t="s">
        <v>22</v>
      </c>
      <c r="K1929" s="15" t="s">
        <v>892</v>
      </c>
      <c r="L1929" s="15" t="s">
        <v>24</v>
      </c>
      <c r="M1929" s="16">
        <v>0.0</v>
      </c>
      <c r="N1929" s="16">
        <v>1.0</v>
      </c>
      <c r="O1929" s="16">
        <v>1.0</v>
      </c>
      <c r="P1929" s="17">
        <v>45326.0</v>
      </c>
      <c r="Q1929" s="18">
        <v>1.6908</v>
      </c>
      <c r="R1929" s="15" t="s">
        <v>33</v>
      </c>
      <c r="S1929" s="19">
        <f t="shared" si="1"/>
        <v>0.6908</v>
      </c>
      <c r="T1929" s="19">
        <f t="shared" si="8"/>
        <v>69.93604509</v>
      </c>
      <c r="U1929" s="144"/>
    </row>
    <row r="1930">
      <c r="A1930" s="107"/>
      <c r="B1930" s="8" t="s">
        <v>4225</v>
      </c>
      <c r="C1930" s="8" t="s">
        <v>19</v>
      </c>
      <c r="D1930" s="8">
        <v>58.0</v>
      </c>
      <c r="E1930" s="8" t="s">
        <v>4394</v>
      </c>
      <c r="F1930" s="8" t="s">
        <v>1479</v>
      </c>
      <c r="G1930" s="8" t="s">
        <v>2660</v>
      </c>
      <c r="H1930" s="8">
        <v>0.0</v>
      </c>
      <c r="I1930" s="8" t="s">
        <v>68</v>
      </c>
      <c r="J1930" s="8" t="s">
        <v>22</v>
      </c>
      <c r="K1930" s="8" t="s">
        <v>892</v>
      </c>
      <c r="L1930" s="8" t="s">
        <v>24</v>
      </c>
      <c r="M1930" s="9">
        <v>0.0</v>
      </c>
      <c r="N1930" s="9">
        <v>0.75</v>
      </c>
      <c r="O1930" s="9">
        <v>0.75</v>
      </c>
      <c r="P1930" s="10">
        <v>45326.0</v>
      </c>
      <c r="Q1930" s="11">
        <v>1.975</v>
      </c>
      <c r="R1930" s="8" t="s">
        <v>70</v>
      </c>
      <c r="S1930" s="12">
        <f t="shared" si="1"/>
        <v>0</v>
      </c>
      <c r="T1930" s="12">
        <f t="shared" si="8"/>
        <v>69.93604509</v>
      </c>
      <c r="U1930" s="145"/>
    </row>
    <row r="1931">
      <c r="A1931" s="29"/>
      <c r="B1931" s="15" t="s">
        <v>4225</v>
      </c>
      <c r="C1931" s="15" t="s">
        <v>40</v>
      </c>
      <c r="D1931" s="15">
        <v>27.0</v>
      </c>
      <c r="E1931" s="15" t="s">
        <v>4395</v>
      </c>
      <c r="F1931" s="15" t="s">
        <v>1479</v>
      </c>
      <c r="G1931" s="15" t="s">
        <v>2556</v>
      </c>
      <c r="H1931" s="15">
        <f>1</f>
        <v>1</v>
      </c>
      <c r="I1931" s="15" t="s">
        <v>187</v>
      </c>
      <c r="J1931" s="15" t="s">
        <v>22</v>
      </c>
      <c r="K1931" s="15" t="s">
        <v>225</v>
      </c>
      <c r="L1931" s="15" t="s">
        <v>24</v>
      </c>
      <c r="M1931" s="16">
        <v>0.75</v>
      </c>
      <c r="N1931" s="16">
        <v>0.6</v>
      </c>
      <c r="O1931" s="16">
        <v>0.565</v>
      </c>
      <c r="P1931" s="17">
        <v>45328.0</v>
      </c>
      <c r="Q1931" s="18">
        <v>1.275</v>
      </c>
      <c r="R1931" s="15" t="s">
        <v>33</v>
      </c>
      <c r="S1931" s="19">
        <f t="shared" si="1"/>
        <v>0.155375</v>
      </c>
      <c r="T1931" s="19">
        <f t="shared" si="8"/>
        <v>70.09142009</v>
      </c>
      <c r="U1931" s="144"/>
    </row>
    <row r="1932">
      <c r="A1932" s="107"/>
      <c r="B1932" s="8" t="s">
        <v>129</v>
      </c>
      <c r="C1932" s="8" t="s">
        <v>40</v>
      </c>
      <c r="D1932" s="8">
        <v>37.0</v>
      </c>
      <c r="E1932" s="8" t="s">
        <v>4396</v>
      </c>
      <c r="F1932" s="8" t="s">
        <v>1473</v>
      </c>
      <c r="G1932" s="8" t="s">
        <v>2556</v>
      </c>
      <c r="H1932" s="8">
        <v>0.0</v>
      </c>
      <c r="I1932" s="8" t="s">
        <v>187</v>
      </c>
      <c r="J1932" s="8" t="s">
        <v>22</v>
      </c>
      <c r="K1932" s="8" t="s">
        <v>225</v>
      </c>
      <c r="L1932" s="8" t="s">
        <v>24</v>
      </c>
      <c r="M1932" s="9">
        <v>0.25</v>
      </c>
      <c r="N1932" s="9">
        <v>0.4</v>
      </c>
      <c r="O1932" s="9">
        <v>0.4</v>
      </c>
      <c r="P1932" s="10">
        <v>45328.0</v>
      </c>
      <c r="Q1932" s="11">
        <v>1.775</v>
      </c>
      <c r="R1932" s="8" t="s">
        <v>33</v>
      </c>
      <c r="S1932" s="12">
        <f t="shared" si="1"/>
        <v>0.31</v>
      </c>
      <c r="T1932" s="12">
        <f t="shared" si="8"/>
        <v>70.40142009</v>
      </c>
      <c r="U1932" s="145"/>
    </row>
    <row r="1933">
      <c r="A1933" s="29"/>
      <c r="B1933" s="15" t="s">
        <v>26</v>
      </c>
      <c r="C1933" s="15" t="s">
        <v>19</v>
      </c>
      <c r="D1933" s="15">
        <v>73.0</v>
      </c>
      <c r="E1933" s="15" t="s">
        <v>4397</v>
      </c>
      <c r="F1933" s="15" t="s">
        <v>1479</v>
      </c>
      <c r="G1933" s="15" t="s">
        <v>2556</v>
      </c>
      <c r="H1933" s="15">
        <v>0.0</v>
      </c>
      <c r="I1933" s="15" t="s">
        <v>167</v>
      </c>
      <c r="J1933" s="15" t="s">
        <v>22</v>
      </c>
      <c r="K1933" s="15" t="s">
        <v>225</v>
      </c>
      <c r="L1933" s="15" t="s">
        <v>24</v>
      </c>
      <c r="M1933" s="16">
        <v>0.25</v>
      </c>
      <c r="N1933" s="16">
        <v>0.25</v>
      </c>
      <c r="O1933" s="16">
        <v>0.25</v>
      </c>
      <c r="P1933" s="17">
        <v>45328.0</v>
      </c>
      <c r="Q1933" s="18">
        <v>2.075</v>
      </c>
      <c r="R1933" s="15" t="s">
        <v>30</v>
      </c>
      <c r="S1933" s="19">
        <f t="shared" si="1"/>
        <v>0.134375</v>
      </c>
      <c r="T1933" s="19">
        <f t="shared" si="8"/>
        <v>70.53579509</v>
      </c>
      <c r="U1933" s="144"/>
    </row>
    <row r="1934">
      <c r="A1934" s="107"/>
      <c r="B1934" s="8" t="s">
        <v>129</v>
      </c>
      <c r="C1934" s="8" t="s">
        <v>40</v>
      </c>
      <c r="D1934" s="8">
        <v>51.0</v>
      </c>
      <c r="E1934" s="8" t="s">
        <v>4398</v>
      </c>
      <c r="F1934" s="8" t="s">
        <v>1473</v>
      </c>
      <c r="G1934" s="8" t="s">
        <v>2660</v>
      </c>
      <c r="H1934" s="8">
        <v>0.0</v>
      </c>
      <c r="I1934" s="8" t="s">
        <v>187</v>
      </c>
      <c r="J1934" s="8" t="s">
        <v>22</v>
      </c>
      <c r="K1934" s="8" t="s">
        <v>892</v>
      </c>
      <c r="L1934" s="8" t="s">
        <v>24</v>
      </c>
      <c r="M1934" s="9">
        <v>0.0</v>
      </c>
      <c r="N1934" s="9">
        <v>0.25</v>
      </c>
      <c r="O1934" s="9">
        <v>0.25</v>
      </c>
      <c r="P1934" s="10">
        <v>45328.0</v>
      </c>
      <c r="Q1934" s="11">
        <v>1.7</v>
      </c>
      <c r="R1934" s="8" t="s">
        <v>33</v>
      </c>
      <c r="S1934" s="12">
        <f t="shared" si="1"/>
        <v>0.175</v>
      </c>
      <c r="T1934" s="12">
        <f t="shared" si="8"/>
        <v>70.71079509</v>
      </c>
      <c r="U1934" s="145"/>
    </row>
    <row r="1935">
      <c r="A1935" s="29"/>
      <c r="B1935" s="15" t="s">
        <v>26</v>
      </c>
      <c r="C1935" s="15" t="s">
        <v>19</v>
      </c>
      <c r="D1935" s="15">
        <v>11.0</v>
      </c>
      <c r="E1935" s="15" t="s">
        <v>4399</v>
      </c>
      <c r="F1935" s="15" t="s">
        <v>1479</v>
      </c>
      <c r="G1935" s="15" t="s">
        <v>2556</v>
      </c>
      <c r="H1935" s="15">
        <f>1</f>
        <v>1</v>
      </c>
      <c r="I1935" s="15" t="s">
        <v>28</v>
      </c>
      <c r="J1935" s="15" t="s">
        <v>22</v>
      </c>
      <c r="K1935" s="15" t="s">
        <v>2725</v>
      </c>
      <c r="L1935" s="15" t="s">
        <v>4400</v>
      </c>
      <c r="M1935" s="16">
        <v>0.5</v>
      </c>
      <c r="N1935" s="16">
        <v>0.4</v>
      </c>
      <c r="O1935" s="16">
        <v>0.4</v>
      </c>
      <c r="P1935" s="17">
        <v>45328.0</v>
      </c>
      <c r="Q1935" s="18">
        <v>1.725</v>
      </c>
      <c r="R1935" s="15" t="s">
        <v>25</v>
      </c>
      <c r="S1935" s="19">
        <f t="shared" si="1"/>
        <v>-0.4</v>
      </c>
      <c r="T1935" s="19">
        <f t="shared" si="8"/>
        <v>70.31079509</v>
      </c>
      <c r="U1935" s="144"/>
    </row>
    <row r="1936">
      <c r="A1936" s="107"/>
      <c r="B1936" s="8" t="s">
        <v>129</v>
      </c>
      <c r="C1936" s="8" t="s">
        <v>19</v>
      </c>
      <c r="D1936" s="8">
        <v>59.0</v>
      </c>
      <c r="E1936" s="8" t="s">
        <v>4401</v>
      </c>
      <c r="F1936" s="8" t="s">
        <v>1479</v>
      </c>
      <c r="G1936" s="8" t="s">
        <v>2660</v>
      </c>
      <c r="H1936" s="8">
        <v>0.0</v>
      </c>
      <c r="I1936" s="8" t="s">
        <v>167</v>
      </c>
      <c r="J1936" s="8" t="s">
        <v>22</v>
      </c>
      <c r="K1936" s="8" t="s">
        <v>892</v>
      </c>
      <c r="L1936" s="8" t="s">
        <v>24</v>
      </c>
      <c r="M1936" s="9">
        <v>0.0</v>
      </c>
      <c r="N1936" s="9">
        <v>1.0</v>
      </c>
      <c r="O1936" s="9">
        <v>1.0</v>
      </c>
      <c r="P1936" s="10">
        <v>45328.0</v>
      </c>
      <c r="Q1936" s="11">
        <v>1.75</v>
      </c>
      <c r="R1936" s="8" t="s">
        <v>33</v>
      </c>
      <c r="S1936" s="12">
        <f t="shared" si="1"/>
        <v>0.75</v>
      </c>
      <c r="T1936" s="12">
        <f t="shared" si="8"/>
        <v>71.06079509</v>
      </c>
      <c r="U1936" s="145"/>
    </row>
    <row r="1937">
      <c r="A1937" s="29"/>
      <c r="B1937" s="15" t="s">
        <v>129</v>
      </c>
      <c r="C1937" s="15" t="s">
        <v>40</v>
      </c>
      <c r="D1937" s="15">
        <v>15.0</v>
      </c>
      <c r="E1937" s="15" t="s">
        <v>4402</v>
      </c>
      <c r="F1937" s="15" t="s">
        <v>1473</v>
      </c>
      <c r="G1937" s="15" t="s">
        <v>2556</v>
      </c>
      <c r="H1937" s="15">
        <f>1</f>
        <v>1</v>
      </c>
      <c r="I1937" s="15" t="s">
        <v>28</v>
      </c>
      <c r="J1937" s="15" t="s">
        <v>22</v>
      </c>
      <c r="K1937" s="15" t="s">
        <v>225</v>
      </c>
      <c r="L1937" s="15" t="s">
        <v>24</v>
      </c>
      <c r="M1937" s="16">
        <v>0.25</v>
      </c>
      <c r="N1937" s="16">
        <v>0.75</v>
      </c>
      <c r="O1937" s="16">
        <v>0.75</v>
      </c>
      <c r="P1937" s="17">
        <v>45329.0</v>
      </c>
      <c r="Q1937" s="18">
        <v>2.0</v>
      </c>
      <c r="R1937" s="15" t="s">
        <v>25</v>
      </c>
      <c r="S1937" s="19">
        <f t="shared" si="1"/>
        <v>-0.75</v>
      </c>
      <c r="T1937" s="19">
        <f t="shared" si="8"/>
        <v>70.31079509</v>
      </c>
      <c r="U1937" s="144"/>
    </row>
    <row r="1938">
      <c r="A1938" s="107"/>
      <c r="B1938" s="8" t="s">
        <v>4225</v>
      </c>
      <c r="C1938" s="8" t="s">
        <v>19</v>
      </c>
      <c r="D1938" s="8">
        <v>31.0</v>
      </c>
      <c r="E1938" s="8" t="s">
        <v>4403</v>
      </c>
      <c r="F1938" s="8" t="s">
        <v>1479</v>
      </c>
      <c r="G1938" s="8" t="s">
        <v>2660</v>
      </c>
      <c r="H1938" s="8">
        <v>-1.0</v>
      </c>
      <c r="I1938" s="8" t="s">
        <v>96</v>
      </c>
      <c r="J1938" s="8" t="s">
        <v>22</v>
      </c>
      <c r="K1938" s="8" t="s">
        <v>1150</v>
      </c>
      <c r="L1938" s="8" t="s">
        <v>24</v>
      </c>
      <c r="M1938" s="9">
        <v>0.0</v>
      </c>
      <c r="N1938" s="9">
        <v>0.75</v>
      </c>
      <c r="O1938" s="9">
        <v>0.75</v>
      </c>
      <c r="P1938" s="54">
        <v>45329.0</v>
      </c>
      <c r="Q1938" s="11">
        <v>1.7</v>
      </c>
      <c r="R1938" s="8" t="s">
        <v>33</v>
      </c>
      <c r="S1938" s="12">
        <f t="shared" si="1"/>
        <v>0.525</v>
      </c>
      <c r="T1938" s="12">
        <f t="shared" si="8"/>
        <v>70.83579509</v>
      </c>
      <c r="U1938" s="145"/>
    </row>
    <row r="1939">
      <c r="A1939" s="29"/>
      <c r="B1939" s="15" t="s">
        <v>129</v>
      </c>
      <c r="C1939" s="15" t="s">
        <v>19</v>
      </c>
      <c r="D1939" s="15">
        <v>75.0</v>
      </c>
      <c r="E1939" s="15" t="s">
        <v>4404</v>
      </c>
      <c r="F1939" s="15" t="s">
        <v>1473</v>
      </c>
      <c r="G1939" s="15" t="s">
        <v>2660</v>
      </c>
      <c r="H1939" s="15">
        <v>0.0</v>
      </c>
      <c r="I1939" s="15" t="s">
        <v>96</v>
      </c>
      <c r="J1939" s="15" t="s">
        <v>22</v>
      </c>
      <c r="K1939" s="15" t="s">
        <v>892</v>
      </c>
      <c r="L1939" s="15" t="s">
        <v>24</v>
      </c>
      <c r="M1939" s="16">
        <v>0.0</v>
      </c>
      <c r="N1939" s="16">
        <v>0.6</v>
      </c>
      <c r="O1939" s="16">
        <v>0.6</v>
      </c>
      <c r="P1939" s="17">
        <v>45329.0</v>
      </c>
      <c r="Q1939" s="18">
        <v>2.2</v>
      </c>
      <c r="R1939" s="15" t="s">
        <v>33</v>
      </c>
      <c r="S1939" s="19">
        <f t="shared" si="1"/>
        <v>0.72</v>
      </c>
      <c r="T1939" s="19">
        <f t="shared" si="8"/>
        <v>71.55579509</v>
      </c>
      <c r="U1939" s="144"/>
    </row>
    <row r="1940">
      <c r="A1940" s="107"/>
      <c r="B1940" s="8" t="s">
        <v>129</v>
      </c>
      <c r="C1940" s="8" t="s">
        <v>19</v>
      </c>
      <c r="D1940" s="8">
        <v>81.0</v>
      </c>
      <c r="E1940" s="8" t="s">
        <v>4405</v>
      </c>
      <c r="F1940" s="8" t="s">
        <v>1479</v>
      </c>
      <c r="G1940" s="8" t="s">
        <v>2660</v>
      </c>
      <c r="H1940" s="8">
        <v>0.0</v>
      </c>
      <c r="I1940" s="8" t="s">
        <v>167</v>
      </c>
      <c r="J1940" s="8" t="s">
        <v>22</v>
      </c>
      <c r="K1940" s="8" t="s">
        <v>892</v>
      </c>
      <c r="L1940" s="8" t="s">
        <v>39</v>
      </c>
      <c r="M1940" s="9">
        <v>0.0</v>
      </c>
      <c r="N1940" s="9">
        <v>0.5</v>
      </c>
      <c r="O1940" s="9">
        <v>0.5</v>
      </c>
      <c r="P1940" s="54">
        <v>45329.0</v>
      </c>
      <c r="Q1940" s="11">
        <v>1.725</v>
      </c>
      <c r="R1940" s="8" t="s">
        <v>70</v>
      </c>
      <c r="S1940" s="12">
        <f t="shared" si="1"/>
        <v>0</v>
      </c>
      <c r="T1940" s="12">
        <f t="shared" si="8"/>
        <v>71.55579509</v>
      </c>
      <c r="U1940" s="145"/>
    </row>
    <row r="1941">
      <c r="A1941" s="29"/>
      <c r="B1941" s="15" t="s">
        <v>4225</v>
      </c>
      <c r="C1941" s="15" t="s">
        <v>19</v>
      </c>
      <c r="D1941" s="15">
        <v>0.0</v>
      </c>
      <c r="E1941" s="15" t="s">
        <v>4406</v>
      </c>
      <c r="F1941" s="15" t="s">
        <v>1473</v>
      </c>
      <c r="G1941" s="15" t="s">
        <v>2556</v>
      </c>
      <c r="H1941" s="15">
        <v>0.0</v>
      </c>
      <c r="I1941" s="15" t="s">
        <v>513</v>
      </c>
      <c r="J1941" s="15" t="s">
        <v>598</v>
      </c>
      <c r="K1941" s="15" t="s">
        <v>225</v>
      </c>
      <c r="L1941" s="15" t="s">
        <v>1851</v>
      </c>
      <c r="M1941" s="16">
        <v>0.25</v>
      </c>
      <c r="N1941" s="16">
        <v>0.1</v>
      </c>
      <c r="O1941" s="16">
        <v>0.1</v>
      </c>
      <c r="P1941" s="17">
        <v>45330.0</v>
      </c>
      <c r="Q1941" s="18">
        <v>1.9</v>
      </c>
      <c r="R1941" s="15" t="s">
        <v>25</v>
      </c>
      <c r="S1941" s="19">
        <f t="shared" si="1"/>
        <v>-0.1</v>
      </c>
      <c r="T1941" s="19">
        <f t="shared" si="8"/>
        <v>71.45579509</v>
      </c>
      <c r="U1941" s="144"/>
    </row>
    <row r="1942">
      <c r="A1942" s="107"/>
      <c r="B1942" s="8" t="s">
        <v>26</v>
      </c>
      <c r="C1942" s="8" t="s">
        <v>19</v>
      </c>
      <c r="D1942" s="8">
        <v>38.0</v>
      </c>
      <c r="E1942" s="8" t="s">
        <v>4407</v>
      </c>
      <c r="F1942" s="8" t="s">
        <v>1479</v>
      </c>
      <c r="G1942" s="8" t="s">
        <v>2660</v>
      </c>
      <c r="H1942" s="8">
        <v>0.0</v>
      </c>
      <c r="I1942" s="8" t="s">
        <v>96</v>
      </c>
      <c r="J1942" s="8" t="s">
        <v>22</v>
      </c>
      <c r="K1942" s="8" t="s">
        <v>892</v>
      </c>
      <c r="L1942" s="8" t="s">
        <v>24</v>
      </c>
      <c r="M1942" s="9">
        <v>0.0</v>
      </c>
      <c r="N1942" s="9">
        <v>0.75</v>
      </c>
      <c r="O1942" s="9">
        <v>0.75</v>
      </c>
      <c r="P1942" s="10">
        <v>45330.0</v>
      </c>
      <c r="Q1942" s="11">
        <v>1.725</v>
      </c>
      <c r="R1942" s="8" t="s">
        <v>25</v>
      </c>
      <c r="S1942" s="12">
        <f t="shared" si="1"/>
        <v>-0.75</v>
      </c>
      <c r="T1942" s="12">
        <f t="shared" si="8"/>
        <v>70.70579509</v>
      </c>
      <c r="U1942" s="145"/>
    </row>
    <row r="1943">
      <c r="A1943" s="29"/>
      <c r="B1943" s="15" t="s">
        <v>129</v>
      </c>
      <c r="C1943" s="15" t="s">
        <v>19</v>
      </c>
      <c r="D1943" s="15">
        <v>26.0</v>
      </c>
      <c r="E1943" s="15" t="s">
        <v>4408</v>
      </c>
      <c r="F1943" s="15" t="s">
        <v>1473</v>
      </c>
      <c r="G1943" s="15" t="s">
        <v>2556</v>
      </c>
      <c r="H1943" s="15">
        <v>-1.0</v>
      </c>
      <c r="I1943" s="15" t="s">
        <v>157</v>
      </c>
      <c r="J1943" s="15" t="s">
        <v>22</v>
      </c>
      <c r="K1943" s="15" t="s">
        <v>225</v>
      </c>
      <c r="L1943" s="15" t="s">
        <v>24</v>
      </c>
      <c r="M1943" s="16">
        <v>0.5</v>
      </c>
      <c r="N1943" s="16">
        <v>0.5</v>
      </c>
      <c r="O1943" s="16">
        <v>0.5</v>
      </c>
      <c r="P1943" s="17">
        <v>45330.0</v>
      </c>
      <c r="Q1943" s="18">
        <v>1.725</v>
      </c>
      <c r="R1943" s="15" t="s">
        <v>25</v>
      </c>
      <c r="S1943" s="19">
        <f t="shared" si="1"/>
        <v>-0.5</v>
      </c>
      <c r="T1943" s="19">
        <f t="shared" si="8"/>
        <v>70.20579509</v>
      </c>
      <c r="U1943" s="144"/>
    </row>
    <row r="1944">
      <c r="A1944" s="107"/>
      <c r="B1944" s="8" t="s">
        <v>4225</v>
      </c>
      <c r="C1944" s="8" t="s">
        <v>19</v>
      </c>
      <c r="D1944" s="8">
        <v>47.0</v>
      </c>
      <c r="E1944" s="8" t="s">
        <v>4409</v>
      </c>
      <c r="F1944" s="8" t="s">
        <v>1473</v>
      </c>
      <c r="G1944" s="8" t="s">
        <v>2556</v>
      </c>
      <c r="H1944" s="8">
        <v>-1.0</v>
      </c>
      <c r="I1944" s="8" t="s">
        <v>96</v>
      </c>
      <c r="J1944" s="8" t="s">
        <v>22</v>
      </c>
      <c r="K1944" s="8" t="s">
        <v>225</v>
      </c>
      <c r="L1944" s="8" t="s">
        <v>24</v>
      </c>
      <c r="M1944" s="9">
        <v>0.5</v>
      </c>
      <c r="N1944" s="9">
        <v>0.75</v>
      </c>
      <c r="O1944" s="9">
        <v>0.47</v>
      </c>
      <c r="P1944" s="10">
        <v>45330.0</v>
      </c>
      <c r="Q1944" s="11">
        <v>1.75</v>
      </c>
      <c r="R1944" s="8" t="s">
        <v>25</v>
      </c>
      <c r="S1944" s="12">
        <f t="shared" si="1"/>
        <v>-0.47</v>
      </c>
      <c r="T1944" s="12">
        <f t="shared" si="8"/>
        <v>69.73579509</v>
      </c>
      <c r="U1944" s="145"/>
    </row>
    <row r="1945">
      <c r="A1945" s="29"/>
      <c r="B1945" s="15" t="s">
        <v>129</v>
      </c>
      <c r="C1945" s="15" t="s">
        <v>40</v>
      </c>
      <c r="D1945" s="15">
        <v>63.0</v>
      </c>
      <c r="E1945" s="15" t="s">
        <v>4410</v>
      </c>
      <c r="F1945" s="15" t="s">
        <v>1473</v>
      </c>
      <c r="G1945" s="15" t="s">
        <v>2556</v>
      </c>
      <c r="H1945" s="15">
        <v>0.0</v>
      </c>
      <c r="I1945" s="15" t="s">
        <v>162</v>
      </c>
      <c r="J1945" s="15" t="s">
        <v>22</v>
      </c>
      <c r="K1945" s="15" t="s">
        <v>225</v>
      </c>
      <c r="L1945" s="15" t="s">
        <v>24</v>
      </c>
      <c r="M1945" s="16">
        <v>0.5</v>
      </c>
      <c r="N1945" s="16">
        <v>0.75</v>
      </c>
      <c r="O1945" s="16">
        <v>0.75</v>
      </c>
      <c r="P1945" s="17">
        <v>45330.0</v>
      </c>
      <c r="Q1945" s="18">
        <v>1.043</v>
      </c>
      <c r="R1945" s="15" t="s">
        <v>33</v>
      </c>
      <c r="S1945" s="19">
        <f t="shared" si="1"/>
        <v>0.03225</v>
      </c>
      <c r="T1945" s="19">
        <f t="shared" si="8"/>
        <v>69.76804509</v>
      </c>
      <c r="U1945" s="144"/>
    </row>
    <row r="1946">
      <c r="A1946" s="107"/>
      <c r="B1946" s="8" t="s">
        <v>129</v>
      </c>
      <c r="C1946" s="8" t="s">
        <v>19</v>
      </c>
      <c r="D1946" s="8">
        <v>55.0</v>
      </c>
      <c r="E1946" s="8" t="s">
        <v>4411</v>
      </c>
      <c r="F1946" s="8" t="s">
        <v>1473</v>
      </c>
      <c r="G1946" s="8" t="s">
        <v>2660</v>
      </c>
      <c r="H1946" s="8">
        <v>-1.0</v>
      </c>
      <c r="I1946" s="8" t="s">
        <v>157</v>
      </c>
      <c r="J1946" s="8" t="s">
        <v>22</v>
      </c>
      <c r="K1946" s="8" t="s">
        <v>892</v>
      </c>
      <c r="L1946" s="8" t="s">
        <v>24</v>
      </c>
      <c r="M1946" s="9">
        <v>0.0</v>
      </c>
      <c r="N1946" s="9">
        <v>0.25</v>
      </c>
      <c r="O1946" s="9">
        <v>0.25</v>
      </c>
      <c r="P1946" s="10">
        <v>45330.0</v>
      </c>
      <c r="Q1946" s="11">
        <v>2.1</v>
      </c>
      <c r="R1946" s="8" t="s">
        <v>25</v>
      </c>
      <c r="S1946" s="12">
        <f t="shared" si="1"/>
        <v>-0.25</v>
      </c>
      <c r="T1946" s="12">
        <f t="shared" si="8"/>
        <v>69.51804509</v>
      </c>
      <c r="U1946" s="145"/>
    </row>
    <row r="1947">
      <c r="A1947" s="29"/>
      <c r="B1947" s="15" t="s">
        <v>26</v>
      </c>
      <c r="C1947" s="15" t="s">
        <v>40</v>
      </c>
      <c r="D1947" s="15">
        <v>64.0</v>
      </c>
      <c r="E1947" s="15" t="s">
        <v>4412</v>
      </c>
      <c r="F1947" s="15" t="s">
        <v>1473</v>
      </c>
      <c r="G1947" s="15" t="s">
        <v>2660</v>
      </c>
      <c r="H1947" s="15">
        <v>0.0</v>
      </c>
      <c r="I1947" s="15" t="s">
        <v>93</v>
      </c>
      <c r="J1947" s="15" t="s">
        <v>22</v>
      </c>
      <c r="K1947" s="15" t="s">
        <v>892</v>
      </c>
      <c r="L1947" s="15" t="s">
        <v>39</v>
      </c>
      <c r="M1947" s="16">
        <v>0.0</v>
      </c>
      <c r="N1947" s="16">
        <v>0.5</v>
      </c>
      <c r="O1947" s="16">
        <v>0.5</v>
      </c>
      <c r="P1947" s="17">
        <v>45330.0</v>
      </c>
      <c r="Q1947" s="18">
        <v>2.13</v>
      </c>
      <c r="R1947" s="15" t="s">
        <v>33</v>
      </c>
      <c r="S1947" s="19">
        <f t="shared" si="1"/>
        <v>0.565</v>
      </c>
      <c r="T1947" s="19">
        <f t="shared" si="8"/>
        <v>70.08304509</v>
      </c>
      <c r="U1947" s="144"/>
    </row>
    <row r="1948">
      <c r="A1948" s="107"/>
      <c r="B1948" s="8" t="s">
        <v>129</v>
      </c>
      <c r="C1948" s="8" t="s">
        <v>19</v>
      </c>
      <c r="D1948" s="8">
        <v>86.0</v>
      </c>
      <c r="E1948" s="8" t="s">
        <v>4413</v>
      </c>
      <c r="F1948" s="8" t="s">
        <v>1479</v>
      </c>
      <c r="G1948" s="8" t="s">
        <v>2660</v>
      </c>
      <c r="H1948" s="8">
        <v>-1.0</v>
      </c>
      <c r="I1948" s="8" t="s">
        <v>82</v>
      </c>
      <c r="J1948" s="8" t="s">
        <v>22</v>
      </c>
      <c r="K1948" s="8" t="s">
        <v>892</v>
      </c>
      <c r="L1948" s="8" t="s">
        <v>39</v>
      </c>
      <c r="M1948" s="9">
        <v>0.0</v>
      </c>
      <c r="N1948" s="9">
        <v>0.3</v>
      </c>
      <c r="O1948" s="9">
        <v>0.3</v>
      </c>
      <c r="P1948" s="10">
        <v>45330.0</v>
      </c>
      <c r="Q1948" s="11">
        <v>2.1</v>
      </c>
      <c r="R1948" s="8" t="s">
        <v>70</v>
      </c>
      <c r="S1948" s="12">
        <f t="shared" si="1"/>
        <v>0</v>
      </c>
      <c r="T1948" s="12">
        <f t="shared" si="8"/>
        <v>70.08304509</v>
      </c>
      <c r="U1948" s="145"/>
    </row>
    <row r="1949">
      <c r="A1949" s="29"/>
      <c r="B1949" s="15" t="s">
        <v>137</v>
      </c>
      <c r="C1949" s="15" t="s">
        <v>19</v>
      </c>
      <c r="D1949" s="15">
        <v>73.0</v>
      </c>
      <c r="E1949" s="15" t="s">
        <v>4414</v>
      </c>
      <c r="F1949" s="15" t="s">
        <v>1473</v>
      </c>
      <c r="G1949" s="15" t="s">
        <v>2556</v>
      </c>
      <c r="H1949" s="15">
        <v>0.0</v>
      </c>
      <c r="I1949" s="15" t="s">
        <v>923</v>
      </c>
      <c r="J1949" s="15" t="s">
        <v>22</v>
      </c>
      <c r="K1949" s="15" t="s">
        <v>4352</v>
      </c>
      <c r="L1949" s="15" t="s">
        <v>24</v>
      </c>
      <c r="M1949" s="16">
        <v>0.0</v>
      </c>
      <c r="N1949" s="16">
        <v>0.25</v>
      </c>
      <c r="O1949" s="16">
        <v>0.2232</v>
      </c>
      <c r="P1949" s="17">
        <v>45331.0</v>
      </c>
      <c r="Q1949" s="18">
        <v>3.0</v>
      </c>
      <c r="R1949" s="15" t="s">
        <v>70</v>
      </c>
      <c r="S1949" s="19">
        <f t="shared" si="1"/>
        <v>0</v>
      </c>
      <c r="T1949" s="19">
        <f t="shared" si="8"/>
        <v>70.08304509</v>
      </c>
      <c r="U1949" s="144"/>
    </row>
    <row r="1950">
      <c r="A1950" s="107"/>
      <c r="B1950" s="8" t="s">
        <v>18</v>
      </c>
      <c r="C1950" s="8" t="s">
        <v>19</v>
      </c>
      <c r="D1950" s="8">
        <v>27.0</v>
      </c>
      <c r="E1950" s="8" t="s">
        <v>4415</v>
      </c>
      <c r="F1950" s="8" t="s">
        <v>1473</v>
      </c>
      <c r="G1950" s="8" t="s">
        <v>2556</v>
      </c>
      <c r="H1950" s="8">
        <v>0.0</v>
      </c>
      <c r="I1950" s="8" t="s">
        <v>1031</v>
      </c>
      <c r="J1950" s="8" t="s">
        <v>22</v>
      </c>
      <c r="K1950" s="8" t="s">
        <v>225</v>
      </c>
      <c r="L1950" s="8" t="s">
        <v>24</v>
      </c>
      <c r="M1950" s="9">
        <v>0.25</v>
      </c>
      <c r="N1950" s="9">
        <v>1.0</v>
      </c>
      <c r="O1950" s="9">
        <v>0.982</v>
      </c>
      <c r="P1950" s="10">
        <v>45331.0</v>
      </c>
      <c r="Q1950" s="11">
        <v>1.775</v>
      </c>
      <c r="R1950" s="8" t="s">
        <v>30</v>
      </c>
      <c r="S1950" s="12">
        <f t="shared" si="1"/>
        <v>0.380525</v>
      </c>
      <c r="T1950" s="12">
        <f t="shared" si="8"/>
        <v>70.46357009</v>
      </c>
      <c r="U1950" s="145"/>
    </row>
    <row r="1951">
      <c r="A1951" s="29"/>
      <c r="B1951" s="15" t="s">
        <v>4225</v>
      </c>
      <c r="C1951" s="15" t="s">
        <v>19</v>
      </c>
      <c r="D1951" s="15">
        <v>31.0</v>
      </c>
      <c r="E1951" s="15" t="s">
        <v>4416</v>
      </c>
      <c r="F1951" s="15" t="s">
        <v>1479</v>
      </c>
      <c r="G1951" s="15" t="s">
        <v>2660</v>
      </c>
      <c r="H1951" s="15">
        <v>0.0</v>
      </c>
      <c r="I1951" s="15" t="s">
        <v>96</v>
      </c>
      <c r="J1951" s="15" t="s">
        <v>22</v>
      </c>
      <c r="K1951" s="15" t="s">
        <v>892</v>
      </c>
      <c r="L1951" s="15" t="s">
        <v>24</v>
      </c>
      <c r="M1951" s="16">
        <v>0.0</v>
      </c>
      <c r="N1951" s="16">
        <v>1.0</v>
      </c>
      <c r="O1951" s="16">
        <v>0.972</v>
      </c>
      <c r="P1951" s="17">
        <v>45331.0</v>
      </c>
      <c r="Q1951" s="18">
        <v>1.75</v>
      </c>
      <c r="R1951" s="15" t="s">
        <v>33</v>
      </c>
      <c r="S1951" s="19">
        <f t="shared" si="1"/>
        <v>0.729</v>
      </c>
      <c r="T1951" s="19">
        <f t="shared" si="8"/>
        <v>71.19257009</v>
      </c>
      <c r="U1951" s="144"/>
    </row>
    <row r="1952">
      <c r="A1952" s="107"/>
      <c r="B1952" s="8" t="s">
        <v>18</v>
      </c>
      <c r="C1952" s="8" t="s">
        <v>19</v>
      </c>
      <c r="D1952" s="8">
        <v>14.0</v>
      </c>
      <c r="E1952" s="8" t="s">
        <v>4417</v>
      </c>
      <c r="F1952" s="8" t="s">
        <v>1479</v>
      </c>
      <c r="G1952" s="8" t="s">
        <v>2556</v>
      </c>
      <c r="H1952" s="8">
        <v>0.0</v>
      </c>
      <c r="I1952" s="8" t="s">
        <v>28</v>
      </c>
      <c r="J1952" s="8" t="s">
        <v>22</v>
      </c>
      <c r="K1952" s="8" t="s">
        <v>225</v>
      </c>
      <c r="L1952" s="8" t="s">
        <v>24</v>
      </c>
      <c r="M1952" s="9">
        <v>0.5</v>
      </c>
      <c r="N1952" s="9">
        <v>0.25</v>
      </c>
      <c r="O1952" s="9">
        <v>0.25</v>
      </c>
      <c r="P1952" s="10">
        <v>45331.0</v>
      </c>
      <c r="Q1952" s="11">
        <f>127/125</f>
        <v>1.016</v>
      </c>
      <c r="R1952" s="8" t="s">
        <v>33</v>
      </c>
      <c r="S1952" s="12">
        <f t="shared" si="1"/>
        <v>0.004</v>
      </c>
      <c r="T1952" s="12">
        <f t="shared" si="8"/>
        <v>71.19657009</v>
      </c>
      <c r="U1952" s="145"/>
    </row>
    <row r="1953">
      <c r="A1953" s="29"/>
      <c r="B1953" s="15" t="s">
        <v>129</v>
      </c>
      <c r="C1953" s="15" t="s">
        <v>19</v>
      </c>
      <c r="D1953" s="15">
        <v>74.0</v>
      </c>
      <c r="E1953" s="15" t="s">
        <v>4418</v>
      </c>
      <c r="F1953" s="15" t="s">
        <v>1479</v>
      </c>
      <c r="G1953" s="15" t="s">
        <v>2660</v>
      </c>
      <c r="H1953" s="15">
        <v>-2.0</v>
      </c>
      <c r="I1953" s="15" t="s">
        <v>167</v>
      </c>
      <c r="J1953" s="15" t="s">
        <v>22</v>
      </c>
      <c r="K1953" s="15" t="s">
        <v>892</v>
      </c>
      <c r="L1953" s="15" t="s">
        <v>24</v>
      </c>
      <c r="M1953" s="16">
        <v>0.0</v>
      </c>
      <c r="N1953" s="16">
        <v>1.0</v>
      </c>
      <c r="O1953" s="16">
        <v>0.982</v>
      </c>
      <c r="P1953" s="17">
        <v>45331.0</v>
      </c>
      <c r="Q1953" s="18">
        <v>1.7</v>
      </c>
      <c r="R1953" s="15" t="s">
        <v>25</v>
      </c>
      <c r="S1953" s="19">
        <f t="shared" si="1"/>
        <v>-0.982</v>
      </c>
      <c r="T1953" s="19">
        <f t="shared" si="8"/>
        <v>70.21457009</v>
      </c>
      <c r="U1953" s="144"/>
    </row>
    <row r="1954">
      <c r="A1954" s="107"/>
      <c r="B1954" s="8" t="s">
        <v>26</v>
      </c>
      <c r="C1954" s="8" t="s">
        <v>19</v>
      </c>
      <c r="D1954" s="8">
        <v>70.0</v>
      </c>
      <c r="E1954" s="8" t="s">
        <v>4419</v>
      </c>
      <c r="F1954" s="8" t="s">
        <v>1479</v>
      </c>
      <c r="G1954" s="8" t="s">
        <v>2556</v>
      </c>
      <c r="H1954" s="8">
        <v>0.0</v>
      </c>
      <c r="I1954" s="8" t="s">
        <v>28</v>
      </c>
      <c r="J1954" s="8" t="s">
        <v>22</v>
      </c>
      <c r="K1954" s="8" t="s">
        <v>4352</v>
      </c>
      <c r="L1954" s="8" t="s">
        <v>24</v>
      </c>
      <c r="M1954" s="9">
        <v>0.0</v>
      </c>
      <c r="N1954" s="9">
        <v>0.5</v>
      </c>
      <c r="O1954" s="9">
        <v>0.5</v>
      </c>
      <c r="P1954" s="10">
        <v>45331.0</v>
      </c>
      <c r="Q1954" s="11">
        <v>2.5</v>
      </c>
      <c r="R1954" s="8" t="s">
        <v>70</v>
      </c>
      <c r="S1954" s="12">
        <f t="shared" si="1"/>
        <v>0</v>
      </c>
      <c r="T1954" s="12">
        <f t="shared" si="8"/>
        <v>70.21457009</v>
      </c>
      <c r="U1954" s="145"/>
    </row>
    <row r="1955">
      <c r="A1955" s="29"/>
      <c r="B1955" s="15" t="s">
        <v>129</v>
      </c>
      <c r="C1955" s="15" t="s">
        <v>19</v>
      </c>
      <c r="D1955" s="15">
        <v>35.0</v>
      </c>
      <c r="E1955" s="15" t="s">
        <v>4420</v>
      </c>
      <c r="F1955" s="15" t="s">
        <v>1473</v>
      </c>
      <c r="G1955" s="15" t="s">
        <v>2556</v>
      </c>
      <c r="H1955" s="15">
        <v>0.0</v>
      </c>
      <c r="I1955" s="15" t="s">
        <v>616</v>
      </c>
      <c r="J1955" s="15" t="s">
        <v>22</v>
      </c>
      <c r="K1955" s="15" t="s">
        <v>225</v>
      </c>
      <c r="L1955" s="15" t="s">
        <v>24</v>
      </c>
      <c r="M1955" s="16">
        <v>0.75</v>
      </c>
      <c r="N1955" s="16">
        <v>0.5</v>
      </c>
      <c r="O1955" s="16">
        <v>0.5</v>
      </c>
      <c r="P1955" s="17">
        <v>45331.0</v>
      </c>
      <c r="Q1955" s="18">
        <v>1.234</v>
      </c>
      <c r="R1955" s="15" t="s">
        <v>33</v>
      </c>
      <c r="S1955" s="19">
        <f t="shared" si="1"/>
        <v>0.117</v>
      </c>
      <c r="T1955" s="19">
        <f t="shared" si="8"/>
        <v>70.33157009</v>
      </c>
      <c r="U1955" s="144"/>
    </row>
    <row r="1956">
      <c r="A1956" s="107"/>
      <c r="B1956" s="8" t="s">
        <v>129</v>
      </c>
      <c r="C1956" s="8" t="s">
        <v>19</v>
      </c>
      <c r="D1956" s="8">
        <v>38.0</v>
      </c>
      <c r="E1956" s="8" t="s">
        <v>4421</v>
      </c>
      <c r="F1956" s="8" t="s">
        <v>1473</v>
      </c>
      <c r="G1956" s="8" t="s">
        <v>2556</v>
      </c>
      <c r="H1956" s="8">
        <v>0.0</v>
      </c>
      <c r="I1956" s="8" t="s">
        <v>616</v>
      </c>
      <c r="J1956" s="8" t="s">
        <v>22</v>
      </c>
      <c r="K1956" s="8" t="s">
        <v>4352</v>
      </c>
      <c r="L1956" s="8" t="s">
        <v>24</v>
      </c>
      <c r="M1956" s="9">
        <v>0.0</v>
      </c>
      <c r="N1956" s="9">
        <v>0.1</v>
      </c>
      <c r="O1956" s="9">
        <v>0.1</v>
      </c>
      <c r="P1956" s="10">
        <v>45331.0</v>
      </c>
      <c r="Q1956" s="11">
        <v>4.0</v>
      </c>
      <c r="R1956" s="8" t="s">
        <v>25</v>
      </c>
      <c r="S1956" s="12">
        <f t="shared" si="1"/>
        <v>-0.1</v>
      </c>
      <c r="T1956" s="12">
        <f t="shared" si="8"/>
        <v>70.23157009</v>
      </c>
      <c r="U1956" s="145"/>
    </row>
    <row r="1957">
      <c r="A1957" s="29"/>
      <c r="B1957" s="15" t="s">
        <v>26</v>
      </c>
      <c r="C1957" s="15" t="s">
        <v>19</v>
      </c>
      <c r="D1957" s="15">
        <v>12.0</v>
      </c>
      <c r="E1957" s="15" t="s">
        <v>4422</v>
      </c>
      <c r="F1957" s="15"/>
      <c r="G1957" s="15"/>
      <c r="H1957" s="15"/>
      <c r="I1957" s="15" t="s">
        <v>229</v>
      </c>
      <c r="J1957" s="15" t="s">
        <v>22</v>
      </c>
      <c r="K1957" s="15" t="s">
        <v>440</v>
      </c>
      <c r="L1957" s="15" t="s">
        <v>39</v>
      </c>
      <c r="M1957" s="16">
        <v>2.25</v>
      </c>
      <c r="N1957" s="16">
        <v>0.1</v>
      </c>
      <c r="O1957" s="16">
        <v>0.1</v>
      </c>
      <c r="P1957" s="17">
        <v>45331.0</v>
      </c>
      <c r="Q1957" s="18">
        <v>1.7</v>
      </c>
      <c r="R1957" s="15" t="s">
        <v>25</v>
      </c>
      <c r="S1957" s="19">
        <f t="shared" si="1"/>
        <v>-0.1</v>
      </c>
      <c r="T1957" s="19">
        <f t="shared" si="8"/>
        <v>70.13157009</v>
      </c>
      <c r="U1957" s="144"/>
    </row>
    <row r="1958">
      <c r="A1958" s="107"/>
      <c r="B1958" s="8" t="s">
        <v>26</v>
      </c>
      <c r="C1958" s="8" t="s">
        <v>19</v>
      </c>
      <c r="D1958" s="8">
        <v>29.0</v>
      </c>
      <c r="E1958" s="8" t="s">
        <v>4423</v>
      </c>
      <c r="F1958" s="8" t="s">
        <v>1479</v>
      </c>
      <c r="G1958" s="8" t="s">
        <v>2556</v>
      </c>
      <c r="H1958" s="8">
        <v>0.0</v>
      </c>
      <c r="I1958" s="8" t="s">
        <v>44</v>
      </c>
      <c r="J1958" s="8" t="s">
        <v>22</v>
      </c>
      <c r="K1958" s="8" t="s">
        <v>225</v>
      </c>
      <c r="L1958" s="8" t="s">
        <v>24</v>
      </c>
      <c r="M1958" s="9">
        <v>0.25</v>
      </c>
      <c r="N1958" s="9">
        <v>1.0</v>
      </c>
      <c r="O1958" s="9">
        <v>1.0</v>
      </c>
      <c r="P1958" s="10">
        <v>45331.0</v>
      </c>
      <c r="Q1958" s="11">
        <v>1.825</v>
      </c>
      <c r="R1958" s="8" t="s">
        <v>25</v>
      </c>
      <c r="S1958" s="12">
        <f t="shared" si="1"/>
        <v>-1</v>
      </c>
      <c r="T1958" s="12">
        <f t="shared" si="8"/>
        <v>69.13157009</v>
      </c>
      <c r="U1958" s="145"/>
    </row>
    <row r="1959">
      <c r="A1959" s="29"/>
      <c r="B1959" s="15" t="s">
        <v>26</v>
      </c>
      <c r="C1959" s="15" t="s">
        <v>19</v>
      </c>
      <c r="D1959" s="15">
        <v>14.0</v>
      </c>
      <c r="E1959" s="15" t="s">
        <v>4424</v>
      </c>
      <c r="F1959" s="15" t="s">
        <v>1473</v>
      </c>
      <c r="G1959" s="15" t="s">
        <v>2660</v>
      </c>
      <c r="H1959" s="15">
        <f t="shared" ref="H1959:H1960" si="56">1</f>
        <v>1</v>
      </c>
      <c r="I1959" s="15" t="s">
        <v>48</v>
      </c>
      <c r="J1959" s="15" t="s">
        <v>22</v>
      </c>
      <c r="K1959" s="15" t="s">
        <v>892</v>
      </c>
      <c r="L1959" s="15" t="s">
        <v>1522</v>
      </c>
      <c r="M1959" s="16">
        <v>0.0</v>
      </c>
      <c r="N1959" s="16">
        <v>0.25</v>
      </c>
      <c r="O1959" s="16">
        <v>0.25</v>
      </c>
      <c r="P1959" s="17">
        <v>45332.0</v>
      </c>
      <c r="Q1959" s="18">
        <v>1.85</v>
      </c>
      <c r="R1959" s="15" t="s">
        <v>25</v>
      </c>
      <c r="S1959" s="19">
        <f t="shared" si="1"/>
        <v>-0.25</v>
      </c>
      <c r="T1959" s="19">
        <f t="shared" si="8"/>
        <v>68.88157009</v>
      </c>
      <c r="U1959" s="144"/>
    </row>
    <row r="1960">
      <c r="A1960" s="107"/>
      <c r="B1960" s="8" t="s">
        <v>26</v>
      </c>
      <c r="C1960" s="8" t="s">
        <v>19</v>
      </c>
      <c r="D1960" s="8">
        <v>24.0</v>
      </c>
      <c r="E1960" s="8" t="s">
        <v>4425</v>
      </c>
      <c r="F1960" s="8" t="s">
        <v>1473</v>
      </c>
      <c r="G1960" s="8" t="s">
        <v>2660</v>
      </c>
      <c r="H1960" s="8">
        <f t="shared" si="56"/>
        <v>1</v>
      </c>
      <c r="I1960" s="8" t="s">
        <v>48</v>
      </c>
      <c r="J1960" s="8" t="s">
        <v>22</v>
      </c>
      <c r="K1960" s="8" t="s">
        <v>1150</v>
      </c>
      <c r="L1960" s="8" t="s">
        <v>39</v>
      </c>
      <c r="M1960" s="9">
        <v>0.0</v>
      </c>
      <c r="N1960" s="9">
        <v>0.75</v>
      </c>
      <c r="O1960" s="9">
        <v>0.75</v>
      </c>
      <c r="P1960" s="10">
        <v>45332.0</v>
      </c>
      <c r="Q1960" s="11">
        <v>1.725</v>
      </c>
      <c r="R1960" s="8" t="s">
        <v>25</v>
      </c>
      <c r="S1960" s="12">
        <f t="shared" si="1"/>
        <v>-0.75</v>
      </c>
      <c r="T1960" s="12">
        <f t="shared" si="8"/>
        <v>68.13157009</v>
      </c>
      <c r="U1960" s="145"/>
    </row>
    <row r="1961">
      <c r="A1961" s="29"/>
      <c r="B1961" s="15" t="s">
        <v>26</v>
      </c>
      <c r="C1961" s="15" t="s">
        <v>19</v>
      </c>
      <c r="D1961" s="15">
        <v>28.0</v>
      </c>
      <c r="E1961" s="15" t="s">
        <v>4426</v>
      </c>
      <c r="F1961" s="15" t="s">
        <v>1473</v>
      </c>
      <c r="G1961" s="15" t="s">
        <v>2556</v>
      </c>
      <c r="H1961" s="15">
        <v>0.0</v>
      </c>
      <c r="I1961" s="15" t="s">
        <v>121</v>
      </c>
      <c r="J1961" s="15" t="s">
        <v>22</v>
      </c>
      <c r="K1961" s="15" t="s">
        <v>225</v>
      </c>
      <c r="L1961" s="15" t="s">
        <v>1522</v>
      </c>
      <c r="M1961" s="16">
        <v>0.25</v>
      </c>
      <c r="N1961" s="16">
        <v>1.0</v>
      </c>
      <c r="O1961" s="16">
        <v>1.0</v>
      </c>
      <c r="P1961" s="17">
        <v>45332.0</v>
      </c>
      <c r="Q1961" s="18">
        <f>(1.352+1.775)/2</f>
        <v>1.5635</v>
      </c>
      <c r="R1961" s="15" t="s">
        <v>30</v>
      </c>
      <c r="S1961" s="19">
        <f t="shared" si="1"/>
        <v>0.28175</v>
      </c>
      <c r="T1961" s="19">
        <f t="shared" si="8"/>
        <v>68.41332009</v>
      </c>
      <c r="U1961" s="144"/>
    </row>
    <row r="1962">
      <c r="A1962" s="107"/>
      <c r="B1962" s="8" t="s">
        <v>4225</v>
      </c>
      <c r="C1962" s="8" t="s">
        <v>40</v>
      </c>
      <c r="D1962" s="8">
        <v>37.0</v>
      </c>
      <c r="E1962" s="8" t="s">
        <v>4427</v>
      </c>
      <c r="F1962" s="8" t="s">
        <v>1473</v>
      </c>
      <c r="G1962" s="8" t="s">
        <v>2556</v>
      </c>
      <c r="H1962" s="8">
        <f>1</f>
        <v>1</v>
      </c>
      <c r="I1962" s="8" t="s">
        <v>644</v>
      </c>
      <c r="J1962" s="8" t="s">
        <v>22</v>
      </c>
      <c r="K1962" s="8" t="s">
        <v>1847</v>
      </c>
      <c r="L1962" s="8" t="s">
        <v>24</v>
      </c>
      <c r="M1962" s="9">
        <v>-0.5</v>
      </c>
      <c r="N1962" s="9">
        <v>1.0</v>
      </c>
      <c r="O1962" s="9">
        <v>1.0</v>
      </c>
      <c r="P1962" s="10">
        <v>45332.0</v>
      </c>
      <c r="Q1962" s="11">
        <v>1.725</v>
      </c>
      <c r="R1962" s="8" t="s">
        <v>33</v>
      </c>
      <c r="S1962" s="12">
        <f t="shared" si="1"/>
        <v>0.725</v>
      </c>
      <c r="T1962" s="12">
        <f t="shared" si="8"/>
        <v>69.13832009</v>
      </c>
      <c r="U1962" s="145"/>
    </row>
    <row r="1963">
      <c r="A1963" s="29"/>
      <c r="B1963" s="15" t="s">
        <v>129</v>
      </c>
      <c r="C1963" s="15" t="s">
        <v>40</v>
      </c>
      <c r="D1963" s="15">
        <v>39.0</v>
      </c>
      <c r="E1963" s="15" t="s">
        <v>4428</v>
      </c>
      <c r="F1963" s="15" t="s">
        <v>1473</v>
      </c>
      <c r="G1963" s="15" t="s">
        <v>2556</v>
      </c>
      <c r="H1963" s="15">
        <v>0.0</v>
      </c>
      <c r="I1963" s="15" t="s">
        <v>106</v>
      </c>
      <c r="J1963" s="15" t="s">
        <v>22</v>
      </c>
      <c r="K1963" s="15" t="s">
        <v>225</v>
      </c>
      <c r="L1963" s="15" t="s">
        <v>24</v>
      </c>
      <c r="M1963" s="16">
        <v>0.75</v>
      </c>
      <c r="N1963" s="16">
        <v>0.5</v>
      </c>
      <c r="O1963" s="16">
        <v>0.5</v>
      </c>
      <c r="P1963" s="17">
        <v>45332.0</v>
      </c>
      <c r="Q1963" s="18">
        <v>2.025</v>
      </c>
      <c r="R1963" s="15" t="s">
        <v>33</v>
      </c>
      <c r="S1963" s="19">
        <f t="shared" si="1"/>
        <v>0.5125</v>
      </c>
      <c r="T1963" s="19">
        <f t="shared" si="8"/>
        <v>69.65082009</v>
      </c>
      <c r="U1963" s="144"/>
    </row>
    <row r="1964">
      <c r="A1964" s="107"/>
      <c r="B1964" s="8" t="s">
        <v>129</v>
      </c>
      <c r="C1964" s="8" t="s">
        <v>40</v>
      </c>
      <c r="D1964" s="8">
        <v>39.0</v>
      </c>
      <c r="E1964" s="8" t="s">
        <v>4429</v>
      </c>
      <c r="F1964" s="8" t="s">
        <v>1473</v>
      </c>
      <c r="G1964" s="8" t="s">
        <v>2556</v>
      </c>
      <c r="H1964" s="8">
        <v>0.0</v>
      </c>
      <c r="I1964" s="8" t="s">
        <v>106</v>
      </c>
      <c r="J1964" s="8" t="s">
        <v>22</v>
      </c>
      <c r="K1964" s="8" t="s">
        <v>1165</v>
      </c>
      <c r="L1964" s="8" t="s">
        <v>24</v>
      </c>
      <c r="M1964" s="9"/>
      <c r="N1964" s="9">
        <v>0.1</v>
      </c>
      <c r="O1964" s="9">
        <v>0.1</v>
      </c>
      <c r="P1964" s="10">
        <v>45332.0</v>
      </c>
      <c r="Q1964" s="11">
        <v>3.75</v>
      </c>
      <c r="R1964" s="8" t="s">
        <v>33</v>
      </c>
      <c r="S1964" s="12">
        <f t="shared" si="1"/>
        <v>0.275</v>
      </c>
      <c r="T1964" s="12">
        <f t="shared" si="8"/>
        <v>69.92582009</v>
      </c>
      <c r="U1964" s="145"/>
    </row>
    <row r="1965">
      <c r="A1965" s="29"/>
      <c r="B1965" s="15" t="s">
        <v>26</v>
      </c>
      <c r="C1965" s="15" t="s">
        <v>19</v>
      </c>
      <c r="D1965" s="15">
        <v>50.0</v>
      </c>
      <c r="E1965" s="15" t="s">
        <v>4430</v>
      </c>
      <c r="F1965" s="15" t="s">
        <v>1479</v>
      </c>
      <c r="G1965" s="15" t="s">
        <v>2660</v>
      </c>
      <c r="H1965" s="15">
        <f>1</f>
        <v>1</v>
      </c>
      <c r="I1965" s="15" t="s">
        <v>28</v>
      </c>
      <c r="J1965" s="15" t="s">
        <v>22</v>
      </c>
      <c r="K1965" s="15" t="s">
        <v>892</v>
      </c>
      <c r="L1965" s="15" t="s">
        <v>24</v>
      </c>
      <c r="M1965" s="16">
        <v>0.0</v>
      </c>
      <c r="N1965" s="16">
        <v>0.01</v>
      </c>
      <c r="O1965" s="16">
        <v>0.01</v>
      </c>
      <c r="P1965" s="55">
        <v>45332.0</v>
      </c>
      <c r="Q1965" s="18">
        <v>1.825</v>
      </c>
      <c r="R1965" s="15" t="s">
        <v>25</v>
      </c>
      <c r="S1965" s="19">
        <f t="shared" si="1"/>
        <v>-0.01</v>
      </c>
      <c r="T1965" s="19">
        <f t="shared" si="8"/>
        <v>69.91582009</v>
      </c>
      <c r="U1965" s="144"/>
    </row>
    <row r="1966">
      <c r="A1966" s="107"/>
      <c r="B1966" s="8" t="s">
        <v>129</v>
      </c>
      <c r="C1966" s="8" t="s">
        <v>40</v>
      </c>
      <c r="D1966" s="8">
        <v>74.0</v>
      </c>
      <c r="E1966" s="8" t="s">
        <v>4431</v>
      </c>
      <c r="F1966" s="8" t="s">
        <v>1473</v>
      </c>
      <c r="G1966" s="8" t="s">
        <v>2556</v>
      </c>
      <c r="H1966" s="8">
        <v>0.0</v>
      </c>
      <c r="I1966" s="8" t="s">
        <v>28</v>
      </c>
      <c r="J1966" s="8" t="s">
        <v>22</v>
      </c>
      <c r="K1966" s="8" t="s">
        <v>4352</v>
      </c>
      <c r="L1966" s="8" t="s">
        <v>24</v>
      </c>
      <c r="M1966" s="9">
        <v>0.0</v>
      </c>
      <c r="N1966" s="9">
        <v>0.15</v>
      </c>
      <c r="O1966" s="9">
        <v>0.15</v>
      </c>
      <c r="P1966" s="54">
        <v>45332.0</v>
      </c>
      <c r="Q1966" s="11">
        <v>6.5</v>
      </c>
      <c r="R1966" s="8" t="s">
        <v>25</v>
      </c>
      <c r="S1966" s="12">
        <f t="shared" si="1"/>
        <v>-0.15</v>
      </c>
      <c r="T1966" s="12">
        <f t="shared" si="8"/>
        <v>69.76582009</v>
      </c>
      <c r="U1966" s="145"/>
    </row>
    <row r="1967">
      <c r="A1967" s="29"/>
      <c r="B1967" s="15" t="s">
        <v>129</v>
      </c>
      <c r="C1967" s="15" t="s">
        <v>40</v>
      </c>
      <c r="D1967" s="15">
        <v>76.0</v>
      </c>
      <c r="E1967" s="15" t="s">
        <v>4432</v>
      </c>
      <c r="F1967" s="15" t="s">
        <v>1473</v>
      </c>
      <c r="G1967" s="15" t="s">
        <v>2556</v>
      </c>
      <c r="H1967" s="15">
        <v>0.0</v>
      </c>
      <c r="I1967" s="15" t="s">
        <v>28</v>
      </c>
      <c r="J1967" s="15" t="s">
        <v>22</v>
      </c>
      <c r="K1967" s="15" t="s">
        <v>225</v>
      </c>
      <c r="L1967" s="15" t="s">
        <v>24</v>
      </c>
      <c r="M1967" s="16">
        <v>0.5</v>
      </c>
      <c r="N1967" s="16">
        <v>0.7</v>
      </c>
      <c r="O1967" s="16">
        <v>0.7</v>
      </c>
      <c r="P1967" s="55">
        <v>45332.0</v>
      </c>
      <c r="Q1967" s="18">
        <f>(1.215+1.488+1.65)/3</f>
        <v>1.451</v>
      </c>
      <c r="R1967" s="15" t="s">
        <v>33</v>
      </c>
      <c r="S1967" s="19">
        <f t="shared" si="1"/>
        <v>0.3157</v>
      </c>
      <c r="T1967" s="19">
        <f t="shared" si="8"/>
        <v>70.08152009</v>
      </c>
      <c r="U1967" s="144"/>
    </row>
    <row r="1968">
      <c r="A1968" s="107"/>
      <c r="B1968" s="8" t="s">
        <v>18</v>
      </c>
      <c r="C1968" s="8" t="s">
        <v>19</v>
      </c>
      <c r="D1968" s="8">
        <v>35.0</v>
      </c>
      <c r="E1968" s="8" t="s">
        <v>4433</v>
      </c>
      <c r="F1968" s="8" t="s">
        <v>1473</v>
      </c>
      <c r="G1968" s="8" t="s">
        <v>2556</v>
      </c>
      <c r="H1968" s="8">
        <v>0.0</v>
      </c>
      <c r="I1968" s="8" t="s">
        <v>121</v>
      </c>
      <c r="J1968" s="8" t="s">
        <v>22</v>
      </c>
      <c r="K1968" s="8" t="s">
        <v>225</v>
      </c>
      <c r="L1968" s="8" t="s">
        <v>24</v>
      </c>
      <c r="M1968" s="9">
        <v>0.5</v>
      </c>
      <c r="N1968" s="9">
        <v>0.5</v>
      </c>
      <c r="O1968" s="9">
        <v>0.5</v>
      </c>
      <c r="P1968" s="54">
        <v>45332.0</v>
      </c>
      <c r="Q1968" s="11">
        <v>1.7</v>
      </c>
      <c r="R1968" s="8" t="s">
        <v>25</v>
      </c>
      <c r="S1968" s="12">
        <f t="shared" si="1"/>
        <v>-0.5</v>
      </c>
      <c r="T1968" s="12">
        <f t="shared" si="8"/>
        <v>69.58152009</v>
      </c>
      <c r="U1968" s="145"/>
    </row>
    <row r="1969">
      <c r="A1969" s="29"/>
      <c r="B1969" s="15" t="s">
        <v>129</v>
      </c>
      <c r="C1969" s="15" t="s">
        <v>40</v>
      </c>
      <c r="D1969" s="15">
        <v>82.0</v>
      </c>
      <c r="E1969" s="15" t="s">
        <v>4434</v>
      </c>
      <c r="F1969" s="15" t="s">
        <v>1473</v>
      </c>
      <c r="G1969" s="15" t="s">
        <v>2556</v>
      </c>
      <c r="H1969" s="15">
        <v>0.0</v>
      </c>
      <c r="I1969" s="15" t="s">
        <v>644</v>
      </c>
      <c r="J1969" s="15" t="s">
        <v>22</v>
      </c>
      <c r="K1969" s="15" t="s">
        <v>4352</v>
      </c>
      <c r="L1969" s="15" t="s">
        <v>24</v>
      </c>
      <c r="M1969" s="16">
        <v>0.0</v>
      </c>
      <c r="N1969" s="16">
        <v>0.4</v>
      </c>
      <c r="O1969" s="16">
        <v>0.4</v>
      </c>
      <c r="P1969" s="17">
        <v>45332.0</v>
      </c>
      <c r="Q1969" s="18">
        <v>2.75</v>
      </c>
      <c r="R1969" s="15" t="s">
        <v>70</v>
      </c>
      <c r="S1969" s="19">
        <f t="shared" si="1"/>
        <v>0</v>
      </c>
      <c r="T1969" s="19">
        <f t="shared" si="8"/>
        <v>69.58152009</v>
      </c>
      <c r="U1969" s="144"/>
    </row>
    <row r="1970">
      <c r="A1970" s="107"/>
      <c r="B1970" s="8" t="s">
        <v>26</v>
      </c>
      <c r="C1970" s="8" t="s">
        <v>19</v>
      </c>
      <c r="D1970" s="8">
        <v>30.0</v>
      </c>
      <c r="E1970" s="8" t="s">
        <v>4435</v>
      </c>
      <c r="F1970" s="8" t="s">
        <v>1473</v>
      </c>
      <c r="G1970" s="8" t="s">
        <v>2660</v>
      </c>
      <c r="H1970" s="8">
        <v>-2.0</v>
      </c>
      <c r="I1970" s="8" t="s">
        <v>66</v>
      </c>
      <c r="J1970" s="8" t="s">
        <v>22</v>
      </c>
      <c r="K1970" s="8" t="s">
        <v>892</v>
      </c>
      <c r="L1970" s="8" t="s">
        <v>24</v>
      </c>
      <c r="M1970" s="9">
        <v>0.0</v>
      </c>
      <c r="N1970" s="9">
        <v>1.0</v>
      </c>
      <c r="O1970" s="9">
        <v>1.0</v>
      </c>
      <c r="P1970" s="10">
        <v>45332.0</v>
      </c>
      <c r="Q1970" s="11">
        <v>1.8</v>
      </c>
      <c r="R1970" s="8" t="s">
        <v>70</v>
      </c>
      <c r="S1970" s="12">
        <f t="shared" si="1"/>
        <v>0</v>
      </c>
      <c r="T1970" s="12">
        <f t="shared" si="8"/>
        <v>69.58152009</v>
      </c>
      <c r="U1970" s="145"/>
    </row>
    <row r="1971">
      <c r="A1971" s="29"/>
      <c r="B1971" s="15" t="s">
        <v>137</v>
      </c>
      <c r="C1971" s="15" t="s">
        <v>19</v>
      </c>
      <c r="D1971" s="15">
        <v>76.0</v>
      </c>
      <c r="E1971" s="15" t="s">
        <v>4436</v>
      </c>
      <c r="F1971" s="15" t="s">
        <v>1479</v>
      </c>
      <c r="G1971" s="15" t="s">
        <v>2660</v>
      </c>
      <c r="H1971" s="15">
        <v>-2.0</v>
      </c>
      <c r="I1971" s="15" t="s">
        <v>38</v>
      </c>
      <c r="J1971" s="15" t="s">
        <v>22</v>
      </c>
      <c r="K1971" s="15" t="s">
        <v>892</v>
      </c>
      <c r="L1971" s="15" t="s">
        <v>24</v>
      </c>
      <c r="M1971" s="16">
        <v>0.0</v>
      </c>
      <c r="N1971" s="16">
        <v>1.0</v>
      </c>
      <c r="O1971" s="16">
        <v>1.0</v>
      </c>
      <c r="P1971" s="17">
        <v>45332.0</v>
      </c>
      <c r="Q1971" s="18">
        <v>1.85</v>
      </c>
      <c r="R1971" s="15" t="s">
        <v>33</v>
      </c>
      <c r="S1971" s="19">
        <f t="shared" si="1"/>
        <v>0.85</v>
      </c>
      <c r="T1971" s="19">
        <f t="shared" si="8"/>
        <v>70.43152009</v>
      </c>
      <c r="U1971" s="144"/>
    </row>
    <row r="1972">
      <c r="A1972" s="107"/>
      <c r="B1972" s="8" t="s">
        <v>26</v>
      </c>
      <c r="C1972" s="8" t="s">
        <v>19</v>
      </c>
      <c r="D1972" s="8">
        <v>78.0</v>
      </c>
      <c r="E1972" s="8" t="s">
        <v>4437</v>
      </c>
      <c r="F1972" s="8" t="s">
        <v>1479</v>
      </c>
      <c r="G1972" s="8" t="s">
        <v>2660</v>
      </c>
      <c r="H1972" s="8">
        <v>0.0</v>
      </c>
      <c r="I1972" s="8" t="s">
        <v>38</v>
      </c>
      <c r="J1972" s="8" t="s">
        <v>22</v>
      </c>
      <c r="K1972" s="8" t="s">
        <v>892</v>
      </c>
      <c r="L1972" s="8" t="s">
        <v>39</v>
      </c>
      <c r="M1972" s="9">
        <v>0.0</v>
      </c>
      <c r="N1972" s="9">
        <v>0.5</v>
      </c>
      <c r="O1972" s="9">
        <v>0.5</v>
      </c>
      <c r="P1972" s="10">
        <v>45332.0</v>
      </c>
      <c r="Q1972" s="11">
        <v>2.175</v>
      </c>
      <c r="R1972" s="8" t="s">
        <v>33</v>
      </c>
      <c r="S1972" s="12">
        <f t="shared" si="1"/>
        <v>0.5875</v>
      </c>
      <c r="T1972" s="12">
        <f t="shared" si="8"/>
        <v>71.01902009</v>
      </c>
      <c r="U1972" s="145"/>
    </row>
    <row r="1973">
      <c r="A1973" s="29"/>
      <c r="B1973" s="15" t="s">
        <v>137</v>
      </c>
      <c r="C1973" s="15" t="s">
        <v>19</v>
      </c>
      <c r="D1973" s="15">
        <v>80.0</v>
      </c>
      <c r="E1973" s="15" t="s">
        <v>4438</v>
      </c>
      <c r="F1973" s="15" t="s">
        <v>1479</v>
      </c>
      <c r="G1973" s="15" t="s">
        <v>2660</v>
      </c>
      <c r="H1973" s="15">
        <v>0.0</v>
      </c>
      <c r="I1973" s="15" t="s">
        <v>93</v>
      </c>
      <c r="J1973" s="15" t="s">
        <v>22</v>
      </c>
      <c r="K1973" s="15" t="s">
        <v>892</v>
      </c>
      <c r="L1973" s="15" t="s">
        <v>24</v>
      </c>
      <c r="M1973" s="16">
        <v>0.0</v>
      </c>
      <c r="N1973" s="16">
        <v>0.25</v>
      </c>
      <c r="O1973" s="16">
        <v>0.25</v>
      </c>
      <c r="P1973" s="17">
        <v>45332.0</v>
      </c>
      <c r="Q1973" s="18">
        <v>1.825</v>
      </c>
      <c r="R1973" s="15" t="s">
        <v>70</v>
      </c>
      <c r="S1973" s="19">
        <f t="shared" si="1"/>
        <v>0</v>
      </c>
      <c r="T1973" s="19">
        <f t="shared" si="8"/>
        <v>71.01902009</v>
      </c>
      <c r="U1973" s="144"/>
    </row>
    <row r="1974">
      <c r="A1974" s="107"/>
      <c r="B1974" s="8" t="s">
        <v>26</v>
      </c>
      <c r="C1974" s="8" t="s">
        <v>19</v>
      </c>
      <c r="D1974" s="8">
        <v>41.0</v>
      </c>
      <c r="E1974" s="8" t="s">
        <v>4439</v>
      </c>
      <c r="F1974" s="8" t="s">
        <v>1473</v>
      </c>
      <c r="G1974" s="8" t="s">
        <v>2660</v>
      </c>
      <c r="H1974" s="8">
        <v>-1.0</v>
      </c>
      <c r="I1974" s="8" t="s">
        <v>172</v>
      </c>
      <c r="J1974" s="8" t="s">
        <v>22</v>
      </c>
      <c r="K1974" s="8" t="s">
        <v>892</v>
      </c>
      <c r="L1974" s="8" t="s">
        <v>1803</v>
      </c>
      <c r="M1974" s="9">
        <v>0.0</v>
      </c>
      <c r="N1974" s="9">
        <v>0.5</v>
      </c>
      <c r="O1974" s="9">
        <v>0.5</v>
      </c>
      <c r="P1974" s="10">
        <v>45332.0</v>
      </c>
      <c r="Q1974" s="11">
        <v>1.671</v>
      </c>
      <c r="R1974" s="8" t="s">
        <v>33</v>
      </c>
      <c r="S1974" s="12">
        <f t="shared" si="1"/>
        <v>0.3355</v>
      </c>
      <c r="T1974" s="12">
        <f t="shared" si="8"/>
        <v>71.35452009</v>
      </c>
      <c r="U1974" s="145"/>
    </row>
    <row r="1975">
      <c r="A1975" s="29"/>
      <c r="B1975" s="15" t="s">
        <v>26</v>
      </c>
      <c r="C1975" s="15" t="s">
        <v>19</v>
      </c>
      <c r="D1975" s="15">
        <v>29.0</v>
      </c>
      <c r="E1975" s="15" t="s">
        <v>4440</v>
      </c>
      <c r="F1975" s="15" t="s">
        <v>1473</v>
      </c>
      <c r="G1975" s="15" t="s">
        <v>2660</v>
      </c>
      <c r="H1975" s="15">
        <v>0.0</v>
      </c>
      <c r="I1975" s="15" t="s">
        <v>50</v>
      </c>
      <c r="J1975" s="15" t="s">
        <v>22</v>
      </c>
      <c r="K1975" s="15" t="s">
        <v>892</v>
      </c>
      <c r="L1975" s="15" t="s">
        <v>24</v>
      </c>
      <c r="M1975" s="16">
        <v>0.0</v>
      </c>
      <c r="N1975" s="16">
        <v>1.0</v>
      </c>
      <c r="O1975" s="16">
        <v>1.0</v>
      </c>
      <c r="P1975" s="17">
        <v>45333.0</v>
      </c>
      <c r="Q1975" s="18">
        <v>1.473</v>
      </c>
      <c r="R1975" s="15" t="s">
        <v>33</v>
      </c>
      <c r="S1975" s="19">
        <f t="shared" si="1"/>
        <v>0.473</v>
      </c>
      <c r="T1975" s="19">
        <f t="shared" si="8"/>
        <v>71.82752009</v>
      </c>
      <c r="U1975" s="144"/>
    </row>
    <row r="1976">
      <c r="A1976" s="107"/>
      <c r="B1976" s="8" t="s">
        <v>18</v>
      </c>
      <c r="C1976" s="8" t="s">
        <v>40</v>
      </c>
      <c r="D1976" s="8">
        <v>35.0</v>
      </c>
      <c r="E1976" s="8" t="s">
        <v>4441</v>
      </c>
      <c r="F1976" s="8" t="s">
        <v>1473</v>
      </c>
      <c r="G1976" s="8" t="s">
        <v>2556</v>
      </c>
      <c r="H1976" s="8">
        <v>0.0</v>
      </c>
      <c r="I1976" s="8" t="s">
        <v>229</v>
      </c>
      <c r="J1976" s="8" t="s">
        <v>22</v>
      </c>
      <c r="K1976" s="8" t="s">
        <v>1165</v>
      </c>
      <c r="L1976" s="8" t="s">
        <v>24</v>
      </c>
      <c r="M1976" s="9"/>
      <c r="N1976" s="9">
        <v>0.1</v>
      </c>
      <c r="O1976" s="9">
        <v>0.1</v>
      </c>
      <c r="P1976" s="10">
        <v>45333.0</v>
      </c>
      <c r="Q1976" s="11">
        <v>4.75</v>
      </c>
      <c r="R1976" s="8" t="s">
        <v>25</v>
      </c>
      <c r="S1976" s="12">
        <f t="shared" si="1"/>
        <v>-0.1</v>
      </c>
      <c r="T1976" s="12">
        <f t="shared" si="8"/>
        <v>71.72752009</v>
      </c>
      <c r="U1976" s="145"/>
    </row>
    <row r="1977">
      <c r="A1977" s="29"/>
      <c r="B1977" s="15" t="s">
        <v>129</v>
      </c>
      <c r="C1977" s="15" t="s">
        <v>19</v>
      </c>
      <c r="D1977" s="15">
        <v>24.0</v>
      </c>
      <c r="E1977" s="15" t="s">
        <v>4442</v>
      </c>
      <c r="F1977" s="15" t="s">
        <v>1479</v>
      </c>
      <c r="G1977" s="15" t="s">
        <v>2556</v>
      </c>
      <c r="H1977" s="15">
        <v>0.0</v>
      </c>
      <c r="I1977" s="15" t="s">
        <v>174</v>
      </c>
      <c r="J1977" s="15" t="s">
        <v>22</v>
      </c>
      <c r="K1977" s="15" t="s">
        <v>225</v>
      </c>
      <c r="L1977" s="15" t="s">
        <v>24</v>
      </c>
      <c r="M1977" s="16">
        <v>0.5</v>
      </c>
      <c r="N1977" s="16">
        <v>0.75</v>
      </c>
      <c r="O1977" s="16">
        <v>0.75</v>
      </c>
      <c r="P1977" s="17">
        <v>45333.0</v>
      </c>
      <c r="Q1977" s="18">
        <v>1.7</v>
      </c>
      <c r="R1977" s="15" t="s">
        <v>33</v>
      </c>
      <c r="S1977" s="19">
        <f t="shared" si="1"/>
        <v>0.525</v>
      </c>
      <c r="T1977" s="19">
        <f t="shared" si="8"/>
        <v>72.25252009</v>
      </c>
      <c r="U1977" s="144"/>
    </row>
    <row r="1978">
      <c r="A1978" s="107"/>
      <c r="B1978" s="8" t="s">
        <v>129</v>
      </c>
      <c r="C1978" s="8" t="s">
        <v>40</v>
      </c>
      <c r="D1978" s="8">
        <v>45.0</v>
      </c>
      <c r="E1978" s="8" t="s">
        <v>4443</v>
      </c>
      <c r="F1978" s="8" t="s">
        <v>1473</v>
      </c>
      <c r="G1978" s="8" t="s">
        <v>2556</v>
      </c>
      <c r="H1978" s="8">
        <v>0.0</v>
      </c>
      <c r="I1978" s="8" t="s">
        <v>93</v>
      </c>
      <c r="J1978" s="8" t="s">
        <v>22</v>
      </c>
      <c r="K1978" s="8" t="s">
        <v>225</v>
      </c>
      <c r="L1978" s="8" t="s">
        <v>24</v>
      </c>
      <c r="M1978" s="9">
        <v>0.5</v>
      </c>
      <c r="N1978" s="9">
        <v>1.0</v>
      </c>
      <c r="O1978" s="9">
        <v>1.0</v>
      </c>
      <c r="P1978" s="54">
        <v>45333.0</v>
      </c>
      <c r="Q1978" s="11">
        <v>1.123</v>
      </c>
      <c r="R1978" s="8" t="s">
        <v>33</v>
      </c>
      <c r="S1978" s="12">
        <f t="shared" si="1"/>
        <v>0.123</v>
      </c>
      <c r="T1978" s="12">
        <f t="shared" si="8"/>
        <v>72.37552009</v>
      </c>
      <c r="U1978" s="145"/>
    </row>
    <row r="1979">
      <c r="A1979" s="29"/>
      <c r="B1979" s="15" t="s">
        <v>26</v>
      </c>
      <c r="C1979" s="15" t="s">
        <v>40</v>
      </c>
      <c r="D1979" s="15">
        <v>82.0</v>
      </c>
      <c r="E1979" s="15" t="s">
        <v>4444</v>
      </c>
      <c r="F1979" s="15" t="s">
        <v>1479</v>
      </c>
      <c r="G1979" s="15" t="s">
        <v>2660</v>
      </c>
      <c r="H1979" s="15">
        <v>0.0</v>
      </c>
      <c r="I1979" s="15" t="s">
        <v>93</v>
      </c>
      <c r="J1979" s="15" t="s">
        <v>22</v>
      </c>
      <c r="K1979" s="15" t="s">
        <v>892</v>
      </c>
      <c r="L1979" s="15" t="s">
        <v>24</v>
      </c>
      <c r="M1979" s="16">
        <v>0.0</v>
      </c>
      <c r="N1979" s="16">
        <v>0.25</v>
      </c>
      <c r="O1979" s="16">
        <v>0.25</v>
      </c>
      <c r="P1979" s="17">
        <v>45333.0</v>
      </c>
      <c r="Q1979" s="18">
        <v>1.7</v>
      </c>
      <c r="R1979" s="15" t="s">
        <v>25</v>
      </c>
      <c r="S1979" s="19">
        <f t="shared" si="1"/>
        <v>-0.25</v>
      </c>
      <c r="T1979" s="19">
        <f t="shared" si="8"/>
        <v>72.12552009</v>
      </c>
      <c r="U1979" s="144"/>
    </row>
    <row r="1980">
      <c r="A1980" s="107"/>
      <c r="B1980" s="8" t="s">
        <v>129</v>
      </c>
      <c r="C1980" s="8" t="s">
        <v>19</v>
      </c>
      <c r="D1980" s="8">
        <v>80.0</v>
      </c>
      <c r="E1980" s="8" t="s">
        <v>4445</v>
      </c>
      <c r="F1980" s="8" t="s">
        <v>1473</v>
      </c>
      <c r="G1980" s="8" t="s">
        <v>2660</v>
      </c>
      <c r="H1980" s="8">
        <v>0.0</v>
      </c>
      <c r="I1980" s="8" t="s">
        <v>853</v>
      </c>
      <c r="J1980" s="8" t="s">
        <v>22</v>
      </c>
      <c r="K1980" s="8" t="s">
        <v>892</v>
      </c>
      <c r="L1980" s="8" t="s">
        <v>24</v>
      </c>
      <c r="M1980" s="9">
        <v>0.0</v>
      </c>
      <c r="N1980" s="9">
        <v>0.5</v>
      </c>
      <c r="O1980" s="9">
        <v>0.5</v>
      </c>
      <c r="P1980" s="10">
        <v>45333.0</v>
      </c>
      <c r="Q1980" s="11">
        <v>1.975</v>
      </c>
      <c r="R1980" s="8" t="s">
        <v>70</v>
      </c>
      <c r="S1980" s="12">
        <f t="shared" si="1"/>
        <v>0</v>
      </c>
      <c r="T1980" s="12">
        <f t="shared" si="8"/>
        <v>72.12552009</v>
      </c>
      <c r="U1980" s="145"/>
    </row>
    <row r="1981">
      <c r="A1981" s="29"/>
      <c r="B1981" s="15" t="s">
        <v>18</v>
      </c>
      <c r="C1981" s="15" t="s">
        <v>19</v>
      </c>
      <c r="D1981" s="15">
        <v>63.0</v>
      </c>
      <c r="E1981" s="15" t="s">
        <v>4446</v>
      </c>
      <c r="F1981" s="15" t="s">
        <v>1473</v>
      </c>
      <c r="G1981" s="15" t="s">
        <v>2556</v>
      </c>
      <c r="H1981" s="15">
        <v>-1.0</v>
      </c>
      <c r="I1981" s="15" t="s">
        <v>48</v>
      </c>
      <c r="J1981" s="15" t="s">
        <v>22</v>
      </c>
      <c r="K1981" s="15" t="s">
        <v>225</v>
      </c>
      <c r="L1981" s="15" t="s">
        <v>24</v>
      </c>
      <c r="M1981" s="16">
        <v>0.25</v>
      </c>
      <c r="N1981" s="16">
        <v>0.75</v>
      </c>
      <c r="O1981" s="16">
        <v>0.75</v>
      </c>
      <c r="P1981" s="17">
        <v>45333.0</v>
      </c>
      <c r="Q1981" s="18">
        <v>1.875</v>
      </c>
      <c r="R1981" s="15" t="s">
        <v>25</v>
      </c>
      <c r="S1981" s="19">
        <f t="shared" si="1"/>
        <v>-0.75</v>
      </c>
      <c r="T1981" s="19">
        <f t="shared" si="8"/>
        <v>71.37552009</v>
      </c>
      <c r="U1981" s="144"/>
    </row>
    <row r="1982">
      <c r="A1982" s="107"/>
      <c r="B1982" s="8" t="s">
        <v>26</v>
      </c>
      <c r="C1982" s="8" t="s">
        <v>19</v>
      </c>
      <c r="D1982" s="8">
        <v>37.0</v>
      </c>
      <c r="E1982" s="8" t="s">
        <v>4447</v>
      </c>
      <c r="F1982" s="8" t="s">
        <v>1473</v>
      </c>
      <c r="G1982" s="8" t="s">
        <v>2556</v>
      </c>
      <c r="H1982" s="8">
        <v>0.0</v>
      </c>
      <c r="I1982" s="8" t="s">
        <v>44</v>
      </c>
      <c r="J1982" s="8" t="s">
        <v>22</v>
      </c>
      <c r="K1982" s="8" t="s">
        <v>225</v>
      </c>
      <c r="L1982" s="8" t="s">
        <v>24</v>
      </c>
      <c r="M1982" s="9">
        <v>0.25</v>
      </c>
      <c r="N1982" s="9">
        <v>1.0</v>
      </c>
      <c r="O1982" s="9">
        <v>1.0</v>
      </c>
      <c r="P1982" s="54">
        <v>45333.0</v>
      </c>
      <c r="Q1982" s="11">
        <v>1.8</v>
      </c>
      <c r="R1982" s="8" t="s">
        <v>25</v>
      </c>
      <c r="S1982" s="12">
        <f t="shared" si="1"/>
        <v>-1</v>
      </c>
      <c r="T1982" s="12">
        <f t="shared" si="8"/>
        <v>70.37552009</v>
      </c>
      <c r="U1982" s="145"/>
    </row>
    <row r="1983">
      <c r="A1983" s="29"/>
      <c r="B1983" s="15" t="s">
        <v>129</v>
      </c>
      <c r="C1983" s="15" t="s">
        <v>19</v>
      </c>
      <c r="D1983" s="15">
        <v>40.0</v>
      </c>
      <c r="E1983" s="15" t="s">
        <v>4448</v>
      </c>
      <c r="F1983" s="15" t="s">
        <v>1473</v>
      </c>
      <c r="G1983" s="15" t="s">
        <v>2660</v>
      </c>
      <c r="H1983" s="15">
        <v>-1.0</v>
      </c>
      <c r="I1983" s="15" t="s">
        <v>644</v>
      </c>
      <c r="J1983" s="15" t="s">
        <v>22</v>
      </c>
      <c r="K1983" s="15" t="s">
        <v>892</v>
      </c>
      <c r="L1983" s="15" t="s">
        <v>24</v>
      </c>
      <c r="M1983" s="16">
        <v>0.0</v>
      </c>
      <c r="N1983" s="16">
        <v>1.0</v>
      </c>
      <c r="O1983" s="16">
        <v>1.0</v>
      </c>
      <c r="P1983" s="17">
        <v>45333.0</v>
      </c>
      <c r="Q1983" s="18">
        <v>1.775</v>
      </c>
      <c r="R1983" s="15" t="s">
        <v>33</v>
      </c>
      <c r="S1983" s="19">
        <f t="shared" si="1"/>
        <v>0.775</v>
      </c>
      <c r="T1983" s="19">
        <f t="shared" si="8"/>
        <v>71.15052009</v>
      </c>
      <c r="U1983" s="144"/>
    </row>
    <row r="1984">
      <c r="A1984" s="107"/>
      <c r="B1984" s="8" t="s">
        <v>18</v>
      </c>
      <c r="C1984" s="8" t="s">
        <v>19</v>
      </c>
      <c r="D1984" s="8">
        <v>72.0</v>
      </c>
      <c r="E1984" s="8" t="s">
        <v>4449</v>
      </c>
      <c r="F1984" s="8" t="s">
        <v>1479</v>
      </c>
      <c r="G1984" s="8" t="s">
        <v>2660</v>
      </c>
      <c r="H1984" s="8">
        <f>1</f>
        <v>1</v>
      </c>
      <c r="I1984" s="8" t="s">
        <v>44</v>
      </c>
      <c r="J1984" s="8" t="s">
        <v>22</v>
      </c>
      <c r="K1984" s="8" t="s">
        <v>892</v>
      </c>
      <c r="L1984" s="8" t="s">
        <v>39</v>
      </c>
      <c r="M1984" s="9">
        <v>0.0</v>
      </c>
      <c r="N1984" s="9">
        <v>0.1</v>
      </c>
      <c r="O1984" s="9">
        <v>0.1</v>
      </c>
      <c r="P1984" s="10">
        <v>45333.0</v>
      </c>
      <c r="Q1984" s="11">
        <v>1.775</v>
      </c>
      <c r="R1984" s="8" t="s">
        <v>70</v>
      </c>
      <c r="S1984" s="12">
        <f t="shared" si="1"/>
        <v>0</v>
      </c>
      <c r="T1984" s="12">
        <f t="shared" si="8"/>
        <v>71.15052009</v>
      </c>
      <c r="U1984" s="145"/>
    </row>
    <row r="1985">
      <c r="A1985" s="29"/>
      <c r="B1985" s="15" t="s">
        <v>129</v>
      </c>
      <c r="C1985" s="15" t="s">
        <v>19</v>
      </c>
      <c r="D1985" s="15">
        <v>71.0</v>
      </c>
      <c r="E1985" s="15" t="s">
        <v>4450</v>
      </c>
      <c r="F1985" s="15" t="s">
        <v>1473</v>
      </c>
      <c r="G1985" s="15" t="s">
        <v>2556</v>
      </c>
      <c r="H1985" s="15">
        <v>-1.0</v>
      </c>
      <c r="I1985" s="15" t="s">
        <v>88</v>
      </c>
      <c r="J1985" s="15" t="s">
        <v>22</v>
      </c>
      <c r="K1985" s="15" t="s">
        <v>225</v>
      </c>
      <c r="L1985" s="15" t="s">
        <v>24</v>
      </c>
      <c r="M1985" s="16">
        <v>0.5</v>
      </c>
      <c r="N1985" s="16">
        <v>0.75</v>
      </c>
      <c r="O1985" s="16">
        <v>0.75</v>
      </c>
      <c r="P1985" s="17">
        <v>45336.0</v>
      </c>
      <c r="Q1985" s="18">
        <v>1.56</v>
      </c>
      <c r="R1985" s="15" t="s">
        <v>33</v>
      </c>
      <c r="S1985" s="19">
        <f t="shared" si="1"/>
        <v>0.42</v>
      </c>
      <c r="T1985" s="19">
        <f t="shared" si="8"/>
        <v>71.57052009</v>
      </c>
      <c r="U1985" s="144"/>
    </row>
    <row r="1986">
      <c r="A1986" s="107"/>
      <c r="B1986" s="8" t="s">
        <v>4225</v>
      </c>
      <c r="C1986" s="8" t="s">
        <v>19</v>
      </c>
      <c r="D1986" s="8">
        <v>0.0</v>
      </c>
      <c r="E1986" s="8" t="s">
        <v>4451</v>
      </c>
      <c r="F1986" s="8" t="s">
        <v>1473</v>
      </c>
      <c r="G1986" s="8" t="s">
        <v>2660</v>
      </c>
      <c r="H1986" s="8">
        <v>0.0</v>
      </c>
      <c r="I1986" s="8" t="s">
        <v>187</v>
      </c>
      <c r="J1986" s="8" t="s">
        <v>598</v>
      </c>
      <c r="K1986" s="8" t="s">
        <v>892</v>
      </c>
      <c r="L1986" s="8" t="s">
        <v>1851</v>
      </c>
      <c r="M1986" s="9">
        <v>0.0</v>
      </c>
      <c r="N1986" s="9">
        <v>0.1</v>
      </c>
      <c r="O1986" s="9">
        <v>0.1</v>
      </c>
      <c r="P1986" s="10">
        <v>45336.0</v>
      </c>
      <c r="Q1986" s="11">
        <v>1.8</v>
      </c>
      <c r="R1986" s="8" t="s">
        <v>33</v>
      </c>
      <c r="S1986" s="12">
        <f t="shared" si="1"/>
        <v>0.08</v>
      </c>
      <c r="T1986" s="12">
        <f t="shared" si="8"/>
        <v>71.65052009</v>
      </c>
      <c r="U1986" s="145"/>
    </row>
    <row r="1987">
      <c r="A1987" s="29"/>
      <c r="B1987" s="15" t="s">
        <v>129</v>
      </c>
      <c r="C1987" s="15" t="s">
        <v>19</v>
      </c>
      <c r="D1987" s="15">
        <v>45.0</v>
      </c>
      <c r="E1987" s="15" t="s">
        <v>4452</v>
      </c>
      <c r="F1987" s="15" t="s">
        <v>1473</v>
      </c>
      <c r="G1987" s="15" t="s">
        <v>2556</v>
      </c>
      <c r="H1987" s="15">
        <v>0.0</v>
      </c>
      <c r="I1987" s="15" t="s">
        <v>616</v>
      </c>
      <c r="J1987" s="15" t="s">
        <v>22</v>
      </c>
      <c r="K1987" s="15" t="s">
        <v>225</v>
      </c>
      <c r="L1987" s="15" t="s">
        <v>24</v>
      </c>
      <c r="M1987" s="16">
        <v>0.75</v>
      </c>
      <c r="N1987" s="16">
        <v>0.4</v>
      </c>
      <c r="O1987" s="16">
        <v>0.4</v>
      </c>
      <c r="P1987" s="17">
        <v>45336.0</v>
      </c>
      <c r="Q1987" s="18">
        <v>1.3</v>
      </c>
      <c r="R1987" s="15" t="s">
        <v>33</v>
      </c>
      <c r="S1987" s="19">
        <f t="shared" si="1"/>
        <v>0.12</v>
      </c>
      <c r="T1987" s="19">
        <f t="shared" si="8"/>
        <v>71.77052009</v>
      </c>
      <c r="U1987" s="144"/>
    </row>
    <row r="1988">
      <c r="A1988" s="107"/>
      <c r="B1988" s="8" t="s">
        <v>129</v>
      </c>
      <c r="C1988" s="8" t="s">
        <v>19</v>
      </c>
      <c r="D1988" s="8">
        <v>45.0</v>
      </c>
      <c r="E1988" s="8" t="s">
        <v>4453</v>
      </c>
      <c r="F1988" s="8" t="s">
        <v>1473</v>
      </c>
      <c r="G1988" s="8" t="s">
        <v>2556</v>
      </c>
      <c r="H1988" s="8">
        <v>0.0</v>
      </c>
      <c r="I1988" s="8" t="s">
        <v>616</v>
      </c>
      <c r="J1988" s="8" t="s">
        <v>22</v>
      </c>
      <c r="K1988" s="8" t="s">
        <v>225</v>
      </c>
      <c r="L1988" s="8" t="s">
        <v>24</v>
      </c>
      <c r="M1988" s="9">
        <v>0.5</v>
      </c>
      <c r="N1988" s="9">
        <v>0.4</v>
      </c>
      <c r="O1988" s="9">
        <v>0.235</v>
      </c>
      <c r="P1988" s="10">
        <v>45336.0</v>
      </c>
      <c r="Q1988" s="11">
        <v>1.31</v>
      </c>
      <c r="R1988" s="8" t="s">
        <v>33</v>
      </c>
      <c r="S1988" s="12">
        <f t="shared" si="1"/>
        <v>0.07285</v>
      </c>
      <c r="T1988" s="12">
        <f t="shared" si="8"/>
        <v>71.84337009</v>
      </c>
      <c r="U1988" s="145"/>
    </row>
    <row r="1989">
      <c r="A1989" s="29"/>
      <c r="B1989" s="15" t="s">
        <v>18</v>
      </c>
      <c r="C1989" s="15" t="s">
        <v>19</v>
      </c>
      <c r="D1989" s="15">
        <v>67.0</v>
      </c>
      <c r="E1989" s="15" t="s">
        <v>4454</v>
      </c>
      <c r="F1989" s="15" t="s">
        <v>1473</v>
      </c>
      <c r="G1989" s="15" t="s">
        <v>2660</v>
      </c>
      <c r="H1989" s="15">
        <v>-1.0</v>
      </c>
      <c r="I1989" s="15" t="s">
        <v>248</v>
      </c>
      <c r="J1989" s="15" t="s">
        <v>22</v>
      </c>
      <c r="K1989" s="15" t="s">
        <v>892</v>
      </c>
      <c r="L1989" s="15" t="s">
        <v>24</v>
      </c>
      <c r="M1989" s="16">
        <v>0.0</v>
      </c>
      <c r="N1989" s="16">
        <v>1.0</v>
      </c>
      <c r="O1989" s="16">
        <v>1.0</v>
      </c>
      <c r="P1989" s="17">
        <v>45336.0</v>
      </c>
      <c r="Q1989" s="18">
        <v>1.825</v>
      </c>
      <c r="R1989" s="15" t="s">
        <v>70</v>
      </c>
      <c r="S1989" s="19">
        <f t="shared" si="1"/>
        <v>0</v>
      </c>
      <c r="T1989" s="19">
        <f t="shared" si="8"/>
        <v>71.84337009</v>
      </c>
      <c r="U1989" s="144"/>
    </row>
    <row r="1990">
      <c r="A1990" s="107"/>
      <c r="B1990" s="8" t="s">
        <v>26</v>
      </c>
      <c r="C1990" s="8" t="s">
        <v>19</v>
      </c>
      <c r="D1990" s="8">
        <v>57.0</v>
      </c>
      <c r="E1990" s="8" t="s">
        <v>4455</v>
      </c>
      <c r="F1990" s="8" t="s">
        <v>1473</v>
      </c>
      <c r="G1990" s="8" t="s">
        <v>2660</v>
      </c>
      <c r="H1990" s="8">
        <v>-1.0</v>
      </c>
      <c r="I1990" s="8" t="s">
        <v>121</v>
      </c>
      <c r="J1990" s="8" t="s">
        <v>22</v>
      </c>
      <c r="K1990" s="8" t="s">
        <v>892</v>
      </c>
      <c r="L1990" s="8" t="s">
        <v>39</v>
      </c>
      <c r="M1990" s="9">
        <v>0.0</v>
      </c>
      <c r="N1990" s="9">
        <v>0.1</v>
      </c>
      <c r="O1990" s="9">
        <v>0.1</v>
      </c>
      <c r="P1990" s="54">
        <v>45336.0</v>
      </c>
      <c r="Q1990" s="11">
        <v>1.825</v>
      </c>
      <c r="R1990" s="8" t="s">
        <v>70</v>
      </c>
      <c r="S1990" s="12">
        <f t="shared" si="1"/>
        <v>0</v>
      </c>
      <c r="T1990" s="12">
        <f t="shared" si="8"/>
        <v>71.84337009</v>
      </c>
      <c r="U1990" s="145"/>
    </row>
    <row r="1991">
      <c r="A1991" s="29"/>
      <c r="B1991" s="15" t="s">
        <v>137</v>
      </c>
      <c r="C1991" s="15" t="s">
        <v>19</v>
      </c>
      <c r="D1991" s="15">
        <v>42.0</v>
      </c>
      <c r="E1991" s="15" t="s">
        <v>4456</v>
      </c>
      <c r="F1991" s="15" t="s">
        <v>1479</v>
      </c>
      <c r="G1991" s="15" t="s">
        <v>2660</v>
      </c>
      <c r="H1991" s="15">
        <v>0.0</v>
      </c>
      <c r="I1991" s="15" t="s">
        <v>231</v>
      </c>
      <c r="J1991" s="15" t="s">
        <v>22</v>
      </c>
      <c r="K1991" s="15" t="s">
        <v>892</v>
      </c>
      <c r="L1991" s="15" t="s">
        <v>24</v>
      </c>
      <c r="M1991" s="16">
        <v>0.0</v>
      </c>
      <c r="N1991" s="16">
        <v>1.0</v>
      </c>
      <c r="O1991" s="16">
        <v>1.0</v>
      </c>
      <c r="P1991" s="17">
        <v>45337.0</v>
      </c>
      <c r="Q1991" s="18">
        <v>1.8</v>
      </c>
      <c r="R1991" s="15" t="s">
        <v>70</v>
      </c>
      <c r="S1991" s="19">
        <f t="shared" si="1"/>
        <v>0</v>
      </c>
      <c r="T1991" s="19">
        <f t="shared" si="8"/>
        <v>71.84337009</v>
      </c>
      <c r="U1991" s="144"/>
    </row>
    <row r="1992">
      <c r="A1992" s="107"/>
      <c r="B1992" s="8" t="s">
        <v>129</v>
      </c>
      <c r="C1992" s="8" t="s">
        <v>19</v>
      </c>
      <c r="D1992" s="8">
        <v>75.0</v>
      </c>
      <c r="E1992" s="8" t="s">
        <v>4457</v>
      </c>
      <c r="F1992" s="8" t="s">
        <v>1473</v>
      </c>
      <c r="G1992" s="8" t="s">
        <v>2660</v>
      </c>
      <c r="H1992" s="8">
        <v>0.0</v>
      </c>
      <c r="I1992" s="8" t="s">
        <v>231</v>
      </c>
      <c r="J1992" s="8" t="s">
        <v>22</v>
      </c>
      <c r="K1992" s="8" t="s">
        <v>892</v>
      </c>
      <c r="L1992" s="8" t="s">
        <v>24</v>
      </c>
      <c r="M1992" s="9">
        <v>0.0</v>
      </c>
      <c r="N1992" s="9">
        <v>1.0</v>
      </c>
      <c r="O1992" s="9">
        <v>0.15</v>
      </c>
      <c r="P1992" s="10">
        <v>45337.0</v>
      </c>
      <c r="Q1992" s="11">
        <v>1.9</v>
      </c>
      <c r="R1992" s="8" t="s">
        <v>25</v>
      </c>
      <c r="S1992" s="12">
        <f t="shared" si="1"/>
        <v>-0.15</v>
      </c>
      <c r="T1992" s="12">
        <f t="shared" si="8"/>
        <v>71.69337009</v>
      </c>
      <c r="U1992" s="145"/>
    </row>
    <row r="1993">
      <c r="A1993" s="29"/>
      <c r="B1993" s="15" t="s">
        <v>26</v>
      </c>
      <c r="C1993" s="15" t="s">
        <v>19</v>
      </c>
      <c r="D1993" s="15">
        <v>45.0</v>
      </c>
      <c r="E1993" s="15" t="s">
        <v>4458</v>
      </c>
      <c r="F1993" s="15" t="s">
        <v>1479</v>
      </c>
      <c r="G1993" s="15" t="s">
        <v>2556</v>
      </c>
      <c r="H1993" s="15">
        <v>0.0</v>
      </c>
      <c r="I1993" s="15" t="s">
        <v>1031</v>
      </c>
      <c r="J1993" s="15" t="s">
        <v>22</v>
      </c>
      <c r="K1993" s="15" t="s">
        <v>225</v>
      </c>
      <c r="L1993" s="15" t="s">
        <v>24</v>
      </c>
      <c r="M1993" s="16">
        <v>1.5</v>
      </c>
      <c r="N1993" s="16">
        <v>0.6</v>
      </c>
      <c r="O1993" s="16">
        <v>0.6</v>
      </c>
      <c r="P1993" s="17">
        <v>45337.0</v>
      </c>
      <c r="Q1993" s="18">
        <v>1.39</v>
      </c>
      <c r="R1993" s="15" t="s">
        <v>33</v>
      </c>
      <c r="S1993" s="19">
        <f t="shared" si="1"/>
        <v>0.234</v>
      </c>
      <c r="T1993" s="19">
        <f t="shared" si="8"/>
        <v>71.92737009</v>
      </c>
      <c r="U1993" s="144"/>
    </row>
    <row r="1994">
      <c r="A1994" s="107"/>
      <c r="B1994" s="8" t="s">
        <v>129</v>
      </c>
      <c r="C1994" s="8" t="s">
        <v>19</v>
      </c>
      <c r="D1994" s="8">
        <v>15.0</v>
      </c>
      <c r="E1994" s="8" t="s">
        <v>4459</v>
      </c>
      <c r="F1994" s="8" t="s">
        <v>1473</v>
      </c>
      <c r="G1994" s="8" t="s">
        <v>2556</v>
      </c>
      <c r="H1994" s="8">
        <v>0.0</v>
      </c>
      <c r="I1994" s="8" t="s">
        <v>616</v>
      </c>
      <c r="J1994" s="8" t="s">
        <v>22</v>
      </c>
      <c r="K1994" s="8" t="s">
        <v>225</v>
      </c>
      <c r="L1994" s="8" t="s">
        <v>24</v>
      </c>
      <c r="M1994" s="9">
        <v>0.25</v>
      </c>
      <c r="N1994" s="9">
        <v>1.0</v>
      </c>
      <c r="O1994" s="9">
        <v>1.0</v>
      </c>
      <c r="P1994" s="10">
        <v>45337.0</v>
      </c>
      <c r="Q1994" s="11">
        <v>1.775</v>
      </c>
      <c r="R1994" s="8" t="s">
        <v>33</v>
      </c>
      <c r="S1994" s="12">
        <f t="shared" si="1"/>
        <v>0.775</v>
      </c>
      <c r="T1994" s="12">
        <f t="shared" si="8"/>
        <v>72.70237009</v>
      </c>
      <c r="U1994" s="145"/>
    </row>
    <row r="1995">
      <c r="A1995" s="29"/>
      <c r="B1995" s="15" t="s">
        <v>129</v>
      </c>
      <c r="C1995" s="15" t="s">
        <v>19</v>
      </c>
      <c r="D1995" s="15">
        <v>40.0</v>
      </c>
      <c r="E1995" s="15" t="s">
        <v>4460</v>
      </c>
      <c r="F1995" s="15" t="s">
        <v>1479</v>
      </c>
      <c r="G1995" s="15" t="s">
        <v>2660</v>
      </c>
      <c r="H1995" s="15">
        <v>0.0</v>
      </c>
      <c r="I1995" s="15" t="s">
        <v>923</v>
      </c>
      <c r="J1995" s="15" t="s">
        <v>22</v>
      </c>
      <c r="K1995" s="15" t="s">
        <v>892</v>
      </c>
      <c r="L1995" s="15" t="s">
        <v>24</v>
      </c>
      <c r="M1995" s="16">
        <v>0.0</v>
      </c>
      <c r="N1995" s="16">
        <v>0.8</v>
      </c>
      <c r="O1995" s="16">
        <v>0.8</v>
      </c>
      <c r="P1995" s="17">
        <v>45338.0</v>
      </c>
      <c r="Q1995" s="18">
        <v>1.725</v>
      </c>
      <c r="R1995" s="15" t="s">
        <v>70</v>
      </c>
      <c r="S1995" s="19">
        <f t="shared" si="1"/>
        <v>0</v>
      </c>
      <c r="T1995" s="19">
        <f t="shared" si="8"/>
        <v>72.70237009</v>
      </c>
      <c r="U1995" s="144"/>
    </row>
    <row r="1996">
      <c r="A1996" s="107"/>
      <c r="B1996" s="8" t="s">
        <v>137</v>
      </c>
      <c r="C1996" s="8" t="s">
        <v>19</v>
      </c>
      <c r="D1996" s="8">
        <v>25.0</v>
      </c>
      <c r="E1996" s="8" t="s">
        <v>4461</v>
      </c>
      <c r="F1996" s="8" t="s">
        <v>1473</v>
      </c>
      <c r="G1996" s="8" t="s">
        <v>2660</v>
      </c>
      <c r="H1996" s="8">
        <v>0.0</v>
      </c>
      <c r="I1996" s="8" t="s">
        <v>187</v>
      </c>
      <c r="J1996" s="8" t="s">
        <v>22</v>
      </c>
      <c r="K1996" s="8" t="s">
        <v>892</v>
      </c>
      <c r="L1996" s="8" t="s">
        <v>39</v>
      </c>
      <c r="M1996" s="9">
        <v>0.0</v>
      </c>
      <c r="N1996" s="9">
        <v>1.0</v>
      </c>
      <c r="O1996" s="9">
        <v>1.0</v>
      </c>
      <c r="P1996" s="10">
        <v>45338.0</v>
      </c>
      <c r="Q1996" s="11">
        <v>1.85</v>
      </c>
      <c r="R1996" s="8" t="s">
        <v>70</v>
      </c>
      <c r="S1996" s="12">
        <f t="shared" si="1"/>
        <v>0</v>
      </c>
      <c r="T1996" s="12">
        <f t="shared" si="8"/>
        <v>72.70237009</v>
      </c>
      <c r="U1996" s="145"/>
    </row>
    <row r="1997">
      <c r="A1997" s="29"/>
      <c r="B1997" s="15" t="s">
        <v>129</v>
      </c>
      <c r="C1997" s="15" t="s">
        <v>19</v>
      </c>
      <c r="D1997" s="15">
        <v>80.0</v>
      </c>
      <c r="E1997" s="15" t="s">
        <v>4462</v>
      </c>
      <c r="F1997" s="15" t="s">
        <v>1473</v>
      </c>
      <c r="G1997" s="15" t="s">
        <v>2660</v>
      </c>
      <c r="H1997" s="15">
        <v>0.0</v>
      </c>
      <c r="I1997" s="15" t="s">
        <v>525</v>
      </c>
      <c r="J1997" s="15" t="s">
        <v>22</v>
      </c>
      <c r="K1997" s="15" t="s">
        <v>892</v>
      </c>
      <c r="L1997" s="15" t="s">
        <v>24</v>
      </c>
      <c r="M1997" s="16">
        <v>0.0</v>
      </c>
      <c r="N1997" s="16">
        <v>1.0</v>
      </c>
      <c r="O1997" s="16">
        <v>1.0</v>
      </c>
      <c r="P1997" s="17">
        <v>45338.0</v>
      </c>
      <c r="Q1997" s="18">
        <v>2.0</v>
      </c>
      <c r="R1997" s="15" t="s">
        <v>70</v>
      </c>
      <c r="S1997" s="19">
        <f t="shared" si="1"/>
        <v>0</v>
      </c>
      <c r="T1997" s="19">
        <f t="shared" si="8"/>
        <v>72.70237009</v>
      </c>
      <c r="U1997" s="144"/>
    </row>
    <row r="1998">
      <c r="A1998" s="107"/>
      <c r="B1998" s="8" t="s">
        <v>4225</v>
      </c>
      <c r="C1998" s="8" t="s">
        <v>40</v>
      </c>
      <c r="D1998" s="8">
        <v>68.0</v>
      </c>
      <c r="E1998" s="8" t="s">
        <v>4463</v>
      </c>
      <c r="F1998" s="8" t="s">
        <v>1479</v>
      </c>
      <c r="G1998" s="8" t="s">
        <v>2660</v>
      </c>
      <c r="H1998" s="8">
        <v>0.0</v>
      </c>
      <c r="I1998" s="8" t="s">
        <v>187</v>
      </c>
      <c r="J1998" s="8" t="s">
        <v>22</v>
      </c>
      <c r="K1998" s="8" t="s">
        <v>892</v>
      </c>
      <c r="L1998" s="8" t="s">
        <v>24</v>
      </c>
      <c r="M1998" s="9">
        <v>0.0</v>
      </c>
      <c r="N1998" s="9">
        <v>0.6</v>
      </c>
      <c r="O1998" s="9">
        <v>0.6</v>
      </c>
      <c r="P1998" s="10">
        <v>45338.0</v>
      </c>
      <c r="Q1998" s="11">
        <v>2.05</v>
      </c>
      <c r="R1998" s="8" t="s">
        <v>25</v>
      </c>
      <c r="S1998" s="12">
        <f t="shared" si="1"/>
        <v>-0.6</v>
      </c>
      <c r="T1998" s="12">
        <f t="shared" si="8"/>
        <v>72.10237009</v>
      </c>
      <c r="U1998" s="145"/>
    </row>
    <row r="1999">
      <c r="A1999" s="29"/>
      <c r="B1999" s="15" t="s">
        <v>26</v>
      </c>
      <c r="C1999" s="15" t="s">
        <v>19</v>
      </c>
      <c r="D1999" s="15">
        <v>75.0</v>
      </c>
      <c r="E1999" s="15" t="s">
        <v>4464</v>
      </c>
      <c r="F1999" s="15" t="s">
        <v>1473</v>
      </c>
      <c r="G1999" s="15" t="s">
        <v>2556</v>
      </c>
      <c r="H1999" s="15">
        <v>-1.0</v>
      </c>
      <c r="I1999" s="15" t="s">
        <v>28</v>
      </c>
      <c r="J1999" s="15" t="s">
        <v>22</v>
      </c>
      <c r="K1999" s="15" t="s">
        <v>225</v>
      </c>
      <c r="L1999" s="15" t="s">
        <v>24</v>
      </c>
      <c r="M1999" s="16">
        <v>0.5</v>
      </c>
      <c r="N1999" s="16">
        <v>0.5</v>
      </c>
      <c r="O1999" s="16">
        <v>0.5</v>
      </c>
      <c r="P1999" s="17">
        <v>45338.0</v>
      </c>
      <c r="Q1999" s="18">
        <v>1.62</v>
      </c>
      <c r="R1999" s="15" t="s">
        <v>33</v>
      </c>
      <c r="S1999" s="19">
        <f t="shared" si="1"/>
        <v>0.31</v>
      </c>
      <c r="T1999" s="19">
        <f t="shared" si="8"/>
        <v>72.41237009</v>
      </c>
      <c r="U1999" s="144"/>
    </row>
    <row r="2000">
      <c r="A2000" s="107"/>
      <c r="B2000" s="8" t="s">
        <v>18</v>
      </c>
      <c r="C2000" s="8" t="s">
        <v>40</v>
      </c>
      <c r="D2000" s="8">
        <v>25.0</v>
      </c>
      <c r="E2000" s="8" t="s">
        <v>4465</v>
      </c>
      <c r="F2000" s="8" t="s">
        <v>1479</v>
      </c>
      <c r="G2000" s="8" t="s">
        <v>2556</v>
      </c>
      <c r="H2000" s="8">
        <v>-1.0</v>
      </c>
      <c r="I2000" s="8" t="s">
        <v>227</v>
      </c>
      <c r="J2000" s="8" t="s">
        <v>22</v>
      </c>
      <c r="K2000" s="8" t="s">
        <v>225</v>
      </c>
      <c r="L2000" s="8" t="s">
        <v>24</v>
      </c>
      <c r="M2000" s="9">
        <v>0.5</v>
      </c>
      <c r="N2000" s="9">
        <v>0.6</v>
      </c>
      <c r="O2000" s="9">
        <v>0.6</v>
      </c>
      <c r="P2000" s="10">
        <v>45338.0</v>
      </c>
      <c r="Q2000" s="11">
        <v>1.01</v>
      </c>
      <c r="R2000" s="8" t="s">
        <v>33</v>
      </c>
      <c r="S2000" s="12">
        <f t="shared" si="1"/>
        <v>0.006</v>
      </c>
      <c r="T2000" s="12">
        <f t="shared" si="8"/>
        <v>72.41837009</v>
      </c>
      <c r="U2000" s="145"/>
    </row>
    <row r="2001">
      <c r="A2001" s="29"/>
      <c r="B2001" s="15" t="s">
        <v>18</v>
      </c>
      <c r="C2001" s="15" t="s">
        <v>40</v>
      </c>
      <c r="D2001" s="15">
        <v>28.0</v>
      </c>
      <c r="E2001" s="15" t="s">
        <v>4466</v>
      </c>
      <c r="F2001" s="15" t="s">
        <v>1479</v>
      </c>
      <c r="G2001" s="15" t="s">
        <v>2556</v>
      </c>
      <c r="H2001" s="15">
        <v>-1.0</v>
      </c>
      <c r="I2001" s="15" t="s">
        <v>227</v>
      </c>
      <c r="J2001" s="15" t="s">
        <v>22</v>
      </c>
      <c r="K2001" s="15" t="s">
        <v>225</v>
      </c>
      <c r="L2001" s="15" t="s">
        <v>24</v>
      </c>
      <c r="M2001" s="16">
        <v>0.25</v>
      </c>
      <c r="N2001" s="16">
        <v>0.4</v>
      </c>
      <c r="O2001" s="16">
        <v>0.4</v>
      </c>
      <c r="P2001" s="17">
        <v>45338.0</v>
      </c>
      <c r="Q2001" s="18">
        <v>1.01</v>
      </c>
      <c r="R2001" s="15" t="s">
        <v>33</v>
      </c>
      <c r="S2001" s="19">
        <f t="shared" si="1"/>
        <v>0.004</v>
      </c>
      <c r="T2001" s="19">
        <f t="shared" si="8"/>
        <v>72.42237009</v>
      </c>
      <c r="U2001" s="144"/>
    </row>
    <row r="2002">
      <c r="A2002" s="107"/>
      <c r="B2002" s="8" t="s">
        <v>26</v>
      </c>
      <c r="C2002" s="8" t="s">
        <v>19</v>
      </c>
      <c r="D2002" s="8">
        <v>70.0</v>
      </c>
      <c r="E2002" s="8" t="s">
        <v>4467</v>
      </c>
      <c r="F2002" s="8" t="s">
        <v>1473</v>
      </c>
      <c r="G2002" s="8" t="s">
        <v>2660</v>
      </c>
      <c r="H2002" s="8">
        <v>0.0</v>
      </c>
      <c r="I2002" s="8" t="s">
        <v>487</v>
      </c>
      <c r="J2002" s="8" t="s">
        <v>22</v>
      </c>
      <c r="K2002" s="8" t="s">
        <v>892</v>
      </c>
      <c r="L2002" s="8" t="s">
        <v>39</v>
      </c>
      <c r="M2002" s="9">
        <v>0.0</v>
      </c>
      <c r="N2002" s="9">
        <v>0.5</v>
      </c>
      <c r="O2002" s="9">
        <v>0.5</v>
      </c>
      <c r="P2002" s="10">
        <v>45339.0</v>
      </c>
      <c r="Q2002" s="11">
        <v>1.975</v>
      </c>
      <c r="R2002" s="8" t="s">
        <v>70</v>
      </c>
      <c r="S2002" s="12">
        <f t="shared" si="1"/>
        <v>0</v>
      </c>
      <c r="T2002" s="12">
        <f t="shared" si="8"/>
        <v>72.42237009</v>
      </c>
      <c r="U2002" s="145"/>
    </row>
    <row r="2003">
      <c r="A2003" s="29"/>
      <c r="B2003" s="15" t="s">
        <v>26</v>
      </c>
      <c r="C2003" s="15" t="s">
        <v>40</v>
      </c>
      <c r="D2003" s="15">
        <v>60.0</v>
      </c>
      <c r="E2003" s="15" t="s">
        <v>4468</v>
      </c>
      <c r="F2003" s="15" t="s">
        <v>1479</v>
      </c>
      <c r="G2003" s="15" t="s">
        <v>2556</v>
      </c>
      <c r="H2003" s="15">
        <f>1</f>
        <v>1</v>
      </c>
      <c r="I2003" s="15" t="s">
        <v>229</v>
      </c>
      <c r="J2003" s="15" t="s">
        <v>22</v>
      </c>
      <c r="K2003" s="15" t="s">
        <v>225</v>
      </c>
      <c r="L2003" s="15" t="s">
        <v>24</v>
      </c>
      <c r="M2003" s="16">
        <v>0.25</v>
      </c>
      <c r="N2003" s="16">
        <v>0.6</v>
      </c>
      <c r="O2003" s="16">
        <v>0.6</v>
      </c>
      <c r="P2003" s="17">
        <v>45339.0</v>
      </c>
      <c r="Q2003" s="18">
        <v>1.8</v>
      </c>
      <c r="R2003" s="15" t="s">
        <v>70</v>
      </c>
      <c r="S2003" s="19">
        <f t="shared" si="1"/>
        <v>0</v>
      </c>
      <c r="T2003" s="19">
        <f t="shared" si="8"/>
        <v>72.42237009</v>
      </c>
      <c r="U2003" s="144"/>
    </row>
    <row r="2004">
      <c r="A2004" s="107"/>
      <c r="B2004" s="8" t="s">
        <v>26</v>
      </c>
      <c r="C2004" s="8" t="s">
        <v>19</v>
      </c>
      <c r="D2004" s="8">
        <v>32.0</v>
      </c>
      <c r="E2004" s="8" t="s">
        <v>4469</v>
      </c>
      <c r="F2004" s="8" t="s">
        <v>1473</v>
      </c>
      <c r="G2004" s="8" t="s">
        <v>2660</v>
      </c>
      <c r="H2004" s="8">
        <v>0.0</v>
      </c>
      <c r="I2004" s="8" t="s">
        <v>229</v>
      </c>
      <c r="J2004" s="8" t="s">
        <v>22</v>
      </c>
      <c r="K2004" s="8" t="s">
        <v>892</v>
      </c>
      <c r="L2004" s="8" t="s">
        <v>24</v>
      </c>
      <c r="M2004" s="9">
        <v>0.0</v>
      </c>
      <c r="N2004" s="9">
        <v>0.6</v>
      </c>
      <c r="O2004" s="9">
        <v>0.6</v>
      </c>
      <c r="P2004" s="10">
        <v>45339.0</v>
      </c>
      <c r="Q2004" s="11">
        <v>2.0</v>
      </c>
      <c r="R2004" s="8" t="s">
        <v>33</v>
      </c>
      <c r="S2004" s="12">
        <f t="shared" si="1"/>
        <v>0.6</v>
      </c>
      <c r="T2004" s="12">
        <f t="shared" si="8"/>
        <v>73.02237009</v>
      </c>
      <c r="U2004" s="145"/>
    </row>
    <row r="2005">
      <c r="A2005" s="29"/>
      <c r="B2005" s="15" t="s">
        <v>26</v>
      </c>
      <c r="C2005" s="15" t="s">
        <v>19</v>
      </c>
      <c r="D2005" s="15">
        <v>39.0</v>
      </c>
      <c r="E2005" s="15" t="s">
        <v>4470</v>
      </c>
      <c r="F2005" s="15" t="s">
        <v>1479</v>
      </c>
      <c r="G2005" s="15" t="s">
        <v>2660</v>
      </c>
      <c r="H2005" s="15">
        <v>0.0</v>
      </c>
      <c r="I2005" s="15" t="s">
        <v>121</v>
      </c>
      <c r="J2005" s="15" t="s">
        <v>22</v>
      </c>
      <c r="K2005" s="15" t="s">
        <v>892</v>
      </c>
      <c r="L2005" s="15" t="s">
        <v>24</v>
      </c>
      <c r="M2005" s="16">
        <v>0.0</v>
      </c>
      <c r="N2005" s="16">
        <v>0.6</v>
      </c>
      <c r="O2005" s="16">
        <v>0.6</v>
      </c>
      <c r="P2005" s="17">
        <v>45339.0</v>
      </c>
      <c r="Q2005" s="18">
        <v>1.8</v>
      </c>
      <c r="R2005" s="15" t="s">
        <v>33</v>
      </c>
      <c r="S2005" s="19">
        <f t="shared" si="1"/>
        <v>0.48</v>
      </c>
      <c r="T2005" s="19">
        <f t="shared" si="8"/>
        <v>73.50237009</v>
      </c>
      <c r="U2005" s="144"/>
    </row>
    <row r="2006">
      <c r="A2006" s="107"/>
      <c r="B2006" s="8" t="s">
        <v>4225</v>
      </c>
      <c r="C2006" s="8" t="s">
        <v>19</v>
      </c>
      <c r="D2006" s="8">
        <v>36.0</v>
      </c>
      <c r="E2006" s="8" t="s">
        <v>4471</v>
      </c>
      <c r="F2006" s="8" t="s">
        <v>1479</v>
      </c>
      <c r="G2006" s="8" t="s">
        <v>2556</v>
      </c>
      <c r="H2006" s="8">
        <f>1</f>
        <v>1</v>
      </c>
      <c r="I2006" s="8" t="s">
        <v>908</v>
      </c>
      <c r="J2006" s="8" t="s">
        <v>22</v>
      </c>
      <c r="K2006" s="8" t="s">
        <v>225</v>
      </c>
      <c r="L2006" s="8" t="s">
        <v>24</v>
      </c>
      <c r="M2006" s="9">
        <v>1.5</v>
      </c>
      <c r="N2006" s="9">
        <v>0.5</v>
      </c>
      <c r="O2006" s="9">
        <v>0.5</v>
      </c>
      <c r="P2006" s="10">
        <v>45339.0</v>
      </c>
      <c r="Q2006" s="11">
        <v>1.224</v>
      </c>
      <c r="R2006" s="8" t="s">
        <v>33</v>
      </c>
      <c r="S2006" s="12">
        <f t="shared" si="1"/>
        <v>0.112</v>
      </c>
      <c r="T2006" s="12">
        <f t="shared" si="8"/>
        <v>73.61437009</v>
      </c>
      <c r="U2006" s="145"/>
    </row>
    <row r="2007">
      <c r="A2007" s="29"/>
      <c r="B2007" s="15" t="s">
        <v>18</v>
      </c>
      <c r="C2007" s="15" t="s">
        <v>40</v>
      </c>
      <c r="D2007" s="15">
        <v>76.0</v>
      </c>
      <c r="E2007" s="15" t="s">
        <v>4472</v>
      </c>
      <c r="F2007" s="15" t="s">
        <v>1479</v>
      </c>
      <c r="G2007" s="15" t="s">
        <v>2660</v>
      </c>
      <c r="H2007" s="15">
        <v>0.0</v>
      </c>
      <c r="I2007" s="15" t="s">
        <v>48</v>
      </c>
      <c r="J2007" s="15" t="s">
        <v>22</v>
      </c>
      <c r="K2007" s="15" t="s">
        <v>892</v>
      </c>
      <c r="L2007" s="15" t="s">
        <v>24</v>
      </c>
      <c r="M2007" s="16">
        <v>0.0</v>
      </c>
      <c r="N2007" s="16">
        <v>0.5</v>
      </c>
      <c r="O2007" s="16">
        <v>0.5</v>
      </c>
      <c r="P2007" s="17">
        <v>45339.0</v>
      </c>
      <c r="Q2007" s="18">
        <v>2.25</v>
      </c>
      <c r="R2007" s="15" t="s">
        <v>33</v>
      </c>
      <c r="S2007" s="19">
        <f t="shared" si="1"/>
        <v>0.625</v>
      </c>
      <c r="T2007" s="19">
        <f t="shared" si="8"/>
        <v>74.23937009</v>
      </c>
      <c r="U2007" s="144"/>
    </row>
    <row r="2008">
      <c r="A2008" s="107"/>
      <c r="B2008" s="8" t="s">
        <v>26</v>
      </c>
      <c r="C2008" s="8" t="s">
        <v>19</v>
      </c>
      <c r="D2008" s="8">
        <v>45.0</v>
      </c>
      <c r="E2008" s="8" t="s">
        <v>4473</v>
      </c>
      <c r="F2008" s="8" t="s">
        <v>1473</v>
      </c>
      <c r="G2008" s="8" t="s">
        <v>2660</v>
      </c>
      <c r="H2008" s="8">
        <v>-1.0</v>
      </c>
      <c r="I2008" s="8" t="s">
        <v>178</v>
      </c>
      <c r="J2008" s="8" t="s">
        <v>22</v>
      </c>
      <c r="K2008" s="8" t="s">
        <v>892</v>
      </c>
      <c r="L2008" s="8" t="s">
        <v>24</v>
      </c>
      <c r="M2008" s="9">
        <v>0.0</v>
      </c>
      <c r="N2008" s="9">
        <v>0.75</v>
      </c>
      <c r="O2008" s="9">
        <v>0.73</v>
      </c>
      <c r="P2008" s="54">
        <v>45339.0</v>
      </c>
      <c r="Q2008" s="11">
        <v>1.85</v>
      </c>
      <c r="R2008" s="8" t="s">
        <v>70</v>
      </c>
      <c r="S2008" s="12">
        <f t="shared" si="1"/>
        <v>0</v>
      </c>
      <c r="T2008" s="12">
        <f t="shared" si="8"/>
        <v>74.23937009</v>
      </c>
      <c r="U2008" s="145"/>
    </row>
    <row r="2009">
      <c r="A2009" s="29"/>
      <c r="B2009" s="15" t="s">
        <v>26</v>
      </c>
      <c r="C2009" s="15" t="s">
        <v>19</v>
      </c>
      <c r="D2009" s="15">
        <v>73.0</v>
      </c>
      <c r="E2009" s="15" t="s">
        <v>4474</v>
      </c>
      <c r="F2009" s="15" t="s">
        <v>1473</v>
      </c>
      <c r="G2009" s="15" t="s">
        <v>2660</v>
      </c>
      <c r="H2009" s="15">
        <v>2</v>
      </c>
      <c r="I2009" s="15" t="s">
        <v>28</v>
      </c>
      <c r="J2009" s="15" t="s">
        <v>22</v>
      </c>
      <c r="K2009" s="15" t="s">
        <v>892</v>
      </c>
      <c r="L2009" s="15" t="s">
        <v>24</v>
      </c>
      <c r="M2009" s="16">
        <v>0.0</v>
      </c>
      <c r="N2009" s="16">
        <v>1.0</v>
      </c>
      <c r="O2009" s="16">
        <v>1.0</v>
      </c>
      <c r="P2009" s="17">
        <v>45339.0</v>
      </c>
      <c r="Q2009" s="18">
        <v>1.725</v>
      </c>
      <c r="R2009" s="15" t="s">
        <v>70</v>
      </c>
      <c r="S2009" s="19">
        <f t="shared" si="1"/>
        <v>0</v>
      </c>
      <c r="T2009" s="19">
        <f t="shared" si="8"/>
        <v>74.23937009</v>
      </c>
      <c r="U2009" s="144"/>
    </row>
    <row r="2010">
      <c r="A2010" s="107"/>
      <c r="B2010" s="8" t="s">
        <v>131</v>
      </c>
      <c r="C2010" s="8" t="s">
        <v>19</v>
      </c>
      <c r="D2010" s="8">
        <v>79.0</v>
      </c>
      <c r="E2010" s="8" t="s">
        <v>4475</v>
      </c>
      <c r="F2010" s="8" t="s">
        <v>1473</v>
      </c>
      <c r="G2010" s="8" t="s">
        <v>2556</v>
      </c>
      <c r="H2010" s="8">
        <v>0.0</v>
      </c>
      <c r="I2010" s="8" t="s">
        <v>273</v>
      </c>
      <c r="J2010" s="8" t="s">
        <v>22</v>
      </c>
      <c r="K2010" s="8" t="s">
        <v>4352</v>
      </c>
      <c r="L2010" s="8" t="s">
        <v>24</v>
      </c>
      <c r="M2010" s="9">
        <v>0.0</v>
      </c>
      <c r="N2010" s="9">
        <v>0.3</v>
      </c>
      <c r="O2010" s="9">
        <v>0.3</v>
      </c>
      <c r="P2010" s="10">
        <v>45339.0</v>
      </c>
      <c r="Q2010" s="11">
        <v>2.5</v>
      </c>
      <c r="R2010" s="8" t="s">
        <v>70</v>
      </c>
      <c r="S2010" s="12">
        <f t="shared" si="1"/>
        <v>0</v>
      </c>
      <c r="T2010" s="12">
        <f t="shared" si="8"/>
        <v>74.23937009</v>
      </c>
      <c r="U2010" s="145"/>
    </row>
    <row r="2011">
      <c r="A2011" s="29"/>
      <c r="B2011" s="15" t="s">
        <v>129</v>
      </c>
      <c r="C2011" s="15" t="s">
        <v>40</v>
      </c>
      <c r="D2011" s="15">
        <v>40.0</v>
      </c>
      <c r="E2011" s="15" t="s">
        <v>4476</v>
      </c>
      <c r="F2011" s="15" t="s">
        <v>1473</v>
      </c>
      <c r="G2011" s="15" t="s">
        <v>2660</v>
      </c>
      <c r="H2011" s="15">
        <f>1</f>
        <v>1</v>
      </c>
      <c r="I2011" s="15" t="s">
        <v>93</v>
      </c>
      <c r="J2011" s="15" t="s">
        <v>22</v>
      </c>
      <c r="K2011" s="15" t="s">
        <v>1150</v>
      </c>
      <c r="L2011" s="15" t="s">
        <v>24</v>
      </c>
      <c r="M2011" s="16">
        <v>0.0</v>
      </c>
      <c r="N2011" s="16">
        <v>0.25</v>
      </c>
      <c r="O2011" s="16">
        <v>0.25</v>
      </c>
      <c r="P2011" s="55">
        <v>45339.0</v>
      </c>
      <c r="Q2011" s="18">
        <v>1.825</v>
      </c>
      <c r="R2011" s="15" t="s">
        <v>70</v>
      </c>
      <c r="S2011" s="19">
        <f t="shared" si="1"/>
        <v>0</v>
      </c>
      <c r="T2011" s="19">
        <f t="shared" si="8"/>
        <v>74.23937009</v>
      </c>
      <c r="U2011" s="144"/>
    </row>
    <row r="2012">
      <c r="A2012" s="107"/>
      <c r="B2012" s="8" t="s">
        <v>26</v>
      </c>
      <c r="C2012" s="8" t="s">
        <v>19</v>
      </c>
      <c r="D2012" s="8">
        <v>75.0</v>
      </c>
      <c r="E2012" s="8" t="s">
        <v>4477</v>
      </c>
      <c r="F2012" s="8" t="s">
        <v>1479</v>
      </c>
      <c r="G2012" s="8" t="s">
        <v>2660</v>
      </c>
      <c r="H2012" s="8">
        <v>0.0</v>
      </c>
      <c r="I2012" s="8" t="s">
        <v>227</v>
      </c>
      <c r="J2012" s="8" t="s">
        <v>22</v>
      </c>
      <c r="K2012" s="8" t="s">
        <v>892</v>
      </c>
      <c r="L2012" s="8" t="s">
        <v>24</v>
      </c>
      <c r="M2012" s="9">
        <v>0.0</v>
      </c>
      <c r="N2012" s="9">
        <v>1.0</v>
      </c>
      <c r="O2012" s="9">
        <v>1.0</v>
      </c>
      <c r="P2012" s="10">
        <v>45339.0</v>
      </c>
      <c r="Q2012" s="11">
        <v>1.7</v>
      </c>
      <c r="R2012" s="8" t="s">
        <v>70</v>
      </c>
      <c r="S2012" s="12">
        <f t="shared" si="1"/>
        <v>0</v>
      </c>
      <c r="T2012" s="12">
        <f t="shared" si="8"/>
        <v>74.23937009</v>
      </c>
      <c r="U2012" s="145"/>
    </row>
    <row r="2013">
      <c r="A2013" s="29"/>
      <c r="B2013" s="15" t="s">
        <v>26</v>
      </c>
      <c r="C2013" s="15" t="s">
        <v>19</v>
      </c>
      <c r="D2013" s="15">
        <v>55.0</v>
      </c>
      <c r="E2013" s="15" t="s">
        <v>4478</v>
      </c>
      <c r="F2013" s="15" t="s">
        <v>1473</v>
      </c>
      <c r="G2013" s="15" t="s">
        <v>2660</v>
      </c>
      <c r="H2013" s="15">
        <v>-1.0</v>
      </c>
      <c r="I2013" s="15" t="s">
        <v>172</v>
      </c>
      <c r="J2013" s="15" t="s">
        <v>22</v>
      </c>
      <c r="K2013" s="15" t="s">
        <v>892</v>
      </c>
      <c r="L2013" s="15" t="s">
        <v>24</v>
      </c>
      <c r="M2013" s="16">
        <v>0.0</v>
      </c>
      <c r="N2013" s="16">
        <v>1.0</v>
      </c>
      <c r="O2013" s="16">
        <v>1.0</v>
      </c>
      <c r="P2013" s="17">
        <v>45339.0</v>
      </c>
      <c r="Q2013" s="18">
        <v>1.725</v>
      </c>
      <c r="R2013" s="15" t="s">
        <v>25</v>
      </c>
      <c r="S2013" s="19">
        <f t="shared" si="1"/>
        <v>-1</v>
      </c>
      <c r="T2013" s="19">
        <f t="shared" si="8"/>
        <v>73.23937009</v>
      </c>
      <c r="U2013" s="144"/>
    </row>
    <row r="2014">
      <c r="A2014" s="107"/>
      <c r="B2014" s="8" t="s">
        <v>26</v>
      </c>
      <c r="C2014" s="8" t="s">
        <v>19</v>
      </c>
      <c r="D2014" s="8">
        <v>65.0</v>
      </c>
      <c r="E2014" s="8" t="s">
        <v>4479</v>
      </c>
      <c r="F2014" s="8" t="s">
        <v>1479</v>
      </c>
      <c r="G2014" s="8" t="s">
        <v>2660</v>
      </c>
      <c r="H2014" s="8">
        <v>0.0</v>
      </c>
      <c r="I2014" s="8" t="s">
        <v>172</v>
      </c>
      <c r="J2014" s="8" t="s">
        <v>22</v>
      </c>
      <c r="K2014" s="8" t="s">
        <v>892</v>
      </c>
      <c r="L2014" s="8" t="s">
        <v>24</v>
      </c>
      <c r="M2014" s="9">
        <v>0.0</v>
      </c>
      <c r="N2014" s="9">
        <v>0.65</v>
      </c>
      <c r="O2014" s="9">
        <v>0.65</v>
      </c>
      <c r="P2014" s="10">
        <v>45339.0</v>
      </c>
      <c r="Q2014" s="11">
        <v>1.65</v>
      </c>
      <c r="R2014" s="8" t="s">
        <v>33</v>
      </c>
      <c r="S2014" s="12">
        <f t="shared" si="1"/>
        <v>0.4225</v>
      </c>
      <c r="T2014" s="12">
        <f t="shared" si="8"/>
        <v>73.66187009</v>
      </c>
      <c r="U2014" s="145"/>
    </row>
    <row r="2015">
      <c r="A2015" s="29"/>
      <c r="B2015" s="15" t="s">
        <v>4225</v>
      </c>
      <c r="C2015" s="15" t="s">
        <v>19</v>
      </c>
      <c r="D2015" s="15">
        <v>30.0</v>
      </c>
      <c r="E2015" s="15" t="s">
        <v>4480</v>
      </c>
      <c r="F2015" s="15" t="s">
        <v>1473</v>
      </c>
      <c r="G2015" s="15" t="s">
        <v>2556</v>
      </c>
      <c r="H2015" s="15">
        <v>0.0</v>
      </c>
      <c r="I2015" s="15" t="s">
        <v>93</v>
      </c>
      <c r="J2015" s="15" t="s">
        <v>22</v>
      </c>
      <c r="K2015" s="15" t="s">
        <v>225</v>
      </c>
      <c r="L2015" s="15" t="s">
        <v>24</v>
      </c>
      <c r="M2015" s="16">
        <v>0.25</v>
      </c>
      <c r="N2015" s="16">
        <v>0.2</v>
      </c>
      <c r="O2015" s="16">
        <v>0.2</v>
      </c>
      <c r="P2015" s="17">
        <v>45339.0</v>
      </c>
      <c r="Q2015" s="18">
        <v>1.775</v>
      </c>
      <c r="R2015" s="15" t="s">
        <v>33</v>
      </c>
      <c r="S2015" s="19">
        <f t="shared" si="1"/>
        <v>0.155</v>
      </c>
      <c r="T2015" s="19">
        <f t="shared" si="8"/>
        <v>73.81687009</v>
      </c>
      <c r="U2015" s="144"/>
    </row>
    <row r="2016">
      <c r="A2016" s="107"/>
      <c r="B2016" s="8" t="s">
        <v>129</v>
      </c>
      <c r="C2016" s="8" t="s">
        <v>19</v>
      </c>
      <c r="D2016" s="8">
        <v>80.0</v>
      </c>
      <c r="E2016" s="8" t="s">
        <v>4481</v>
      </c>
      <c r="F2016" s="8" t="s">
        <v>1473</v>
      </c>
      <c r="G2016" s="8" t="s">
        <v>2556</v>
      </c>
      <c r="H2016" s="8">
        <f>1</f>
        <v>1</v>
      </c>
      <c r="I2016" s="8" t="s">
        <v>124</v>
      </c>
      <c r="J2016" s="8" t="s">
        <v>22</v>
      </c>
      <c r="K2016" s="8" t="s">
        <v>225</v>
      </c>
      <c r="L2016" s="8" t="s">
        <v>24</v>
      </c>
      <c r="M2016" s="9">
        <v>0.5</v>
      </c>
      <c r="N2016" s="9">
        <v>0.5</v>
      </c>
      <c r="O2016" s="9">
        <v>0.5</v>
      </c>
      <c r="P2016" s="10">
        <v>45339.0</v>
      </c>
      <c r="Q2016" s="11">
        <v>1.8</v>
      </c>
      <c r="R2016" s="8" t="s">
        <v>25</v>
      </c>
      <c r="S2016" s="12">
        <f t="shared" si="1"/>
        <v>-0.5</v>
      </c>
      <c r="T2016" s="12">
        <f t="shared" si="8"/>
        <v>73.31687009</v>
      </c>
      <c r="U2016" s="145"/>
    </row>
    <row r="2017">
      <c r="A2017" s="29"/>
      <c r="B2017" s="15" t="s">
        <v>26</v>
      </c>
      <c r="C2017" s="15" t="s">
        <v>40</v>
      </c>
      <c r="D2017" s="15">
        <v>57.0</v>
      </c>
      <c r="E2017" s="15" t="s">
        <v>4482</v>
      </c>
      <c r="F2017" s="15" t="s">
        <v>1473</v>
      </c>
      <c r="G2017" s="15" t="s">
        <v>2556</v>
      </c>
      <c r="H2017" s="15">
        <v>-1.0</v>
      </c>
      <c r="I2017" s="15" t="s">
        <v>28</v>
      </c>
      <c r="J2017" s="15" t="s">
        <v>22</v>
      </c>
      <c r="K2017" s="15" t="s">
        <v>225</v>
      </c>
      <c r="L2017" s="15" t="s">
        <v>24</v>
      </c>
      <c r="M2017" s="16">
        <v>0.25</v>
      </c>
      <c r="N2017" s="16">
        <v>1.0</v>
      </c>
      <c r="O2017" s="16">
        <v>1.0</v>
      </c>
      <c r="P2017" s="17">
        <v>45339.0</v>
      </c>
      <c r="Q2017" s="18">
        <v>1.85</v>
      </c>
      <c r="R2017" s="15" t="s">
        <v>25</v>
      </c>
      <c r="S2017" s="19">
        <f t="shared" si="1"/>
        <v>-1</v>
      </c>
      <c r="T2017" s="19">
        <f t="shared" si="8"/>
        <v>72.31687009</v>
      </c>
      <c r="U2017" s="144"/>
    </row>
    <row r="2018">
      <c r="A2018" s="107"/>
      <c r="B2018" s="8" t="s">
        <v>26</v>
      </c>
      <c r="C2018" s="8" t="s">
        <v>40</v>
      </c>
      <c r="D2018" s="8">
        <v>54.0</v>
      </c>
      <c r="E2018" s="8" t="s">
        <v>4483</v>
      </c>
      <c r="F2018" s="8" t="s">
        <v>1479</v>
      </c>
      <c r="G2018" s="8" t="s">
        <v>2556</v>
      </c>
      <c r="H2018" s="8">
        <v>0.0</v>
      </c>
      <c r="I2018" s="8" t="s">
        <v>93</v>
      </c>
      <c r="J2018" s="8" t="s">
        <v>22</v>
      </c>
      <c r="K2018" s="8" t="s">
        <v>4352</v>
      </c>
      <c r="L2018" s="8" t="s">
        <v>24</v>
      </c>
      <c r="M2018" s="9">
        <v>0.0</v>
      </c>
      <c r="N2018" s="9">
        <v>0.6</v>
      </c>
      <c r="O2018" s="9">
        <v>0.6</v>
      </c>
      <c r="P2018" s="10">
        <v>45339.0</v>
      </c>
      <c r="Q2018" s="11">
        <v>1.8</v>
      </c>
      <c r="R2018" s="8" t="s">
        <v>70</v>
      </c>
      <c r="S2018" s="12">
        <f t="shared" si="1"/>
        <v>0</v>
      </c>
      <c r="T2018" s="12">
        <f t="shared" si="8"/>
        <v>72.31687009</v>
      </c>
      <c r="U2018" s="145"/>
    </row>
    <row r="2019">
      <c r="A2019" s="29"/>
      <c r="B2019" s="15" t="s">
        <v>137</v>
      </c>
      <c r="C2019" s="15" t="s">
        <v>40</v>
      </c>
      <c r="D2019" s="15">
        <v>35.0</v>
      </c>
      <c r="E2019" s="15" t="s">
        <v>4484</v>
      </c>
      <c r="F2019" s="15" t="s">
        <v>1473</v>
      </c>
      <c r="G2019" s="15" t="s">
        <v>2660</v>
      </c>
      <c r="H2019" s="15">
        <f>1</f>
        <v>1</v>
      </c>
      <c r="I2019" s="15" t="s">
        <v>93</v>
      </c>
      <c r="J2019" s="15" t="s">
        <v>22</v>
      </c>
      <c r="K2019" s="15" t="s">
        <v>1150</v>
      </c>
      <c r="L2019" s="15" t="s">
        <v>24</v>
      </c>
      <c r="M2019" s="16">
        <v>0.0</v>
      </c>
      <c r="N2019" s="16">
        <v>0.5</v>
      </c>
      <c r="O2019" s="16">
        <v>0.442</v>
      </c>
      <c r="P2019" s="17">
        <v>45339.0</v>
      </c>
      <c r="Q2019" s="18">
        <v>2.025</v>
      </c>
      <c r="R2019" s="15" t="s">
        <v>70</v>
      </c>
      <c r="S2019" s="19">
        <f t="shared" si="1"/>
        <v>0</v>
      </c>
      <c r="T2019" s="19">
        <f t="shared" si="8"/>
        <v>72.31687009</v>
      </c>
      <c r="U2019" s="144"/>
    </row>
    <row r="2020">
      <c r="A2020" s="107"/>
      <c r="B2020" s="8" t="s">
        <v>26</v>
      </c>
      <c r="C2020" s="8" t="s">
        <v>19</v>
      </c>
      <c r="D2020" s="8">
        <v>16.0</v>
      </c>
      <c r="E2020" s="8" t="s">
        <v>4485</v>
      </c>
      <c r="F2020" s="8" t="s">
        <v>1479</v>
      </c>
      <c r="G2020" s="8" t="s">
        <v>2660</v>
      </c>
      <c r="H2020" s="8">
        <v>0.0</v>
      </c>
      <c r="I2020" s="8" t="s">
        <v>88</v>
      </c>
      <c r="J2020" s="8" t="s">
        <v>22</v>
      </c>
      <c r="K2020" s="8" t="s">
        <v>1150</v>
      </c>
      <c r="L2020" s="8" t="s">
        <v>39</v>
      </c>
      <c r="M2020" s="9">
        <v>0.0</v>
      </c>
      <c r="N2020" s="9">
        <v>0.75</v>
      </c>
      <c r="O2020" s="9">
        <v>0.75</v>
      </c>
      <c r="P2020" s="10">
        <v>45340.0</v>
      </c>
      <c r="Q2020" s="11">
        <v>1.9</v>
      </c>
      <c r="R2020" s="8" t="s">
        <v>70</v>
      </c>
      <c r="S2020" s="12">
        <f t="shared" si="1"/>
        <v>0</v>
      </c>
      <c r="T2020" s="12">
        <f t="shared" si="8"/>
        <v>72.31687009</v>
      </c>
      <c r="U2020" s="145"/>
    </row>
    <row r="2021">
      <c r="A2021" s="29"/>
      <c r="B2021" s="15" t="s">
        <v>26</v>
      </c>
      <c r="C2021" s="15" t="s">
        <v>19</v>
      </c>
      <c r="D2021" s="15">
        <v>62.0</v>
      </c>
      <c r="E2021" s="15" t="s">
        <v>4486</v>
      </c>
      <c r="F2021" s="15" t="s">
        <v>1473</v>
      </c>
      <c r="G2021" s="15" t="s">
        <v>2660</v>
      </c>
      <c r="H2021" s="15">
        <f>1</f>
        <v>1</v>
      </c>
      <c r="I2021" s="15" t="s">
        <v>50</v>
      </c>
      <c r="J2021" s="15" t="s">
        <v>22</v>
      </c>
      <c r="K2021" s="15" t="s">
        <v>892</v>
      </c>
      <c r="L2021" s="15" t="s">
        <v>24</v>
      </c>
      <c r="M2021" s="16">
        <v>0.0</v>
      </c>
      <c r="N2021" s="16">
        <v>1.0</v>
      </c>
      <c r="O2021" s="16">
        <v>0.897</v>
      </c>
      <c r="P2021" s="17">
        <v>45340.0</v>
      </c>
      <c r="Q2021" s="18">
        <v>1.825</v>
      </c>
      <c r="R2021" s="15" t="s">
        <v>70</v>
      </c>
      <c r="S2021" s="19">
        <f t="shared" si="1"/>
        <v>0</v>
      </c>
      <c r="T2021" s="19">
        <f t="shared" si="8"/>
        <v>72.31687009</v>
      </c>
      <c r="U2021" s="144"/>
    </row>
    <row r="2022">
      <c r="A2022" s="107"/>
      <c r="B2022" s="8" t="s">
        <v>137</v>
      </c>
      <c r="C2022" s="8" t="s">
        <v>19</v>
      </c>
      <c r="D2022" s="8">
        <v>70.0</v>
      </c>
      <c r="E2022" s="8" t="s">
        <v>4487</v>
      </c>
      <c r="F2022" s="8" t="s">
        <v>1473</v>
      </c>
      <c r="G2022" s="8" t="s">
        <v>2660</v>
      </c>
      <c r="H2022" s="8">
        <v>-2.0</v>
      </c>
      <c r="I2022" s="8" t="s">
        <v>93</v>
      </c>
      <c r="J2022" s="8" t="s">
        <v>22</v>
      </c>
      <c r="K2022" s="8" t="s">
        <v>892</v>
      </c>
      <c r="L2022" s="8" t="s">
        <v>24</v>
      </c>
      <c r="M2022" s="9">
        <v>0.0</v>
      </c>
      <c r="N2022" s="9">
        <v>1.0</v>
      </c>
      <c r="O2022" s="9">
        <v>1.0</v>
      </c>
      <c r="P2022" s="54">
        <v>45340.0</v>
      </c>
      <c r="Q2022" s="11">
        <v>2.075</v>
      </c>
      <c r="R2022" s="8" t="s">
        <v>33</v>
      </c>
      <c r="S2022" s="12">
        <f t="shared" si="1"/>
        <v>1.075</v>
      </c>
      <c r="T2022" s="12">
        <f t="shared" si="8"/>
        <v>73.39187009</v>
      </c>
      <c r="U2022" s="145"/>
    </row>
    <row r="2023">
      <c r="A2023" s="29"/>
      <c r="B2023" s="15" t="s">
        <v>4225</v>
      </c>
      <c r="C2023" s="15" t="s">
        <v>19</v>
      </c>
      <c r="D2023" s="139">
        <v>77.0</v>
      </c>
      <c r="E2023" s="15" t="s">
        <v>4488</v>
      </c>
      <c r="F2023" s="15" t="s">
        <v>1479</v>
      </c>
      <c r="G2023" s="15" t="s">
        <v>2660</v>
      </c>
      <c r="H2023" s="15">
        <v>-1.0</v>
      </c>
      <c r="I2023" s="15" t="s">
        <v>229</v>
      </c>
      <c r="J2023" s="15" t="s">
        <v>22</v>
      </c>
      <c r="K2023" s="15" t="s">
        <v>892</v>
      </c>
      <c r="L2023" s="15" t="s">
        <v>24</v>
      </c>
      <c r="M2023" s="16">
        <v>0.0</v>
      </c>
      <c r="N2023" s="16">
        <v>0.5</v>
      </c>
      <c r="O2023" s="16">
        <v>0.5</v>
      </c>
      <c r="P2023" s="17">
        <v>45340.0</v>
      </c>
      <c r="Q2023" s="18">
        <v>2.02</v>
      </c>
      <c r="R2023" s="15" t="s">
        <v>70</v>
      </c>
      <c r="S2023" s="19">
        <f t="shared" si="1"/>
        <v>0</v>
      </c>
      <c r="T2023" s="19">
        <f t="shared" si="8"/>
        <v>73.39187009</v>
      </c>
      <c r="U2023" s="144"/>
    </row>
    <row r="2024">
      <c r="A2024" s="107"/>
      <c r="B2024" s="8" t="s">
        <v>26</v>
      </c>
      <c r="C2024" s="8" t="s">
        <v>40</v>
      </c>
      <c r="D2024" s="8">
        <v>59.0</v>
      </c>
      <c r="E2024" s="8" t="s">
        <v>4489</v>
      </c>
      <c r="F2024" s="8" t="s">
        <v>1473</v>
      </c>
      <c r="G2024" s="8" t="s">
        <v>2660</v>
      </c>
      <c r="H2024" s="8">
        <f t="shared" ref="H2024:H2025" si="57">1</f>
        <v>1</v>
      </c>
      <c r="I2024" s="8" t="s">
        <v>93</v>
      </c>
      <c r="J2024" s="8" t="s">
        <v>22</v>
      </c>
      <c r="K2024" s="8" t="s">
        <v>892</v>
      </c>
      <c r="L2024" s="8" t="s">
        <v>24</v>
      </c>
      <c r="M2024" s="9">
        <v>0.0</v>
      </c>
      <c r="N2024" s="9">
        <v>1.0</v>
      </c>
      <c r="O2024" s="9">
        <v>1.0</v>
      </c>
      <c r="P2024" s="10">
        <v>45340.0</v>
      </c>
      <c r="Q2024" s="11">
        <v>1.8</v>
      </c>
      <c r="R2024" s="8" t="s">
        <v>70</v>
      </c>
      <c r="S2024" s="12">
        <f t="shared" si="1"/>
        <v>0</v>
      </c>
      <c r="T2024" s="12">
        <f t="shared" si="8"/>
        <v>73.39187009</v>
      </c>
      <c r="U2024" s="145"/>
    </row>
    <row r="2025">
      <c r="A2025" s="29"/>
      <c r="B2025" s="15" t="s">
        <v>137</v>
      </c>
      <c r="C2025" s="15" t="s">
        <v>19</v>
      </c>
      <c r="D2025" s="15">
        <v>23.0</v>
      </c>
      <c r="E2025" s="15" t="s">
        <v>4490</v>
      </c>
      <c r="F2025" s="15" t="s">
        <v>1473</v>
      </c>
      <c r="G2025" s="15" t="s">
        <v>2660</v>
      </c>
      <c r="H2025" s="15">
        <f t="shared" si="57"/>
        <v>1</v>
      </c>
      <c r="I2025" s="15" t="s">
        <v>273</v>
      </c>
      <c r="J2025" s="15" t="s">
        <v>22</v>
      </c>
      <c r="K2025" s="15" t="s">
        <v>892</v>
      </c>
      <c r="L2025" s="15" t="s">
        <v>24</v>
      </c>
      <c r="M2025" s="16">
        <v>0.0</v>
      </c>
      <c r="N2025" s="16">
        <v>1.0</v>
      </c>
      <c r="O2025" s="16">
        <v>1.0</v>
      </c>
      <c r="P2025" s="55">
        <v>45340.0</v>
      </c>
      <c r="Q2025" s="18">
        <v>1.709</v>
      </c>
      <c r="R2025" s="15" t="s">
        <v>33</v>
      </c>
      <c r="S2025" s="19">
        <f t="shared" si="1"/>
        <v>0.709</v>
      </c>
      <c r="T2025" s="19">
        <f t="shared" si="8"/>
        <v>74.10087009</v>
      </c>
      <c r="U2025" s="144"/>
    </row>
    <row r="2026">
      <c r="A2026" s="107"/>
      <c r="B2026" s="8" t="s">
        <v>26</v>
      </c>
      <c r="C2026" s="8" t="s">
        <v>19</v>
      </c>
      <c r="D2026" s="8">
        <v>5.0</v>
      </c>
      <c r="E2026" s="8" t="s">
        <v>4491</v>
      </c>
      <c r="F2026" s="8" t="s">
        <v>1479</v>
      </c>
      <c r="G2026" s="8" t="s">
        <v>2556</v>
      </c>
      <c r="H2026" s="8">
        <v>0.0</v>
      </c>
      <c r="I2026" s="8" t="s">
        <v>121</v>
      </c>
      <c r="J2026" s="8" t="s">
        <v>22</v>
      </c>
      <c r="K2026" s="8" t="s">
        <v>1847</v>
      </c>
      <c r="L2026" s="8" t="s">
        <v>1522</v>
      </c>
      <c r="M2026" s="9">
        <v>-0.5</v>
      </c>
      <c r="N2026" s="9">
        <v>0.5</v>
      </c>
      <c r="O2026" s="9">
        <v>0.5</v>
      </c>
      <c r="P2026" s="10">
        <v>45340.0</v>
      </c>
      <c r="Q2026" s="11">
        <v>1.8</v>
      </c>
      <c r="R2026" s="8" t="s">
        <v>25</v>
      </c>
      <c r="S2026" s="12">
        <f t="shared" si="1"/>
        <v>-0.5</v>
      </c>
      <c r="T2026" s="12">
        <f t="shared" si="8"/>
        <v>73.60087009</v>
      </c>
      <c r="U2026" s="145"/>
    </row>
    <row r="2027">
      <c r="A2027" s="29"/>
      <c r="B2027" s="15" t="s">
        <v>137</v>
      </c>
      <c r="C2027" s="15" t="s">
        <v>19</v>
      </c>
      <c r="D2027" s="15">
        <v>33.0</v>
      </c>
      <c r="E2027" s="15" t="s">
        <v>4492</v>
      </c>
      <c r="F2027" s="15" t="s">
        <v>1473</v>
      </c>
      <c r="G2027" s="15" t="s">
        <v>2556</v>
      </c>
      <c r="H2027" s="15">
        <v>0.0</v>
      </c>
      <c r="I2027" s="15" t="s">
        <v>96</v>
      </c>
      <c r="J2027" s="15" t="s">
        <v>22</v>
      </c>
      <c r="K2027" s="15" t="s">
        <v>225</v>
      </c>
      <c r="L2027" s="15" t="s">
        <v>24</v>
      </c>
      <c r="M2027" s="16">
        <v>0.25</v>
      </c>
      <c r="N2027" s="16">
        <v>1.0</v>
      </c>
      <c r="O2027" s="16">
        <v>1.0</v>
      </c>
      <c r="P2027" s="17">
        <v>45340.0</v>
      </c>
      <c r="Q2027" s="18">
        <v>1.725</v>
      </c>
      <c r="R2027" s="15" t="s">
        <v>996</v>
      </c>
      <c r="S2027" s="19">
        <f t="shared" si="1"/>
        <v>0.3625</v>
      </c>
      <c r="T2027" s="19">
        <f t="shared" si="8"/>
        <v>73.96337009</v>
      </c>
      <c r="U2027" s="144"/>
    </row>
    <row r="2028">
      <c r="A2028" s="107"/>
      <c r="B2028" s="8" t="s">
        <v>26</v>
      </c>
      <c r="C2028" s="8" t="s">
        <v>19</v>
      </c>
      <c r="D2028" s="8">
        <v>67.0</v>
      </c>
      <c r="E2028" s="8" t="s">
        <v>4493</v>
      </c>
      <c r="F2028" s="8" t="s">
        <v>1479</v>
      </c>
      <c r="G2028" s="8" t="s">
        <v>2660</v>
      </c>
      <c r="H2028" s="8">
        <f>1</f>
        <v>1</v>
      </c>
      <c r="I2028" s="8" t="s">
        <v>44</v>
      </c>
      <c r="J2028" s="8" t="s">
        <v>22</v>
      </c>
      <c r="K2028" s="8" t="s">
        <v>892</v>
      </c>
      <c r="L2028" s="8" t="s">
        <v>24</v>
      </c>
      <c r="M2028" s="9">
        <v>0.0</v>
      </c>
      <c r="N2028" s="9">
        <v>0.25</v>
      </c>
      <c r="O2028" s="9">
        <v>0.25</v>
      </c>
      <c r="P2028" s="10">
        <v>45340.0</v>
      </c>
      <c r="Q2028" s="11">
        <v>1.775</v>
      </c>
      <c r="R2028" s="8" t="s">
        <v>25</v>
      </c>
      <c r="S2028" s="12">
        <f t="shared" si="1"/>
        <v>-0.25</v>
      </c>
      <c r="T2028" s="12">
        <f t="shared" si="8"/>
        <v>73.71337009</v>
      </c>
      <c r="U2028" s="145"/>
    </row>
    <row r="2029">
      <c r="A2029" s="29"/>
      <c r="B2029" s="15" t="s">
        <v>26</v>
      </c>
      <c r="C2029" s="15" t="s">
        <v>19</v>
      </c>
      <c r="D2029" s="15">
        <v>81.0</v>
      </c>
      <c r="E2029" s="15" t="s">
        <v>4494</v>
      </c>
      <c r="F2029" s="15" t="s">
        <v>1479</v>
      </c>
      <c r="G2029" s="15" t="s">
        <v>2660</v>
      </c>
      <c r="H2029" s="15">
        <v>3</v>
      </c>
      <c r="I2029" s="15" t="s">
        <v>48</v>
      </c>
      <c r="J2029" s="15" t="s">
        <v>22</v>
      </c>
      <c r="K2029" s="15" t="s">
        <v>892</v>
      </c>
      <c r="L2029" s="15" t="s">
        <v>24</v>
      </c>
      <c r="M2029" s="16">
        <v>0.0</v>
      </c>
      <c r="N2029" s="16">
        <v>0.3</v>
      </c>
      <c r="O2029" s="16">
        <v>0.3</v>
      </c>
      <c r="P2029" s="17">
        <v>45340.0</v>
      </c>
      <c r="Q2029" s="18">
        <v>2.35</v>
      </c>
      <c r="R2029" s="15" t="s">
        <v>70</v>
      </c>
      <c r="S2029" s="19">
        <f t="shared" si="1"/>
        <v>0</v>
      </c>
      <c r="T2029" s="19">
        <f t="shared" si="8"/>
        <v>73.71337009</v>
      </c>
      <c r="U2029" s="144"/>
    </row>
    <row r="2030">
      <c r="A2030" s="107"/>
      <c r="B2030" s="8" t="s">
        <v>129</v>
      </c>
      <c r="C2030" s="8" t="s">
        <v>19</v>
      </c>
      <c r="D2030" s="8">
        <v>45.0</v>
      </c>
      <c r="E2030" s="8" t="s">
        <v>4495</v>
      </c>
      <c r="F2030" s="8" t="s">
        <v>1473</v>
      </c>
      <c r="G2030" s="8" t="s">
        <v>2556</v>
      </c>
      <c r="H2030" s="8">
        <v>0.0</v>
      </c>
      <c r="I2030" s="8" t="s">
        <v>124</v>
      </c>
      <c r="J2030" s="8" t="s">
        <v>22</v>
      </c>
      <c r="K2030" s="8" t="s">
        <v>225</v>
      </c>
      <c r="L2030" s="8" t="s">
        <v>24</v>
      </c>
      <c r="M2030" s="9">
        <v>0.25</v>
      </c>
      <c r="N2030" s="9">
        <v>0.5</v>
      </c>
      <c r="O2030" s="9">
        <v>0.5</v>
      </c>
      <c r="P2030" s="10">
        <v>45340.0</v>
      </c>
      <c r="Q2030" s="11">
        <v>1.32712</v>
      </c>
      <c r="R2030" s="8" t="s">
        <v>33</v>
      </c>
      <c r="S2030" s="12">
        <f t="shared" si="1"/>
        <v>0.16356</v>
      </c>
      <c r="T2030" s="12">
        <f t="shared" si="8"/>
        <v>73.87693009</v>
      </c>
      <c r="U2030" s="145"/>
    </row>
    <row r="2031">
      <c r="A2031" s="29"/>
      <c r="B2031" s="15" t="s">
        <v>137</v>
      </c>
      <c r="C2031" s="15" t="s">
        <v>19</v>
      </c>
      <c r="D2031" s="15">
        <v>67.0</v>
      </c>
      <c r="E2031" s="15" t="s">
        <v>4496</v>
      </c>
      <c r="F2031" s="15" t="s">
        <v>1473</v>
      </c>
      <c r="G2031" s="15" t="s">
        <v>2660</v>
      </c>
      <c r="H2031" s="15">
        <v>-1.0</v>
      </c>
      <c r="I2031" s="15" t="s">
        <v>42</v>
      </c>
      <c r="J2031" s="15" t="s">
        <v>22</v>
      </c>
      <c r="K2031" s="15" t="s">
        <v>892</v>
      </c>
      <c r="L2031" s="15" t="s">
        <v>24</v>
      </c>
      <c r="M2031" s="16">
        <v>0.0</v>
      </c>
      <c r="N2031" s="16">
        <v>0.5</v>
      </c>
      <c r="O2031" s="16">
        <v>0.5</v>
      </c>
      <c r="P2031" s="17">
        <v>45340.0</v>
      </c>
      <c r="Q2031" s="18">
        <v>1.8</v>
      </c>
      <c r="R2031" s="15" t="s">
        <v>70</v>
      </c>
      <c r="S2031" s="19">
        <f t="shared" si="1"/>
        <v>0</v>
      </c>
      <c r="T2031" s="19">
        <f t="shared" si="8"/>
        <v>73.87693009</v>
      </c>
      <c r="U2031" s="144"/>
    </row>
    <row r="2032">
      <c r="A2032" s="107"/>
      <c r="B2032" s="8" t="s">
        <v>26</v>
      </c>
      <c r="C2032" s="8" t="s">
        <v>19</v>
      </c>
      <c r="D2032" s="8">
        <v>40.0</v>
      </c>
      <c r="E2032" s="8" t="s">
        <v>4497</v>
      </c>
      <c r="F2032" s="8" t="s">
        <v>1473</v>
      </c>
      <c r="G2032" s="8" t="s">
        <v>2660</v>
      </c>
      <c r="H2032" s="8">
        <f>1</f>
        <v>1</v>
      </c>
      <c r="I2032" s="8" t="s">
        <v>616</v>
      </c>
      <c r="J2032" s="8" t="s">
        <v>22</v>
      </c>
      <c r="K2032" s="8" t="s">
        <v>892</v>
      </c>
      <c r="L2032" s="8" t="s">
        <v>24</v>
      </c>
      <c r="M2032" s="9">
        <v>0.0</v>
      </c>
      <c r="N2032" s="9">
        <v>0.5</v>
      </c>
      <c r="O2032" s="9">
        <v>0.5</v>
      </c>
      <c r="P2032" s="10">
        <v>45340.0</v>
      </c>
      <c r="Q2032" s="11">
        <v>1.85</v>
      </c>
      <c r="R2032" s="8" t="s">
        <v>25</v>
      </c>
      <c r="S2032" s="12">
        <f t="shared" si="1"/>
        <v>-0.5</v>
      </c>
      <c r="T2032" s="12">
        <f t="shared" si="8"/>
        <v>73.37693009</v>
      </c>
      <c r="U2032" s="145"/>
    </row>
    <row r="2033">
      <c r="A2033" s="29"/>
      <c r="B2033" s="15" t="s">
        <v>131</v>
      </c>
      <c r="C2033" s="15" t="s">
        <v>19</v>
      </c>
      <c r="D2033" s="15">
        <v>87.0</v>
      </c>
      <c r="E2033" s="15" t="s">
        <v>4498</v>
      </c>
      <c r="F2033" s="15"/>
      <c r="G2033" s="15"/>
      <c r="H2033" s="15"/>
      <c r="I2033" s="15" t="s">
        <v>28</v>
      </c>
      <c r="J2033" s="15" t="s">
        <v>22</v>
      </c>
      <c r="K2033" s="15" t="s">
        <v>29</v>
      </c>
      <c r="L2033" s="15" t="s">
        <v>24</v>
      </c>
      <c r="M2033" s="16">
        <v>-11.5</v>
      </c>
      <c r="N2033" s="16">
        <v>0.3</v>
      </c>
      <c r="O2033" s="16">
        <v>0.3</v>
      </c>
      <c r="P2033" s="17">
        <v>45341.0</v>
      </c>
      <c r="Q2033" s="18">
        <v>1.725</v>
      </c>
      <c r="R2033" s="15" t="s">
        <v>33</v>
      </c>
      <c r="S2033" s="19">
        <f t="shared" si="1"/>
        <v>0.2175</v>
      </c>
      <c r="T2033" s="19">
        <f t="shared" si="8"/>
        <v>73.59443009</v>
      </c>
      <c r="U2033" s="144"/>
    </row>
    <row r="2034">
      <c r="A2034" s="107"/>
      <c r="B2034" s="8" t="s">
        <v>26</v>
      </c>
      <c r="C2034" s="8" t="s">
        <v>19</v>
      </c>
      <c r="D2034" s="8">
        <v>60.0</v>
      </c>
      <c r="E2034" s="8" t="s">
        <v>4499</v>
      </c>
      <c r="F2034" s="8" t="s">
        <v>1479</v>
      </c>
      <c r="G2034" s="8" t="s">
        <v>2660</v>
      </c>
      <c r="H2034" s="8">
        <v>0.0</v>
      </c>
      <c r="I2034" s="8" t="s">
        <v>174</v>
      </c>
      <c r="J2034" s="8" t="s">
        <v>22</v>
      </c>
      <c r="K2034" s="8" t="s">
        <v>892</v>
      </c>
      <c r="L2034" s="8" t="s">
        <v>24</v>
      </c>
      <c r="M2034" s="9">
        <v>0.0</v>
      </c>
      <c r="N2034" s="9">
        <v>0.4</v>
      </c>
      <c r="O2034" s="9">
        <v>0.4</v>
      </c>
      <c r="P2034" s="10">
        <v>45342.0</v>
      </c>
      <c r="Q2034" s="11">
        <v>1.75</v>
      </c>
      <c r="R2034" s="8" t="s">
        <v>70</v>
      </c>
      <c r="S2034" s="12">
        <f t="shared" si="1"/>
        <v>0</v>
      </c>
      <c r="T2034" s="12">
        <f t="shared" si="8"/>
        <v>73.59443009</v>
      </c>
      <c r="U2034" s="145"/>
    </row>
    <row r="2035">
      <c r="A2035" s="29"/>
      <c r="B2035" s="15" t="s">
        <v>26</v>
      </c>
      <c r="C2035" s="15" t="s">
        <v>19</v>
      </c>
      <c r="D2035" s="15">
        <v>62.0</v>
      </c>
      <c r="E2035" s="15" t="s">
        <v>4500</v>
      </c>
      <c r="F2035" s="15"/>
      <c r="G2035" s="15"/>
      <c r="H2035" s="15"/>
      <c r="I2035" s="15" t="s">
        <v>167</v>
      </c>
      <c r="J2035" s="15" t="s">
        <v>22</v>
      </c>
      <c r="K2035" s="15" t="s">
        <v>440</v>
      </c>
      <c r="L2035" s="15" t="s">
        <v>39</v>
      </c>
      <c r="M2035" s="16">
        <v>3.5</v>
      </c>
      <c r="N2035" s="16">
        <v>0.1</v>
      </c>
      <c r="O2035" s="16">
        <v>0.1</v>
      </c>
      <c r="P2035" s="17">
        <v>45342.0</v>
      </c>
      <c r="Q2035" s="18">
        <v>1.625</v>
      </c>
      <c r="R2035" s="15" t="s">
        <v>33</v>
      </c>
      <c r="S2035" s="19">
        <f t="shared" si="1"/>
        <v>0.0625</v>
      </c>
      <c r="T2035" s="19">
        <f t="shared" si="8"/>
        <v>73.65693009</v>
      </c>
      <c r="U2035" s="144"/>
    </row>
    <row r="2036">
      <c r="A2036" s="107"/>
      <c r="B2036" s="8" t="s">
        <v>129</v>
      </c>
      <c r="C2036" s="8" t="s">
        <v>19</v>
      </c>
      <c r="D2036" s="8">
        <v>72.0</v>
      </c>
      <c r="E2036" s="8" t="s">
        <v>4501</v>
      </c>
      <c r="F2036" s="8" t="s">
        <v>1473</v>
      </c>
      <c r="G2036" s="8" t="s">
        <v>2660</v>
      </c>
      <c r="H2036" s="8">
        <v>0.0</v>
      </c>
      <c r="I2036" s="8" t="s">
        <v>1031</v>
      </c>
      <c r="J2036" s="8" t="s">
        <v>22</v>
      </c>
      <c r="K2036" s="8" t="s">
        <v>892</v>
      </c>
      <c r="L2036" s="8" t="s">
        <v>24</v>
      </c>
      <c r="M2036" s="9">
        <v>0.0</v>
      </c>
      <c r="N2036" s="9">
        <v>0.4</v>
      </c>
      <c r="O2036" s="9">
        <v>0.4</v>
      </c>
      <c r="P2036" s="10">
        <v>45342.0</v>
      </c>
      <c r="Q2036" s="11">
        <v>1.8</v>
      </c>
      <c r="R2036" s="8" t="s">
        <v>70</v>
      </c>
      <c r="S2036" s="12">
        <f t="shared" si="1"/>
        <v>0</v>
      </c>
      <c r="T2036" s="12">
        <f t="shared" si="8"/>
        <v>73.65693009</v>
      </c>
      <c r="U2036" s="145"/>
    </row>
    <row r="2037">
      <c r="A2037" s="29"/>
      <c r="B2037" s="15" t="s">
        <v>26</v>
      </c>
      <c r="C2037" s="15" t="s">
        <v>19</v>
      </c>
      <c r="D2037" s="15">
        <v>29.0</v>
      </c>
      <c r="E2037" s="15" t="s">
        <v>4502</v>
      </c>
      <c r="F2037" s="15" t="s">
        <v>1479</v>
      </c>
      <c r="G2037" s="15" t="s">
        <v>2660</v>
      </c>
      <c r="H2037" s="15">
        <v>0.0</v>
      </c>
      <c r="I2037" s="15" t="s">
        <v>248</v>
      </c>
      <c r="J2037" s="15" t="s">
        <v>22</v>
      </c>
      <c r="K2037" s="15" t="s">
        <v>892</v>
      </c>
      <c r="L2037" s="15" t="s">
        <v>24</v>
      </c>
      <c r="M2037" s="16">
        <v>0.0</v>
      </c>
      <c r="N2037" s="16">
        <v>0.2</v>
      </c>
      <c r="O2037" s="16">
        <v>0.2</v>
      </c>
      <c r="P2037" s="17">
        <v>45342.0</v>
      </c>
      <c r="Q2037" s="18">
        <v>1.85</v>
      </c>
      <c r="R2037" s="15" t="s">
        <v>33</v>
      </c>
      <c r="S2037" s="19">
        <f t="shared" si="1"/>
        <v>0.17</v>
      </c>
      <c r="T2037" s="19">
        <f t="shared" si="8"/>
        <v>73.82693009</v>
      </c>
      <c r="U2037" s="144"/>
    </row>
    <row r="2038">
      <c r="A2038" s="107"/>
      <c r="B2038" s="8" t="s">
        <v>129</v>
      </c>
      <c r="C2038" s="8" t="s">
        <v>19</v>
      </c>
      <c r="D2038" s="8">
        <v>62.0</v>
      </c>
      <c r="E2038" s="8" t="s">
        <v>4503</v>
      </c>
      <c r="F2038" s="8" t="s">
        <v>1473</v>
      </c>
      <c r="G2038" s="8" t="s">
        <v>2556</v>
      </c>
      <c r="H2038" s="8">
        <v>0.0</v>
      </c>
      <c r="I2038" s="8" t="s">
        <v>248</v>
      </c>
      <c r="J2038" s="8" t="s">
        <v>22</v>
      </c>
      <c r="K2038" s="8" t="s">
        <v>4352</v>
      </c>
      <c r="L2038" s="8" t="s">
        <v>24</v>
      </c>
      <c r="M2038" s="9">
        <v>0.0</v>
      </c>
      <c r="N2038" s="9">
        <v>0.75</v>
      </c>
      <c r="O2038" s="9">
        <v>0.75</v>
      </c>
      <c r="P2038" s="10">
        <v>45342.0</v>
      </c>
      <c r="Q2038" s="11">
        <v>1.725</v>
      </c>
      <c r="R2038" s="8" t="s">
        <v>70</v>
      </c>
      <c r="S2038" s="12">
        <f t="shared" si="1"/>
        <v>0</v>
      </c>
      <c r="T2038" s="12">
        <f t="shared" si="8"/>
        <v>73.82693009</v>
      </c>
      <c r="U2038" s="145"/>
    </row>
    <row r="2039">
      <c r="A2039" s="29"/>
      <c r="B2039" s="15" t="s">
        <v>129</v>
      </c>
      <c r="C2039" s="15" t="s">
        <v>19</v>
      </c>
      <c r="D2039" s="15">
        <v>66.0</v>
      </c>
      <c r="E2039" s="15" t="s">
        <v>4504</v>
      </c>
      <c r="F2039" s="15" t="s">
        <v>1473</v>
      </c>
      <c r="G2039" s="15" t="s">
        <v>2660</v>
      </c>
      <c r="H2039" s="15">
        <v>0.0</v>
      </c>
      <c r="I2039" s="15" t="s">
        <v>248</v>
      </c>
      <c r="J2039" s="15" t="s">
        <v>22</v>
      </c>
      <c r="K2039" s="15" t="s">
        <v>892</v>
      </c>
      <c r="L2039" s="15" t="s">
        <v>24</v>
      </c>
      <c r="M2039" s="16">
        <v>0.0</v>
      </c>
      <c r="N2039" s="16">
        <v>0.25</v>
      </c>
      <c r="O2039" s="16">
        <v>0.25</v>
      </c>
      <c r="P2039" s="17">
        <v>45342.0</v>
      </c>
      <c r="Q2039" s="18">
        <v>1.7</v>
      </c>
      <c r="R2039" s="15" t="s">
        <v>70</v>
      </c>
      <c r="S2039" s="19">
        <f t="shared" si="1"/>
        <v>0</v>
      </c>
      <c r="T2039" s="19">
        <f t="shared" si="8"/>
        <v>73.82693009</v>
      </c>
      <c r="U2039" s="144"/>
    </row>
    <row r="2040">
      <c r="A2040" s="107"/>
      <c r="B2040" s="8" t="s">
        <v>129</v>
      </c>
      <c r="C2040" s="8" t="s">
        <v>19</v>
      </c>
      <c r="D2040" s="8">
        <v>24.0</v>
      </c>
      <c r="E2040" s="8" t="s">
        <v>4505</v>
      </c>
      <c r="F2040" s="8" t="s">
        <v>1473</v>
      </c>
      <c r="G2040" s="8" t="s">
        <v>2660</v>
      </c>
      <c r="H2040" s="8">
        <v>0.0</v>
      </c>
      <c r="I2040" s="8" t="s">
        <v>174</v>
      </c>
      <c r="J2040" s="8" t="s">
        <v>22</v>
      </c>
      <c r="K2040" s="8" t="s">
        <v>892</v>
      </c>
      <c r="L2040" s="8" t="s">
        <v>24</v>
      </c>
      <c r="M2040" s="9">
        <v>0.0</v>
      </c>
      <c r="N2040" s="9">
        <v>1.0</v>
      </c>
      <c r="O2040" s="9">
        <v>1.0</v>
      </c>
      <c r="P2040" s="54">
        <v>45342.0</v>
      </c>
      <c r="Q2040" s="11">
        <v>1.775</v>
      </c>
      <c r="R2040" s="8" t="s">
        <v>33</v>
      </c>
      <c r="S2040" s="12">
        <f t="shared" si="1"/>
        <v>0.775</v>
      </c>
      <c r="T2040" s="12">
        <f t="shared" si="8"/>
        <v>74.60193009</v>
      </c>
      <c r="U2040" s="145"/>
    </row>
    <row r="2041">
      <c r="A2041" s="29"/>
      <c r="B2041" s="15" t="s">
        <v>26</v>
      </c>
      <c r="C2041" s="15" t="s">
        <v>19</v>
      </c>
      <c r="D2041" s="15">
        <v>33.0</v>
      </c>
      <c r="E2041" s="15" t="s">
        <v>4506</v>
      </c>
      <c r="F2041" s="15" t="s">
        <v>1479</v>
      </c>
      <c r="G2041" s="15" t="s">
        <v>2660</v>
      </c>
      <c r="H2041" s="15">
        <v>0.0</v>
      </c>
      <c r="I2041" s="15" t="s">
        <v>231</v>
      </c>
      <c r="J2041" s="15" t="s">
        <v>22</v>
      </c>
      <c r="K2041" s="15" t="s">
        <v>892</v>
      </c>
      <c r="L2041" s="15" t="s">
        <v>24</v>
      </c>
      <c r="M2041" s="16">
        <v>0.0</v>
      </c>
      <c r="N2041" s="16">
        <v>1.0</v>
      </c>
      <c r="O2041" s="16">
        <v>1.0</v>
      </c>
      <c r="P2041" s="17">
        <v>45343.0</v>
      </c>
      <c r="Q2041" s="18">
        <v>1.725</v>
      </c>
      <c r="R2041" s="15" t="s">
        <v>25</v>
      </c>
      <c r="S2041" s="19">
        <f t="shared" si="1"/>
        <v>-1</v>
      </c>
      <c r="T2041" s="19">
        <f t="shared" si="8"/>
        <v>73.60193009</v>
      </c>
      <c r="U2041" s="144"/>
    </row>
    <row r="2042">
      <c r="A2042" s="107"/>
      <c r="B2042" s="8" t="s">
        <v>129</v>
      </c>
      <c r="C2042" s="8" t="s">
        <v>19</v>
      </c>
      <c r="D2042" s="8">
        <v>65.0</v>
      </c>
      <c r="E2042" s="8" t="s">
        <v>4507</v>
      </c>
      <c r="F2042" s="8" t="s">
        <v>1473</v>
      </c>
      <c r="G2042" s="8" t="s">
        <v>2660</v>
      </c>
      <c r="H2042" s="8">
        <v>0.0</v>
      </c>
      <c r="I2042" s="8" t="s">
        <v>231</v>
      </c>
      <c r="J2042" s="8" t="s">
        <v>22</v>
      </c>
      <c r="K2042" s="8" t="s">
        <v>892</v>
      </c>
      <c r="L2042" s="8" t="s">
        <v>24</v>
      </c>
      <c r="M2042" s="9">
        <v>0.0</v>
      </c>
      <c r="N2042" s="9">
        <v>1.0</v>
      </c>
      <c r="O2042" s="9">
        <v>1.0</v>
      </c>
      <c r="P2042" s="10">
        <v>45343.0</v>
      </c>
      <c r="Q2042" s="11">
        <v>1.75</v>
      </c>
      <c r="R2042" s="8" t="s">
        <v>70</v>
      </c>
      <c r="S2042" s="12">
        <f t="shared" si="1"/>
        <v>0</v>
      </c>
      <c r="T2042" s="12">
        <f t="shared" si="8"/>
        <v>73.60193009</v>
      </c>
      <c r="U2042" s="145"/>
    </row>
    <row r="2043">
      <c r="A2043" s="29"/>
      <c r="B2043" s="15" t="s">
        <v>129</v>
      </c>
      <c r="C2043" s="15" t="s">
        <v>19</v>
      </c>
      <c r="D2043" s="15">
        <v>69.0</v>
      </c>
      <c r="E2043" s="15" t="s">
        <v>4508</v>
      </c>
      <c r="F2043" s="15" t="s">
        <v>1473</v>
      </c>
      <c r="G2043" s="15" t="s">
        <v>2660</v>
      </c>
      <c r="H2043" s="15">
        <v>0.0</v>
      </c>
      <c r="I2043" s="15" t="s">
        <v>231</v>
      </c>
      <c r="J2043" s="15" t="s">
        <v>22</v>
      </c>
      <c r="K2043" s="15" t="s">
        <v>892</v>
      </c>
      <c r="L2043" s="15" t="s">
        <v>24</v>
      </c>
      <c r="M2043" s="16">
        <v>0.0</v>
      </c>
      <c r="N2043" s="16">
        <v>1.0</v>
      </c>
      <c r="O2043" s="16">
        <v>1.0</v>
      </c>
      <c r="P2043" s="17">
        <v>45343.0</v>
      </c>
      <c r="Q2043" s="18">
        <v>1.975</v>
      </c>
      <c r="R2043" s="15" t="s">
        <v>70</v>
      </c>
      <c r="S2043" s="19">
        <f t="shared" si="1"/>
        <v>0</v>
      </c>
      <c r="T2043" s="19">
        <f t="shared" si="8"/>
        <v>73.60193009</v>
      </c>
      <c r="U2043" s="144"/>
    </row>
    <row r="2044">
      <c r="A2044" s="107"/>
      <c r="B2044" s="8" t="s">
        <v>129</v>
      </c>
      <c r="C2044" s="8" t="s">
        <v>19</v>
      </c>
      <c r="D2044" s="8">
        <v>82.0</v>
      </c>
      <c r="E2044" s="8" t="s">
        <v>4509</v>
      </c>
      <c r="F2044" s="8" t="s">
        <v>1473</v>
      </c>
      <c r="G2044" s="8" t="s">
        <v>2660</v>
      </c>
      <c r="H2044" s="8">
        <v>3</v>
      </c>
      <c r="I2044" s="8" t="s">
        <v>231</v>
      </c>
      <c r="J2044" s="8" t="s">
        <v>22</v>
      </c>
      <c r="K2044" s="8" t="s">
        <v>892</v>
      </c>
      <c r="L2044" s="8" t="s">
        <v>24</v>
      </c>
      <c r="M2044" s="9">
        <v>0.0</v>
      </c>
      <c r="N2044" s="9">
        <v>1.0</v>
      </c>
      <c r="O2044" s="9">
        <v>1.0</v>
      </c>
      <c r="P2044" s="10">
        <v>45343.0</v>
      </c>
      <c r="Q2044" s="11">
        <v>1.8</v>
      </c>
      <c r="R2044" s="8" t="s">
        <v>70</v>
      </c>
      <c r="S2044" s="12">
        <f t="shared" si="1"/>
        <v>0</v>
      </c>
      <c r="T2044" s="12">
        <f t="shared" si="8"/>
        <v>73.60193009</v>
      </c>
      <c r="U2044" s="145"/>
    </row>
    <row r="2045">
      <c r="A2045" s="29"/>
      <c r="B2045" s="15" t="s">
        <v>4225</v>
      </c>
      <c r="C2045" s="15" t="s">
        <v>19</v>
      </c>
      <c r="D2045" s="15">
        <v>71.0</v>
      </c>
      <c r="E2045" s="15" t="s">
        <v>4510</v>
      </c>
      <c r="F2045" s="15" t="s">
        <v>1479</v>
      </c>
      <c r="G2045" s="15" t="s">
        <v>2660</v>
      </c>
      <c r="H2045" s="15">
        <v>-1.0</v>
      </c>
      <c r="I2045" s="15" t="s">
        <v>675</v>
      </c>
      <c r="J2045" s="15" t="s">
        <v>22</v>
      </c>
      <c r="K2045" s="15" t="s">
        <v>892</v>
      </c>
      <c r="L2045" s="15" t="s">
        <v>24</v>
      </c>
      <c r="M2045" s="16">
        <v>0.0</v>
      </c>
      <c r="N2045" s="16">
        <v>1.0</v>
      </c>
      <c r="O2045" s="16">
        <v>1.0</v>
      </c>
      <c r="P2045" s="17">
        <v>45343.0</v>
      </c>
      <c r="Q2045" s="18">
        <v>1.725</v>
      </c>
      <c r="R2045" s="15" t="s">
        <v>25</v>
      </c>
      <c r="S2045" s="19">
        <f t="shared" si="1"/>
        <v>-1</v>
      </c>
      <c r="T2045" s="19">
        <f t="shared" si="8"/>
        <v>72.60193009</v>
      </c>
      <c r="U2045" s="144"/>
    </row>
    <row r="2046">
      <c r="A2046" s="107"/>
      <c r="B2046" s="8" t="s">
        <v>26</v>
      </c>
      <c r="C2046" s="8" t="s">
        <v>19</v>
      </c>
      <c r="D2046" s="8">
        <v>37.0</v>
      </c>
      <c r="E2046" s="8" t="s">
        <v>4511</v>
      </c>
      <c r="F2046" s="8" t="s">
        <v>1479</v>
      </c>
      <c r="G2046" s="8" t="s">
        <v>2660</v>
      </c>
      <c r="H2046" s="8">
        <v>0.0</v>
      </c>
      <c r="I2046" s="8" t="s">
        <v>174</v>
      </c>
      <c r="J2046" s="8" t="s">
        <v>22</v>
      </c>
      <c r="K2046" s="8" t="s">
        <v>1150</v>
      </c>
      <c r="L2046" s="8" t="s">
        <v>24</v>
      </c>
      <c r="M2046" s="9">
        <v>0.0</v>
      </c>
      <c r="N2046" s="9">
        <v>0.75</v>
      </c>
      <c r="O2046" s="9">
        <v>0.75</v>
      </c>
      <c r="P2046" s="10">
        <v>45343.0</v>
      </c>
      <c r="Q2046" s="11">
        <v>1.75</v>
      </c>
      <c r="R2046" s="8" t="s">
        <v>70</v>
      </c>
      <c r="S2046" s="12">
        <f t="shared" si="1"/>
        <v>0</v>
      </c>
      <c r="T2046" s="12">
        <f t="shared" si="8"/>
        <v>72.60193009</v>
      </c>
      <c r="U2046" s="145"/>
    </row>
    <row r="2047">
      <c r="A2047" s="29"/>
      <c r="B2047" s="15" t="s">
        <v>26</v>
      </c>
      <c r="C2047" s="15" t="s">
        <v>19</v>
      </c>
      <c r="D2047" s="15">
        <v>74.0</v>
      </c>
      <c r="E2047" s="15" t="s">
        <v>4512</v>
      </c>
      <c r="F2047" s="15" t="s">
        <v>1473</v>
      </c>
      <c r="G2047" s="15" t="s">
        <v>2660</v>
      </c>
      <c r="H2047" s="15">
        <v>-1.0</v>
      </c>
      <c r="I2047" s="15" t="s">
        <v>106</v>
      </c>
      <c r="J2047" s="15" t="s">
        <v>22</v>
      </c>
      <c r="K2047" s="15" t="s">
        <v>892</v>
      </c>
      <c r="L2047" s="15" t="s">
        <v>24</v>
      </c>
      <c r="M2047" s="16">
        <v>0.0</v>
      </c>
      <c r="N2047" s="16">
        <v>0.25</v>
      </c>
      <c r="O2047" s="16">
        <v>0.25</v>
      </c>
      <c r="P2047" s="17">
        <v>45343.0</v>
      </c>
      <c r="Q2047" s="18">
        <v>2.38</v>
      </c>
      <c r="R2047" s="15" t="s">
        <v>70</v>
      </c>
      <c r="S2047" s="19">
        <f t="shared" si="1"/>
        <v>0</v>
      </c>
      <c r="T2047" s="19">
        <f t="shared" si="8"/>
        <v>72.60193009</v>
      </c>
      <c r="U2047" s="144"/>
    </row>
    <row r="2048">
      <c r="A2048" s="107"/>
      <c r="B2048" s="8" t="s">
        <v>18</v>
      </c>
      <c r="C2048" s="8" t="s">
        <v>19</v>
      </c>
      <c r="D2048" s="8">
        <v>64.0</v>
      </c>
      <c r="E2048" s="8" t="s">
        <v>4513</v>
      </c>
      <c r="F2048" s="8" t="s">
        <v>1473</v>
      </c>
      <c r="G2048" s="8" t="s">
        <v>2660</v>
      </c>
      <c r="H2048" s="8">
        <v>-3.0</v>
      </c>
      <c r="I2048" s="8" t="s">
        <v>50</v>
      </c>
      <c r="J2048" s="8" t="s">
        <v>22</v>
      </c>
      <c r="K2048" s="8" t="s">
        <v>892</v>
      </c>
      <c r="L2048" s="8" t="s">
        <v>24</v>
      </c>
      <c r="M2048" s="9">
        <v>0.0</v>
      </c>
      <c r="N2048" s="9">
        <v>1.0</v>
      </c>
      <c r="O2048" s="9">
        <v>1.0</v>
      </c>
      <c r="P2048" s="10">
        <v>45343.0</v>
      </c>
      <c r="Q2048" s="11">
        <v>1.9</v>
      </c>
      <c r="R2048" s="8" t="s">
        <v>33</v>
      </c>
      <c r="S2048" s="12">
        <f t="shared" si="1"/>
        <v>0.9</v>
      </c>
      <c r="T2048" s="12">
        <f t="shared" si="8"/>
        <v>73.50193009</v>
      </c>
      <c r="U2048" s="145"/>
    </row>
    <row r="2049">
      <c r="A2049" s="29"/>
      <c r="B2049" s="15" t="s">
        <v>129</v>
      </c>
      <c r="C2049" s="15" t="s">
        <v>19</v>
      </c>
      <c r="D2049" s="15">
        <v>73.0</v>
      </c>
      <c r="E2049" s="15" t="s">
        <v>4514</v>
      </c>
      <c r="F2049" s="15" t="s">
        <v>1473</v>
      </c>
      <c r="G2049" s="15" t="s">
        <v>2660</v>
      </c>
      <c r="H2049" s="15">
        <v>0.0</v>
      </c>
      <c r="I2049" s="15" t="s">
        <v>174</v>
      </c>
      <c r="J2049" s="15" t="s">
        <v>22</v>
      </c>
      <c r="K2049" s="15" t="s">
        <v>892</v>
      </c>
      <c r="L2049" s="15" t="s">
        <v>24</v>
      </c>
      <c r="M2049" s="16">
        <v>0.0</v>
      </c>
      <c r="N2049" s="16">
        <v>0.5</v>
      </c>
      <c r="O2049" s="16">
        <v>0.5</v>
      </c>
      <c r="P2049" s="17">
        <v>45343.0</v>
      </c>
      <c r="Q2049" s="18">
        <v>1.95</v>
      </c>
      <c r="R2049" s="15" t="s">
        <v>33</v>
      </c>
      <c r="S2049" s="19">
        <f t="shared" si="1"/>
        <v>0.475</v>
      </c>
      <c r="T2049" s="19">
        <f t="shared" si="8"/>
        <v>73.97693009</v>
      </c>
      <c r="U2049" s="144"/>
    </row>
    <row r="2050">
      <c r="A2050" s="107"/>
      <c r="B2050" s="8" t="s">
        <v>26</v>
      </c>
      <c r="C2050" s="8" t="s">
        <v>19</v>
      </c>
      <c r="D2050" s="8">
        <v>40.0</v>
      </c>
      <c r="E2050" s="8" t="s">
        <v>4515</v>
      </c>
      <c r="F2050" s="8" t="s">
        <v>1473</v>
      </c>
      <c r="G2050" s="8"/>
      <c r="H2050" s="8">
        <v>0.0</v>
      </c>
      <c r="I2050" s="8" t="s">
        <v>248</v>
      </c>
      <c r="J2050" s="8" t="s">
        <v>22</v>
      </c>
      <c r="K2050" s="8" t="s">
        <v>440</v>
      </c>
      <c r="L2050" s="8" t="s">
        <v>24</v>
      </c>
      <c r="M2050" s="9">
        <v>0.5</v>
      </c>
      <c r="N2050" s="9">
        <v>0.25</v>
      </c>
      <c r="O2050" s="9">
        <f>0.25*22/28</f>
        <v>0.1964285714</v>
      </c>
      <c r="P2050" s="10">
        <v>45343.0</v>
      </c>
      <c r="Q2050" s="11">
        <v>1.8</v>
      </c>
      <c r="R2050" s="8" t="s">
        <v>33</v>
      </c>
      <c r="S2050" s="12">
        <f t="shared" si="1"/>
        <v>0.1571428571</v>
      </c>
      <c r="T2050" s="12">
        <f t="shared" si="8"/>
        <v>74.13407295</v>
      </c>
      <c r="U2050" s="145"/>
    </row>
    <row r="2051">
      <c r="A2051" s="29"/>
      <c r="B2051" s="15" t="s">
        <v>129</v>
      </c>
      <c r="C2051" s="15" t="s">
        <v>19</v>
      </c>
      <c r="D2051" s="15">
        <v>85.0</v>
      </c>
      <c r="E2051" s="15" t="s">
        <v>4516</v>
      </c>
      <c r="F2051" s="15" t="s">
        <v>1479</v>
      </c>
      <c r="G2051" s="15" t="s">
        <v>2660</v>
      </c>
      <c r="H2051" s="15">
        <v>0.0</v>
      </c>
      <c r="I2051" s="15" t="s">
        <v>1558</v>
      </c>
      <c r="J2051" s="15" t="s">
        <v>22</v>
      </c>
      <c r="K2051" s="15" t="s">
        <v>892</v>
      </c>
      <c r="L2051" s="15" t="s">
        <v>24</v>
      </c>
      <c r="M2051" s="16">
        <v>0.0</v>
      </c>
      <c r="N2051" s="16">
        <v>0.35</v>
      </c>
      <c r="O2051" s="16">
        <v>0.35</v>
      </c>
      <c r="P2051" s="17">
        <v>45343.0</v>
      </c>
      <c r="Q2051" s="18">
        <v>1.8</v>
      </c>
      <c r="R2051" s="15" t="s">
        <v>33</v>
      </c>
      <c r="S2051" s="19">
        <f t="shared" si="1"/>
        <v>0.28</v>
      </c>
      <c r="T2051" s="19">
        <f t="shared" si="8"/>
        <v>74.41407295</v>
      </c>
      <c r="U2051" s="144"/>
    </row>
    <row r="2052">
      <c r="A2052" s="107"/>
      <c r="B2052" s="8" t="s">
        <v>26</v>
      </c>
      <c r="C2052" s="8" t="s">
        <v>19</v>
      </c>
      <c r="D2052" s="8">
        <v>30.0</v>
      </c>
      <c r="E2052" s="8" t="s">
        <v>4517</v>
      </c>
      <c r="F2052" s="8" t="s">
        <v>1479</v>
      </c>
      <c r="G2052" s="8" t="s">
        <v>2660</v>
      </c>
      <c r="H2052" s="8">
        <f>1</f>
        <v>1</v>
      </c>
      <c r="I2052" s="8" t="s">
        <v>82</v>
      </c>
      <c r="J2052" s="8" t="s">
        <v>22</v>
      </c>
      <c r="K2052" s="8" t="s">
        <v>1150</v>
      </c>
      <c r="L2052" s="8" t="s">
        <v>24</v>
      </c>
      <c r="M2052" s="9">
        <v>0.0</v>
      </c>
      <c r="N2052" s="9">
        <v>0.75</v>
      </c>
      <c r="O2052" s="9">
        <v>0.75</v>
      </c>
      <c r="P2052" s="10">
        <v>45343.0</v>
      </c>
      <c r="Q2052" s="11">
        <v>1.925</v>
      </c>
      <c r="R2052" s="8" t="s">
        <v>70</v>
      </c>
      <c r="S2052" s="12">
        <f t="shared" si="1"/>
        <v>0</v>
      </c>
      <c r="T2052" s="12">
        <f t="shared" si="8"/>
        <v>74.41407295</v>
      </c>
      <c r="U2052" s="145"/>
    </row>
    <row r="2053">
      <c r="A2053" s="29"/>
      <c r="B2053" s="15" t="s">
        <v>129</v>
      </c>
      <c r="C2053" s="15" t="s">
        <v>19</v>
      </c>
      <c r="D2053" s="15">
        <v>55.0</v>
      </c>
      <c r="E2053" s="15" t="s">
        <v>4518</v>
      </c>
      <c r="F2053" s="15" t="s">
        <v>1473</v>
      </c>
      <c r="G2053" s="15" t="s">
        <v>2660</v>
      </c>
      <c r="H2053" s="15">
        <v>-1.0</v>
      </c>
      <c r="I2053" s="15" t="s">
        <v>82</v>
      </c>
      <c r="J2053" s="15" t="s">
        <v>22</v>
      </c>
      <c r="K2053" s="15" t="s">
        <v>892</v>
      </c>
      <c r="L2053" s="15" t="s">
        <v>24</v>
      </c>
      <c r="M2053" s="16">
        <v>0.0</v>
      </c>
      <c r="N2053" s="16">
        <v>0.75</v>
      </c>
      <c r="O2053" s="16">
        <v>0.75</v>
      </c>
      <c r="P2053" s="17">
        <v>45343.0</v>
      </c>
      <c r="Q2053" s="18">
        <v>1.8</v>
      </c>
      <c r="R2053" s="15" t="s">
        <v>25</v>
      </c>
      <c r="S2053" s="19">
        <f t="shared" si="1"/>
        <v>-0.75</v>
      </c>
      <c r="T2053" s="19">
        <f t="shared" si="8"/>
        <v>73.66407295</v>
      </c>
      <c r="U2053" s="144"/>
    </row>
    <row r="2054">
      <c r="A2054" s="107"/>
      <c r="B2054" s="8" t="s">
        <v>129</v>
      </c>
      <c r="C2054" s="8" t="s">
        <v>19</v>
      </c>
      <c r="D2054" s="8">
        <v>69.0</v>
      </c>
      <c r="E2054" s="8" t="s">
        <v>4519</v>
      </c>
      <c r="F2054" s="8" t="s">
        <v>1473</v>
      </c>
      <c r="G2054" s="8" t="s">
        <v>2660</v>
      </c>
      <c r="H2054" s="8">
        <v>-1.0</v>
      </c>
      <c r="I2054" s="8" t="s">
        <v>231</v>
      </c>
      <c r="J2054" s="8" t="s">
        <v>22</v>
      </c>
      <c r="K2054" s="8" t="s">
        <v>892</v>
      </c>
      <c r="L2054" s="8" t="s">
        <v>24</v>
      </c>
      <c r="M2054" s="9">
        <v>0.0</v>
      </c>
      <c r="N2054" s="9">
        <v>1.0</v>
      </c>
      <c r="O2054" s="9">
        <v>1.0</v>
      </c>
      <c r="P2054" s="10">
        <v>45344.0</v>
      </c>
      <c r="Q2054" s="11">
        <v>1.8</v>
      </c>
      <c r="R2054" s="8" t="s">
        <v>33</v>
      </c>
      <c r="S2054" s="12">
        <f t="shared" si="1"/>
        <v>0.8</v>
      </c>
      <c r="T2054" s="12">
        <f t="shared" si="8"/>
        <v>74.46407295</v>
      </c>
      <c r="U2054" s="145"/>
    </row>
    <row r="2055">
      <c r="A2055" s="29"/>
      <c r="B2055" s="15" t="s">
        <v>26</v>
      </c>
      <c r="C2055" s="15" t="s">
        <v>19</v>
      </c>
      <c r="D2055" s="15">
        <v>75.0</v>
      </c>
      <c r="E2055" s="15" t="s">
        <v>4520</v>
      </c>
      <c r="F2055" s="15" t="s">
        <v>1479</v>
      </c>
      <c r="G2055" s="15" t="s">
        <v>2660</v>
      </c>
      <c r="H2055" s="15">
        <v>-1.0</v>
      </c>
      <c r="I2055" s="15" t="s">
        <v>174</v>
      </c>
      <c r="J2055" s="15" t="s">
        <v>22</v>
      </c>
      <c r="K2055" s="15" t="s">
        <v>892</v>
      </c>
      <c r="L2055" s="15" t="s">
        <v>24</v>
      </c>
      <c r="M2055" s="16">
        <v>0.0</v>
      </c>
      <c r="N2055" s="16">
        <v>0.6</v>
      </c>
      <c r="O2055" s="16">
        <v>0.6</v>
      </c>
      <c r="P2055" s="17">
        <v>45344.0</v>
      </c>
      <c r="Q2055" s="18">
        <v>1.75</v>
      </c>
      <c r="R2055" s="15" t="s">
        <v>33</v>
      </c>
      <c r="S2055" s="19">
        <f t="shared" si="1"/>
        <v>0.45</v>
      </c>
      <c r="T2055" s="19">
        <f t="shared" si="8"/>
        <v>74.91407295</v>
      </c>
      <c r="U2055" s="144"/>
    </row>
    <row r="2056">
      <c r="A2056" s="107"/>
      <c r="B2056" s="8" t="s">
        <v>129</v>
      </c>
      <c r="C2056" s="8" t="s">
        <v>19</v>
      </c>
      <c r="D2056" s="8">
        <v>25.0</v>
      </c>
      <c r="E2056" s="8" t="s">
        <v>4521</v>
      </c>
      <c r="F2056" s="8" t="s">
        <v>1473</v>
      </c>
      <c r="G2056" s="8" t="s">
        <v>2660</v>
      </c>
      <c r="H2056" s="8">
        <v>0.0</v>
      </c>
      <c r="I2056" s="8" t="s">
        <v>248</v>
      </c>
      <c r="J2056" s="8" t="s">
        <v>22</v>
      </c>
      <c r="K2056" s="8" t="s">
        <v>1150</v>
      </c>
      <c r="L2056" s="8" t="s">
        <v>24</v>
      </c>
      <c r="M2056" s="9">
        <v>0.0</v>
      </c>
      <c r="N2056" s="9">
        <v>0.5</v>
      </c>
      <c r="O2056" s="9">
        <v>0.5</v>
      </c>
      <c r="P2056" s="10">
        <v>45344.0</v>
      </c>
      <c r="Q2056" s="11">
        <v>1.775</v>
      </c>
      <c r="R2056" s="8" t="s">
        <v>70</v>
      </c>
      <c r="S2056" s="12">
        <f t="shared" si="1"/>
        <v>0</v>
      </c>
      <c r="T2056" s="12">
        <f t="shared" si="8"/>
        <v>74.91407295</v>
      </c>
      <c r="U2056" s="145"/>
    </row>
    <row r="2057">
      <c r="A2057" s="29"/>
      <c r="B2057" s="15" t="s">
        <v>26</v>
      </c>
      <c r="C2057" s="15" t="s">
        <v>19</v>
      </c>
      <c r="D2057" s="15">
        <v>43.0</v>
      </c>
      <c r="E2057" s="15" t="s">
        <v>4522</v>
      </c>
      <c r="F2057" s="15"/>
      <c r="G2057" s="15"/>
      <c r="H2057" s="15"/>
      <c r="I2057" s="15" t="s">
        <v>82</v>
      </c>
      <c r="J2057" s="15" t="s">
        <v>22</v>
      </c>
      <c r="K2057" s="15" t="s">
        <v>4523</v>
      </c>
      <c r="L2057" s="15" t="s">
        <v>24</v>
      </c>
      <c r="M2057" s="16">
        <v>-5.5</v>
      </c>
      <c r="N2057" s="16">
        <v>0.1</v>
      </c>
      <c r="O2057" s="16">
        <v>0.1</v>
      </c>
      <c r="P2057" s="17">
        <v>45344.0</v>
      </c>
      <c r="Q2057" s="18">
        <v>1.7</v>
      </c>
      <c r="R2057" s="15" t="s">
        <v>25</v>
      </c>
      <c r="S2057" s="19">
        <f t="shared" si="1"/>
        <v>-0.1</v>
      </c>
      <c r="T2057" s="19">
        <f t="shared" si="8"/>
        <v>74.81407295</v>
      </c>
      <c r="U2057" s="144"/>
    </row>
    <row r="2058">
      <c r="A2058" s="107"/>
      <c r="B2058" s="8" t="s">
        <v>18</v>
      </c>
      <c r="C2058" s="8" t="s">
        <v>19</v>
      </c>
      <c r="D2058" s="8">
        <v>70.0</v>
      </c>
      <c r="E2058" s="8" t="s">
        <v>4524</v>
      </c>
      <c r="F2058" s="8" t="s">
        <v>1479</v>
      </c>
      <c r="G2058" s="8" t="s">
        <v>2660</v>
      </c>
      <c r="H2058" s="8">
        <v>0.0</v>
      </c>
      <c r="I2058" s="8" t="s">
        <v>82</v>
      </c>
      <c r="J2058" s="8" t="s">
        <v>22</v>
      </c>
      <c r="K2058" s="8" t="s">
        <v>892</v>
      </c>
      <c r="L2058" s="8" t="s">
        <v>24</v>
      </c>
      <c r="M2058" s="9">
        <v>0.0</v>
      </c>
      <c r="N2058" s="9">
        <v>0.5</v>
      </c>
      <c r="O2058" s="9">
        <v>0.5</v>
      </c>
      <c r="P2058" s="10">
        <v>45344.0</v>
      </c>
      <c r="Q2058" s="11">
        <v>1.925</v>
      </c>
      <c r="R2058" s="8" t="s">
        <v>33</v>
      </c>
      <c r="S2058" s="12">
        <f t="shared" si="1"/>
        <v>0.4625</v>
      </c>
      <c r="T2058" s="12">
        <f t="shared" si="8"/>
        <v>75.27657295</v>
      </c>
      <c r="U2058" s="145"/>
    </row>
    <row r="2059">
      <c r="A2059" s="29"/>
      <c r="B2059" s="15" t="s">
        <v>26</v>
      </c>
      <c r="C2059" s="15" t="s">
        <v>19</v>
      </c>
      <c r="D2059" s="15">
        <v>70.0</v>
      </c>
      <c r="E2059" s="15" t="s">
        <v>4525</v>
      </c>
      <c r="F2059" s="15"/>
      <c r="G2059" s="15"/>
      <c r="H2059" s="15"/>
      <c r="I2059" s="15" t="s">
        <v>82</v>
      </c>
      <c r="J2059" s="15" t="s">
        <v>22</v>
      </c>
      <c r="K2059" s="15" t="s">
        <v>440</v>
      </c>
      <c r="L2059" s="15" t="s">
        <v>39</v>
      </c>
      <c r="M2059" s="16">
        <v>3.75</v>
      </c>
      <c r="N2059" s="16">
        <v>0.3</v>
      </c>
      <c r="O2059" s="16">
        <v>0.3</v>
      </c>
      <c r="P2059" s="17">
        <v>45344.0</v>
      </c>
      <c r="Q2059" s="18">
        <v>1.65</v>
      </c>
      <c r="R2059" s="15" t="s">
        <v>33</v>
      </c>
      <c r="S2059" s="19">
        <f t="shared" si="1"/>
        <v>0.195</v>
      </c>
      <c r="T2059" s="19">
        <f t="shared" si="8"/>
        <v>75.47157295</v>
      </c>
      <c r="U2059" s="144"/>
    </row>
    <row r="2060">
      <c r="A2060" s="107"/>
      <c r="B2060" s="8" t="s">
        <v>129</v>
      </c>
      <c r="C2060" s="8" t="s">
        <v>40</v>
      </c>
      <c r="D2060" s="8">
        <v>82.0</v>
      </c>
      <c r="E2060" s="8" t="s">
        <v>4526</v>
      </c>
      <c r="F2060" s="8" t="s">
        <v>1479</v>
      </c>
      <c r="G2060" s="8" t="s">
        <v>2660</v>
      </c>
      <c r="H2060" s="8">
        <v>0.0</v>
      </c>
      <c r="I2060" s="8" t="s">
        <v>820</v>
      </c>
      <c r="J2060" s="8" t="s">
        <v>22</v>
      </c>
      <c r="K2060" s="8" t="s">
        <v>892</v>
      </c>
      <c r="L2060" s="8" t="s">
        <v>24</v>
      </c>
      <c r="M2060" s="9">
        <v>0.0</v>
      </c>
      <c r="N2060" s="9">
        <v>0.25</v>
      </c>
      <c r="O2060" s="9">
        <v>0.25</v>
      </c>
      <c r="P2060" s="54">
        <v>45345.0</v>
      </c>
      <c r="Q2060" s="11">
        <v>1.675</v>
      </c>
      <c r="R2060" s="8" t="s">
        <v>25</v>
      </c>
      <c r="S2060" s="12">
        <f t="shared" si="1"/>
        <v>-0.25</v>
      </c>
      <c r="T2060" s="12">
        <f t="shared" si="8"/>
        <v>75.22157295</v>
      </c>
      <c r="U2060" s="145"/>
    </row>
    <row r="2061">
      <c r="A2061" s="29"/>
      <c r="B2061" s="15" t="s">
        <v>137</v>
      </c>
      <c r="C2061" s="15" t="s">
        <v>19</v>
      </c>
      <c r="D2061" s="15">
        <v>27.0</v>
      </c>
      <c r="E2061" s="15" t="s">
        <v>4527</v>
      </c>
      <c r="F2061" s="15" t="s">
        <v>1473</v>
      </c>
      <c r="G2061" s="15"/>
      <c r="H2061" s="15">
        <v>2</v>
      </c>
      <c r="I2061" s="15" t="s">
        <v>28</v>
      </c>
      <c r="J2061" s="15" t="s">
        <v>22</v>
      </c>
      <c r="K2061" s="15" t="s">
        <v>440</v>
      </c>
      <c r="L2061" s="15" t="s">
        <v>24</v>
      </c>
      <c r="M2061" s="16">
        <v>2.5</v>
      </c>
      <c r="N2061" s="16">
        <v>0.5</v>
      </c>
      <c r="O2061" s="16">
        <v>0.5</v>
      </c>
      <c r="P2061" s="17">
        <v>45345.0</v>
      </c>
      <c r="Q2061" s="18">
        <v>1.725</v>
      </c>
      <c r="R2061" s="15" t="s">
        <v>33</v>
      </c>
      <c r="S2061" s="19">
        <f t="shared" si="1"/>
        <v>0.3625</v>
      </c>
      <c r="T2061" s="19">
        <f t="shared" si="8"/>
        <v>75.58407295</v>
      </c>
      <c r="U2061" s="144"/>
    </row>
    <row r="2062">
      <c r="A2062" s="107"/>
      <c r="B2062" s="8" t="s">
        <v>137</v>
      </c>
      <c r="C2062" s="8" t="s">
        <v>19</v>
      </c>
      <c r="D2062" s="8">
        <v>28.0</v>
      </c>
      <c r="E2062" s="8" t="s">
        <v>4528</v>
      </c>
      <c r="F2062" s="8" t="s">
        <v>1473</v>
      </c>
      <c r="G2062" s="8" t="s">
        <v>2556</v>
      </c>
      <c r="H2062" s="8">
        <v>2</v>
      </c>
      <c r="I2062" s="8" t="s">
        <v>28</v>
      </c>
      <c r="J2062" s="8" t="s">
        <v>22</v>
      </c>
      <c r="K2062" s="8" t="s">
        <v>225</v>
      </c>
      <c r="L2062" s="8" t="s">
        <v>24</v>
      </c>
      <c r="M2062" s="9">
        <v>1.0</v>
      </c>
      <c r="N2062" s="9">
        <v>0.25</v>
      </c>
      <c r="O2062" s="9">
        <v>0.25</v>
      </c>
      <c r="P2062" s="10">
        <v>45345.0</v>
      </c>
      <c r="Q2062" s="11">
        <v>1.85</v>
      </c>
      <c r="R2062" s="8" t="s">
        <v>33</v>
      </c>
      <c r="S2062" s="12">
        <f t="shared" si="1"/>
        <v>0.2125</v>
      </c>
      <c r="T2062" s="12">
        <f t="shared" si="8"/>
        <v>75.79657295</v>
      </c>
      <c r="U2062" s="145"/>
    </row>
    <row r="2063">
      <c r="A2063" s="29"/>
      <c r="B2063" s="15" t="s">
        <v>129</v>
      </c>
      <c r="C2063" s="15" t="s">
        <v>19</v>
      </c>
      <c r="D2063" s="15">
        <v>36.0</v>
      </c>
      <c r="E2063" s="15" t="s">
        <v>4529</v>
      </c>
      <c r="F2063" s="15" t="s">
        <v>1473</v>
      </c>
      <c r="G2063" s="15" t="s">
        <v>2660</v>
      </c>
      <c r="H2063" s="15">
        <f>1</f>
        <v>1</v>
      </c>
      <c r="I2063" s="15" t="s">
        <v>167</v>
      </c>
      <c r="J2063" s="15" t="s">
        <v>22</v>
      </c>
      <c r="K2063" s="15" t="s">
        <v>892</v>
      </c>
      <c r="L2063" s="15" t="s">
        <v>24</v>
      </c>
      <c r="M2063" s="16">
        <v>0.0</v>
      </c>
      <c r="N2063" s="16">
        <v>1.0</v>
      </c>
      <c r="O2063" s="16">
        <v>1.0</v>
      </c>
      <c r="P2063" s="17">
        <v>45345.0</v>
      </c>
      <c r="Q2063" s="18">
        <v>1.9</v>
      </c>
      <c r="R2063" s="15" t="s">
        <v>33</v>
      </c>
      <c r="S2063" s="19">
        <f t="shared" si="1"/>
        <v>0.9</v>
      </c>
      <c r="T2063" s="19">
        <f t="shared" si="8"/>
        <v>76.69657295</v>
      </c>
      <c r="U2063" s="144"/>
    </row>
    <row r="2064">
      <c r="A2064" s="107"/>
      <c r="B2064" s="8" t="s">
        <v>26</v>
      </c>
      <c r="C2064" s="8" t="s">
        <v>19</v>
      </c>
      <c r="D2064" s="8">
        <v>70.0</v>
      </c>
      <c r="E2064" s="8" t="s">
        <v>4530</v>
      </c>
      <c r="F2064" s="8"/>
      <c r="G2064" s="8"/>
      <c r="H2064" s="8"/>
      <c r="I2064" s="8" t="s">
        <v>167</v>
      </c>
      <c r="J2064" s="8" t="s">
        <v>22</v>
      </c>
      <c r="K2064" s="8" t="s">
        <v>440</v>
      </c>
      <c r="L2064" s="8" t="s">
        <v>24</v>
      </c>
      <c r="M2064" s="9">
        <v>2.5</v>
      </c>
      <c r="N2064" s="9">
        <v>0.5</v>
      </c>
      <c r="O2064" s="9">
        <v>0.5</v>
      </c>
      <c r="P2064" s="10">
        <v>45345.0</v>
      </c>
      <c r="Q2064" s="11">
        <v>1.725</v>
      </c>
      <c r="R2064" s="8" t="s">
        <v>33</v>
      </c>
      <c r="S2064" s="12">
        <f t="shared" si="1"/>
        <v>0.3625</v>
      </c>
      <c r="T2064" s="12">
        <f t="shared" si="8"/>
        <v>77.05907295</v>
      </c>
      <c r="U2064" s="145"/>
    </row>
    <row r="2065">
      <c r="A2065" s="29"/>
      <c r="B2065" s="15" t="s">
        <v>18</v>
      </c>
      <c r="C2065" s="15" t="s">
        <v>19</v>
      </c>
      <c r="D2065" s="15">
        <v>78.0</v>
      </c>
      <c r="E2065" s="15" t="s">
        <v>4531</v>
      </c>
      <c r="F2065" s="15" t="s">
        <v>1473</v>
      </c>
      <c r="G2065" s="15" t="s">
        <v>2556</v>
      </c>
      <c r="H2065" s="15">
        <v>0.0</v>
      </c>
      <c r="I2065" s="15" t="s">
        <v>1031</v>
      </c>
      <c r="J2065" s="15" t="s">
        <v>22</v>
      </c>
      <c r="K2065" s="15" t="s">
        <v>4352</v>
      </c>
      <c r="L2065" s="15" t="s">
        <v>24</v>
      </c>
      <c r="M2065" s="16">
        <v>0.0</v>
      </c>
      <c r="N2065" s="16">
        <v>0.25</v>
      </c>
      <c r="O2065" s="16">
        <v>0.25</v>
      </c>
      <c r="P2065" s="17">
        <v>45345.0</v>
      </c>
      <c r="Q2065" s="18">
        <v>1.8</v>
      </c>
      <c r="R2065" s="15" t="s">
        <v>70</v>
      </c>
      <c r="S2065" s="19">
        <f t="shared" si="1"/>
        <v>0</v>
      </c>
      <c r="T2065" s="19">
        <f t="shared" si="8"/>
        <v>77.05907295</v>
      </c>
      <c r="U2065" s="144"/>
    </row>
    <row r="2066">
      <c r="A2066" s="107"/>
      <c r="B2066" s="8" t="s">
        <v>131</v>
      </c>
      <c r="C2066" s="8" t="s">
        <v>19</v>
      </c>
      <c r="D2066" s="8">
        <v>80.0</v>
      </c>
      <c r="E2066" s="8" t="s">
        <v>4532</v>
      </c>
      <c r="F2066" s="8" t="s">
        <v>1473</v>
      </c>
      <c r="G2066" s="8" t="s">
        <v>2660</v>
      </c>
      <c r="H2066" s="8">
        <v>0.0</v>
      </c>
      <c r="I2066" s="8" t="s">
        <v>820</v>
      </c>
      <c r="J2066" s="8" t="s">
        <v>22</v>
      </c>
      <c r="K2066" s="8" t="s">
        <v>892</v>
      </c>
      <c r="L2066" s="8" t="s">
        <v>24</v>
      </c>
      <c r="M2066" s="9">
        <v>0.0</v>
      </c>
      <c r="N2066" s="9">
        <v>0.5</v>
      </c>
      <c r="O2066" s="9">
        <v>0.5</v>
      </c>
      <c r="P2066" s="10">
        <v>45345.0</v>
      </c>
      <c r="Q2066" s="11">
        <v>2.5</v>
      </c>
      <c r="R2066" s="8" t="s">
        <v>25</v>
      </c>
      <c r="S2066" s="12">
        <f t="shared" si="1"/>
        <v>-0.5</v>
      </c>
      <c r="T2066" s="12">
        <f t="shared" si="8"/>
        <v>76.55907295</v>
      </c>
      <c r="U2066" s="145"/>
    </row>
    <row r="2067">
      <c r="A2067" s="29"/>
      <c r="B2067" s="15" t="s">
        <v>129</v>
      </c>
      <c r="C2067" s="15" t="s">
        <v>19</v>
      </c>
      <c r="D2067" s="15">
        <v>29.0</v>
      </c>
      <c r="E2067" s="15" t="s">
        <v>4533</v>
      </c>
      <c r="F2067" s="15" t="s">
        <v>1479</v>
      </c>
      <c r="G2067" s="15" t="s">
        <v>2660</v>
      </c>
      <c r="H2067" s="15">
        <v>0.0</v>
      </c>
      <c r="I2067" s="15" t="s">
        <v>4354</v>
      </c>
      <c r="J2067" s="15" t="s">
        <v>22</v>
      </c>
      <c r="K2067" s="15" t="s">
        <v>1150</v>
      </c>
      <c r="L2067" s="15" t="s">
        <v>24</v>
      </c>
      <c r="M2067" s="16">
        <v>0.0</v>
      </c>
      <c r="N2067" s="16">
        <v>1.0</v>
      </c>
      <c r="O2067" s="16">
        <v>1.0</v>
      </c>
      <c r="P2067" s="17">
        <v>45345.0</v>
      </c>
      <c r="Q2067" s="18">
        <v>1.75</v>
      </c>
      <c r="R2067" s="15" t="s">
        <v>70</v>
      </c>
      <c r="S2067" s="19">
        <f t="shared" si="1"/>
        <v>0</v>
      </c>
      <c r="T2067" s="19">
        <f t="shared" si="8"/>
        <v>76.55907295</v>
      </c>
      <c r="U2067" s="144"/>
    </row>
    <row r="2068">
      <c r="A2068" s="107"/>
      <c r="B2068" s="8" t="s">
        <v>4225</v>
      </c>
      <c r="C2068" s="8" t="s">
        <v>19</v>
      </c>
      <c r="D2068" s="8">
        <v>35.0</v>
      </c>
      <c r="E2068" s="8" t="s">
        <v>4534</v>
      </c>
      <c r="F2068" s="8" t="s">
        <v>1473</v>
      </c>
      <c r="G2068" s="8" t="s">
        <v>2556</v>
      </c>
      <c r="H2068" s="8">
        <v>0.0</v>
      </c>
      <c r="I2068" s="8" t="s">
        <v>233</v>
      </c>
      <c r="J2068" s="8" t="s">
        <v>22</v>
      </c>
      <c r="K2068" s="8" t="s">
        <v>225</v>
      </c>
      <c r="L2068" s="8" t="s">
        <v>24</v>
      </c>
      <c r="M2068" s="9">
        <v>0.25</v>
      </c>
      <c r="N2068" s="9">
        <v>0.5</v>
      </c>
      <c r="O2068" s="9">
        <v>0.5</v>
      </c>
      <c r="P2068" s="10">
        <v>45345.0</v>
      </c>
      <c r="Q2068" s="11">
        <v>1.775</v>
      </c>
      <c r="R2068" s="8" t="s">
        <v>25</v>
      </c>
      <c r="S2068" s="12">
        <f t="shared" si="1"/>
        <v>-0.5</v>
      </c>
      <c r="T2068" s="12">
        <f t="shared" si="8"/>
        <v>76.05907295</v>
      </c>
      <c r="U2068" s="145"/>
    </row>
    <row r="2069">
      <c r="A2069" s="29"/>
      <c r="B2069" s="15" t="s">
        <v>137</v>
      </c>
      <c r="C2069" s="15" t="s">
        <v>19</v>
      </c>
      <c r="D2069" s="15">
        <v>67.0</v>
      </c>
      <c r="E2069" s="15" t="s">
        <v>4535</v>
      </c>
      <c r="F2069" s="15" t="s">
        <v>1473</v>
      </c>
      <c r="G2069" s="15" t="s">
        <v>2660</v>
      </c>
      <c r="H2069" s="15">
        <v>2</v>
      </c>
      <c r="I2069" s="15" t="s">
        <v>233</v>
      </c>
      <c r="J2069" s="15" t="s">
        <v>22</v>
      </c>
      <c r="K2069" s="15" t="s">
        <v>892</v>
      </c>
      <c r="L2069" s="15" t="s">
        <v>39</v>
      </c>
      <c r="M2069" s="16">
        <v>0.0</v>
      </c>
      <c r="N2069" s="16">
        <v>0.5</v>
      </c>
      <c r="O2069" s="16">
        <v>0.5</v>
      </c>
      <c r="P2069" s="17">
        <v>45345.0</v>
      </c>
      <c r="Q2069" s="18">
        <v>1.7</v>
      </c>
      <c r="R2069" s="15" t="s">
        <v>33</v>
      </c>
      <c r="S2069" s="19">
        <f t="shared" si="1"/>
        <v>0.35</v>
      </c>
      <c r="T2069" s="19">
        <f t="shared" si="8"/>
        <v>76.40907295</v>
      </c>
      <c r="U2069" s="144"/>
    </row>
    <row r="2070">
      <c r="A2070" s="107"/>
      <c r="B2070" s="8" t="s">
        <v>18</v>
      </c>
      <c r="C2070" s="8" t="s">
        <v>19</v>
      </c>
      <c r="D2070" s="8">
        <v>20.0</v>
      </c>
      <c r="E2070" s="8" t="s">
        <v>4536</v>
      </c>
      <c r="F2070" s="8" t="s">
        <v>1479</v>
      </c>
      <c r="G2070" s="8" t="s">
        <v>2556</v>
      </c>
      <c r="H2070" s="8">
        <v>0.0</v>
      </c>
      <c r="I2070" s="8" t="s">
        <v>115</v>
      </c>
      <c r="J2070" s="8" t="s">
        <v>22</v>
      </c>
      <c r="K2070" s="8" t="s">
        <v>225</v>
      </c>
      <c r="L2070" s="8" t="s">
        <v>24</v>
      </c>
      <c r="M2070" s="9">
        <v>1.0</v>
      </c>
      <c r="N2070" s="9">
        <v>0.8</v>
      </c>
      <c r="O2070" s="9">
        <v>0.8</v>
      </c>
      <c r="P2070" s="10">
        <v>45346.0</v>
      </c>
      <c r="Q2070" s="11">
        <v>1.8</v>
      </c>
      <c r="R2070" s="8" t="s">
        <v>33</v>
      </c>
      <c r="S2070" s="12">
        <f t="shared" si="1"/>
        <v>0.64</v>
      </c>
      <c r="T2070" s="12">
        <f t="shared" si="8"/>
        <v>77.04907295</v>
      </c>
      <c r="U2070" s="145"/>
    </row>
    <row r="2071">
      <c r="A2071" s="29"/>
      <c r="B2071" s="15" t="s">
        <v>18</v>
      </c>
      <c r="C2071" s="15" t="s">
        <v>19</v>
      </c>
      <c r="D2071" s="15">
        <v>20.0</v>
      </c>
      <c r="E2071" s="15" t="s">
        <v>4537</v>
      </c>
      <c r="F2071" s="15" t="s">
        <v>1479</v>
      </c>
      <c r="G2071" s="15" t="s">
        <v>2556</v>
      </c>
      <c r="H2071" s="15">
        <v>0.0</v>
      </c>
      <c r="I2071" s="15" t="s">
        <v>115</v>
      </c>
      <c r="J2071" s="15" t="s">
        <v>22</v>
      </c>
      <c r="K2071" s="15" t="s">
        <v>4352</v>
      </c>
      <c r="L2071" s="15" t="s">
        <v>24</v>
      </c>
      <c r="M2071" s="16">
        <v>0.0</v>
      </c>
      <c r="N2071" s="16">
        <v>0.15</v>
      </c>
      <c r="O2071" s="16">
        <v>0.15</v>
      </c>
      <c r="P2071" s="17">
        <v>45346.0</v>
      </c>
      <c r="Q2071" s="18">
        <v>4.0</v>
      </c>
      <c r="R2071" s="15" t="s">
        <v>33</v>
      </c>
      <c r="S2071" s="19">
        <f t="shared" si="1"/>
        <v>0.45</v>
      </c>
      <c r="T2071" s="19">
        <f t="shared" si="8"/>
        <v>77.49907295</v>
      </c>
      <c r="U2071" s="144"/>
    </row>
    <row r="2072">
      <c r="A2072" s="107"/>
      <c r="B2072" s="8" t="s">
        <v>4225</v>
      </c>
      <c r="C2072" s="8" t="s">
        <v>19</v>
      </c>
      <c r="D2072" s="8">
        <v>0.0</v>
      </c>
      <c r="E2072" s="8" t="s">
        <v>4538</v>
      </c>
      <c r="F2072" s="8" t="s">
        <v>1479</v>
      </c>
      <c r="G2072" s="8" t="s">
        <v>2660</v>
      </c>
      <c r="H2072" s="8">
        <v>0.0</v>
      </c>
      <c r="I2072" s="8" t="s">
        <v>432</v>
      </c>
      <c r="J2072" s="8" t="s">
        <v>598</v>
      </c>
      <c r="K2072" s="8" t="s">
        <v>892</v>
      </c>
      <c r="L2072" s="8" t="s">
        <v>24</v>
      </c>
      <c r="M2072" s="9">
        <v>0.0</v>
      </c>
      <c r="N2072" s="9">
        <v>0.5</v>
      </c>
      <c r="O2072" s="9">
        <v>0.5</v>
      </c>
      <c r="P2072" s="10">
        <v>45346.0</v>
      </c>
      <c r="Q2072" s="11">
        <v>2.0</v>
      </c>
      <c r="R2072" s="8" t="s">
        <v>70</v>
      </c>
      <c r="S2072" s="12">
        <f t="shared" si="1"/>
        <v>0</v>
      </c>
      <c r="T2072" s="12">
        <f t="shared" si="8"/>
        <v>77.49907295</v>
      </c>
      <c r="U2072" s="145"/>
    </row>
    <row r="2073">
      <c r="A2073" s="29"/>
      <c r="B2073" s="15" t="s">
        <v>26</v>
      </c>
      <c r="C2073" s="15" t="s">
        <v>19</v>
      </c>
      <c r="D2073" s="15">
        <v>64.0</v>
      </c>
      <c r="E2073" s="15" t="s">
        <v>4539</v>
      </c>
      <c r="F2073" s="15" t="s">
        <v>1479</v>
      </c>
      <c r="G2073" s="15" t="s">
        <v>2660</v>
      </c>
      <c r="H2073" s="15">
        <v>0.0</v>
      </c>
      <c r="I2073" s="15" t="s">
        <v>121</v>
      </c>
      <c r="J2073" s="15" t="s">
        <v>22</v>
      </c>
      <c r="K2073" s="15" t="s">
        <v>892</v>
      </c>
      <c r="L2073" s="15" t="s">
        <v>24</v>
      </c>
      <c r="M2073" s="16">
        <v>0.0</v>
      </c>
      <c r="N2073" s="16">
        <v>0.25</v>
      </c>
      <c r="O2073" s="16">
        <v>0.25</v>
      </c>
      <c r="P2073" s="17">
        <v>45346.0</v>
      </c>
      <c r="Q2073" s="18">
        <v>1.825</v>
      </c>
      <c r="R2073" s="15" t="s">
        <v>70</v>
      </c>
      <c r="S2073" s="19">
        <f t="shared" si="1"/>
        <v>0</v>
      </c>
      <c r="T2073" s="19">
        <f t="shared" si="8"/>
        <v>77.49907295</v>
      </c>
      <c r="U2073" s="144"/>
    </row>
    <row r="2074">
      <c r="A2074" s="107"/>
      <c r="B2074" s="8" t="s">
        <v>4225</v>
      </c>
      <c r="C2074" s="8" t="s">
        <v>19</v>
      </c>
      <c r="D2074" s="8">
        <v>35.0</v>
      </c>
      <c r="E2074" s="8" t="s">
        <v>4540</v>
      </c>
      <c r="F2074" s="8" t="s">
        <v>1473</v>
      </c>
      <c r="G2074" s="8" t="s">
        <v>2660</v>
      </c>
      <c r="H2074" s="8">
        <v>0.0</v>
      </c>
      <c r="I2074" s="8" t="s">
        <v>432</v>
      </c>
      <c r="J2074" s="8" t="s">
        <v>22</v>
      </c>
      <c r="K2074" s="8" t="s">
        <v>892</v>
      </c>
      <c r="L2074" s="8" t="s">
        <v>39</v>
      </c>
      <c r="M2074" s="9">
        <v>0.0</v>
      </c>
      <c r="N2074" s="9">
        <v>0.55</v>
      </c>
      <c r="O2074" s="9">
        <v>0.55</v>
      </c>
      <c r="P2074" s="10">
        <v>45346.0</v>
      </c>
      <c r="Q2074" s="11">
        <v>1.45</v>
      </c>
      <c r="R2074" s="8" t="s">
        <v>70</v>
      </c>
      <c r="S2074" s="12">
        <f t="shared" si="1"/>
        <v>0</v>
      </c>
      <c r="T2074" s="12">
        <f t="shared" si="8"/>
        <v>77.49907295</v>
      </c>
      <c r="U2074" s="145"/>
    </row>
    <row r="2075">
      <c r="A2075" s="29"/>
      <c r="B2075" s="15" t="s">
        <v>129</v>
      </c>
      <c r="C2075" s="15" t="s">
        <v>40</v>
      </c>
      <c r="D2075" s="15">
        <v>29.0</v>
      </c>
      <c r="E2075" s="15" t="s">
        <v>4541</v>
      </c>
      <c r="F2075" s="15" t="s">
        <v>1473</v>
      </c>
      <c r="G2075" s="15" t="s">
        <v>2660</v>
      </c>
      <c r="H2075" s="15">
        <v>2</v>
      </c>
      <c r="I2075" s="15" t="s">
        <v>42</v>
      </c>
      <c r="J2075" s="15" t="s">
        <v>22</v>
      </c>
      <c r="K2075" s="15" t="s">
        <v>1150</v>
      </c>
      <c r="L2075" s="15" t="s">
        <v>24</v>
      </c>
      <c r="M2075" s="16">
        <v>0.0</v>
      </c>
      <c r="N2075" s="16">
        <v>0.6</v>
      </c>
      <c r="O2075" s="16">
        <v>0.6</v>
      </c>
      <c r="P2075" s="55">
        <v>45346.0</v>
      </c>
      <c r="Q2075" s="18">
        <v>1.6</v>
      </c>
      <c r="R2075" s="15" t="s">
        <v>70</v>
      </c>
      <c r="S2075" s="19">
        <f t="shared" si="1"/>
        <v>0</v>
      </c>
      <c r="T2075" s="19">
        <f t="shared" si="8"/>
        <v>77.49907295</v>
      </c>
      <c r="U2075" s="144"/>
    </row>
    <row r="2076">
      <c r="A2076" s="107"/>
      <c r="B2076" s="8" t="s">
        <v>129</v>
      </c>
      <c r="C2076" s="8" t="s">
        <v>19</v>
      </c>
      <c r="D2076" s="8">
        <v>35.0</v>
      </c>
      <c r="E2076" s="8" t="s">
        <v>4542</v>
      </c>
      <c r="F2076" s="8" t="s">
        <v>1473</v>
      </c>
      <c r="G2076" s="8" t="s">
        <v>2660</v>
      </c>
      <c r="H2076" s="8">
        <v>-1.0</v>
      </c>
      <c r="I2076" s="8" t="s">
        <v>525</v>
      </c>
      <c r="J2076" s="8" t="s">
        <v>22</v>
      </c>
      <c r="K2076" s="8" t="s">
        <v>1150</v>
      </c>
      <c r="L2076" s="8" t="s">
        <v>24</v>
      </c>
      <c r="M2076" s="9">
        <v>0.0</v>
      </c>
      <c r="N2076" s="9">
        <v>0.5</v>
      </c>
      <c r="O2076" s="9">
        <v>0.5</v>
      </c>
      <c r="P2076" s="10">
        <v>45346.0</v>
      </c>
      <c r="Q2076" s="11">
        <f>(1.7+1.775)/2</f>
        <v>1.7375</v>
      </c>
      <c r="R2076" s="8" t="s">
        <v>33</v>
      </c>
      <c r="S2076" s="12">
        <f t="shared" si="1"/>
        <v>0.36875</v>
      </c>
      <c r="T2076" s="12">
        <f t="shared" si="8"/>
        <v>77.86782295</v>
      </c>
      <c r="U2076" s="145"/>
    </row>
    <row r="2077">
      <c r="A2077" s="29"/>
      <c r="B2077" s="15" t="s">
        <v>4225</v>
      </c>
      <c r="C2077" s="15" t="s">
        <v>19</v>
      </c>
      <c r="D2077" s="15">
        <v>68.0</v>
      </c>
      <c r="E2077" s="15" t="s">
        <v>4543</v>
      </c>
      <c r="F2077" s="15" t="s">
        <v>1473</v>
      </c>
      <c r="G2077" s="15" t="s">
        <v>2660</v>
      </c>
      <c r="H2077" s="15">
        <v>-1.0</v>
      </c>
      <c r="I2077" s="15" t="s">
        <v>923</v>
      </c>
      <c r="J2077" s="15" t="s">
        <v>22</v>
      </c>
      <c r="K2077" s="15" t="s">
        <v>892</v>
      </c>
      <c r="L2077" s="15" t="s">
        <v>24</v>
      </c>
      <c r="M2077" s="16">
        <v>0.0</v>
      </c>
      <c r="N2077" s="16">
        <v>0.5</v>
      </c>
      <c r="O2077" s="16">
        <v>0.5</v>
      </c>
      <c r="P2077" s="17">
        <v>45346.0</v>
      </c>
      <c r="Q2077" s="18">
        <v>1.925</v>
      </c>
      <c r="R2077" s="15" t="s">
        <v>33</v>
      </c>
      <c r="S2077" s="19">
        <f t="shared" si="1"/>
        <v>0.4625</v>
      </c>
      <c r="T2077" s="19">
        <f t="shared" si="8"/>
        <v>78.33032295</v>
      </c>
      <c r="U2077" s="144"/>
    </row>
    <row r="2078">
      <c r="A2078" s="107"/>
      <c r="B2078" s="8" t="s">
        <v>26</v>
      </c>
      <c r="C2078" s="8" t="s">
        <v>19</v>
      </c>
      <c r="D2078" s="8">
        <v>74.0</v>
      </c>
      <c r="E2078" s="8" t="s">
        <v>4544</v>
      </c>
      <c r="F2078" s="8" t="s">
        <v>1479</v>
      </c>
      <c r="G2078" s="8" t="s">
        <v>2660</v>
      </c>
      <c r="H2078" s="8">
        <v>0.0</v>
      </c>
      <c r="I2078" s="8" t="s">
        <v>28</v>
      </c>
      <c r="J2078" s="8" t="s">
        <v>22</v>
      </c>
      <c r="K2078" s="8" t="s">
        <v>892</v>
      </c>
      <c r="L2078" s="8" t="s">
        <v>24</v>
      </c>
      <c r="M2078" s="9">
        <v>0.0</v>
      </c>
      <c r="N2078" s="9">
        <v>0.25</v>
      </c>
      <c r="O2078" s="9">
        <v>0.25</v>
      </c>
      <c r="P2078" s="10">
        <v>45346.0</v>
      </c>
      <c r="Q2078" s="11">
        <v>1.7</v>
      </c>
      <c r="R2078" s="8" t="s">
        <v>70</v>
      </c>
      <c r="S2078" s="12">
        <f t="shared" si="1"/>
        <v>0</v>
      </c>
      <c r="T2078" s="12">
        <f t="shared" si="8"/>
        <v>78.33032295</v>
      </c>
      <c r="U2078" s="145"/>
    </row>
    <row r="2079">
      <c r="A2079" s="29"/>
      <c r="B2079" s="15" t="s">
        <v>137</v>
      </c>
      <c r="C2079" s="15" t="s">
        <v>19</v>
      </c>
      <c r="D2079" s="15">
        <v>62.0</v>
      </c>
      <c r="E2079" s="15" t="s">
        <v>4545</v>
      </c>
      <c r="F2079" s="15" t="s">
        <v>1473</v>
      </c>
      <c r="G2079" s="15" t="s">
        <v>2660</v>
      </c>
      <c r="H2079" s="15">
        <v>-1.0</v>
      </c>
      <c r="I2079" s="15" t="s">
        <v>624</v>
      </c>
      <c r="J2079" s="15" t="s">
        <v>22</v>
      </c>
      <c r="K2079" s="15" t="s">
        <v>892</v>
      </c>
      <c r="L2079" s="15" t="s">
        <v>24</v>
      </c>
      <c r="M2079" s="16">
        <v>0.0</v>
      </c>
      <c r="N2079" s="16">
        <v>0.75</v>
      </c>
      <c r="O2079" s="16">
        <v>0.75</v>
      </c>
      <c r="P2079" s="17">
        <v>45346.0</v>
      </c>
      <c r="Q2079" s="18">
        <v>2.0</v>
      </c>
      <c r="R2079" s="15" t="s">
        <v>33</v>
      </c>
      <c r="S2079" s="19">
        <f t="shared" si="1"/>
        <v>0.75</v>
      </c>
      <c r="T2079" s="19">
        <f t="shared" si="8"/>
        <v>79.08032295</v>
      </c>
      <c r="U2079" s="144"/>
    </row>
    <row r="2080">
      <c r="A2080" s="107"/>
      <c r="B2080" s="8" t="s">
        <v>137</v>
      </c>
      <c r="C2080" s="8" t="s">
        <v>19</v>
      </c>
      <c r="D2080" s="8">
        <v>67.0</v>
      </c>
      <c r="E2080" s="8" t="s">
        <v>4545</v>
      </c>
      <c r="F2080" s="8" t="s">
        <v>1473</v>
      </c>
      <c r="G2080" s="8" t="s">
        <v>2660</v>
      </c>
      <c r="H2080" s="8">
        <v>0.0</v>
      </c>
      <c r="I2080" s="8" t="s">
        <v>624</v>
      </c>
      <c r="J2080" s="8" t="s">
        <v>22</v>
      </c>
      <c r="K2080" s="8" t="s">
        <v>892</v>
      </c>
      <c r="L2080" s="8" t="s">
        <v>24</v>
      </c>
      <c r="M2080" s="9">
        <v>0.0</v>
      </c>
      <c r="N2080" s="9">
        <v>0.5</v>
      </c>
      <c r="O2080" s="9">
        <v>0.5</v>
      </c>
      <c r="P2080" s="10">
        <v>45346.0</v>
      </c>
      <c r="Q2080" s="11">
        <v>1.9</v>
      </c>
      <c r="R2080" s="8" t="s">
        <v>33</v>
      </c>
      <c r="S2080" s="12">
        <f t="shared" si="1"/>
        <v>0.45</v>
      </c>
      <c r="T2080" s="12">
        <f t="shared" si="8"/>
        <v>79.53032295</v>
      </c>
      <c r="U2080" s="145"/>
    </row>
    <row r="2081">
      <c r="A2081" s="29"/>
      <c r="B2081" s="15" t="s">
        <v>137</v>
      </c>
      <c r="C2081" s="15" t="s">
        <v>19</v>
      </c>
      <c r="D2081" s="15">
        <v>61.0</v>
      </c>
      <c r="E2081" s="15" t="s">
        <v>4546</v>
      </c>
      <c r="F2081" s="15" t="s">
        <v>1473</v>
      </c>
      <c r="G2081" s="15" t="s">
        <v>2660</v>
      </c>
      <c r="H2081" s="15">
        <v>0.0</v>
      </c>
      <c r="I2081" s="15" t="s">
        <v>172</v>
      </c>
      <c r="J2081" s="15" t="s">
        <v>22</v>
      </c>
      <c r="K2081" s="15" t="s">
        <v>892</v>
      </c>
      <c r="L2081" s="15" t="s">
        <v>24</v>
      </c>
      <c r="M2081" s="16">
        <v>0.0</v>
      </c>
      <c r="N2081" s="16">
        <v>0.75</v>
      </c>
      <c r="O2081" s="16">
        <v>0.75</v>
      </c>
      <c r="P2081" s="17">
        <v>45346.0</v>
      </c>
      <c r="Q2081" s="18">
        <v>2.0</v>
      </c>
      <c r="R2081" s="15" t="s">
        <v>25</v>
      </c>
      <c r="S2081" s="19">
        <f t="shared" si="1"/>
        <v>-0.75</v>
      </c>
      <c r="T2081" s="19">
        <f t="shared" si="8"/>
        <v>78.78032295</v>
      </c>
      <c r="U2081" s="144"/>
    </row>
    <row r="2082">
      <c r="A2082" s="107"/>
      <c r="B2082" s="8" t="s">
        <v>26</v>
      </c>
      <c r="C2082" s="8" t="s">
        <v>19</v>
      </c>
      <c r="D2082" s="8">
        <v>77.0</v>
      </c>
      <c r="E2082" s="8" t="s">
        <v>4547</v>
      </c>
      <c r="F2082" s="8" t="s">
        <v>1479</v>
      </c>
      <c r="G2082" s="8" t="s">
        <v>2660</v>
      </c>
      <c r="H2082" s="8">
        <v>0.0</v>
      </c>
      <c r="I2082" s="8" t="s">
        <v>66</v>
      </c>
      <c r="J2082" s="8" t="s">
        <v>22</v>
      </c>
      <c r="K2082" s="8" t="s">
        <v>892</v>
      </c>
      <c r="L2082" s="8" t="s">
        <v>24</v>
      </c>
      <c r="M2082" s="9">
        <v>0.0</v>
      </c>
      <c r="N2082" s="9">
        <v>0.5</v>
      </c>
      <c r="O2082" s="9">
        <v>0.5</v>
      </c>
      <c r="P2082" s="10">
        <v>45346.0</v>
      </c>
      <c r="Q2082" s="11">
        <v>1.85</v>
      </c>
      <c r="R2082" s="8" t="s">
        <v>70</v>
      </c>
      <c r="S2082" s="12">
        <f t="shared" si="1"/>
        <v>0</v>
      </c>
      <c r="T2082" s="12">
        <f t="shared" si="8"/>
        <v>78.78032295</v>
      </c>
      <c r="U2082" s="145"/>
    </row>
    <row r="2083">
      <c r="A2083" s="29"/>
      <c r="B2083" s="15" t="s">
        <v>129</v>
      </c>
      <c r="C2083" s="15" t="s">
        <v>19</v>
      </c>
      <c r="D2083" s="15">
        <v>33.0</v>
      </c>
      <c r="E2083" s="15" t="s">
        <v>4548</v>
      </c>
      <c r="F2083" s="15" t="s">
        <v>1473</v>
      </c>
      <c r="G2083" s="15" t="s">
        <v>2660</v>
      </c>
      <c r="H2083" s="15">
        <v>-1.0</v>
      </c>
      <c r="I2083" s="15" t="s">
        <v>68</v>
      </c>
      <c r="J2083" s="15" t="s">
        <v>22</v>
      </c>
      <c r="K2083" s="15" t="s">
        <v>892</v>
      </c>
      <c r="L2083" s="15" t="s">
        <v>24</v>
      </c>
      <c r="M2083" s="16">
        <v>0.0</v>
      </c>
      <c r="N2083" s="16">
        <v>0.75</v>
      </c>
      <c r="O2083" s="16">
        <v>0.75</v>
      </c>
      <c r="P2083" s="17">
        <v>45346.0</v>
      </c>
      <c r="Q2083" s="18">
        <v>2.075</v>
      </c>
      <c r="R2083" s="15" t="s">
        <v>33</v>
      </c>
      <c r="S2083" s="19">
        <f t="shared" si="1"/>
        <v>0.80625</v>
      </c>
      <c r="T2083" s="19">
        <f t="shared" si="8"/>
        <v>79.58657295</v>
      </c>
      <c r="U2083" s="144"/>
    </row>
    <row r="2084">
      <c r="A2084" s="107"/>
      <c r="B2084" s="8" t="s">
        <v>129</v>
      </c>
      <c r="C2084" s="8" t="s">
        <v>19</v>
      </c>
      <c r="D2084" s="8"/>
      <c r="E2084" s="8" t="s">
        <v>4549</v>
      </c>
      <c r="F2084" s="8"/>
      <c r="G2084" s="8"/>
      <c r="H2084" s="8">
        <v>0.0</v>
      </c>
      <c r="I2084" s="8" t="s">
        <v>68</v>
      </c>
      <c r="J2084" s="8" t="s">
        <v>22</v>
      </c>
      <c r="K2084" s="8" t="s">
        <v>440</v>
      </c>
      <c r="L2084" s="8" t="s">
        <v>24</v>
      </c>
      <c r="M2084" s="9">
        <v>2.5</v>
      </c>
      <c r="N2084" s="9">
        <v>0.37</v>
      </c>
      <c r="O2084" s="9">
        <v>0.37</v>
      </c>
      <c r="P2084" s="10">
        <v>45346.0</v>
      </c>
      <c r="Q2084" s="11">
        <v>2.1</v>
      </c>
      <c r="R2084" s="8" t="s">
        <v>25</v>
      </c>
      <c r="S2084" s="12">
        <f t="shared" si="1"/>
        <v>-0.37</v>
      </c>
      <c r="T2084" s="12">
        <f t="shared" si="8"/>
        <v>79.21657295</v>
      </c>
      <c r="U2084" s="145"/>
    </row>
    <row r="2085">
      <c r="A2085" s="29"/>
      <c r="B2085" s="15" t="s">
        <v>26</v>
      </c>
      <c r="C2085" s="15" t="s">
        <v>19</v>
      </c>
      <c r="D2085" s="15">
        <v>18.0</v>
      </c>
      <c r="E2085" s="15" t="s">
        <v>4550</v>
      </c>
      <c r="F2085" s="15" t="s">
        <v>1479</v>
      </c>
      <c r="G2085" s="15" t="s">
        <v>2660</v>
      </c>
      <c r="H2085" s="15">
        <v>0.0</v>
      </c>
      <c r="I2085" s="15" t="s">
        <v>93</v>
      </c>
      <c r="J2085" s="15" t="s">
        <v>22</v>
      </c>
      <c r="K2085" s="15" t="s">
        <v>1150</v>
      </c>
      <c r="L2085" s="15" t="s">
        <v>24</v>
      </c>
      <c r="M2085" s="16">
        <v>0.0</v>
      </c>
      <c r="N2085" s="16">
        <v>1.0</v>
      </c>
      <c r="O2085" s="16">
        <v>1.0</v>
      </c>
      <c r="P2085" s="17">
        <v>45347.0</v>
      </c>
      <c r="Q2085" s="18">
        <v>1.7</v>
      </c>
      <c r="R2085" s="15" t="s">
        <v>70</v>
      </c>
      <c r="S2085" s="19">
        <f t="shared" si="1"/>
        <v>0</v>
      </c>
      <c r="T2085" s="19">
        <f t="shared" si="8"/>
        <v>79.21657295</v>
      </c>
      <c r="U2085" s="144"/>
    </row>
    <row r="2086">
      <c r="A2086" s="107"/>
      <c r="B2086" s="8" t="s">
        <v>26</v>
      </c>
      <c r="C2086" s="8" t="s">
        <v>19</v>
      </c>
      <c r="D2086" s="8">
        <v>76.0</v>
      </c>
      <c r="E2086" s="8" t="s">
        <v>4551</v>
      </c>
      <c r="F2086" s="8"/>
      <c r="G2086" s="8"/>
      <c r="H2086" s="8">
        <v>0.0</v>
      </c>
      <c r="I2086" s="8" t="s">
        <v>229</v>
      </c>
      <c r="J2086" s="8" t="s">
        <v>22</v>
      </c>
      <c r="K2086" s="8" t="s">
        <v>440</v>
      </c>
      <c r="L2086" s="8" t="s">
        <v>24</v>
      </c>
      <c r="M2086" s="9">
        <v>2.75</v>
      </c>
      <c r="N2086" s="9">
        <v>0.1</v>
      </c>
      <c r="O2086" s="9">
        <v>0.1</v>
      </c>
      <c r="P2086" s="10">
        <v>45347.0</v>
      </c>
      <c r="Q2086" s="11">
        <v>1.75</v>
      </c>
      <c r="R2086" s="8" t="s">
        <v>996</v>
      </c>
      <c r="S2086" s="12">
        <f t="shared" si="1"/>
        <v>0.0375</v>
      </c>
      <c r="T2086" s="12">
        <f t="shared" si="8"/>
        <v>79.25407295</v>
      </c>
      <c r="U2086" s="145"/>
    </row>
    <row r="2087">
      <c r="A2087" s="29"/>
      <c r="B2087" s="15" t="s">
        <v>129</v>
      </c>
      <c r="C2087" s="15" t="s">
        <v>19</v>
      </c>
      <c r="D2087" s="15">
        <v>76.0</v>
      </c>
      <c r="E2087" s="15" t="s">
        <v>4552</v>
      </c>
      <c r="F2087" s="15" t="s">
        <v>1479</v>
      </c>
      <c r="G2087" s="15" t="s">
        <v>2660</v>
      </c>
      <c r="H2087" s="15">
        <v>0.0</v>
      </c>
      <c r="I2087" s="15" t="s">
        <v>229</v>
      </c>
      <c r="J2087" s="15" t="s">
        <v>22</v>
      </c>
      <c r="K2087" s="15" t="s">
        <v>892</v>
      </c>
      <c r="L2087" s="15" t="s">
        <v>24</v>
      </c>
      <c r="M2087" s="16">
        <v>0.0</v>
      </c>
      <c r="N2087" s="16">
        <v>0.5</v>
      </c>
      <c r="O2087" s="16">
        <v>0.5</v>
      </c>
      <c r="P2087" s="17">
        <v>45347.0</v>
      </c>
      <c r="Q2087" s="18">
        <v>1.85</v>
      </c>
      <c r="R2087" s="15" t="s">
        <v>25</v>
      </c>
      <c r="S2087" s="19">
        <f t="shared" si="1"/>
        <v>-0.5</v>
      </c>
      <c r="T2087" s="19">
        <f t="shared" si="8"/>
        <v>78.75407295</v>
      </c>
      <c r="U2087" s="144"/>
    </row>
    <row r="2088">
      <c r="A2088" s="107"/>
      <c r="B2088" s="8" t="s">
        <v>26</v>
      </c>
      <c r="C2088" s="8" t="s">
        <v>19</v>
      </c>
      <c r="D2088" s="8">
        <v>86.0</v>
      </c>
      <c r="E2088" s="8" t="s">
        <v>4553</v>
      </c>
      <c r="F2088" s="8" t="s">
        <v>1479</v>
      </c>
      <c r="G2088" s="8" t="s">
        <v>2660</v>
      </c>
      <c r="H2088" s="8">
        <v>-1.0</v>
      </c>
      <c r="I2088" s="8" t="s">
        <v>229</v>
      </c>
      <c r="J2088" s="8" t="s">
        <v>22</v>
      </c>
      <c r="K2088" s="8" t="s">
        <v>892</v>
      </c>
      <c r="L2088" s="8" t="s">
        <v>24</v>
      </c>
      <c r="M2088" s="9">
        <v>0.0</v>
      </c>
      <c r="N2088" s="9">
        <v>0.75</v>
      </c>
      <c r="O2088" s="9">
        <v>0.75</v>
      </c>
      <c r="P2088" s="10">
        <v>45347.0</v>
      </c>
      <c r="Q2088" s="11">
        <v>1.68</v>
      </c>
      <c r="R2088" s="8" t="s">
        <v>70</v>
      </c>
      <c r="S2088" s="12">
        <f t="shared" si="1"/>
        <v>0</v>
      </c>
      <c r="T2088" s="12">
        <f t="shared" si="8"/>
        <v>78.75407295</v>
      </c>
      <c r="U2088" s="145"/>
    </row>
    <row r="2089">
      <c r="A2089" s="29"/>
      <c r="B2089" s="15" t="s">
        <v>18</v>
      </c>
      <c r="C2089" s="15" t="s">
        <v>19</v>
      </c>
      <c r="D2089" s="15">
        <v>14.0</v>
      </c>
      <c r="E2089" s="15" t="s">
        <v>4554</v>
      </c>
      <c r="F2089" s="15" t="s">
        <v>1473</v>
      </c>
      <c r="G2089" s="15" t="s">
        <v>2556</v>
      </c>
      <c r="H2089" s="15">
        <v>0.0</v>
      </c>
      <c r="I2089" s="15" t="s">
        <v>273</v>
      </c>
      <c r="J2089" s="15" t="s">
        <v>22</v>
      </c>
      <c r="K2089" s="15" t="s">
        <v>225</v>
      </c>
      <c r="L2089" s="15" t="s">
        <v>24</v>
      </c>
      <c r="M2089" s="16">
        <v>0.25</v>
      </c>
      <c r="N2089" s="16">
        <v>0.5</v>
      </c>
      <c r="O2089" s="16">
        <v>0.5</v>
      </c>
      <c r="P2089" s="17">
        <v>45347.0</v>
      </c>
      <c r="Q2089" s="18">
        <v>1.775</v>
      </c>
      <c r="R2089" s="15" t="s">
        <v>996</v>
      </c>
      <c r="S2089" s="19">
        <f t="shared" si="1"/>
        <v>0.19375</v>
      </c>
      <c r="T2089" s="19">
        <f t="shared" si="8"/>
        <v>78.94782295</v>
      </c>
      <c r="U2089" s="144"/>
    </row>
    <row r="2090">
      <c r="A2090" s="107"/>
      <c r="B2090" s="8" t="s">
        <v>18</v>
      </c>
      <c r="C2090" s="8" t="s">
        <v>19</v>
      </c>
      <c r="D2090" s="8">
        <v>16.0</v>
      </c>
      <c r="E2090" s="8" t="s">
        <v>4555</v>
      </c>
      <c r="F2090" s="8" t="s">
        <v>1473</v>
      </c>
      <c r="G2090" s="8" t="s">
        <v>2660</v>
      </c>
      <c r="H2090" s="8">
        <v>0.0</v>
      </c>
      <c r="I2090" s="8" t="s">
        <v>273</v>
      </c>
      <c r="J2090" s="8" t="s">
        <v>22</v>
      </c>
      <c r="K2090" s="8" t="s">
        <v>1150</v>
      </c>
      <c r="L2090" s="8" t="s">
        <v>24</v>
      </c>
      <c r="M2090" s="9">
        <v>0.0</v>
      </c>
      <c r="N2090" s="9">
        <v>0.5</v>
      </c>
      <c r="O2090" s="9">
        <v>0.5</v>
      </c>
      <c r="P2090" s="10">
        <v>45347.0</v>
      </c>
      <c r="Q2090" s="11">
        <v>1.975</v>
      </c>
      <c r="R2090" s="8" t="s">
        <v>70</v>
      </c>
      <c r="S2090" s="12">
        <f t="shared" si="1"/>
        <v>0</v>
      </c>
      <c r="T2090" s="12">
        <f t="shared" si="8"/>
        <v>78.94782295</v>
      </c>
      <c r="U2090" s="145"/>
    </row>
    <row r="2091">
      <c r="A2091" s="29"/>
      <c r="B2091" s="15" t="s">
        <v>18</v>
      </c>
      <c r="C2091" s="15" t="s">
        <v>19</v>
      </c>
      <c r="D2091" s="15">
        <v>33.0</v>
      </c>
      <c r="E2091" s="15" t="s">
        <v>4556</v>
      </c>
      <c r="F2091" s="15" t="s">
        <v>1479</v>
      </c>
      <c r="G2091" s="15" t="s">
        <v>2660</v>
      </c>
      <c r="H2091" s="15">
        <v>0.0</v>
      </c>
      <c r="I2091" s="15" t="s">
        <v>273</v>
      </c>
      <c r="J2091" s="15" t="s">
        <v>22</v>
      </c>
      <c r="K2091" s="15" t="s">
        <v>1150</v>
      </c>
      <c r="L2091" s="15" t="s">
        <v>24</v>
      </c>
      <c r="M2091" s="16">
        <v>0.0</v>
      </c>
      <c r="N2091" s="16">
        <v>0.5</v>
      </c>
      <c r="O2091" s="16">
        <v>0.5</v>
      </c>
      <c r="P2091" s="17">
        <v>45347.0</v>
      </c>
      <c r="Q2091" s="18">
        <v>1.95</v>
      </c>
      <c r="R2091" s="15" t="s">
        <v>70</v>
      </c>
      <c r="S2091" s="19">
        <f t="shared" si="1"/>
        <v>0</v>
      </c>
      <c r="T2091" s="19">
        <f t="shared" si="8"/>
        <v>78.94782295</v>
      </c>
      <c r="U2091" s="144"/>
    </row>
    <row r="2092">
      <c r="A2092" s="107"/>
      <c r="B2092" s="8" t="s">
        <v>18</v>
      </c>
      <c r="C2092" s="8" t="s">
        <v>19</v>
      </c>
      <c r="D2092" s="8">
        <v>36.0</v>
      </c>
      <c r="E2092" s="8" t="s">
        <v>4557</v>
      </c>
      <c r="F2092" s="8" t="s">
        <v>1479</v>
      </c>
      <c r="G2092" s="8" t="s">
        <v>2556</v>
      </c>
      <c r="H2092" s="8">
        <v>0.0</v>
      </c>
      <c r="I2092" s="8" t="s">
        <v>273</v>
      </c>
      <c r="J2092" s="8" t="s">
        <v>22</v>
      </c>
      <c r="K2092" s="8" t="s">
        <v>1847</v>
      </c>
      <c r="L2092" s="8" t="s">
        <v>24</v>
      </c>
      <c r="M2092" s="9">
        <v>-0.5</v>
      </c>
      <c r="N2092" s="9">
        <v>0.2</v>
      </c>
      <c r="O2092" s="9">
        <v>0.2</v>
      </c>
      <c r="P2092" s="10">
        <v>45347.0</v>
      </c>
      <c r="Q2092" s="11">
        <v>2.75</v>
      </c>
      <c r="R2092" s="8" t="s">
        <v>25</v>
      </c>
      <c r="S2092" s="12">
        <f t="shared" si="1"/>
        <v>-0.2</v>
      </c>
      <c r="T2092" s="12">
        <f t="shared" si="8"/>
        <v>78.74782295</v>
      </c>
      <c r="U2092" s="145"/>
    </row>
    <row r="2093">
      <c r="A2093" s="29"/>
      <c r="B2093" s="15" t="s">
        <v>18</v>
      </c>
      <c r="C2093" s="15" t="s">
        <v>19</v>
      </c>
      <c r="D2093" s="15">
        <v>36.0</v>
      </c>
      <c r="E2093" s="15" t="s">
        <v>4558</v>
      </c>
      <c r="F2093" s="15" t="s">
        <v>1479</v>
      </c>
      <c r="G2093" s="15" t="s">
        <v>2660</v>
      </c>
      <c r="H2093" s="15">
        <v>0.0</v>
      </c>
      <c r="I2093" s="15" t="s">
        <v>273</v>
      </c>
      <c r="J2093" s="15" t="s">
        <v>22</v>
      </c>
      <c r="K2093" s="15" t="s">
        <v>892</v>
      </c>
      <c r="L2093" s="15" t="s">
        <v>24</v>
      </c>
      <c r="M2093" s="16">
        <v>0.0</v>
      </c>
      <c r="N2093" s="16">
        <v>0.2</v>
      </c>
      <c r="O2093" s="16">
        <v>0.2</v>
      </c>
      <c r="P2093" s="17">
        <v>45347.0</v>
      </c>
      <c r="Q2093" s="18">
        <v>1.95</v>
      </c>
      <c r="R2093" s="15" t="s">
        <v>70</v>
      </c>
      <c r="S2093" s="19">
        <f t="shared" si="1"/>
        <v>0</v>
      </c>
      <c r="T2093" s="19">
        <f t="shared" si="8"/>
        <v>78.74782295</v>
      </c>
      <c r="U2093" s="144"/>
    </row>
    <row r="2094">
      <c r="A2094" s="107"/>
      <c r="B2094" s="8" t="s">
        <v>129</v>
      </c>
      <c r="C2094" s="8" t="s">
        <v>19</v>
      </c>
      <c r="D2094" s="8">
        <v>16.0</v>
      </c>
      <c r="E2094" s="8" t="s">
        <v>4559</v>
      </c>
      <c r="F2094" s="8" t="s">
        <v>1479</v>
      </c>
      <c r="G2094" s="8" t="s">
        <v>2660</v>
      </c>
      <c r="H2094" s="8">
        <v>0.0</v>
      </c>
      <c r="I2094" s="8" t="s">
        <v>48</v>
      </c>
      <c r="J2094" s="8" t="s">
        <v>22</v>
      </c>
      <c r="K2094" s="8" t="s">
        <v>1150</v>
      </c>
      <c r="L2094" s="8" t="s">
        <v>24</v>
      </c>
      <c r="M2094" s="9">
        <v>0.0</v>
      </c>
      <c r="N2094" s="9">
        <v>1.0</v>
      </c>
      <c r="O2094" s="9">
        <v>1.0</v>
      </c>
      <c r="P2094" s="54">
        <v>45347.0</v>
      </c>
      <c r="Q2094" s="11">
        <v>1.65</v>
      </c>
      <c r="R2094" s="8" t="s">
        <v>70</v>
      </c>
      <c r="S2094" s="12">
        <f t="shared" si="1"/>
        <v>0</v>
      </c>
      <c r="T2094" s="12">
        <f t="shared" si="8"/>
        <v>78.74782295</v>
      </c>
      <c r="U2094" s="145"/>
    </row>
    <row r="2095">
      <c r="A2095" s="29"/>
      <c r="B2095" s="15" t="s">
        <v>18</v>
      </c>
      <c r="C2095" s="15" t="s">
        <v>19</v>
      </c>
      <c r="D2095" s="15">
        <v>62.0</v>
      </c>
      <c r="E2095" s="15" t="s">
        <v>4560</v>
      </c>
      <c r="F2095" s="15" t="s">
        <v>1473</v>
      </c>
      <c r="G2095" s="15" t="s">
        <v>2556</v>
      </c>
      <c r="H2095" s="15">
        <v>-2.0</v>
      </c>
      <c r="I2095" s="15" t="s">
        <v>48</v>
      </c>
      <c r="J2095" s="15" t="s">
        <v>22</v>
      </c>
      <c r="K2095" s="15" t="s">
        <v>225</v>
      </c>
      <c r="L2095" s="15" t="s">
        <v>24</v>
      </c>
      <c r="M2095" s="16">
        <v>0.5</v>
      </c>
      <c r="N2095" s="16">
        <v>0.5</v>
      </c>
      <c r="O2095" s="16">
        <v>0.5</v>
      </c>
      <c r="P2095" s="17">
        <v>45347.0</v>
      </c>
      <c r="Q2095" s="18">
        <v>1.7</v>
      </c>
      <c r="R2095" s="15" t="s">
        <v>33</v>
      </c>
      <c r="S2095" s="19">
        <f t="shared" si="1"/>
        <v>0.35</v>
      </c>
      <c r="T2095" s="19">
        <f t="shared" si="8"/>
        <v>79.09782295</v>
      </c>
      <c r="U2095" s="144"/>
    </row>
    <row r="2096">
      <c r="A2096" s="107"/>
      <c r="B2096" s="8" t="s">
        <v>18</v>
      </c>
      <c r="C2096" s="8" t="s">
        <v>19</v>
      </c>
      <c r="D2096" s="8">
        <v>69.0</v>
      </c>
      <c r="E2096" s="8" t="s">
        <v>4561</v>
      </c>
      <c r="F2096" s="8" t="s">
        <v>1473</v>
      </c>
      <c r="G2096" s="8" t="s">
        <v>2556</v>
      </c>
      <c r="H2096" s="8">
        <v>-2.0</v>
      </c>
      <c r="I2096" s="8" t="s">
        <v>48</v>
      </c>
      <c r="J2096" s="8" t="s">
        <v>22</v>
      </c>
      <c r="K2096" s="8" t="s">
        <v>1165</v>
      </c>
      <c r="L2096" s="8" t="s">
        <v>24</v>
      </c>
      <c r="M2096" s="9"/>
      <c r="N2096" s="9">
        <v>0.05</v>
      </c>
      <c r="O2096" s="9">
        <v>0.05</v>
      </c>
      <c r="P2096" s="10">
        <v>45347.0</v>
      </c>
      <c r="Q2096" s="11">
        <v>6.5</v>
      </c>
      <c r="R2096" s="8" t="s">
        <v>33</v>
      </c>
      <c r="S2096" s="12">
        <f t="shared" si="1"/>
        <v>0.275</v>
      </c>
      <c r="T2096" s="12">
        <f t="shared" si="8"/>
        <v>79.37282295</v>
      </c>
      <c r="U2096" s="145"/>
    </row>
    <row r="2097">
      <c r="A2097" s="29"/>
      <c r="B2097" s="15" t="s">
        <v>26</v>
      </c>
      <c r="C2097" s="15" t="s">
        <v>19</v>
      </c>
      <c r="D2097" s="15">
        <v>70.0</v>
      </c>
      <c r="E2097" s="15" t="s">
        <v>4562</v>
      </c>
      <c r="F2097" s="15" t="s">
        <v>1479</v>
      </c>
      <c r="G2097" s="15" t="s">
        <v>2660</v>
      </c>
      <c r="H2097" s="15">
        <v>0.0</v>
      </c>
      <c r="I2097" s="15" t="s">
        <v>48</v>
      </c>
      <c r="J2097" s="15" t="s">
        <v>22</v>
      </c>
      <c r="K2097" s="15" t="s">
        <v>892</v>
      </c>
      <c r="L2097" s="15" t="s">
        <v>24</v>
      </c>
      <c r="M2097" s="16">
        <v>0.0</v>
      </c>
      <c r="N2097" s="16">
        <v>0.5</v>
      </c>
      <c r="O2097" s="16">
        <v>0.5</v>
      </c>
      <c r="P2097" s="17">
        <v>45347.0</v>
      </c>
      <c r="Q2097" s="18">
        <v>1.85</v>
      </c>
      <c r="R2097" s="15" t="s">
        <v>70</v>
      </c>
      <c r="S2097" s="19">
        <f t="shared" si="1"/>
        <v>0</v>
      </c>
      <c r="T2097" s="19">
        <f t="shared" si="8"/>
        <v>79.37282295</v>
      </c>
      <c r="U2097" s="144"/>
    </row>
    <row r="2098">
      <c r="A2098" s="107"/>
      <c r="B2098" s="8" t="s">
        <v>26</v>
      </c>
      <c r="C2098" s="8" t="s">
        <v>19</v>
      </c>
      <c r="D2098" s="8">
        <v>54.0</v>
      </c>
      <c r="E2098" s="8" t="s">
        <v>4563</v>
      </c>
      <c r="F2098" s="8" t="s">
        <v>1479</v>
      </c>
      <c r="G2098" s="8" t="s">
        <v>2660</v>
      </c>
      <c r="H2098" s="8">
        <v>-1.0</v>
      </c>
      <c r="I2098" s="8" t="s">
        <v>60</v>
      </c>
      <c r="J2098" s="8" t="s">
        <v>22</v>
      </c>
      <c r="K2098" s="8" t="s">
        <v>892</v>
      </c>
      <c r="L2098" s="8" t="s">
        <v>24</v>
      </c>
      <c r="M2098" s="9">
        <v>0.0</v>
      </c>
      <c r="N2098" s="9">
        <v>1.0</v>
      </c>
      <c r="O2098" s="9">
        <v>1.0</v>
      </c>
      <c r="P2098" s="10">
        <v>45347.0</v>
      </c>
      <c r="Q2098" s="11">
        <v>1.75</v>
      </c>
      <c r="R2098" s="8" t="s">
        <v>25</v>
      </c>
      <c r="S2098" s="12">
        <f t="shared" si="1"/>
        <v>-1</v>
      </c>
      <c r="T2098" s="12">
        <f t="shared" si="8"/>
        <v>78.37282295</v>
      </c>
      <c r="U2098" s="145"/>
    </row>
    <row r="2099">
      <c r="A2099" s="29"/>
      <c r="B2099" s="15" t="s">
        <v>26</v>
      </c>
      <c r="C2099" s="15" t="s">
        <v>19</v>
      </c>
      <c r="D2099" s="15">
        <v>70.0</v>
      </c>
      <c r="E2099" s="15" t="s">
        <v>4564</v>
      </c>
      <c r="F2099" s="15" t="s">
        <v>1473</v>
      </c>
      <c r="G2099" s="15" t="s">
        <v>2660</v>
      </c>
      <c r="H2099" s="15">
        <v>0.0</v>
      </c>
      <c r="I2099" s="15" t="s">
        <v>873</v>
      </c>
      <c r="J2099" s="15" t="s">
        <v>22</v>
      </c>
      <c r="K2099" s="15" t="s">
        <v>892</v>
      </c>
      <c r="L2099" s="15" t="s">
        <v>24</v>
      </c>
      <c r="M2099" s="16">
        <v>0.0</v>
      </c>
      <c r="N2099" s="16">
        <v>1.0</v>
      </c>
      <c r="O2099" s="16">
        <v>1.0</v>
      </c>
      <c r="P2099" s="17">
        <v>45347.0</v>
      </c>
      <c r="Q2099" s="18">
        <v>1.9</v>
      </c>
      <c r="R2099" s="15" t="s">
        <v>70</v>
      </c>
      <c r="S2099" s="19">
        <f t="shared" si="1"/>
        <v>0</v>
      </c>
      <c r="T2099" s="19">
        <f t="shared" si="8"/>
        <v>78.37282295</v>
      </c>
      <c r="U2099" s="144"/>
    </row>
    <row r="2100">
      <c r="A2100" s="107"/>
      <c r="B2100" s="8" t="s">
        <v>129</v>
      </c>
      <c r="C2100" s="8" t="s">
        <v>19</v>
      </c>
      <c r="D2100" s="8">
        <v>65.0</v>
      </c>
      <c r="E2100" s="8" t="s">
        <v>4565</v>
      </c>
      <c r="F2100" s="8" t="s">
        <v>1473</v>
      </c>
      <c r="G2100" s="8" t="s">
        <v>2660</v>
      </c>
      <c r="H2100" s="8">
        <v>0.0</v>
      </c>
      <c r="I2100" s="8" t="s">
        <v>93</v>
      </c>
      <c r="J2100" s="8" t="s">
        <v>22</v>
      </c>
      <c r="K2100" s="8" t="s">
        <v>892</v>
      </c>
      <c r="L2100" s="8" t="s">
        <v>24</v>
      </c>
      <c r="M2100" s="9">
        <v>0.0</v>
      </c>
      <c r="N2100" s="9">
        <v>1.0</v>
      </c>
      <c r="O2100" s="9">
        <v>1.0</v>
      </c>
      <c r="P2100" s="10">
        <v>45347.0</v>
      </c>
      <c r="Q2100" s="11">
        <v>1.75</v>
      </c>
      <c r="R2100" s="8" t="s">
        <v>33</v>
      </c>
      <c r="S2100" s="12">
        <f t="shared" si="1"/>
        <v>0.75</v>
      </c>
      <c r="T2100" s="12">
        <f t="shared" si="8"/>
        <v>79.12282295</v>
      </c>
      <c r="U2100" s="145"/>
    </row>
    <row r="2101">
      <c r="A2101" s="29"/>
      <c r="B2101" s="15" t="s">
        <v>26</v>
      </c>
      <c r="C2101" s="15" t="s">
        <v>19</v>
      </c>
      <c r="D2101" s="15">
        <v>70.0</v>
      </c>
      <c r="E2101" s="15" t="s">
        <v>4566</v>
      </c>
      <c r="F2101" s="15" t="s">
        <v>1473</v>
      </c>
      <c r="G2101" s="15" t="s">
        <v>2660</v>
      </c>
      <c r="H2101" s="15">
        <v>-1.0</v>
      </c>
      <c r="I2101" s="15" t="s">
        <v>853</v>
      </c>
      <c r="J2101" s="15" t="s">
        <v>22</v>
      </c>
      <c r="K2101" s="15" t="s">
        <v>892</v>
      </c>
      <c r="L2101" s="15" t="s">
        <v>24</v>
      </c>
      <c r="M2101" s="16">
        <v>0.0</v>
      </c>
      <c r="N2101" s="16">
        <v>0.5</v>
      </c>
      <c r="O2101" s="16">
        <v>0.5</v>
      </c>
      <c r="P2101" s="17">
        <v>45347.0</v>
      </c>
      <c r="Q2101" s="18">
        <v>2.075</v>
      </c>
      <c r="R2101" s="15" t="s">
        <v>70</v>
      </c>
      <c r="S2101" s="19">
        <f t="shared" si="1"/>
        <v>0</v>
      </c>
      <c r="T2101" s="19">
        <f t="shared" si="8"/>
        <v>79.12282295</v>
      </c>
      <c r="U2101" s="144"/>
    </row>
    <row r="2102">
      <c r="A2102" s="107"/>
      <c r="B2102" s="8" t="s">
        <v>137</v>
      </c>
      <c r="C2102" s="8" t="s">
        <v>19</v>
      </c>
      <c r="D2102" s="8">
        <v>69.0</v>
      </c>
      <c r="E2102" s="8" t="s">
        <v>4567</v>
      </c>
      <c r="F2102" s="8" t="s">
        <v>1479</v>
      </c>
      <c r="G2102" s="8" t="s">
        <v>2660</v>
      </c>
      <c r="H2102" s="8">
        <v>0.0</v>
      </c>
      <c r="I2102" s="8" t="s">
        <v>231</v>
      </c>
      <c r="J2102" s="8" t="s">
        <v>22</v>
      </c>
      <c r="K2102" s="8" t="s">
        <v>892</v>
      </c>
      <c r="L2102" s="8" t="s">
        <v>24</v>
      </c>
      <c r="M2102" s="9">
        <v>0.0</v>
      </c>
      <c r="N2102" s="9">
        <v>1.0</v>
      </c>
      <c r="O2102" s="9">
        <v>1.0</v>
      </c>
      <c r="P2102" s="10">
        <v>45349.0</v>
      </c>
      <c r="Q2102" s="11">
        <v>1.75</v>
      </c>
      <c r="R2102" s="8" t="s">
        <v>25</v>
      </c>
      <c r="S2102" s="12">
        <f t="shared" si="1"/>
        <v>-1</v>
      </c>
      <c r="T2102" s="12">
        <f t="shared" si="8"/>
        <v>78.12282295</v>
      </c>
      <c r="U2102" s="145"/>
    </row>
    <row r="2103">
      <c r="A2103" s="29"/>
      <c r="B2103" s="15" t="s">
        <v>26</v>
      </c>
      <c r="C2103" s="15" t="s">
        <v>19</v>
      </c>
      <c r="D2103" s="15">
        <v>20.0</v>
      </c>
      <c r="E2103" s="15" t="s">
        <v>4568</v>
      </c>
      <c r="F2103" s="15" t="s">
        <v>1473</v>
      </c>
      <c r="G2103" s="15" t="s">
        <v>2573</v>
      </c>
      <c r="H2103" s="15">
        <f>1</f>
        <v>1</v>
      </c>
      <c r="I2103" s="15" t="s">
        <v>4569</v>
      </c>
      <c r="J2103" s="15" t="s">
        <v>22</v>
      </c>
      <c r="K2103" s="15" t="s">
        <v>894</v>
      </c>
      <c r="L2103" s="15" t="s">
        <v>24</v>
      </c>
      <c r="M2103" s="16">
        <v>-0.5</v>
      </c>
      <c r="N2103" s="16">
        <v>0.5</v>
      </c>
      <c r="O2103" s="16">
        <v>0.415</v>
      </c>
      <c r="P2103" s="17">
        <v>45349.0</v>
      </c>
      <c r="Q2103" s="18">
        <v>1.75</v>
      </c>
      <c r="R2103" s="15" t="s">
        <v>33</v>
      </c>
      <c r="S2103" s="19">
        <f t="shared" si="1"/>
        <v>0.31125</v>
      </c>
      <c r="T2103" s="19">
        <f t="shared" si="8"/>
        <v>78.43407295</v>
      </c>
      <c r="U2103" s="144"/>
    </row>
    <row r="2104">
      <c r="A2104" s="107"/>
      <c r="B2104" s="8" t="s">
        <v>4225</v>
      </c>
      <c r="C2104" s="8" t="s">
        <v>19</v>
      </c>
      <c r="D2104" s="8">
        <v>17.0</v>
      </c>
      <c r="E2104" s="8" t="s">
        <v>4570</v>
      </c>
      <c r="F2104" s="8" t="s">
        <v>1479</v>
      </c>
      <c r="G2104" s="8" t="s">
        <v>2660</v>
      </c>
      <c r="H2104" s="8">
        <v>-1.0</v>
      </c>
      <c r="I2104" s="8" t="s">
        <v>248</v>
      </c>
      <c r="J2104" s="8" t="s">
        <v>22</v>
      </c>
      <c r="K2104" s="8" t="s">
        <v>892</v>
      </c>
      <c r="L2104" s="8" t="s">
        <v>24</v>
      </c>
      <c r="M2104" s="9">
        <v>0.0</v>
      </c>
      <c r="N2104" s="9">
        <v>0.25</v>
      </c>
      <c r="O2104" s="9">
        <v>0.25</v>
      </c>
      <c r="P2104" s="10">
        <v>45349.0</v>
      </c>
      <c r="Q2104" s="11">
        <v>1.7</v>
      </c>
      <c r="R2104" s="8" t="s">
        <v>70</v>
      </c>
      <c r="S2104" s="12">
        <f t="shared" si="1"/>
        <v>0</v>
      </c>
      <c r="T2104" s="12">
        <f t="shared" si="8"/>
        <v>78.43407295</v>
      </c>
      <c r="U2104" s="145"/>
    </row>
    <row r="2105">
      <c r="A2105" s="29"/>
      <c r="B2105" s="15" t="s">
        <v>4225</v>
      </c>
      <c r="C2105" s="15" t="s">
        <v>19</v>
      </c>
      <c r="D2105" s="15">
        <v>18.0</v>
      </c>
      <c r="E2105" s="15" t="s">
        <v>4571</v>
      </c>
      <c r="F2105" s="15" t="s">
        <v>1479</v>
      </c>
      <c r="G2105" s="15" t="s">
        <v>2660</v>
      </c>
      <c r="H2105" s="15">
        <v>-1.0</v>
      </c>
      <c r="I2105" s="15" t="s">
        <v>248</v>
      </c>
      <c r="J2105" s="15" t="s">
        <v>22</v>
      </c>
      <c r="K2105" s="15" t="s">
        <v>1150</v>
      </c>
      <c r="L2105" s="15" t="s">
        <v>24</v>
      </c>
      <c r="M2105" s="16">
        <v>0.0</v>
      </c>
      <c r="N2105" s="16">
        <v>0.2</v>
      </c>
      <c r="O2105" s="16">
        <v>0.2</v>
      </c>
      <c r="P2105" s="17">
        <v>45349.0</v>
      </c>
      <c r="Q2105" s="18">
        <v>1.65</v>
      </c>
      <c r="R2105" s="15" t="s">
        <v>70</v>
      </c>
      <c r="S2105" s="19">
        <f t="shared" si="1"/>
        <v>0</v>
      </c>
      <c r="T2105" s="19">
        <f t="shared" si="8"/>
        <v>78.43407295</v>
      </c>
      <c r="U2105" s="144"/>
    </row>
    <row r="2106">
      <c r="A2106" s="107"/>
      <c r="B2106" s="8" t="s">
        <v>18</v>
      </c>
      <c r="C2106" s="8" t="s">
        <v>19</v>
      </c>
      <c r="D2106" s="8">
        <v>71.0</v>
      </c>
      <c r="E2106" s="8" t="s">
        <v>4572</v>
      </c>
      <c r="F2106" s="8" t="s">
        <v>1479</v>
      </c>
      <c r="G2106" s="8" t="s">
        <v>2660</v>
      </c>
      <c r="H2106" s="8">
        <v>-1.0</v>
      </c>
      <c r="I2106" s="8" t="s">
        <v>248</v>
      </c>
      <c r="J2106" s="8" t="s">
        <v>22</v>
      </c>
      <c r="K2106" s="8" t="s">
        <v>892</v>
      </c>
      <c r="L2106" s="8" t="s">
        <v>24</v>
      </c>
      <c r="M2106" s="9">
        <v>0.0</v>
      </c>
      <c r="N2106" s="9">
        <v>0.25</v>
      </c>
      <c r="O2106" s="9">
        <v>0.174</v>
      </c>
      <c r="P2106" s="10">
        <v>45349.0</v>
      </c>
      <c r="Q2106" s="11">
        <v>1.675</v>
      </c>
      <c r="R2106" s="8" t="s">
        <v>70</v>
      </c>
      <c r="S2106" s="12">
        <f t="shared" si="1"/>
        <v>0</v>
      </c>
      <c r="T2106" s="12">
        <f t="shared" si="8"/>
        <v>78.43407295</v>
      </c>
      <c r="U2106" s="145"/>
    </row>
    <row r="2107">
      <c r="A2107" s="29"/>
      <c r="B2107" s="15" t="s">
        <v>26</v>
      </c>
      <c r="C2107" s="15" t="s">
        <v>19</v>
      </c>
      <c r="D2107" s="15">
        <v>31.0</v>
      </c>
      <c r="E2107" s="15" t="s">
        <v>4573</v>
      </c>
      <c r="F2107" s="15" t="s">
        <v>1473</v>
      </c>
      <c r="G2107" s="15" t="s">
        <v>2660</v>
      </c>
      <c r="H2107" s="15">
        <v>-1.0</v>
      </c>
      <c r="I2107" s="15" t="s">
        <v>231</v>
      </c>
      <c r="J2107" s="15" t="s">
        <v>22</v>
      </c>
      <c r="K2107" s="15" t="s">
        <v>892</v>
      </c>
      <c r="L2107" s="15" t="s">
        <v>24</v>
      </c>
      <c r="M2107" s="16">
        <v>0.0</v>
      </c>
      <c r="N2107" s="16">
        <v>1.0</v>
      </c>
      <c r="O2107" s="16">
        <v>1.0</v>
      </c>
      <c r="P2107" s="17">
        <v>45350.0</v>
      </c>
      <c r="Q2107" s="18">
        <v>1.7</v>
      </c>
      <c r="R2107" s="15" t="s">
        <v>33</v>
      </c>
      <c r="S2107" s="19">
        <f t="shared" si="1"/>
        <v>0.7</v>
      </c>
      <c r="T2107" s="19">
        <f t="shared" si="8"/>
        <v>79.13407295</v>
      </c>
      <c r="U2107" s="144"/>
    </row>
    <row r="2108">
      <c r="A2108" s="107"/>
      <c r="B2108" s="8" t="s">
        <v>26</v>
      </c>
      <c r="C2108" s="8" t="s">
        <v>19</v>
      </c>
      <c r="D2108" s="8">
        <v>70.0</v>
      </c>
      <c r="E2108" s="8" t="s">
        <v>4574</v>
      </c>
      <c r="F2108" s="8" t="s">
        <v>1473</v>
      </c>
      <c r="G2108" s="8" t="s">
        <v>2660</v>
      </c>
      <c r="H2108" s="8">
        <v>-1.0</v>
      </c>
      <c r="I2108" s="8" t="s">
        <v>187</v>
      </c>
      <c r="J2108" s="8" t="s">
        <v>22</v>
      </c>
      <c r="K2108" s="8" t="s">
        <v>892</v>
      </c>
      <c r="L2108" s="8" t="s">
        <v>39</v>
      </c>
      <c r="M2108" s="9">
        <v>0.0</v>
      </c>
      <c r="N2108" s="9">
        <v>0.5</v>
      </c>
      <c r="O2108" s="9">
        <v>0.5</v>
      </c>
      <c r="P2108" s="10">
        <v>45350.0</v>
      </c>
      <c r="Q2108" s="11">
        <v>1.725</v>
      </c>
      <c r="R2108" s="8" t="s">
        <v>70</v>
      </c>
      <c r="S2108" s="12">
        <f t="shared" si="1"/>
        <v>0</v>
      </c>
      <c r="T2108" s="12">
        <f t="shared" si="8"/>
        <v>79.13407295</v>
      </c>
      <c r="U2108" s="145"/>
    </row>
    <row r="2109">
      <c r="A2109" s="29"/>
      <c r="B2109" s="15" t="s">
        <v>26</v>
      </c>
      <c r="C2109" s="15" t="s">
        <v>40</v>
      </c>
      <c r="D2109" s="15">
        <v>22.0</v>
      </c>
      <c r="E2109" s="15" t="s">
        <v>4575</v>
      </c>
      <c r="F2109" s="15" t="s">
        <v>1479</v>
      </c>
      <c r="G2109" s="15" t="s">
        <v>2556</v>
      </c>
      <c r="H2109" s="15">
        <f t="shared" ref="H2109:H2110" si="58">1</f>
        <v>1</v>
      </c>
      <c r="I2109" s="15" t="s">
        <v>233</v>
      </c>
      <c r="J2109" s="15" t="s">
        <v>22</v>
      </c>
      <c r="K2109" s="15" t="s">
        <v>225</v>
      </c>
      <c r="L2109" s="15" t="s">
        <v>24</v>
      </c>
      <c r="M2109" s="16">
        <v>1.25</v>
      </c>
      <c r="N2109" s="16">
        <v>0.5</v>
      </c>
      <c r="O2109" s="16">
        <v>0.5</v>
      </c>
      <c r="P2109" s="17">
        <v>45350.0</v>
      </c>
      <c r="Q2109" s="18">
        <v>1.825</v>
      </c>
      <c r="R2109" s="15" t="s">
        <v>33</v>
      </c>
      <c r="S2109" s="19">
        <f t="shared" si="1"/>
        <v>0.4125</v>
      </c>
      <c r="T2109" s="19">
        <f t="shared" si="8"/>
        <v>79.54657295</v>
      </c>
      <c r="U2109" s="144"/>
    </row>
    <row r="2110">
      <c r="A2110" s="107"/>
      <c r="B2110" s="8" t="s">
        <v>26</v>
      </c>
      <c r="C2110" s="8" t="s">
        <v>40</v>
      </c>
      <c r="D2110" s="8">
        <v>26.0</v>
      </c>
      <c r="E2110" s="8" t="s">
        <v>4576</v>
      </c>
      <c r="F2110" s="8" t="s">
        <v>1479</v>
      </c>
      <c r="G2110" s="8" t="s">
        <v>2556</v>
      </c>
      <c r="H2110" s="8">
        <f t="shared" si="58"/>
        <v>1</v>
      </c>
      <c r="I2110" s="8" t="s">
        <v>233</v>
      </c>
      <c r="J2110" s="8" t="s">
        <v>22</v>
      </c>
      <c r="K2110" s="8" t="s">
        <v>1165</v>
      </c>
      <c r="L2110" s="8" t="s">
        <v>24</v>
      </c>
      <c r="M2110" s="9"/>
      <c r="N2110" s="9">
        <v>0.1</v>
      </c>
      <c r="O2110" s="9">
        <v>0.1</v>
      </c>
      <c r="P2110" s="10">
        <v>45350.0</v>
      </c>
      <c r="Q2110" s="11">
        <v>3.5</v>
      </c>
      <c r="R2110" s="8" t="s">
        <v>33</v>
      </c>
      <c r="S2110" s="12">
        <f t="shared" si="1"/>
        <v>0.25</v>
      </c>
      <c r="T2110" s="12">
        <f t="shared" si="8"/>
        <v>79.79657295</v>
      </c>
      <c r="U2110" s="145"/>
    </row>
    <row r="2111">
      <c r="A2111" s="29"/>
      <c r="B2111" s="15" t="s">
        <v>4225</v>
      </c>
      <c r="C2111" s="15" t="s">
        <v>40</v>
      </c>
      <c r="D2111" s="15">
        <v>77.0</v>
      </c>
      <c r="E2111" s="15" t="s">
        <v>4577</v>
      </c>
      <c r="F2111" s="15"/>
      <c r="G2111" s="15"/>
      <c r="H2111" s="15"/>
      <c r="I2111" s="15" t="s">
        <v>233</v>
      </c>
      <c r="J2111" s="15" t="s">
        <v>22</v>
      </c>
      <c r="K2111" s="15" t="s">
        <v>29</v>
      </c>
      <c r="L2111" s="15" t="s">
        <v>24</v>
      </c>
      <c r="M2111" s="16">
        <v>-3.0</v>
      </c>
      <c r="N2111" s="16">
        <v>0.15</v>
      </c>
      <c r="O2111" s="16">
        <v>0.059</v>
      </c>
      <c r="P2111" s="17">
        <v>45350.0</v>
      </c>
      <c r="Q2111" s="18">
        <v>1.725</v>
      </c>
      <c r="R2111" s="15" t="s">
        <v>33</v>
      </c>
      <c r="S2111" s="19">
        <f t="shared" si="1"/>
        <v>0.042775</v>
      </c>
      <c r="T2111" s="19">
        <f t="shared" si="8"/>
        <v>79.83934795</v>
      </c>
      <c r="U2111" s="144"/>
    </row>
    <row r="2112">
      <c r="A2112" s="107"/>
      <c r="B2112" s="8" t="s">
        <v>26</v>
      </c>
      <c r="C2112" s="8" t="s">
        <v>19</v>
      </c>
      <c r="D2112" s="8">
        <v>83.0</v>
      </c>
      <c r="E2112" s="8" t="s">
        <v>4578</v>
      </c>
      <c r="F2112" s="8"/>
      <c r="G2112" s="8"/>
      <c r="H2112" s="8"/>
      <c r="I2112" s="8" t="s">
        <v>432</v>
      </c>
      <c r="J2112" s="8" t="s">
        <v>22</v>
      </c>
      <c r="K2112" s="8" t="s">
        <v>2415</v>
      </c>
      <c r="L2112" s="8" t="s">
        <v>39</v>
      </c>
      <c r="M2112" s="9">
        <v>9.0</v>
      </c>
      <c r="N2112" s="9">
        <v>0.1</v>
      </c>
      <c r="O2112" s="9">
        <v>0.1</v>
      </c>
      <c r="P2112" s="10">
        <v>45350.0</v>
      </c>
      <c r="Q2112" s="11">
        <v>1.8</v>
      </c>
      <c r="R2112" s="8" t="s">
        <v>70</v>
      </c>
      <c r="S2112" s="12">
        <f t="shared" si="1"/>
        <v>0</v>
      </c>
      <c r="T2112" s="12">
        <f t="shared" si="8"/>
        <v>79.83934795</v>
      </c>
      <c r="U2112" s="145"/>
    </row>
    <row r="2113">
      <c r="A2113" s="29"/>
      <c r="B2113" s="15" t="s">
        <v>129</v>
      </c>
      <c r="C2113" s="15" t="s">
        <v>40</v>
      </c>
      <c r="D2113" s="15">
        <v>60.0</v>
      </c>
      <c r="E2113" s="15" t="s">
        <v>4579</v>
      </c>
      <c r="F2113" s="15" t="s">
        <v>1479</v>
      </c>
      <c r="G2113" s="15" t="s">
        <v>2660</v>
      </c>
      <c r="H2113" s="15">
        <v>0.0</v>
      </c>
      <c r="I2113" s="15" t="s">
        <v>374</v>
      </c>
      <c r="J2113" s="15" t="s">
        <v>22</v>
      </c>
      <c r="K2113" s="15" t="s">
        <v>892</v>
      </c>
      <c r="L2113" s="15" t="s">
        <v>24</v>
      </c>
      <c r="M2113" s="16">
        <v>0.0</v>
      </c>
      <c r="N2113" s="16">
        <v>0.4</v>
      </c>
      <c r="O2113" s="16">
        <v>0.4</v>
      </c>
      <c r="P2113" s="17">
        <v>45350.0</v>
      </c>
      <c r="Q2113" s="18">
        <v>1.8</v>
      </c>
      <c r="R2113" s="15" t="s">
        <v>70</v>
      </c>
      <c r="S2113" s="19">
        <f t="shared" si="1"/>
        <v>0</v>
      </c>
      <c r="T2113" s="19">
        <f t="shared" si="8"/>
        <v>79.83934795</v>
      </c>
      <c r="U2113" s="144"/>
    </row>
    <row r="2114">
      <c r="A2114" s="107"/>
      <c r="B2114" s="8" t="s">
        <v>4225</v>
      </c>
      <c r="C2114" s="8" t="s">
        <v>19</v>
      </c>
      <c r="D2114" s="8">
        <v>63.0</v>
      </c>
      <c r="E2114" s="8" t="s">
        <v>4580</v>
      </c>
      <c r="F2114" s="8"/>
      <c r="G2114" s="8"/>
      <c r="H2114" s="8">
        <v>0.0</v>
      </c>
      <c r="I2114" s="8" t="s">
        <v>187</v>
      </c>
      <c r="J2114" s="8" t="s">
        <v>22</v>
      </c>
      <c r="K2114" s="8" t="s">
        <v>440</v>
      </c>
      <c r="L2114" s="8" t="s">
        <v>24</v>
      </c>
      <c r="M2114" s="9">
        <v>0.5</v>
      </c>
      <c r="N2114" s="9">
        <v>0.1</v>
      </c>
      <c r="O2114" s="9">
        <v>0.1</v>
      </c>
      <c r="P2114" s="10">
        <v>45351.0</v>
      </c>
      <c r="Q2114" s="11">
        <v>1.9</v>
      </c>
      <c r="R2114" s="8" t="s">
        <v>33</v>
      </c>
      <c r="S2114" s="12">
        <f t="shared" si="1"/>
        <v>0.09</v>
      </c>
      <c r="T2114" s="12">
        <f t="shared" si="8"/>
        <v>79.92934795</v>
      </c>
      <c r="U2114" s="145"/>
    </row>
    <row r="2115">
      <c r="A2115" s="29"/>
      <c r="B2115" s="15" t="s">
        <v>26</v>
      </c>
      <c r="C2115" s="15" t="s">
        <v>19</v>
      </c>
      <c r="D2115" s="15">
        <v>50.0</v>
      </c>
      <c r="E2115" s="15" t="s">
        <v>4581</v>
      </c>
      <c r="F2115" s="15" t="s">
        <v>1479</v>
      </c>
      <c r="G2115" s="15" t="s">
        <v>2660</v>
      </c>
      <c r="H2115" s="15">
        <v>0.0</v>
      </c>
      <c r="I2115" s="15" t="s">
        <v>191</v>
      </c>
      <c r="J2115" s="15" t="s">
        <v>22</v>
      </c>
      <c r="K2115" s="15" t="s">
        <v>892</v>
      </c>
      <c r="L2115" s="15" t="s">
        <v>1803</v>
      </c>
      <c r="M2115" s="16">
        <v>0.0</v>
      </c>
      <c r="N2115" s="16">
        <v>0.5</v>
      </c>
      <c r="O2115" s="16">
        <v>0.441</v>
      </c>
      <c r="P2115" s="17">
        <v>45351.0</v>
      </c>
      <c r="Q2115" s="18">
        <v>1.7</v>
      </c>
      <c r="R2115" s="15" t="s">
        <v>33</v>
      </c>
      <c r="S2115" s="19">
        <f t="shared" si="1"/>
        <v>0.3087</v>
      </c>
      <c r="T2115" s="19">
        <f t="shared" si="8"/>
        <v>80.23804795</v>
      </c>
      <c r="U2115" s="144"/>
    </row>
    <row r="2116">
      <c r="A2116" s="107"/>
      <c r="B2116" s="8" t="s">
        <v>26</v>
      </c>
      <c r="C2116" s="8" t="s">
        <v>19</v>
      </c>
      <c r="D2116" s="8">
        <v>70.0</v>
      </c>
      <c r="E2116" s="8" t="s">
        <v>4582</v>
      </c>
      <c r="F2116" s="8"/>
      <c r="G2116" s="8"/>
      <c r="H2116" s="8"/>
      <c r="I2116" s="8" t="s">
        <v>191</v>
      </c>
      <c r="J2116" s="8" t="s">
        <v>22</v>
      </c>
      <c r="K2116" s="8" t="s">
        <v>440</v>
      </c>
      <c r="L2116" s="8" t="s">
        <v>1803</v>
      </c>
      <c r="M2116" s="9">
        <v>1.5</v>
      </c>
      <c r="N2116" s="9">
        <v>0.1</v>
      </c>
      <c r="O2116" s="9">
        <v>0.1</v>
      </c>
      <c r="P2116" s="10">
        <v>45351.0</v>
      </c>
      <c r="Q2116" s="11">
        <v>2.05</v>
      </c>
      <c r="R2116" s="8" t="s">
        <v>25</v>
      </c>
      <c r="S2116" s="12">
        <f t="shared" si="1"/>
        <v>-0.1</v>
      </c>
      <c r="T2116" s="12">
        <f t="shared" si="8"/>
        <v>80.13804795</v>
      </c>
      <c r="U2116" s="145"/>
    </row>
    <row r="2117">
      <c r="A2117" s="29"/>
      <c r="B2117" s="15" t="s">
        <v>129</v>
      </c>
      <c r="C2117" s="15" t="s">
        <v>19</v>
      </c>
      <c r="D2117" s="15">
        <v>37.0</v>
      </c>
      <c r="E2117" s="15" t="s">
        <v>4583</v>
      </c>
      <c r="F2117" s="15" t="s">
        <v>1479</v>
      </c>
      <c r="G2117" s="15" t="s">
        <v>2660</v>
      </c>
      <c r="H2117" s="15">
        <f>1</f>
        <v>1</v>
      </c>
      <c r="I2117" s="15" t="s">
        <v>487</v>
      </c>
      <c r="J2117" s="15" t="s">
        <v>22</v>
      </c>
      <c r="K2117" s="15" t="s">
        <v>4584</v>
      </c>
      <c r="L2117" s="15" t="s">
        <v>24</v>
      </c>
      <c r="M2117" s="16">
        <v>0.0</v>
      </c>
      <c r="N2117" s="16">
        <v>0.15</v>
      </c>
      <c r="O2117" s="16">
        <v>0.027</v>
      </c>
      <c r="P2117" s="17">
        <v>45352.0</v>
      </c>
      <c r="Q2117" s="18">
        <v>1.65</v>
      </c>
      <c r="R2117" s="15" t="s">
        <v>33</v>
      </c>
      <c r="S2117" s="19">
        <f t="shared" si="1"/>
        <v>0.01755</v>
      </c>
      <c r="T2117" s="19">
        <f t="shared" si="8"/>
        <v>80.15559795</v>
      </c>
      <c r="U2117" s="144"/>
    </row>
    <row r="2118">
      <c r="A2118" s="107"/>
      <c r="B2118" s="8" t="s">
        <v>131</v>
      </c>
      <c r="C2118" s="8" t="s">
        <v>19</v>
      </c>
      <c r="D2118" s="8">
        <v>66.0</v>
      </c>
      <c r="E2118" s="8" t="s">
        <v>4585</v>
      </c>
      <c r="F2118" s="8"/>
      <c r="G2118" s="8"/>
      <c r="H2118" s="8"/>
      <c r="I2118" s="8" t="s">
        <v>354</v>
      </c>
      <c r="J2118" s="8" t="s">
        <v>22</v>
      </c>
      <c r="K2118" s="8" t="s">
        <v>2634</v>
      </c>
      <c r="L2118" s="8" t="s">
        <v>24</v>
      </c>
      <c r="M2118" s="9"/>
      <c r="N2118" s="9">
        <v>0.1</v>
      </c>
      <c r="O2118" s="9">
        <v>0.1</v>
      </c>
      <c r="P2118" s="10">
        <v>45352.0</v>
      </c>
      <c r="Q2118" s="11">
        <v>4.0</v>
      </c>
      <c r="R2118" s="8" t="s">
        <v>25</v>
      </c>
      <c r="S2118" s="12">
        <f t="shared" si="1"/>
        <v>-0.1</v>
      </c>
      <c r="T2118" s="12">
        <f t="shared" si="8"/>
        <v>80.05559795</v>
      </c>
      <c r="U2118" s="145"/>
    </row>
    <row r="2119">
      <c r="A2119" s="29"/>
      <c r="B2119" s="15" t="s">
        <v>131</v>
      </c>
      <c r="C2119" s="15" t="s">
        <v>19</v>
      </c>
      <c r="D2119" s="15">
        <v>67.0</v>
      </c>
      <c r="E2119" s="15" t="s">
        <v>4586</v>
      </c>
      <c r="F2119" s="15" t="s">
        <v>1473</v>
      </c>
      <c r="G2119" s="15" t="s">
        <v>2556</v>
      </c>
      <c r="H2119" s="15">
        <v>-1.0</v>
      </c>
      <c r="I2119" s="15" t="s">
        <v>354</v>
      </c>
      <c r="J2119" s="15" t="s">
        <v>22</v>
      </c>
      <c r="K2119" s="15" t="s">
        <v>225</v>
      </c>
      <c r="L2119" s="15" t="s">
        <v>24</v>
      </c>
      <c r="M2119" s="16">
        <v>0.25</v>
      </c>
      <c r="N2119" s="16">
        <v>0.2</v>
      </c>
      <c r="O2119" s="16">
        <v>0.2</v>
      </c>
      <c r="P2119" s="17">
        <v>45352.0</v>
      </c>
      <c r="Q2119" s="18">
        <v>2.05</v>
      </c>
      <c r="R2119" s="15" t="s">
        <v>30</v>
      </c>
      <c r="S2119" s="19">
        <f t="shared" si="1"/>
        <v>0.105</v>
      </c>
      <c r="T2119" s="19">
        <f t="shared" si="8"/>
        <v>80.16059795</v>
      </c>
      <c r="U2119" s="144"/>
    </row>
    <row r="2120">
      <c r="A2120" s="107"/>
      <c r="B2120" s="8" t="s">
        <v>4225</v>
      </c>
      <c r="C2120" s="8" t="s">
        <v>19</v>
      </c>
      <c r="D2120" s="8">
        <v>60.0</v>
      </c>
      <c r="E2120" s="8" t="s">
        <v>4587</v>
      </c>
      <c r="F2120" s="8" t="s">
        <v>1479</v>
      </c>
      <c r="G2120" s="8" t="s">
        <v>2660</v>
      </c>
      <c r="H2120" s="8">
        <f>1</f>
        <v>1</v>
      </c>
      <c r="I2120" s="8" t="s">
        <v>174</v>
      </c>
      <c r="J2120" s="8" t="s">
        <v>22</v>
      </c>
      <c r="K2120" s="8" t="s">
        <v>892</v>
      </c>
      <c r="L2120" s="8" t="s">
        <v>24</v>
      </c>
      <c r="M2120" s="9">
        <v>0.0</v>
      </c>
      <c r="N2120" s="9">
        <v>1.0</v>
      </c>
      <c r="O2120" s="9">
        <v>1.0</v>
      </c>
      <c r="P2120" s="10">
        <v>45352.0</v>
      </c>
      <c r="Q2120" s="11">
        <v>1.7</v>
      </c>
      <c r="R2120" s="8" t="s">
        <v>25</v>
      </c>
      <c r="S2120" s="12">
        <f t="shared" si="1"/>
        <v>-1</v>
      </c>
      <c r="T2120" s="12">
        <f t="shared" si="8"/>
        <v>79.16059795</v>
      </c>
      <c r="U2120" s="145"/>
    </row>
    <row r="2121">
      <c r="A2121" s="29"/>
      <c r="B2121" s="15" t="s">
        <v>26</v>
      </c>
      <c r="C2121" s="15" t="s">
        <v>19</v>
      </c>
      <c r="D2121" s="15">
        <v>82.0</v>
      </c>
      <c r="E2121" s="15" t="s">
        <v>4588</v>
      </c>
      <c r="F2121" s="15" t="s">
        <v>1479</v>
      </c>
      <c r="G2121" s="15" t="s">
        <v>2660</v>
      </c>
      <c r="H2121" s="15">
        <v>-1.0</v>
      </c>
      <c r="I2121" s="15" t="s">
        <v>923</v>
      </c>
      <c r="J2121" s="15" t="s">
        <v>22</v>
      </c>
      <c r="K2121" s="15" t="s">
        <v>892</v>
      </c>
      <c r="L2121" s="15" t="s">
        <v>24</v>
      </c>
      <c r="M2121" s="16">
        <v>0.0</v>
      </c>
      <c r="N2121" s="16">
        <v>1.0</v>
      </c>
      <c r="O2121" s="16">
        <v>1.0</v>
      </c>
      <c r="P2121" s="17">
        <v>45352.0</v>
      </c>
      <c r="Q2121" s="18">
        <v>1.725</v>
      </c>
      <c r="R2121" s="15" t="s">
        <v>70</v>
      </c>
      <c r="S2121" s="19">
        <f t="shared" si="1"/>
        <v>0</v>
      </c>
      <c r="T2121" s="19">
        <f t="shared" si="8"/>
        <v>79.16059795</v>
      </c>
      <c r="U2121" s="144"/>
    </row>
    <row r="2122">
      <c r="A2122" s="107"/>
      <c r="B2122" s="8" t="s">
        <v>129</v>
      </c>
      <c r="C2122" s="8" t="s">
        <v>40</v>
      </c>
      <c r="D2122" s="8">
        <v>75.0</v>
      </c>
      <c r="E2122" s="8" t="s">
        <v>4589</v>
      </c>
      <c r="F2122" s="8" t="s">
        <v>1473</v>
      </c>
      <c r="G2122" s="8" t="s">
        <v>2556</v>
      </c>
      <c r="H2122" s="8">
        <v>0.0</v>
      </c>
      <c r="I2122" s="8" t="s">
        <v>820</v>
      </c>
      <c r="J2122" s="8" t="s">
        <v>22</v>
      </c>
      <c r="K2122" s="8" t="s">
        <v>225</v>
      </c>
      <c r="L2122" s="8" t="s">
        <v>24</v>
      </c>
      <c r="M2122" s="9">
        <v>0.25</v>
      </c>
      <c r="N2122" s="9">
        <v>0.5</v>
      </c>
      <c r="O2122" s="9">
        <v>0.5</v>
      </c>
      <c r="P2122" s="10">
        <v>45352.0</v>
      </c>
      <c r="Q2122" s="11">
        <v>1.775</v>
      </c>
      <c r="R2122" s="8" t="s">
        <v>30</v>
      </c>
      <c r="S2122" s="12">
        <f t="shared" si="1"/>
        <v>0.19375</v>
      </c>
      <c r="T2122" s="12">
        <f t="shared" si="8"/>
        <v>79.35434795</v>
      </c>
      <c r="U2122" s="145"/>
    </row>
    <row r="2123">
      <c r="A2123" s="29"/>
      <c r="B2123" s="15" t="s">
        <v>26</v>
      </c>
      <c r="C2123" s="15" t="s">
        <v>19</v>
      </c>
      <c r="D2123" s="15">
        <v>64.0</v>
      </c>
      <c r="E2123" s="15" t="s">
        <v>4590</v>
      </c>
      <c r="F2123" s="15" t="s">
        <v>1479</v>
      </c>
      <c r="G2123" s="15" t="s">
        <v>2660</v>
      </c>
      <c r="H2123" s="15">
        <f>1</f>
        <v>1</v>
      </c>
      <c r="I2123" s="15" t="s">
        <v>172</v>
      </c>
      <c r="J2123" s="15" t="s">
        <v>22</v>
      </c>
      <c r="K2123" s="15" t="s">
        <v>892</v>
      </c>
      <c r="L2123" s="15" t="s">
        <v>24</v>
      </c>
      <c r="M2123" s="16">
        <v>0.0</v>
      </c>
      <c r="N2123" s="16">
        <v>1.1</v>
      </c>
      <c r="O2123" s="16">
        <v>1.1</v>
      </c>
      <c r="P2123" s="17">
        <v>45352.0</v>
      </c>
      <c r="Q2123" s="18">
        <v>1.775</v>
      </c>
      <c r="R2123" s="15" t="s">
        <v>25</v>
      </c>
      <c r="S2123" s="19">
        <f t="shared" si="1"/>
        <v>-1.1</v>
      </c>
      <c r="T2123" s="19">
        <f t="shared" si="8"/>
        <v>78.25434795</v>
      </c>
      <c r="U2123" s="144"/>
    </row>
    <row r="2124">
      <c r="A2124" s="107"/>
      <c r="B2124" s="8" t="s">
        <v>26</v>
      </c>
      <c r="C2124" s="8" t="s">
        <v>19</v>
      </c>
      <c r="D2124" s="8">
        <v>26.0</v>
      </c>
      <c r="E2124" s="8" t="s">
        <v>4591</v>
      </c>
      <c r="F2124" s="8" t="s">
        <v>1473</v>
      </c>
      <c r="G2124" s="8" t="s">
        <v>2660</v>
      </c>
      <c r="H2124" s="8">
        <v>0.0</v>
      </c>
      <c r="I2124" s="8" t="s">
        <v>273</v>
      </c>
      <c r="J2124" s="8" t="s">
        <v>22</v>
      </c>
      <c r="K2124" s="8" t="s">
        <v>892</v>
      </c>
      <c r="L2124" s="8" t="s">
        <v>24</v>
      </c>
      <c r="M2124" s="9">
        <v>0.0</v>
      </c>
      <c r="N2124" s="9">
        <v>0.5</v>
      </c>
      <c r="O2124" s="9">
        <v>0.5</v>
      </c>
      <c r="P2124" s="10">
        <v>45352.0</v>
      </c>
      <c r="Q2124" s="11">
        <v>1.825</v>
      </c>
      <c r="R2124" s="8" t="s">
        <v>25</v>
      </c>
      <c r="S2124" s="12">
        <f t="shared" si="1"/>
        <v>-0.5</v>
      </c>
      <c r="T2124" s="12">
        <f t="shared" si="8"/>
        <v>77.75434795</v>
      </c>
      <c r="U2124" s="145"/>
    </row>
    <row r="2125">
      <c r="A2125" s="29"/>
      <c r="B2125" s="15" t="s">
        <v>4225</v>
      </c>
      <c r="C2125" s="15" t="s">
        <v>19</v>
      </c>
      <c r="D2125" s="15">
        <v>26.0</v>
      </c>
      <c r="E2125" s="15" t="s">
        <v>4591</v>
      </c>
      <c r="F2125" s="15" t="s">
        <v>1473</v>
      </c>
      <c r="G2125" s="15" t="s">
        <v>2660</v>
      </c>
      <c r="H2125" s="15">
        <v>0.0</v>
      </c>
      <c r="I2125" s="15" t="s">
        <v>273</v>
      </c>
      <c r="J2125" s="15" t="s">
        <v>22</v>
      </c>
      <c r="K2125" s="15" t="s">
        <v>892</v>
      </c>
      <c r="L2125" s="15" t="s">
        <v>24</v>
      </c>
      <c r="M2125" s="16">
        <v>0.0</v>
      </c>
      <c r="N2125" s="16">
        <v>0.5</v>
      </c>
      <c r="O2125" s="16">
        <v>0.5</v>
      </c>
      <c r="P2125" s="17">
        <v>45352.0</v>
      </c>
      <c r="Q2125" s="18">
        <v>1.825</v>
      </c>
      <c r="R2125" s="15" t="s">
        <v>25</v>
      </c>
      <c r="S2125" s="19">
        <f t="shared" si="1"/>
        <v>-0.5</v>
      </c>
      <c r="T2125" s="19">
        <f t="shared" si="8"/>
        <v>77.25434795</v>
      </c>
      <c r="U2125" s="144"/>
    </row>
    <row r="2126">
      <c r="A2126" s="107"/>
      <c r="B2126" s="8" t="s">
        <v>26</v>
      </c>
      <c r="C2126" s="8" t="s">
        <v>19</v>
      </c>
      <c r="D2126" s="8">
        <v>8.0</v>
      </c>
      <c r="E2126" s="8" t="s">
        <v>4592</v>
      </c>
      <c r="F2126" s="8" t="s">
        <v>1479</v>
      </c>
      <c r="G2126" s="8" t="s">
        <v>2556</v>
      </c>
      <c r="H2126" s="8">
        <v>2</v>
      </c>
      <c r="I2126" s="8" t="s">
        <v>28</v>
      </c>
      <c r="J2126" s="8" t="s">
        <v>22</v>
      </c>
      <c r="K2126" s="8" t="s">
        <v>225</v>
      </c>
      <c r="L2126" s="8" t="s">
        <v>24</v>
      </c>
      <c r="M2126" s="9">
        <v>1.25</v>
      </c>
      <c r="N2126" s="9">
        <v>0.75</v>
      </c>
      <c r="O2126" s="9">
        <v>0.623</v>
      </c>
      <c r="P2126" s="10">
        <v>45352.0</v>
      </c>
      <c r="Q2126" s="11">
        <v>1.8</v>
      </c>
      <c r="R2126" s="8" t="s">
        <v>33</v>
      </c>
      <c r="S2126" s="12">
        <f t="shared" si="1"/>
        <v>0.4984</v>
      </c>
      <c r="T2126" s="12">
        <f t="shared" si="8"/>
        <v>77.75274795</v>
      </c>
      <c r="U2126" s="145"/>
    </row>
    <row r="2127">
      <c r="A2127" s="29"/>
      <c r="B2127" s="15" t="s">
        <v>26</v>
      </c>
      <c r="C2127" s="15" t="s">
        <v>19</v>
      </c>
      <c r="D2127" s="15">
        <v>50.0</v>
      </c>
      <c r="E2127" s="15" t="s">
        <v>4593</v>
      </c>
      <c r="F2127" s="15" t="s">
        <v>1473</v>
      </c>
      <c r="G2127" s="15"/>
      <c r="H2127" s="15">
        <v>-2.0</v>
      </c>
      <c r="I2127" s="15" t="s">
        <v>28</v>
      </c>
      <c r="J2127" s="15" t="s">
        <v>22</v>
      </c>
      <c r="K2127" s="15" t="s">
        <v>1023</v>
      </c>
      <c r="L2127" s="15" t="s">
        <v>24</v>
      </c>
      <c r="M2127" s="16">
        <v>0.5</v>
      </c>
      <c r="N2127" s="16">
        <v>0.2</v>
      </c>
      <c r="O2127" s="16">
        <v>0.2</v>
      </c>
      <c r="P2127" s="17">
        <v>45352.0</v>
      </c>
      <c r="Q2127" s="18">
        <v>4.33</v>
      </c>
      <c r="R2127" s="15" t="s">
        <v>25</v>
      </c>
      <c r="S2127" s="19">
        <f t="shared" si="1"/>
        <v>-0.2</v>
      </c>
      <c r="T2127" s="19">
        <f t="shared" si="8"/>
        <v>77.55274795</v>
      </c>
      <c r="U2127" s="144"/>
    </row>
    <row r="2128">
      <c r="A2128" s="107"/>
      <c r="B2128" s="8" t="s">
        <v>26</v>
      </c>
      <c r="C2128" s="8" t="s">
        <v>19</v>
      </c>
      <c r="D2128" s="8">
        <v>80.0</v>
      </c>
      <c r="E2128" s="8" t="s">
        <v>4594</v>
      </c>
      <c r="F2128" s="8" t="s">
        <v>1479</v>
      </c>
      <c r="G2128" s="8" t="s">
        <v>2556</v>
      </c>
      <c r="H2128" s="8">
        <v>0.0</v>
      </c>
      <c r="I2128" s="8" t="s">
        <v>487</v>
      </c>
      <c r="J2128" s="8" t="s">
        <v>22</v>
      </c>
      <c r="K2128" s="8" t="s">
        <v>225</v>
      </c>
      <c r="L2128" s="8" t="s">
        <v>24</v>
      </c>
      <c r="M2128" s="9">
        <v>0.25</v>
      </c>
      <c r="N2128" s="9">
        <v>0.15</v>
      </c>
      <c r="O2128" s="9">
        <v>0.15</v>
      </c>
      <c r="P2128" s="10">
        <v>45353.0</v>
      </c>
      <c r="Q2128" s="11">
        <v>2.05</v>
      </c>
      <c r="R2128" s="8" t="s">
        <v>30</v>
      </c>
      <c r="S2128" s="12">
        <f t="shared" si="1"/>
        <v>0.07875</v>
      </c>
      <c r="T2128" s="12">
        <f t="shared" si="8"/>
        <v>77.63149795</v>
      </c>
      <c r="U2128" s="145"/>
    </row>
    <row r="2129">
      <c r="A2129" s="29"/>
      <c r="B2129" s="15" t="s">
        <v>137</v>
      </c>
      <c r="C2129" s="15" t="s">
        <v>19</v>
      </c>
      <c r="D2129" s="15">
        <v>70.0</v>
      </c>
      <c r="E2129" s="15" t="s">
        <v>4595</v>
      </c>
      <c r="F2129" s="15" t="s">
        <v>1473</v>
      </c>
      <c r="G2129" s="15" t="s">
        <v>2556</v>
      </c>
      <c r="H2129" s="15">
        <v>-3.0</v>
      </c>
      <c r="I2129" s="15" t="s">
        <v>229</v>
      </c>
      <c r="J2129" s="15" t="s">
        <v>22</v>
      </c>
      <c r="K2129" s="15" t="s">
        <v>225</v>
      </c>
      <c r="L2129" s="15" t="s">
        <v>24</v>
      </c>
      <c r="M2129" s="16">
        <v>0.25</v>
      </c>
      <c r="N2129" s="16">
        <v>0.2</v>
      </c>
      <c r="O2129" s="16">
        <v>0.2</v>
      </c>
      <c r="P2129" s="17">
        <v>45353.0</v>
      </c>
      <c r="Q2129" s="18">
        <v>1.7</v>
      </c>
      <c r="R2129" s="15" t="s">
        <v>25</v>
      </c>
      <c r="S2129" s="19">
        <f t="shared" si="1"/>
        <v>-0.2</v>
      </c>
      <c r="T2129" s="19">
        <f t="shared" si="8"/>
        <v>77.43149795</v>
      </c>
      <c r="U2129" s="144"/>
    </row>
    <row r="2130">
      <c r="A2130" s="107"/>
      <c r="B2130" s="8" t="s">
        <v>26</v>
      </c>
      <c r="C2130" s="8" t="s">
        <v>19</v>
      </c>
      <c r="D2130" s="8">
        <v>50.0</v>
      </c>
      <c r="E2130" s="8" t="s">
        <v>4596</v>
      </c>
      <c r="F2130" s="8" t="s">
        <v>1473</v>
      </c>
      <c r="G2130" s="8" t="s">
        <v>2556</v>
      </c>
      <c r="H2130" s="8">
        <v>-2.0</v>
      </c>
      <c r="I2130" s="8" t="s">
        <v>487</v>
      </c>
      <c r="J2130" s="8" t="s">
        <v>22</v>
      </c>
      <c r="K2130" s="8" t="s">
        <v>225</v>
      </c>
      <c r="L2130" s="8" t="s">
        <v>24</v>
      </c>
      <c r="M2130" s="9">
        <v>0.25</v>
      </c>
      <c r="N2130" s="9">
        <v>0.6</v>
      </c>
      <c r="O2130" s="9">
        <v>0.6</v>
      </c>
      <c r="P2130" s="10">
        <v>45353.0</v>
      </c>
      <c r="Q2130" s="11">
        <v>1.85</v>
      </c>
      <c r="R2130" s="8" t="s">
        <v>33</v>
      </c>
      <c r="S2130" s="12">
        <f t="shared" si="1"/>
        <v>0.51</v>
      </c>
      <c r="T2130" s="12">
        <f t="shared" si="8"/>
        <v>77.94149795</v>
      </c>
      <c r="U2130" s="145"/>
    </row>
    <row r="2131">
      <c r="A2131" s="29"/>
      <c r="B2131" s="15" t="s">
        <v>137</v>
      </c>
      <c r="C2131" s="15" t="s">
        <v>19</v>
      </c>
      <c r="D2131" s="15">
        <v>40.0</v>
      </c>
      <c r="E2131" s="15" t="s">
        <v>4597</v>
      </c>
      <c r="F2131" s="15" t="s">
        <v>1473</v>
      </c>
      <c r="G2131" s="15" t="s">
        <v>2556</v>
      </c>
      <c r="H2131" s="15">
        <v>-2.0</v>
      </c>
      <c r="I2131" s="15" t="s">
        <v>48</v>
      </c>
      <c r="J2131" s="15" t="s">
        <v>22</v>
      </c>
      <c r="K2131" s="15" t="s">
        <v>225</v>
      </c>
      <c r="L2131" s="15" t="s">
        <v>24</v>
      </c>
      <c r="M2131" s="16">
        <v>0.25</v>
      </c>
      <c r="N2131" s="16">
        <v>1.0</v>
      </c>
      <c r="O2131" s="16">
        <v>1.0</v>
      </c>
      <c r="P2131" s="17">
        <v>45353.0</v>
      </c>
      <c r="Q2131" s="18">
        <v>1.85</v>
      </c>
      <c r="R2131" s="15" t="s">
        <v>30</v>
      </c>
      <c r="S2131" s="19">
        <f t="shared" si="1"/>
        <v>0.425</v>
      </c>
      <c r="T2131" s="19">
        <f t="shared" si="8"/>
        <v>78.36649795</v>
      </c>
      <c r="U2131" s="144"/>
    </row>
    <row r="2132">
      <c r="A2132" s="107"/>
      <c r="B2132" s="8" t="s">
        <v>129</v>
      </c>
      <c r="C2132" s="8" t="s">
        <v>19</v>
      </c>
      <c r="D2132" s="8">
        <v>60.0</v>
      </c>
      <c r="E2132" s="8" t="s">
        <v>4598</v>
      </c>
      <c r="F2132" s="8" t="s">
        <v>1473</v>
      </c>
      <c r="G2132" s="8" t="s">
        <v>2660</v>
      </c>
      <c r="H2132" s="8">
        <v>-2.0</v>
      </c>
      <c r="I2132" s="8" t="s">
        <v>101</v>
      </c>
      <c r="J2132" s="8" t="s">
        <v>22</v>
      </c>
      <c r="K2132" s="8" t="s">
        <v>892</v>
      </c>
      <c r="L2132" s="8" t="s">
        <v>24</v>
      </c>
      <c r="M2132" s="9">
        <v>0.0</v>
      </c>
      <c r="N2132" s="9">
        <v>0.5</v>
      </c>
      <c r="O2132" s="9">
        <v>0.5</v>
      </c>
      <c r="P2132" s="10">
        <v>45353.0</v>
      </c>
      <c r="Q2132" s="11">
        <v>2.02</v>
      </c>
      <c r="R2132" s="8" t="s">
        <v>70</v>
      </c>
      <c r="S2132" s="12">
        <f t="shared" si="1"/>
        <v>0</v>
      </c>
      <c r="T2132" s="12">
        <f t="shared" si="8"/>
        <v>78.36649795</v>
      </c>
      <c r="U2132" s="145"/>
    </row>
    <row r="2133">
      <c r="A2133" s="29"/>
      <c r="B2133" s="15" t="s">
        <v>26</v>
      </c>
      <c r="C2133" s="15" t="s">
        <v>19</v>
      </c>
      <c r="D2133" s="15">
        <v>16.0</v>
      </c>
      <c r="E2133" s="15" t="s">
        <v>4599</v>
      </c>
      <c r="F2133" s="15" t="s">
        <v>1473</v>
      </c>
      <c r="G2133" s="15" t="s">
        <v>2556</v>
      </c>
      <c r="H2133" s="15">
        <v>0.0</v>
      </c>
      <c r="I2133" s="15" t="s">
        <v>44</v>
      </c>
      <c r="J2133" s="15" t="s">
        <v>22</v>
      </c>
      <c r="K2133" s="15" t="s">
        <v>225</v>
      </c>
      <c r="L2133" s="15" t="s">
        <v>39</v>
      </c>
      <c r="M2133" s="16">
        <v>0.25</v>
      </c>
      <c r="N2133" s="16">
        <v>0.1</v>
      </c>
      <c r="O2133" s="16">
        <v>0.1</v>
      </c>
      <c r="P2133" s="17">
        <v>45353.0</v>
      </c>
      <c r="Q2133" s="18">
        <v>1.775</v>
      </c>
      <c r="R2133" s="15" t="s">
        <v>25</v>
      </c>
      <c r="S2133" s="19">
        <f t="shared" si="1"/>
        <v>-0.1</v>
      </c>
      <c r="T2133" s="19">
        <f t="shared" si="8"/>
        <v>78.26649795</v>
      </c>
      <c r="U2133" s="144"/>
    </row>
    <row r="2134">
      <c r="A2134" s="107"/>
      <c r="B2134" s="8" t="s">
        <v>18</v>
      </c>
      <c r="C2134" s="8" t="s">
        <v>19</v>
      </c>
      <c r="D2134" s="8">
        <v>29.0</v>
      </c>
      <c r="E2134" s="8" t="s">
        <v>4600</v>
      </c>
      <c r="F2134" s="8" t="s">
        <v>1473</v>
      </c>
      <c r="G2134" s="8" t="s">
        <v>2556</v>
      </c>
      <c r="H2134" s="8">
        <f>1</f>
        <v>1</v>
      </c>
      <c r="I2134" s="8" t="s">
        <v>463</v>
      </c>
      <c r="J2134" s="8" t="s">
        <v>22</v>
      </c>
      <c r="K2134" s="8" t="s">
        <v>225</v>
      </c>
      <c r="L2134" s="8" t="s">
        <v>24</v>
      </c>
      <c r="M2134" s="9">
        <v>0.5</v>
      </c>
      <c r="N2134" s="9">
        <v>0.6</v>
      </c>
      <c r="O2134" s="9">
        <v>0.5189</v>
      </c>
      <c r="P2134" s="10">
        <v>45353.0</v>
      </c>
      <c r="Q2134" s="11">
        <v>1.975</v>
      </c>
      <c r="R2134" s="8" t="s">
        <v>25</v>
      </c>
      <c r="S2134" s="12">
        <f t="shared" si="1"/>
        <v>-0.5189</v>
      </c>
      <c r="T2134" s="12">
        <f t="shared" si="8"/>
        <v>77.74759795</v>
      </c>
      <c r="U2134" s="145"/>
    </row>
    <row r="2135">
      <c r="A2135" s="29"/>
      <c r="B2135" s="15" t="s">
        <v>4225</v>
      </c>
      <c r="C2135" s="15" t="s">
        <v>19</v>
      </c>
      <c r="D2135" s="15">
        <v>36.0</v>
      </c>
      <c r="E2135" s="15" t="s">
        <v>4601</v>
      </c>
      <c r="F2135" s="15" t="s">
        <v>1479</v>
      </c>
      <c r="G2135" s="15" t="s">
        <v>2660</v>
      </c>
      <c r="H2135" s="15">
        <v>0.0</v>
      </c>
      <c r="I2135" s="15" t="s">
        <v>44</v>
      </c>
      <c r="J2135" s="15" t="s">
        <v>22</v>
      </c>
      <c r="K2135" s="15" t="s">
        <v>4584</v>
      </c>
      <c r="L2135" s="15" t="s">
        <v>24</v>
      </c>
      <c r="M2135" s="16">
        <v>0.0</v>
      </c>
      <c r="N2135" s="16">
        <v>0.6</v>
      </c>
      <c r="O2135" s="16">
        <v>0.6</v>
      </c>
      <c r="P2135" s="55">
        <v>45353.0</v>
      </c>
      <c r="Q2135" s="18">
        <v>1.9</v>
      </c>
      <c r="R2135" s="15" t="s">
        <v>70</v>
      </c>
      <c r="S2135" s="19">
        <f t="shared" si="1"/>
        <v>0</v>
      </c>
      <c r="T2135" s="19">
        <f t="shared" si="8"/>
        <v>77.74759795</v>
      </c>
      <c r="U2135" s="144"/>
    </row>
    <row r="2136">
      <c r="A2136" s="107"/>
      <c r="B2136" s="8" t="s">
        <v>26</v>
      </c>
      <c r="C2136" s="8" t="s">
        <v>19</v>
      </c>
      <c r="D2136" s="8">
        <v>60.0</v>
      </c>
      <c r="E2136" s="8" t="s">
        <v>4602</v>
      </c>
      <c r="F2136" s="8" t="s">
        <v>1473</v>
      </c>
      <c r="G2136" s="8" t="s">
        <v>2556</v>
      </c>
      <c r="H2136" s="8">
        <v>0.0</v>
      </c>
      <c r="I2136" s="8" t="s">
        <v>703</v>
      </c>
      <c r="J2136" s="8" t="s">
        <v>22</v>
      </c>
      <c r="K2136" s="8" t="s">
        <v>225</v>
      </c>
      <c r="L2136" s="8" t="s">
        <v>24</v>
      </c>
      <c r="M2136" s="9">
        <v>0.25</v>
      </c>
      <c r="N2136" s="9">
        <v>0.4</v>
      </c>
      <c r="O2136" s="9">
        <v>0.24</v>
      </c>
      <c r="P2136" s="10">
        <v>45353.0</v>
      </c>
      <c r="Q2136" s="11">
        <v>1.7</v>
      </c>
      <c r="R2136" s="8" t="s">
        <v>25</v>
      </c>
      <c r="S2136" s="12">
        <f t="shared" si="1"/>
        <v>-0.24</v>
      </c>
      <c r="T2136" s="12">
        <f t="shared" si="8"/>
        <v>77.50759795</v>
      </c>
      <c r="U2136" s="145"/>
    </row>
    <row r="2137">
      <c r="A2137" s="29"/>
      <c r="B2137" s="15" t="s">
        <v>18</v>
      </c>
      <c r="C2137" s="15" t="s">
        <v>19</v>
      </c>
      <c r="D2137" s="15">
        <v>45.0</v>
      </c>
      <c r="E2137" s="15" t="s">
        <v>4603</v>
      </c>
      <c r="F2137" s="15" t="s">
        <v>1473</v>
      </c>
      <c r="G2137" s="15" t="s">
        <v>2556</v>
      </c>
      <c r="H2137" s="15">
        <v>-1.0</v>
      </c>
      <c r="I2137" s="15" t="s">
        <v>683</v>
      </c>
      <c r="J2137" s="15" t="s">
        <v>22</v>
      </c>
      <c r="K2137" s="15" t="s">
        <v>225</v>
      </c>
      <c r="L2137" s="15" t="s">
        <v>24</v>
      </c>
      <c r="M2137" s="16">
        <v>0.25</v>
      </c>
      <c r="N2137" s="16">
        <v>0.6</v>
      </c>
      <c r="O2137" s="16">
        <v>0.6</v>
      </c>
      <c r="P2137" s="17">
        <v>45353.0</v>
      </c>
      <c r="Q2137" s="18">
        <v>1.7</v>
      </c>
      <c r="R2137" s="15" t="s">
        <v>30</v>
      </c>
      <c r="S2137" s="19">
        <f t="shared" si="1"/>
        <v>0.21</v>
      </c>
      <c r="T2137" s="19">
        <f t="shared" si="8"/>
        <v>77.71759795</v>
      </c>
      <c r="U2137" s="144"/>
    </row>
    <row r="2138">
      <c r="A2138" s="107"/>
      <c r="B2138" s="8" t="s">
        <v>26</v>
      </c>
      <c r="C2138" s="8" t="s">
        <v>19</v>
      </c>
      <c r="D2138" s="8">
        <v>61.0</v>
      </c>
      <c r="E2138" s="8" t="s">
        <v>4604</v>
      </c>
      <c r="F2138" s="8" t="s">
        <v>1479</v>
      </c>
      <c r="G2138" s="8" t="s">
        <v>2660</v>
      </c>
      <c r="H2138" s="8">
        <v>0.0</v>
      </c>
      <c r="I2138" s="8" t="s">
        <v>44</v>
      </c>
      <c r="J2138" s="8" t="s">
        <v>22</v>
      </c>
      <c r="K2138" s="8" t="s">
        <v>892</v>
      </c>
      <c r="L2138" s="8" t="s">
        <v>24</v>
      </c>
      <c r="M2138" s="9">
        <v>0.0</v>
      </c>
      <c r="N2138" s="9">
        <v>1.0</v>
      </c>
      <c r="O2138" s="9">
        <v>1.0</v>
      </c>
      <c r="P2138" s="10">
        <v>45353.0</v>
      </c>
      <c r="Q2138" s="11">
        <v>1.9</v>
      </c>
      <c r="R2138" s="8" t="s">
        <v>70</v>
      </c>
      <c r="S2138" s="12">
        <f t="shared" si="1"/>
        <v>0</v>
      </c>
      <c r="T2138" s="12">
        <f t="shared" si="8"/>
        <v>77.71759795</v>
      </c>
      <c r="U2138" s="145"/>
    </row>
    <row r="2139">
      <c r="A2139" s="29"/>
      <c r="B2139" s="15" t="s">
        <v>18</v>
      </c>
      <c r="C2139" s="15" t="s">
        <v>19</v>
      </c>
      <c r="D2139" s="15">
        <v>35.0</v>
      </c>
      <c r="E2139" s="15" t="s">
        <v>4605</v>
      </c>
      <c r="F2139" s="15" t="s">
        <v>1479</v>
      </c>
      <c r="G2139" s="15" t="s">
        <v>2660</v>
      </c>
      <c r="H2139" s="15">
        <f t="shared" ref="H2139:H2140" si="59">1</f>
        <v>1</v>
      </c>
      <c r="I2139" s="15" t="s">
        <v>44</v>
      </c>
      <c r="J2139" s="15" t="s">
        <v>22</v>
      </c>
      <c r="K2139" s="15" t="s">
        <v>4584</v>
      </c>
      <c r="L2139" s="15" t="s">
        <v>24</v>
      </c>
      <c r="M2139" s="16">
        <v>0.0</v>
      </c>
      <c r="N2139" s="16">
        <v>0.6</v>
      </c>
      <c r="O2139" s="16">
        <v>0.583</v>
      </c>
      <c r="P2139" s="17">
        <v>45353.0</v>
      </c>
      <c r="Q2139" s="18">
        <v>1.8</v>
      </c>
      <c r="R2139" s="15" t="s">
        <v>70</v>
      </c>
      <c r="S2139" s="19">
        <f t="shared" si="1"/>
        <v>0</v>
      </c>
      <c r="T2139" s="19">
        <f t="shared" si="8"/>
        <v>77.71759795</v>
      </c>
      <c r="U2139" s="144"/>
    </row>
    <row r="2140">
      <c r="A2140" s="107"/>
      <c r="B2140" s="8" t="s">
        <v>18</v>
      </c>
      <c r="C2140" s="8" t="s">
        <v>19</v>
      </c>
      <c r="D2140" s="8">
        <v>75.0</v>
      </c>
      <c r="E2140" s="8" t="s">
        <v>4606</v>
      </c>
      <c r="F2140" s="8" t="s">
        <v>1479</v>
      </c>
      <c r="G2140" s="8" t="s">
        <v>2573</v>
      </c>
      <c r="H2140" s="8">
        <f t="shared" si="59"/>
        <v>1</v>
      </c>
      <c r="I2140" s="8" t="s">
        <v>683</v>
      </c>
      <c r="J2140" s="8" t="s">
        <v>22</v>
      </c>
      <c r="K2140" s="8" t="s">
        <v>894</v>
      </c>
      <c r="L2140" s="8" t="s">
        <v>24</v>
      </c>
      <c r="M2140" s="9">
        <v>-0.25</v>
      </c>
      <c r="N2140" s="9">
        <v>0.31</v>
      </c>
      <c r="O2140" s="9">
        <v>0.31</v>
      </c>
      <c r="P2140" s="10">
        <v>45353.0</v>
      </c>
      <c r="Q2140" s="11">
        <v>2.5</v>
      </c>
      <c r="R2140" s="8" t="s">
        <v>79</v>
      </c>
      <c r="S2140" s="12">
        <f t="shared" si="1"/>
        <v>-0.155</v>
      </c>
      <c r="T2140" s="12">
        <f t="shared" si="8"/>
        <v>77.56259795</v>
      </c>
      <c r="U2140" s="145"/>
    </row>
    <row r="2141">
      <c r="A2141" s="29"/>
      <c r="B2141" s="15" t="s">
        <v>129</v>
      </c>
      <c r="C2141" s="15" t="s">
        <v>19</v>
      </c>
      <c r="D2141" s="15">
        <v>80.0</v>
      </c>
      <c r="E2141" s="15" t="s">
        <v>4607</v>
      </c>
      <c r="F2141" s="15" t="s">
        <v>1473</v>
      </c>
      <c r="G2141" s="15" t="s">
        <v>2556</v>
      </c>
      <c r="H2141" s="15">
        <v>-1.0</v>
      </c>
      <c r="I2141" s="15" t="s">
        <v>74</v>
      </c>
      <c r="J2141" s="15" t="s">
        <v>22</v>
      </c>
      <c r="K2141" s="15" t="s">
        <v>225</v>
      </c>
      <c r="L2141" s="15" t="s">
        <v>24</v>
      </c>
      <c r="M2141" s="16">
        <v>0.25</v>
      </c>
      <c r="N2141" s="16">
        <v>0.2</v>
      </c>
      <c r="O2141" s="16">
        <v>0.2</v>
      </c>
      <c r="P2141" s="17">
        <v>45353.0</v>
      </c>
      <c r="Q2141" s="18">
        <v>1.7</v>
      </c>
      <c r="R2141" s="15" t="s">
        <v>30</v>
      </c>
      <c r="S2141" s="19">
        <f t="shared" si="1"/>
        <v>0.07</v>
      </c>
      <c r="T2141" s="19">
        <f t="shared" si="8"/>
        <v>77.63259795</v>
      </c>
      <c r="U2141" s="144"/>
    </row>
    <row r="2142">
      <c r="A2142" s="107"/>
      <c r="B2142" s="8" t="s">
        <v>26</v>
      </c>
      <c r="C2142" s="8" t="s">
        <v>19</v>
      </c>
      <c r="D2142" s="8">
        <v>60.0</v>
      </c>
      <c r="E2142" s="157" t="s">
        <v>4608</v>
      </c>
      <c r="F2142" s="8" t="s">
        <v>1479</v>
      </c>
      <c r="G2142" s="8" t="s">
        <v>2556</v>
      </c>
      <c r="H2142" s="8">
        <v>0.0</v>
      </c>
      <c r="I2142" s="8" t="s">
        <v>66</v>
      </c>
      <c r="J2142" s="8" t="s">
        <v>22</v>
      </c>
      <c r="K2142" s="8" t="s">
        <v>941</v>
      </c>
      <c r="L2142" s="8" t="s">
        <v>24</v>
      </c>
      <c r="M2142" s="9">
        <v>0.0</v>
      </c>
      <c r="N2142" s="9">
        <v>1.0</v>
      </c>
      <c r="O2142" s="9">
        <v>1.0</v>
      </c>
      <c r="P2142" s="10">
        <v>45353.0</v>
      </c>
      <c r="Q2142" s="11">
        <v>1.8</v>
      </c>
      <c r="R2142" s="8" t="s">
        <v>33</v>
      </c>
      <c r="S2142" s="12">
        <f t="shared" si="1"/>
        <v>0.8</v>
      </c>
      <c r="T2142" s="12">
        <f t="shared" si="8"/>
        <v>78.43259795</v>
      </c>
      <c r="U2142" s="145"/>
    </row>
    <row r="2143">
      <c r="A2143" s="29"/>
      <c r="B2143" s="15" t="s">
        <v>26</v>
      </c>
      <c r="C2143" s="15" t="s">
        <v>40</v>
      </c>
      <c r="D2143" s="15">
        <v>27.0</v>
      </c>
      <c r="E2143" s="15" t="s">
        <v>4609</v>
      </c>
      <c r="F2143" s="15" t="s">
        <v>1473</v>
      </c>
      <c r="G2143" s="15" t="s">
        <v>2660</v>
      </c>
      <c r="H2143" s="15">
        <v>0.0</v>
      </c>
      <c r="I2143" s="15" t="s">
        <v>448</v>
      </c>
      <c r="J2143" s="15" t="s">
        <v>22</v>
      </c>
      <c r="K2143" s="15" t="s">
        <v>4584</v>
      </c>
      <c r="L2143" s="15" t="s">
        <v>24</v>
      </c>
      <c r="M2143" s="16">
        <v>0.0</v>
      </c>
      <c r="N2143" s="16">
        <v>0.8</v>
      </c>
      <c r="O2143" s="16">
        <v>0.8</v>
      </c>
      <c r="P2143" s="17">
        <v>45353.0</v>
      </c>
      <c r="Q2143" s="18">
        <v>1.75</v>
      </c>
      <c r="R2143" s="15" t="s">
        <v>70</v>
      </c>
      <c r="S2143" s="19">
        <f t="shared" si="1"/>
        <v>0</v>
      </c>
      <c r="T2143" s="19">
        <f t="shared" si="8"/>
        <v>78.43259795</v>
      </c>
      <c r="U2143" s="144"/>
    </row>
    <row r="2144">
      <c r="A2144" s="107"/>
      <c r="B2144" s="8" t="s">
        <v>18</v>
      </c>
      <c r="C2144" s="8" t="s">
        <v>19</v>
      </c>
      <c r="D2144" s="8">
        <v>20.0</v>
      </c>
      <c r="E2144" s="8" t="s">
        <v>4610</v>
      </c>
      <c r="F2144" s="8" t="s">
        <v>1479</v>
      </c>
      <c r="G2144" s="8" t="s">
        <v>2556</v>
      </c>
      <c r="H2144" s="8">
        <v>0.0</v>
      </c>
      <c r="I2144" s="8" t="s">
        <v>93</v>
      </c>
      <c r="J2144" s="8" t="s">
        <v>22</v>
      </c>
      <c r="K2144" s="8" t="s">
        <v>225</v>
      </c>
      <c r="L2144" s="8" t="s">
        <v>24</v>
      </c>
      <c r="M2144" s="9">
        <v>0.5</v>
      </c>
      <c r="N2144" s="9">
        <v>1.0</v>
      </c>
      <c r="O2144" s="9">
        <v>1.0</v>
      </c>
      <c r="P2144" s="10">
        <v>45353.0</v>
      </c>
      <c r="Q2144" s="11">
        <v>1.825</v>
      </c>
      <c r="R2144" s="8" t="s">
        <v>25</v>
      </c>
      <c r="S2144" s="12">
        <f t="shared" si="1"/>
        <v>-1</v>
      </c>
      <c r="T2144" s="12">
        <f t="shared" si="8"/>
        <v>77.43259795</v>
      </c>
      <c r="U2144" s="145"/>
    </row>
    <row r="2145">
      <c r="A2145" s="29"/>
      <c r="B2145" s="15" t="s">
        <v>18</v>
      </c>
      <c r="C2145" s="15" t="s">
        <v>19</v>
      </c>
      <c r="D2145" s="15">
        <v>30.0</v>
      </c>
      <c r="E2145" s="15" t="s">
        <v>4611</v>
      </c>
      <c r="F2145" s="15" t="s">
        <v>1473</v>
      </c>
      <c r="G2145" s="15" t="s">
        <v>2556</v>
      </c>
      <c r="H2145" s="15">
        <v>0.0</v>
      </c>
      <c r="I2145" s="15" t="s">
        <v>93</v>
      </c>
      <c r="J2145" s="15" t="s">
        <v>22</v>
      </c>
      <c r="K2145" s="15" t="s">
        <v>225</v>
      </c>
      <c r="L2145" s="15" t="s">
        <v>24</v>
      </c>
      <c r="M2145" s="16">
        <v>0.25</v>
      </c>
      <c r="N2145" s="16">
        <v>0.2</v>
      </c>
      <c r="O2145" s="16">
        <v>0.1891</v>
      </c>
      <c r="P2145" s="17">
        <v>45353.0</v>
      </c>
      <c r="Q2145" s="18">
        <v>1.9</v>
      </c>
      <c r="R2145" s="15" t="s">
        <v>25</v>
      </c>
      <c r="S2145" s="19">
        <f t="shared" si="1"/>
        <v>-0.1891</v>
      </c>
      <c r="T2145" s="19">
        <f t="shared" si="8"/>
        <v>77.24349795</v>
      </c>
      <c r="U2145" s="144"/>
    </row>
    <row r="2146">
      <c r="A2146" s="107"/>
      <c r="B2146" s="8" t="s">
        <v>26</v>
      </c>
      <c r="C2146" s="8" t="s">
        <v>19</v>
      </c>
      <c r="D2146" s="8">
        <v>72.0</v>
      </c>
      <c r="E2146" s="8" t="s">
        <v>4612</v>
      </c>
      <c r="F2146" s="8" t="s">
        <v>1479</v>
      </c>
      <c r="G2146" s="8" t="s">
        <v>2660</v>
      </c>
      <c r="H2146" s="8">
        <f>1</f>
        <v>1</v>
      </c>
      <c r="I2146" s="8" t="s">
        <v>432</v>
      </c>
      <c r="J2146" s="8" t="s">
        <v>22</v>
      </c>
      <c r="K2146" s="8" t="s">
        <v>892</v>
      </c>
      <c r="L2146" s="8" t="s">
        <v>39</v>
      </c>
      <c r="M2146" s="9">
        <v>0.0</v>
      </c>
      <c r="N2146" s="9">
        <v>0.1</v>
      </c>
      <c r="O2146" s="9">
        <v>0.1</v>
      </c>
      <c r="P2146" s="10">
        <v>45353.0</v>
      </c>
      <c r="Q2146" s="11">
        <v>2.025</v>
      </c>
      <c r="R2146" s="8" t="s">
        <v>70</v>
      </c>
      <c r="S2146" s="12">
        <f t="shared" si="1"/>
        <v>0</v>
      </c>
      <c r="T2146" s="12">
        <f t="shared" si="8"/>
        <v>77.24349795</v>
      </c>
      <c r="U2146" s="145"/>
    </row>
    <row r="2147">
      <c r="A2147" s="29"/>
      <c r="B2147" s="15" t="s">
        <v>26</v>
      </c>
      <c r="C2147" s="15" t="s">
        <v>19</v>
      </c>
      <c r="D2147" s="15">
        <v>82.0</v>
      </c>
      <c r="E2147" s="15" t="s">
        <v>4613</v>
      </c>
      <c r="F2147" s="15" t="s">
        <v>1479</v>
      </c>
      <c r="G2147" s="15" t="s">
        <v>2660</v>
      </c>
      <c r="H2147" s="15">
        <v>-2.0</v>
      </c>
      <c r="I2147" s="15" t="s">
        <v>82</v>
      </c>
      <c r="J2147" s="15" t="s">
        <v>22</v>
      </c>
      <c r="K2147" s="15" t="s">
        <v>892</v>
      </c>
      <c r="L2147" s="15" t="s">
        <v>24</v>
      </c>
      <c r="M2147" s="16">
        <v>0.0</v>
      </c>
      <c r="N2147" s="16">
        <v>0.5</v>
      </c>
      <c r="O2147" s="16">
        <v>0.5</v>
      </c>
      <c r="P2147" s="17">
        <v>45353.0</v>
      </c>
      <c r="Q2147" s="18">
        <v>1.75</v>
      </c>
      <c r="R2147" s="15" t="s">
        <v>70</v>
      </c>
      <c r="S2147" s="19">
        <f t="shared" si="1"/>
        <v>0</v>
      </c>
      <c r="T2147" s="19">
        <f t="shared" si="8"/>
        <v>77.24349795</v>
      </c>
      <c r="U2147" s="144"/>
    </row>
    <row r="2148">
      <c r="A2148" s="107"/>
      <c r="B2148" s="8" t="s">
        <v>26</v>
      </c>
      <c r="C2148" s="8" t="s">
        <v>40</v>
      </c>
      <c r="D2148" s="8">
        <v>60.0</v>
      </c>
      <c r="E2148" s="8" t="s">
        <v>4614</v>
      </c>
      <c r="F2148" s="8" t="s">
        <v>1479</v>
      </c>
      <c r="G2148" s="8" t="s">
        <v>2573</v>
      </c>
      <c r="H2148" s="8">
        <v>5</v>
      </c>
      <c r="I2148" s="8" t="s">
        <v>229</v>
      </c>
      <c r="J2148" s="8" t="s">
        <v>22</v>
      </c>
      <c r="K2148" s="8" t="s">
        <v>894</v>
      </c>
      <c r="L2148" s="8" t="s">
        <v>24</v>
      </c>
      <c r="M2148" s="9">
        <v>-0.25</v>
      </c>
      <c r="N2148" s="9">
        <v>0.1</v>
      </c>
      <c r="O2148" s="9">
        <v>0.1</v>
      </c>
      <c r="P2148" s="10">
        <v>45354.0</v>
      </c>
      <c r="Q2148" s="11">
        <v>1.9</v>
      </c>
      <c r="R2148" s="8" t="s">
        <v>33</v>
      </c>
      <c r="S2148" s="12">
        <f t="shared" si="1"/>
        <v>0.09</v>
      </c>
      <c r="T2148" s="12">
        <f t="shared" si="8"/>
        <v>77.33349795</v>
      </c>
      <c r="U2148" s="145"/>
    </row>
    <row r="2149">
      <c r="A2149" s="29"/>
      <c r="B2149" s="15" t="s">
        <v>4225</v>
      </c>
      <c r="C2149" s="15" t="s">
        <v>19</v>
      </c>
      <c r="D2149" s="15">
        <v>26.0</v>
      </c>
      <c r="E2149" s="15" t="s">
        <v>4615</v>
      </c>
      <c r="F2149" s="15" t="s">
        <v>1479</v>
      </c>
      <c r="G2149" s="15" t="s">
        <v>2660</v>
      </c>
      <c r="H2149" s="15">
        <v>-1.0</v>
      </c>
      <c r="I2149" s="15" t="s">
        <v>229</v>
      </c>
      <c r="J2149" s="15" t="s">
        <v>22</v>
      </c>
      <c r="K2149" s="15" t="s">
        <v>4584</v>
      </c>
      <c r="L2149" s="15" t="s">
        <v>24</v>
      </c>
      <c r="M2149" s="16">
        <v>0.0</v>
      </c>
      <c r="N2149" s="16">
        <v>0.2</v>
      </c>
      <c r="O2149" s="16">
        <v>0.2</v>
      </c>
      <c r="P2149" s="17">
        <v>45354.0</v>
      </c>
      <c r="Q2149" s="18">
        <v>1.775</v>
      </c>
      <c r="R2149" s="15" t="s">
        <v>70</v>
      </c>
      <c r="S2149" s="19">
        <f t="shared" si="1"/>
        <v>0</v>
      </c>
      <c r="T2149" s="19">
        <f t="shared" si="8"/>
        <v>77.33349795</v>
      </c>
      <c r="U2149" s="144"/>
    </row>
    <row r="2150">
      <c r="A2150" s="107"/>
      <c r="B2150" s="8" t="s">
        <v>137</v>
      </c>
      <c r="C2150" s="8" t="s">
        <v>19</v>
      </c>
      <c r="D2150" s="8">
        <v>31.0</v>
      </c>
      <c r="E2150" s="8" t="s">
        <v>4616</v>
      </c>
      <c r="F2150" s="8" t="s">
        <v>1473</v>
      </c>
      <c r="G2150" s="8" t="s">
        <v>2660</v>
      </c>
      <c r="H2150" s="8">
        <v>0.0</v>
      </c>
      <c r="I2150" s="8" t="s">
        <v>229</v>
      </c>
      <c r="J2150" s="8" t="s">
        <v>22</v>
      </c>
      <c r="K2150" s="8" t="s">
        <v>225</v>
      </c>
      <c r="L2150" s="8" t="s">
        <v>24</v>
      </c>
      <c r="M2150" s="9">
        <v>0.25</v>
      </c>
      <c r="N2150" s="9">
        <v>0.2</v>
      </c>
      <c r="O2150" s="9">
        <v>0.2</v>
      </c>
      <c r="P2150" s="10">
        <v>45354.0</v>
      </c>
      <c r="Q2150" s="11">
        <v>1.88</v>
      </c>
      <c r="R2150" s="8" t="s">
        <v>30</v>
      </c>
      <c r="S2150" s="12">
        <f t="shared" si="1"/>
        <v>0.088</v>
      </c>
      <c r="T2150" s="12">
        <f t="shared" si="8"/>
        <v>77.42149795</v>
      </c>
      <c r="U2150" s="145"/>
    </row>
    <row r="2151">
      <c r="A2151" s="29"/>
      <c r="B2151" s="15" t="s">
        <v>18</v>
      </c>
      <c r="C2151" s="15" t="s">
        <v>19</v>
      </c>
      <c r="D2151" s="15">
        <v>22.0</v>
      </c>
      <c r="E2151" s="15" t="s">
        <v>4617</v>
      </c>
      <c r="F2151" s="15" t="s">
        <v>1473</v>
      </c>
      <c r="G2151" s="15" t="s">
        <v>2556</v>
      </c>
      <c r="H2151" s="15">
        <v>0.0</v>
      </c>
      <c r="I2151" s="15" t="s">
        <v>432</v>
      </c>
      <c r="J2151" s="15" t="s">
        <v>22</v>
      </c>
      <c r="K2151" s="15" t="s">
        <v>225</v>
      </c>
      <c r="L2151" s="15" t="s">
        <v>24</v>
      </c>
      <c r="M2151" s="16">
        <v>0.75</v>
      </c>
      <c r="N2151" s="16">
        <v>0.6</v>
      </c>
      <c r="O2151" s="16">
        <v>0.6</v>
      </c>
      <c r="P2151" s="17">
        <v>45354.0</v>
      </c>
      <c r="Q2151" s="18">
        <v>1.8</v>
      </c>
      <c r="R2151" s="15" t="s">
        <v>25</v>
      </c>
      <c r="S2151" s="19">
        <f t="shared" si="1"/>
        <v>-0.6</v>
      </c>
      <c r="T2151" s="19">
        <f t="shared" si="8"/>
        <v>76.82149795</v>
      </c>
      <c r="U2151" s="144"/>
    </row>
    <row r="2152">
      <c r="A2152" s="107"/>
      <c r="B2152" s="8" t="s">
        <v>26</v>
      </c>
      <c r="C2152" s="8" t="s">
        <v>40</v>
      </c>
      <c r="D2152" s="8">
        <v>67.0</v>
      </c>
      <c r="E2152" s="8" t="s">
        <v>4618</v>
      </c>
      <c r="F2152" s="8" t="s">
        <v>1479</v>
      </c>
      <c r="G2152" s="8" t="s">
        <v>2660</v>
      </c>
      <c r="H2152" s="8">
        <v>2</v>
      </c>
      <c r="I2152" s="8" t="s">
        <v>583</v>
      </c>
      <c r="J2152" s="8" t="s">
        <v>22</v>
      </c>
      <c r="K2152" s="8" t="s">
        <v>892</v>
      </c>
      <c r="L2152" s="8" t="s">
        <v>24</v>
      </c>
      <c r="M2152" s="9">
        <v>0.0</v>
      </c>
      <c r="N2152" s="9">
        <v>0.1</v>
      </c>
      <c r="O2152" s="9">
        <v>0.1</v>
      </c>
      <c r="P2152" s="10">
        <v>45354.0</v>
      </c>
      <c r="Q2152" s="11">
        <v>1.85</v>
      </c>
      <c r="R2152" s="8" t="s">
        <v>70</v>
      </c>
      <c r="S2152" s="12">
        <f t="shared" si="1"/>
        <v>0</v>
      </c>
      <c r="T2152" s="12">
        <f t="shared" si="8"/>
        <v>76.82149795</v>
      </c>
      <c r="U2152" s="145"/>
    </row>
    <row r="2153">
      <c r="A2153" s="29"/>
      <c r="B2153" s="15" t="s">
        <v>4225</v>
      </c>
      <c r="C2153" s="15" t="s">
        <v>19</v>
      </c>
      <c r="D2153" s="15">
        <v>82.0</v>
      </c>
      <c r="E2153" s="15" t="s">
        <v>4619</v>
      </c>
      <c r="F2153" s="15" t="s">
        <v>1479</v>
      </c>
      <c r="G2153" s="15" t="s">
        <v>2660</v>
      </c>
      <c r="H2153" s="15">
        <v>-1.0</v>
      </c>
      <c r="I2153" s="15" t="s">
        <v>229</v>
      </c>
      <c r="J2153" s="15" t="s">
        <v>22</v>
      </c>
      <c r="K2153" s="15" t="s">
        <v>892</v>
      </c>
      <c r="L2153" s="15" t="s">
        <v>24</v>
      </c>
      <c r="M2153" s="16">
        <v>0.0</v>
      </c>
      <c r="N2153" s="16">
        <v>0.6</v>
      </c>
      <c r="O2153" s="16">
        <v>0.6</v>
      </c>
      <c r="P2153" s="17">
        <v>45354.0</v>
      </c>
      <c r="Q2153" s="18">
        <v>1.9</v>
      </c>
      <c r="R2153" s="15" t="s">
        <v>25</v>
      </c>
      <c r="S2153" s="19">
        <f t="shared" si="1"/>
        <v>-0.6</v>
      </c>
      <c r="T2153" s="19">
        <f t="shared" si="8"/>
        <v>76.22149795</v>
      </c>
      <c r="U2153" s="144"/>
    </row>
    <row r="2154">
      <c r="A2154" s="107"/>
      <c r="B2154" s="8" t="s">
        <v>4225</v>
      </c>
      <c r="C2154" s="8" t="s">
        <v>40</v>
      </c>
      <c r="D2154" s="8">
        <v>84.0</v>
      </c>
      <c r="E2154" s="8" t="s">
        <v>4620</v>
      </c>
      <c r="F2154" s="8" t="s">
        <v>1473</v>
      </c>
      <c r="G2154" s="8" t="s">
        <v>2556</v>
      </c>
      <c r="H2154" s="8">
        <v>0.0</v>
      </c>
      <c r="I2154" s="8" t="s">
        <v>229</v>
      </c>
      <c r="J2154" s="8" t="s">
        <v>22</v>
      </c>
      <c r="K2154" s="8" t="s">
        <v>1165</v>
      </c>
      <c r="L2154" s="8" t="s">
        <v>24</v>
      </c>
      <c r="M2154" s="9"/>
      <c r="N2154" s="9">
        <v>0.1</v>
      </c>
      <c r="O2154" s="9">
        <v>0.1</v>
      </c>
      <c r="P2154" s="10">
        <v>45354.0</v>
      </c>
      <c r="Q2154" s="11">
        <v>7.0</v>
      </c>
      <c r="R2154" s="8" t="s">
        <v>25</v>
      </c>
      <c r="S2154" s="12">
        <f t="shared" si="1"/>
        <v>-0.1</v>
      </c>
      <c r="T2154" s="12">
        <f t="shared" si="8"/>
        <v>76.12149795</v>
      </c>
      <c r="U2154" s="145"/>
    </row>
    <row r="2155">
      <c r="A2155" s="29"/>
      <c r="B2155" s="15" t="s">
        <v>26</v>
      </c>
      <c r="C2155" s="15" t="s">
        <v>19</v>
      </c>
      <c r="D2155" s="15">
        <v>24.0</v>
      </c>
      <c r="E2155" s="15" t="s">
        <v>4621</v>
      </c>
      <c r="F2155" s="15" t="s">
        <v>1473</v>
      </c>
      <c r="G2155" s="15" t="s">
        <v>2660</v>
      </c>
      <c r="H2155" s="15">
        <v>0.0</v>
      </c>
      <c r="I2155" s="15" t="s">
        <v>93</v>
      </c>
      <c r="J2155" s="15" t="s">
        <v>22</v>
      </c>
      <c r="K2155" s="15" t="s">
        <v>892</v>
      </c>
      <c r="L2155" s="15" t="s">
        <v>24</v>
      </c>
      <c r="M2155" s="16">
        <v>0.0</v>
      </c>
      <c r="N2155" s="16">
        <v>0.2</v>
      </c>
      <c r="O2155" s="16">
        <v>0.2</v>
      </c>
      <c r="P2155" s="17">
        <v>45354.0</v>
      </c>
      <c r="Q2155" s="18">
        <v>1.975</v>
      </c>
      <c r="R2155" s="15" t="s">
        <v>70</v>
      </c>
      <c r="S2155" s="19">
        <f t="shared" si="1"/>
        <v>0</v>
      </c>
      <c r="T2155" s="19">
        <f t="shared" si="8"/>
        <v>76.12149795</v>
      </c>
      <c r="U2155" s="144"/>
    </row>
    <row r="2156">
      <c r="A2156" s="107"/>
      <c r="B2156" s="8" t="s">
        <v>26</v>
      </c>
      <c r="C2156" s="8" t="s">
        <v>19</v>
      </c>
      <c r="D2156" s="8">
        <v>28.0</v>
      </c>
      <c r="E2156" s="8" t="s">
        <v>4622</v>
      </c>
      <c r="F2156" s="8" t="s">
        <v>1473</v>
      </c>
      <c r="G2156" s="8" t="s">
        <v>2556</v>
      </c>
      <c r="H2156" s="8">
        <v>0.0</v>
      </c>
      <c r="I2156" s="8" t="s">
        <v>44</v>
      </c>
      <c r="J2156" s="8" t="s">
        <v>22</v>
      </c>
      <c r="K2156" s="8" t="s">
        <v>225</v>
      </c>
      <c r="L2156" s="8" t="s">
        <v>24</v>
      </c>
      <c r="M2156" s="9">
        <v>0.25</v>
      </c>
      <c r="N2156" s="9">
        <v>1.0</v>
      </c>
      <c r="O2156" s="9">
        <v>1.0</v>
      </c>
      <c r="P2156" s="10">
        <v>45354.0</v>
      </c>
      <c r="Q2156" s="11">
        <v>1.9</v>
      </c>
      <c r="R2156" s="8" t="s">
        <v>25</v>
      </c>
      <c r="S2156" s="12">
        <f t="shared" si="1"/>
        <v>-1</v>
      </c>
      <c r="T2156" s="12">
        <f t="shared" si="8"/>
        <v>75.12149795</v>
      </c>
      <c r="U2156" s="145"/>
    </row>
    <row r="2157">
      <c r="A2157" s="29"/>
      <c r="B2157" s="15" t="s">
        <v>4225</v>
      </c>
      <c r="C2157" s="15" t="s">
        <v>19</v>
      </c>
      <c r="D2157" s="15">
        <v>34.0</v>
      </c>
      <c r="E2157" s="15" t="s">
        <v>4623</v>
      </c>
      <c r="F2157" s="15" t="s">
        <v>1473</v>
      </c>
      <c r="G2157" s="15" t="s">
        <v>2660</v>
      </c>
      <c r="H2157" s="15">
        <v>0.0</v>
      </c>
      <c r="I2157" s="15" t="s">
        <v>1031</v>
      </c>
      <c r="J2157" s="15" t="s">
        <v>22</v>
      </c>
      <c r="K2157" s="15" t="s">
        <v>4584</v>
      </c>
      <c r="L2157" s="15" t="s">
        <v>24</v>
      </c>
      <c r="M2157" s="16">
        <v>0.0</v>
      </c>
      <c r="N2157" s="16">
        <v>0.15</v>
      </c>
      <c r="O2157" s="16">
        <v>0.15</v>
      </c>
      <c r="P2157" s="17">
        <v>45354.0</v>
      </c>
      <c r="Q2157" s="18">
        <v>2.0</v>
      </c>
      <c r="R2157" s="15" t="s">
        <v>70</v>
      </c>
      <c r="S2157" s="19">
        <f t="shared" si="1"/>
        <v>0</v>
      </c>
      <c r="T2157" s="19">
        <f t="shared" si="8"/>
        <v>75.12149795</v>
      </c>
      <c r="U2157" s="144"/>
    </row>
    <row r="2158">
      <c r="A2158" s="107"/>
      <c r="B2158" s="8" t="s">
        <v>4225</v>
      </c>
      <c r="C2158" s="8" t="s">
        <v>19</v>
      </c>
      <c r="D2158" s="8">
        <v>58.0</v>
      </c>
      <c r="E2158" s="8" t="s">
        <v>4624</v>
      </c>
      <c r="F2158" s="8" t="s">
        <v>1479</v>
      </c>
      <c r="G2158" s="8" t="s">
        <v>2556</v>
      </c>
      <c r="H2158" s="8">
        <v>0.0</v>
      </c>
      <c r="I2158" s="8" t="s">
        <v>1031</v>
      </c>
      <c r="J2158" s="8" t="s">
        <v>22</v>
      </c>
      <c r="K2158" s="8" t="s">
        <v>941</v>
      </c>
      <c r="L2158" s="8" t="s">
        <v>24</v>
      </c>
      <c r="M2158" s="9">
        <v>0.0</v>
      </c>
      <c r="N2158" s="9">
        <v>0.5</v>
      </c>
      <c r="O2158" s="9">
        <v>0.5</v>
      </c>
      <c r="P2158" s="10">
        <v>45354.0</v>
      </c>
      <c r="Q2158" s="11">
        <v>2.25</v>
      </c>
      <c r="R2158" s="8" t="s">
        <v>33</v>
      </c>
      <c r="S2158" s="12">
        <f t="shared" si="1"/>
        <v>0.625</v>
      </c>
      <c r="T2158" s="12">
        <f t="shared" si="8"/>
        <v>75.74649795</v>
      </c>
      <c r="U2158" s="145"/>
    </row>
    <row r="2159">
      <c r="A2159" s="29"/>
      <c r="B2159" s="15" t="s">
        <v>26</v>
      </c>
      <c r="C2159" s="15" t="s">
        <v>19</v>
      </c>
      <c r="D2159" s="15">
        <v>58.0</v>
      </c>
      <c r="E2159" s="15" t="s">
        <v>4624</v>
      </c>
      <c r="F2159" s="15" t="s">
        <v>1479</v>
      </c>
      <c r="G2159" s="15" t="s">
        <v>2556</v>
      </c>
      <c r="H2159" s="15">
        <v>0.0</v>
      </c>
      <c r="I2159" s="15" t="s">
        <v>1031</v>
      </c>
      <c r="J2159" s="15" t="s">
        <v>22</v>
      </c>
      <c r="K2159" s="15" t="s">
        <v>941</v>
      </c>
      <c r="L2159" s="15" t="s">
        <v>24</v>
      </c>
      <c r="M2159" s="16">
        <v>0.0</v>
      </c>
      <c r="N2159" s="16">
        <v>0.5</v>
      </c>
      <c r="O2159" s="16">
        <v>0.5</v>
      </c>
      <c r="P2159" s="17">
        <v>45354.0</v>
      </c>
      <c r="Q2159" s="18">
        <v>2.25</v>
      </c>
      <c r="R2159" s="15" t="s">
        <v>33</v>
      </c>
      <c r="S2159" s="19">
        <f t="shared" si="1"/>
        <v>0.625</v>
      </c>
      <c r="T2159" s="19">
        <f t="shared" si="8"/>
        <v>76.37149795</v>
      </c>
      <c r="U2159" s="144"/>
    </row>
    <row r="2160">
      <c r="A2160" s="107"/>
      <c r="B2160" s="8" t="s">
        <v>129</v>
      </c>
      <c r="C2160" s="8" t="s">
        <v>40</v>
      </c>
      <c r="D2160" s="8">
        <v>75.0</v>
      </c>
      <c r="E2160" s="8" t="s">
        <v>4625</v>
      </c>
      <c r="F2160" s="8" t="s">
        <v>1473</v>
      </c>
      <c r="G2160" s="8" t="s">
        <v>2556</v>
      </c>
      <c r="H2160" s="8">
        <v>0.0</v>
      </c>
      <c r="I2160" s="8" t="s">
        <v>50</v>
      </c>
      <c r="J2160" s="8" t="s">
        <v>22</v>
      </c>
      <c r="K2160" s="8" t="s">
        <v>941</v>
      </c>
      <c r="L2160" s="8" t="s">
        <v>24</v>
      </c>
      <c r="M2160" s="9">
        <v>0.0</v>
      </c>
      <c r="N2160" s="9">
        <v>0.6</v>
      </c>
      <c r="O2160" s="9">
        <v>0.6</v>
      </c>
      <c r="P2160" s="10">
        <v>45354.0</v>
      </c>
      <c r="Q2160" s="11">
        <v>2.5</v>
      </c>
      <c r="R2160" s="8" t="s">
        <v>70</v>
      </c>
      <c r="S2160" s="12">
        <f t="shared" si="1"/>
        <v>0</v>
      </c>
      <c r="T2160" s="12">
        <f t="shared" si="8"/>
        <v>76.37149795</v>
      </c>
      <c r="U2160" s="145"/>
    </row>
    <row r="2161">
      <c r="A2161" s="29"/>
      <c r="B2161" s="15" t="s">
        <v>129</v>
      </c>
      <c r="C2161" s="15" t="s">
        <v>19</v>
      </c>
      <c r="D2161" s="15">
        <v>20.0</v>
      </c>
      <c r="E2161" s="15" t="s">
        <v>4626</v>
      </c>
      <c r="F2161" s="15" t="s">
        <v>1479</v>
      </c>
      <c r="G2161" s="15" t="s">
        <v>2660</v>
      </c>
      <c r="H2161" s="15">
        <v>0.0</v>
      </c>
      <c r="I2161" s="15" t="s">
        <v>224</v>
      </c>
      <c r="J2161" s="15" t="s">
        <v>22</v>
      </c>
      <c r="K2161" s="15" t="s">
        <v>4584</v>
      </c>
      <c r="L2161" s="15" t="s">
        <v>24</v>
      </c>
      <c r="M2161" s="16">
        <v>0.0</v>
      </c>
      <c r="N2161" s="16">
        <v>0.2</v>
      </c>
      <c r="O2161" s="16">
        <v>0.2</v>
      </c>
      <c r="P2161" s="17">
        <v>45354.0</v>
      </c>
      <c r="Q2161" s="18">
        <v>1.7</v>
      </c>
      <c r="R2161" s="15" t="s">
        <v>70</v>
      </c>
      <c r="S2161" s="19">
        <f t="shared" si="1"/>
        <v>0</v>
      </c>
      <c r="T2161" s="19">
        <f t="shared" si="8"/>
        <v>76.37149795</v>
      </c>
      <c r="U2161" s="144"/>
    </row>
    <row r="2162">
      <c r="A2162" s="107"/>
      <c r="B2162" s="8" t="s">
        <v>26</v>
      </c>
      <c r="C2162" s="8" t="s">
        <v>19</v>
      </c>
      <c r="D2162" s="8">
        <v>40.0</v>
      </c>
      <c r="E2162" s="8" t="s">
        <v>4627</v>
      </c>
      <c r="F2162" s="8" t="s">
        <v>1479</v>
      </c>
      <c r="G2162" s="8" t="s">
        <v>2660</v>
      </c>
      <c r="H2162" s="8">
        <v>0.0</v>
      </c>
      <c r="I2162" s="8" t="s">
        <v>66</v>
      </c>
      <c r="J2162" s="8" t="s">
        <v>22</v>
      </c>
      <c r="K2162" s="8" t="s">
        <v>892</v>
      </c>
      <c r="L2162" s="8" t="s">
        <v>24</v>
      </c>
      <c r="M2162" s="9">
        <v>0.0</v>
      </c>
      <c r="N2162" s="9">
        <v>0.6</v>
      </c>
      <c r="O2162" s="9">
        <v>0.6</v>
      </c>
      <c r="P2162" s="10">
        <v>45354.0</v>
      </c>
      <c r="Q2162" s="11">
        <v>1.975</v>
      </c>
      <c r="R2162" s="8" t="s">
        <v>25</v>
      </c>
      <c r="S2162" s="12">
        <f t="shared" si="1"/>
        <v>-0.6</v>
      </c>
      <c r="T2162" s="12">
        <f t="shared" si="8"/>
        <v>75.77149795</v>
      </c>
      <c r="U2162" s="145"/>
    </row>
    <row r="2163">
      <c r="A2163" s="29"/>
      <c r="B2163" s="15" t="s">
        <v>129</v>
      </c>
      <c r="C2163" s="15" t="s">
        <v>19</v>
      </c>
      <c r="D2163" s="15">
        <v>45.0</v>
      </c>
      <c r="E2163" s="15" t="s">
        <v>4628</v>
      </c>
      <c r="F2163" s="15" t="s">
        <v>1473</v>
      </c>
      <c r="G2163" s="15"/>
      <c r="H2163" s="15">
        <v>2</v>
      </c>
      <c r="I2163" s="15" t="s">
        <v>191</v>
      </c>
      <c r="J2163" s="15" t="s">
        <v>22</v>
      </c>
      <c r="K2163" s="15" t="s">
        <v>440</v>
      </c>
      <c r="L2163" s="15" t="s">
        <v>24</v>
      </c>
      <c r="M2163" s="16">
        <v>2.5</v>
      </c>
      <c r="N2163" s="16">
        <v>0.1</v>
      </c>
      <c r="O2163" s="16">
        <v>0.1</v>
      </c>
      <c r="P2163" s="17">
        <v>45354.0</v>
      </c>
      <c r="Q2163" s="18">
        <v>5.5</v>
      </c>
      <c r="R2163" s="15" t="s">
        <v>25</v>
      </c>
      <c r="S2163" s="19">
        <f t="shared" si="1"/>
        <v>-0.1</v>
      </c>
      <c r="T2163" s="19">
        <f t="shared" si="8"/>
        <v>75.67149795</v>
      </c>
      <c r="U2163" s="144"/>
    </row>
    <row r="2164">
      <c r="A2164" s="107"/>
      <c r="B2164" s="8" t="s">
        <v>26</v>
      </c>
      <c r="C2164" s="8" t="s">
        <v>19</v>
      </c>
      <c r="D2164" s="8">
        <v>50.0</v>
      </c>
      <c r="E2164" s="8" t="s">
        <v>4629</v>
      </c>
      <c r="F2164" s="8"/>
      <c r="G2164" s="8"/>
      <c r="H2164" s="8">
        <v>0.0</v>
      </c>
      <c r="I2164" s="8" t="s">
        <v>93</v>
      </c>
      <c r="J2164" s="8" t="s">
        <v>22</v>
      </c>
      <c r="K2164" s="8" t="s">
        <v>440</v>
      </c>
      <c r="L2164" s="8" t="s">
        <v>39</v>
      </c>
      <c r="M2164" s="9">
        <v>0.75</v>
      </c>
      <c r="N2164" s="9">
        <v>0.5</v>
      </c>
      <c r="O2164" s="9">
        <v>0.5</v>
      </c>
      <c r="P2164" s="10">
        <v>45354.0</v>
      </c>
      <c r="Q2164" s="11">
        <f>1.75</f>
        <v>1.75</v>
      </c>
      <c r="R2164" s="8" t="s">
        <v>33</v>
      </c>
      <c r="S2164" s="12">
        <f t="shared" si="1"/>
        <v>0.375</v>
      </c>
      <c r="T2164" s="12">
        <f t="shared" si="8"/>
        <v>76.04649795</v>
      </c>
      <c r="U2164" s="145"/>
    </row>
    <row r="2165">
      <c r="A2165" s="29"/>
      <c r="B2165" s="15" t="s">
        <v>26</v>
      </c>
      <c r="C2165" s="15" t="s">
        <v>19</v>
      </c>
      <c r="D2165" s="15">
        <v>69.0</v>
      </c>
      <c r="E2165" s="15" t="s">
        <v>4630</v>
      </c>
      <c r="F2165" s="15" t="s">
        <v>1473</v>
      </c>
      <c r="G2165" s="15" t="s">
        <v>2660</v>
      </c>
      <c r="H2165" s="15">
        <v>0.0</v>
      </c>
      <c r="I2165" s="15" t="s">
        <v>66</v>
      </c>
      <c r="J2165" s="15" t="s">
        <v>22</v>
      </c>
      <c r="K2165" s="15" t="s">
        <v>892</v>
      </c>
      <c r="L2165" s="15" t="s">
        <v>24</v>
      </c>
      <c r="M2165" s="16">
        <v>0.0</v>
      </c>
      <c r="N2165" s="16">
        <v>0.2</v>
      </c>
      <c r="O2165" s="16">
        <v>0.2</v>
      </c>
      <c r="P2165" s="17">
        <v>45354.0</v>
      </c>
      <c r="Q2165" s="18">
        <v>1.85</v>
      </c>
      <c r="R2165" s="15" t="s">
        <v>33</v>
      </c>
      <c r="S2165" s="19">
        <f t="shared" si="1"/>
        <v>0.17</v>
      </c>
      <c r="T2165" s="19">
        <f t="shared" si="8"/>
        <v>76.21649795</v>
      </c>
      <c r="U2165" s="144"/>
    </row>
    <row r="2166">
      <c r="A2166" s="107"/>
      <c r="B2166" s="8" t="s">
        <v>26</v>
      </c>
      <c r="C2166" s="8" t="s">
        <v>19</v>
      </c>
      <c r="D2166" s="8">
        <v>63.0</v>
      </c>
      <c r="E2166" s="8" t="s">
        <v>4631</v>
      </c>
      <c r="F2166" s="8" t="s">
        <v>1473</v>
      </c>
      <c r="G2166" s="8" t="s">
        <v>2660</v>
      </c>
      <c r="H2166" s="8">
        <v>-1.0</v>
      </c>
      <c r="I2166" s="8" t="s">
        <v>93</v>
      </c>
      <c r="J2166" s="8" t="s">
        <v>22</v>
      </c>
      <c r="K2166" s="8" t="s">
        <v>892</v>
      </c>
      <c r="L2166" s="8" t="s">
        <v>24</v>
      </c>
      <c r="M2166" s="9">
        <v>0.0</v>
      </c>
      <c r="N2166" s="9">
        <v>1.0</v>
      </c>
      <c r="O2166" s="9">
        <v>1.0</v>
      </c>
      <c r="P2166" s="10">
        <v>45354.0</v>
      </c>
      <c r="Q2166" s="11">
        <v>1.9</v>
      </c>
      <c r="R2166" s="8" t="s">
        <v>25</v>
      </c>
      <c r="S2166" s="12">
        <f t="shared" si="1"/>
        <v>-1</v>
      </c>
      <c r="T2166" s="12">
        <f t="shared" si="8"/>
        <v>75.21649795</v>
      </c>
      <c r="U2166" s="145"/>
    </row>
    <row r="2167">
      <c r="A2167" s="29"/>
      <c r="B2167" s="15" t="s">
        <v>137</v>
      </c>
      <c r="C2167" s="15" t="s">
        <v>19</v>
      </c>
      <c r="D2167" s="15">
        <v>73.0</v>
      </c>
      <c r="E2167" s="15" t="s">
        <v>4632</v>
      </c>
      <c r="F2167" s="15" t="s">
        <v>1473</v>
      </c>
      <c r="G2167" s="15" t="s">
        <v>2556</v>
      </c>
      <c r="H2167" s="15">
        <v>0.0</v>
      </c>
      <c r="I2167" s="15" t="s">
        <v>42</v>
      </c>
      <c r="J2167" s="15" t="s">
        <v>22</v>
      </c>
      <c r="K2167" s="15" t="s">
        <v>941</v>
      </c>
      <c r="L2167" s="15" t="s">
        <v>24</v>
      </c>
      <c r="M2167" s="16">
        <v>0.0</v>
      </c>
      <c r="N2167" s="16">
        <v>0.4</v>
      </c>
      <c r="O2167" s="16">
        <v>0.2972</v>
      </c>
      <c r="P2167" s="17">
        <v>45354.0</v>
      </c>
      <c r="Q2167" s="18">
        <v>2.2</v>
      </c>
      <c r="R2167" s="15" t="s">
        <v>70</v>
      </c>
      <c r="S2167" s="19">
        <f t="shared" si="1"/>
        <v>0</v>
      </c>
      <c r="T2167" s="19">
        <f t="shared" si="8"/>
        <v>75.21649795</v>
      </c>
      <c r="U2167" s="144"/>
    </row>
    <row r="2168">
      <c r="A2168" s="107"/>
      <c r="B2168" s="8" t="s">
        <v>129</v>
      </c>
      <c r="C2168" s="8" t="s">
        <v>19</v>
      </c>
      <c r="D2168" s="8">
        <v>75.0</v>
      </c>
      <c r="E2168" s="8" t="s">
        <v>4633</v>
      </c>
      <c r="F2168" s="8" t="s">
        <v>1473</v>
      </c>
      <c r="G2168" s="8" t="s">
        <v>2660</v>
      </c>
      <c r="H2168" s="8">
        <v>-1.0</v>
      </c>
      <c r="I2168" s="8" t="s">
        <v>703</v>
      </c>
      <c r="J2168" s="8" t="s">
        <v>22</v>
      </c>
      <c r="K2168" s="8" t="s">
        <v>892</v>
      </c>
      <c r="L2168" s="8" t="s">
        <v>24</v>
      </c>
      <c r="M2168" s="9">
        <v>0.0</v>
      </c>
      <c r="N2168" s="9">
        <v>0.6</v>
      </c>
      <c r="O2168" s="9">
        <v>0.6</v>
      </c>
      <c r="P2168" s="10">
        <v>45355.0</v>
      </c>
      <c r="Q2168" s="11">
        <v>1.725</v>
      </c>
      <c r="R2168" s="8" t="s">
        <v>70</v>
      </c>
      <c r="S2168" s="12">
        <f t="shared" si="1"/>
        <v>0</v>
      </c>
      <c r="T2168" s="12">
        <f t="shared" si="8"/>
        <v>75.21649795</v>
      </c>
      <c r="U2168" s="145"/>
    </row>
    <row r="2169">
      <c r="A2169" s="29"/>
      <c r="B2169" s="15" t="s">
        <v>129</v>
      </c>
      <c r="C2169" s="15" t="s">
        <v>19</v>
      </c>
      <c r="D2169" s="15">
        <v>70.0</v>
      </c>
      <c r="E2169" s="15" t="s">
        <v>4634</v>
      </c>
      <c r="F2169" s="15" t="s">
        <v>1473</v>
      </c>
      <c r="G2169" s="15" t="s">
        <v>2556</v>
      </c>
      <c r="H2169" s="15">
        <v>0.0</v>
      </c>
      <c r="I2169" s="15" t="s">
        <v>162</v>
      </c>
      <c r="J2169" s="15" t="s">
        <v>22</v>
      </c>
      <c r="K2169" s="15" t="s">
        <v>225</v>
      </c>
      <c r="L2169" s="15" t="s">
        <v>24</v>
      </c>
      <c r="M2169" s="16">
        <v>0.25</v>
      </c>
      <c r="N2169" s="16">
        <v>0.5</v>
      </c>
      <c r="O2169" s="16">
        <v>0.5</v>
      </c>
      <c r="P2169" s="55">
        <v>45355.0</v>
      </c>
      <c r="Q2169" s="18">
        <v>1.9</v>
      </c>
      <c r="R2169" s="15" t="s">
        <v>30</v>
      </c>
      <c r="S2169" s="19">
        <f t="shared" si="1"/>
        <v>0.225</v>
      </c>
      <c r="T2169" s="19">
        <f t="shared" si="8"/>
        <v>75.44149795</v>
      </c>
      <c r="U2169" s="144"/>
    </row>
    <row r="2170">
      <c r="A2170" s="107"/>
      <c r="B2170" s="8" t="s">
        <v>26</v>
      </c>
      <c r="C2170" s="8" t="s">
        <v>19</v>
      </c>
      <c r="D2170" s="8">
        <v>37.0</v>
      </c>
      <c r="E2170" s="8" t="s">
        <v>4635</v>
      </c>
      <c r="F2170" s="8" t="s">
        <v>1479</v>
      </c>
      <c r="G2170" s="8" t="s">
        <v>2660</v>
      </c>
      <c r="H2170" s="8">
        <v>0.0</v>
      </c>
      <c r="I2170" s="8" t="s">
        <v>231</v>
      </c>
      <c r="J2170" s="8" t="s">
        <v>22</v>
      </c>
      <c r="K2170" s="8" t="s">
        <v>4584</v>
      </c>
      <c r="L2170" s="8" t="s">
        <v>24</v>
      </c>
      <c r="M2170" s="9">
        <v>0.0</v>
      </c>
      <c r="N2170" s="9">
        <v>1.0</v>
      </c>
      <c r="O2170" s="9">
        <v>1.0</v>
      </c>
      <c r="P2170" s="10">
        <v>45356.0</v>
      </c>
      <c r="Q2170" s="11">
        <v>1.75</v>
      </c>
      <c r="R2170" s="8" t="s">
        <v>70</v>
      </c>
      <c r="S2170" s="12">
        <f t="shared" si="1"/>
        <v>0</v>
      </c>
      <c r="T2170" s="12">
        <f t="shared" si="8"/>
        <v>75.44149795</v>
      </c>
      <c r="U2170" s="145"/>
    </row>
    <row r="2171">
      <c r="A2171" s="29"/>
      <c r="B2171" s="15" t="s">
        <v>4225</v>
      </c>
      <c r="C2171" s="15" t="s">
        <v>19</v>
      </c>
      <c r="D2171" s="15">
        <v>32.0</v>
      </c>
      <c r="E2171" s="15" t="s">
        <v>4636</v>
      </c>
      <c r="F2171" s="15" t="s">
        <v>1479</v>
      </c>
      <c r="G2171" s="15" t="s">
        <v>2660</v>
      </c>
      <c r="H2171" s="15">
        <v>-1.0</v>
      </c>
      <c r="I2171" s="15" t="s">
        <v>248</v>
      </c>
      <c r="J2171" s="15" t="s">
        <v>22</v>
      </c>
      <c r="K2171" s="15" t="s">
        <v>4584</v>
      </c>
      <c r="L2171" s="15" t="s">
        <v>24</v>
      </c>
      <c r="M2171" s="16">
        <v>0.0</v>
      </c>
      <c r="N2171" s="16">
        <v>0.8</v>
      </c>
      <c r="O2171" s="16">
        <v>0.8</v>
      </c>
      <c r="P2171" s="55">
        <v>45356.0</v>
      </c>
      <c r="Q2171" s="18">
        <v>1.9</v>
      </c>
      <c r="R2171" s="15" t="s">
        <v>70</v>
      </c>
      <c r="S2171" s="19">
        <f t="shared" si="1"/>
        <v>0</v>
      </c>
      <c r="T2171" s="19">
        <f t="shared" si="8"/>
        <v>75.44149795</v>
      </c>
      <c r="U2171" s="144"/>
    </row>
    <row r="2172">
      <c r="A2172" s="107"/>
      <c r="B2172" s="8" t="s">
        <v>4225</v>
      </c>
      <c r="C2172" s="8" t="s">
        <v>40</v>
      </c>
      <c r="D2172" s="8">
        <v>63.0</v>
      </c>
      <c r="E2172" s="8" t="s">
        <v>4637</v>
      </c>
      <c r="F2172" s="8" t="s">
        <v>1479</v>
      </c>
      <c r="G2172" s="8" t="s">
        <v>2660</v>
      </c>
      <c r="H2172" s="8">
        <v>-1.0</v>
      </c>
      <c r="I2172" s="8" t="s">
        <v>44</v>
      </c>
      <c r="J2172" s="8" t="s">
        <v>22</v>
      </c>
      <c r="K2172" s="8" t="s">
        <v>892</v>
      </c>
      <c r="L2172" s="8" t="s">
        <v>24</v>
      </c>
      <c r="M2172" s="9">
        <v>0.0</v>
      </c>
      <c r="N2172" s="9">
        <v>0.5</v>
      </c>
      <c r="O2172" s="9">
        <v>0.4</v>
      </c>
      <c r="P2172" s="10">
        <v>45356.0</v>
      </c>
      <c r="Q2172" s="11">
        <v>1.775</v>
      </c>
      <c r="R2172" s="8" t="s">
        <v>70</v>
      </c>
      <c r="S2172" s="12">
        <f t="shared" si="1"/>
        <v>0</v>
      </c>
      <c r="T2172" s="12">
        <f t="shared" si="8"/>
        <v>75.44149795</v>
      </c>
      <c r="U2172" s="145"/>
    </row>
    <row r="2173">
      <c r="A2173" s="29"/>
      <c r="B2173" s="15" t="s">
        <v>26</v>
      </c>
      <c r="C2173" s="15" t="s">
        <v>19</v>
      </c>
      <c r="D2173" s="15">
        <v>30.0</v>
      </c>
      <c r="E2173" s="15" t="s">
        <v>4638</v>
      </c>
      <c r="F2173" s="15" t="s">
        <v>1473</v>
      </c>
      <c r="G2173" s="15" t="s">
        <v>2556</v>
      </c>
      <c r="H2173" s="15">
        <v>0.0</v>
      </c>
      <c r="I2173" s="15" t="s">
        <v>82</v>
      </c>
      <c r="J2173" s="15" t="s">
        <v>22</v>
      </c>
      <c r="K2173" s="15" t="s">
        <v>225</v>
      </c>
      <c r="L2173" s="15" t="s">
        <v>24</v>
      </c>
      <c r="M2173" s="16">
        <v>0.25</v>
      </c>
      <c r="N2173" s="16">
        <v>0.6</v>
      </c>
      <c r="O2173" s="16">
        <v>0.6</v>
      </c>
      <c r="P2173" s="17">
        <v>45356.0</v>
      </c>
      <c r="Q2173" s="18">
        <v>1.925</v>
      </c>
      <c r="R2173" s="15" t="s">
        <v>30</v>
      </c>
      <c r="S2173" s="19">
        <f t="shared" si="1"/>
        <v>0.2775</v>
      </c>
      <c r="T2173" s="19">
        <f t="shared" si="8"/>
        <v>75.71899795</v>
      </c>
      <c r="U2173" s="144"/>
    </row>
    <row r="2174">
      <c r="A2174" s="107"/>
      <c r="B2174" s="8" t="s">
        <v>26</v>
      </c>
      <c r="C2174" s="8" t="s">
        <v>19</v>
      </c>
      <c r="D2174" s="8">
        <v>80.0</v>
      </c>
      <c r="E2174" s="8" t="s">
        <v>4639</v>
      </c>
      <c r="F2174" s="8" t="s">
        <v>1479</v>
      </c>
      <c r="G2174" s="8" t="s">
        <v>2556</v>
      </c>
      <c r="H2174" s="8">
        <v>0.0</v>
      </c>
      <c r="I2174" s="8" t="s">
        <v>82</v>
      </c>
      <c r="J2174" s="8" t="s">
        <v>22</v>
      </c>
      <c r="K2174" s="8" t="s">
        <v>1847</v>
      </c>
      <c r="L2174" s="8" t="s">
        <v>24</v>
      </c>
      <c r="M2174" s="9">
        <v>-0.5</v>
      </c>
      <c r="N2174" s="9">
        <v>0.1</v>
      </c>
      <c r="O2174" s="9">
        <v>0.1</v>
      </c>
      <c r="P2174" s="10">
        <v>45356.0</v>
      </c>
      <c r="Q2174" s="11">
        <v>4.33</v>
      </c>
      <c r="R2174" s="8" t="s">
        <v>25</v>
      </c>
      <c r="S2174" s="12">
        <f t="shared" si="1"/>
        <v>-0.1</v>
      </c>
      <c r="T2174" s="12">
        <f t="shared" si="8"/>
        <v>75.61899795</v>
      </c>
      <c r="U2174" s="145"/>
    </row>
    <row r="2175">
      <c r="A2175" s="29"/>
      <c r="B2175" s="15" t="s">
        <v>129</v>
      </c>
      <c r="C2175" s="15" t="s">
        <v>19</v>
      </c>
      <c r="D2175" s="15">
        <v>81.0</v>
      </c>
      <c r="E2175" s="15" t="s">
        <v>4640</v>
      </c>
      <c r="F2175" s="15" t="s">
        <v>1473</v>
      </c>
      <c r="G2175" s="15" t="s">
        <v>2660</v>
      </c>
      <c r="H2175" s="15">
        <v>-1.0</v>
      </c>
      <c r="I2175" s="15" t="s">
        <v>923</v>
      </c>
      <c r="J2175" s="15" t="s">
        <v>22</v>
      </c>
      <c r="K2175" s="15" t="s">
        <v>892</v>
      </c>
      <c r="L2175" s="15" t="s">
        <v>24</v>
      </c>
      <c r="M2175" s="16">
        <v>0.0</v>
      </c>
      <c r="N2175" s="16">
        <v>0.6</v>
      </c>
      <c r="O2175" s="16">
        <v>0.6</v>
      </c>
      <c r="P2175" s="17">
        <v>45357.0</v>
      </c>
      <c r="Q2175" s="18">
        <v>1.675</v>
      </c>
      <c r="R2175" s="15" t="s">
        <v>33</v>
      </c>
      <c r="S2175" s="19">
        <f t="shared" si="1"/>
        <v>0.405</v>
      </c>
      <c r="T2175" s="19">
        <f t="shared" si="8"/>
        <v>76.02399795</v>
      </c>
      <c r="U2175" s="144"/>
    </row>
    <row r="2176">
      <c r="A2176" s="107"/>
      <c r="B2176" s="8" t="s">
        <v>18</v>
      </c>
      <c r="C2176" s="8" t="s">
        <v>19</v>
      </c>
      <c r="D2176" s="8">
        <v>67.0</v>
      </c>
      <c r="E2176" s="8" t="s">
        <v>4641</v>
      </c>
      <c r="F2176" s="8" t="s">
        <v>1473</v>
      </c>
      <c r="G2176" s="8" t="s">
        <v>2660</v>
      </c>
      <c r="H2176" s="8">
        <v>-1.0</v>
      </c>
      <c r="I2176" s="8" t="s">
        <v>853</v>
      </c>
      <c r="J2176" s="8" t="s">
        <v>22</v>
      </c>
      <c r="K2176" s="8" t="s">
        <v>892</v>
      </c>
      <c r="L2176" s="8" t="s">
        <v>24</v>
      </c>
      <c r="M2176" s="9">
        <v>0.0</v>
      </c>
      <c r="N2176" s="9">
        <v>1.0</v>
      </c>
      <c r="O2176" s="9">
        <v>1.0</v>
      </c>
      <c r="P2176" s="10">
        <v>45357.0</v>
      </c>
      <c r="Q2176" s="11">
        <v>1.9</v>
      </c>
      <c r="R2176" s="8" t="s">
        <v>70</v>
      </c>
      <c r="S2176" s="12">
        <f t="shared" si="1"/>
        <v>0</v>
      </c>
      <c r="T2176" s="12">
        <f t="shared" si="8"/>
        <v>76.02399795</v>
      </c>
      <c r="U2176" s="145"/>
    </row>
    <row r="2177">
      <c r="A2177" s="29"/>
      <c r="B2177" s="15" t="s">
        <v>4225</v>
      </c>
      <c r="C2177" s="15" t="s">
        <v>19</v>
      </c>
      <c r="D2177" s="15">
        <v>0.0</v>
      </c>
      <c r="E2177" s="15" t="s">
        <v>4642</v>
      </c>
      <c r="F2177" s="15" t="s">
        <v>1473</v>
      </c>
      <c r="G2177" s="15" t="s">
        <v>2660</v>
      </c>
      <c r="H2177" s="15">
        <v>0.0</v>
      </c>
      <c r="I2177" s="15" t="s">
        <v>873</v>
      </c>
      <c r="J2177" s="15" t="s">
        <v>598</v>
      </c>
      <c r="K2177" s="15" t="s">
        <v>892</v>
      </c>
      <c r="L2177" s="15" t="s">
        <v>1851</v>
      </c>
      <c r="M2177" s="16">
        <v>0.0</v>
      </c>
      <c r="N2177" s="16">
        <v>0.1</v>
      </c>
      <c r="O2177" s="16">
        <v>0.1</v>
      </c>
      <c r="P2177" s="17">
        <v>45357.0</v>
      </c>
      <c r="Q2177" s="18">
        <v>1.725</v>
      </c>
      <c r="R2177" s="15" t="s">
        <v>33</v>
      </c>
      <c r="S2177" s="19">
        <f t="shared" si="1"/>
        <v>0.0725</v>
      </c>
      <c r="T2177" s="19">
        <f t="shared" si="8"/>
        <v>76.09649795</v>
      </c>
      <c r="U2177" s="144"/>
    </row>
    <row r="2178">
      <c r="A2178" s="107"/>
      <c r="B2178" s="8" t="s">
        <v>129</v>
      </c>
      <c r="C2178" s="8" t="s">
        <v>40</v>
      </c>
      <c r="D2178" s="8">
        <v>57.0</v>
      </c>
      <c r="E2178" s="8" t="s">
        <v>4643</v>
      </c>
      <c r="F2178" s="8" t="s">
        <v>1473</v>
      </c>
      <c r="G2178" s="8" t="s">
        <v>2660</v>
      </c>
      <c r="H2178" s="8">
        <f>1</f>
        <v>1</v>
      </c>
      <c r="I2178" s="8" t="s">
        <v>4644</v>
      </c>
      <c r="J2178" s="8" t="s">
        <v>22</v>
      </c>
      <c r="K2178" s="8" t="s">
        <v>892</v>
      </c>
      <c r="L2178" s="8" t="s">
        <v>24</v>
      </c>
      <c r="M2178" s="9">
        <v>0.0</v>
      </c>
      <c r="N2178" s="9">
        <v>1.0</v>
      </c>
      <c r="O2178" s="9">
        <v>1.0</v>
      </c>
      <c r="P2178" s="10">
        <v>45357.0</v>
      </c>
      <c r="Q2178" s="11">
        <v>1.775</v>
      </c>
      <c r="R2178" s="8" t="s">
        <v>70</v>
      </c>
      <c r="S2178" s="12">
        <f t="shared" si="1"/>
        <v>0</v>
      </c>
      <c r="T2178" s="12">
        <f t="shared" si="8"/>
        <v>76.09649795</v>
      </c>
      <c r="U2178" s="145"/>
    </row>
    <row r="2179">
      <c r="A2179" s="29"/>
      <c r="B2179" s="15" t="s">
        <v>26</v>
      </c>
      <c r="C2179" s="15" t="s">
        <v>19</v>
      </c>
      <c r="D2179" s="15">
        <v>74.0</v>
      </c>
      <c r="E2179" s="15" t="s">
        <v>1108</v>
      </c>
      <c r="F2179" s="15" t="s">
        <v>1473</v>
      </c>
      <c r="G2179" s="15" t="s">
        <v>2660</v>
      </c>
      <c r="H2179" s="15">
        <v>0.0</v>
      </c>
      <c r="I2179" s="15" t="s">
        <v>174</v>
      </c>
      <c r="J2179" s="15" t="s">
        <v>22</v>
      </c>
      <c r="K2179" s="15" t="s">
        <v>892</v>
      </c>
      <c r="L2179" s="15" t="s">
        <v>24</v>
      </c>
      <c r="M2179" s="16">
        <v>0.0</v>
      </c>
      <c r="N2179" s="16">
        <v>0.6</v>
      </c>
      <c r="O2179" s="16">
        <v>0.6</v>
      </c>
      <c r="P2179" s="17">
        <v>45357.0</v>
      </c>
      <c r="Q2179" s="18">
        <v>2.25</v>
      </c>
      <c r="R2179" s="15" t="s">
        <v>70</v>
      </c>
      <c r="S2179" s="19">
        <f t="shared" si="1"/>
        <v>0</v>
      </c>
      <c r="T2179" s="19">
        <f t="shared" si="8"/>
        <v>76.09649795</v>
      </c>
      <c r="U2179" s="144"/>
    </row>
    <row r="2180">
      <c r="A2180" s="107"/>
      <c r="B2180" s="8" t="s">
        <v>4225</v>
      </c>
      <c r="C2180" s="8" t="s">
        <v>19</v>
      </c>
      <c r="D2180" s="8">
        <v>0.0</v>
      </c>
      <c r="E2180" s="8" t="s">
        <v>4645</v>
      </c>
      <c r="F2180" s="8" t="s">
        <v>1473</v>
      </c>
      <c r="G2180" s="8" t="s">
        <v>2556</v>
      </c>
      <c r="H2180" s="8">
        <v>0.0</v>
      </c>
      <c r="I2180" s="8" t="s">
        <v>1961</v>
      </c>
      <c r="J2180" s="8" t="s">
        <v>598</v>
      </c>
      <c r="K2180" s="8" t="s">
        <v>225</v>
      </c>
      <c r="L2180" s="8" t="s">
        <v>1851</v>
      </c>
      <c r="M2180" s="9">
        <v>2.25</v>
      </c>
      <c r="N2180" s="9">
        <v>0.1</v>
      </c>
      <c r="O2180" s="9">
        <v>0.1</v>
      </c>
      <c r="P2180" s="54">
        <v>45357.0</v>
      </c>
      <c r="Q2180" s="11">
        <v>1.89</v>
      </c>
      <c r="R2180" s="8" t="s">
        <v>30</v>
      </c>
      <c r="S2180" s="12">
        <f t="shared" si="1"/>
        <v>0.0445</v>
      </c>
      <c r="T2180" s="12">
        <f t="shared" si="8"/>
        <v>76.14099795</v>
      </c>
      <c r="U2180" s="145"/>
    </row>
    <row r="2181">
      <c r="A2181" s="29"/>
      <c r="B2181" s="15" t="s">
        <v>18</v>
      </c>
      <c r="C2181" s="15" t="s">
        <v>19</v>
      </c>
      <c r="D2181" s="15">
        <v>87.0</v>
      </c>
      <c r="E2181" s="15" t="s">
        <v>4646</v>
      </c>
      <c r="F2181" s="15" t="s">
        <v>1473</v>
      </c>
      <c r="G2181" s="15" t="s">
        <v>2660</v>
      </c>
      <c r="H2181" s="15">
        <v>-1.0</v>
      </c>
      <c r="I2181" s="15" t="s">
        <v>82</v>
      </c>
      <c r="J2181" s="15" t="s">
        <v>22</v>
      </c>
      <c r="K2181" s="15" t="s">
        <v>892</v>
      </c>
      <c r="L2181" s="15" t="s">
        <v>24</v>
      </c>
      <c r="M2181" s="16">
        <v>0.0</v>
      </c>
      <c r="N2181" s="16">
        <v>0.5</v>
      </c>
      <c r="O2181" s="16">
        <v>0.5</v>
      </c>
      <c r="P2181" s="17">
        <v>45357.0</v>
      </c>
      <c r="Q2181" s="18">
        <v>1.875</v>
      </c>
      <c r="R2181" s="15" t="s">
        <v>70</v>
      </c>
      <c r="S2181" s="19">
        <f t="shared" si="1"/>
        <v>0</v>
      </c>
      <c r="T2181" s="19">
        <f t="shared" si="8"/>
        <v>76.14099795</v>
      </c>
      <c r="U2181" s="144"/>
    </row>
    <row r="2182">
      <c r="A2182" s="107"/>
      <c r="B2182" s="8" t="s">
        <v>4225</v>
      </c>
      <c r="C2182" s="8" t="s">
        <v>19</v>
      </c>
      <c r="D2182" s="8">
        <v>85.0</v>
      </c>
      <c r="E2182" s="8" t="s">
        <v>4647</v>
      </c>
      <c r="F2182" s="8" t="s">
        <v>1479</v>
      </c>
      <c r="G2182" s="8" t="s">
        <v>2573</v>
      </c>
      <c r="H2182" s="8">
        <v>2</v>
      </c>
      <c r="I2182" s="8" t="s">
        <v>1961</v>
      </c>
      <c r="J2182" s="8" t="s">
        <v>22</v>
      </c>
      <c r="K2182" s="8" t="s">
        <v>894</v>
      </c>
      <c r="L2182" s="8" t="s">
        <v>39</v>
      </c>
      <c r="M2182" s="9">
        <v>-0.25</v>
      </c>
      <c r="N2182" s="9">
        <v>0.03</v>
      </c>
      <c r="O2182" s="9">
        <v>0.03</v>
      </c>
      <c r="P2182" s="10">
        <v>45357.0</v>
      </c>
      <c r="Q2182" s="11">
        <v>4.25</v>
      </c>
      <c r="R2182" s="8" t="s">
        <v>25</v>
      </c>
      <c r="S2182" s="12">
        <f t="shared" si="1"/>
        <v>-0.03</v>
      </c>
      <c r="T2182" s="12">
        <f t="shared" si="8"/>
        <v>76.11099795</v>
      </c>
      <c r="U2182" s="145"/>
    </row>
    <row r="2183">
      <c r="A2183" s="29"/>
      <c r="B2183" s="15" t="s">
        <v>4225</v>
      </c>
      <c r="C2183" s="15" t="s">
        <v>19</v>
      </c>
      <c r="D2183" s="15">
        <v>68.0</v>
      </c>
      <c r="E2183" s="15" t="s">
        <v>4648</v>
      </c>
      <c r="F2183" s="15" t="s">
        <v>1473</v>
      </c>
      <c r="G2183" s="15" t="s">
        <v>2660</v>
      </c>
      <c r="H2183" s="15">
        <v>0.0</v>
      </c>
      <c r="I2183" s="15" t="s">
        <v>675</v>
      </c>
      <c r="J2183" s="15" t="s">
        <v>22</v>
      </c>
      <c r="K2183" s="15" t="s">
        <v>892</v>
      </c>
      <c r="L2183" s="15" t="s">
        <v>24</v>
      </c>
      <c r="M2183" s="16">
        <v>0.0</v>
      </c>
      <c r="N2183" s="16">
        <v>0.5</v>
      </c>
      <c r="O2183" s="16">
        <v>0.5</v>
      </c>
      <c r="P2183" s="17">
        <v>45358.0</v>
      </c>
      <c r="Q2183" s="18">
        <v>1.9</v>
      </c>
      <c r="R2183" s="15" t="s">
        <v>33</v>
      </c>
      <c r="S2183" s="19">
        <f t="shared" si="1"/>
        <v>0.45</v>
      </c>
      <c r="T2183" s="19">
        <f t="shared" si="8"/>
        <v>76.56099795</v>
      </c>
      <c r="U2183" s="144"/>
    </row>
    <row r="2184">
      <c r="A2184" s="107"/>
      <c r="B2184" s="8" t="s">
        <v>26</v>
      </c>
      <c r="C2184" s="8" t="s">
        <v>19</v>
      </c>
      <c r="D2184" s="8">
        <v>68.0</v>
      </c>
      <c r="E2184" s="8" t="s">
        <v>4648</v>
      </c>
      <c r="F2184" s="8" t="s">
        <v>1473</v>
      </c>
      <c r="G2184" s="8" t="s">
        <v>2660</v>
      </c>
      <c r="H2184" s="8">
        <v>0.0</v>
      </c>
      <c r="I2184" s="8" t="s">
        <v>675</v>
      </c>
      <c r="J2184" s="8" t="s">
        <v>22</v>
      </c>
      <c r="K2184" s="8" t="s">
        <v>892</v>
      </c>
      <c r="L2184" s="8" t="s">
        <v>24</v>
      </c>
      <c r="M2184" s="9">
        <v>0.0</v>
      </c>
      <c r="N2184" s="9">
        <v>0.5</v>
      </c>
      <c r="O2184" s="9">
        <v>0.5</v>
      </c>
      <c r="P2184" s="10">
        <v>45358.0</v>
      </c>
      <c r="Q2184" s="11">
        <v>1.9</v>
      </c>
      <c r="R2184" s="8" t="s">
        <v>33</v>
      </c>
      <c r="S2184" s="12">
        <f t="shared" si="1"/>
        <v>0.45</v>
      </c>
      <c r="T2184" s="12">
        <f t="shared" si="8"/>
        <v>77.01099795</v>
      </c>
      <c r="U2184" s="145"/>
    </row>
    <row r="2185">
      <c r="A2185" s="29"/>
      <c r="B2185" s="15" t="s">
        <v>131</v>
      </c>
      <c r="C2185" s="15" t="s">
        <v>40</v>
      </c>
      <c r="D2185" s="15">
        <v>87.0</v>
      </c>
      <c r="E2185" s="15" t="s">
        <v>4649</v>
      </c>
      <c r="F2185" s="15"/>
      <c r="G2185" s="15"/>
      <c r="H2185" s="15" t="s">
        <v>2868</v>
      </c>
      <c r="I2185" s="15" t="s">
        <v>162</v>
      </c>
      <c r="J2185" s="15" t="s">
        <v>22</v>
      </c>
      <c r="K2185" s="15" t="s">
        <v>29</v>
      </c>
      <c r="L2185" s="15" t="s">
        <v>24</v>
      </c>
      <c r="M2185" s="16">
        <v>-10.5</v>
      </c>
      <c r="N2185" s="16">
        <v>0.1</v>
      </c>
      <c r="O2185" s="16">
        <v>0.1</v>
      </c>
      <c r="P2185" s="17">
        <v>45358.0</v>
      </c>
      <c r="Q2185" s="18">
        <v>1.8</v>
      </c>
      <c r="R2185" s="15" t="s">
        <v>33</v>
      </c>
      <c r="S2185" s="19">
        <f t="shared" si="1"/>
        <v>0.08</v>
      </c>
      <c r="T2185" s="19">
        <f t="shared" si="8"/>
        <v>77.09099795</v>
      </c>
      <c r="U2185" s="144"/>
    </row>
    <row r="2186">
      <c r="A2186" s="107"/>
      <c r="B2186" s="8" t="s">
        <v>18</v>
      </c>
      <c r="C2186" s="8" t="s">
        <v>19</v>
      </c>
      <c r="D2186" s="8">
        <v>60.0</v>
      </c>
      <c r="E2186" s="8" t="s">
        <v>4650</v>
      </c>
      <c r="F2186" s="8" t="s">
        <v>1473</v>
      </c>
      <c r="G2186" s="8" t="s">
        <v>2660</v>
      </c>
      <c r="H2186" s="8">
        <v>0.0</v>
      </c>
      <c r="I2186" s="8" t="s">
        <v>659</v>
      </c>
      <c r="J2186" s="8" t="s">
        <v>22</v>
      </c>
      <c r="K2186" s="8" t="s">
        <v>892</v>
      </c>
      <c r="L2186" s="8" t="s">
        <v>24</v>
      </c>
      <c r="M2186" s="9">
        <v>0.0</v>
      </c>
      <c r="N2186" s="9">
        <v>0.9</v>
      </c>
      <c r="O2186" s="9">
        <v>0.9</v>
      </c>
      <c r="P2186" s="10">
        <v>45358.0</v>
      </c>
      <c r="Q2186" s="11">
        <v>1.8</v>
      </c>
      <c r="R2186" s="8" t="s">
        <v>33</v>
      </c>
      <c r="S2186" s="12">
        <f t="shared" si="1"/>
        <v>0.72</v>
      </c>
      <c r="T2186" s="12">
        <f t="shared" si="8"/>
        <v>77.81099795</v>
      </c>
      <c r="U2186" s="145"/>
    </row>
    <row r="2187">
      <c r="A2187" s="29"/>
      <c r="B2187" s="15" t="s">
        <v>26</v>
      </c>
      <c r="C2187" s="15" t="s">
        <v>40</v>
      </c>
      <c r="D2187" s="15">
        <v>45.0</v>
      </c>
      <c r="E2187" s="15" t="s">
        <v>4651</v>
      </c>
      <c r="F2187" s="15" t="s">
        <v>1479</v>
      </c>
      <c r="G2187" s="15" t="s">
        <v>2556</v>
      </c>
      <c r="H2187" s="15">
        <v>2</v>
      </c>
      <c r="I2187" s="15" t="s">
        <v>187</v>
      </c>
      <c r="J2187" s="15" t="s">
        <v>22</v>
      </c>
      <c r="K2187" s="15" t="s">
        <v>1165</v>
      </c>
      <c r="L2187" s="15" t="s">
        <v>24</v>
      </c>
      <c r="M2187" s="16"/>
      <c r="N2187" s="16">
        <v>0.1</v>
      </c>
      <c r="O2187" s="16">
        <v>0.1</v>
      </c>
      <c r="P2187" s="17">
        <v>45358.0</v>
      </c>
      <c r="Q2187" s="18">
        <v>1.8</v>
      </c>
      <c r="R2187" s="15" t="s">
        <v>25</v>
      </c>
      <c r="S2187" s="19">
        <f t="shared" si="1"/>
        <v>-0.1</v>
      </c>
      <c r="T2187" s="19">
        <f t="shared" si="8"/>
        <v>77.71099795</v>
      </c>
      <c r="U2187" s="144"/>
    </row>
    <row r="2188">
      <c r="A2188" s="107"/>
      <c r="B2188" s="8" t="s">
        <v>4225</v>
      </c>
      <c r="C2188" s="8" t="s">
        <v>19</v>
      </c>
      <c r="D2188" s="8">
        <v>0.0</v>
      </c>
      <c r="E2188" s="8" t="s">
        <v>4652</v>
      </c>
      <c r="F2188" s="8" t="s">
        <v>1473</v>
      </c>
      <c r="G2188" s="8" t="s">
        <v>4653</v>
      </c>
      <c r="H2188" s="8">
        <v>0.0</v>
      </c>
      <c r="I2188" s="8" t="s">
        <v>1961</v>
      </c>
      <c r="J2188" s="8" t="s">
        <v>598</v>
      </c>
      <c r="K2188" s="8" t="s">
        <v>894</v>
      </c>
      <c r="L2188" s="8" t="s">
        <v>1851</v>
      </c>
      <c r="M2188" s="9">
        <v>-1.0</v>
      </c>
      <c r="N2188" s="9">
        <v>0.1</v>
      </c>
      <c r="O2188" s="9">
        <v>0.1</v>
      </c>
      <c r="P2188" s="10">
        <v>45358.0</v>
      </c>
      <c r="Q2188" s="11">
        <v>2.03</v>
      </c>
      <c r="R2188" s="8" t="s">
        <v>33</v>
      </c>
      <c r="S2188" s="12">
        <f t="shared" si="1"/>
        <v>0.103</v>
      </c>
      <c r="T2188" s="12">
        <f t="shared" si="8"/>
        <v>77.81399795</v>
      </c>
      <c r="U2188" s="145"/>
    </row>
    <row r="2189">
      <c r="A2189" s="29"/>
      <c r="B2189" s="15" t="s">
        <v>4225</v>
      </c>
      <c r="C2189" s="15" t="s">
        <v>19</v>
      </c>
      <c r="D2189" s="15">
        <v>65.0</v>
      </c>
      <c r="E2189" s="15" t="s">
        <v>4654</v>
      </c>
      <c r="F2189" s="15" t="s">
        <v>1473</v>
      </c>
      <c r="G2189" s="15" t="s">
        <v>2660</v>
      </c>
      <c r="H2189" s="15">
        <v>-1.0</v>
      </c>
      <c r="I2189" s="15" t="s">
        <v>106</v>
      </c>
      <c r="J2189" s="15" t="s">
        <v>22</v>
      </c>
      <c r="K2189" s="15" t="s">
        <v>892</v>
      </c>
      <c r="L2189" s="15" t="s">
        <v>24</v>
      </c>
      <c r="M2189" s="16">
        <v>0.0</v>
      </c>
      <c r="N2189" s="16">
        <v>0.6</v>
      </c>
      <c r="O2189" s="16">
        <v>0.6</v>
      </c>
      <c r="P2189" s="17">
        <v>45359.0</v>
      </c>
      <c r="Q2189" s="18">
        <v>2.05</v>
      </c>
      <c r="R2189" s="15" t="s">
        <v>70</v>
      </c>
      <c r="S2189" s="19">
        <f t="shared" si="1"/>
        <v>0</v>
      </c>
      <c r="T2189" s="19">
        <f t="shared" si="8"/>
        <v>77.81399795</v>
      </c>
      <c r="U2189" s="144"/>
    </row>
    <row r="2190">
      <c r="A2190" s="107"/>
      <c r="B2190" s="8" t="s">
        <v>18</v>
      </c>
      <c r="C2190" s="8" t="s">
        <v>19</v>
      </c>
      <c r="D2190" s="8">
        <v>77.0</v>
      </c>
      <c r="E2190" s="8" t="s">
        <v>4655</v>
      </c>
      <c r="F2190" s="8" t="s">
        <v>1473</v>
      </c>
      <c r="G2190" s="8" t="s">
        <v>2556</v>
      </c>
      <c r="H2190" s="8">
        <v>0.0</v>
      </c>
      <c r="I2190" s="8" t="s">
        <v>1031</v>
      </c>
      <c r="J2190" s="8" t="s">
        <v>22</v>
      </c>
      <c r="K2190" s="8" t="s">
        <v>941</v>
      </c>
      <c r="L2190" s="8" t="s">
        <v>24</v>
      </c>
      <c r="M2190" s="9">
        <v>0.0</v>
      </c>
      <c r="N2190" s="9">
        <v>0.2</v>
      </c>
      <c r="O2190" s="9">
        <v>0.2</v>
      </c>
      <c r="P2190" s="10">
        <v>45359.0</v>
      </c>
      <c r="Q2190" s="11">
        <v>3.4</v>
      </c>
      <c r="R2190" s="8" t="s">
        <v>70</v>
      </c>
      <c r="S2190" s="12">
        <f t="shared" si="1"/>
        <v>0</v>
      </c>
      <c r="T2190" s="12">
        <f t="shared" si="8"/>
        <v>77.81399795</v>
      </c>
      <c r="U2190" s="145"/>
    </row>
    <row r="2191">
      <c r="A2191" s="29"/>
      <c r="B2191" s="15" t="s">
        <v>4225</v>
      </c>
      <c r="C2191" s="15" t="s">
        <v>19</v>
      </c>
      <c r="D2191" s="15">
        <v>70.0</v>
      </c>
      <c r="E2191" s="15" t="s">
        <v>4656</v>
      </c>
      <c r="F2191" s="15" t="s">
        <v>1479</v>
      </c>
      <c r="G2191" s="15" t="s">
        <v>2660</v>
      </c>
      <c r="H2191" s="15">
        <f>1</f>
        <v>1</v>
      </c>
      <c r="I2191" s="15" t="s">
        <v>44</v>
      </c>
      <c r="J2191" s="15" t="s">
        <v>22</v>
      </c>
      <c r="K2191" s="15" t="s">
        <v>892</v>
      </c>
      <c r="L2191" s="15" t="s">
        <v>24</v>
      </c>
      <c r="M2191" s="16">
        <v>0.0</v>
      </c>
      <c r="N2191" s="16">
        <v>0.8</v>
      </c>
      <c r="O2191" s="16">
        <v>0.8</v>
      </c>
      <c r="P2191" s="17">
        <v>45359.0</v>
      </c>
      <c r="Q2191" s="18">
        <v>1.75</v>
      </c>
      <c r="R2191" s="15" t="s">
        <v>70</v>
      </c>
      <c r="S2191" s="19">
        <f t="shared" si="1"/>
        <v>0</v>
      </c>
      <c r="T2191" s="19">
        <f t="shared" si="8"/>
        <v>77.81399795</v>
      </c>
      <c r="U2191" s="144"/>
    </row>
    <row r="2192">
      <c r="A2192" s="107"/>
      <c r="B2192" s="8" t="s">
        <v>131</v>
      </c>
      <c r="C2192" s="8" t="s">
        <v>19</v>
      </c>
      <c r="D2192" s="8">
        <v>0.0</v>
      </c>
      <c r="E2192" s="8" t="s">
        <v>4657</v>
      </c>
      <c r="F2192" s="8"/>
      <c r="G2192" s="8"/>
      <c r="H2192" s="8">
        <v>0.0</v>
      </c>
      <c r="I2192" s="8" t="s">
        <v>187</v>
      </c>
      <c r="J2192" s="8" t="s">
        <v>598</v>
      </c>
      <c r="K2192" s="8" t="s">
        <v>4658</v>
      </c>
      <c r="L2192" s="8" t="s">
        <v>24</v>
      </c>
      <c r="M2192" s="9"/>
      <c r="N2192" s="9">
        <v>0.1</v>
      </c>
      <c r="O2192" s="9">
        <v>0.089</v>
      </c>
      <c r="P2192" s="10">
        <v>45359.0</v>
      </c>
      <c r="Q2192" s="11">
        <v>4.0</v>
      </c>
      <c r="R2192" s="8" t="s">
        <v>25</v>
      </c>
      <c r="S2192" s="12">
        <f t="shared" si="1"/>
        <v>-0.089</v>
      </c>
      <c r="T2192" s="12">
        <f t="shared" si="8"/>
        <v>77.72499795</v>
      </c>
      <c r="U2192" s="145"/>
    </row>
    <row r="2193">
      <c r="A2193" s="29"/>
      <c r="B2193" s="15" t="s">
        <v>26</v>
      </c>
      <c r="C2193" s="15" t="s">
        <v>19</v>
      </c>
      <c r="D2193" s="15">
        <v>35.0</v>
      </c>
      <c r="E2193" s="15" t="s">
        <v>4659</v>
      </c>
      <c r="F2193" s="15" t="s">
        <v>1473</v>
      </c>
      <c r="G2193" s="15" t="s">
        <v>2556</v>
      </c>
      <c r="H2193" s="15">
        <v>0.0</v>
      </c>
      <c r="I2193" s="15" t="s">
        <v>44</v>
      </c>
      <c r="J2193" s="15" t="s">
        <v>22</v>
      </c>
      <c r="K2193" s="15" t="s">
        <v>225</v>
      </c>
      <c r="L2193" s="15" t="s">
        <v>24</v>
      </c>
      <c r="M2193" s="16">
        <v>0.5</v>
      </c>
      <c r="N2193" s="16">
        <v>0.2</v>
      </c>
      <c r="O2193" s="16">
        <v>0.2</v>
      </c>
      <c r="P2193" s="17">
        <v>45359.0</v>
      </c>
      <c r="Q2193" s="18">
        <v>1.9</v>
      </c>
      <c r="R2193" s="15" t="s">
        <v>25</v>
      </c>
      <c r="S2193" s="19">
        <f t="shared" si="1"/>
        <v>-0.2</v>
      </c>
      <c r="T2193" s="19">
        <f t="shared" si="8"/>
        <v>77.52499795</v>
      </c>
      <c r="U2193" s="144"/>
    </row>
    <row r="2194">
      <c r="A2194" s="107"/>
      <c r="B2194" s="8" t="s">
        <v>26</v>
      </c>
      <c r="C2194" s="8" t="s">
        <v>19</v>
      </c>
      <c r="D2194" s="8">
        <v>80.0</v>
      </c>
      <c r="E2194" s="8" t="s">
        <v>4660</v>
      </c>
      <c r="F2194" s="8"/>
      <c r="G2194" s="8"/>
      <c r="H2194" s="8">
        <v>0.0</v>
      </c>
      <c r="I2194" s="8" t="s">
        <v>187</v>
      </c>
      <c r="J2194" s="8" t="s">
        <v>22</v>
      </c>
      <c r="K2194" s="8" t="s">
        <v>440</v>
      </c>
      <c r="L2194" s="8" t="s">
        <v>24</v>
      </c>
      <c r="M2194" s="9">
        <v>0.5</v>
      </c>
      <c r="N2194" s="9">
        <v>0.1</v>
      </c>
      <c r="O2194" s="9">
        <v>0.1</v>
      </c>
      <c r="P2194" s="10">
        <v>45359.0</v>
      </c>
      <c r="Q2194" s="11">
        <v>2.42</v>
      </c>
      <c r="R2194" s="8" t="s">
        <v>33</v>
      </c>
      <c r="S2194" s="12">
        <f t="shared" si="1"/>
        <v>0.142</v>
      </c>
      <c r="T2194" s="12">
        <f t="shared" si="8"/>
        <v>77.66699795</v>
      </c>
      <c r="U2194" s="145"/>
    </row>
    <row r="2195">
      <c r="A2195" s="29"/>
      <c r="B2195" s="15" t="s">
        <v>129</v>
      </c>
      <c r="C2195" s="15" t="s">
        <v>19</v>
      </c>
      <c r="D2195" s="15">
        <v>70.0</v>
      </c>
      <c r="E2195" s="15" t="s">
        <v>4661</v>
      </c>
      <c r="F2195" s="15" t="s">
        <v>1479</v>
      </c>
      <c r="G2195" s="15" t="s">
        <v>2660</v>
      </c>
      <c r="H2195" s="15">
        <v>-1.0</v>
      </c>
      <c r="I2195" s="15" t="s">
        <v>99</v>
      </c>
      <c r="J2195" s="15" t="s">
        <v>22</v>
      </c>
      <c r="K2195" s="15" t="s">
        <v>892</v>
      </c>
      <c r="L2195" s="15" t="s">
        <v>24</v>
      </c>
      <c r="M2195" s="16">
        <v>0.0</v>
      </c>
      <c r="N2195" s="16">
        <v>0.6</v>
      </c>
      <c r="O2195" s="16">
        <v>0.6</v>
      </c>
      <c r="P2195" s="17">
        <v>45360.0</v>
      </c>
      <c r="Q2195" s="18">
        <v>1.825</v>
      </c>
      <c r="R2195" s="15" t="s">
        <v>70</v>
      </c>
      <c r="S2195" s="19">
        <f t="shared" si="1"/>
        <v>0</v>
      </c>
      <c r="T2195" s="19">
        <f t="shared" si="8"/>
        <v>77.66699795</v>
      </c>
      <c r="U2195" s="144"/>
    </row>
    <row r="2196">
      <c r="A2196" s="107"/>
      <c r="B2196" s="8" t="s">
        <v>18</v>
      </c>
      <c r="C2196" s="8" t="s">
        <v>19</v>
      </c>
      <c r="D2196" s="8">
        <v>70.0</v>
      </c>
      <c r="E2196" s="8" t="s">
        <v>4662</v>
      </c>
      <c r="F2196" s="8" t="s">
        <v>1479</v>
      </c>
      <c r="G2196" s="8" t="s">
        <v>2660</v>
      </c>
      <c r="H2196" s="8">
        <v>-1.0</v>
      </c>
      <c r="I2196" s="8" t="s">
        <v>487</v>
      </c>
      <c r="J2196" s="8" t="s">
        <v>22</v>
      </c>
      <c r="K2196" s="8" t="s">
        <v>892</v>
      </c>
      <c r="L2196" s="8" t="s">
        <v>24</v>
      </c>
      <c r="M2196" s="9">
        <v>0.0</v>
      </c>
      <c r="N2196" s="9">
        <v>0.8</v>
      </c>
      <c r="O2196" s="9">
        <v>0.8</v>
      </c>
      <c r="P2196" s="54">
        <v>45360.0</v>
      </c>
      <c r="Q2196" s="11">
        <v>1.9</v>
      </c>
      <c r="R2196" s="8" t="s">
        <v>70</v>
      </c>
      <c r="S2196" s="12">
        <f t="shared" si="1"/>
        <v>0</v>
      </c>
      <c r="T2196" s="12">
        <f t="shared" si="8"/>
        <v>77.66699795</v>
      </c>
      <c r="U2196" s="145"/>
    </row>
    <row r="2197">
      <c r="A2197" s="29"/>
      <c r="B2197" s="15" t="s">
        <v>129</v>
      </c>
      <c r="C2197" s="15" t="s">
        <v>40</v>
      </c>
      <c r="D2197" s="15">
        <v>55.0</v>
      </c>
      <c r="E2197" s="15" t="s">
        <v>4663</v>
      </c>
      <c r="F2197" s="15" t="s">
        <v>1479</v>
      </c>
      <c r="G2197" s="15" t="s">
        <v>2556</v>
      </c>
      <c r="H2197" s="15">
        <v>-1.0</v>
      </c>
      <c r="I2197" s="15" t="s">
        <v>88</v>
      </c>
      <c r="J2197" s="15" t="s">
        <v>22</v>
      </c>
      <c r="K2197" s="15" t="s">
        <v>225</v>
      </c>
      <c r="L2197" s="15" t="s">
        <v>24</v>
      </c>
      <c r="M2197" s="16">
        <v>0.25</v>
      </c>
      <c r="N2197" s="16">
        <v>0.2</v>
      </c>
      <c r="O2197" s="16">
        <v>0.2</v>
      </c>
      <c r="P2197" s="55">
        <v>45360.0</v>
      </c>
      <c r="Q2197" s="18">
        <v>1.75</v>
      </c>
      <c r="R2197" s="15" t="s">
        <v>30</v>
      </c>
      <c r="S2197" s="19">
        <f t="shared" si="1"/>
        <v>0.075</v>
      </c>
      <c r="T2197" s="19">
        <f t="shared" si="8"/>
        <v>77.74199795</v>
      </c>
      <c r="U2197" s="144"/>
    </row>
    <row r="2198">
      <c r="A2198" s="107"/>
      <c r="B2198" s="8" t="s">
        <v>26</v>
      </c>
      <c r="C2198" s="8" t="s">
        <v>19</v>
      </c>
      <c r="D2198" s="8">
        <v>75.0</v>
      </c>
      <c r="E2198" s="8" t="s">
        <v>4664</v>
      </c>
      <c r="F2198" s="8" t="s">
        <v>1473</v>
      </c>
      <c r="G2198" s="8" t="s">
        <v>2660</v>
      </c>
      <c r="H2198" s="8">
        <f>1</f>
        <v>1</v>
      </c>
      <c r="I2198" s="8" t="s">
        <v>448</v>
      </c>
      <c r="J2198" s="8" t="s">
        <v>22</v>
      </c>
      <c r="K2198" s="8" t="s">
        <v>892</v>
      </c>
      <c r="L2198" s="8" t="s">
        <v>24</v>
      </c>
      <c r="M2198" s="9">
        <v>0.0</v>
      </c>
      <c r="N2198" s="9">
        <v>0.4</v>
      </c>
      <c r="O2198" s="9">
        <v>0.4</v>
      </c>
      <c r="P2198" s="54">
        <v>45360.0</v>
      </c>
      <c r="Q2198" s="11">
        <v>1.875</v>
      </c>
      <c r="R2198" s="8" t="s">
        <v>25</v>
      </c>
      <c r="S2198" s="12">
        <f t="shared" si="1"/>
        <v>-0.4</v>
      </c>
      <c r="T2198" s="12">
        <f t="shared" si="8"/>
        <v>77.34199795</v>
      </c>
      <c r="U2198" s="145"/>
    </row>
    <row r="2199">
      <c r="A2199" s="29"/>
      <c r="B2199" s="15" t="s">
        <v>26</v>
      </c>
      <c r="C2199" s="15" t="s">
        <v>19</v>
      </c>
      <c r="D2199" s="15">
        <v>75.0</v>
      </c>
      <c r="E2199" s="15" t="s">
        <v>4665</v>
      </c>
      <c r="F2199" s="15" t="s">
        <v>1479</v>
      </c>
      <c r="G2199" s="15" t="s">
        <v>2660</v>
      </c>
      <c r="H2199" s="15">
        <v>-1.0</v>
      </c>
      <c r="I2199" s="15" t="s">
        <v>448</v>
      </c>
      <c r="J2199" s="15" t="s">
        <v>22</v>
      </c>
      <c r="K2199" s="15" t="s">
        <v>892</v>
      </c>
      <c r="L2199" s="15" t="s">
        <v>24</v>
      </c>
      <c r="M2199" s="16">
        <v>0.0</v>
      </c>
      <c r="N2199" s="16">
        <v>0.2</v>
      </c>
      <c r="O2199" s="16">
        <v>0.2</v>
      </c>
      <c r="P2199" s="55">
        <v>45360.0</v>
      </c>
      <c r="Q2199" s="18">
        <v>1.925</v>
      </c>
      <c r="R2199" s="15" t="s">
        <v>33</v>
      </c>
      <c r="S2199" s="19">
        <f t="shared" si="1"/>
        <v>0.185</v>
      </c>
      <c r="T2199" s="19">
        <f t="shared" si="8"/>
        <v>77.52699795</v>
      </c>
      <c r="U2199" s="144"/>
    </row>
    <row r="2200">
      <c r="A2200" s="107"/>
      <c r="B2200" s="8" t="s">
        <v>137</v>
      </c>
      <c r="C2200" s="8" t="s">
        <v>19</v>
      </c>
      <c r="D2200" s="8">
        <v>75.0</v>
      </c>
      <c r="E2200" s="8" t="s">
        <v>4666</v>
      </c>
      <c r="F2200" s="8" t="s">
        <v>1479</v>
      </c>
      <c r="G2200" s="8" t="s">
        <v>2660</v>
      </c>
      <c r="H2200" s="8">
        <v>-2.0</v>
      </c>
      <c r="I2200" s="8" t="s">
        <v>487</v>
      </c>
      <c r="J2200" s="8" t="s">
        <v>22</v>
      </c>
      <c r="K2200" s="8" t="s">
        <v>892</v>
      </c>
      <c r="L2200" s="8" t="s">
        <v>24</v>
      </c>
      <c r="M2200" s="9">
        <v>0.0</v>
      </c>
      <c r="N2200" s="9">
        <v>0.6</v>
      </c>
      <c r="O2200" s="9">
        <v>0.6</v>
      </c>
      <c r="P2200" s="10">
        <v>45360.0</v>
      </c>
      <c r="Q2200" s="11">
        <v>1.975</v>
      </c>
      <c r="R2200" s="8" t="s">
        <v>33</v>
      </c>
      <c r="S2200" s="12">
        <f t="shared" si="1"/>
        <v>0.585</v>
      </c>
      <c r="T2200" s="12">
        <f t="shared" si="8"/>
        <v>78.11199795</v>
      </c>
      <c r="U2200" s="145"/>
    </row>
    <row r="2201">
      <c r="A2201" s="29"/>
      <c r="B2201" s="15" t="s">
        <v>18</v>
      </c>
      <c r="C2201" s="15" t="s">
        <v>40</v>
      </c>
      <c r="D2201" s="15">
        <v>40.0</v>
      </c>
      <c r="E2201" s="15" t="s">
        <v>4667</v>
      </c>
      <c r="F2201" s="15" t="s">
        <v>1473</v>
      </c>
      <c r="G2201" s="15" t="s">
        <v>2556</v>
      </c>
      <c r="H2201" s="15">
        <v>-1.0</v>
      </c>
      <c r="I2201" s="15" t="s">
        <v>873</v>
      </c>
      <c r="J2201" s="15" t="s">
        <v>22</v>
      </c>
      <c r="K2201" s="15" t="s">
        <v>225</v>
      </c>
      <c r="L2201" s="15" t="s">
        <v>24</v>
      </c>
      <c r="M2201" s="16">
        <v>0.5</v>
      </c>
      <c r="N2201" s="16">
        <v>0.2</v>
      </c>
      <c r="O2201" s="16">
        <v>0.2</v>
      </c>
      <c r="P2201" s="17">
        <v>45360.0</v>
      </c>
      <c r="Q2201" s="18">
        <v>1.85</v>
      </c>
      <c r="R2201" s="15" t="s">
        <v>33</v>
      </c>
      <c r="S2201" s="19">
        <f t="shared" si="1"/>
        <v>0.17</v>
      </c>
      <c r="T2201" s="19">
        <f t="shared" si="8"/>
        <v>78.28199795</v>
      </c>
      <c r="U2201" s="144"/>
    </row>
    <row r="2202">
      <c r="A2202" s="107"/>
      <c r="B2202" s="8" t="s">
        <v>18</v>
      </c>
      <c r="C2202" s="8" t="s">
        <v>40</v>
      </c>
      <c r="D2202" s="8">
        <v>40.0</v>
      </c>
      <c r="E2202" s="8" t="s">
        <v>4668</v>
      </c>
      <c r="F2202" s="8" t="s">
        <v>1479</v>
      </c>
      <c r="G2202" s="8" t="s">
        <v>4669</v>
      </c>
      <c r="H2202" s="8">
        <f>1</f>
        <v>1</v>
      </c>
      <c r="I2202" s="8" t="s">
        <v>873</v>
      </c>
      <c r="J2202" s="8" t="s">
        <v>22</v>
      </c>
      <c r="K2202" s="8" t="s">
        <v>894</v>
      </c>
      <c r="L2202" s="8" t="s">
        <v>24</v>
      </c>
      <c r="M2202" s="9">
        <v>-1.0</v>
      </c>
      <c r="N2202" s="9">
        <v>0.15</v>
      </c>
      <c r="O2202" s="9">
        <v>0.15</v>
      </c>
      <c r="P2202" s="10">
        <v>45360.0</v>
      </c>
      <c r="Q2202" s="11">
        <v>2.5</v>
      </c>
      <c r="R2202" s="8" t="s">
        <v>25</v>
      </c>
      <c r="S2202" s="12">
        <f t="shared" si="1"/>
        <v>-0.15</v>
      </c>
      <c r="T2202" s="12">
        <f t="shared" si="8"/>
        <v>78.13199795</v>
      </c>
      <c r="U2202" s="145"/>
    </row>
    <row r="2203">
      <c r="A2203" s="29"/>
      <c r="B2203" s="15" t="s">
        <v>4225</v>
      </c>
      <c r="C2203" s="15" t="s">
        <v>19</v>
      </c>
      <c r="D2203" s="15">
        <v>0.0</v>
      </c>
      <c r="E2203" s="15" t="s">
        <v>4670</v>
      </c>
      <c r="F2203" s="15" t="s">
        <v>1473</v>
      </c>
      <c r="G2203" s="15" t="s">
        <v>2556</v>
      </c>
      <c r="H2203" s="15">
        <v>0.0</v>
      </c>
      <c r="I2203" s="15" t="s">
        <v>448</v>
      </c>
      <c r="J2203" s="15" t="s">
        <v>598</v>
      </c>
      <c r="K2203" s="15" t="s">
        <v>1847</v>
      </c>
      <c r="L2203" s="15" t="s">
        <v>24</v>
      </c>
      <c r="M2203" s="16">
        <v>-0.5</v>
      </c>
      <c r="N2203" s="16">
        <v>0.3</v>
      </c>
      <c r="O2203" s="16">
        <v>0.3</v>
      </c>
      <c r="P2203" s="17">
        <v>45360.0</v>
      </c>
      <c r="Q2203" s="18">
        <v>1.733</v>
      </c>
      <c r="R2203" s="15" t="s">
        <v>33</v>
      </c>
      <c r="S2203" s="19">
        <f t="shared" si="1"/>
        <v>0.2199</v>
      </c>
      <c r="T2203" s="19">
        <f t="shared" si="8"/>
        <v>78.35189795</v>
      </c>
      <c r="U2203" s="144"/>
    </row>
    <row r="2204">
      <c r="A2204" s="107"/>
      <c r="B2204" s="8" t="s">
        <v>26</v>
      </c>
      <c r="C2204" s="8" t="s">
        <v>19</v>
      </c>
      <c r="D2204" s="8">
        <v>73.0</v>
      </c>
      <c r="E2204" s="8" t="s">
        <v>4671</v>
      </c>
      <c r="F2204" s="8" t="s">
        <v>1479</v>
      </c>
      <c r="G2204" s="8" t="s">
        <v>2660</v>
      </c>
      <c r="H2204" s="8">
        <v>-2.0</v>
      </c>
      <c r="I2204" s="8" t="s">
        <v>229</v>
      </c>
      <c r="J2204" s="8" t="s">
        <v>22</v>
      </c>
      <c r="K2204" s="8" t="s">
        <v>892</v>
      </c>
      <c r="L2204" s="8" t="s">
        <v>24</v>
      </c>
      <c r="M2204" s="9">
        <v>0.0</v>
      </c>
      <c r="N2204" s="9">
        <v>0.5</v>
      </c>
      <c r="O2204" s="9">
        <v>0.425</v>
      </c>
      <c r="P2204" s="10">
        <v>45360.0</v>
      </c>
      <c r="Q2204" s="11">
        <v>1.925</v>
      </c>
      <c r="R2204" s="8" t="s">
        <v>70</v>
      </c>
      <c r="S2204" s="12">
        <f t="shared" si="1"/>
        <v>0</v>
      </c>
      <c r="T2204" s="12">
        <f t="shared" si="8"/>
        <v>78.35189795</v>
      </c>
      <c r="U2204" s="145"/>
    </row>
    <row r="2205">
      <c r="A2205" s="29"/>
      <c r="B2205" s="15" t="s">
        <v>26</v>
      </c>
      <c r="C2205" s="15" t="s">
        <v>40</v>
      </c>
      <c r="D2205" s="15">
        <v>29.0</v>
      </c>
      <c r="E2205" s="15" t="s">
        <v>4672</v>
      </c>
      <c r="F2205" s="15" t="s">
        <v>1473</v>
      </c>
      <c r="G2205" s="15" t="s">
        <v>2556</v>
      </c>
      <c r="H2205" s="15">
        <f>1</f>
        <v>1</v>
      </c>
      <c r="I2205" s="15" t="s">
        <v>432</v>
      </c>
      <c r="J2205" s="15" t="s">
        <v>22</v>
      </c>
      <c r="K2205" s="15" t="s">
        <v>225</v>
      </c>
      <c r="L2205" s="15" t="s">
        <v>24</v>
      </c>
      <c r="M2205" s="16">
        <v>0.5</v>
      </c>
      <c r="N2205" s="16">
        <v>0.7</v>
      </c>
      <c r="O2205" s="16">
        <v>0.7</v>
      </c>
      <c r="P2205" s="17">
        <v>45360.0</v>
      </c>
      <c r="Q2205" s="18">
        <v>1.925</v>
      </c>
      <c r="R2205" s="15" t="s">
        <v>33</v>
      </c>
      <c r="S2205" s="19">
        <f t="shared" si="1"/>
        <v>0.6475</v>
      </c>
      <c r="T2205" s="19">
        <f t="shared" si="8"/>
        <v>78.99939795</v>
      </c>
      <c r="U2205" s="144"/>
    </row>
    <row r="2206">
      <c r="A2206" s="107"/>
      <c r="B2206" s="8" t="s">
        <v>129</v>
      </c>
      <c r="C2206" s="8" t="s">
        <v>19</v>
      </c>
      <c r="D2206" s="8">
        <v>26.0</v>
      </c>
      <c r="E2206" s="8" t="s">
        <v>4673</v>
      </c>
      <c r="F2206" s="8" t="s">
        <v>1473</v>
      </c>
      <c r="G2206" s="8" t="s">
        <v>2556</v>
      </c>
      <c r="H2206" s="8">
        <v>0.0</v>
      </c>
      <c r="I2206" s="8" t="s">
        <v>1031</v>
      </c>
      <c r="J2206" s="8" t="s">
        <v>22</v>
      </c>
      <c r="K2206" s="8" t="s">
        <v>941</v>
      </c>
      <c r="L2206" s="8" t="s">
        <v>24</v>
      </c>
      <c r="M2206" s="9">
        <v>0.0</v>
      </c>
      <c r="N2206" s="9">
        <v>1.0</v>
      </c>
      <c r="O2206" s="9">
        <v>1.0</v>
      </c>
      <c r="P2206" s="10">
        <v>45360.0</v>
      </c>
      <c r="Q2206" s="11">
        <v>2.1</v>
      </c>
      <c r="R2206" s="8" t="s">
        <v>33</v>
      </c>
      <c r="S2206" s="12">
        <f t="shared" si="1"/>
        <v>1.1</v>
      </c>
      <c r="T2206" s="12">
        <f t="shared" si="8"/>
        <v>80.09939795</v>
      </c>
      <c r="U2206" s="145"/>
    </row>
    <row r="2207">
      <c r="A2207" s="29"/>
      <c r="B2207" s="15" t="s">
        <v>26</v>
      </c>
      <c r="C2207" s="15" t="s">
        <v>40</v>
      </c>
      <c r="D2207" s="15">
        <v>74.0</v>
      </c>
      <c r="E2207" s="15" t="s">
        <v>4674</v>
      </c>
      <c r="F2207" s="15" t="s">
        <v>1479</v>
      </c>
      <c r="G2207" s="15" t="s">
        <v>2556</v>
      </c>
      <c r="H2207" s="15">
        <v>-1.0</v>
      </c>
      <c r="I2207" s="15" t="s">
        <v>432</v>
      </c>
      <c r="J2207" s="15" t="s">
        <v>22</v>
      </c>
      <c r="K2207" s="15" t="s">
        <v>1023</v>
      </c>
      <c r="L2207" s="15" t="s">
        <v>24</v>
      </c>
      <c r="M2207" s="16">
        <v>0.5</v>
      </c>
      <c r="N2207" s="16">
        <v>0.1</v>
      </c>
      <c r="O2207" s="16">
        <v>0.01363</v>
      </c>
      <c r="P2207" s="17">
        <v>45360.0</v>
      </c>
      <c r="Q2207" s="18">
        <v>4.5</v>
      </c>
      <c r="R2207" s="15" t="s">
        <v>25</v>
      </c>
      <c r="S2207" s="19">
        <f t="shared" si="1"/>
        <v>-0.01363</v>
      </c>
      <c r="T2207" s="19">
        <f t="shared" si="8"/>
        <v>80.08576795</v>
      </c>
      <c r="U2207" s="144"/>
    </row>
    <row r="2208">
      <c r="A2208" s="107"/>
      <c r="B2208" s="8" t="s">
        <v>26</v>
      </c>
      <c r="C2208" s="8" t="s">
        <v>40</v>
      </c>
      <c r="D2208" s="8">
        <v>75.0</v>
      </c>
      <c r="E2208" s="8" t="s">
        <v>4675</v>
      </c>
      <c r="F2208" s="8" t="s">
        <v>1479</v>
      </c>
      <c r="G2208" s="8" t="s">
        <v>2556</v>
      </c>
      <c r="H2208" s="8">
        <v>-1.0</v>
      </c>
      <c r="I2208" s="8" t="s">
        <v>432</v>
      </c>
      <c r="J2208" s="8" t="s">
        <v>22</v>
      </c>
      <c r="K2208" s="8" t="s">
        <v>225</v>
      </c>
      <c r="L2208" s="8" t="s">
        <v>24</v>
      </c>
      <c r="M2208" s="9">
        <v>1.0</v>
      </c>
      <c r="N2208" s="9">
        <v>0.1</v>
      </c>
      <c r="O2208" s="9">
        <v>0.1</v>
      </c>
      <c r="P2208" s="10">
        <v>45360.0</v>
      </c>
      <c r="Q2208" s="11">
        <v>5.5</v>
      </c>
      <c r="R2208" s="8" t="s">
        <v>25</v>
      </c>
      <c r="S2208" s="12">
        <f t="shared" si="1"/>
        <v>-0.1</v>
      </c>
      <c r="T2208" s="12">
        <f t="shared" si="8"/>
        <v>79.98576795</v>
      </c>
      <c r="U2208" s="145"/>
    </row>
    <row r="2209">
      <c r="A2209" s="29"/>
      <c r="B2209" s="15" t="s">
        <v>26</v>
      </c>
      <c r="C2209" s="15" t="s">
        <v>40</v>
      </c>
      <c r="D2209" s="15">
        <v>74.0</v>
      </c>
      <c r="E2209" s="15" t="s">
        <v>4676</v>
      </c>
      <c r="F2209" s="15" t="s">
        <v>1473</v>
      </c>
      <c r="G2209" s="15" t="s">
        <v>2660</v>
      </c>
      <c r="H2209" s="15">
        <v>-2.0</v>
      </c>
      <c r="I2209" s="15" t="s">
        <v>117</v>
      </c>
      <c r="J2209" s="15" t="s">
        <v>22</v>
      </c>
      <c r="K2209" s="15" t="s">
        <v>892</v>
      </c>
      <c r="L2209" s="15" t="s">
        <v>1522</v>
      </c>
      <c r="M2209" s="16">
        <v>0.0</v>
      </c>
      <c r="N2209" s="16">
        <v>0.5</v>
      </c>
      <c r="O2209" s="16">
        <v>0.5</v>
      </c>
      <c r="P2209" s="55">
        <v>45360.0</v>
      </c>
      <c r="Q2209" s="18">
        <v>1.9</v>
      </c>
      <c r="R2209" s="15" t="s">
        <v>70</v>
      </c>
      <c r="S2209" s="19">
        <f t="shared" si="1"/>
        <v>0</v>
      </c>
      <c r="T2209" s="19">
        <f t="shared" si="8"/>
        <v>79.98576795</v>
      </c>
      <c r="U2209" s="144"/>
    </row>
    <row r="2210">
      <c r="A2210" s="107"/>
      <c r="B2210" s="8" t="s">
        <v>26</v>
      </c>
      <c r="C2210" s="8" t="s">
        <v>19</v>
      </c>
      <c r="D2210" s="8">
        <v>81.0</v>
      </c>
      <c r="E2210" s="8" t="s">
        <v>4677</v>
      </c>
      <c r="F2210" s="8" t="s">
        <v>1473</v>
      </c>
      <c r="G2210" s="8" t="s">
        <v>2660</v>
      </c>
      <c r="H2210" s="8">
        <v>0.0</v>
      </c>
      <c r="I2210" s="8" t="s">
        <v>66</v>
      </c>
      <c r="J2210" s="8" t="s">
        <v>22</v>
      </c>
      <c r="K2210" s="8" t="s">
        <v>892</v>
      </c>
      <c r="L2210" s="8" t="s">
        <v>24</v>
      </c>
      <c r="M2210" s="9">
        <v>0.0</v>
      </c>
      <c r="N2210" s="9">
        <v>0.2</v>
      </c>
      <c r="O2210" s="9">
        <v>0.2</v>
      </c>
      <c r="P2210" s="10">
        <v>45360.0</v>
      </c>
      <c r="Q2210" s="11">
        <v>1.775</v>
      </c>
      <c r="R2210" s="8" t="s">
        <v>33</v>
      </c>
      <c r="S2210" s="12">
        <f t="shared" si="1"/>
        <v>0.155</v>
      </c>
      <c r="T2210" s="12">
        <f t="shared" si="8"/>
        <v>80.14076795</v>
      </c>
      <c r="U2210" s="145"/>
    </row>
    <row r="2211">
      <c r="A2211" s="29"/>
      <c r="B2211" s="15" t="s">
        <v>137</v>
      </c>
      <c r="C2211" s="15" t="s">
        <v>19</v>
      </c>
      <c r="D2211" s="15">
        <v>16.0</v>
      </c>
      <c r="E2211" s="15" t="s">
        <v>4678</v>
      </c>
      <c r="F2211" s="15" t="s">
        <v>1473</v>
      </c>
      <c r="G2211" s="15" t="s">
        <v>2660</v>
      </c>
      <c r="H2211" s="15">
        <v>0.0</v>
      </c>
      <c r="I2211" s="15" t="s">
        <v>3017</v>
      </c>
      <c r="J2211" s="15" t="s">
        <v>22</v>
      </c>
      <c r="K2211" s="15" t="s">
        <v>892</v>
      </c>
      <c r="L2211" s="15" t="s">
        <v>24</v>
      </c>
      <c r="M2211" s="16">
        <v>0.0</v>
      </c>
      <c r="N2211" s="16">
        <v>0.4</v>
      </c>
      <c r="O2211" s="16">
        <v>0.4</v>
      </c>
      <c r="P2211" s="17">
        <v>45360.0</v>
      </c>
      <c r="Q2211" s="18">
        <v>1.825</v>
      </c>
      <c r="R2211" s="15" t="s">
        <v>70</v>
      </c>
      <c r="S2211" s="19">
        <f t="shared" si="1"/>
        <v>0</v>
      </c>
      <c r="T2211" s="19">
        <f t="shared" si="8"/>
        <v>80.14076795</v>
      </c>
      <c r="U2211" s="144"/>
    </row>
    <row r="2212">
      <c r="A2212" s="107"/>
      <c r="B2212" s="8" t="s">
        <v>137</v>
      </c>
      <c r="C2212" s="8" t="s">
        <v>19</v>
      </c>
      <c r="D2212" s="8">
        <v>20.0</v>
      </c>
      <c r="E2212" s="8" t="s">
        <v>4679</v>
      </c>
      <c r="F2212" s="8" t="s">
        <v>1473</v>
      </c>
      <c r="G2212" s="8" t="s">
        <v>2660</v>
      </c>
      <c r="H2212" s="8">
        <v>0.0</v>
      </c>
      <c r="I2212" s="8" t="s">
        <v>3017</v>
      </c>
      <c r="J2212" s="8" t="s">
        <v>22</v>
      </c>
      <c r="K2212" s="8" t="s">
        <v>4584</v>
      </c>
      <c r="L2212" s="8" t="s">
        <v>24</v>
      </c>
      <c r="M2212" s="9">
        <v>0.0</v>
      </c>
      <c r="N2212" s="9">
        <v>0.4</v>
      </c>
      <c r="O2212" s="9">
        <v>0.4</v>
      </c>
      <c r="P2212" s="10">
        <v>45360.0</v>
      </c>
      <c r="Q2212" s="11">
        <v>1.85</v>
      </c>
      <c r="R2212" s="8" t="s">
        <v>33</v>
      </c>
      <c r="S2212" s="12">
        <f t="shared" si="1"/>
        <v>0.34</v>
      </c>
      <c r="T2212" s="12">
        <f t="shared" si="8"/>
        <v>80.48076795</v>
      </c>
      <c r="U2212" s="145"/>
    </row>
    <row r="2213">
      <c r="A2213" s="29"/>
      <c r="B2213" s="15" t="s">
        <v>129</v>
      </c>
      <c r="C2213" s="15" t="s">
        <v>19</v>
      </c>
      <c r="D2213" s="15">
        <v>61.0</v>
      </c>
      <c r="E2213" s="15" t="s">
        <v>4680</v>
      </c>
      <c r="F2213" s="15" t="s">
        <v>1473</v>
      </c>
      <c r="G2213" s="15" t="s">
        <v>2660</v>
      </c>
      <c r="H2213" s="15">
        <v>0.0</v>
      </c>
      <c r="I2213" s="15" t="s">
        <v>248</v>
      </c>
      <c r="J2213" s="15" t="s">
        <v>22</v>
      </c>
      <c r="K2213" s="15" t="s">
        <v>892</v>
      </c>
      <c r="L2213" s="15" t="s">
        <v>24</v>
      </c>
      <c r="M2213" s="16">
        <v>0.0</v>
      </c>
      <c r="N2213" s="16">
        <v>0.35</v>
      </c>
      <c r="O2213" s="16">
        <v>0.35</v>
      </c>
      <c r="P2213" s="55">
        <v>45360.0</v>
      </c>
      <c r="Q2213" s="18">
        <v>1.7</v>
      </c>
      <c r="R2213" s="15" t="s">
        <v>70</v>
      </c>
      <c r="S2213" s="19">
        <f t="shared" si="1"/>
        <v>0</v>
      </c>
      <c r="T2213" s="19">
        <f t="shared" si="8"/>
        <v>80.48076795</v>
      </c>
      <c r="U2213" s="144"/>
    </row>
    <row r="2214">
      <c r="A2214" s="107"/>
      <c r="B2214" s="8" t="s">
        <v>137</v>
      </c>
      <c r="C2214" s="8" t="s">
        <v>19</v>
      </c>
      <c r="D2214" s="8">
        <v>69.0</v>
      </c>
      <c r="E2214" s="8" t="s">
        <v>4681</v>
      </c>
      <c r="F2214" s="8" t="s">
        <v>1479</v>
      </c>
      <c r="G2214" s="8" t="s">
        <v>2556</v>
      </c>
      <c r="H2214" s="8">
        <v>-1.0</v>
      </c>
      <c r="I2214" s="8" t="s">
        <v>3017</v>
      </c>
      <c r="J2214" s="8" t="s">
        <v>22</v>
      </c>
      <c r="K2214" s="8" t="s">
        <v>1023</v>
      </c>
      <c r="L2214" s="8" t="s">
        <v>24</v>
      </c>
      <c r="M2214" s="9">
        <v>0.5</v>
      </c>
      <c r="N2214" s="9">
        <v>0.15</v>
      </c>
      <c r="O2214" s="9">
        <v>0.0784090909</v>
      </c>
      <c r="P2214" s="10">
        <v>45360.0</v>
      </c>
      <c r="Q2214" s="11">
        <v>4.0</v>
      </c>
      <c r="R2214" s="8" t="s">
        <v>33</v>
      </c>
      <c r="S2214" s="12">
        <f t="shared" si="1"/>
        <v>0.2352272727</v>
      </c>
      <c r="T2214" s="12">
        <f t="shared" si="8"/>
        <v>80.71599522</v>
      </c>
      <c r="U2214" s="145"/>
    </row>
    <row r="2215">
      <c r="A2215" s="29"/>
      <c r="B2215" s="15" t="s">
        <v>26</v>
      </c>
      <c r="C2215" s="15" t="s">
        <v>19</v>
      </c>
      <c r="D2215" s="15">
        <v>70.0</v>
      </c>
      <c r="E2215" s="15" t="s">
        <v>4682</v>
      </c>
      <c r="F2215" s="15" t="s">
        <v>1473</v>
      </c>
      <c r="G2215" s="15" t="s">
        <v>2660</v>
      </c>
      <c r="H2215" s="15">
        <v>-1.0</v>
      </c>
      <c r="I2215" s="15" t="s">
        <v>487</v>
      </c>
      <c r="J2215" s="15" t="s">
        <v>22</v>
      </c>
      <c r="K2215" s="15" t="s">
        <v>892</v>
      </c>
      <c r="L2215" s="15" t="s">
        <v>24</v>
      </c>
      <c r="M2215" s="16">
        <v>0.0</v>
      </c>
      <c r="N2215" s="16">
        <v>0.6</v>
      </c>
      <c r="O2215" s="16">
        <v>0.6</v>
      </c>
      <c r="P2215" s="17">
        <v>45361.0</v>
      </c>
      <c r="Q2215" s="18">
        <f>(1.9+1.9+1.7)/3</f>
        <v>1.833333333</v>
      </c>
      <c r="R2215" s="15" t="s">
        <v>33</v>
      </c>
      <c r="S2215" s="19">
        <f t="shared" si="1"/>
        <v>0.5</v>
      </c>
      <c r="T2215" s="19">
        <f t="shared" si="8"/>
        <v>81.21599522</v>
      </c>
      <c r="U2215" s="144"/>
    </row>
    <row r="2216">
      <c r="A2216" s="107"/>
      <c r="B2216" s="8" t="s">
        <v>129</v>
      </c>
      <c r="C2216" s="8" t="s">
        <v>19</v>
      </c>
      <c r="D2216" s="8">
        <v>70.0</v>
      </c>
      <c r="E2216" s="8" t="s">
        <v>4683</v>
      </c>
      <c r="F2216" s="8" t="s">
        <v>1479</v>
      </c>
      <c r="G2216" s="8" t="s">
        <v>2660</v>
      </c>
      <c r="H2216" s="8">
        <v>-1.0</v>
      </c>
      <c r="I2216" s="8" t="s">
        <v>101</v>
      </c>
      <c r="J2216" s="8" t="s">
        <v>22</v>
      </c>
      <c r="K2216" s="8" t="s">
        <v>892</v>
      </c>
      <c r="L2216" s="8" t="s">
        <v>24</v>
      </c>
      <c r="M2216" s="9">
        <v>0.0</v>
      </c>
      <c r="N2216" s="9">
        <v>0.4</v>
      </c>
      <c r="O2216" s="9">
        <v>0.4</v>
      </c>
      <c r="P2216" s="10">
        <v>45361.0</v>
      </c>
      <c r="Q2216" s="11">
        <v>2.02</v>
      </c>
      <c r="R2216" s="8" t="s">
        <v>25</v>
      </c>
      <c r="S2216" s="12">
        <f t="shared" si="1"/>
        <v>-0.4</v>
      </c>
      <c r="T2216" s="12">
        <f t="shared" si="8"/>
        <v>80.81599522</v>
      </c>
      <c r="U2216" s="145"/>
    </row>
    <row r="2217">
      <c r="A2217" s="29"/>
      <c r="B2217" s="15" t="s">
        <v>26</v>
      </c>
      <c r="C2217" s="15" t="s">
        <v>19</v>
      </c>
      <c r="D2217" s="15">
        <v>34.0</v>
      </c>
      <c r="E2217" s="15" t="s">
        <v>4684</v>
      </c>
      <c r="F2217" s="15" t="s">
        <v>1479</v>
      </c>
      <c r="G2217" s="15" t="s">
        <v>2660</v>
      </c>
      <c r="H2217" s="15">
        <f>1</f>
        <v>1</v>
      </c>
      <c r="I2217" s="15" t="s">
        <v>93</v>
      </c>
      <c r="J2217" s="15" t="s">
        <v>22</v>
      </c>
      <c r="K2217" s="15" t="s">
        <v>4584</v>
      </c>
      <c r="L2217" s="15" t="s">
        <v>24</v>
      </c>
      <c r="M2217" s="16">
        <v>0.0</v>
      </c>
      <c r="N2217" s="16">
        <v>0.6</v>
      </c>
      <c r="O2217" s="16">
        <v>0.6</v>
      </c>
      <c r="P2217" s="17">
        <v>45361.0</v>
      </c>
      <c r="Q2217" s="18">
        <v>1.7</v>
      </c>
      <c r="R2217" s="15" t="s">
        <v>70</v>
      </c>
      <c r="S2217" s="19">
        <f t="shared" si="1"/>
        <v>0</v>
      </c>
      <c r="T2217" s="19">
        <f t="shared" si="8"/>
        <v>80.81599522</v>
      </c>
      <c r="U2217" s="144"/>
    </row>
    <row r="2218">
      <c r="A2218" s="107"/>
      <c r="B2218" s="8" t="s">
        <v>26</v>
      </c>
      <c r="C2218" s="8" t="s">
        <v>40</v>
      </c>
      <c r="D2218" s="8">
        <v>62.0</v>
      </c>
      <c r="E2218" s="8" t="s">
        <v>4685</v>
      </c>
      <c r="F2218" s="8" t="s">
        <v>1473</v>
      </c>
      <c r="G2218" s="8" t="s">
        <v>4669</v>
      </c>
      <c r="H2218" s="8">
        <v>0.0</v>
      </c>
      <c r="I2218" s="8" t="s">
        <v>93</v>
      </c>
      <c r="J2218" s="8" t="s">
        <v>22</v>
      </c>
      <c r="K2218" s="8" t="s">
        <v>894</v>
      </c>
      <c r="L2218" s="8" t="s">
        <v>1522</v>
      </c>
      <c r="M2218" s="9">
        <v>-0.75</v>
      </c>
      <c r="N2218" s="9">
        <v>0.2</v>
      </c>
      <c r="O2218" s="9">
        <v>0.2</v>
      </c>
      <c r="P2218" s="10">
        <v>45361.0</v>
      </c>
      <c r="Q2218" s="11">
        <v>1.95</v>
      </c>
      <c r="R2218" s="8" t="s">
        <v>30</v>
      </c>
      <c r="S2218" s="12">
        <f t="shared" si="1"/>
        <v>0.095</v>
      </c>
      <c r="T2218" s="12">
        <f t="shared" si="8"/>
        <v>80.91099522</v>
      </c>
      <c r="U2218" s="145"/>
    </row>
    <row r="2219">
      <c r="A2219" s="29"/>
      <c r="B2219" s="15" t="s">
        <v>129</v>
      </c>
      <c r="C2219" s="15" t="s">
        <v>19</v>
      </c>
      <c r="D2219" s="15">
        <v>37.0</v>
      </c>
      <c r="E2219" s="15" t="s">
        <v>4686</v>
      </c>
      <c r="F2219" s="15" t="s">
        <v>1479</v>
      </c>
      <c r="G2219" s="15" t="s">
        <v>2660</v>
      </c>
      <c r="H2219" s="15">
        <v>0.0</v>
      </c>
      <c r="I2219" s="15" t="s">
        <v>93</v>
      </c>
      <c r="J2219" s="15" t="s">
        <v>22</v>
      </c>
      <c r="K2219" s="15" t="s">
        <v>4584</v>
      </c>
      <c r="L2219" s="15" t="s">
        <v>24</v>
      </c>
      <c r="M2219" s="16">
        <v>0.0</v>
      </c>
      <c r="N2219" s="16">
        <v>0.2</v>
      </c>
      <c r="O2219" s="16">
        <v>0.2</v>
      </c>
      <c r="P2219" s="17">
        <v>45361.0</v>
      </c>
      <c r="Q2219" s="18">
        <v>1.675</v>
      </c>
      <c r="R2219" s="15" t="s">
        <v>70</v>
      </c>
      <c r="S2219" s="19">
        <f t="shared" si="1"/>
        <v>0</v>
      </c>
      <c r="T2219" s="19">
        <f t="shared" si="8"/>
        <v>80.91099522</v>
      </c>
      <c r="U2219" s="144"/>
    </row>
    <row r="2220">
      <c r="A2220" s="107"/>
      <c r="B2220" s="8" t="s">
        <v>129</v>
      </c>
      <c r="C2220" s="8" t="s">
        <v>19</v>
      </c>
      <c r="D2220" s="8">
        <v>28.0</v>
      </c>
      <c r="E2220" s="8" t="s">
        <v>4687</v>
      </c>
      <c r="F2220" s="8" t="s">
        <v>1479</v>
      </c>
      <c r="G2220" s="8" t="s">
        <v>2660</v>
      </c>
      <c r="H2220" s="8">
        <v>0.0</v>
      </c>
      <c r="I2220" s="8" t="s">
        <v>231</v>
      </c>
      <c r="J2220" s="8" t="s">
        <v>22</v>
      </c>
      <c r="K2220" s="8" t="s">
        <v>892</v>
      </c>
      <c r="L2220" s="8" t="s">
        <v>24</v>
      </c>
      <c r="M2220" s="9">
        <v>0.0</v>
      </c>
      <c r="N2220" s="9">
        <v>0.8</v>
      </c>
      <c r="O2220" s="9">
        <v>0.8</v>
      </c>
      <c r="P2220" s="10">
        <v>45361.0</v>
      </c>
      <c r="Q2220" s="11">
        <v>1.7</v>
      </c>
      <c r="R2220" s="8" t="s">
        <v>70</v>
      </c>
      <c r="S2220" s="12">
        <f t="shared" si="1"/>
        <v>0</v>
      </c>
      <c r="T2220" s="12">
        <f t="shared" si="8"/>
        <v>80.91099522</v>
      </c>
      <c r="U2220" s="145"/>
    </row>
    <row r="2221">
      <c r="A2221" s="29"/>
      <c r="B2221" s="15" t="s">
        <v>129</v>
      </c>
      <c r="C2221" s="15" t="s">
        <v>19</v>
      </c>
      <c r="D2221" s="15">
        <v>70.0</v>
      </c>
      <c r="E2221" s="15" t="s">
        <v>4688</v>
      </c>
      <c r="F2221" s="15" t="s">
        <v>1479</v>
      </c>
      <c r="G2221" s="15" t="s">
        <v>2660</v>
      </c>
      <c r="H2221" s="15">
        <v>0.0</v>
      </c>
      <c r="I2221" s="15" t="s">
        <v>99</v>
      </c>
      <c r="J2221" s="15" t="s">
        <v>22</v>
      </c>
      <c r="K2221" s="15" t="s">
        <v>892</v>
      </c>
      <c r="L2221" s="15" t="s">
        <v>24</v>
      </c>
      <c r="M2221" s="16">
        <v>0.0</v>
      </c>
      <c r="N2221" s="16">
        <v>0.4</v>
      </c>
      <c r="O2221" s="16">
        <v>0.4</v>
      </c>
      <c r="P2221" s="55">
        <v>45361.0</v>
      </c>
      <c r="Q2221" s="18">
        <v>1.65</v>
      </c>
      <c r="R2221" s="15" t="s">
        <v>70</v>
      </c>
      <c r="S2221" s="19">
        <f t="shared" si="1"/>
        <v>0</v>
      </c>
      <c r="T2221" s="19">
        <f t="shared" si="8"/>
        <v>80.91099522</v>
      </c>
      <c r="U2221" s="144"/>
    </row>
    <row r="2222">
      <c r="A2222" s="107"/>
      <c r="B2222" s="8" t="s">
        <v>129</v>
      </c>
      <c r="C2222" s="8" t="s">
        <v>40</v>
      </c>
      <c r="D2222" s="8">
        <v>74.0</v>
      </c>
      <c r="E2222" s="8" t="s">
        <v>4689</v>
      </c>
      <c r="F2222" s="8" t="s">
        <v>1473</v>
      </c>
      <c r="G2222" s="8" t="s">
        <v>2556</v>
      </c>
      <c r="H2222" s="8">
        <v>-2.0</v>
      </c>
      <c r="I2222" s="8" t="s">
        <v>316</v>
      </c>
      <c r="J2222" s="8" t="s">
        <v>22</v>
      </c>
      <c r="K2222" s="8" t="s">
        <v>225</v>
      </c>
      <c r="L2222" s="8" t="s">
        <v>24</v>
      </c>
      <c r="M2222" s="9">
        <v>0.5</v>
      </c>
      <c r="N2222" s="9">
        <v>0.6</v>
      </c>
      <c r="O2222" s="9">
        <v>0.4363</v>
      </c>
      <c r="P2222" s="10">
        <v>45361.0</v>
      </c>
      <c r="Q2222" s="11">
        <v>1.75</v>
      </c>
      <c r="R2222" s="8" t="s">
        <v>25</v>
      </c>
      <c r="S2222" s="12">
        <f t="shared" si="1"/>
        <v>-0.4363</v>
      </c>
      <c r="T2222" s="12">
        <f t="shared" si="8"/>
        <v>80.47469522</v>
      </c>
      <c r="U2222" s="145"/>
    </row>
    <row r="2223">
      <c r="A2223" s="29"/>
      <c r="B2223" s="15" t="s">
        <v>18</v>
      </c>
      <c r="C2223" s="15" t="s">
        <v>19</v>
      </c>
      <c r="D2223" s="15">
        <v>55.0</v>
      </c>
      <c r="E2223" s="15" t="s">
        <v>4690</v>
      </c>
      <c r="F2223" s="15" t="s">
        <v>1473</v>
      </c>
      <c r="G2223" s="15" t="s">
        <v>2660</v>
      </c>
      <c r="H2223" s="15">
        <f>1</f>
        <v>1</v>
      </c>
      <c r="I2223" s="15" t="s">
        <v>99</v>
      </c>
      <c r="J2223" s="15" t="s">
        <v>22</v>
      </c>
      <c r="K2223" s="15" t="s">
        <v>892</v>
      </c>
      <c r="L2223" s="15" t="s">
        <v>24</v>
      </c>
      <c r="M2223" s="16">
        <v>0.0</v>
      </c>
      <c r="N2223" s="16">
        <v>0.6</v>
      </c>
      <c r="O2223" s="16">
        <v>0.6</v>
      </c>
      <c r="P2223" s="17">
        <v>45361.0</v>
      </c>
      <c r="Q2223" s="18">
        <v>1.725</v>
      </c>
      <c r="R2223" s="15" t="s">
        <v>70</v>
      </c>
      <c r="S2223" s="19">
        <f t="shared" si="1"/>
        <v>0</v>
      </c>
      <c r="T2223" s="19">
        <f t="shared" si="8"/>
        <v>80.47469522</v>
      </c>
      <c r="U2223" s="144"/>
    </row>
    <row r="2224">
      <c r="A2224" s="107"/>
      <c r="B2224" s="8" t="s">
        <v>18</v>
      </c>
      <c r="C2224" s="8" t="s">
        <v>19</v>
      </c>
      <c r="D2224" s="8">
        <v>25.0</v>
      </c>
      <c r="E2224" s="8" t="s">
        <v>4691</v>
      </c>
      <c r="F2224" s="8" t="s">
        <v>1473</v>
      </c>
      <c r="G2224" s="8" t="s">
        <v>2556</v>
      </c>
      <c r="H2224" s="8">
        <v>0.0</v>
      </c>
      <c r="I2224" s="8" t="s">
        <v>82</v>
      </c>
      <c r="J2224" s="8" t="s">
        <v>22</v>
      </c>
      <c r="K2224" s="8" t="s">
        <v>225</v>
      </c>
      <c r="L2224" s="8" t="s">
        <v>1522</v>
      </c>
      <c r="M2224" s="9">
        <v>0.25</v>
      </c>
      <c r="N2224" s="9">
        <v>0.6</v>
      </c>
      <c r="O2224" s="9">
        <v>0.5545</v>
      </c>
      <c r="P2224" s="10">
        <v>45361.0</v>
      </c>
      <c r="Q2224" s="11">
        <v>1.775</v>
      </c>
      <c r="R2224" s="8" t="s">
        <v>30</v>
      </c>
      <c r="S2224" s="12">
        <f t="shared" si="1"/>
        <v>0.21486875</v>
      </c>
      <c r="T2224" s="12">
        <f t="shared" si="8"/>
        <v>80.68956397</v>
      </c>
      <c r="U2224" s="145"/>
    </row>
    <row r="2225">
      <c r="A2225" s="29"/>
      <c r="B2225" s="15" t="s">
        <v>129</v>
      </c>
      <c r="C2225" s="15" t="s">
        <v>19</v>
      </c>
      <c r="D2225" s="15">
        <v>30.0</v>
      </c>
      <c r="E2225" s="15" t="s">
        <v>4692</v>
      </c>
      <c r="F2225" s="15" t="s">
        <v>1473</v>
      </c>
      <c r="G2225" s="15" t="s">
        <v>2660</v>
      </c>
      <c r="H2225" s="15">
        <v>0.0</v>
      </c>
      <c r="I2225" s="15" t="s">
        <v>48</v>
      </c>
      <c r="J2225" s="15" t="s">
        <v>22</v>
      </c>
      <c r="K2225" s="15" t="s">
        <v>4584</v>
      </c>
      <c r="L2225" s="15" t="s">
        <v>24</v>
      </c>
      <c r="M2225" s="16">
        <v>0.0</v>
      </c>
      <c r="N2225" s="16">
        <v>0.2</v>
      </c>
      <c r="O2225" s="16">
        <v>0.07272</v>
      </c>
      <c r="P2225" s="17">
        <v>45361.0</v>
      </c>
      <c r="Q2225" s="18">
        <v>2.25</v>
      </c>
      <c r="R2225" s="15" t="s">
        <v>33</v>
      </c>
      <c r="S2225" s="19">
        <f t="shared" si="1"/>
        <v>0.0909</v>
      </c>
      <c r="T2225" s="19">
        <f t="shared" si="8"/>
        <v>80.78046397</v>
      </c>
      <c r="U2225" s="144"/>
    </row>
    <row r="2226">
      <c r="A2226" s="107"/>
      <c r="B2226" s="8" t="s">
        <v>26</v>
      </c>
      <c r="C2226" s="8" t="s">
        <v>19</v>
      </c>
      <c r="D2226" s="8">
        <v>67.0</v>
      </c>
      <c r="E2226" s="8" t="s">
        <v>4693</v>
      </c>
      <c r="F2226" s="8" t="s">
        <v>1479</v>
      </c>
      <c r="G2226" s="8" t="s">
        <v>2660</v>
      </c>
      <c r="H2226" s="8">
        <v>-3.0</v>
      </c>
      <c r="I2226" s="8" t="s">
        <v>99</v>
      </c>
      <c r="J2226" s="8" t="s">
        <v>22</v>
      </c>
      <c r="K2226" s="8" t="s">
        <v>892</v>
      </c>
      <c r="L2226" s="8" t="s">
        <v>24</v>
      </c>
      <c r="M2226" s="9">
        <v>0.0</v>
      </c>
      <c r="N2226" s="9">
        <v>0.6</v>
      </c>
      <c r="O2226" s="9">
        <v>0.6</v>
      </c>
      <c r="P2226" s="10">
        <v>45361.0</v>
      </c>
      <c r="Q2226" s="11">
        <v>1.8</v>
      </c>
      <c r="R2226" s="8" t="s">
        <v>70</v>
      </c>
      <c r="S2226" s="12">
        <f t="shared" si="1"/>
        <v>0</v>
      </c>
      <c r="T2226" s="12">
        <f t="shared" si="8"/>
        <v>80.78046397</v>
      </c>
      <c r="U2226" s="145"/>
    </row>
    <row r="2227">
      <c r="A2227" s="29"/>
      <c r="B2227" s="15" t="s">
        <v>129</v>
      </c>
      <c r="C2227" s="15" t="s">
        <v>19</v>
      </c>
      <c r="D2227" s="15">
        <v>75.0</v>
      </c>
      <c r="E2227" s="15" t="s">
        <v>4694</v>
      </c>
      <c r="F2227" s="15" t="s">
        <v>1473</v>
      </c>
      <c r="G2227" s="15" t="s">
        <v>2660</v>
      </c>
      <c r="H2227" s="15">
        <v>-1.0</v>
      </c>
      <c r="I2227" s="15" t="s">
        <v>2116</v>
      </c>
      <c r="J2227" s="15" t="s">
        <v>22</v>
      </c>
      <c r="K2227" s="15" t="s">
        <v>892</v>
      </c>
      <c r="L2227" s="15" t="s">
        <v>24</v>
      </c>
      <c r="M2227" s="16">
        <v>0.0</v>
      </c>
      <c r="N2227" s="16">
        <v>0.6</v>
      </c>
      <c r="O2227" s="16">
        <v>0.6</v>
      </c>
      <c r="P2227" s="17">
        <v>45361.0</v>
      </c>
      <c r="Q2227" s="18">
        <v>1.95</v>
      </c>
      <c r="R2227" s="15" t="s">
        <v>70</v>
      </c>
      <c r="S2227" s="19">
        <f t="shared" si="1"/>
        <v>0</v>
      </c>
      <c r="T2227" s="19">
        <f t="shared" si="8"/>
        <v>80.78046397</v>
      </c>
      <c r="U2227" s="144"/>
    </row>
    <row r="2228">
      <c r="A2228" s="107"/>
      <c r="B2228" s="8" t="s">
        <v>18</v>
      </c>
      <c r="C2228" s="8" t="s">
        <v>19</v>
      </c>
      <c r="D2228" s="8">
        <v>75.0</v>
      </c>
      <c r="E2228" s="8" t="s">
        <v>4695</v>
      </c>
      <c r="F2228" s="8" t="s">
        <v>1479</v>
      </c>
      <c r="G2228" s="8" t="s">
        <v>2660</v>
      </c>
      <c r="H2228" s="8">
        <v>0.0</v>
      </c>
      <c r="I2228" s="8" t="s">
        <v>82</v>
      </c>
      <c r="J2228" s="8" t="s">
        <v>22</v>
      </c>
      <c r="K2228" s="8" t="s">
        <v>892</v>
      </c>
      <c r="L2228" s="8" t="s">
        <v>24</v>
      </c>
      <c r="M2228" s="9">
        <v>0.0</v>
      </c>
      <c r="N2228" s="9">
        <v>0.2</v>
      </c>
      <c r="O2228" s="9">
        <v>0.2</v>
      </c>
      <c r="P2228" s="10">
        <v>45361.0</v>
      </c>
      <c r="Q2228" s="11">
        <v>2.35</v>
      </c>
      <c r="R2228" s="8" t="s">
        <v>70</v>
      </c>
      <c r="S2228" s="12">
        <f t="shared" si="1"/>
        <v>0</v>
      </c>
      <c r="T2228" s="12">
        <f t="shared" si="8"/>
        <v>80.78046397</v>
      </c>
      <c r="U2228" s="145"/>
    </row>
    <row r="2229">
      <c r="A2229" s="29"/>
      <c r="B2229" s="15" t="s">
        <v>129</v>
      </c>
      <c r="C2229" s="15" t="s">
        <v>19</v>
      </c>
      <c r="D2229" s="15">
        <v>75.0</v>
      </c>
      <c r="E2229" s="15" t="s">
        <v>4696</v>
      </c>
      <c r="F2229" s="15" t="s">
        <v>1473</v>
      </c>
      <c r="G2229" s="15" t="s">
        <v>2660</v>
      </c>
      <c r="H2229" s="15">
        <v>0.0</v>
      </c>
      <c r="I2229" s="15" t="s">
        <v>624</v>
      </c>
      <c r="J2229" s="15" t="s">
        <v>22</v>
      </c>
      <c r="K2229" s="15" t="s">
        <v>892</v>
      </c>
      <c r="L2229" s="15" t="s">
        <v>24</v>
      </c>
      <c r="M2229" s="16">
        <v>0.0</v>
      </c>
      <c r="N2229" s="16">
        <v>0.75</v>
      </c>
      <c r="O2229" s="16">
        <v>0.75</v>
      </c>
      <c r="P2229" s="17">
        <v>45361.0</v>
      </c>
      <c r="Q2229" s="18">
        <v>1.775</v>
      </c>
      <c r="R2229" s="15" t="s">
        <v>25</v>
      </c>
      <c r="S2229" s="19">
        <f t="shared" si="1"/>
        <v>-0.75</v>
      </c>
      <c r="T2229" s="19">
        <f t="shared" si="8"/>
        <v>80.03046397</v>
      </c>
      <c r="U2229" s="144"/>
    </row>
    <row r="2230">
      <c r="A2230" s="107"/>
      <c r="B2230" s="8" t="s">
        <v>26</v>
      </c>
      <c r="C2230" s="8" t="s">
        <v>40</v>
      </c>
      <c r="D2230" s="8">
        <v>86.0</v>
      </c>
      <c r="E2230" s="8" t="s">
        <v>4697</v>
      </c>
      <c r="F2230" s="8"/>
      <c r="G2230" s="8"/>
      <c r="H2230" s="8" t="s">
        <v>2868</v>
      </c>
      <c r="I2230" s="8" t="s">
        <v>187</v>
      </c>
      <c r="J2230" s="8" t="s">
        <v>22</v>
      </c>
      <c r="K2230" s="8" t="s">
        <v>29</v>
      </c>
      <c r="L2230" s="8" t="s">
        <v>24</v>
      </c>
      <c r="M2230" s="9">
        <v>-4.5</v>
      </c>
      <c r="N2230" s="9">
        <v>0.4</v>
      </c>
      <c r="O2230" s="9">
        <v>0.4</v>
      </c>
      <c r="P2230" s="10">
        <v>45361.0</v>
      </c>
      <c r="Q2230" s="11">
        <v>1.9</v>
      </c>
      <c r="R2230" s="8" t="s">
        <v>25</v>
      </c>
      <c r="S2230" s="12">
        <f t="shared" si="1"/>
        <v>-0.4</v>
      </c>
      <c r="T2230" s="12">
        <f t="shared" si="8"/>
        <v>79.63046397</v>
      </c>
      <c r="U2230" s="145"/>
    </row>
    <row r="2231">
      <c r="A2231" s="29"/>
      <c r="B2231" s="15" t="s">
        <v>26</v>
      </c>
      <c r="C2231" s="15" t="s">
        <v>19</v>
      </c>
      <c r="D2231" s="15">
        <v>64.0</v>
      </c>
      <c r="E2231" s="15" t="s">
        <v>4698</v>
      </c>
      <c r="F2231" s="15" t="s">
        <v>1479</v>
      </c>
      <c r="G2231" s="15" t="s">
        <v>2660</v>
      </c>
      <c r="H2231" s="15">
        <v>0.0</v>
      </c>
      <c r="I2231" s="15" t="s">
        <v>50</v>
      </c>
      <c r="J2231" s="15" t="s">
        <v>22</v>
      </c>
      <c r="K2231" s="15" t="s">
        <v>892</v>
      </c>
      <c r="L2231" s="15" t="s">
        <v>24</v>
      </c>
      <c r="M2231" s="16">
        <v>0.0</v>
      </c>
      <c r="N2231" s="16">
        <v>1.0</v>
      </c>
      <c r="O2231" s="16">
        <v>1.0</v>
      </c>
      <c r="P2231" s="17">
        <v>45361.0</v>
      </c>
      <c r="Q2231" s="18">
        <v>1.75</v>
      </c>
      <c r="R2231" s="15" t="s">
        <v>70</v>
      </c>
      <c r="S2231" s="19">
        <f t="shared" si="1"/>
        <v>0</v>
      </c>
      <c r="T2231" s="19">
        <f t="shared" si="8"/>
        <v>79.63046397</v>
      </c>
      <c r="U2231" s="144"/>
    </row>
    <row r="2232">
      <c r="A2232" s="107"/>
      <c r="B2232" s="8" t="s">
        <v>26</v>
      </c>
      <c r="C2232" s="8" t="s">
        <v>40</v>
      </c>
      <c r="D2232" s="8">
        <v>80.0</v>
      </c>
      <c r="E2232" s="8" t="s">
        <v>4699</v>
      </c>
      <c r="F2232" s="8" t="s">
        <v>1473</v>
      </c>
      <c r="G2232" s="8" t="s">
        <v>2660</v>
      </c>
      <c r="H2232" s="8">
        <v>-1.0</v>
      </c>
      <c r="I2232" s="8" t="s">
        <v>93</v>
      </c>
      <c r="J2232" s="8" t="s">
        <v>22</v>
      </c>
      <c r="K2232" s="8" t="s">
        <v>892</v>
      </c>
      <c r="L2232" s="8" t="s">
        <v>1522</v>
      </c>
      <c r="M2232" s="9">
        <v>0.0</v>
      </c>
      <c r="N2232" s="9">
        <v>0.4</v>
      </c>
      <c r="O2232" s="9">
        <v>0.4</v>
      </c>
      <c r="P2232" s="10">
        <v>45361.0</v>
      </c>
      <c r="Q2232" s="11">
        <v>1.88</v>
      </c>
      <c r="R2232" s="8" t="s">
        <v>70</v>
      </c>
      <c r="S2232" s="12">
        <f t="shared" si="1"/>
        <v>0</v>
      </c>
      <c r="T2232" s="12">
        <f t="shared" si="8"/>
        <v>79.63046397</v>
      </c>
      <c r="U2232" s="145"/>
    </row>
    <row r="2233">
      <c r="A2233" s="29"/>
      <c r="B2233" s="15" t="s">
        <v>18</v>
      </c>
      <c r="C2233" s="15" t="s">
        <v>40</v>
      </c>
      <c r="D2233" s="15">
        <v>57.0</v>
      </c>
      <c r="E2233" s="15" t="s">
        <v>4700</v>
      </c>
      <c r="F2233" s="15" t="s">
        <v>1473</v>
      </c>
      <c r="G2233" s="15" t="s">
        <v>2556</v>
      </c>
      <c r="H2233" s="15">
        <v>2</v>
      </c>
      <c r="I2233" s="15" t="s">
        <v>93</v>
      </c>
      <c r="J2233" s="15" t="s">
        <v>22</v>
      </c>
      <c r="K2233" s="15" t="s">
        <v>225</v>
      </c>
      <c r="L2233" s="15" t="s">
        <v>24</v>
      </c>
      <c r="M2233" s="16">
        <v>0.5</v>
      </c>
      <c r="N2233" s="16">
        <v>0.5</v>
      </c>
      <c r="O2233" s="16">
        <v>0.5</v>
      </c>
      <c r="P2233" s="17">
        <v>45361.0</v>
      </c>
      <c r="Q2233" s="18">
        <v>1.75</v>
      </c>
      <c r="R2233" s="15" t="s">
        <v>33</v>
      </c>
      <c r="S2233" s="19">
        <f t="shared" si="1"/>
        <v>0.375</v>
      </c>
      <c r="T2233" s="19">
        <f t="shared" si="8"/>
        <v>80.00546397</v>
      </c>
      <c r="U2233" s="144"/>
    </row>
    <row r="2234">
      <c r="A2234" s="107"/>
      <c r="B2234" s="8" t="s">
        <v>26</v>
      </c>
      <c r="C2234" s="8" t="s">
        <v>19</v>
      </c>
      <c r="D2234" s="8">
        <v>0.0</v>
      </c>
      <c r="E2234" s="8" t="s">
        <v>4701</v>
      </c>
      <c r="F2234" s="8"/>
      <c r="G2234" s="8"/>
      <c r="H2234" s="8"/>
      <c r="I2234" s="8" t="s">
        <v>82</v>
      </c>
      <c r="J2234" s="8" t="s">
        <v>598</v>
      </c>
      <c r="K2234" s="8" t="s">
        <v>2415</v>
      </c>
      <c r="L2234" s="8" t="s">
        <v>24</v>
      </c>
      <c r="M2234" s="9">
        <v>10.5</v>
      </c>
      <c r="N2234" s="9">
        <v>0.25</v>
      </c>
      <c r="O2234" s="9">
        <v>0.25</v>
      </c>
      <c r="P2234" s="10">
        <v>45361.0</v>
      </c>
      <c r="Q2234" s="11">
        <v>1.725</v>
      </c>
      <c r="R2234" s="8" t="s">
        <v>25</v>
      </c>
      <c r="S2234" s="12">
        <f t="shared" si="1"/>
        <v>-0.25</v>
      </c>
      <c r="T2234" s="12">
        <f t="shared" si="8"/>
        <v>79.75546397</v>
      </c>
      <c r="U2234" s="145"/>
    </row>
    <row r="2235">
      <c r="A2235" s="29"/>
      <c r="B2235" s="15" t="s">
        <v>129</v>
      </c>
      <c r="C2235" s="15" t="s">
        <v>19</v>
      </c>
      <c r="D2235" s="15">
        <v>73.0</v>
      </c>
      <c r="E2235" s="15" t="s">
        <v>4702</v>
      </c>
      <c r="F2235" s="15" t="s">
        <v>1473</v>
      </c>
      <c r="G2235" s="15" t="s">
        <v>2660</v>
      </c>
      <c r="H2235" s="15">
        <v>-1.0</v>
      </c>
      <c r="I2235" s="15" t="s">
        <v>487</v>
      </c>
      <c r="J2235" s="15" t="s">
        <v>22</v>
      </c>
      <c r="K2235" s="15" t="s">
        <v>892</v>
      </c>
      <c r="L2235" s="15" t="s">
        <v>24</v>
      </c>
      <c r="M2235" s="16">
        <v>0.0</v>
      </c>
      <c r="N2235" s="16">
        <v>0.6</v>
      </c>
      <c r="O2235" s="16">
        <v>0.6</v>
      </c>
      <c r="P2235" s="17">
        <v>45363.0</v>
      </c>
      <c r="Q2235" s="18">
        <v>1.825</v>
      </c>
      <c r="R2235" s="15" t="s">
        <v>25</v>
      </c>
      <c r="S2235" s="19">
        <f t="shared" si="1"/>
        <v>-0.6</v>
      </c>
      <c r="T2235" s="19">
        <f t="shared" si="8"/>
        <v>79.15546397</v>
      </c>
      <c r="U2235" s="144"/>
    </row>
    <row r="2236">
      <c r="A2236" s="107"/>
      <c r="B2236" s="8" t="s">
        <v>18</v>
      </c>
      <c r="C2236" s="8" t="s">
        <v>19</v>
      </c>
      <c r="D2236" s="8">
        <v>61.0</v>
      </c>
      <c r="E2236" s="8" t="s">
        <v>4703</v>
      </c>
      <c r="F2236" s="8" t="s">
        <v>1479</v>
      </c>
      <c r="G2236" s="8" t="s">
        <v>2660</v>
      </c>
      <c r="H2236" s="8">
        <v>-2.0</v>
      </c>
      <c r="I2236" s="8" t="s">
        <v>172</v>
      </c>
      <c r="J2236" s="8" t="s">
        <v>22</v>
      </c>
      <c r="K2236" s="8" t="s">
        <v>892</v>
      </c>
      <c r="L2236" s="8" t="s">
        <v>24</v>
      </c>
      <c r="M2236" s="9">
        <v>0.0</v>
      </c>
      <c r="N2236" s="9">
        <v>0.2</v>
      </c>
      <c r="O2236" s="9">
        <v>0.0432</v>
      </c>
      <c r="P2236" s="10">
        <v>45363.0</v>
      </c>
      <c r="Q2236" s="11">
        <v>2.05</v>
      </c>
      <c r="R2236" s="8" t="s">
        <v>33</v>
      </c>
      <c r="S2236" s="12">
        <f t="shared" si="1"/>
        <v>0.04536</v>
      </c>
      <c r="T2236" s="12">
        <f t="shared" si="8"/>
        <v>79.20082397</v>
      </c>
      <c r="U2236" s="145"/>
    </row>
    <row r="2237">
      <c r="A2237" s="29"/>
      <c r="B2237" s="15" t="s">
        <v>18</v>
      </c>
      <c r="C2237" s="15" t="s">
        <v>19</v>
      </c>
      <c r="D2237" s="15">
        <v>68.0</v>
      </c>
      <c r="E2237" s="15" t="s">
        <v>4703</v>
      </c>
      <c r="F2237" s="15" t="s">
        <v>1479</v>
      </c>
      <c r="G2237" s="15" t="s">
        <v>2660</v>
      </c>
      <c r="H2237" s="15">
        <v>-1.0</v>
      </c>
      <c r="I2237" s="15" t="s">
        <v>172</v>
      </c>
      <c r="J2237" s="15" t="s">
        <v>22</v>
      </c>
      <c r="K2237" s="15" t="s">
        <v>892</v>
      </c>
      <c r="L2237" s="15" t="s">
        <v>24</v>
      </c>
      <c r="M2237" s="16">
        <v>0.0</v>
      </c>
      <c r="N2237" s="16">
        <v>0.8</v>
      </c>
      <c r="O2237" s="16">
        <v>0.8</v>
      </c>
      <c r="P2237" s="17">
        <v>45363.0</v>
      </c>
      <c r="Q2237" s="18">
        <v>1.7</v>
      </c>
      <c r="R2237" s="15" t="s">
        <v>70</v>
      </c>
      <c r="S2237" s="19">
        <f t="shared" si="1"/>
        <v>0</v>
      </c>
      <c r="T2237" s="19">
        <f t="shared" si="8"/>
        <v>79.20082397</v>
      </c>
      <c r="U2237" s="144"/>
    </row>
    <row r="2238">
      <c r="A2238" s="107"/>
      <c r="B2238" s="8" t="s">
        <v>26</v>
      </c>
      <c r="C2238" s="8" t="s">
        <v>19</v>
      </c>
      <c r="D2238" s="8">
        <v>70.0</v>
      </c>
      <c r="E2238" s="8" t="s">
        <v>4704</v>
      </c>
      <c r="F2238" s="8" t="s">
        <v>1473</v>
      </c>
      <c r="G2238" s="8" t="s">
        <v>2660</v>
      </c>
      <c r="H2238" s="8">
        <v>-2.0</v>
      </c>
      <c r="I2238" s="8" t="s">
        <v>316</v>
      </c>
      <c r="J2238" s="8" t="s">
        <v>22</v>
      </c>
      <c r="K2238" s="8" t="s">
        <v>892</v>
      </c>
      <c r="L2238" s="8" t="s">
        <v>24</v>
      </c>
      <c r="M2238" s="9">
        <v>0.0</v>
      </c>
      <c r="N2238" s="9">
        <v>0.8</v>
      </c>
      <c r="O2238" s="9">
        <v>0.8</v>
      </c>
      <c r="P2238" s="10">
        <v>45363.0</v>
      </c>
      <c r="Q2238" s="11">
        <v>1.75</v>
      </c>
      <c r="R2238" s="8" t="s">
        <v>70</v>
      </c>
      <c r="S2238" s="12">
        <f t="shared" si="1"/>
        <v>0</v>
      </c>
      <c r="T2238" s="12">
        <f t="shared" si="8"/>
        <v>79.20082397</v>
      </c>
      <c r="U2238" s="145"/>
    </row>
    <row r="2239">
      <c r="A2239" s="29"/>
      <c r="B2239" s="15" t="s">
        <v>137</v>
      </c>
      <c r="C2239" s="15" t="s">
        <v>19</v>
      </c>
      <c r="D2239" s="15">
        <v>82.0</v>
      </c>
      <c r="E2239" s="15" t="s">
        <v>4705</v>
      </c>
      <c r="F2239" s="15" t="s">
        <v>1473</v>
      </c>
      <c r="G2239" s="15" t="s">
        <v>2660</v>
      </c>
      <c r="H2239" s="15">
        <v>-1.0</v>
      </c>
      <c r="I2239" s="15" t="s">
        <v>675</v>
      </c>
      <c r="J2239" s="15" t="s">
        <v>22</v>
      </c>
      <c r="K2239" s="15" t="s">
        <v>892</v>
      </c>
      <c r="L2239" s="15" t="s">
        <v>24</v>
      </c>
      <c r="M2239" s="16">
        <v>0.0</v>
      </c>
      <c r="N2239" s="16">
        <v>0.2</v>
      </c>
      <c r="O2239" s="16">
        <v>0.2</v>
      </c>
      <c r="P2239" s="55">
        <v>45364.0</v>
      </c>
      <c r="Q2239" s="18">
        <v>1.7</v>
      </c>
      <c r="R2239" s="15" t="s">
        <v>70</v>
      </c>
      <c r="S2239" s="19">
        <f t="shared" si="1"/>
        <v>0</v>
      </c>
      <c r="T2239" s="19">
        <f t="shared" si="8"/>
        <v>79.20082397</v>
      </c>
      <c r="U2239" s="144"/>
    </row>
    <row r="2240">
      <c r="A2240" s="107"/>
      <c r="B2240" s="8" t="s">
        <v>26</v>
      </c>
      <c r="C2240" s="8" t="s">
        <v>19</v>
      </c>
      <c r="D2240" s="8">
        <v>83.0</v>
      </c>
      <c r="E2240" s="8" t="s">
        <v>4706</v>
      </c>
      <c r="F2240" s="8" t="s">
        <v>1473</v>
      </c>
      <c r="G2240" s="8" t="s">
        <v>2660</v>
      </c>
      <c r="H2240" s="8">
        <v>-1.0</v>
      </c>
      <c r="I2240" s="8" t="s">
        <v>525</v>
      </c>
      <c r="J2240" s="8" t="s">
        <v>22</v>
      </c>
      <c r="K2240" s="8" t="s">
        <v>892</v>
      </c>
      <c r="L2240" s="8" t="s">
        <v>24</v>
      </c>
      <c r="M2240" s="9">
        <v>0.0</v>
      </c>
      <c r="N2240" s="9">
        <v>1.0</v>
      </c>
      <c r="O2240" s="9">
        <v>1.0</v>
      </c>
      <c r="P2240" s="10">
        <v>45364.0</v>
      </c>
      <c r="Q2240" s="11">
        <v>1.95</v>
      </c>
      <c r="R2240" s="8" t="s">
        <v>70</v>
      </c>
      <c r="S2240" s="12">
        <f t="shared" si="1"/>
        <v>0</v>
      </c>
      <c r="T2240" s="12">
        <f t="shared" si="8"/>
        <v>79.20082397</v>
      </c>
      <c r="U2240" s="145"/>
    </row>
    <row r="2241">
      <c r="A2241" s="29"/>
      <c r="B2241" s="15" t="s">
        <v>26</v>
      </c>
      <c r="C2241" s="15" t="s">
        <v>19</v>
      </c>
      <c r="D2241" s="15">
        <v>55.0</v>
      </c>
      <c r="E2241" s="15" t="s">
        <v>4707</v>
      </c>
      <c r="F2241" s="15" t="s">
        <v>1479</v>
      </c>
      <c r="G2241" s="15" t="s">
        <v>4653</v>
      </c>
      <c r="H2241" s="15">
        <v>-1.0</v>
      </c>
      <c r="I2241" s="15" t="s">
        <v>191</v>
      </c>
      <c r="J2241" s="15" t="s">
        <v>22</v>
      </c>
      <c r="K2241" s="15" t="s">
        <v>894</v>
      </c>
      <c r="L2241" s="15" t="s">
        <v>24</v>
      </c>
      <c r="M2241" s="16">
        <v>-0.5</v>
      </c>
      <c r="N2241" s="16">
        <v>0.5</v>
      </c>
      <c r="O2241" s="16">
        <v>0.5</v>
      </c>
      <c r="P2241" s="17">
        <v>45364.0</v>
      </c>
      <c r="Q2241" s="18">
        <v>1.9</v>
      </c>
      <c r="R2241" s="15" t="s">
        <v>25</v>
      </c>
      <c r="S2241" s="19">
        <f t="shared" si="1"/>
        <v>-0.5</v>
      </c>
      <c r="T2241" s="19">
        <f t="shared" si="8"/>
        <v>78.70082397</v>
      </c>
      <c r="U2241" s="144"/>
    </row>
    <row r="2242">
      <c r="A2242" s="107"/>
      <c r="B2242" s="8" t="s">
        <v>26</v>
      </c>
      <c r="C2242" s="8" t="s">
        <v>19</v>
      </c>
      <c r="D2242" s="8">
        <v>76.0</v>
      </c>
      <c r="E2242" s="8" t="s">
        <v>4708</v>
      </c>
      <c r="F2242" s="8" t="s">
        <v>1479</v>
      </c>
      <c r="G2242" s="8" t="s">
        <v>2660</v>
      </c>
      <c r="H2242" s="8">
        <v>-2.0</v>
      </c>
      <c r="I2242" s="8" t="s">
        <v>316</v>
      </c>
      <c r="J2242" s="8" t="s">
        <v>22</v>
      </c>
      <c r="K2242" s="8" t="s">
        <v>892</v>
      </c>
      <c r="L2242" s="8" t="s">
        <v>24</v>
      </c>
      <c r="M2242" s="9">
        <v>0.0</v>
      </c>
      <c r="N2242" s="9">
        <v>0.75</v>
      </c>
      <c r="O2242" s="9">
        <v>0.75</v>
      </c>
      <c r="P2242" s="54">
        <v>45364.0</v>
      </c>
      <c r="Q2242" s="11">
        <v>1.75</v>
      </c>
      <c r="R2242" s="8" t="s">
        <v>25</v>
      </c>
      <c r="S2242" s="12">
        <f t="shared" si="1"/>
        <v>-0.75</v>
      </c>
      <c r="T2242" s="12">
        <f t="shared" si="8"/>
        <v>77.95082397</v>
      </c>
      <c r="U2242" s="145"/>
    </row>
    <row r="2243">
      <c r="A2243" s="29"/>
      <c r="B2243" s="15" t="s">
        <v>18</v>
      </c>
      <c r="C2243" s="15" t="s">
        <v>19</v>
      </c>
      <c r="D2243" s="15">
        <v>55.0</v>
      </c>
      <c r="E2243" s="15" t="s">
        <v>4709</v>
      </c>
      <c r="F2243" s="15" t="s">
        <v>1473</v>
      </c>
      <c r="G2243" s="15" t="s">
        <v>2556</v>
      </c>
      <c r="H2243" s="15">
        <v>0.0</v>
      </c>
      <c r="I2243" s="15" t="s">
        <v>93</v>
      </c>
      <c r="J2243" s="15" t="s">
        <v>22</v>
      </c>
      <c r="K2243" s="15" t="s">
        <v>225</v>
      </c>
      <c r="L2243" s="15" t="s">
        <v>24</v>
      </c>
      <c r="M2243" s="16">
        <v>0.25</v>
      </c>
      <c r="N2243" s="16">
        <v>1.0</v>
      </c>
      <c r="O2243" s="16">
        <v>1.0</v>
      </c>
      <c r="P2243" s="17">
        <v>45364.0</v>
      </c>
      <c r="Q2243" s="18">
        <v>1.75</v>
      </c>
      <c r="R2243" s="15" t="s">
        <v>30</v>
      </c>
      <c r="S2243" s="19">
        <f t="shared" si="1"/>
        <v>0.375</v>
      </c>
      <c r="T2243" s="19">
        <f t="shared" si="8"/>
        <v>78.32582397</v>
      </c>
      <c r="U2243" s="144"/>
    </row>
    <row r="2244">
      <c r="A2244" s="107"/>
      <c r="B2244" s="8" t="s">
        <v>26</v>
      </c>
      <c r="C2244" s="8" t="s">
        <v>19</v>
      </c>
      <c r="D2244" s="8">
        <v>81.0</v>
      </c>
      <c r="E2244" s="8" t="s">
        <v>4710</v>
      </c>
      <c r="F2244" s="8" t="s">
        <v>1479</v>
      </c>
      <c r="G2244" s="8" t="s">
        <v>2660</v>
      </c>
      <c r="H2244" s="8">
        <v>-1.0</v>
      </c>
      <c r="I2244" s="8" t="s">
        <v>82</v>
      </c>
      <c r="J2244" s="8" t="s">
        <v>22</v>
      </c>
      <c r="K2244" s="8" t="s">
        <v>892</v>
      </c>
      <c r="L2244" s="8" t="s">
        <v>24</v>
      </c>
      <c r="M2244" s="9">
        <v>0.0</v>
      </c>
      <c r="N2244" s="9">
        <v>1.0</v>
      </c>
      <c r="O2244" s="9">
        <v>1.0</v>
      </c>
      <c r="P2244" s="10">
        <v>45364.0</v>
      </c>
      <c r="Q2244" s="11">
        <v>1.85</v>
      </c>
      <c r="R2244" s="8" t="s">
        <v>70</v>
      </c>
      <c r="S2244" s="12">
        <f t="shared" si="1"/>
        <v>0</v>
      </c>
      <c r="T2244" s="12">
        <f t="shared" si="8"/>
        <v>78.32582397</v>
      </c>
      <c r="U2244" s="145"/>
    </row>
    <row r="2245">
      <c r="A2245" s="29"/>
      <c r="B2245" s="15" t="s">
        <v>26</v>
      </c>
      <c r="C2245" s="15" t="s">
        <v>40</v>
      </c>
      <c r="D2245" s="15">
        <v>60.0</v>
      </c>
      <c r="E2245" s="15" t="s">
        <v>4711</v>
      </c>
      <c r="F2245" s="15" t="s">
        <v>1473</v>
      </c>
      <c r="G2245" s="15" t="s">
        <v>2660</v>
      </c>
      <c r="H2245" s="15">
        <v>0.0</v>
      </c>
      <c r="I2245" s="15" t="s">
        <v>162</v>
      </c>
      <c r="J2245" s="15" t="s">
        <v>22</v>
      </c>
      <c r="K2245" s="15" t="s">
        <v>892</v>
      </c>
      <c r="L2245" s="15" t="s">
        <v>24</v>
      </c>
      <c r="M2245" s="16">
        <v>0.0</v>
      </c>
      <c r="N2245" s="16">
        <v>1.0</v>
      </c>
      <c r="O2245" s="16">
        <v>1.0</v>
      </c>
      <c r="P2245" s="17">
        <v>45364.0</v>
      </c>
      <c r="Q2245" s="18">
        <v>1.8</v>
      </c>
      <c r="R2245" s="15" t="s">
        <v>70</v>
      </c>
      <c r="S2245" s="19">
        <f t="shared" si="1"/>
        <v>0</v>
      </c>
      <c r="T2245" s="19">
        <f t="shared" si="8"/>
        <v>78.32582397</v>
      </c>
      <c r="U2245" s="144"/>
    </row>
    <row r="2246">
      <c r="A2246" s="107"/>
      <c r="B2246" s="8" t="s">
        <v>4225</v>
      </c>
      <c r="C2246" s="8" t="s">
        <v>19</v>
      </c>
      <c r="D2246" s="8">
        <v>0.0</v>
      </c>
      <c r="E2246" s="8" t="s">
        <v>4712</v>
      </c>
      <c r="F2246" s="8" t="s">
        <v>1473</v>
      </c>
      <c r="G2246" s="8" t="s">
        <v>4653</v>
      </c>
      <c r="H2246" s="8">
        <v>0.0</v>
      </c>
      <c r="I2246" s="8" t="s">
        <v>863</v>
      </c>
      <c r="J2246" s="8" t="s">
        <v>598</v>
      </c>
      <c r="K2246" s="8" t="s">
        <v>894</v>
      </c>
      <c r="L2246" s="8" t="s">
        <v>1851</v>
      </c>
      <c r="M2246" s="9">
        <v>-0.5</v>
      </c>
      <c r="N2246" s="9">
        <v>0.1</v>
      </c>
      <c r="O2246" s="9">
        <v>0.1</v>
      </c>
      <c r="P2246" s="10">
        <v>45365.0</v>
      </c>
      <c r="Q2246" s="11">
        <v>1.9</v>
      </c>
      <c r="R2246" s="8" t="s">
        <v>33</v>
      </c>
      <c r="S2246" s="12">
        <f t="shared" si="1"/>
        <v>0.09</v>
      </c>
      <c r="T2246" s="12">
        <f t="shared" si="8"/>
        <v>78.41582397</v>
      </c>
      <c r="U2246" s="145"/>
    </row>
    <row r="2247">
      <c r="A2247" s="29"/>
      <c r="B2247" s="15" t="s">
        <v>26</v>
      </c>
      <c r="C2247" s="15" t="s">
        <v>19</v>
      </c>
      <c r="D2247" s="15">
        <v>82.0</v>
      </c>
      <c r="E2247" s="15" t="s">
        <v>4713</v>
      </c>
      <c r="F2247" s="15" t="s">
        <v>1479</v>
      </c>
      <c r="G2247" s="15" t="s">
        <v>2660</v>
      </c>
      <c r="H2247" s="15">
        <v>-1.0</v>
      </c>
      <c r="I2247" s="15" t="s">
        <v>174</v>
      </c>
      <c r="J2247" s="15" t="s">
        <v>22</v>
      </c>
      <c r="K2247" s="15" t="s">
        <v>892</v>
      </c>
      <c r="L2247" s="15" t="s">
        <v>24</v>
      </c>
      <c r="M2247" s="16">
        <v>0.0</v>
      </c>
      <c r="N2247" s="16">
        <v>0.2</v>
      </c>
      <c r="O2247" s="16">
        <v>0.2</v>
      </c>
      <c r="P2247" s="17">
        <v>45365.0</v>
      </c>
      <c r="Q2247" s="18">
        <v>1.88</v>
      </c>
      <c r="R2247" s="15" t="s">
        <v>70</v>
      </c>
      <c r="S2247" s="19">
        <f t="shared" si="1"/>
        <v>0</v>
      </c>
      <c r="T2247" s="19">
        <f t="shared" si="8"/>
        <v>78.41582397</v>
      </c>
      <c r="U2247" s="144"/>
    </row>
    <row r="2248">
      <c r="A2248" s="107"/>
      <c r="B2248" s="8" t="s">
        <v>26</v>
      </c>
      <c r="C2248" s="8" t="s">
        <v>19</v>
      </c>
      <c r="D2248" s="8">
        <v>70.0</v>
      </c>
      <c r="E2248" s="8" t="s">
        <v>4714</v>
      </c>
      <c r="F2248" s="8" t="s">
        <v>1479</v>
      </c>
      <c r="G2248" s="8" t="s">
        <v>2556</v>
      </c>
      <c r="H2248" s="8">
        <v>-1.0</v>
      </c>
      <c r="I2248" s="8" t="s">
        <v>525</v>
      </c>
      <c r="J2248" s="8" t="s">
        <v>22</v>
      </c>
      <c r="K2248" s="8" t="s">
        <v>225</v>
      </c>
      <c r="L2248" s="8" t="s">
        <v>24</v>
      </c>
      <c r="M2248" s="9">
        <v>0.25</v>
      </c>
      <c r="N2248" s="9">
        <v>0.2</v>
      </c>
      <c r="O2248" s="9">
        <v>0.2</v>
      </c>
      <c r="P2248" s="10">
        <v>45365.0</v>
      </c>
      <c r="Q2248" s="11">
        <v>1.7</v>
      </c>
      <c r="R2248" s="8" t="s">
        <v>30</v>
      </c>
      <c r="S2248" s="12">
        <f t="shared" si="1"/>
        <v>0.07</v>
      </c>
      <c r="T2248" s="12">
        <f t="shared" si="8"/>
        <v>78.48582397</v>
      </c>
      <c r="U2248" s="145"/>
    </row>
    <row r="2249">
      <c r="A2249" s="29"/>
      <c r="B2249" s="15" t="s">
        <v>4225</v>
      </c>
      <c r="C2249" s="15" t="s">
        <v>19</v>
      </c>
      <c r="D2249" s="15">
        <v>1.0</v>
      </c>
      <c r="E2249" s="15" t="s">
        <v>4715</v>
      </c>
      <c r="F2249" s="15" t="s">
        <v>1473</v>
      </c>
      <c r="G2249" s="15" t="s">
        <v>2556</v>
      </c>
      <c r="H2249" s="15">
        <v>0.0</v>
      </c>
      <c r="I2249" s="15" t="s">
        <v>157</v>
      </c>
      <c r="J2249" s="15" t="s">
        <v>22</v>
      </c>
      <c r="K2249" s="15" t="s">
        <v>225</v>
      </c>
      <c r="L2249" s="15" t="s">
        <v>1851</v>
      </c>
      <c r="M2249" s="16">
        <v>0.75</v>
      </c>
      <c r="N2249" s="16">
        <v>0.1</v>
      </c>
      <c r="O2249" s="16">
        <v>0.1</v>
      </c>
      <c r="P2249" s="17">
        <v>45365.0</v>
      </c>
      <c r="Q2249" s="18">
        <v>2.05</v>
      </c>
      <c r="R2249" s="15" t="s">
        <v>79</v>
      </c>
      <c r="S2249" s="19">
        <f t="shared" si="1"/>
        <v>-0.05</v>
      </c>
      <c r="T2249" s="19">
        <f t="shared" si="8"/>
        <v>78.43582397</v>
      </c>
      <c r="U2249" s="144"/>
    </row>
    <row r="2250">
      <c r="A2250" s="107"/>
      <c r="B2250" s="8" t="s">
        <v>4225</v>
      </c>
      <c r="C2250" s="8" t="s">
        <v>19</v>
      </c>
      <c r="D2250" s="8">
        <v>0.0</v>
      </c>
      <c r="E2250" s="8" t="s">
        <v>4716</v>
      </c>
      <c r="F2250" s="8" t="s">
        <v>1479</v>
      </c>
      <c r="G2250" s="8" t="s">
        <v>2556</v>
      </c>
      <c r="H2250" s="8"/>
      <c r="I2250" s="8" t="s">
        <v>157</v>
      </c>
      <c r="J2250" s="8" t="s">
        <v>22</v>
      </c>
      <c r="K2250" s="8" t="s">
        <v>1847</v>
      </c>
      <c r="L2250" s="8" t="s">
        <v>39</v>
      </c>
      <c r="M2250" s="9">
        <v>-0.5</v>
      </c>
      <c r="N2250" s="9">
        <v>0.07</v>
      </c>
      <c r="O2250" s="9">
        <v>0.07</v>
      </c>
      <c r="P2250" s="10">
        <v>45365.0</v>
      </c>
      <c r="Q2250" s="11">
        <v>2.75</v>
      </c>
      <c r="R2250" s="8" t="s">
        <v>33</v>
      </c>
      <c r="S2250" s="12">
        <f t="shared" si="1"/>
        <v>0.1225</v>
      </c>
      <c r="T2250" s="12">
        <f t="shared" si="8"/>
        <v>78.55832397</v>
      </c>
      <c r="U2250" s="145"/>
    </row>
    <row r="2251">
      <c r="A2251" s="29"/>
      <c r="B2251" s="15" t="s">
        <v>4225</v>
      </c>
      <c r="C2251" s="15" t="s">
        <v>19</v>
      </c>
      <c r="D2251" s="15">
        <v>0.0</v>
      </c>
      <c r="E2251" s="15" t="s">
        <v>4717</v>
      </c>
      <c r="F2251" s="15" t="s">
        <v>1479</v>
      </c>
      <c r="G2251" s="15" t="s">
        <v>2556</v>
      </c>
      <c r="H2251" s="15"/>
      <c r="I2251" s="15" t="s">
        <v>863</v>
      </c>
      <c r="J2251" s="15" t="s">
        <v>22</v>
      </c>
      <c r="K2251" s="15" t="s">
        <v>1023</v>
      </c>
      <c r="L2251" s="15" t="s">
        <v>39</v>
      </c>
      <c r="M2251" s="16">
        <v>0.5</v>
      </c>
      <c r="N2251" s="16">
        <v>0.04</v>
      </c>
      <c r="O2251" s="16">
        <v>0.04</v>
      </c>
      <c r="P2251" s="17">
        <v>45365.0</v>
      </c>
      <c r="Q2251" s="18">
        <v>4.0</v>
      </c>
      <c r="R2251" s="15" t="s">
        <v>25</v>
      </c>
      <c r="S2251" s="19">
        <f t="shared" si="1"/>
        <v>-0.04</v>
      </c>
      <c r="T2251" s="19">
        <f t="shared" si="8"/>
        <v>78.51832397</v>
      </c>
      <c r="U2251" s="144"/>
    </row>
    <row r="2252">
      <c r="A2252" s="107"/>
      <c r="B2252" s="8" t="s">
        <v>26</v>
      </c>
      <c r="C2252" s="8" t="s">
        <v>19</v>
      </c>
      <c r="D2252" s="8">
        <v>61.0</v>
      </c>
      <c r="E2252" s="8" t="s">
        <v>4718</v>
      </c>
      <c r="F2252" s="8" t="s">
        <v>1479</v>
      </c>
      <c r="G2252" s="8" t="s">
        <v>4653</v>
      </c>
      <c r="H2252" s="8">
        <v>-1.0</v>
      </c>
      <c r="I2252" s="8" t="s">
        <v>248</v>
      </c>
      <c r="J2252" s="8" t="s">
        <v>22</v>
      </c>
      <c r="K2252" s="8" t="s">
        <v>894</v>
      </c>
      <c r="L2252" s="8" t="s">
        <v>24</v>
      </c>
      <c r="M2252" s="9">
        <v>-0.25</v>
      </c>
      <c r="N2252" s="9">
        <v>0.5</v>
      </c>
      <c r="O2252" s="9">
        <v>0.5</v>
      </c>
      <c r="P2252" s="10">
        <v>45365.0</v>
      </c>
      <c r="Q2252" s="11">
        <v>1.735</v>
      </c>
      <c r="R2252" s="8" t="s">
        <v>33</v>
      </c>
      <c r="S2252" s="12">
        <f t="shared" si="1"/>
        <v>0.3675</v>
      </c>
      <c r="T2252" s="12">
        <f t="shared" si="8"/>
        <v>78.88582397</v>
      </c>
      <c r="U2252" s="145"/>
    </row>
    <row r="2253">
      <c r="A2253" s="29"/>
      <c r="B2253" s="15" t="s">
        <v>131</v>
      </c>
      <c r="C2253" s="15" t="s">
        <v>19</v>
      </c>
      <c r="D2253" s="15">
        <v>87.0</v>
      </c>
      <c r="E2253" s="15" t="s">
        <v>4719</v>
      </c>
      <c r="F2253" s="15"/>
      <c r="G2253" s="15"/>
      <c r="H2253" s="15" t="s">
        <v>2868</v>
      </c>
      <c r="I2253" s="15" t="s">
        <v>513</v>
      </c>
      <c r="J2253" s="15" t="s">
        <v>22</v>
      </c>
      <c r="K2253" s="15" t="s">
        <v>29</v>
      </c>
      <c r="L2253" s="15" t="s">
        <v>1522</v>
      </c>
      <c r="M2253" s="16">
        <v>-2.5</v>
      </c>
      <c r="N2253" s="16">
        <v>0.25</v>
      </c>
      <c r="O2253" s="16">
        <v>0.25</v>
      </c>
      <c r="P2253" s="55">
        <v>45365.0</v>
      </c>
      <c r="Q2253" s="18">
        <v>1.95</v>
      </c>
      <c r="R2253" s="15" t="s">
        <v>33</v>
      </c>
      <c r="S2253" s="19">
        <f t="shared" si="1"/>
        <v>0.2375</v>
      </c>
      <c r="T2253" s="19">
        <f t="shared" si="8"/>
        <v>79.12332397</v>
      </c>
      <c r="U2253" s="144"/>
    </row>
    <row r="2254">
      <c r="A2254" s="107"/>
      <c r="B2254" s="8" t="s">
        <v>26</v>
      </c>
      <c r="C2254" s="8" t="s">
        <v>19</v>
      </c>
      <c r="D2254" s="114">
        <v>25.0</v>
      </c>
      <c r="E2254" s="8" t="s">
        <v>4720</v>
      </c>
      <c r="F2254" s="8" t="s">
        <v>1473</v>
      </c>
      <c r="G2254" s="8" t="s">
        <v>2556</v>
      </c>
      <c r="H2254" s="8">
        <f>1</f>
        <v>1</v>
      </c>
      <c r="I2254" s="8" t="s">
        <v>2108</v>
      </c>
      <c r="J2254" s="8" t="s">
        <v>22</v>
      </c>
      <c r="K2254" s="8" t="s">
        <v>225</v>
      </c>
      <c r="L2254" s="8" t="s">
        <v>24</v>
      </c>
      <c r="M2254" s="9">
        <v>0.25</v>
      </c>
      <c r="N2254" s="9">
        <v>0.2</v>
      </c>
      <c r="O2254" s="9">
        <v>0.2</v>
      </c>
      <c r="P2254" s="10">
        <v>45366.0</v>
      </c>
      <c r="Q2254" s="11">
        <v>1.85</v>
      </c>
      <c r="R2254" s="8" t="s">
        <v>30</v>
      </c>
      <c r="S2254" s="12">
        <f t="shared" si="1"/>
        <v>0.085</v>
      </c>
      <c r="T2254" s="12">
        <f t="shared" si="8"/>
        <v>79.20832397</v>
      </c>
      <c r="U2254" s="145"/>
    </row>
    <row r="2255">
      <c r="A2255" s="29"/>
      <c r="B2255" s="15" t="s">
        <v>26</v>
      </c>
      <c r="C2255" s="15" t="s">
        <v>19</v>
      </c>
      <c r="D2255" s="15">
        <v>59.0</v>
      </c>
      <c r="E2255" s="15" t="s">
        <v>4721</v>
      </c>
      <c r="F2255" s="15" t="s">
        <v>1479</v>
      </c>
      <c r="G2255" s="15" t="s">
        <v>2660</v>
      </c>
      <c r="H2255" s="15">
        <v>-2.0</v>
      </c>
      <c r="I2255" s="15" t="s">
        <v>101</v>
      </c>
      <c r="J2255" s="15" t="s">
        <v>22</v>
      </c>
      <c r="K2255" s="15" t="s">
        <v>892</v>
      </c>
      <c r="L2255" s="15" t="s">
        <v>1522</v>
      </c>
      <c r="M2255" s="16">
        <v>0.0</v>
      </c>
      <c r="N2255" s="16">
        <v>0.75</v>
      </c>
      <c r="O2255" s="16">
        <v>0.75</v>
      </c>
      <c r="P2255" s="17">
        <v>45366.0</v>
      </c>
      <c r="Q2255" s="18">
        <v>1.7</v>
      </c>
      <c r="R2255" s="15" t="s">
        <v>33</v>
      </c>
      <c r="S2255" s="19">
        <f t="shared" si="1"/>
        <v>0.525</v>
      </c>
      <c r="T2255" s="19">
        <f t="shared" si="8"/>
        <v>79.73332397</v>
      </c>
      <c r="U2255" s="144"/>
    </row>
    <row r="2256">
      <c r="A2256" s="107"/>
      <c r="B2256" s="8" t="s">
        <v>4225</v>
      </c>
      <c r="C2256" s="8" t="s">
        <v>19</v>
      </c>
      <c r="D2256" s="8">
        <v>61.0</v>
      </c>
      <c r="E2256" s="8" t="s">
        <v>4722</v>
      </c>
      <c r="F2256" s="8" t="s">
        <v>1479</v>
      </c>
      <c r="G2256" s="8" t="s">
        <v>2660</v>
      </c>
      <c r="H2256" s="8">
        <v>-1.0</v>
      </c>
      <c r="I2256" s="8" t="s">
        <v>923</v>
      </c>
      <c r="J2256" s="8" t="s">
        <v>22</v>
      </c>
      <c r="K2256" s="8" t="s">
        <v>892</v>
      </c>
      <c r="L2256" s="8" t="s">
        <v>24</v>
      </c>
      <c r="M2256" s="9">
        <v>0.0</v>
      </c>
      <c r="N2256" s="9">
        <v>0.25</v>
      </c>
      <c r="O2256" s="9">
        <v>0.25</v>
      </c>
      <c r="P2256" s="54">
        <v>45366.0</v>
      </c>
      <c r="Q2256" s="11">
        <v>1.7</v>
      </c>
      <c r="R2256" s="8" t="s">
        <v>70</v>
      </c>
      <c r="S2256" s="12">
        <f t="shared" si="1"/>
        <v>0</v>
      </c>
      <c r="T2256" s="12">
        <f t="shared" si="8"/>
        <v>79.73332397</v>
      </c>
      <c r="U2256" s="145"/>
    </row>
    <row r="2257">
      <c r="A2257" s="29"/>
      <c r="B2257" s="15" t="s">
        <v>26</v>
      </c>
      <c r="C2257" s="15" t="s">
        <v>40</v>
      </c>
      <c r="D2257" s="15">
        <v>60.0</v>
      </c>
      <c r="E2257" s="15" t="s">
        <v>4723</v>
      </c>
      <c r="F2257" s="15" t="s">
        <v>1479</v>
      </c>
      <c r="G2257" s="15" t="s">
        <v>2660</v>
      </c>
      <c r="H2257" s="15">
        <v>-2.0</v>
      </c>
      <c r="I2257" s="15" t="s">
        <v>487</v>
      </c>
      <c r="J2257" s="15" t="s">
        <v>22</v>
      </c>
      <c r="K2257" s="15" t="s">
        <v>892</v>
      </c>
      <c r="L2257" s="15" t="s">
        <v>24</v>
      </c>
      <c r="M2257" s="16">
        <v>0.0</v>
      </c>
      <c r="N2257" s="16">
        <v>0.6</v>
      </c>
      <c r="O2257" s="16">
        <v>0.5872</v>
      </c>
      <c r="P2257" s="17">
        <v>45366.0</v>
      </c>
      <c r="Q2257" s="18">
        <v>2.08</v>
      </c>
      <c r="R2257" s="15" t="s">
        <v>25</v>
      </c>
      <c r="S2257" s="19">
        <f t="shared" si="1"/>
        <v>-0.5872</v>
      </c>
      <c r="T2257" s="19">
        <f t="shared" si="8"/>
        <v>79.14612397</v>
      </c>
      <c r="U2257" s="144"/>
    </row>
    <row r="2258">
      <c r="A2258" s="107"/>
      <c r="B2258" s="8" t="s">
        <v>137</v>
      </c>
      <c r="C2258" s="8" t="s">
        <v>19</v>
      </c>
      <c r="D2258" s="8">
        <v>27.0</v>
      </c>
      <c r="E2258" s="8" t="s">
        <v>4724</v>
      </c>
      <c r="F2258" s="8" t="s">
        <v>1473</v>
      </c>
      <c r="G2258" s="8" t="s">
        <v>2660</v>
      </c>
      <c r="H2258" s="8">
        <v>-1.0</v>
      </c>
      <c r="I2258" s="8" t="s">
        <v>583</v>
      </c>
      <c r="J2258" s="8" t="s">
        <v>22</v>
      </c>
      <c r="K2258" s="8" t="s">
        <v>892</v>
      </c>
      <c r="L2258" s="8" t="s">
        <v>24</v>
      </c>
      <c r="M2258" s="9">
        <v>0.0</v>
      </c>
      <c r="N2258" s="9">
        <v>0.2</v>
      </c>
      <c r="O2258" s="9">
        <v>0.2</v>
      </c>
      <c r="P2258" s="10">
        <v>45366.0</v>
      </c>
      <c r="Q2258" s="11">
        <v>1.9</v>
      </c>
      <c r="R2258" s="8" t="s">
        <v>70</v>
      </c>
      <c r="S2258" s="12">
        <f t="shared" si="1"/>
        <v>0</v>
      </c>
      <c r="T2258" s="12">
        <f t="shared" si="8"/>
        <v>79.14612397</v>
      </c>
      <c r="U2258" s="145"/>
    </row>
    <row r="2259">
      <c r="A2259" s="29"/>
      <c r="B2259" s="15" t="s">
        <v>26</v>
      </c>
      <c r="C2259" s="15" t="s">
        <v>40</v>
      </c>
      <c r="D2259" s="15">
        <v>82.0</v>
      </c>
      <c r="E2259" s="15" t="s">
        <v>4725</v>
      </c>
      <c r="F2259" s="15" t="s">
        <v>1473</v>
      </c>
      <c r="G2259" s="15" t="s">
        <v>2660</v>
      </c>
      <c r="H2259" s="15">
        <v>2</v>
      </c>
      <c r="I2259" s="15" t="s">
        <v>487</v>
      </c>
      <c r="J2259" s="15" t="s">
        <v>22</v>
      </c>
      <c r="K2259" s="15" t="s">
        <v>892</v>
      </c>
      <c r="L2259" s="15" t="s">
        <v>24</v>
      </c>
      <c r="M2259" s="16">
        <v>0.0</v>
      </c>
      <c r="N2259" s="16">
        <v>0.5</v>
      </c>
      <c r="O2259" s="16">
        <v>0.5</v>
      </c>
      <c r="P2259" s="17">
        <v>45366.0</v>
      </c>
      <c r="Q2259" s="18">
        <v>2.3</v>
      </c>
      <c r="R2259" s="15" t="s">
        <v>33</v>
      </c>
      <c r="S2259" s="19">
        <f t="shared" si="1"/>
        <v>0.65</v>
      </c>
      <c r="T2259" s="19">
        <f t="shared" si="8"/>
        <v>79.79612397</v>
      </c>
      <c r="U2259" s="144"/>
    </row>
    <row r="2260">
      <c r="A2260" s="107"/>
      <c r="B2260" s="8" t="s">
        <v>18</v>
      </c>
      <c r="C2260" s="8" t="s">
        <v>19</v>
      </c>
      <c r="D2260" s="8">
        <v>42.0</v>
      </c>
      <c r="E2260" s="8" t="s">
        <v>4726</v>
      </c>
      <c r="F2260" s="8" t="s">
        <v>1473</v>
      </c>
      <c r="G2260" s="8" t="s">
        <v>2556</v>
      </c>
      <c r="H2260" s="8">
        <v>0.0</v>
      </c>
      <c r="I2260" s="8" t="s">
        <v>4293</v>
      </c>
      <c r="J2260" s="8" t="s">
        <v>22</v>
      </c>
      <c r="K2260" s="8" t="s">
        <v>225</v>
      </c>
      <c r="L2260" s="8" t="s">
        <v>24</v>
      </c>
      <c r="M2260" s="9">
        <v>0.25</v>
      </c>
      <c r="N2260" s="9">
        <v>0.4</v>
      </c>
      <c r="O2260" s="9">
        <v>0.4</v>
      </c>
      <c r="P2260" s="10">
        <v>45366.0</v>
      </c>
      <c r="Q2260" s="11">
        <v>1.825</v>
      </c>
      <c r="R2260" s="8" t="s">
        <v>33</v>
      </c>
      <c r="S2260" s="12">
        <f t="shared" si="1"/>
        <v>0.33</v>
      </c>
      <c r="T2260" s="12">
        <f t="shared" si="8"/>
        <v>80.12612397</v>
      </c>
      <c r="U2260" s="145"/>
    </row>
    <row r="2261">
      <c r="A2261" s="29"/>
      <c r="B2261" s="15" t="s">
        <v>26</v>
      </c>
      <c r="C2261" s="15" t="s">
        <v>19</v>
      </c>
      <c r="D2261" s="15">
        <v>66.0</v>
      </c>
      <c r="E2261" s="15" t="s">
        <v>4727</v>
      </c>
      <c r="F2261" s="15" t="s">
        <v>1479</v>
      </c>
      <c r="G2261" s="15" t="s">
        <v>2556</v>
      </c>
      <c r="H2261" s="15">
        <v>0.0</v>
      </c>
      <c r="I2261" s="15" t="s">
        <v>248</v>
      </c>
      <c r="J2261" s="15" t="s">
        <v>22</v>
      </c>
      <c r="K2261" s="15" t="s">
        <v>941</v>
      </c>
      <c r="L2261" s="15" t="s">
        <v>24</v>
      </c>
      <c r="M2261" s="16">
        <v>0.0</v>
      </c>
      <c r="N2261" s="16">
        <v>0.6</v>
      </c>
      <c r="O2261" s="16">
        <v>0.6</v>
      </c>
      <c r="P2261" s="17">
        <v>45366.0</v>
      </c>
      <c r="Q2261" s="18">
        <v>1.5</v>
      </c>
      <c r="R2261" s="15" t="s">
        <v>70</v>
      </c>
      <c r="S2261" s="19">
        <f t="shared" si="1"/>
        <v>0</v>
      </c>
      <c r="T2261" s="19">
        <f t="shared" si="8"/>
        <v>80.12612397</v>
      </c>
      <c r="U2261" s="144"/>
    </row>
    <row r="2262">
      <c r="A2262" s="107"/>
      <c r="B2262" s="8" t="s">
        <v>26</v>
      </c>
      <c r="C2262" s="8" t="s">
        <v>19</v>
      </c>
      <c r="D2262" s="8">
        <v>81.0</v>
      </c>
      <c r="E2262" s="8" t="s">
        <v>4728</v>
      </c>
      <c r="F2262" s="8" t="s">
        <v>1473</v>
      </c>
      <c r="G2262" s="8" t="s">
        <v>2556</v>
      </c>
      <c r="H2262" s="8">
        <v>0.0</v>
      </c>
      <c r="I2262" s="8" t="s">
        <v>248</v>
      </c>
      <c r="J2262" s="8" t="s">
        <v>22</v>
      </c>
      <c r="K2262" s="8" t="s">
        <v>941</v>
      </c>
      <c r="L2262" s="8" t="s">
        <v>24</v>
      </c>
      <c r="M2262" s="9">
        <v>0.0</v>
      </c>
      <c r="N2262" s="9">
        <v>0.2</v>
      </c>
      <c r="O2262" s="9">
        <v>0.131914</v>
      </c>
      <c r="P2262" s="10">
        <v>45366.0</v>
      </c>
      <c r="Q2262" s="11">
        <v>3.0</v>
      </c>
      <c r="R2262" s="8" t="s">
        <v>70</v>
      </c>
      <c r="S2262" s="12">
        <f t="shared" si="1"/>
        <v>0</v>
      </c>
      <c r="T2262" s="12">
        <f t="shared" si="8"/>
        <v>80.12612397</v>
      </c>
      <c r="U2262" s="145"/>
    </row>
    <row r="2263">
      <c r="A2263" s="29"/>
      <c r="B2263" s="15" t="s">
        <v>18</v>
      </c>
      <c r="C2263" s="15" t="s">
        <v>19</v>
      </c>
      <c r="D2263" s="15">
        <v>80.0</v>
      </c>
      <c r="E2263" s="15" t="s">
        <v>4729</v>
      </c>
      <c r="F2263" s="15" t="s">
        <v>1479</v>
      </c>
      <c r="G2263" s="15" t="s">
        <v>2660</v>
      </c>
      <c r="H2263" s="15">
        <v>-1.0</v>
      </c>
      <c r="I2263" s="15" t="s">
        <v>487</v>
      </c>
      <c r="J2263" s="15" t="s">
        <v>22</v>
      </c>
      <c r="K2263" s="15" t="s">
        <v>892</v>
      </c>
      <c r="L2263" s="15" t="s">
        <v>24</v>
      </c>
      <c r="M2263" s="16">
        <v>0.0</v>
      </c>
      <c r="N2263" s="16">
        <v>0.8</v>
      </c>
      <c r="O2263" s="16">
        <v>0.8</v>
      </c>
      <c r="P2263" s="17">
        <v>45367.0</v>
      </c>
      <c r="Q2263" s="18">
        <v>2.0</v>
      </c>
      <c r="R2263" s="15" t="s">
        <v>33</v>
      </c>
      <c r="S2263" s="19">
        <f t="shared" si="1"/>
        <v>0.8</v>
      </c>
      <c r="T2263" s="19">
        <f t="shared" si="8"/>
        <v>80.92612397</v>
      </c>
      <c r="U2263" s="144"/>
    </row>
    <row r="2264">
      <c r="A2264" s="107"/>
      <c r="B2264" s="8" t="s">
        <v>18</v>
      </c>
      <c r="C2264" s="8" t="s">
        <v>19</v>
      </c>
      <c r="D2264" s="8">
        <v>20.0</v>
      </c>
      <c r="E2264" s="8" t="s">
        <v>4730</v>
      </c>
      <c r="F2264" s="8" t="s">
        <v>1479</v>
      </c>
      <c r="G2264" s="8" t="s">
        <v>2660</v>
      </c>
      <c r="H2264" s="8">
        <v>0.0</v>
      </c>
      <c r="I2264" s="8" t="s">
        <v>227</v>
      </c>
      <c r="J2264" s="8" t="s">
        <v>22</v>
      </c>
      <c r="K2264" s="8" t="s">
        <v>4584</v>
      </c>
      <c r="L2264" s="8" t="s">
        <v>24</v>
      </c>
      <c r="M2264" s="9">
        <v>0.0</v>
      </c>
      <c r="N2264" s="9">
        <v>0.6</v>
      </c>
      <c r="O2264" s="9">
        <v>0.6</v>
      </c>
      <c r="P2264" s="10">
        <v>45367.0</v>
      </c>
      <c r="Q2264" s="11">
        <v>1.825</v>
      </c>
      <c r="R2264" s="8" t="s">
        <v>25</v>
      </c>
      <c r="S2264" s="12">
        <f t="shared" si="1"/>
        <v>-0.6</v>
      </c>
      <c r="T2264" s="12">
        <f t="shared" si="8"/>
        <v>80.32612397</v>
      </c>
      <c r="U2264" s="145"/>
    </row>
    <row r="2265">
      <c r="A2265" s="29"/>
      <c r="B2265" s="15" t="s">
        <v>26</v>
      </c>
      <c r="C2265" s="15" t="s">
        <v>19</v>
      </c>
      <c r="D2265" s="15">
        <v>34.0</v>
      </c>
      <c r="E2265" s="15" t="s">
        <v>4731</v>
      </c>
      <c r="F2265" s="15" t="s">
        <v>1473</v>
      </c>
      <c r="G2265" s="15" t="s">
        <v>2556</v>
      </c>
      <c r="H2265" s="15">
        <v>0.0</v>
      </c>
      <c r="I2265" s="15" t="s">
        <v>675</v>
      </c>
      <c r="J2265" s="15" t="s">
        <v>22</v>
      </c>
      <c r="K2265" s="15" t="s">
        <v>225</v>
      </c>
      <c r="L2265" s="15" t="s">
        <v>24</v>
      </c>
      <c r="M2265" s="16">
        <v>0.25</v>
      </c>
      <c r="N2265" s="16">
        <v>0.5</v>
      </c>
      <c r="O2265" s="16">
        <v>0.5</v>
      </c>
      <c r="P2265" s="17">
        <v>45367.0</v>
      </c>
      <c r="Q2265" s="18">
        <v>1.8</v>
      </c>
      <c r="R2265" s="15" t="s">
        <v>30</v>
      </c>
      <c r="S2265" s="19">
        <f t="shared" si="1"/>
        <v>0.2</v>
      </c>
      <c r="T2265" s="19">
        <f t="shared" si="8"/>
        <v>80.52612397</v>
      </c>
      <c r="U2265" s="144"/>
    </row>
    <row r="2266">
      <c r="A2266" s="107"/>
      <c r="B2266" s="8" t="s">
        <v>129</v>
      </c>
      <c r="C2266" s="8" t="s">
        <v>40</v>
      </c>
      <c r="D2266" s="8">
        <v>67.0</v>
      </c>
      <c r="E2266" s="8" t="s">
        <v>4732</v>
      </c>
      <c r="F2266" s="8" t="s">
        <v>1479</v>
      </c>
      <c r="G2266" s="8" t="s">
        <v>2573</v>
      </c>
      <c r="H2266" s="8">
        <v>0.0</v>
      </c>
      <c r="I2266" s="8" t="s">
        <v>42</v>
      </c>
      <c r="J2266" s="8" t="s">
        <v>22</v>
      </c>
      <c r="K2266" s="8" t="s">
        <v>894</v>
      </c>
      <c r="L2266" s="8" t="s">
        <v>24</v>
      </c>
      <c r="M2266" s="9">
        <v>-0.25</v>
      </c>
      <c r="N2266" s="9">
        <v>0.2</v>
      </c>
      <c r="O2266" s="9">
        <v>0.2</v>
      </c>
      <c r="P2266" s="10">
        <v>45367.0</v>
      </c>
      <c r="Q2266" s="11">
        <v>2.0</v>
      </c>
      <c r="R2266" s="8" t="s">
        <v>79</v>
      </c>
      <c r="S2266" s="12">
        <f t="shared" si="1"/>
        <v>-0.1</v>
      </c>
      <c r="T2266" s="12">
        <f t="shared" si="8"/>
        <v>80.42612397</v>
      </c>
      <c r="U2266" s="145"/>
    </row>
    <row r="2267">
      <c r="A2267" s="29"/>
      <c r="B2267" s="15" t="s">
        <v>4225</v>
      </c>
      <c r="C2267" s="15" t="s">
        <v>19</v>
      </c>
      <c r="D2267" s="15">
        <v>26.0</v>
      </c>
      <c r="E2267" s="15" t="s">
        <v>4733</v>
      </c>
      <c r="F2267" s="15" t="s">
        <v>1479</v>
      </c>
      <c r="G2267" s="15" t="s">
        <v>2556</v>
      </c>
      <c r="H2267" s="15">
        <v>0.0</v>
      </c>
      <c r="I2267" s="15" t="s">
        <v>178</v>
      </c>
      <c r="J2267" s="15" t="s">
        <v>22</v>
      </c>
      <c r="K2267" s="15" t="s">
        <v>225</v>
      </c>
      <c r="L2267" s="15" t="s">
        <v>24</v>
      </c>
      <c r="M2267" s="16">
        <v>0.25</v>
      </c>
      <c r="N2267" s="16">
        <v>1.0</v>
      </c>
      <c r="O2267" s="16">
        <v>1.0</v>
      </c>
      <c r="P2267" s="17">
        <v>45367.0</v>
      </c>
      <c r="Q2267" s="18">
        <v>1.825</v>
      </c>
      <c r="R2267" s="15" t="s">
        <v>33</v>
      </c>
      <c r="S2267" s="19">
        <f t="shared" si="1"/>
        <v>0.825</v>
      </c>
      <c r="T2267" s="19">
        <f t="shared" si="8"/>
        <v>81.25112397</v>
      </c>
      <c r="U2267" s="144"/>
    </row>
    <row r="2268">
      <c r="A2268" s="107"/>
      <c r="B2268" s="8" t="s">
        <v>131</v>
      </c>
      <c r="C2268" s="8" t="s">
        <v>19</v>
      </c>
      <c r="D2268" s="8">
        <v>78.0</v>
      </c>
      <c r="E2268" s="8" t="s">
        <v>4734</v>
      </c>
      <c r="F2268" s="8" t="s">
        <v>1473</v>
      </c>
      <c r="G2268" s="8" t="s">
        <v>2660</v>
      </c>
      <c r="H2268" s="8">
        <v>0.0</v>
      </c>
      <c r="I2268" s="8" t="s">
        <v>432</v>
      </c>
      <c r="J2268" s="8" t="s">
        <v>22</v>
      </c>
      <c r="K2268" s="8" t="s">
        <v>892</v>
      </c>
      <c r="L2268" s="8" t="s">
        <v>24</v>
      </c>
      <c r="M2268" s="9">
        <v>0.0</v>
      </c>
      <c r="N2268" s="9">
        <v>0.6</v>
      </c>
      <c r="O2268" s="9">
        <v>0.6</v>
      </c>
      <c r="P2268" s="10">
        <v>45367.0</v>
      </c>
      <c r="Q2268" s="11">
        <v>2.05</v>
      </c>
      <c r="R2268" s="8" t="s">
        <v>70</v>
      </c>
      <c r="S2268" s="12">
        <f t="shared" si="1"/>
        <v>0</v>
      </c>
      <c r="T2268" s="12">
        <f t="shared" si="8"/>
        <v>81.25112397</v>
      </c>
      <c r="U2268" s="145"/>
    </row>
    <row r="2269">
      <c r="A2269" s="29"/>
      <c r="B2269" s="15" t="s">
        <v>26</v>
      </c>
      <c r="C2269" s="15" t="s">
        <v>19</v>
      </c>
      <c r="D2269" s="15">
        <v>91.0</v>
      </c>
      <c r="E2269" s="15" t="s">
        <v>4735</v>
      </c>
      <c r="F2269" s="15"/>
      <c r="G2269" s="15" t="s">
        <v>4736</v>
      </c>
      <c r="H2269" s="15">
        <v>0.0</v>
      </c>
      <c r="I2269" s="15" t="s">
        <v>675</v>
      </c>
      <c r="J2269" s="15" t="s">
        <v>22</v>
      </c>
      <c r="K2269" s="15" t="s">
        <v>440</v>
      </c>
      <c r="L2269" s="15" t="s">
        <v>24</v>
      </c>
      <c r="M2269" s="16">
        <v>0.5</v>
      </c>
      <c r="N2269" s="16">
        <v>0.1</v>
      </c>
      <c r="O2269" s="16">
        <v>0.07</v>
      </c>
      <c r="P2269" s="17">
        <v>45367.0</v>
      </c>
      <c r="Q2269" s="18">
        <v>6.0</v>
      </c>
      <c r="R2269" s="15" t="s">
        <v>25</v>
      </c>
      <c r="S2269" s="19">
        <f t="shared" si="1"/>
        <v>-0.07</v>
      </c>
      <c r="T2269" s="19">
        <f t="shared" si="8"/>
        <v>81.18112397</v>
      </c>
      <c r="U2269" s="144"/>
    </row>
    <row r="2270">
      <c r="A2270" s="107"/>
      <c r="B2270" s="8" t="s">
        <v>26</v>
      </c>
      <c r="C2270" s="8" t="s">
        <v>19</v>
      </c>
      <c r="D2270" s="8">
        <v>72.0</v>
      </c>
      <c r="E2270" s="8" t="s">
        <v>4737</v>
      </c>
      <c r="F2270" s="8" t="s">
        <v>1479</v>
      </c>
      <c r="G2270" s="8" t="s">
        <v>2660</v>
      </c>
      <c r="H2270" s="8">
        <v>-1.0</v>
      </c>
      <c r="I2270" s="8" t="s">
        <v>703</v>
      </c>
      <c r="J2270" s="8" t="s">
        <v>22</v>
      </c>
      <c r="K2270" s="8" t="s">
        <v>892</v>
      </c>
      <c r="L2270" s="8" t="s">
        <v>24</v>
      </c>
      <c r="M2270" s="9">
        <v>0.0</v>
      </c>
      <c r="N2270" s="9">
        <v>0.4</v>
      </c>
      <c r="O2270" s="9">
        <v>0.4</v>
      </c>
      <c r="P2270" s="10">
        <v>45367.0</v>
      </c>
      <c r="Q2270" s="11">
        <v>1.7</v>
      </c>
      <c r="R2270" s="8" t="s">
        <v>70</v>
      </c>
      <c r="S2270" s="12">
        <f t="shared" si="1"/>
        <v>0</v>
      </c>
      <c r="T2270" s="12">
        <f t="shared" si="8"/>
        <v>81.18112397</v>
      </c>
      <c r="U2270" s="145"/>
    </row>
    <row r="2271">
      <c r="A2271" s="29"/>
      <c r="B2271" s="15" t="s">
        <v>129</v>
      </c>
      <c r="C2271" s="15" t="s">
        <v>19</v>
      </c>
      <c r="D2271" s="15">
        <v>56.0</v>
      </c>
      <c r="E2271" s="15" t="s">
        <v>4738</v>
      </c>
      <c r="F2271" s="15" t="s">
        <v>1473</v>
      </c>
      <c r="G2271" s="15" t="s">
        <v>2660</v>
      </c>
      <c r="H2271" s="15">
        <v>-1.0</v>
      </c>
      <c r="I2271" s="15" t="s">
        <v>703</v>
      </c>
      <c r="J2271" s="15" t="s">
        <v>22</v>
      </c>
      <c r="K2271" s="15" t="s">
        <v>892</v>
      </c>
      <c r="L2271" s="15" t="s">
        <v>24</v>
      </c>
      <c r="M2271" s="16">
        <v>0.0</v>
      </c>
      <c r="N2271" s="16">
        <v>0.8</v>
      </c>
      <c r="O2271" s="16">
        <v>0.8</v>
      </c>
      <c r="P2271" s="55">
        <v>45367.0</v>
      </c>
      <c r="Q2271" s="18">
        <v>1.725</v>
      </c>
      <c r="R2271" s="15" t="s">
        <v>70</v>
      </c>
      <c r="S2271" s="19">
        <f t="shared" si="1"/>
        <v>0</v>
      </c>
      <c r="T2271" s="19">
        <f t="shared" si="8"/>
        <v>81.18112397</v>
      </c>
      <c r="U2271" s="144"/>
    </row>
    <row r="2272">
      <c r="A2272" s="107"/>
      <c r="B2272" s="8" t="s">
        <v>131</v>
      </c>
      <c r="C2272" s="8" t="s">
        <v>40</v>
      </c>
      <c r="D2272" s="8">
        <v>65.0</v>
      </c>
      <c r="E2272" s="8" t="s">
        <v>4739</v>
      </c>
      <c r="F2272" s="8" t="s">
        <v>1473</v>
      </c>
      <c r="G2272" s="8" t="s">
        <v>2660</v>
      </c>
      <c r="H2272" s="8">
        <v>0.0</v>
      </c>
      <c r="I2272" s="8" t="s">
        <v>432</v>
      </c>
      <c r="J2272" s="8" t="s">
        <v>22</v>
      </c>
      <c r="K2272" s="8" t="s">
        <v>892</v>
      </c>
      <c r="L2272" s="8" t="s">
        <v>24</v>
      </c>
      <c r="M2272" s="9">
        <v>0.0</v>
      </c>
      <c r="N2272" s="9">
        <v>1.0</v>
      </c>
      <c r="O2272" s="9">
        <v>1.0</v>
      </c>
      <c r="P2272" s="10">
        <v>45367.0</v>
      </c>
      <c r="Q2272" s="11">
        <v>2.05</v>
      </c>
      <c r="R2272" s="8" t="s">
        <v>70</v>
      </c>
      <c r="S2272" s="12">
        <f t="shared" si="1"/>
        <v>0</v>
      </c>
      <c r="T2272" s="12">
        <f t="shared" si="8"/>
        <v>81.18112397</v>
      </c>
      <c r="U2272" s="145"/>
    </row>
    <row r="2273">
      <c r="A2273" s="29"/>
      <c r="B2273" s="15" t="s">
        <v>129</v>
      </c>
      <c r="C2273" s="15" t="s">
        <v>19</v>
      </c>
      <c r="D2273" s="15">
        <v>75.0</v>
      </c>
      <c r="E2273" s="15" t="s">
        <v>4740</v>
      </c>
      <c r="F2273" s="15" t="s">
        <v>1473</v>
      </c>
      <c r="G2273" s="15" t="s">
        <v>2556</v>
      </c>
      <c r="H2273" s="15"/>
      <c r="I2273" s="15" t="s">
        <v>273</v>
      </c>
      <c r="J2273" s="15" t="s">
        <v>22</v>
      </c>
      <c r="K2273" s="15" t="s">
        <v>941</v>
      </c>
      <c r="L2273" s="15" t="s">
        <v>24</v>
      </c>
      <c r="M2273" s="16">
        <v>0.0</v>
      </c>
      <c r="N2273" s="16">
        <v>0.2</v>
      </c>
      <c r="O2273" s="16">
        <v>0.1583</v>
      </c>
      <c r="P2273" s="17">
        <v>45367.0</v>
      </c>
      <c r="Q2273" s="18">
        <v>2.1</v>
      </c>
      <c r="R2273" s="15" t="s">
        <v>25</v>
      </c>
      <c r="S2273" s="19">
        <f t="shared" si="1"/>
        <v>-0.1583</v>
      </c>
      <c r="T2273" s="19">
        <f t="shared" si="8"/>
        <v>81.02282397</v>
      </c>
      <c r="U2273" s="144"/>
    </row>
    <row r="2274">
      <c r="A2274" s="107"/>
      <c r="B2274" s="8" t="s">
        <v>18</v>
      </c>
      <c r="C2274" s="8" t="s">
        <v>19</v>
      </c>
      <c r="D2274" s="8">
        <v>75.0</v>
      </c>
      <c r="E2274" s="8" t="s">
        <v>4741</v>
      </c>
      <c r="F2274" s="8" t="s">
        <v>1473</v>
      </c>
      <c r="G2274" s="8" t="s">
        <v>2660</v>
      </c>
      <c r="H2274" s="8">
        <v>-2.0</v>
      </c>
      <c r="I2274" s="8" t="s">
        <v>448</v>
      </c>
      <c r="J2274" s="8" t="s">
        <v>22</v>
      </c>
      <c r="K2274" s="8" t="s">
        <v>892</v>
      </c>
      <c r="L2274" s="8" t="s">
        <v>24</v>
      </c>
      <c r="M2274" s="9">
        <v>0.0</v>
      </c>
      <c r="N2274" s="9">
        <v>0.2</v>
      </c>
      <c r="O2274" s="9">
        <v>0.2</v>
      </c>
      <c r="P2274" s="10">
        <v>45367.0</v>
      </c>
      <c r="Q2274" s="11">
        <v>2.1</v>
      </c>
      <c r="R2274" s="8" t="s">
        <v>33</v>
      </c>
      <c r="S2274" s="12">
        <f t="shared" si="1"/>
        <v>0.22</v>
      </c>
      <c r="T2274" s="12">
        <f t="shared" si="8"/>
        <v>81.24282397</v>
      </c>
      <c r="U2274" s="145"/>
    </row>
    <row r="2275">
      <c r="A2275" s="29"/>
      <c r="B2275" s="15" t="s">
        <v>26</v>
      </c>
      <c r="C2275" s="15" t="s">
        <v>19</v>
      </c>
      <c r="D2275" s="15">
        <v>22.0</v>
      </c>
      <c r="E2275" s="15" t="s">
        <v>4742</v>
      </c>
      <c r="F2275" s="15" t="s">
        <v>1473</v>
      </c>
      <c r="G2275" s="15" t="s">
        <v>2660</v>
      </c>
      <c r="H2275" s="15">
        <v>0.0</v>
      </c>
      <c r="I2275" s="15" t="s">
        <v>66</v>
      </c>
      <c r="J2275" s="15" t="s">
        <v>22</v>
      </c>
      <c r="K2275" s="15" t="s">
        <v>892</v>
      </c>
      <c r="L2275" s="15" t="s">
        <v>24</v>
      </c>
      <c r="M2275" s="16">
        <v>0.0</v>
      </c>
      <c r="N2275" s="16">
        <v>1.0</v>
      </c>
      <c r="O2275" s="16">
        <v>1.0</v>
      </c>
      <c r="P2275" s="17">
        <v>45367.0</v>
      </c>
      <c r="Q2275" s="18">
        <v>1.8</v>
      </c>
      <c r="R2275" s="15" t="s">
        <v>33</v>
      </c>
      <c r="S2275" s="19">
        <f t="shared" si="1"/>
        <v>0.8</v>
      </c>
      <c r="T2275" s="19">
        <f t="shared" si="8"/>
        <v>82.04282397</v>
      </c>
      <c r="U2275" s="144"/>
    </row>
    <row r="2276">
      <c r="A2276" s="107"/>
      <c r="B2276" s="8" t="s">
        <v>4225</v>
      </c>
      <c r="C2276" s="8" t="s">
        <v>40</v>
      </c>
      <c r="D2276" s="8">
        <v>81.0</v>
      </c>
      <c r="E2276" s="8" t="s">
        <v>4743</v>
      </c>
      <c r="F2276" s="8" t="s">
        <v>1473</v>
      </c>
      <c r="G2276" s="8" t="s">
        <v>2660</v>
      </c>
      <c r="H2276" s="8">
        <v>0.0</v>
      </c>
      <c r="I2276" s="8" t="s">
        <v>93</v>
      </c>
      <c r="J2276" s="8" t="s">
        <v>22</v>
      </c>
      <c r="K2276" s="8" t="s">
        <v>892</v>
      </c>
      <c r="L2276" s="8" t="s">
        <v>24</v>
      </c>
      <c r="M2276" s="9">
        <v>0.0</v>
      </c>
      <c r="N2276" s="9">
        <v>0.75</v>
      </c>
      <c r="O2276" s="9">
        <v>0.75</v>
      </c>
      <c r="P2276" s="10">
        <v>45367.0</v>
      </c>
      <c r="Q2276" s="11">
        <v>1.9</v>
      </c>
      <c r="R2276" s="8" t="s">
        <v>70</v>
      </c>
      <c r="S2276" s="12">
        <f t="shared" si="1"/>
        <v>0</v>
      </c>
      <c r="T2276" s="12">
        <f t="shared" si="8"/>
        <v>82.04282397</v>
      </c>
      <c r="U2276" s="145"/>
    </row>
    <row r="2277">
      <c r="A2277" s="29"/>
      <c r="B2277" s="15" t="s">
        <v>26</v>
      </c>
      <c r="C2277" s="15" t="s">
        <v>19</v>
      </c>
      <c r="D2277" s="15">
        <v>73.0</v>
      </c>
      <c r="E2277" s="15" t="s">
        <v>4744</v>
      </c>
      <c r="F2277" s="15" t="s">
        <v>1479</v>
      </c>
      <c r="G2277" s="15" t="s">
        <v>2660</v>
      </c>
      <c r="H2277" s="15">
        <v>-1.0</v>
      </c>
      <c r="I2277" s="15" t="s">
        <v>172</v>
      </c>
      <c r="J2277" s="15" t="s">
        <v>22</v>
      </c>
      <c r="K2277" s="15" t="s">
        <v>892</v>
      </c>
      <c r="L2277" s="15" t="s">
        <v>24</v>
      </c>
      <c r="M2277" s="16">
        <v>0.0</v>
      </c>
      <c r="N2277" s="16">
        <v>0.75</v>
      </c>
      <c r="O2277" s="16">
        <v>0.75</v>
      </c>
      <c r="P2277" s="17">
        <v>45367.0</v>
      </c>
      <c r="Q2277" s="18">
        <v>1.825</v>
      </c>
      <c r="R2277" s="15" t="s">
        <v>70</v>
      </c>
      <c r="S2277" s="19">
        <f t="shared" si="1"/>
        <v>0</v>
      </c>
      <c r="T2277" s="19">
        <f t="shared" si="8"/>
        <v>82.04282397</v>
      </c>
      <c r="U2277" s="144"/>
    </row>
    <row r="2278">
      <c r="A2278" s="107"/>
      <c r="B2278" s="8" t="s">
        <v>26</v>
      </c>
      <c r="C2278" s="8" t="s">
        <v>19</v>
      </c>
      <c r="D2278" s="8">
        <v>73.0</v>
      </c>
      <c r="E2278" s="8" t="s">
        <v>4745</v>
      </c>
      <c r="F2278" s="8" t="s">
        <v>1473</v>
      </c>
      <c r="G2278" s="8" t="s">
        <v>2660</v>
      </c>
      <c r="H2278" s="8">
        <v>-1.0</v>
      </c>
      <c r="I2278" s="8" t="s">
        <v>231</v>
      </c>
      <c r="J2278" s="8" t="s">
        <v>22</v>
      </c>
      <c r="K2278" s="8" t="s">
        <v>892</v>
      </c>
      <c r="L2278" s="8" t="s">
        <v>24</v>
      </c>
      <c r="M2278" s="9">
        <v>0.0</v>
      </c>
      <c r="N2278" s="9">
        <v>0.4</v>
      </c>
      <c r="O2278" s="9">
        <v>0.4</v>
      </c>
      <c r="P2278" s="10">
        <v>45367.0</v>
      </c>
      <c r="Q2278" s="11">
        <v>1.975</v>
      </c>
      <c r="R2278" s="8" t="s">
        <v>25</v>
      </c>
      <c r="S2278" s="12">
        <f t="shared" si="1"/>
        <v>-0.4</v>
      </c>
      <c r="T2278" s="12">
        <f t="shared" si="8"/>
        <v>81.64282397</v>
      </c>
      <c r="U2278" s="145"/>
    </row>
    <row r="2279">
      <c r="A2279" s="29"/>
      <c r="B2279" s="15" t="s">
        <v>26</v>
      </c>
      <c r="C2279" s="15" t="s">
        <v>19</v>
      </c>
      <c r="D2279" s="15">
        <v>78.0</v>
      </c>
      <c r="E2279" s="15" t="s">
        <v>4746</v>
      </c>
      <c r="F2279" s="15" t="s">
        <v>1479</v>
      </c>
      <c r="G2279" s="15" t="s">
        <v>2660</v>
      </c>
      <c r="H2279" s="15">
        <v>0.0</v>
      </c>
      <c r="I2279" s="15" t="s">
        <v>231</v>
      </c>
      <c r="J2279" s="15" t="s">
        <v>22</v>
      </c>
      <c r="K2279" s="15" t="s">
        <v>892</v>
      </c>
      <c r="L2279" s="15" t="s">
        <v>24</v>
      </c>
      <c r="M2279" s="16">
        <v>0.0</v>
      </c>
      <c r="N2279" s="16">
        <v>0.25</v>
      </c>
      <c r="O2279" s="16">
        <v>0.2135</v>
      </c>
      <c r="P2279" s="17">
        <v>45367.0</v>
      </c>
      <c r="Q2279" s="18">
        <v>1.825</v>
      </c>
      <c r="R2279" s="15" t="s">
        <v>33</v>
      </c>
      <c r="S2279" s="19">
        <f t="shared" si="1"/>
        <v>0.1761375</v>
      </c>
      <c r="T2279" s="19">
        <f t="shared" si="8"/>
        <v>81.81896147</v>
      </c>
      <c r="U2279" s="144"/>
    </row>
    <row r="2280">
      <c r="A2280" s="107"/>
      <c r="B2280" s="8" t="s">
        <v>26</v>
      </c>
      <c r="C2280" s="8" t="s">
        <v>19</v>
      </c>
      <c r="D2280" s="8">
        <v>20.0</v>
      </c>
      <c r="E2280" s="8" t="s">
        <v>4747</v>
      </c>
      <c r="F2280" s="8" t="s">
        <v>1473</v>
      </c>
      <c r="G2280" s="8" t="s">
        <v>2660</v>
      </c>
      <c r="H2280" s="8">
        <v>0.0</v>
      </c>
      <c r="I2280" s="8" t="s">
        <v>583</v>
      </c>
      <c r="J2280" s="8" t="s">
        <v>22</v>
      </c>
      <c r="K2280" s="8" t="s">
        <v>4584</v>
      </c>
      <c r="L2280" s="8" t="s">
        <v>24</v>
      </c>
      <c r="M2280" s="9">
        <v>0.0</v>
      </c>
      <c r="N2280" s="9">
        <v>0.6</v>
      </c>
      <c r="O2280" s="9">
        <v>0.6</v>
      </c>
      <c r="P2280" s="10">
        <v>45368.0</v>
      </c>
      <c r="Q2280" s="11">
        <v>1.7</v>
      </c>
      <c r="R2280" s="8" t="s">
        <v>70</v>
      </c>
      <c r="S2280" s="12">
        <f t="shared" si="1"/>
        <v>0</v>
      </c>
      <c r="T2280" s="12">
        <f t="shared" si="8"/>
        <v>81.81896147</v>
      </c>
      <c r="U2280" s="145"/>
    </row>
    <row r="2281">
      <c r="A2281" s="29"/>
      <c r="B2281" s="15" t="s">
        <v>26</v>
      </c>
      <c r="C2281" s="15" t="s">
        <v>19</v>
      </c>
      <c r="D2281" s="15">
        <v>55.0</v>
      </c>
      <c r="E2281" s="15" t="s">
        <v>4748</v>
      </c>
      <c r="F2281" s="15" t="s">
        <v>1479</v>
      </c>
      <c r="G2281" s="15" t="s">
        <v>2660</v>
      </c>
      <c r="H2281" s="15">
        <v>-1.0</v>
      </c>
      <c r="I2281" s="15" t="s">
        <v>583</v>
      </c>
      <c r="J2281" s="15" t="s">
        <v>22</v>
      </c>
      <c r="K2281" s="15" t="s">
        <v>892</v>
      </c>
      <c r="L2281" s="15" t="s">
        <v>24</v>
      </c>
      <c r="M2281" s="16">
        <v>0.0</v>
      </c>
      <c r="N2281" s="16">
        <v>1.0</v>
      </c>
      <c r="O2281" s="16">
        <v>1.0</v>
      </c>
      <c r="P2281" s="17">
        <v>45368.0</v>
      </c>
      <c r="Q2281" s="18">
        <v>1.7</v>
      </c>
      <c r="R2281" s="15" t="s">
        <v>70</v>
      </c>
      <c r="S2281" s="19">
        <f t="shared" si="1"/>
        <v>0</v>
      </c>
      <c r="T2281" s="19">
        <f t="shared" si="8"/>
        <v>81.81896147</v>
      </c>
      <c r="U2281" s="144"/>
    </row>
    <row r="2282">
      <c r="A2282" s="107"/>
      <c r="B2282" s="8" t="s">
        <v>129</v>
      </c>
      <c r="C2282" s="8" t="s">
        <v>19</v>
      </c>
      <c r="D2282" s="8">
        <v>28.0</v>
      </c>
      <c r="E2282" s="8" t="s">
        <v>4749</v>
      </c>
      <c r="F2282" s="8" t="s">
        <v>1473</v>
      </c>
      <c r="G2282" s="8" t="s">
        <v>2660</v>
      </c>
      <c r="H2282" s="8">
        <v>0.0</v>
      </c>
      <c r="I2282" s="8" t="s">
        <v>93</v>
      </c>
      <c r="J2282" s="8" t="s">
        <v>22</v>
      </c>
      <c r="K2282" s="8" t="s">
        <v>4584</v>
      </c>
      <c r="L2282" s="8" t="s">
        <v>39</v>
      </c>
      <c r="M2282" s="9">
        <v>0.0</v>
      </c>
      <c r="N2282" s="9">
        <v>0.4</v>
      </c>
      <c r="O2282" s="9">
        <v>0.4</v>
      </c>
      <c r="P2282" s="10">
        <v>45368.0</v>
      </c>
      <c r="Q2282" s="11">
        <v>1.775</v>
      </c>
      <c r="R2282" s="8" t="s">
        <v>70</v>
      </c>
      <c r="S2282" s="12">
        <f t="shared" si="1"/>
        <v>0</v>
      </c>
      <c r="T2282" s="12">
        <f t="shared" si="8"/>
        <v>81.81896147</v>
      </c>
      <c r="U2282" s="145"/>
    </row>
    <row r="2283">
      <c r="A2283" s="29"/>
      <c r="B2283" s="15" t="s">
        <v>129</v>
      </c>
      <c r="C2283" s="15" t="s">
        <v>19</v>
      </c>
      <c r="D2283" s="15">
        <v>23.0</v>
      </c>
      <c r="E2283" s="15" t="s">
        <v>4750</v>
      </c>
      <c r="F2283" s="15" t="s">
        <v>1473</v>
      </c>
      <c r="G2283" s="15" t="s">
        <v>2660</v>
      </c>
      <c r="H2283" s="15">
        <v>0.0</v>
      </c>
      <c r="I2283" s="15" t="s">
        <v>93</v>
      </c>
      <c r="J2283" s="15" t="s">
        <v>22</v>
      </c>
      <c r="K2283" s="15" t="s">
        <v>892</v>
      </c>
      <c r="L2283" s="15" t="s">
        <v>24</v>
      </c>
      <c r="M2283" s="16">
        <v>0.0</v>
      </c>
      <c r="N2283" s="16">
        <v>0.6</v>
      </c>
      <c r="O2283" s="16">
        <v>0.6</v>
      </c>
      <c r="P2283" s="17">
        <v>45368.0</v>
      </c>
      <c r="Q2283" s="18">
        <v>1.8</v>
      </c>
      <c r="R2283" s="15" t="s">
        <v>25</v>
      </c>
      <c r="S2283" s="19">
        <f t="shared" si="1"/>
        <v>-0.6</v>
      </c>
      <c r="T2283" s="19">
        <f t="shared" si="8"/>
        <v>81.21896147</v>
      </c>
      <c r="U2283" s="144"/>
    </row>
    <row r="2284">
      <c r="A2284" s="107"/>
      <c r="B2284" s="8" t="s">
        <v>129</v>
      </c>
      <c r="C2284" s="8" t="s">
        <v>19</v>
      </c>
      <c r="D2284" s="8">
        <v>26.0</v>
      </c>
      <c r="E2284" s="8" t="s">
        <v>4751</v>
      </c>
      <c r="F2284" s="8" t="s">
        <v>1473</v>
      </c>
      <c r="G2284" s="8" t="s">
        <v>2660</v>
      </c>
      <c r="H2284" s="8">
        <v>0.0</v>
      </c>
      <c r="I2284" s="8" t="s">
        <v>93</v>
      </c>
      <c r="J2284" s="8" t="s">
        <v>22</v>
      </c>
      <c r="K2284" s="8" t="s">
        <v>941</v>
      </c>
      <c r="L2284" s="8" t="s">
        <v>24</v>
      </c>
      <c r="M2284" s="9">
        <v>0.0</v>
      </c>
      <c r="N2284" s="9">
        <v>0.4</v>
      </c>
      <c r="O2284" s="9">
        <v>0.4</v>
      </c>
      <c r="P2284" s="10">
        <v>45368.0</v>
      </c>
      <c r="Q2284" s="11">
        <v>1.8</v>
      </c>
      <c r="R2284" s="8" t="s">
        <v>25</v>
      </c>
      <c r="S2284" s="12">
        <f t="shared" si="1"/>
        <v>-0.4</v>
      </c>
      <c r="T2284" s="12">
        <f t="shared" si="8"/>
        <v>80.81896147</v>
      </c>
      <c r="U2284" s="145"/>
    </row>
    <row r="2285">
      <c r="A2285" s="29"/>
      <c r="B2285" s="15" t="s">
        <v>4225</v>
      </c>
      <c r="C2285" s="15" t="s">
        <v>40</v>
      </c>
      <c r="D2285" s="15">
        <v>80.0</v>
      </c>
      <c r="E2285" s="15" t="s">
        <v>4752</v>
      </c>
      <c r="F2285" s="15" t="s">
        <v>1473</v>
      </c>
      <c r="G2285" s="15" t="s">
        <v>2556</v>
      </c>
      <c r="H2285" s="15">
        <v>0.0</v>
      </c>
      <c r="I2285" s="15" t="s">
        <v>316</v>
      </c>
      <c r="J2285" s="15" t="s">
        <v>22</v>
      </c>
      <c r="K2285" s="15" t="s">
        <v>225</v>
      </c>
      <c r="L2285" s="15" t="s">
        <v>24</v>
      </c>
      <c r="M2285" s="16">
        <v>0.5</v>
      </c>
      <c r="N2285" s="16">
        <v>0.4</v>
      </c>
      <c r="O2285" s="16">
        <v>0.4</v>
      </c>
      <c r="P2285" s="17">
        <v>45368.0</v>
      </c>
      <c r="Q2285" s="18">
        <v>1.725</v>
      </c>
      <c r="R2285" s="15" t="s">
        <v>33</v>
      </c>
      <c r="S2285" s="19">
        <f t="shared" si="1"/>
        <v>0.29</v>
      </c>
      <c r="T2285" s="19">
        <f t="shared" si="8"/>
        <v>81.10896147</v>
      </c>
      <c r="U2285" s="144"/>
    </row>
    <row r="2286">
      <c r="A2286" s="107"/>
      <c r="B2286" s="8" t="s">
        <v>129</v>
      </c>
      <c r="C2286" s="8" t="s">
        <v>19</v>
      </c>
      <c r="D2286" s="8">
        <v>20.0</v>
      </c>
      <c r="E2286" s="8" t="s">
        <v>4753</v>
      </c>
      <c r="F2286" s="8" t="s">
        <v>1479</v>
      </c>
      <c r="G2286" s="8" t="s">
        <v>2660</v>
      </c>
      <c r="H2286" s="8">
        <v>0.0</v>
      </c>
      <c r="I2286" s="8" t="s">
        <v>1031</v>
      </c>
      <c r="J2286" s="8" t="s">
        <v>22</v>
      </c>
      <c r="K2286" s="8" t="s">
        <v>4584</v>
      </c>
      <c r="L2286" s="8" t="s">
        <v>24</v>
      </c>
      <c r="M2286" s="9">
        <v>0.0</v>
      </c>
      <c r="N2286" s="9">
        <v>0.6</v>
      </c>
      <c r="O2286" s="9">
        <v>0.6</v>
      </c>
      <c r="P2286" s="10">
        <v>45368.0</v>
      </c>
      <c r="Q2286" s="11">
        <v>1.65</v>
      </c>
      <c r="R2286" s="8" t="s">
        <v>70</v>
      </c>
      <c r="S2286" s="12">
        <f t="shared" si="1"/>
        <v>0</v>
      </c>
      <c r="T2286" s="12">
        <f t="shared" si="8"/>
        <v>81.10896147</v>
      </c>
      <c r="U2286" s="145"/>
    </row>
    <row r="2287">
      <c r="A2287" s="29"/>
      <c r="B2287" s="15" t="s">
        <v>26</v>
      </c>
      <c r="C2287" s="15" t="s">
        <v>19</v>
      </c>
      <c r="D2287" s="15">
        <v>65.0</v>
      </c>
      <c r="E2287" s="15" t="s">
        <v>4754</v>
      </c>
      <c r="F2287" s="15" t="s">
        <v>1479</v>
      </c>
      <c r="G2287" s="15" t="s">
        <v>2660</v>
      </c>
      <c r="H2287" s="15">
        <v>-1.0</v>
      </c>
      <c r="I2287" s="15" t="s">
        <v>4755</v>
      </c>
      <c r="J2287" s="15" t="s">
        <v>22</v>
      </c>
      <c r="K2287" s="15" t="s">
        <v>892</v>
      </c>
      <c r="L2287" s="15" t="s">
        <v>24</v>
      </c>
      <c r="M2287" s="16">
        <v>0.0</v>
      </c>
      <c r="N2287" s="16">
        <v>0.6</v>
      </c>
      <c r="O2287" s="16">
        <v>0.6</v>
      </c>
      <c r="P2287" s="17">
        <v>45368.0</v>
      </c>
      <c r="Q2287" s="18">
        <v>1.675</v>
      </c>
      <c r="R2287" s="15" t="s">
        <v>70</v>
      </c>
      <c r="S2287" s="19">
        <f t="shared" si="1"/>
        <v>0</v>
      </c>
      <c r="T2287" s="19">
        <f t="shared" si="8"/>
        <v>81.10896147</v>
      </c>
      <c r="U2287" s="144"/>
    </row>
    <row r="2288">
      <c r="A2288" s="107"/>
      <c r="B2288" s="8" t="s">
        <v>26</v>
      </c>
      <c r="C2288" s="8" t="s">
        <v>19</v>
      </c>
      <c r="D2288" s="8">
        <v>31.0</v>
      </c>
      <c r="E2288" s="8" t="s">
        <v>4756</v>
      </c>
      <c r="F2288" s="8" t="s">
        <v>1473</v>
      </c>
      <c r="G2288" s="8" t="s">
        <v>2660</v>
      </c>
      <c r="H2288" s="8">
        <v>0.0</v>
      </c>
      <c r="I2288" s="8" t="s">
        <v>50</v>
      </c>
      <c r="J2288" s="8" t="s">
        <v>22</v>
      </c>
      <c r="K2288" s="8" t="s">
        <v>4584</v>
      </c>
      <c r="L2288" s="8" t="s">
        <v>24</v>
      </c>
      <c r="M2288" s="9">
        <v>0.0</v>
      </c>
      <c r="N2288" s="9">
        <v>1.0</v>
      </c>
      <c r="O2288" s="9">
        <v>1.0</v>
      </c>
      <c r="P2288" s="10">
        <v>45368.0</v>
      </c>
      <c r="Q2288" s="11">
        <v>1.975</v>
      </c>
      <c r="R2288" s="8" t="s">
        <v>70</v>
      </c>
      <c r="S2288" s="12">
        <f t="shared" si="1"/>
        <v>0</v>
      </c>
      <c r="T2288" s="12">
        <f t="shared" si="8"/>
        <v>81.10896147</v>
      </c>
      <c r="U2288" s="145"/>
    </row>
    <row r="2289">
      <c r="A2289" s="29"/>
      <c r="B2289" s="15" t="s">
        <v>26</v>
      </c>
      <c r="C2289" s="15" t="s">
        <v>19</v>
      </c>
      <c r="D2289" s="15">
        <v>57.0</v>
      </c>
      <c r="E2289" s="15" t="s">
        <v>4757</v>
      </c>
      <c r="F2289" s="15" t="s">
        <v>1479</v>
      </c>
      <c r="G2289" s="15" t="s">
        <v>2660</v>
      </c>
      <c r="H2289" s="15">
        <v>-1.0</v>
      </c>
      <c r="I2289" s="15" t="s">
        <v>99</v>
      </c>
      <c r="J2289" s="15" t="s">
        <v>22</v>
      </c>
      <c r="K2289" s="15" t="s">
        <v>892</v>
      </c>
      <c r="L2289" s="15" t="s">
        <v>24</v>
      </c>
      <c r="M2289" s="16">
        <v>0.0</v>
      </c>
      <c r="N2289" s="16">
        <v>0.2</v>
      </c>
      <c r="O2289" s="16">
        <v>0.1125</v>
      </c>
      <c r="P2289" s="17">
        <v>45368.0</v>
      </c>
      <c r="Q2289" s="18">
        <v>1.7</v>
      </c>
      <c r="R2289" s="15" t="s">
        <v>33</v>
      </c>
      <c r="S2289" s="19">
        <f t="shared" si="1"/>
        <v>0.07875</v>
      </c>
      <c r="T2289" s="19">
        <f t="shared" si="8"/>
        <v>81.18771147</v>
      </c>
      <c r="U2289" s="144"/>
    </row>
    <row r="2290">
      <c r="A2290" s="107"/>
      <c r="B2290" s="8" t="s">
        <v>26</v>
      </c>
      <c r="C2290" s="8" t="s">
        <v>19</v>
      </c>
      <c r="D2290" s="8">
        <v>55.0</v>
      </c>
      <c r="E2290" s="8" t="s">
        <v>4758</v>
      </c>
      <c r="F2290" s="8" t="s">
        <v>1473</v>
      </c>
      <c r="G2290" s="8" t="s">
        <v>2660</v>
      </c>
      <c r="H2290" s="8">
        <v>0.0</v>
      </c>
      <c r="I2290" s="8" t="s">
        <v>50</v>
      </c>
      <c r="J2290" s="8" t="s">
        <v>22</v>
      </c>
      <c r="K2290" s="8" t="s">
        <v>892</v>
      </c>
      <c r="L2290" s="8" t="s">
        <v>24</v>
      </c>
      <c r="M2290" s="9">
        <v>0.0</v>
      </c>
      <c r="N2290" s="9">
        <v>0.4</v>
      </c>
      <c r="O2290" s="9">
        <v>0.3877</v>
      </c>
      <c r="P2290" s="10">
        <v>45368.0</v>
      </c>
      <c r="Q2290" s="11">
        <v>2.0</v>
      </c>
      <c r="R2290" s="8" t="s">
        <v>33</v>
      </c>
      <c r="S2290" s="12">
        <f t="shared" si="1"/>
        <v>0.3877</v>
      </c>
      <c r="T2290" s="12">
        <f t="shared" si="8"/>
        <v>81.57541147</v>
      </c>
      <c r="U2290" s="145"/>
    </row>
    <row r="2291">
      <c r="A2291" s="29"/>
      <c r="B2291" s="15" t="s">
        <v>26</v>
      </c>
      <c r="C2291" s="15" t="s">
        <v>19</v>
      </c>
      <c r="D2291" s="15">
        <v>80.0</v>
      </c>
      <c r="E2291" s="15" t="s">
        <v>4759</v>
      </c>
      <c r="F2291" s="15" t="s">
        <v>1473</v>
      </c>
      <c r="G2291" s="15" t="s">
        <v>2660</v>
      </c>
      <c r="H2291" s="15">
        <v>0.0</v>
      </c>
      <c r="I2291" s="15" t="s">
        <v>101</v>
      </c>
      <c r="J2291" s="15" t="s">
        <v>22</v>
      </c>
      <c r="K2291" s="15" t="s">
        <v>892</v>
      </c>
      <c r="L2291" s="15" t="s">
        <v>24</v>
      </c>
      <c r="M2291" s="16">
        <v>0.0</v>
      </c>
      <c r="N2291" s="16">
        <v>0.6</v>
      </c>
      <c r="O2291" s="16">
        <v>0.4938</v>
      </c>
      <c r="P2291" s="55">
        <v>45368.0</v>
      </c>
      <c r="Q2291" s="18">
        <v>1.85</v>
      </c>
      <c r="R2291" s="15" t="s">
        <v>25</v>
      </c>
      <c r="S2291" s="19">
        <f t="shared" si="1"/>
        <v>-0.4938</v>
      </c>
      <c r="T2291" s="19">
        <f t="shared" si="8"/>
        <v>81.08161147</v>
      </c>
      <c r="U2291" s="144"/>
    </row>
    <row r="2292">
      <c r="A2292" s="107"/>
      <c r="B2292" s="8" t="s">
        <v>26</v>
      </c>
      <c r="C2292" s="8" t="s">
        <v>19</v>
      </c>
      <c r="D2292" s="8">
        <v>20.0</v>
      </c>
      <c r="E2292" s="8" t="s">
        <v>4760</v>
      </c>
      <c r="F2292" s="8" t="s">
        <v>1479</v>
      </c>
      <c r="G2292" s="8" t="s">
        <v>2660</v>
      </c>
      <c r="H2292" s="8">
        <v>-1.0</v>
      </c>
      <c r="I2292" s="8" t="s">
        <v>93</v>
      </c>
      <c r="J2292" s="8" t="s">
        <v>22</v>
      </c>
      <c r="K2292" s="8" t="s">
        <v>892</v>
      </c>
      <c r="L2292" s="8" t="s">
        <v>24</v>
      </c>
      <c r="M2292" s="9">
        <v>0.0</v>
      </c>
      <c r="N2292" s="9">
        <v>1.0</v>
      </c>
      <c r="O2292" s="9">
        <v>1.0</v>
      </c>
      <c r="P2292" s="10">
        <v>45368.0</v>
      </c>
      <c r="Q2292" s="11">
        <v>1.825</v>
      </c>
      <c r="R2292" s="8" t="s">
        <v>33</v>
      </c>
      <c r="S2292" s="12">
        <f t="shared" si="1"/>
        <v>0.825</v>
      </c>
      <c r="T2292" s="12">
        <f t="shared" si="8"/>
        <v>81.90661147</v>
      </c>
      <c r="U2292" s="145"/>
    </row>
    <row r="2293">
      <c r="A2293" s="29"/>
      <c r="B2293" s="15" t="s">
        <v>26</v>
      </c>
      <c r="C2293" s="15" t="s">
        <v>19</v>
      </c>
      <c r="D2293" s="15">
        <v>60.0</v>
      </c>
      <c r="E2293" s="15" t="s">
        <v>4761</v>
      </c>
      <c r="F2293" s="15" t="s">
        <v>1479</v>
      </c>
      <c r="G2293" s="15" t="s">
        <v>2556</v>
      </c>
      <c r="H2293" s="15">
        <v>0.0</v>
      </c>
      <c r="I2293" s="15" t="s">
        <v>66</v>
      </c>
      <c r="J2293" s="15" t="s">
        <v>22</v>
      </c>
      <c r="K2293" s="15" t="s">
        <v>941</v>
      </c>
      <c r="L2293" s="15" t="s">
        <v>24</v>
      </c>
      <c r="M2293" s="16">
        <v>0.0</v>
      </c>
      <c r="N2293" s="16">
        <v>1.0</v>
      </c>
      <c r="O2293" s="16">
        <v>1.0</v>
      </c>
      <c r="P2293" s="17">
        <v>45368.0</v>
      </c>
      <c r="Q2293" s="18">
        <v>1.8</v>
      </c>
      <c r="R2293" s="15" t="s">
        <v>70</v>
      </c>
      <c r="S2293" s="19">
        <f t="shared" si="1"/>
        <v>0</v>
      </c>
      <c r="T2293" s="19">
        <f t="shared" si="8"/>
        <v>81.90661147</v>
      </c>
      <c r="U2293" s="144"/>
    </row>
    <row r="2294">
      <c r="A2294" s="107"/>
      <c r="B2294" s="8" t="s">
        <v>4225</v>
      </c>
      <c r="C2294" s="8" t="s">
        <v>19</v>
      </c>
      <c r="D2294" s="8">
        <v>65.0</v>
      </c>
      <c r="E2294" s="8" t="s">
        <v>4762</v>
      </c>
      <c r="F2294" s="8" t="s">
        <v>1473</v>
      </c>
      <c r="G2294" s="8" t="s">
        <v>2573</v>
      </c>
      <c r="H2294" s="8">
        <v>0.0</v>
      </c>
      <c r="I2294" s="8" t="s">
        <v>66</v>
      </c>
      <c r="J2294" s="8" t="s">
        <v>22</v>
      </c>
      <c r="K2294" s="8" t="s">
        <v>894</v>
      </c>
      <c r="L2294" s="8" t="s">
        <v>24</v>
      </c>
      <c r="M2294" s="9">
        <v>-0.5</v>
      </c>
      <c r="N2294" s="9">
        <v>0.25</v>
      </c>
      <c r="O2294" s="9">
        <v>0.25</v>
      </c>
      <c r="P2294" s="10">
        <v>45368.0</v>
      </c>
      <c r="Q2294" s="11">
        <v>1.95</v>
      </c>
      <c r="R2294" s="8" t="s">
        <v>33</v>
      </c>
      <c r="S2294" s="12">
        <f t="shared" si="1"/>
        <v>0.2375</v>
      </c>
      <c r="T2294" s="12">
        <f t="shared" si="8"/>
        <v>82.14411147</v>
      </c>
      <c r="U2294" s="145"/>
    </row>
    <row r="2295">
      <c r="A2295" s="29"/>
      <c r="B2295" s="15" t="s">
        <v>4225</v>
      </c>
      <c r="C2295" s="15" t="s">
        <v>19</v>
      </c>
      <c r="D2295" s="15">
        <v>15.0</v>
      </c>
      <c r="E2295" s="15" t="s">
        <v>4763</v>
      </c>
      <c r="F2295" s="15" t="s">
        <v>1479</v>
      </c>
      <c r="G2295" s="15" t="s">
        <v>2556</v>
      </c>
      <c r="H2295" s="15">
        <v>0.0</v>
      </c>
      <c r="I2295" s="15" t="s">
        <v>38</v>
      </c>
      <c r="J2295" s="15" t="s">
        <v>22</v>
      </c>
      <c r="K2295" s="15" t="s">
        <v>225</v>
      </c>
      <c r="L2295" s="15" t="s">
        <v>24</v>
      </c>
      <c r="M2295" s="16">
        <v>0.5</v>
      </c>
      <c r="N2295" s="16">
        <v>0.2</v>
      </c>
      <c r="O2295" s="16">
        <v>0.18333</v>
      </c>
      <c r="P2295" s="17">
        <v>45370.0</v>
      </c>
      <c r="Q2295" s="18">
        <v>1.75</v>
      </c>
      <c r="R2295" s="15" t="s">
        <v>33</v>
      </c>
      <c r="S2295" s="19">
        <f t="shared" si="1"/>
        <v>0.1374975</v>
      </c>
      <c r="T2295" s="19">
        <f t="shared" si="8"/>
        <v>82.28160897</v>
      </c>
      <c r="U2295" s="144"/>
    </row>
    <row r="2296">
      <c r="A2296" s="107"/>
      <c r="B2296" s="8" t="s">
        <v>4225</v>
      </c>
      <c r="C2296" s="8" t="s">
        <v>19</v>
      </c>
      <c r="D2296" s="8">
        <v>37.0</v>
      </c>
      <c r="E2296" s="8" t="s">
        <v>4764</v>
      </c>
      <c r="F2296" s="8" t="s">
        <v>1473</v>
      </c>
      <c r="G2296" s="8" t="s">
        <v>2556</v>
      </c>
      <c r="H2296" s="8">
        <v>0.0</v>
      </c>
      <c r="I2296" s="8" t="s">
        <v>38</v>
      </c>
      <c r="J2296" s="8" t="s">
        <v>22</v>
      </c>
      <c r="K2296" s="8" t="s">
        <v>1847</v>
      </c>
      <c r="L2296" s="8" t="s">
        <v>24</v>
      </c>
      <c r="M2296" s="9">
        <v>-0.5</v>
      </c>
      <c r="N2296" s="9">
        <v>0.1</v>
      </c>
      <c r="O2296" s="9">
        <v>0.1</v>
      </c>
      <c r="P2296" s="10">
        <v>45370.0</v>
      </c>
      <c r="Q2296" s="11">
        <v>3.5</v>
      </c>
      <c r="R2296" s="8" t="s">
        <v>25</v>
      </c>
      <c r="S2296" s="12">
        <f t="shared" si="1"/>
        <v>-0.1</v>
      </c>
      <c r="T2296" s="12">
        <f t="shared" si="8"/>
        <v>82.18160897</v>
      </c>
      <c r="U2296" s="145"/>
    </row>
    <row r="2297">
      <c r="A2297" s="29"/>
      <c r="B2297" s="15" t="s">
        <v>4225</v>
      </c>
      <c r="C2297" s="15" t="s">
        <v>19</v>
      </c>
      <c r="D2297" s="15">
        <v>73.0</v>
      </c>
      <c r="E2297" s="15" t="s">
        <v>4765</v>
      </c>
      <c r="F2297" s="15" t="s">
        <v>1479</v>
      </c>
      <c r="G2297" s="15" t="s">
        <v>2556</v>
      </c>
      <c r="H2297" s="15">
        <v>-1.0</v>
      </c>
      <c r="I2297" s="15" t="s">
        <v>38</v>
      </c>
      <c r="J2297" s="15" t="s">
        <v>22</v>
      </c>
      <c r="K2297" s="15" t="s">
        <v>225</v>
      </c>
      <c r="L2297" s="15" t="s">
        <v>1803</v>
      </c>
      <c r="M2297" s="16">
        <v>0.25</v>
      </c>
      <c r="N2297" s="16">
        <v>0.5</v>
      </c>
      <c r="O2297" s="16">
        <v>0.4083</v>
      </c>
      <c r="P2297" s="17">
        <v>45370.0</v>
      </c>
      <c r="Q2297" s="18">
        <v>1.825</v>
      </c>
      <c r="R2297" s="15" t="s">
        <v>30</v>
      </c>
      <c r="S2297" s="19">
        <f t="shared" si="1"/>
        <v>0.16842375</v>
      </c>
      <c r="T2297" s="19">
        <f t="shared" si="8"/>
        <v>82.35003272</v>
      </c>
      <c r="U2297" s="144"/>
    </row>
    <row r="2298">
      <c r="A2298" s="107"/>
      <c r="B2298" s="8" t="s">
        <v>129</v>
      </c>
      <c r="C2298" s="8" t="s">
        <v>19</v>
      </c>
      <c r="D2298" s="8">
        <v>20.0</v>
      </c>
      <c r="E2298" s="8" t="s">
        <v>4766</v>
      </c>
      <c r="F2298" s="8" t="s">
        <v>1479</v>
      </c>
      <c r="G2298" s="8" t="s">
        <v>2660</v>
      </c>
      <c r="H2298" s="8">
        <v>0.0</v>
      </c>
      <c r="I2298" s="8" t="s">
        <v>616</v>
      </c>
      <c r="J2298" s="8" t="s">
        <v>22</v>
      </c>
      <c r="K2298" s="8" t="s">
        <v>4584</v>
      </c>
      <c r="L2298" s="8" t="s">
        <v>24</v>
      </c>
      <c r="M2298" s="9">
        <v>0.0</v>
      </c>
      <c r="N2298" s="9">
        <v>0.6</v>
      </c>
      <c r="O2298" s="9">
        <v>0.4864</v>
      </c>
      <c r="P2298" s="10">
        <v>45370.0</v>
      </c>
      <c r="Q2298" s="11">
        <v>1.95</v>
      </c>
      <c r="R2298" s="8" t="s">
        <v>70</v>
      </c>
      <c r="S2298" s="12">
        <f t="shared" si="1"/>
        <v>0</v>
      </c>
      <c r="T2298" s="12">
        <f t="shared" si="8"/>
        <v>82.35003272</v>
      </c>
      <c r="U2298" s="145"/>
    </row>
    <row r="2299">
      <c r="A2299" s="29"/>
      <c r="B2299" s="15" t="s">
        <v>4225</v>
      </c>
      <c r="C2299" s="15" t="s">
        <v>19</v>
      </c>
      <c r="D2299" s="15">
        <v>85.0</v>
      </c>
      <c r="E2299" s="15" t="s">
        <v>4767</v>
      </c>
      <c r="F2299" s="15" t="s">
        <v>1479</v>
      </c>
      <c r="G2299" s="15" t="s">
        <v>2660</v>
      </c>
      <c r="H2299" s="15">
        <v>0.0</v>
      </c>
      <c r="I2299" s="15" t="s">
        <v>624</v>
      </c>
      <c r="J2299" s="15" t="s">
        <v>22</v>
      </c>
      <c r="K2299" s="15" t="s">
        <v>892</v>
      </c>
      <c r="L2299" s="15" t="s">
        <v>24</v>
      </c>
      <c r="M2299" s="16">
        <v>0.0</v>
      </c>
      <c r="N2299" s="16">
        <v>0.6</v>
      </c>
      <c r="O2299" s="16">
        <v>0.4333</v>
      </c>
      <c r="P2299" s="17">
        <v>45371.0</v>
      </c>
      <c r="Q2299" s="18">
        <v>1.825</v>
      </c>
      <c r="R2299" s="15" t="s">
        <v>70</v>
      </c>
      <c r="S2299" s="19">
        <f t="shared" si="1"/>
        <v>0</v>
      </c>
      <c r="T2299" s="19">
        <f t="shared" si="8"/>
        <v>82.35003272</v>
      </c>
      <c r="U2299" s="144"/>
    </row>
    <row r="2300">
      <c r="A2300" s="107"/>
      <c r="B2300" s="8" t="s">
        <v>26</v>
      </c>
      <c r="C2300" s="8" t="s">
        <v>40</v>
      </c>
      <c r="D2300" s="8">
        <v>66.0</v>
      </c>
      <c r="E2300" s="8" t="s">
        <v>4768</v>
      </c>
      <c r="F2300" s="8"/>
      <c r="G2300" s="8"/>
      <c r="H2300" s="8" t="s">
        <v>2608</v>
      </c>
      <c r="I2300" s="8" t="s">
        <v>583</v>
      </c>
      <c r="J2300" s="8" t="s">
        <v>22</v>
      </c>
      <c r="K2300" s="8" t="s">
        <v>440</v>
      </c>
      <c r="L2300" s="8" t="s">
        <v>24</v>
      </c>
      <c r="M2300" s="9">
        <v>1.0</v>
      </c>
      <c r="N2300" s="9">
        <v>0.4</v>
      </c>
      <c r="O2300" s="9">
        <v>0.4</v>
      </c>
      <c r="P2300" s="10">
        <v>45371.0</v>
      </c>
      <c r="Q2300" s="11">
        <f>(1.825+1.9)/2</f>
        <v>1.8625</v>
      </c>
      <c r="R2300" s="8" t="s">
        <v>33</v>
      </c>
      <c r="S2300" s="12">
        <f t="shared" si="1"/>
        <v>0.345</v>
      </c>
      <c r="T2300" s="12">
        <f t="shared" si="8"/>
        <v>82.69503272</v>
      </c>
      <c r="U2300" s="145"/>
    </row>
    <row r="2301">
      <c r="A2301" s="29"/>
      <c r="B2301" s="15" t="s">
        <v>26</v>
      </c>
      <c r="C2301" s="15" t="s">
        <v>40</v>
      </c>
      <c r="D2301" s="15">
        <v>66.0</v>
      </c>
      <c r="E2301" s="15" t="s">
        <v>4769</v>
      </c>
      <c r="F2301" s="15"/>
      <c r="G2301" s="15"/>
      <c r="H2301" s="15" t="s">
        <v>2608</v>
      </c>
      <c r="I2301" s="15" t="s">
        <v>583</v>
      </c>
      <c r="J2301" s="15" t="s">
        <v>22</v>
      </c>
      <c r="K2301" s="15" t="s">
        <v>440</v>
      </c>
      <c r="L2301" s="15" t="s">
        <v>24</v>
      </c>
      <c r="M2301" s="16">
        <v>0.75</v>
      </c>
      <c r="N2301" s="16">
        <v>0.1</v>
      </c>
      <c r="O2301" s="16">
        <v>0.1</v>
      </c>
      <c r="P2301" s="17">
        <v>45371.0</v>
      </c>
      <c r="Q2301" s="18">
        <v>1.7</v>
      </c>
      <c r="R2301" s="15" t="s">
        <v>33</v>
      </c>
      <c r="S2301" s="19">
        <f t="shared" si="1"/>
        <v>0.07</v>
      </c>
      <c r="T2301" s="19">
        <f t="shared" si="8"/>
        <v>82.76503272</v>
      </c>
      <c r="U2301" s="144"/>
    </row>
    <row r="2302">
      <c r="A2302" s="107"/>
      <c r="B2302" s="8" t="s">
        <v>129</v>
      </c>
      <c r="C2302" s="8" t="s">
        <v>40</v>
      </c>
      <c r="D2302" s="8">
        <v>45.0</v>
      </c>
      <c r="E2302" s="8" t="s">
        <v>4770</v>
      </c>
      <c r="F2302" s="8" t="s">
        <v>1479</v>
      </c>
      <c r="G2302" s="8" t="s">
        <v>2556</v>
      </c>
      <c r="H2302" s="8">
        <v>0.0</v>
      </c>
      <c r="I2302" s="8" t="s">
        <v>191</v>
      </c>
      <c r="J2302" s="8" t="s">
        <v>22</v>
      </c>
      <c r="K2302" s="8" t="s">
        <v>225</v>
      </c>
      <c r="L2302" s="8" t="s">
        <v>24</v>
      </c>
      <c r="M2302" s="9">
        <v>0.25</v>
      </c>
      <c r="N2302" s="9">
        <v>0.4</v>
      </c>
      <c r="O2302" s="9">
        <v>0.4</v>
      </c>
      <c r="P2302" s="10">
        <v>45371.0</v>
      </c>
      <c r="Q2302" s="11">
        <v>1.7</v>
      </c>
      <c r="R2302" s="8" t="s">
        <v>33</v>
      </c>
      <c r="S2302" s="12">
        <f t="shared" si="1"/>
        <v>0.28</v>
      </c>
      <c r="T2302" s="12">
        <f t="shared" si="8"/>
        <v>83.04503272</v>
      </c>
      <c r="U2302" s="145"/>
    </row>
    <row r="2303">
      <c r="A2303" s="29"/>
      <c r="B2303" s="15" t="s">
        <v>137</v>
      </c>
      <c r="C2303" s="15" t="s">
        <v>40</v>
      </c>
      <c r="D2303" s="15">
        <v>62.0</v>
      </c>
      <c r="E2303" s="15" t="s">
        <v>4771</v>
      </c>
      <c r="F2303" s="15" t="s">
        <v>1479</v>
      </c>
      <c r="G2303" s="15" t="s">
        <v>2660</v>
      </c>
      <c r="H2303" s="15">
        <v>0.0</v>
      </c>
      <c r="I2303" s="15" t="s">
        <v>191</v>
      </c>
      <c r="J2303" s="15" t="s">
        <v>22</v>
      </c>
      <c r="K2303" s="15" t="s">
        <v>892</v>
      </c>
      <c r="L2303" s="15" t="s">
        <v>24</v>
      </c>
      <c r="M2303" s="16">
        <v>0.0</v>
      </c>
      <c r="N2303" s="16">
        <v>0.6</v>
      </c>
      <c r="O2303" s="16">
        <v>0.6</v>
      </c>
      <c r="P2303" s="17">
        <v>45371.0</v>
      </c>
      <c r="Q2303" s="18">
        <v>2.0</v>
      </c>
      <c r="R2303" s="15" t="s">
        <v>33</v>
      </c>
      <c r="S2303" s="19">
        <f t="shared" si="1"/>
        <v>0.6</v>
      </c>
      <c r="T2303" s="19">
        <f t="shared" si="8"/>
        <v>83.64503272</v>
      </c>
      <c r="U2303" s="144"/>
    </row>
    <row r="2304">
      <c r="A2304" s="107"/>
      <c r="B2304" s="8" t="s">
        <v>4225</v>
      </c>
      <c r="C2304" s="8" t="s">
        <v>40</v>
      </c>
      <c r="D2304" s="8">
        <v>68.0</v>
      </c>
      <c r="E2304" s="8" t="s">
        <v>4772</v>
      </c>
      <c r="F2304" s="8" t="s">
        <v>1479</v>
      </c>
      <c r="G2304" s="8" t="s">
        <v>2660</v>
      </c>
      <c r="H2304" s="8">
        <v>0.0</v>
      </c>
      <c r="I2304" s="8" t="s">
        <v>191</v>
      </c>
      <c r="J2304" s="8" t="s">
        <v>22</v>
      </c>
      <c r="K2304" s="8" t="s">
        <v>892</v>
      </c>
      <c r="L2304" s="8" t="s">
        <v>24</v>
      </c>
      <c r="M2304" s="9">
        <v>0.0</v>
      </c>
      <c r="N2304" s="9">
        <v>0.75</v>
      </c>
      <c r="O2304" s="9">
        <v>0.75</v>
      </c>
      <c r="P2304" s="10">
        <v>45371.0</v>
      </c>
      <c r="Q2304" s="11">
        <v>1.675</v>
      </c>
      <c r="R2304" s="8" t="s">
        <v>70</v>
      </c>
      <c r="S2304" s="12">
        <f t="shared" si="1"/>
        <v>0</v>
      </c>
      <c r="T2304" s="12">
        <f t="shared" si="8"/>
        <v>83.64503272</v>
      </c>
      <c r="U2304" s="145"/>
    </row>
    <row r="2305">
      <c r="A2305" s="29"/>
      <c r="B2305" s="15" t="s">
        <v>129</v>
      </c>
      <c r="C2305" s="15" t="s">
        <v>40</v>
      </c>
      <c r="D2305" s="15">
        <v>73.0</v>
      </c>
      <c r="E2305" s="15" t="s">
        <v>4773</v>
      </c>
      <c r="F2305" s="15" t="s">
        <v>1479</v>
      </c>
      <c r="G2305" s="15" t="s">
        <v>2660</v>
      </c>
      <c r="H2305" s="15">
        <v>0.0</v>
      </c>
      <c r="I2305" s="15" t="s">
        <v>191</v>
      </c>
      <c r="J2305" s="15" t="s">
        <v>22</v>
      </c>
      <c r="K2305" s="15" t="s">
        <v>892</v>
      </c>
      <c r="L2305" s="15" t="s">
        <v>24</v>
      </c>
      <c r="M2305" s="16">
        <v>0.0</v>
      </c>
      <c r="N2305" s="16">
        <v>0.35</v>
      </c>
      <c r="O2305" s="16">
        <v>0.35</v>
      </c>
      <c r="P2305" s="17">
        <v>45371.0</v>
      </c>
      <c r="Q2305" s="18">
        <v>2.2</v>
      </c>
      <c r="R2305" s="15" t="s">
        <v>33</v>
      </c>
      <c r="S2305" s="19">
        <f t="shared" si="1"/>
        <v>0.42</v>
      </c>
      <c r="T2305" s="19">
        <f t="shared" si="8"/>
        <v>84.06503272</v>
      </c>
      <c r="U2305" s="144"/>
    </row>
    <row r="2306">
      <c r="A2306" s="107"/>
      <c r="B2306" s="8" t="s">
        <v>4225</v>
      </c>
      <c r="C2306" s="8" t="s">
        <v>40</v>
      </c>
      <c r="D2306" s="8">
        <v>69.0</v>
      </c>
      <c r="E2306" s="8" t="s">
        <v>4774</v>
      </c>
      <c r="F2306" s="8" t="s">
        <v>1473</v>
      </c>
      <c r="G2306" s="8" t="s">
        <v>2573</v>
      </c>
      <c r="H2306" s="8">
        <v>-1.0</v>
      </c>
      <c r="I2306" s="8" t="s">
        <v>99</v>
      </c>
      <c r="J2306" s="8" t="s">
        <v>22</v>
      </c>
      <c r="K2306" s="8" t="s">
        <v>894</v>
      </c>
      <c r="L2306" s="8" t="s">
        <v>24</v>
      </c>
      <c r="M2306" s="9">
        <v>-0.25</v>
      </c>
      <c r="N2306" s="9">
        <v>0.25</v>
      </c>
      <c r="O2306" s="9">
        <v>0.25</v>
      </c>
      <c r="P2306" s="54">
        <v>45371.0</v>
      </c>
      <c r="Q2306" s="11">
        <v>1.775</v>
      </c>
      <c r="R2306" s="8" t="s">
        <v>79</v>
      </c>
      <c r="S2306" s="12">
        <f t="shared" si="1"/>
        <v>-0.125</v>
      </c>
      <c r="T2306" s="12">
        <f t="shared" si="8"/>
        <v>83.94003272</v>
      </c>
      <c r="U2306" s="145"/>
    </row>
    <row r="2307">
      <c r="A2307" s="29"/>
      <c r="B2307" s="15" t="s">
        <v>26</v>
      </c>
      <c r="C2307" s="15" t="s">
        <v>40</v>
      </c>
      <c r="D2307" s="15">
        <v>82.0</v>
      </c>
      <c r="E2307" s="15" t="s">
        <v>4775</v>
      </c>
      <c r="F2307" s="15"/>
      <c r="G2307" s="15"/>
      <c r="H2307" s="15" t="s">
        <v>2615</v>
      </c>
      <c r="I2307" s="15" t="s">
        <v>683</v>
      </c>
      <c r="J2307" s="15" t="s">
        <v>22</v>
      </c>
      <c r="K2307" s="15" t="s">
        <v>29</v>
      </c>
      <c r="L2307" s="15" t="s">
        <v>24</v>
      </c>
      <c r="M2307" s="16">
        <v>-1.5</v>
      </c>
      <c r="N2307" s="16">
        <v>0.25</v>
      </c>
      <c r="O2307" s="16">
        <v>0.25</v>
      </c>
      <c r="P2307" s="17">
        <v>45372.0</v>
      </c>
      <c r="Q2307" s="18">
        <v>1.8</v>
      </c>
      <c r="R2307" s="15" t="s">
        <v>25</v>
      </c>
      <c r="S2307" s="19">
        <f t="shared" si="1"/>
        <v>-0.25</v>
      </c>
      <c r="T2307" s="19">
        <f t="shared" si="8"/>
        <v>83.69003272</v>
      </c>
      <c r="U2307" s="144"/>
    </row>
    <row r="2308">
      <c r="A2308" s="107"/>
      <c r="B2308" s="8" t="s">
        <v>18</v>
      </c>
      <c r="C2308" s="8" t="s">
        <v>19</v>
      </c>
      <c r="D2308" s="8">
        <v>23.0</v>
      </c>
      <c r="E2308" s="8" t="s">
        <v>4776</v>
      </c>
      <c r="F2308" s="8" t="s">
        <v>1479</v>
      </c>
      <c r="G2308" s="8" t="s">
        <v>2660</v>
      </c>
      <c r="H2308" s="8">
        <f>1</f>
        <v>1</v>
      </c>
      <c r="I2308" s="8" t="s">
        <v>28</v>
      </c>
      <c r="J2308" s="8" t="s">
        <v>22</v>
      </c>
      <c r="K2308" s="8" t="s">
        <v>4584</v>
      </c>
      <c r="L2308" s="8" t="s">
        <v>24</v>
      </c>
      <c r="M2308" s="9">
        <v>0.0</v>
      </c>
      <c r="N2308" s="9">
        <v>0.6</v>
      </c>
      <c r="O2308" s="9">
        <v>0.6</v>
      </c>
      <c r="P2308" s="10">
        <v>45372.0</v>
      </c>
      <c r="Q2308" s="11">
        <v>1.725</v>
      </c>
      <c r="R2308" s="8" t="s">
        <v>70</v>
      </c>
      <c r="S2308" s="12">
        <f t="shared" si="1"/>
        <v>0</v>
      </c>
      <c r="T2308" s="12">
        <f t="shared" si="8"/>
        <v>83.69003272</v>
      </c>
      <c r="U2308" s="145"/>
    </row>
    <row r="2309">
      <c r="A2309" s="29"/>
      <c r="B2309" s="15" t="s">
        <v>26</v>
      </c>
      <c r="C2309" s="15" t="s">
        <v>19</v>
      </c>
      <c r="D2309" s="15">
        <v>29.0</v>
      </c>
      <c r="E2309" s="15" t="s">
        <v>4777</v>
      </c>
      <c r="F2309" s="15" t="s">
        <v>1473</v>
      </c>
      <c r="G2309" s="15" t="s">
        <v>2660</v>
      </c>
      <c r="H2309" s="15">
        <v>0.0</v>
      </c>
      <c r="I2309" s="15" t="s">
        <v>28</v>
      </c>
      <c r="J2309" s="15" t="s">
        <v>22</v>
      </c>
      <c r="K2309" s="15" t="s">
        <v>4584</v>
      </c>
      <c r="L2309" s="15" t="s">
        <v>24</v>
      </c>
      <c r="M2309" s="16">
        <v>0.0</v>
      </c>
      <c r="N2309" s="16">
        <v>0.75</v>
      </c>
      <c r="O2309" s="16">
        <v>0.75</v>
      </c>
      <c r="P2309" s="17">
        <v>45372.0</v>
      </c>
      <c r="Q2309" s="18">
        <v>1.825</v>
      </c>
      <c r="R2309" s="15" t="s">
        <v>33</v>
      </c>
      <c r="S2309" s="19">
        <f t="shared" si="1"/>
        <v>0.61875</v>
      </c>
      <c r="T2309" s="19">
        <f t="shared" si="8"/>
        <v>84.30878272</v>
      </c>
      <c r="U2309" s="144"/>
    </row>
    <row r="2310">
      <c r="A2310" s="107"/>
      <c r="B2310" s="8" t="s">
        <v>4225</v>
      </c>
      <c r="C2310" s="8" t="s">
        <v>19</v>
      </c>
      <c r="D2310" s="8">
        <v>70.0</v>
      </c>
      <c r="E2310" s="8" t="s">
        <v>4778</v>
      </c>
      <c r="F2310" s="8" t="s">
        <v>1473</v>
      </c>
      <c r="G2310" s="8" t="s">
        <v>2660</v>
      </c>
      <c r="H2310" s="8">
        <v>0.0</v>
      </c>
      <c r="I2310" s="8" t="s">
        <v>248</v>
      </c>
      <c r="J2310" s="8" t="s">
        <v>22</v>
      </c>
      <c r="K2310" s="8" t="s">
        <v>892</v>
      </c>
      <c r="L2310" s="8" t="s">
        <v>24</v>
      </c>
      <c r="M2310" s="9">
        <v>0.0</v>
      </c>
      <c r="N2310" s="9">
        <v>0.1</v>
      </c>
      <c r="O2310" s="9">
        <v>0.0913</v>
      </c>
      <c r="P2310" s="10">
        <v>45372.0</v>
      </c>
      <c r="Q2310" s="11">
        <v>5.2</v>
      </c>
      <c r="R2310" s="8" t="s">
        <v>70</v>
      </c>
      <c r="S2310" s="12">
        <f t="shared" si="1"/>
        <v>0</v>
      </c>
      <c r="T2310" s="12">
        <f t="shared" si="8"/>
        <v>84.30878272</v>
      </c>
      <c r="U2310" s="145"/>
    </row>
    <row r="2311">
      <c r="A2311" s="29"/>
      <c r="B2311" s="15" t="s">
        <v>137</v>
      </c>
      <c r="C2311" s="15" t="s">
        <v>19</v>
      </c>
      <c r="D2311" s="15">
        <v>65.0</v>
      </c>
      <c r="E2311" s="15" t="s">
        <v>4779</v>
      </c>
      <c r="F2311" s="15" t="s">
        <v>1473</v>
      </c>
      <c r="G2311" s="15" t="s">
        <v>2660</v>
      </c>
      <c r="H2311" s="15">
        <f>1</f>
        <v>1</v>
      </c>
      <c r="I2311" s="15" t="s">
        <v>28</v>
      </c>
      <c r="J2311" s="15" t="s">
        <v>22</v>
      </c>
      <c r="K2311" s="15" t="s">
        <v>892</v>
      </c>
      <c r="L2311" s="15" t="s">
        <v>24</v>
      </c>
      <c r="M2311" s="16">
        <v>0.0</v>
      </c>
      <c r="N2311" s="16">
        <v>0.2</v>
      </c>
      <c r="O2311" s="16">
        <v>0.1826</v>
      </c>
      <c r="P2311" s="17">
        <v>45372.0</v>
      </c>
      <c r="Q2311" s="18">
        <v>1.7</v>
      </c>
      <c r="R2311" s="15" t="s">
        <v>33</v>
      </c>
      <c r="S2311" s="19">
        <f t="shared" si="1"/>
        <v>0.12782</v>
      </c>
      <c r="T2311" s="19">
        <f t="shared" si="8"/>
        <v>84.43660272</v>
      </c>
      <c r="U2311" s="144"/>
    </row>
    <row r="2312">
      <c r="A2312" s="107"/>
      <c r="B2312" s="8" t="s">
        <v>129</v>
      </c>
      <c r="C2312" s="8" t="s">
        <v>19</v>
      </c>
      <c r="D2312" s="8">
        <v>35.0</v>
      </c>
      <c r="E2312" s="8" t="s">
        <v>4780</v>
      </c>
      <c r="F2312" s="8" t="s">
        <v>1479</v>
      </c>
      <c r="G2312" s="8" t="s">
        <v>2556</v>
      </c>
      <c r="H2312" s="8">
        <v>0.0</v>
      </c>
      <c r="I2312" s="8" t="s">
        <v>1003</v>
      </c>
      <c r="J2312" s="8" t="s">
        <v>22</v>
      </c>
      <c r="K2312" s="8" t="s">
        <v>225</v>
      </c>
      <c r="L2312" s="8" t="s">
        <v>24</v>
      </c>
      <c r="M2312" s="9">
        <v>0.75</v>
      </c>
      <c r="N2312" s="9">
        <v>0.4</v>
      </c>
      <c r="O2312" s="9">
        <v>0.38222</v>
      </c>
      <c r="P2312" s="10">
        <v>45372.0</v>
      </c>
      <c r="Q2312" s="11">
        <v>1.8</v>
      </c>
      <c r="R2312" s="8" t="s">
        <v>79</v>
      </c>
      <c r="S2312" s="12">
        <f t="shared" si="1"/>
        <v>-0.19111</v>
      </c>
      <c r="T2312" s="12">
        <f t="shared" si="8"/>
        <v>84.24549272</v>
      </c>
      <c r="U2312" s="145"/>
    </row>
    <row r="2313">
      <c r="A2313" s="29"/>
      <c r="B2313" s="15" t="s">
        <v>129</v>
      </c>
      <c r="C2313" s="15" t="s">
        <v>19</v>
      </c>
      <c r="D2313" s="15">
        <v>65.0</v>
      </c>
      <c r="E2313" s="15" t="s">
        <v>4781</v>
      </c>
      <c r="F2313" s="15" t="s">
        <v>1473</v>
      </c>
      <c r="G2313" s="15" t="s">
        <v>2556</v>
      </c>
      <c r="H2313" s="15">
        <v>0.0</v>
      </c>
      <c r="I2313" s="15" t="s">
        <v>1003</v>
      </c>
      <c r="J2313" s="15" t="s">
        <v>22</v>
      </c>
      <c r="K2313" s="15" t="s">
        <v>1847</v>
      </c>
      <c r="L2313" s="15" t="s">
        <v>24</v>
      </c>
      <c r="M2313" s="16">
        <v>-0.5</v>
      </c>
      <c r="N2313" s="16">
        <v>0.2</v>
      </c>
      <c r="O2313" s="16">
        <v>0.2</v>
      </c>
      <c r="P2313" s="17">
        <v>45372.0</v>
      </c>
      <c r="Q2313" s="18">
        <v>3.1</v>
      </c>
      <c r="R2313" s="15" t="s">
        <v>33</v>
      </c>
      <c r="S2313" s="19">
        <f t="shared" si="1"/>
        <v>0.42</v>
      </c>
      <c r="T2313" s="19">
        <f t="shared" si="8"/>
        <v>84.66549272</v>
      </c>
      <c r="U2313" s="144"/>
    </row>
    <row r="2314">
      <c r="A2314" s="107"/>
      <c r="B2314" s="8" t="s">
        <v>18</v>
      </c>
      <c r="C2314" s="8" t="s">
        <v>19</v>
      </c>
      <c r="D2314" s="8">
        <v>59.0</v>
      </c>
      <c r="E2314" s="8" t="s">
        <v>4782</v>
      </c>
      <c r="F2314" s="8" t="s">
        <v>1473</v>
      </c>
      <c r="G2314" s="8" t="s">
        <v>2573</v>
      </c>
      <c r="H2314" s="8">
        <v>0.0</v>
      </c>
      <c r="I2314" s="8" t="s">
        <v>923</v>
      </c>
      <c r="J2314" s="8" t="s">
        <v>22</v>
      </c>
      <c r="K2314" s="8" t="s">
        <v>894</v>
      </c>
      <c r="L2314" s="8" t="s">
        <v>24</v>
      </c>
      <c r="M2314" s="9">
        <v>-0.5</v>
      </c>
      <c r="N2314" s="9">
        <v>0.1</v>
      </c>
      <c r="O2314" s="9">
        <v>0.1</v>
      </c>
      <c r="P2314" s="10">
        <v>45373.0</v>
      </c>
      <c r="Q2314" s="11">
        <v>1.95</v>
      </c>
      <c r="R2314" s="8" t="s">
        <v>33</v>
      </c>
      <c r="S2314" s="12">
        <f t="shared" si="1"/>
        <v>0.095</v>
      </c>
      <c r="T2314" s="12">
        <f t="shared" si="8"/>
        <v>84.76049272</v>
      </c>
      <c r="U2314" s="145"/>
    </row>
    <row r="2315">
      <c r="A2315" s="29"/>
      <c r="B2315" s="15" t="s">
        <v>4225</v>
      </c>
      <c r="C2315" s="15" t="s">
        <v>19</v>
      </c>
      <c r="D2315" s="15">
        <v>59.0</v>
      </c>
      <c r="E2315" s="15" t="s">
        <v>4782</v>
      </c>
      <c r="F2315" s="15" t="s">
        <v>1473</v>
      </c>
      <c r="G2315" s="15" t="s">
        <v>2573</v>
      </c>
      <c r="H2315" s="15">
        <v>0.0</v>
      </c>
      <c r="I2315" s="15" t="s">
        <v>923</v>
      </c>
      <c r="J2315" s="15" t="s">
        <v>22</v>
      </c>
      <c r="K2315" s="15" t="s">
        <v>894</v>
      </c>
      <c r="L2315" s="15" t="s">
        <v>24</v>
      </c>
      <c r="M2315" s="16">
        <v>-0.5</v>
      </c>
      <c r="N2315" s="16">
        <v>0.1</v>
      </c>
      <c r="O2315" s="16">
        <v>0.1</v>
      </c>
      <c r="P2315" s="17">
        <v>45373.0</v>
      </c>
      <c r="Q2315" s="18">
        <v>1.95</v>
      </c>
      <c r="R2315" s="15" t="s">
        <v>33</v>
      </c>
      <c r="S2315" s="19">
        <f t="shared" si="1"/>
        <v>0.095</v>
      </c>
      <c r="T2315" s="19">
        <f t="shared" si="8"/>
        <v>84.85549272</v>
      </c>
      <c r="U2315" s="144"/>
    </row>
    <row r="2316">
      <c r="A2316" s="107"/>
      <c r="B2316" s="8" t="s">
        <v>18</v>
      </c>
      <c r="C2316" s="8" t="s">
        <v>19</v>
      </c>
      <c r="D2316" s="8">
        <v>29.0</v>
      </c>
      <c r="E2316" s="8" t="s">
        <v>4783</v>
      </c>
      <c r="F2316" s="8" t="s">
        <v>1473</v>
      </c>
      <c r="G2316" s="8" t="s">
        <v>2660</v>
      </c>
      <c r="H2316" s="8">
        <v>0.0</v>
      </c>
      <c r="I2316" s="8" t="s">
        <v>157</v>
      </c>
      <c r="J2316" s="8" t="s">
        <v>22</v>
      </c>
      <c r="K2316" s="8" t="s">
        <v>4584</v>
      </c>
      <c r="L2316" s="8" t="s">
        <v>24</v>
      </c>
      <c r="M2316" s="9">
        <v>0.0</v>
      </c>
      <c r="N2316" s="9">
        <v>0.2</v>
      </c>
      <c r="O2316" s="9">
        <v>0.2</v>
      </c>
      <c r="P2316" s="10">
        <v>45373.0</v>
      </c>
      <c r="Q2316" s="11">
        <v>1.925</v>
      </c>
      <c r="R2316" s="8" t="s">
        <v>25</v>
      </c>
      <c r="S2316" s="12">
        <f t="shared" si="1"/>
        <v>-0.2</v>
      </c>
      <c r="T2316" s="12">
        <f t="shared" si="8"/>
        <v>84.65549272</v>
      </c>
      <c r="U2316" s="145"/>
    </row>
    <row r="2317">
      <c r="A2317" s="29"/>
      <c r="B2317" s="15" t="s">
        <v>4225</v>
      </c>
      <c r="C2317" s="15" t="s">
        <v>19</v>
      </c>
      <c r="D2317" s="15">
        <v>29.0</v>
      </c>
      <c r="E2317" s="15" t="s">
        <v>4783</v>
      </c>
      <c r="F2317" s="15" t="s">
        <v>1473</v>
      </c>
      <c r="G2317" s="15" t="s">
        <v>2660</v>
      </c>
      <c r="H2317" s="15">
        <v>0.0</v>
      </c>
      <c r="I2317" s="15" t="s">
        <v>157</v>
      </c>
      <c r="J2317" s="15" t="s">
        <v>22</v>
      </c>
      <c r="K2317" s="15" t="s">
        <v>4584</v>
      </c>
      <c r="L2317" s="15" t="s">
        <v>24</v>
      </c>
      <c r="M2317" s="16">
        <v>0.0</v>
      </c>
      <c r="N2317" s="16">
        <v>0.2</v>
      </c>
      <c r="O2317" s="16">
        <v>0.2</v>
      </c>
      <c r="P2317" s="17">
        <v>45373.0</v>
      </c>
      <c r="Q2317" s="18">
        <v>1.925</v>
      </c>
      <c r="R2317" s="15" t="s">
        <v>25</v>
      </c>
      <c r="S2317" s="19">
        <f t="shared" si="1"/>
        <v>-0.2</v>
      </c>
      <c r="T2317" s="19">
        <f t="shared" si="8"/>
        <v>84.45549272</v>
      </c>
      <c r="U2317" s="144"/>
    </row>
    <row r="2318">
      <c r="A2318" s="107"/>
      <c r="B2318" s="8" t="s">
        <v>4225</v>
      </c>
      <c r="C2318" s="8" t="s">
        <v>19</v>
      </c>
      <c r="D2318" s="8">
        <v>83.0</v>
      </c>
      <c r="E2318" s="8" t="s">
        <v>4784</v>
      </c>
      <c r="F2318" s="8"/>
      <c r="G2318" s="8"/>
      <c r="H2318" s="8"/>
      <c r="I2318" s="8" t="s">
        <v>42</v>
      </c>
      <c r="J2318" s="8" t="s">
        <v>22</v>
      </c>
      <c r="K2318" s="8" t="s">
        <v>29</v>
      </c>
      <c r="L2318" s="8" t="s">
        <v>24</v>
      </c>
      <c r="M2318" s="9">
        <v>-4.5</v>
      </c>
      <c r="N2318" s="9">
        <v>0.25</v>
      </c>
      <c r="O2318" s="9">
        <v>0.25</v>
      </c>
      <c r="P2318" s="10">
        <v>45373.0</v>
      </c>
      <c r="Q2318" s="11">
        <v>1.8</v>
      </c>
      <c r="R2318" s="8" t="s">
        <v>33</v>
      </c>
      <c r="S2318" s="12">
        <f t="shared" si="1"/>
        <v>0.2</v>
      </c>
      <c r="T2318" s="12">
        <f t="shared" si="8"/>
        <v>84.65549272</v>
      </c>
      <c r="U2318" s="145"/>
    </row>
    <row r="2319">
      <c r="A2319" s="29"/>
      <c r="B2319" s="15" t="s">
        <v>26</v>
      </c>
      <c r="C2319" s="15" t="s">
        <v>19</v>
      </c>
      <c r="D2319" s="15">
        <v>79.0</v>
      </c>
      <c r="E2319" s="15" t="s">
        <v>4785</v>
      </c>
      <c r="F2319" s="15" t="s">
        <v>1479</v>
      </c>
      <c r="G2319" s="15" t="s">
        <v>2660</v>
      </c>
      <c r="H2319" s="15">
        <v>-1.0</v>
      </c>
      <c r="I2319" s="15" t="s">
        <v>74</v>
      </c>
      <c r="J2319" s="15" t="s">
        <v>22</v>
      </c>
      <c r="K2319" s="15" t="s">
        <v>892</v>
      </c>
      <c r="L2319" s="15" t="s">
        <v>24</v>
      </c>
      <c r="M2319" s="16">
        <v>0.0</v>
      </c>
      <c r="N2319" s="16">
        <v>0.2</v>
      </c>
      <c r="O2319" s="16">
        <v>0.2</v>
      </c>
      <c r="P2319" s="17">
        <v>45373.0</v>
      </c>
      <c r="Q2319" s="18">
        <v>1.65</v>
      </c>
      <c r="R2319" s="15" t="s">
        <v>33</v>
      </c>
      <c r="S2319" s="19">
        <f t="shared" si="1"/>
        <v>0.13</v>
      </c>
      <c r="T2319" s="19">
        <f t="shared" si="8"/>
        <v>84.78549272</v>
      </c>
      <c r="U2319" s="144"/>
    </row>
    <row r="2320">
      <c r="A2320" s="107"/>
      <c r="B2320" s="8" t="s">
        <v>137</v>
      </c>
      <c r="C2320" s="8" t="s">
        <v>19</v>
      </c>
      <c r="D2320" s="8">
        <v>32.0</v>
      </c>
      <c r="E2320" s="8" t="s">
        <v>4786</v>
      </c>
      <c r="F2320" s="8" t="s">
        <v>1479</v>
      </c>
      <c r="G2320" s="8" t="s">
        <v>2660</v>
      </c>
      <c r="H2320" s="8">
        <v>-1.0</v>
      </c>
      <c r="I2320" s="8" t="s">
        <v>4293</v>
      </c>
      <c r="J2320" s="8" t="s">
        <v>22</v>
      </c>
      <c r="K2320" s="8" t="s">
        <v>892</v>
      </c>
      <c r="L2320" s="8" t="s">
        <v>24</v>
      </c>
      <c r="M2320" s="9">
        <v>0.0</v>
      </c>
      <c r="N2320" s="9">
        <v>0.6</v>
      </c>
      <c r="O2320" s="9">
        <v>0.6</v>
      </c>
      <c r="P2320" s="10">
        <v>45373.0</v>
      </c>
      <c r="Q2320" s="11">
        <v>1.775</v>
      </c>
      <c r="R2320" s="8" t="s">
        <v>70</v>
      </c>
      <c r="S2320" s="12">
        <f t="shared" si="1"/>
        <v>0</v>
      </c>
      <c r="T2320" s="12">
        <f t="shared" si="8"/>
        <v>84.78549272</v>
      </c>
      <c r="U2320" s="145"/>
    </row>
    <row r="2321">
      <c r="A2321" s="29"/>
      <c r="B2321" s="15" t="s">
        <v>131</v>
      </c>
      <c r="C2321" s="15" t="s">
        <v>40</v>
      </c>
      <c r="D2321" s="15">
        <v>42.0</v>
      </c>
      <c r="E2321" s="15" t="s">
        <v>4787</v>
      </c>
      <c r="F2321" s="15"/>
      <c r="G2321" s="15"/>
      <c r="H2321" s="15"/>
      <c r="I2321" s="15" t="s">
        <v>82</v>
      </c>
      <c r="J2321" s="15" t="s">
        <v>22</v>
      </c>
      <c r="K2321" s="15" t="s">
        <v>29</v>
      </c>
      <c r="L2321" s="15" t="s">
        <v>39</v>
      </c>
      <c r="M2321" s="16">
        <v>-3.5</v>
      </c>
      <c r="N2321" s="16">
        <v>0.1</v>
      </c>
      <c r="O2321" s="16">
        <v>0.065</v>
      </c>
      <c r="P2321" s="17">
        <v>45373.0</v>
      </c>
      <c r="Q2321" s="18">
        <v>1.825</v>
      </c>
      <c r="R2321" s="15" t="s">
        <v>25</v>
      </c>
      <c r="S2321" s="19">
        <f t="shared" si="1"/>
        <v>-0.065</v>
      </c>
      <c r="T2321" s="19">
        <f t="shared" si="8"/>
        <v>84.72049272</v>
      </c>
      <c r="U2321" s="144"/>
    </row>
    <row r="2322">
      <c r="A2322" s="107"/>
      <c r="B2322" s="8" t="s">
        <v>18</v>
      </c>
      <c r="C2322" s="8" t="s">
        <v>19</v>
      </c>
      <c r="D2322" s="8">
        <v>28.0</v>
      </c>
      <c r="E2322" s="8" t="s">
        <v>4788</v>
      </c>
      <c r="F2322" s="8" t="s">
        <v>1479</v>
      </c>
      <c r="G2322" s="8" t="s">
        <v>2660</v>
      </c>
      <c r="H2322" s="8">
        <v>-1.0</v>
      </c>
      <c r="I2322" s="8" t="s">
        <v>316</v>
      </c>
      <c r="J2322" s="8" t="s">
        <v>22</v>
      </c>
      <c r="K2322" s="8" t="s">
        <v>4584</v>
      </c>
      <c r="L2322" s="8" t="s">
        <v>24</v>
      </c>
      <c r="M2322" s="9">
        <v>0.0</v>
      </c>
      <c r="N2322" s="9">
        <v>0.4</v>
      </c>
      <c r="O2322" s="9">
        <v>0.3795</v>
      </c>
      <c r="P2322" s="10">
        <v>45373.0</v>
      </c>
      <c r="Q2322" s="11">
        <v>2.0</v>
      </c>
      <c r="R2322" s="8" t="s">
        <v>25</v>
      </c>
      <c r="S2322" s="12">
        <f t="shared" si="1"/>
        <v>-0.3795</v>
      </c>
      <c r="T2322" s="12">
        <f t="shared" si="8"/>
        <v>84.34099272</v>
      </c>
      <c r="U2322" s="145"/>
    </row>
    <row r="2323">
      <c r="A2323" s="29"/>
      <c r="B2323" s="15" t="s">
        <v>137</v>
      </c>
      <c r="C2323" s="15" t="s">
        <v>19</v>
      </c>
      <c r="D2323" s="15">
        <v>78.0</v>
      </c>
      <c r="E2323" s="15" t="s">
        <v>4789</v>
      </c>
      <c r="F2323" s="15" t="s">
        <v>1479</v>
      </c>
      <c r="G2323" s="15" t="s">
        <v>2556</v>
      </c>
      <c r="H2323" s="15">
        <v>2</v>
      </c>
      <c r="I2323" s="15" t="s">
        <v>28</v>
      </c>
      <c r="J2323" s="15" t="s">
        <v>22</v>
      </c>
      <c r="K2323" s="15" t="s">
        <v>225</v>
      </c>
      <c r="L2323" s="15" t="s">
        <v>24</v>
      </c>
      <c r="M2323" s="16">
        <v>0.25</v>
      </c>
      <c r="N2323" s="16">
        <v>0.6</v>
      </c>
      <c r="O2323" s="16">
        <v>0.6</v>
      </c>
      <c r="P2323" s="17">
        <v>45373.0</v>
      </c>
      <c r="Q2323" s="18">
        <v>1.69</v>
      </c>
      <c r="R2323" s="15" t="s">
        <v>30</v>
      </c>
      <c r="S2323" s="19">
        <f t="shared" si="1"/>
        <v>0.207</v>
      </c>
      <c r="T2323" s="19">
        <f t="shared" si="8"/>
        <v>84.54799272</v>
      </c>
      <c r="U2323" s="144"/>
    </row>
    <row r="2324">
      <c r="A2324" s="107"/>
      <c r="B2324" s="8" t="s">
        <v>26</v>
      </c>
      <c r="C2324" s="8" t="s">
        <v>19</v>
      </c>
      <c r="D2324" s="8">
        <v>53.0</v>
      </c>
      <c r="E2324" s="8" t="s">
        <v>4790</v>
      </c>
      <c r="F2324" s="8" t="s">
        <v>1473</v>
      </c>
      <c r="G2324" s="8" t="s">
        <v>2660</v>
      </c>
      <c r="H2324" s="8">
        <v>-2.0</v>
      </c>
      <c r="I2324" s="8" t="s">
        <v>316</v>
      </c>
      <c r="J2324" s="8" t="s">
        <v>22</v>
      </c>
      <c r="K2324" s="8" t="s">
        <v>892</v>
      </c>
      <c r="L2324" s="8" t="s">
        <v>24</v>
      </c>
      <c r="M2324" s="9">
        <v>0.0</v>
      </c>
      <c r="N2324" s="9">
        <v>0.6</v>
      </c>
      <c r="O2324" s="9">
        <v>0.44081</v>
      </c>
      <c r="P2324" s="10">
        <v>45373.0</v>
      </c>
      <c r="Q2324" s="11">
        <v>1.775</v>
      </c>
      <c r="R2324" s="8" t="s">
        <v>33</v>
      </c>
      <c r="S2324" s="12">
        <f t="shared" si="1"/>
        <v>0.34162775</v>
      </c>
      <c r="T2324" s="12">
        <f t="shared" si="8"/>
        <v>84.88962047</v>
      </c>
      <c r="U2324" s="145"/>
    </row>
    <row r="2325">
      <c r="A2325" s="29"/>
      <c r="B2325" s="15" t="s">
        <v>26</v>
      </c>
      <c r="C2325" s="15" t="s">
        <v>19</v>
      </c>
      <c r="D2325" s="15">
        <v>62.0</v>
      </c>
      <c r="E2325" s="15" t="s">
        <v>4791</v>
      </c>
      <c r="F2325" s="15" t="s">
        <v>1473</v>
      </c>
      <c r="G2325" s="15" t="s">
        <v>2660</v>
      </c>
      <c r="H2325" s="15">
        <v>-1.0</v>
      </c>
      <c r="I2325" s="15" t="s">
        <v>316</v>
      </c>
      <c r="J2325" s="15" t="s">
        <v>22</v>
      </c>
      <c r="K2325" s="15" t="s">
        <v>892</v>
      </c>
      <c r="L2325" s="15" t="s">
        <v>24</v>
      </c>
      <c r="M2325" s="16">
        <v>0.0</v>
      </c>
      <c r="N2325" s="16">
        <v>0.2</v>
      </c>
      <c r="O2325" s="16">
        <v>0.2</v>
      </c>
      <c r="P2325" s="55">
        <v>45373.0</v>
      </c>
      <c r="Q2325" s="18">
        <v>1.7</v>
      </c>
      <c r="R2325" s="15" t="s">
        <v>33</v>
      </c>
      <c r="S2325" s="19">
        <f t="shared" si="1"/>
        <v>0.14</v>
      </c>
      <c r="T2325" s="19">
        <f t="shared" si="8"/>
        <v>85.02962047</v>
      </c>
      <c r="U2325" s="144"/>
    </row>
    <row r="2326">
      <c r="A2326" s="107"/>
      <c r="B2326" s="8" t="s">
        <v>129</v>
      </c>
      <c r="C2326" s="8" t="s">
        <v>40</v>
      </c>
      <c r="D2326" s="8">
        <v>35.0</v>
      </c>
      <c r="E2326" s="8" t="s">
        <v>4792</v>
      </c>
      <c r="F2326" s="8" t="s">
        <v>1479</v>
      </c>
      <c r="G2326" s="8" t="s">
        <v>2556</v>
      </c>
      <c r="H2326" s="8">
        <v>0.0</v>
      </c>
      <c r="I2326" s="8" t="s">
        <v>106</v>
      </c>
      <c r="J2326" s="8" t="s">
        <v>22</v>
      </c>
      <c r="K2326" s="8" t="s">
        <v>225</v>
      </c>
      <c r="L2326" s="8" t="s">
        <v>24</v>
      </c>
      <c r="M2326" s="9">
        <v>0.25</v>
      </c>
      <c r="N2326" s="9">
        <v>0.2</v>
      </c>
      <c r="O2326" s="9">
        <v>0.2</v>
      </c>
      <c r="P2326" s="10">
        <v>45374.0</v>
      </c>
      <c r="Q2326" s="11">
        <v>1.725</v>
      </c>
      <c r="R2326" s="8" t="s">
        <v>30</v>
      </c>
      <c r="S2326" s="12">
        <f t="shared" si="1"/>
        <v>0.0725</v>
      </c>
      <c r="T2326" s="12">
        <f t="shared" si="8"/>
        <v>85.10212047</v>
      </c>
      <c r="U2326" s="145"/>
    </row>
    <row r="2327">
      <c r="A2327" s="29"/>
      <c r="B2327" s="15" t="s">
        <v>26</v>
      </c>
      <c r="C2327" s="15" t="s">
        <v>19</v>
      </c>
      <c r="D2327" s="15">
        <v>22.0</v>
      </c>
      <c r="E2327" s="15" t="s">
        <v>4793</v>
      </c>
      <c r="F2327" s="15" t="s">
        <v>1473</v>
      </c>
      <c r="G2327" s="15" t="s">
        <v>2660</v>
      </c>
      <c r="H2327" s="15">
        <v>0.0</v>
      </c>
      <c r="I2327" s="15" t="s">
        <v>229</v>
      </c>
      <c r="J2327" s="15" t="s">
        <v>22</v>
      </c>
      <c r="K2327" s="15" t="s">
        <v>4584</v>
      </c>
      <c r="L2327" s="15" t="s">
        <v>39</v>
      </c>
      <c r="M2327" s="16">
        <v>0.0</v>
      </c>
      <c r="N2327" s="16">
        <v>0.5</v>
      </c>
      <c r="O2327" s="16">
        <v>0.5</v>
      </c>
      <c r="P2327" s="17">
        <v>45374.0</v>
      </c>
      <c r="Q2327" s="18">
        <v>1.95</v>
      </c>
      <c r="R2327" s="15" t="s">
        <v>70</v>
      </c>
      <c r="S2327" s="19">
        <f t="shared" si="1"/>
        <v>0</v>
      </c>
      <c r="T2327" s="19">
        <f t="shared" si="8"/>
        <v>85.10212047</v>
      </c>
      <c r="U2327" s="144"/>
    </row>
    <row r="2328">
      <c r="A2328" s="107"/>
      <c r="B2328" s="8" t="s">
        <v>26</v>
      </c>
      <c r="C2328" s="8" t="s">
        <v>19</v>
      </c>
      <c r="D2328" s="8">
        <v>60.0</v>
      </c>
      <c r="E2328" s="32" t="s">
        <v>4794</v>
      </c>
      <c r="F2328" s="8" t="s">
        <v>1479</v>
      </c>
      <c r="G2328" s="8" t="s">
        <v>2556</v>
      </c>
      <c r="H2328" s="8">
        <v>-1.0</v>
      </c>
      <c r="I2328" s="8" t="s">
        <v>583</v>
      </c>
      <c r="J2328" s="8" t="s">
        <v>22</v>
      </c>
      <c r="K2328" s="8" t="s">
        <v>225</v>
      </c>
      <c r="L2328" s="8" t="s">
        <v>24</v>
      </c>
      <c r="M2328" s="9">
        <v>0.75</v>
      </c>
      <c r="N2328" s="9">
        <v>0.2</v>
      </c>
      <c r="O2328" s="9">
        <f>0.2*37/49</f>
        <v>0.1510204082</v>
      </c>
      <c r="P2328" s="10">
        <v>45374.0</v>
      </c>
      <c r="Q2328" s="11">
        <v>1.975</v>
      </c>
      <c r="R2328" s="8" t="s">
        <v>79</v>
      </c>
      <c r="S2328" s="12">
        <f t="shared" si="1"/>
        <v>-0.07551020408</v>
      </c>
      <c r="T2328" s="12">
        <f t="shared" si="8"/>
        <v>85.02661027</v>
      </c>
      <c r="U2328" s="145"/>
    </row>
    <row r="2329">
      <c r="A2329" s="29"/>
      <c r="B2329" s="15" t="s">
        <v>26</v>
      </c>
      <c r="C2329" s="15" t="s">
        <v>19</v>
      </c>
      <c r="D2329" s="15">
        <v>60.0</v>
      </c>
      <c r="E2329" s="42" t="s">
        <v>4795</v>
      </c>
      <c r="F2329" s="15" t="s">
        <v>1479</v>
      </c>
      <c r="G2329" s="15" t="s">
        <v>2556</v>
      </c>
      <c r="H2329" s="15">
        <v>-1.0</v>
      </c>
      <c r="I2329" s="15" t="s">
        <v>583</v>
      </c>
      <c r="J2329" s="15" t="s">
        <v>22</v>
      </c>
      <c r="K2329" s="15" t="s">
        <v>225</v>
      </c>
      <c r="L2329" s="15" t="s">
        <v>24</v>
      </c>
      <c r="M2329" s="16">
        <v>0.5</v>
      </c>
      <c r="N2329" s="16">
        <v>0.4</v>
      </c>
      <c r="O2329" s="16">
        <v>0.4</v>
      </c>
      <c r="P2329" s="17">
        <v>45374.0</v>
      </c>
      <c r="Q2329" s="18">
        <v>2.0</v>
      </c>
      <c r="R2329" s="15" t="s">
        <v>25</v>
      </c>
      <c r="S2329" s="19">
        <f t="shared" si="1"/>
        <v>-0.4</v>
      </c>
      <c r="T2329" s="19">
        <f t="shared" si="8"/>
        <v>84.62661027</v>
      </c>
      <c r="U2329" s="144"/>
    </row>
    <row r="2330">
      <c r="A2330" s="107"/>
      <c r="B2330" s="8" t="s">
        <v>26</v>
      </c>
      <c r="C2330" s="8" t="s">
        <v>19</v>
      </c>
      <c r="D2330" s="8">
        <v>60.0</v>
      </c>
      <c r="E2330" s="47" t="s">
        <v>4796</v>
      </c>
      <c r="F2330" s="8" t="s">
        <v>1479</v>
      </c>
      <c r="G2330" s="8" t="s">
        <v>2556</v>
      </c>
      <c r="H2330" s="8"/>
      <c r="I2330" s="8" t="s">
        <v>583</v>
      </c>
      <c r="J2330" s="8"/>
      <c r="K2330" s="8"/>
      <c r="L2330" s="8" t="s">
        <v>24</v>
      </c>
      <c r="M2330" s="9"/>
      <c r="N2330" s="9"/>
      <c r="O2330" s="9">
        <v>0.1</v>
      </c>
      <c r="P2330" s="10">
        <v>45374.0</v>
      </c>
      <c r="Q2330" s="11">
        <v>4.33</v>
      </c>
      <c r="R2330" s="8" t="s">
        <v>25</v>
      </c>
      <c r="S2330" s="12">
        <f t="shared" si="1"/>
        <v>-0.1</v>
      </c>
      <c r="T2330" s="12">
        <f t="shared" si="8"/>
        <v>84.52661027</v>
      </c>
      <c r="U2330" s="145"/>
    </row>
    <row r="2331">
      <c r="A2331" s="29"/>
      <c r="B2331" s="15" t="s">
        <v>137</v>
      </c>
      <c r="C2331" s="15" t="s">
        <v>19</v>
      </c>
      <c r="D2331" s="15">
        <v>21.0</v>
      </c>
      <c r="E2331" s="15" t="s">
        <v>4797</v>
      </c>
      <c r="F2331" s="15" t="s">
        <v>1479</v>
      </c>
      <c r="G2331" s="15" t="s">
        <v>2660</v>
      </c>
      <c r="H2331" s="15">
        <v>-1.0</v>
      </c>
      <c r="I2331" s="15" t="s">
        <v>432</v>
      </c>
      <c r="J2331" s="15" t="s">
        <v>22</v>
      </c>
      <c r="K2331" s="15" t="s">
        <v>892</v>
      </c>
      <c r="L2331" s="15" t="s">
        <v>24</v>
      </c>
      <c r="M2331" s="16">
        <v>0.0</v>
      </c>
      <c r="N2331" s="16">
        <v>0.6</v>
      </c>
      <c r="O2331" s="16">
        <v>0.6</v>
      </c>
      <c r="P2331" s="17">
        <v>45374.0</v>
      </c>
      <c r="Q2331" s="18">
        <v>2.0</v>
      </c>
      <c r="R2331" s="15" t="s">
        <v>33</v>
      </c>
      <c r="S2331" s="19">
        <f t="shared" si="1"/>
        <v>0.6</v>
      </c>
      <c r="T2331" s="19">
        <f t="shared" si="8"/>
        <v>85.12661027</v>
      </c>
      <c r="U2331" s="144"/>
    </row>
    <row r="2332">
      <c r="A2332" s="107"/>
      <c r="B2332" s="8" t="s">
        <v>137</v>
      </c>
      <c r="C2332" s="8" t="s">
        <v>19</v>
      </c>
      <c r="D2332" s="8">
        <v>80.0</v>
      </c>
      <c r="E2332" s="8" t="s">
        <v>4798</v>
      </c>
      <c r="F2332" s="8" t="s">
        <v>1473</v>
      </c>
      <c r="G2332" s="8" t="s">
        <v>2573</v>
      </c>
      <c r="H2332" s="8">
        <v>0.0</v>
      </c>
      <c r="I2332" s="8" t="s">
        <v>432</v>
      </c>
      <c r="J2332" s="8" t="s">
        <v>22</v>
      </c>
      <c r="K2332" s="8" t="s">
        <v>892</v>
      </c>
      <c r="L2332" s="8" t="s">
        <v>24</v>
      </c>
      <c r="M2332" s="9">
        <v>-0.75</v>
      </c>
      <c r="N2332" s="9">
        <v>0.15</v>
      </c>
      <c r="O2332" s="9">
        <f t="shared" ref="O2332:O2333" si="60">0.15*27/49</f>
        <v>0.08265306122</v>
      </c>
      <c r="P2332" s="10">
        <v>45374.0</v>
      </c>
      <c r="Q2332" s="11">
        <v>4.15</v>
      </c>
      <c r="R2332" s="8" t="s">
        <v>25</v>
      </c>
      <c r="S2332" s="12">
        <f t="shared" si="1"/>
        <v>-0.08265306122</v>
      </c>
      <c r="T2332" s="12">
        <f t="shared" si="8"/>
        <v>85.0439572</v>
      </c>
      <c r="U2332" s="145"/>
    </row>
    <row r="2333">
      <c r="A2333" s="29"/>
      <c r="B2333" s="15" t="s">
        <v>18</v>
      </c>
      <c r="C2333" s="15" t="s">
        <v>19</v>
      </c>
      <c r="D2333" s="15">
        <v>25.0</v>
      </c>
      <c r="E2333" s="15" t="s">
        <v>4799</v>
      </c>
      <c r="F2333" s="15" t="s">
        <v>1479</v>
      </c>
      <c r="G2333" s="15" t="s">
        <v>2660</v>
      </c>
      <c r="H2333" s="15">
        <v>0.0</v>
      </c>
      <c r="I2333" s="15" t="s">
        <v>1025</v>
      </c>
      <c r="J2333" s="15" t="s">
        <v>22</v>
      </c>
      <c r="K2333" s="15" t="s">
        <v>892</v>
      </c>
      <c r="L2333" s="15" t="s">
        <v>24</v>
      </c>
      <c r="M2333" s="16">
        <v>0.0</v>
      </c>
      <c r="N2333" s="16">
        <v>0.2</v>
      </c>
      <c r="O2333" s="16">
        <f t="shared" si="60"/>
        <v>0.08265306122</v>
      </c>
      <c r="P2333" s="17">
        <v>45374.0</v>
      </c>
      <c r="Q2333" s="18">
        <f>0.2*26/49</f>
        <v>0.106122449</v>
      </c>
      <c r="R2333" s="15" t="s">
        <v>70</v>
      </c>
      <c r="S2333" s="19">
        <f t="shared" si="1"/>
        <v>0</v>
      </c>
      <c r="T2333" s="19">
        <f t="shared" si="8"/>
        <v>85.0439572</v>
      </c>
      <c r="U2333" s="144"/>
    </row>
    <row r="2334">
      <c r="A2334" s="107"/>
      <c r="B2334" s="8" t="s">
        <v>129</v>
      </c>
      <c r="C2334" s="8" t="s">
        <v>19</v>
      </c>
      <c r="D2334" s="8">
        <v>85.0</v>
      </c>
      <c r="E2334" s="8" t="s">
        <v>4800</v>
      </c>
      <c r="F2334" s="8"/>
      <c r="G2334" s="8"/>
      <c r="H2334" s="8"/>
      <c r="I2334" s="8" t="s">
        <v>88</v>
      </c>
      <c r="J2334" s="8" t="s">
        <v>22</v>
      </c>
      <c r="K2334" s="8" t="s">
        <v>29</v>
      </c>
      <c r="L2334" s="8" t="s">
        <v>24</v>
      </c>
      <c r="M2334" s="9">
        <v>-2.5</v>
      </c>
      <c r="N2334" s="9">
        <v>0.2</v>
      </c>
      <c r="O2334" s="9">
        <v>0.2</v>
      </c>
      <c r="P2334" s="10">
        <v>45374.0</v>
      </c>
      <c r="Q2334" s="11">
        <v>1.775</v>
      </c>
      <c r="R2334" s="8" t="s">
        <v>33</v>
      </c>
      <c r="S2334" s="12">
        <f t="shared" si="1"/>
        <v>0.155</v>
      </c>
      <c r="T2334" s="12">
        <f t="shared" si="8"/>
        <v>85.1989572</v>
      </c>
      <c r="U2334" s="145"/>
    </row>
    <row r="2335">
      <c r="A2335" s="29"/>
      <c r="B2335" s="15" t="s">
        <v>18</v>
      </c>
      <c r="C2335" s="15" t="s">
        <v>40</v>
      </c>
      <c r="D2335" s="15">
        <v>60.0</v>
      </c>
      <c r="E2335" s="15" t="s">
        <v>4801</v>
      </c>
      <c r="F2335" s="15" t="s">
        <v>1479</v>
      </c>
      <c r="G2335" s="15" t="s">
        <v>2660</v>
      </c>
      <c r="H2335" s="15">
        <v>0.0</v>
      </c>
      <c r="I2335" s="15" t="s">
        <v>101</v>
      </c>
      <c r="J2335" s="15" t="s">
        <v>22</v>
      </c>
      <c r="K2335" s="15" t="s">
        <v>892</v>
      </c>
      <c r="L2335" s="15" t="s">
        <v>24</v>
      </c>
      <c r="M2335" s="16">
        <v>0.0</v>
      </c>
      <c r="N2335" s="16">
        <v>0.6</v>
      </c>
      <c r="O2335" s="16">
        <v>0.6</v>
      </c>
      <c r="P2335" s="17">
        <v>45374.0</v>
      </c>
      <c r="Q2335" s="18">
        <v>1.825</v>
      </c>
      <c r="R2335" s="15" t="s">
        <v>33</v>
      </c>
      <c r="S2335" s="19">
        <f t="shared" si="1"/>
        <v>0.495</v>
      </c>
      <c r="T2335" s="19">
        <f t="shared" si="8"/>
        <v>85.6939572</v>
      </c>
      <c r="U2335" s="144"/>
    </row>
    <row r="2336">
      <c r="A2336" s="107"/>
      <c r="B2336" s="8" t="s">
        <v>4225</v>
      </c>
      <c r="C2336" s="8" t="s">
        <v>40</v>
      </c>
      <c r="D2336" s="8">
        <v>40.0</v>
      </c>
      <c r="E2336" s="8" t="s">
        <v>4802</v>
      </c>
      <c r="F2336" s="8" t="s">
        <v>1479</v>
      </c>
      <c r="G2336" s="8" t="s">
        <v>2556</v>
      </c>
      <c r="H2336" s="8">
        <f>1</f>
        <v>1</v>
      </c>
      <c r="I2336" s="8" t="s">
        <v>908</v>
      </c>
      <c r="J2336" s="8" t="s">
        <v>22</v>
      </c>
      <c r="K2336" s="8" t="s">
        <v>225</v>
      </c>
      <c r="L2336" s="8" t="s">
        <v>24</v>
      </c>
      <c r="M2336" s="9">
        <v>0.5</v>
      </c>
      <c r="N2336" s="9">
        <v>0.4</v>
      </c>
      <c r="O2336" s="9">
        <v>0.4</v>
      </c>
      <c r="P2336" s="10">
        <v>45374.0</v>
      </c>
      <c r="Q2336" s="11">
        <v>1.9</v>
      </c>
      <c r="R2336" s="8" t="s">
        <v>33</v>
      </c>
      <c r="S2336" s="12">
        <f t="shared" si="1"/>
        <v>0.36</v>
      </c>
      <c r="T2336" s="12">
        <f t="shared" si="8"/>
        <v>86.0539572</v>
      </c>
      <c r="U2336" s="145"/>
    </row>
    <row r="2337">
      <c r="A2337" s="29"/>
      <c r="B2337" s="15" t="s">
        <v>129</v>
      </c>
      <c r="C2337" s="15" t="s">
        <v>40</v>
      </c>
      <c r="D2337" s="15">
        <v>31.0</v>
      </c>
      <c r="E2337" s="15" t="s">
        <v>4803</v>
      </c>
      <c r="F2337" s="15" t="s">
        <v>1479</v>
      </c>
      <c r="G2337" s="15" t="s">
        <v>2573</v>
      </c>
      <c r="H2337" s="15">
        <v>-1.0</v>
      </c>
      <c r="I2337" s="15" t="s">
        <v>908</v>
      </c>
      <c r="J2337" s="15" t="s">
        <v>22</v>
      </c>
      <c r="K2337" s="15" t="s">
        <v>4584</v>
      </c>
      <c r="L2337" s="15" t="s">
        <v>24</v>
      </c>
      <c r="M2337" s="16">
        <v>0.0</v>
      </c>
      <c r="N2337" s="16">
        <v>0.4</v>
      </c>
      <c r="O2337" s="16">
        <v>0.4</v>
      </c>
      <c r="P2337" s="17">
        <v>45374.0</v>
      </c>
      <c r="Q2337" s="18">
        <v>1.75</v>
      </c>
      <c r="R2337" s="15" t="s">
        <v>33</v>
      </c>
      <c r="S2337" s="19">
        <f t="shared" si="1"/>
        <v>0.3</v>
      </c>
      <c r="T2337" s="19">
        <f t="shared" si="8"/>
        <v>86.3539572</v>
      </c>
      <c r="U2337" s="144"/>
    </row>
    <row r="2338">
      <c r="A2338" s="107"/>
      <c r="B2338" s="8" t="s">
        <v>18</v>
      </c>
      <c r="C2338" s="8" t="s">
        <v>40</v>
      </c>
      <c r="D2338" s="8">
        <v>79.0</v>
      </c>
      <c r="E2338" s="8" t="s">
        <v>4804</v>
      </c>
      <c r="F2338" s="8" t="s">
        <v>1479</v>
      </c>
      <c r="G2338" s="8" t="s">
        <v>2556</v>
      </c>
      <c r="H2338" s="8">
        <v>-3.0</v>
      </c>
      <c r="I2338" s="8" t="s">
        <v>221</v>
      </c>
      <c r="J2338" s="8" t="s">
        <v>22</v>
      </c>
      <c r="K2338" s="8" t="s">
        <v>225</v>
      </c>
      <c r="L2338" s="8" t="s">
        <v>24</v>
      </c>
      <c r="M2338" s="9">
        <v>0.25</v>
      </c>
      <c r="N2338" s="9">
        <v>0.3</v>
      </c>
      <c r="O2338" s="9">
        <v>0.3</v>
      </c>
      <c r="P2338" s="10">
        <v>45374.0</v>
      </c>
      <c r="Q2338" s="11">
        <v>1.925</v>
      </c>
      <c r="R2338" s="8" t="s">
        <v>996</v>
      </c>
      <c r="S2338" s="12">
        <f t="shared" si="1"/>
        <v>0.13875</v>
      </c>
      <c r="T2338" s="12">
        <f t="shared" si="8"/>
        <v>86.4927072</v>
      </c>
      <c r="U2338" s="145"/>
    </row>
    <row r="2339">
      <c r="A2339" s="29"/>
      <c r="B2339" s="15" t="s">
        <v>129</v>
      </c>
      <c r="C2339" s="15" t="s">
        <v>40</v>
      </c>
      <c r="D2339" s="15">
        <v>60.0</v>
      </c>
      <c r="E2339" s="15" t="s">
        <v>4805</v>
      </c>
      <c r="F2339" s="15" t="s">
        <v>1473</v>
      </c>
      <c r="G2339" s="15" t="s">
        <v>2556</v>
      </c>
      <c r="H2339" s="15">
        <v>-1.0</v>
      </c>
      <c r="I2339" s="15" t="s">
        <v>659</v>
      </c>
      <c r="J2339" s="15" t="s">
        <v>22</v>
      </c>
      <c r="K2339" s="15" t="s">
        <v>225</v>
      </c>
      <c r="L2339" s="15" t="s">
        <v>24</v>
      </c>
      <c r="M2339" s="16">
        <v>0.5</v>
      </c>
      <c r="N2339" s="16">
        <v>0.4</v>
      </c>
      <c r="O2339" s="16">
        <v>0.4</v>
      </c>
      <c r="P2339" s="17">
        <v>45374.0</v>
      </c>
      <c r="Q2339" s="18">
        <v>1.725</v>
      </c>
      <c r="R2339" s="15" t="s">
        <v>33</v>
      </c>
      <c r="S2339" s="19">
        <f t="shared" si="1"/>
        <v>0.29</v>
      </c>
      <c r="T2339" s="19">
        <f t="shared" si="8"/>
        <v>86.7827072</v>
      </c>
      <c r="U2339" s="144"/>
    </row>
    <row r="2340">
      <c r="A2340" s="107"/>
      <c r="B2340" s="8" t="s">
        <v>26</v>
      </c>
      <c r="C2340" s="8" t="s">
        <v>19</v>
      </c>
      <c r="D2340" s="8">
        <v>79.0</v>
      </c>
      <c r="E2340" s="8" t="s">
        <v>4806</v>
      </c>
      <c r="F2340" s="8" t="s">
        <v>1479</v>
      </c>
      <c r="G2340" s="8" t="s">
        <v>2660</v>
      </c>
      <c r="H2340" s="8">
        <v>-1.0</v>
      </c>
      <c r="I2340" s="8" t="s">
        <v>121</v>
      </c>
      <c r="J2340" s="8" t="s">
        <v>22</v>
      </c>
      <c r="K2340" s="8" t="s">
        <v>892</v>
      </c>
      <c r="L2340" s="8" t="s">
        <v>24</v>
      </c>
      <c r="M2340" s="9">
        <v>0.0</v>
      </c>
      <c r="N2340" s="9">
        <v>0.7</v>
      </c>
      <c r="O2340" s="9">
        <v>0.7</v>
      </c>
      <c r="P2340" s="10">
        <v>45374.0</v>
      </c>
      <c r="Q2340" s="11">
        <v>1.775</v>
      </c>
      <c r="R2340" s="8" t="s">
        <v>70</v>
      </c>
      <c r="S2340" s="12">
        <f t="shared" si="1"/>
        <v>0</v>
      </c>
      <c r="T2340" s="12">
        <f t="shared" si="8"/>
        <v>86.7827072</v>
      </c>
      <c r="U2340" s="145"/>
    </row>
    <row r="2341">
      <c r="A2341" s="29"/>
      <c r="B2341" s="15" t="s">
        <v>131</v>
      </c>
      <c r="C2341" s="15" t="s">
        <v>19</v>
      </c>
      <c r="D2341" s="15">
        <v>83.0</v>
      </c>
      <c r="E2341" s="15" t="s">
        <v>4807</v>
      </c>
      <c r="F2341" s="15"/>
      <c r="G2341" s="15"/>
      <c r="H2341" s="15"/>
      <c r="I2341" s="15" t="s">
        <v>28</v>
      </c>
      <c r="J2341" s="15" t="s">
        <v>22</v>
      </c>
      <c r="K2341" s="15" t="s">
        <v>2939</v>
      </c>
      <c r="L2341" s="15" t="s">
        <v>24</v>
      </c>
      <c r="M2341" s="16">
        <v>-5.5</v>
      </c>
      <c r="N2341" s="16">
        <v>0.2</v>
      </c>
      <c r="O2341" s="16">
        <v>0.2</v>
      </c>
      <c r="P2341" s="17">
        <v>45374.0</v>
      </c>
      <c r="Q2341" s="18">
        <v>1.825</v>
      </c>
      <c r="R2341" s="15" t="s">
        <v>33</v>
      </c>
      <c r="S2341" s="19">
        <f t="shared" si="1"/>
        <v>0.165</v>
      </c>
      <c r="T2341" s="19">
        <f t="shared" si="8"/>
        <v>86.9477072</v>
      </c>
      <c r="U2341" s="144"/>
    </row>
    <row r="2342">
      <c r="A2342" s="107"/>
      <c r="B2342" s="8" t="s">
        <v>26</v>
      </c>
      <c r="C2342" s="8" t="s">
        <v>19</v>
      </c>
      <c r="D2342" s="8">
        <v>84.0</v>
      </c>
      <c r="E2342" s="8" t="s">
        <v>4808</v>
      </c>
      <c r="F2342" s="8" t="s">
        <v>1479</v>
      </c>
      <c r="G2342" s="8" t="s">
        <v>2660</v>
      </c>
      <c r="H2342" s="8">
        <v>0.0</v>
      </c>
      <c r="I2342" s="8" t="s">
        <v>42</v>
      </c>
      <c r="J2342" s="8" t="s">
        <v>22</v>
      </c>
      <c r="K2342" s="8" t="s">
        <v>892</v>
      </c>
      <c r="L2342" s="8" t="s">
        <v>24</v>
      </c>
      <c r="M2342" s="9">
        <v>0.0</v>
      </c>
      <c r="N2342" s="9">
        <v>0.6</v>
      </c>
      <c r="O2342" s="9">
        <v>0.6</v>
      </c>
      <c r="P2342" s="10">
        <v>45374.0</v>
      </c>
      <c r="Q2342" s="11">
        <v>1.8</v>
      </c>
      <c r="R2342" s="8" t="s">
        <v>70</v>
      </c>
      <c r="S2342" s="12">
        <f t="shared" si="1"/>
        <v>0</v>
      </c>
      <c r="T2342" s="12">
        <f t="shared" si="8"/>
        <v>86.9477072</v>
      </c>
      <c r="U2342" s="145"/>
    </row>
    <row r="2343">
      <c r="A2343" s="29"/>
      <c r="B2343" s="15" t="s">
        <v>4225</v>
      </c>
      <c r="C2343" s="15" t="s">
        <v>19</v>
      </c>
      <c r="D2343" s="15">
        <v>64.0</v>
      </c>
      <c r="E2343" s="15" t="s">
        <v>4809</v>
      </c>
      <c r="F2343" s="15" t="s">
        <v>1473</v>
      </c>
      <c r="G2343" s="15" t="s">
        <v>2660</v>
      </c>
      <c r="H2343" s="15">
        <v>-2.0</v>
      </c>
      <c r="I2343" s="15" t="s">
        <v>93</v>
      </c>
      <c r="J2343" s="15" t="s">
        <v>22</v>
      </c>
      <c r="K2343" s="15" t="s">
        <v>892</v>
      </c>
      <c r="L2343" s="15" t="s">
        <v>24</v>
      </c>
      <c r="M2343" s="16">
        <v>0.0</v>
      </c>
      <c r="N2343" s="16">
        <v>0.6</v>
      </c>
      <c r="O2343" s="16">
        <v>0.6</v>
      </c>
      <c r="P2343" s="17">
        <v>45374.0</v>
      </c>
      <c r="Q2343" s="18">
        <v>1.925</v>
      </c>
      <c r="R2343" s="15" t="s">
        <v>70</v>
      </c>
      <c r="S2343" s="19">
        <f t="shared" si="1"/>
        <v>0</v>
      </c>
      <c r="T2343" s="19">
        <f t="shared" si="8"/>
        <v>86.9477072</v>
      </c>
      <c r="U2343" s="144"/>
    </row>
    <row r="2344">
      <c r="A2344" s="107"/>
      <c r="B2344" s="8" t="s">
        <v>129</v>
      </c>
      <c r="C2344" s="8" t="s">
        <v>40</v>
      </c>
      <c r="D2344" s="8">
        <v>64.0</v>
      </c>
      <c r="E2344" s="8" t="s">
        <v>4810</v>
      </c>
      <c r="F2344" s="8" t="s">
        <v>1479</v>
      </c>
      <c r="G2344" s="8" t="s">
        <v>2660</v>
      </c>
      <c r="H2344" s="8">
        <v>0.0</v>
      </c>
      <c r="I2344" s="8" t="s">
        <v>66</v>
      </c>
      <c r="J2344" s="8" t="s">
        <v>22</v>
      </c>
      <c r="K2344" s="8" t="s">
        <v>892</v>
      </c>
      <c r="L2344" s="8" t="s">
        <v>24</v>
      </c>
      <c r="M2344" s="9">
        <v>0.0</v>
      </c>
      <c r="N2344" s="9">
        <v>0.6</v>
      </c>
      <c r="O2344" s="9">
        <v>0.6</v>
      </c>
      <c r="P2344" s="10">
        <v>45374.0</v>
      </c>
      <c r="Q2344" s="11">
        <v>1.825</v>
      </c>
      <c r="R2344" s="8" t="s">
        <v>33</v>
      </c>
      <c r="S2344" s="12">
        <f t="shared" si="1"/>
        <v>0.495</v>
      </c>
      <c r="T2344" s="12">
        <f t="shared" si="8"/>
        <v>87.4427072</v>
      </c>
      <c r="U2344" s="145"/>
    </row>
    <row r="2345">
      <c r="A2345" s="29"/>
      <c r="B2345" s="15" t="s">
        <v>26</v>
      </c>
      <c r="C2345" s="15" t="s">
        <v>19</v>
      </c>
      <c r="D2345" s="15">
        <v>60.0</v>
      </c>
      <c r="E2345" s="15" t="s">
        <v>4811</v>
      </c>
      <c r="F2345" s="15" t="s">
        <v>1479</v>
      </c>
      <c r="G2345" s="15" t="s">
        <v>2556</v>
      </c>
      <c r="H2345" s="15">
        <f>1</f>
        <v>1</v>
      </c>
      <c r="I2345" s="15" t="s">
        <v>583</v>
      </c>
      <c r="J2345" s="15" t="s">
        <v>22</v>
      </c>
      <c r="K2345" s="15" t="s">
        <v>225</v>
      </c>
      <c r="L2345" s="15" t="s">
        <v>24</v>
      </c>
      <c r="M2345" s="16">
        <v>0.5</v>
      </c>
      <c r="N2345" s="16">
        <v>0.4</v>
      </c>
      <c r="O2345" s="16">
        <v>0.4</v>
      </c>
      <c r="P2345" s="17">
        <v>45375.0</v>
      </c>
      <c r="Q2345" s="18">
        <v>1.825</v>
      </c>
      <c r="R2345" s="15" t="s">
        <v>25</v>
      </c>
      <c r="S2345" s="19">
        <f t="shared" si="1"/>
        <v>-0.4</v>
      </c>
      <c r="T2345" s="19">
        <f t="shared" si="8"/>
        <v>87.0427072</v>
      </c>
      <c r="U2345" s="144"/>
    </row>
    <row r="2346">
      <c r="A2346" s="107"/>
      <c r="B2346" s="8" t="s">
        <v>26</v>
      </c>
      <c r="C2346" s="8" t="s">
        <v>19</v>
      </c>
      <c r="D2346" s="8">
        <v>25.0</v>
      </c>
      <c r="E2346" s="8" t="s">
        <v>4812</v>
      </c>
      <c r="F2346" s="8" t="s">
        <v>1473</v>
      </c>
      <c r="G2346" s="8" t="s">
        <v>2660</v>
      </c>
      <c r="H2346" s="8">
        <v>0.0</v>
      </c>
      <c r="I2346" s="8" t="s">
        <v>99</v>
      </c>
      <c r="J2346" s="8" t="s">
        <v>22</v>
      </c>
      <c r="K2346" s="8" t="s">
        <v>892</v>
      </c>
      <c r="L2346" s="8" t="s">
        <v>24</v>
      </c>
      <c r="M2346" s="9">
        <v>0.0</v>
      </c>
      <c r="N2346" s="9">
        <v>0.85</v>
      </c>
      <c r="O2346" s="9">
        <v>0.85</v>
      </c>
      <c r="P2346" s="10">
        <v>45375.0</v>
      </c>
      <c r="Q2346" s="11">
        <v>1.8</v>
      </c>
      <c r="R2346" s="8" t="s">
        <v>25</v>
      </c>
      <c r="S2346" s="12">
        <f t="shared" si="1"/>
        <v>-0.85</v>
      </c>
      <c r="T2346" s="12">
        <f t="shared" si="8"/>
        <v>86.1927072</v>
      </c>
      <c r="U2346" s="145"/>
    </row>
    <row r="2347">
      <c r="A2347" s="29"/>
      <c r="B2347" s="15" t="s">
        <v>18</v>
      </c>
      <c r="C2347" s="15" t="s">
        <v>19</v>
      </c>
      <c r="D2347" s="15">
        <v>81.0</v>
      </c>
      <c r="E2347" s="15" t="s">
        <v>4813</v>
      </c>
      <c r="F2347" s="15" t="s">
        <v>1473</v>
      </c>
      <c r="G2347" s="15" t="s">
        <v>2556</v>
      </c>
      <c r="H2347" s="15">
        <v>0.0</v>
      </c>
      <c r="I2347" s="15" t="s">
        <v>221</v>
      </c>
      <c r="J2347" s="15" t="s">
        <v>22</v>
      </c>
      <c r="K2347" s="15" t="s">
        <v>941</v>
      </c>
      <c r="L2347" s="15" t="s">
        <v>24</v>
      </c>
      <c r="M2347" s="16">
        <v>0.0</v>
      </c>
      <c r="N2347" s="16">
        <v>0.4</v>
      </c>
      <c r="O2347" s="16">
        <v>0.4</v>
      </c>
      <c r="P2347" s="17">
        <v>45375.0</v>
      </c>
      <c r="Q2347" s="18">
        <v>1.675</v>
      </c>
      <c r="R2347" s="15" t="s">
        <v>33</v>
      </c>
      <c r="S2347" s="19">
        <f t="shared" si="1"/>
        <v>0.27</v>
      </c>
      <c r="T2347" s="19">
        <f t="shared" si="8"/>
        <v>86.4627072</v>
      </c>
      <c r="U2347" s="144"/>
    </row>
    <row r="2348">
      <c r="A2348" s="107"/>
      <c r="B2348" s="8" t="s">
        <v>129</v>
      </c>
      <c r="C2348" s="8" t="s">
        <v>19</v>
      </c>
      <c r="D2348" s="8">
        <v>75.0</v>
      </c>
      <c r="E2348" s="8" t="s">
        <v>4814</v>
      </c>
      <c r="F2348" s="8" t="s">
        <v>1479</v>
      </c>
      <c r="G2348" s="8" t="s">
        <v>2660</v>
      </c>
      <c r="H2348" s="8">
        <v>-1.0</v>
      </c>
      <c r="I2348" s="8" t="s">
        <v>99</v>
      </c>
      <c r="J2348" s="8" t="s">
        <v>22</v>
      </c>
      <c r="K2348" s="8" t="s">
        <v>892</v>
      </c>
      <c r="L2348" s="8" t="s">
        <v>24</v>
      </c>
      <c r="M2348" s="9">
        <v>0.0</v>
      </c>
      <c r="N2348" s="9">
        <v>0.5</v>
      </c>
      <c r="O2348" s="9">
        <v>0.5</v>
      </c>
      <c r="P2348" s="10">
        <v>45375.0</v>
      </c>
      <c r="Q2348" s="11">
        <v>1.95</v>
      </c>
      <c r="R2348" s="8" t="s">
        <v>70</v>
      </c>
      <c r="S2348" s="12">
        <f t="shared" si="1"/>
        <v>0</v>
      </c>
      <c r="T2348" s="12">
        <f t="shared" si="8"/>
        <v>86.4627072</v>
      </c>
      <c r="U2348" s="145"/>
    </row>
    <row r="2349">
      <c r="A2349" s="29"/>
      <c r="B2349" s="15" t="s">
        <v>26</v>
      </c>
      <c r="C2349" s="15" t="s">
        <v>19</v>
      </c>
      <c r="D2349" s="15">
        <v>44.0</v>
      </c>
      <c r="E2349" s="15" t="s">
        <v>4815</v>
      </c>
      <c r="F2349" s="15" t="s">
        <v>1473</v>
      </c>
      <c r="G2349" s="15" t="s">
        <v>2556</v>
      </c>
      <c r="H2349" s="15">
        <v>0.0</v>
      </c>
      <c r="I2349" s="15" t="s">
        <v>229</v>
      </c>
      <c r="J2349" s="15" t="s">
        <v>22</v>
      </c>
      <c r="K2349" s="15" t="s">
        <v>892</v>
      </c>
      <c r="L2349" s="15" t="s">
        <v>24</v>
      </c>
      <c r="M2349" s="16">
        <v>0.0</v>
      </c>
      <c r="N2349" s="16">
        <v>0.4</v>
      </c>
      <c r="O2349" s="16">
        <v>0.3551</v>
      </c>
      <c r="P2349" s="17">
        <v>45375.0</v>
      </c>
      <c r="Q2349" s="18">
        <v>1.725</v>
      </c>
      <c r="R2349" s="15" t="s">
        <v>25</v>
      </c>
      <c r="S2349" s="19">
        <f t="shared" si="1"/>
        <v>-0.3551</v>
      </c>
      <c r="T2349" s="19">
        <f t="shared" si="8"/>
        <v>86.1076072</v>
      </c>
      <c r="U2349" s="144"/>
    </row>
    <row r="2350">
      <c r="A2350" s="107"/>
      <c r="B2350" s="8" t="s">
        <v>26</v>
      </c>
      <c r="C2350" s="8" t="s">
        <v>40</v>
      </c>
      <c r="D2350" s="8">
        <v>67.0</v>
      </c>
      <c r="E2350" s="8" t="s">
        <v>4816</v>
      </c>
      <c r="F2350" s="8" t="s">
        <v>1479</v>
      </c>
      <c r="G2350" s="8" t="s">
        <v>2573</v>
      </c>
      <c r="H2350" s="8">
        <v>-1.0</v>
      </c>
      <c r="I2350" s="8" t="s">
        <v>683</v>
      </c>
      <c r="J2350" s="8" t="s">
        <v>22</v>
      </c>
      <c r="K2350" s="8" t="s">
        <v>894</v>
      </c>
      <c r="L2350" s="8" t="s">
        <v>24</v>
      </c>
      <c r="M2350" s="9">
        <v>-0.25</v>
      </c>
      <c r="N2350" s="9">
        <v>0.4</v>
      </c>
      <c r="O2350" s="9">
        <v>0.4</v>
      </c>
      <c r="P2350" s="10">
        <v>45375.0</v>
      </c>
      <c r="Q2350" s="11">
        <v>1.9</v>
      </c>
      <c r="R2350" s="8" t="s">
        <v>79</v>
      </c>
      <c r="S2350" s="12">
        <f t="shared" si="1"/>
        <v>-0.2</v>
      </c>
      <c r="T2350" s="12">
        <f t="shared" si="8"/>
        <v>85.9076072</v>
      </c>
      <c r="U2350" s="145"/>
    </row>
    <row r="2351">
      <c r="A2351" s="29"/>
      <c r="B2351" s="15" t="s">
        <v>26</v>
      </c>
      <c r="C2351" s="15" t="s">
        <v>19</v>
      </c>
      <c r="D2351" s="15">
        <v>81.0</v>
      </c>
      <c r="E2351" s="15" t="s">
        <v>4817</v>
      </c>
      <c r="F2351" s="15"/>
      <c r="G2351" s="15"/>
      <c r="H2351" s="15"/>
      <c r="I2351" s="15" t="s">
        <v>229</v>
      </c>
      <c r="J2351" s="15" t="s">
        <v>22</v>
      </c>
      <c r="K2351" s="15" t="s">
        <v>440</v>
      </c>
      <c r="L2351" s="15" t="s">
        <v>24</v>
      </c>
      <c r="M2351" s="16">
        <v>0.5</v>
      </c>
      <c r="N2351" s="16">
        <v>0.22</v>
      </c>
      <c r="O2351" s="16">
        <v>0.22</v>
      </c>
      <c r="P2351" s="17">
        <v>45375.0</v>
      </c>
      <c r="Q2351" s="18">
        <v>2.67</v>
      </c>
      <c r="R2351" s="15" t="s">
        <v>33</v>
      </c>
      <c r="S2351" s="19">
        <f t="shared" si="1"/>
        <v>0.3674</v>
      </c>
      <c r="T2351" s="19">
        <f t="shared" si="8"/>
        <v>86.2750072</v>
      </c>
      <c r="U2351" s="144"/>
    </row>
    <row r="2352">
      <c r="A2352" s="107"/>
      <c r="B2352" s="8" t="s">
        <v>18</v>
      </c>
      <c r="C2352" s="8" t="s">
        <v>19</v>
      </c>
      <c r="D2352" s="8">
        <v>27.0</v>
      </c>
      <c r="E2352" s="8" t="s">
        <v>4818</v>
      </c>
      <c r="F2352" s="8" t="s">
        <v>1473</v>
      </c>
      <c r="G2352" s="8" t="s">
        <v>2556</v>
      </c>
      <c r="H2352" s="8">
        <v>0.0</v>
      </c>
      <c r="I2352" s="8" t="s">
        <v>48</v>
      </c>
      <c r="J2352" s="8" t="s">
        <v>22</v>
      </c>
      <c r="K2352" s="8" t="s">
        <v>225</v>
      </c>
      <c r="L2352" s="8" t="s">
        <v>39</v>
      </c>
      <c r="M2352" s="9">
        <v>0.25</v>
      </c>
      <c r="N2352" s="9">
        <v>0.6</v>
      </c>
      <c r="O2352" s="9">
        <v>0.408163</v>
      </c>
      <c r="P2352" s="10">
        <v>45375.0</v>
      </c>
      <c r="Q2352" s="11">
        <v>2.02</v>
      </c>
      <c r="R2352" s="8" t="s">
        <v>33</v>
      </c>
      <c r="S2352" s="12">
        <f t="shared" si="1"/>
        <v>0.41632626</v>
      </c>
      <c r="T2352" s="12">
        <f t="shared" si="8"/>
        <v>86.69133346</v>
      </c>
      <c r="U2352" s="145"/>
    </row>
    <row r="2353">
      <c r="A2353" s="29"/>
      <c r="B2353" s="15" t="s">
        <v>129</v>
      </c>
      <c r="C2353" s="15" t="s">
        <v>19</v>
      </c>
      <c r="D2353" s="15">
        <v>36.0</v>
      </c>
      <c r="E2353" s="15" t="s">
        <v>4819</v>
      </c>
      <c r="F2353" s="15" t="s">
        <v>1479</v>
      </c>
      <c r="G2353" s="15" t="s">
        <v>2660</v>
      </c>
      <c r="H2353" s="15">
        <v>0.0</v>
      </c>
      <c r="I2353" s="15" t="s">
        <v>121</v>
      </c>
      <c r="J2353" s="15" t="s">
        <v>22</v>
      </c>
      <c r="K2353" s="15" t="s">
        <v>4584</v>
      </c>
      <c r="L2353" s="15" t="s">
        <v>24</v>
      </c>
      <c r="M2353" s="16">
        <v>0.0</v>
      </c>
      <c r="N2353" s="16">
        <v>0.25</v>
      </c>
      <c r="O2353" s="16">
        <v>0.25</v>
      </c>
      <c r="P2353" s="17">
        <v>45375.0</v>
      </c>
      <c r="Q2353" s="18">
        <v>1.9</v>
      </c>
      <c r="R2353" s="15" t="s">
        <v>70</v>
      </c>
      <c r="S2353" s="19">
        <f t="shared" si="1"/>
        <v>0</v>
      </c>
      <c r="T2353" s="19">
        <f t="shared" si="8"/>
        <v>86.69133346</v>
      </c>
      <c r="U2353" s="144"/>
    </row>
    <row r="2354">
      <c r="A2354" s="107"/>
      <c r="B2354" s="8" t="s">
        <v>18</v>
      </c>
      <c r="C2354" s="8" t="s">
        <v>19</v>
      </c>
      <c r="D2354" s="8">
        <v>50.0</v>
      </c>
      <c r="E2354" s="8" t="s">
        <v>4820</v>
      </c>
      <c r="F2354" s="8"/>
      <c r="G2354" s="8"/>
      <c r="H2354" s="8"/>
      <c r="I2354" s="8" t="s">
        <v>48</v>
      </c>
      <c r="J2354" s="8" t="s">
        <v>22</v>
      </c>
      <c r="K2354" s="8" t="s">
        <v>440</v>
      </c>
      <c r="L2354" s="8" t="s">
        <v>39</v>
      </c>
      <c r="M2354" s="9">
        <v>2.0</v>
      </c>
      <c r="N2354" s="9">
        <v>0.4</v>
      </c>
      <c r="O2354" s="9">
        <v>0.4</v>
      </c>
      <c r="P2354" s="10">
        <v>45375.0</v>
      </c>
      <c r="Q2354" s="11">
        <v>2.0</v>
      </c>
      <c r="R2354" s="8" t="s">
        <v>25</v>
      </c>
      <c r="S2354" s="12">
        <f t="shared" si="1"/>
        <v>-0.4</v>
      </c>
      <c r="T2354" s="12">
        <f t="shared" si="8"/>
        <v>86.29133346</v>
      </c>
      <c r="U2354" s="145"/>
    </row>
    <row r="2355">
      <c r="A2355" s="29"/>
      <c r="B2355" s="15" t="s">
        <v>26</v>
      </c>
      <c r="C2355" s="15" t="s">
        <v>40</v>
      </c>
      <c r="D2355" s="15">
        <v>26.0</v>
      </c>
      <c r="E2355" s="15" t="s">
        <v>4821</v>
      </c>
      <c r="F2355" s="15" t="s">
        <v>1473</v>
      </c>
      <c r="G2355" s="15" t="s">
        <v>2556</v>
      </c>
      <c r="H2355" s="15">
        <v>0.0</v>
      </c>
      <c r="I2355" s="15" t="s">
        <v>50</v>
      </c>
      <c r="J2355" s="15" t="s">
        <v>22</v>
      </c>
      <c r="K2355" s="15" t="s">
        <v>225</v>
      </c>
      <c r="L2355" s="15" t="s">
        <v>24</v>
      </c>
      <c r="M2355" s="16">
        <v>0.5</v>
      </c>
      <c r="N2355" s="16">
        <v>1.0</v>
      </c>
      <c r="O2355" s="16">
        <v>1.0</v>
      </c>
      <c r="P2355" s="17">
        <v>45375.0</v>
      </c>
      <c r="Q2355" s="18">
        <v>1.825</v>
      </c>
      <c r="R2355" s="15" t="s">
        <v>33</v>
      </c>
      <c r="S2355" s="19">
        <f t="shared" si="1"/>
        <v>0.825</v>
      </c>
      <c r="T2355" s="19">
        <f t="shared" si="8"/>
        <v>87.11633346</v>
      </c>
      <c r="U2355" s="144"/>
    </row>
    <row r="2356">
      <c r="A2356" s="107"/>
      <c r="B2356" s="8" t="s">
        <v>129</v>
      </c>
      <c r="C2356" s="8" t="s">
        <v>40</v>
      </c>
      <c r="D2356" s="8">
        <v>86.0</v>
      </c>
      <c r="E2356" s="8" t="s">
        <v>4822</v>
      </c>
      <c r="F2356" s="8" t="s">
        <v>1473</v>
      </c>
      <c r="G2356" s="8" t="s">
        <v>2660</v>
      </c>
      <c r="H2356" s="8">
        <v>-2.0</v>
      </c>
      <c r="I2356" s="8" t="s">
        <v>117</v>
      </c>
      <c r="J2356" s="8" t="s">
        <v>22</v>
      </c>
      <c r="K2356" s="8" t="s">
        <v>892</v>
      </c>
      <c r="L2356" s="8" t="s">
        <v>39</v>
      </c>
      <c r="M2356" s="9">
        <v>0.0</v>
      </c>
      <c r="N2356" s="9">
        <v>0.25</v>
      </c>
      <c r="O2356" s="9">
        <v>0.25</v>
      </c>
      <c r="P2356" s="10">
        <v>45375.0</v>
      </c>
      <c r="Q2356" s="11">
        <v>1.95</v>
      </c>
      <c r="R2356" s="8" t="s">
        <v>70</v>
      </c>
      <c r="S2356" s="12">
        <f t="shared" si="1"/>
        <v>0</v>
      </c>
      <c r="T2356" s="12">
        <f t="shared" si="8"/>
        <v>87.11633346</v>
      </c>
      <c r="U2356" s="145"/>
    </row>
    <row r="2357">
      <c r="A2357" s="29"/>
      <c r="B2357" s="15" t="s">
        <v>26</v>
      </c>
      <c r="C2357" s="15" t="s">
        <v>19</v>
      </c>
      <c r="D2357" s="15">
        <v>83.0</v>
      </c>
      <c r="E2357" s="15" t="s">
        <v>4823</v>
      </c>
      <c r="F2357" s="15" t="s">
        <v>1479</v>
      </c>
      <c r="G2357" s="15" t="s">
        <v>2660</v>
      </c>
      <c r="H2357" s="15">
        <v>0.0</v>
      </c>
      <c r="I2357" s="15" t="s">
        <v>93</v>
      </c>
      <c r="J2357" s="15" t="s">
        <v>22</v>
      </c>
      <c r="K2357" s="15" t="s">
        <v>892</v>
      </c>
      <c r="L2357" s="15" t="s">
        <v>24</v>
      </c>
      <c r="M2357" s="16">
        <v>0.0</v>
      </c>
      <c r="N2357" s="16">
        <v>0.1</v>
      </c>
      <c r="O2357" s="16">
        <v>0.1</v>
      </c>
      <c r="P2357" s="17">
        <v>45375.0</v>
      </c>
      <c r="Q2357" s="18">
        <v>1.675</v>
      </c>
      <c r="R2357" s="15" t="s">
        <v>25</v>
      </c>
      <c r="S2357" s="19">
        <f t="shared" si="1"/>
        <v>-0.1</v>
      </c>
      <c r="T2357" s="19">
        <f t="shared" si="8"/>
        <v>87.01633346</v>
      </c>
      <c r="U2357" s="144"/>
    </row>
    <row r="2358">
      <c r="A2358" s="107"/>
      <c r="B2358" s="8" t="s">
        <v>26</v>
      </c>
      <c r="C2358" s="8" t="s">
        <v>19</v>
      </c>
      <c r="D2358" s="8">
        <v>70.0</v>
      </c>
      <c r="E2358" s="8" t="s">
        <v>4824</v>
      </c>
      <c r="F2358" s="8"/>
      <c r="G2358" s="8"/>
      <c r="H2358" s="8"/>
      <c r="I2358" s="8" t="s">
        <v>191</v>
      </c>
      <c r="J2358" s="8" t="s">
        <v>22</v>
      </c>
      <c r="K2358" s="8" t="s">
        <v>440</v>
      </c>
      <c r="L2358" s="8" t="s">
        <v>24</v>
      </c>
      <c r="M2358" s="9">
        <v>0.5</v>
      </c>
      <c r="N2358" s="9">
        <v>0.1</v>
      </c>
      <c r="O2358" s="9">
        <v>0.1</v>
      </c>
      <c r="P2358" s="54">
        <v>45375.0</v>
      </c>
      <c r="Q2358" s="11">
        <v>1.9</v>
      </c>
      <c r="R2358" s="8" t="s">
        <v>33</v>
      </c>
      <c r="S2358" s="12">
        <f t="shared" si="1"/>
        <v>0.09</v>
      </c>
      <c r="T2358" s="12">
        <f t="shared" si="8"/>
        <v>87.10633346</v>
      </c>
      <c r="U2358" s="145"/>
    </row>
    <row r="2359">
      <c r="A2359" s="29"/>
      <c r="B2359" s="15" t="s">
        <v>18</v>
      </c>
      <c r="C2359" s="15" t="s">
        <v>40</v>
      </c>
      <c r="D2359" s="15">
        <v>83.0</v>
      </c>
      <c r="E2359" s="15" t="s">
        <v>4825</v>
      </c>
      <c r="F2359" s="15" t="s">
        <v>1473</v>
      </c>
      <c r="G2359" s="15" t="s">
        <v>2660</v>
      </c>
      <c r="H2359" s="15">
        <v>-2.0</v>
      </c>
      <c r="I2359" s="15" t="s">
        <v>191</v>
      </c>
      <c r="J2359" s="15" t="s">
        <v>22</v>
      </c>
      <c r="K2359" s="15" t="s">
        <v>892</v>
      </c>
      <c r="L2359" s="15" t="s">
        <v>24</v>
      </c>
      <c r="M2359" s="16">
        <v>0.0</v>
      </c>
      <c r="N2359" s="16">
        <v>0.1</v>
      </c>
      <c r="O2359" s="16">
        <v>0.1</v>
      </c>
      <c r="P2359" s="17">
        <v>45378.0</v>
      </c>
      <c r="Q2359" s="18">
        <v>2.25</v>
      </c>
      <c r="R2359" s="15" t="s">
        <v>70</v>
      </c>
      <c r="S2359" s="19">
        <f t="shared" si="1"/>
        <v>0</v>
      </c>
      <c r="T2359" s="19">
        <f t="shared" si="8"/>
        <v>87.10633346</v>
      </c>
      <c r="U2359" s="144"/>
    </row>
    <row r="2360">
      <c r="A2360" s="107"/>
      <c r="B2360" s="8" t="s">
        <v>4225</v>
      </c>
      <c r="C2360" s="8" t="s">
        <v>19</v>
      </c>
      <c r="D2360" s="8">
        <v>35.0</v>
      </c>
      <c r="E2360" s="8" t="s">
        <v>4826</v>
      </c>
      <c r="F2360" s="8" t="s">
        <v>1473</v>
      </c>
      <c r="G2360" s="8" t="s">
        <v>2556</v>
      </c>
      <c r="H2360" s="8">
        <v>0.0</v>
      </c>
      <c r="I2360" s="8" t="s">
        <v>248</v>
      </c>
      <c r="J2360" s="8" t="s">
        <v>22</v>
      </c>
      <c r="K2360" s="8" t="s">
        <v>225</v>
      </c>
      <c r="L2360" s="8" t="s">
        <v>24</v>
      </c>
      <c r="M2360" s="9">
        <v>0.25</v>
      </c>
      <c r="N2360" s="9">
        <v>0.5</v>
      </c>
      <c r="O2360" s="9">
        <v>0.5</v>
      </c>
      <c r="P2360" s="10">
        <v>45378.0</v>
      </c>
      <c r="Q2360" s="11">
        <v>1.75</v>
      </c>
      <c r="R2360" s="8" t="s">
        <v>25</v>
      </c>
      <c r="S2360" s="12">
        <f t="shared" si="1"/>
        <v>-0.5</v>
      </c>
      <c r="T2360" s="12">
        <f t="shared" si="8"/>
        <v>86.60633346</v>
      </c>
      <c r="U2360" s="145"/>
    </row>
    <row r="2361">
      <c r="A2361" s="29"/>
      <c r="B2361" s="15" t="s">
        <v>26</v>
      </c>
      <c r="C2361" s="15" t="s">
        <v>19</v>
      </c>
      <c r="D2361" s="15">
        <v>77.0</v>
      </c>
      <c r="E2361" s="15" t="s">
        <v>4827</v>
      </c>
      <c r="F2361" s="15" t="s">
        <v>1479</v>
      </c>
      <c r="G2361" s="15" t="s">
        <v>2660</v>
      </c>
      <c r="H2361" s="15">
        <v>0.0</v>
      </c>
      <c r="I2361" s="15" t="s">
        <v>231</v>
      </c>
      <c r="J2361" s="15" t="s">
        <v>22</v>
      </c>
      <c r="K2361" s="15" t="s">
        <v>892</v>
      </c>
      <c r="L2361" s="15" t="s">
        <v>24</v>
      </c>
      <c r="M2361" s="16">
        <v>0.0</v>
      </c>
      <c r="N2361" s="16">
        <v>0.2</v>
      </c>
      <c r="O2361" s="16">
        <v>0.2</v>
      </c>
      <c r="P2361" s="17">
        <v>45378.0</v>
      </c>
      <c r="Q2361" s="18">
        <v>1.825</v>
      </c>
      <c r="R2361" s="15" t="s">
        <v>33</v>
      </c>
      <c r="S2361" s="19">
        <f t="shared" si="1"/>
        <v>0.165</v>
      </c>
      <c r="T2361" s="19">
        <f t="shared" si="8"/>
        <v>86.77133346</v>
      </c>
      <c r="U2361" s="144"/>
    </row>
    <row r="2362">
      <c r="A2362" s="107"/>
      <c r="B2362" s="8" t="s">
        <v>18</v>
      </c>
      <c r="C2362" s="8" t="s">
        <v>19</v>
      </c>
      <c r="D2362" s="8">
        <v>69.0</v>
      </c>
      <c r="E2362" s="8" t="s">
        <v>4828</v>
      </c>
      <c r="F2362" s="8" t="s">
        <v>1473</v>
      </c>
      <c r="G2362" s="8" t="s">
        <v>2660</v>
      </c>
      <c r="H2362" s="8">
        <v>-1.0</v>
      </c>
      <c r="I2362" s="8" t="s">
        <v>68</v>
      </c>
      <c r="J2362" s="8" t="s">
        <v>22</v>
      </c>
      <c r="K2362" s="8" t="s">
        <v>892</v>
      </c>
      <c r="L2362" s="8" t="s">
        <v>24</v>
      </c>
      <c r="M2362" s="9">
        <v>0.0</v>
      </c>
      <c r="N2362" s="9">
        <v>0.5</v>
      </c>
      <c r="O2362" s="9">
        <v>0.5</v>
      </c>
      <c r="P2362" s="10">
        <v>45378.0</v>
      </c>
      <c r="Q2362" s="11">
        <v>2.15</v>
      </c>
      <c r="R2362" s="8" t="s">
        <v>25</v>
      </c>
      <c r="S2362" s="12">
        <f t="shared" si="1"/>
        <v>-0.5</v>
      </c>
      <c r="T2362" s="12">
        <f t="shared" si="8"/>
        <v>86.27133346</v>
      </c>
      <c r="U2362" s="145"/>
    </row>
    <row r="2363">
      <c r="A2363" s="29"/>
      <c r="B2363" s="15" t="s">
        <v>26</v>
      </c>
      <c r="C2363" s="15" t="s">
        <v>19</v>
      </c>
      <c r="D2363" s="15">
        <v>62.0</v>
      </c>
      <c r="E2363" s="15" t="s">
        <v>4829</v>
      </c>
      <c r="F2363" s="15" t="s">
        <v>1473</v>
      </c>
      <c r="G2363" s="15" t="s">
        <v>2660</v>
      </c>
      <c r="H2363" s="15">
        <v>-1.0</v>
      </c>
      <c r="I2363" s="15" t="s">
        <v>93</v>
      </c>
      <c r="J2363" s="15" t="s">
        <v>22</v>
      </c>
      <c r="K2363" s="15" t="s">
        <v>892</v>
      </c>
      <c r="L2363" s="15" t="s">
        <v>24</v>
      </c>
      <c r="M2363" s="16">
        <v>0.0</v>
      </c>
      <c r="N2363" s="16">
        <v>1.0</v>
      </c>
      <c r="O2363" s="16">
        <v>0.8416</v>
      </c>
      <c r="P2363" s="17">
        <v>45378.0</v>
      </c>
      <c r="Q2363" s="18">
        <v>1.725</v>
      </c>
      <c r="R2363" s="15" t="s">
        <v>33</v>
      </c>
      <c r="S2363" s="19">
        <f t="shared" si="1"/>
        <v>0.61016</v>
      </c>
      <c r="T2363" s="19">
        <f t="shared" si="8"/>
        <v>86.88149346</v>
      </c>
      <c r="U2363" s="144"/>
    </row>
    <row r="2364">
      <c r="A2364" s="107"/>
      <c r="B2364" s="8" t="s">
        <v>18</v>
      </c>
      <c r="C2364" s="8" t="s">
        <v>19</v>
      </c>
      <c r="D2364" s="8">
        <v>28.0</v>
      </c>
      <c r="E2364" s="8" t="s">
        <v>4830</v>
      </c>
      <c r="F2364" s="8" t="s">
        <v>1479</v>
      </c>
      <c r="G2364" s="8" t="s">
        <v>2660</v>
      </c>
      <c r="H2364" s="8">
        <v>0.0</v>
      </c>
      <c r="I2364" s="8" t="s">
        <v>167</v>
      </c>
      <c r="J2364" s="8" t="s">
        <v>22</v>
      </c>
      <c r="K2364" s="8" t="s">
        <v>4584</v>
      </c>
      <c r="L2364" s="8" t="s">
        <v>24</v>
      </c>
      <c r="M2364" s="9">
        <v>0.0</v>
      </c>
      <c r="N2364" s="9">
        <v>0.2</v>
      </c>
      <c r="O2364" s="9">
        <v>0.2</v>
      </c>
      <c r="P2364" s="10">
        <v>45378.0</v>
      </c>
      <c r="Q2364" s="11">
        <v>1.825</v>
      </c>
      <c r="R2364" s="8" t="s">
        <v>70</v>
      </c>
      <c r="S2364" s="12">
        <f t="shared" si="1"/>
        <v>0</v>
      </c>
      <c r="T2364" s="12">
        <f t="shared" si="8"/>
        <v>86.88149346</v>
      </c>
      <c r="U2364" s="145"/>
    </row>
    <row r="2365">
      <c r="A2365" s="29"/>
      <c r="B2365" s="15" t="s">
        <v>26</v>
      </c>
      <c r="C2365" s="15" t="s">
        <v>19</v>
      </c>
      <c r="D2365" s="15">
        <v>63.0</v>
      </c>
      <c r="E2365" s="15" t="s">
        <v>4831</v>
      </c>
      <c r="F2365" s="15" t="s">
        <v>1479</v>
      </c>
      <c r="G2365" s="15" t="s">
        <v>2660</v>
      </c>
      <c r="H2365" s="15">
        <v>0.0</v>
      </c>
      <c r="I2365" s="15" t="s">
        <v>164</v>
      </c>
      <c r="J2365" s="15" t="s">
        <v>22</v>
      </c>
      <c r="K2365" s="15" t="s">
        <v>892</v>
      </c>
      <c r="L2365" s="15" t="s">
        <v>24</v>
      </c>
      <c r="M2365" s="16">
        <v>0.0</v>
      </c>
      <c r="N2365" s="16">
        <v>0.5</v>
      </c>
      <c r="O2365" s="16">
        <v>0.5</v>
      </c>
      <c r="P2365" s="17">
        <v>45378.0</v>
      </c>
      <c r="Q2365" s="18">
        <v>1.7</v>
      </c>
      <c r="R2365" s="15" t="s">
        <v>33</v>
      </c>
      <c r="S2365" s="19">
        <f t="shared" si="1"/>
        <v>0.35</v>
      </c>
      <c r="T2365" s="19">
        <f t="shared" si="8"/>
        <v>87.23149346</v>
      </c>
      <c r="U2365" s="144"/>
    </row>
    <row r="2366">
      <c r="A2366" s="107"/>
      <c r="B2366" s="8" t="s">
        <v>26</v>
      </c>
      <c r="C2366" s="8" t="s">
        <v>19</v>
      </c>
      <c r="D2366" s="8">
        <v>90.0</v>
      </c>
      <c r="E2366" s="8" t="s">
        <v>4832</v>
      </c>
      <c r="F2366" s="8"/>
      <c r="G2366" s="8"/>
      <c r="H2366" s="8" t="s">
        <v>4736</v>
      </c>
      <c r="I2366" s="8" t="s">
        <v>164</v>
      </c>
      <c r="J2366" s="8" t="s">
        <v>22</v>
      </c>
      <c r="K2366" s="8" t="s">
        <v>440</v>
      </c>
      <c r="L2366" s="8" t="s">
        <v>24</v>
      </c>
      <c r="M2366" s="9">
        <v>1.5</v>
      </c>
      <c r="N2366" s="9">
        <v>0.07</v>
      </c>
      <c r="O2366" s="9">
        <v>0.07</v>
      </c>
      <c r="P2366" s="10">
        <v>45378.0</v>
      </c>
      <c r="Q2366" s="11">
        <v>8.75</v>
      </c>
      <c r="R2366" s="8" t="s">
        <v>25</v>
      </c>
      <c r="S2366" s="12">
        <f t="shared" si="1"/>
        <v>-0.07</v>
      </c>
      <c r="T2366" s="12">
        <f t="shared" si="8"/>
        <v>87.16149346</v>
      </c>
      <c r="U2366" s="145"/>
    </row>
    <row r="2367">
      <c r="A2367" s="29"/>
      <c r="B2367" s="15" t="s">
        <v>137</v>
      </c>
      <c r="C2367" s="15" t="s">
        <v>19</v>
      </c>
      <c r="D2367" s="15">
        <v>25.0</v>
      </c>
      <c r="E2367" s="15" t="s">
        <v>4833</v>
      </c>
      <c r="F2367" s="15" t="s">
        <v>1473</v>
      </c>
      <c r="G2367" s="15" t="s">
        <v>2660</v>
      </c>
      <c r="H2367" s="15">
        <v>0.0</v>
      </c>
      <c r="I2367" s="15" t="s">
        <v>121</v>
      </c>
      <c r="J2367" s="15" t="s">
        <v>22</v>
      </c>
      <c r="K2367" s="15" t="s">
        <v>4584</v>
      </c>
      <c r="L2367" s="15"/>
      <c r="M2367" s="16">
        <v>0.0</v>
      </c>
      <c r="N2367" s="16">
        <v>1.0</v>
      </c>
      <c r="O2367" s="16">
        <v>1.0</v>
      </c>
      <c r="P2367" s="17">
        <v>45379.0</v>
      </c>
      <c r="Q2367" s="18">
        <v>1.85</v>
      </c>
      <c r="R2367" s="15" t="s">
        <v>70</v>
      </c>
      <c r="S2367" s="19">
        <f t="shared" si="1"/>
        <v>0</v>
      </c>
      <c r="T2367" s="19">
        <f t="shared" si="8"/>
        <v>87.16149346</v>
      </c>
      <c r="U2367" s="144"/>
    </row>
    <row r="2368">
      <c r="A2368" s="107"/>
      <c r="B2368" s="8" t="s">
        <v>26</v>
      </c>
      <c r="C2368" s="8" t="s">
        <v>19</v>
      </c>
      <c r="D2368" s="8"/>
      <c r="E2368" s="8" t="s">
        <v>4834</v>
      </c>
      <c r="F2368" s="8" t="s">
        <v>1479</v>
      </c>
      <c r="G2368" s="8" t="s">
        <v>2660</v>
      </c>
      <c r="H2368" s="8">
        <f>1</f>
        <v>1</v>
      </c>
      <c r="I2368" s="8" t="s">
        <v>121</v>
      </c>
      <c r="J2368" s="8" t="s">
        <v>22</v>
      </c>
      <c r="K2368" s="8" t="s">
        <v>892</v>
      </c>
      <c r="L2368" s="8"/>
      <c r="M2368" s="9">
        <v>0.0</v>
      </c>
      <c r="N2368" s="9">
        <v>1.0</v>
      </c>
      <c r="O2368" s="9">
        <v>1.0</v>
      </c>
      <c r="P2368" s="10">
        <v>45379.0</v>
      </c>
      <c r="Q2368" s="11">
        <v>1.7</v>
      </c>
      <c r="R2368" s="8" t="s">
        <v>70</v>
      </c>
      <c r="S2368" s="12">
        <f t="shared" si="1"/>
        <v>0</v>
      </c>
      <c r="T2368" s="12">
        <f t="shared" si="8"/>
        <v>87.16149346</v>
      </c>
      <c r="U2368" s="145"/>
    </row>
    <row r="2369">
      <c r="A2369" s="29"/>
      <c r="B2369" s="15" t="s">
        <v>4225</v>
      </c>
      <c r="C2369" s="15" t="s">
        <v>19</v>
      </c>
      <c r="D2369" s="15">
        <v>75.0</v>
      </c>
      <c r="E2369" s="15" t="s">
        <v>4835</v>
      </c>
      <c r="F2369" s="15" t="s">
        <v>1473</v>
      </c>
      <c r="G2369" s="15" t="s">
        <v>2660</v>
      </c>
      <c r="H2369" s="15">
        <v>0.0</v>
      </c>
      <c r="I2369" s="15" t="s">
        <v>42</v>
      </c>
      <c r="J2369" s="15" t="s">
        <v>22</v>
      </c>
      <c r="K2369" s="15" t="s">
        <v>892</v>
      </c>
      <c r="L2369" s="15"/>
      <c r="M2369" s="16">
        <v>0.0</v>
      </c>
      <c r="N2369" s="16">
        <v>0.25</v>
      </c>
      <c r="O2369" s="16">
        <v>0.25</v>
      </c>
      <c r="P2369" s="17">
        <v>45379.0</v>
      </c>
      <c r="Q2369" s="18">
        <v>1.6</v>
      </c>
      <c r="R2369" s="15" t="s">
        <v>33</v>
      </c>
      <c r="S2369" s="19">
        <f t="shared" si="1"/>
        <v>0.15</v>
      </c>
      <c r="T2369" s="19">
        <f t="shared" si="8"/>
        <v>87.31149346</v>
      </c>
      <c r="U2369" s="144"/>
    </row>
    <row r="2370">
      <c r="A2370" s="107"/>
      <c r="B2370" s="8" t="s">
        <v>26</v>
      </c>
      <c r="C2370" s="8" t="s">
        <v>19</v>
      </c>
      <c r="D2370" s="8">
        <v>70.0</v>
      </c>
      <c r="E2370" s="8" t="s">
        <v>4836</v>
      </c>
      <c r="F2370" s="8" t="s">
        <v>1479</v>
      </c>
      <c r="G2370" s="8" t="s">
        <v>2660</v>
      </c>
      <c r="H2370" s="8">
        <v>-1.0</v>
      </c>
      <c r="I2370" s="8" t="s">
        <v>248</v>
      </c>
      <c r="J2370" s="8" t="s">
        <v>22</v>
      </c>
      <c r="K2370" s="8" t="s">
        <v>892</v>
      </c>
      <c r="L2370" s="8" t="s">
        <v>24</v>
      </c>
      <c r="M2370" s="9">
        <v>0.0</v>
      </c>
      <c r="N2370" s="9">
        <v>0.2</v>
      </c>
      <c r="O2370" s="9">
        <v>0.2</v>
      </c>
      <c r="P2370" s="10">
        <v>45379.0</v>
      </c>
      <c r="Q2370" s="11">
        <v>1.775</v>
      </c>
      <c r="R2370" s="8" t="s">
        <v>33</v>
      </c>
      <c r="S2370" s="12">
        <f t="shared" si="1"/>
        <v>0.155</v>
      </c>
      <c r="T2370" s="12">
        <f t="shared" si="8"/>
        <v>87.46649346</v>
      </c>
      <c r="U2370" s="145"/>
    </row>
    <row r="2371">
      <c r="A2371" s="29"/>
      <c r="B2371" s="15" t="s">
        <v>26</v>
      </c>
      <c r="C2371" s="15" t="s">
        <v>19</v>
      </c>
      <c r="D2371" s="15">
        <v>59.0</v>
      </c>
      <c r="E2371" s="15" t="s">
        <v>4837</v>
      </c>
      <c r="F2371" s="15" t="s">
        <v>1479</v>
      </c>
      <c r="G2371" s="15" t="s">
        <v>2660</v>
      </c>
      <c r="H2371" s="15">
        <v>0.0</v>
      </c>
      <c r="I2371" s="15" t="s">
        <v>940</v>
      </c>
      <c r="J2371" s="15" t="s">
        <v>22</v>
      </c>
      <c r="K2371" s="15" t="s">
        <v>892</v>
      </c>
      <c r="L2371" s="15" t="s">
        <v>24</v>
      </c>
      <c r="M2371" s="16">
        <v>0.0</v>
      </c>
      <c r="N2371" s="16">
        <v>0.6</v>
      </c>
      <c r="O2371" s="16">
        <v>0.6</v>
      </c>
      <c r="P2371" s="17">
        <v>45379.0</v>
      </c>
      <c r="Q2371" s="18">
        <v>1.9</v>
      </c>
      <c r="R2371" s="15" t="s">
        <v>25</v>
      </c>
      <c r="S2371" s="19">
        <f t="shared" si="1"/>
        <v>-0.6</v>
      </c>
      <c r="T2371" s="19">
        <f t="shared" si="8"/>
        <v>86.86649346</v>
      </c>
      <c r="U2371" s="144"/>
    </row>
    <row r="2372">
      <c r="A2372" s="107"/>
      <c r="B2372" s="8" t="s">
        <v>4225</v>
      </c>
      <c r="C2372" s="8" t="s">
        <v>19</v>
      </c>
      <c r="D2372" s="8">
        <v>85.0</v>
      </c>
      <c r="E2372" s="8" t="s">
        <v>4838</v>
      </c>
      <c r="F2372" s="8"/>
      <c r="G2372" s="8"/>
      <c r="H2372" s="8"/>
      <c r="I2372" s="8" t="s">
        <v>207</v>
      </c>
      <c r="J2372" s="8" t="s">
        <v>22</v>
      </c>
      <c r="K2372" s="8" t="s">
        <v>29</v>
      </c>
      <c r="L2372" s="8" t="s">
        <v>24</v>
      </c>
      <c r="M2372" s="9">
        <v>-0.5</v>
      </c>
      <c r="N2372" s="9">
        <v>0.1</v>
      </c>
      <c r="O2372" s="9">
        <v>0.1</v>
      </c>
      <c r="P2372" s="10">
        <v>45380.0</v>
      </c>
      <c r="Q2372" s="11">
        <v>1.75</v>
      </c>
      <c r="R2372" s="8" t="s">
        <v>25</v>
      </c>
      <c r="S2372" s="12">
        <f t="shared" si="1"/>
        <v>-0.1</v>
      </c>
      <c r="T2372" s="12">
        <f t="shared" si="8"/>
        <v>86.76649346</v>
      </c>
      <c r="U2372" s="145"/>
    </row>
    <row r="2373">
      <c r="A2373" s="29"/>
      <c r="B2373" s="15" t="s">
        <v>4225</v>
      </c>
      <c r="C2373" s="15" t="s">
        <v>19</v>
      </c>
      <c r="D2373" s="15">
        <v>35.0</v>
      </c>
      <c r="E2373" s="15" t="s">
        <v>4839</v>
      </c>
      <c r="F2373" s="15" t="s">
        <v>1473</v>
      </c>
      <c r="G2373" s="15" t="s">
        <v>2660</v>
      </c>
      <c r="H2373" s="15">
        <v>0.0</v>
      </c>
      <c r="I2373" s="15" t="s">
        <v>908</v>
      </c>
      <c r="J2373" s="15" t="s">
        <v>22</v>
      </c>
      <c r="K2373" s="15" t="s">
        <v>4584</v>
      </c>
      <c r="L2373" s="15" t="s">
        <v>24</v>
      </c>
      <c r="M2373" s="16">
        <v>0.0</v>
      </c>
      <c r="N2373" s="16">
        <v>0.75</v>
      </c>
      <c r="O2373" s="16">
        <v>0.75</v>
      </c>
      <c r="P2373" s="17">
        <v>45380.0</v>
      </c>
      <c r="Q2373" s="18">
        <v>1.975</v>
      </c>
      <c r="R2373" s="15" t="s">
        <v>70</v>
      </c>
      <c r="S2373" s="19">
        <f t="shared" si="1"/>
        <v>0</v>
      </c>
      <c r="T2373" s="19">
        <f t="shared" si="8"/>
        <v>86.76649346</v>
      </c>
      <c r="U2373" s="144"/>
    </row>
    <row r="2374">
      <c r="A2374" s="107"/>
      <c r="B2374" s="8" t="s">
        <v>137</v>
      </c>
      <c r="C2374" s="8" t="s">
        <v>19</v>
      </c>
      <c r="D2374" s="8">
        <v>70.0</v>
      </c>
      <c r="E2374" s="8" t="s">
        <v>4840</v>
      </c>
      <c r="F2374" s="8" t="s">
        <v>1479</v>
      </c>
      <c r="G2374" s="8" t="s">
        <v>2660</v>
      </c>
      <c r="H2374" s="8">
        <v>-2.0</v>
      </c>
      <c r="I2374" s="8" t="s">
        <v>583</v>
      </c>
      <c r="J2374" s="8" t="s">
        <v>22</v>
      </c>
      <c r="K2374" s="8" t="s">
        <v>892</v>
      </c>
      <c r="L2374" s="8" t="s">
        <v>24</v>
      </c>
      <c r="M2374" s="9">
        <v>0.0</v>
      </c>
      <c r="N2374" s="9">
        <v>0.5</v>
      </c>
      <c r="O2374" s="9">
        <v>0.5</v>
      </c>
      <c r="P2374" s="10">
        <v>45380.0</v>
      </c>
      <c r="Q2374" s="11">
        <v>1.8</v>
      </c>
      <c r="R2374" s="8" t="s">
        <v>70</v>
      </c>
      <c r="S2374" s="12">
        <f t="shared" si="1"/>
        <v>0</v>
      </c>
      <c r="T2374" s="12">
        <f t="shared" si="8"/>
        <v>86.76649346</v>
      </c>
      <c r="U2374" s="145"/>
    </row>
    <row r="2375">
      <c r="A2375" s="29"/>
      <c r="B2375" s="15" t="s">
        <v>26</v>
      </c>
      <c r="C2375" s="15" t="s">
        <v>19</v>
      </c>
      <c r="D2375" s="15">
        <v>62.0</v>
      </c>
      <c r="E2375" s="15" t="s">
        <v>4841</v>
      </c>
      <c r="F2375" s="15" t="s">
        <v>1473</v>
      </c>
      <c r="G2375" s="15" t="s">
        <v>2556</v>
      </c>
      <c r="H2375" s="15">
        <v>-1.0</v>
      </c>
      <c r="I2375" s="15" t="s">
        <v>121</v>
      </c>
      <c r="J2375" s="15" t="s">
        <v>22</v>
      </c>
      <c r="K2375" s="15" t="s">
        <v>225</v>
      </c>
      <c r="L2375" s="15" t="s">
        <v>24</v>
      </c>
      <c r="M2375" s="16">
        <v>0.25</v>
      </c>
      <c r="N2375" s="16">
        <v>0.5</v>
      </c>
      <c r="O2375" s="16">
        <v>0.5</v>
      </c>
      <c r="P2375" s="17">
        <v>45380.0</v>
      </c>
      <c r="Q2375" s="18">
        <v>1.9</v>
      </c>
      <c r="R2375" s="15" t="s">
        <v>25</v>
      </c>
      <c r="S2375" s="19">
        <f t="shared" si="1"/>
        <v>-0.5</v>
      </c>
      <c r="T2375" s="19">
        <f t="shared" si="8"/>
        <v>86.26649346</v>
      </c>
      <c r="U2375" s="144"/>
    </row>
    <row r="2376">
      <c r="A2376" s="107"/>
      <c r="B2376" s="8" t="s">
        <v>26</v>
      </c>
      <c r="C2376" s="8" t="s">
        <v>19</v>
      </c>
      <c r="D2376" s="8">
        <v>62.0</v>
      </c>
      <c r="E2376" s="8" t="s">
        <v>4842</v>
      </c>
      <c r="F2376" s="8" t="s">
        <v>1473</v>
      </c>
      <c r="G2376" s="8" t="s">
        <v>2556</v>
      </c>
      <c r="H2376" s="8">
        <v>-1.0</v>
      </c>
      <c r="I2376" s="8" t="s">
        <v>121</v>
      </c>
      <c r="J2376" s="8" t="s">
        <v>22</v>
      </c>
      <c r="K2376" s="8" t="s">
        <v>1165</v>
      </c>
      <c r="L2376" s="8" t="s">
        <v>24</v>
      </c>
      <c r="M2376" s="9"/>
      <c r="N2376" s="9">
        <v>0.05</v>
      </c>
      <c r="O2376" s="9">
        <v>0.05</v>
      </c>
      <c r="P2376" s="10">
        <v>45380.0</v>
      </c>
      <c r="Q2376" s="11">
        <v>3.75</v>
      </c>
      <c r="R2376" s="8" t="s">
        <v>25</v>
      </c>
      <c r="S2376" s="12">
        <f t="shared" si="1"/>
        <v>-0.05</v>
      </c>
      <c r="T2376" s="12">
        <f t="shared" si="8"/>
        <v>86.21649346</v>
      </c>
      <c r="U2376" s="145"/>
    </row>
    <row r="2377">
      <c r="A2377" s="29"/>
      <c r="B2377" s="15" t="s">
        <v>26</v>
      </c>
      <c r="C2377" s="15" t="s">
        <v>19</v>
      </c>
      <c r="D2377" s="15">
        <v>73.0</v>
      </c>
      <c r="E2377" s="15" t="s">
        <v>4843</v>
      </c>
      <c r="F2377" s="15" t="s">
        <v>1473</v>
      </c>
      <c r="G2377" s="15" t="s">
        <v>2660</v>
      </c>
      <c r="H2377" s="15">
        <v>-1.0</v>
      </c>
      <c r="I2377" s="15" t="s">
        <v>121</v>
      </c>
      <c r="J2377" s="15" t="s">
        <v>22</v>
      </c>
      <c r="K2377" s="15" t="s">
        <v>892</v>
      </c>
      <c r="L2377" s="15" t="s">
        <v>24</v>
      </c>
      <c r="M2377" s="16">
        <v>0.0</v>
      </c>
      <c r="N2377" s="16">
        <v>0.75</v>
      </c>
      <c r="O2377" s="16">
        <v>0.75</v>
      </c>
      <c r="P2377" s="17">
        <v>45380.0</v>
      </c>
      <c r="Q2377" s="18">
        <v>2.1</v>
      </c>
      <c r="R2377" s="15" t="s">
        <v>33</v>
      </c>
      <c r="S2377" s="19">
        <f t="shared" si="1"/>
        <v>0.825</v>
      </c>
      <c r="T2377" s="19">
        <f t="shared" si="8"/>
        <v>87.04149346</v>
      </c>
      <c r="U2377" s="144"/>
    </row>
    <row r="2378">
      <c r="A2378" s="107"/>
      <c r="B2378" s="8" t="s">
        <v>18</v>
      </c>
      <c r="C2378" s="8" t="s">
        <v>40</v>
      </c>
      <c r="D2378" s="8">
        <v>69.0</v>
      </c>
      <c r="E2378" s="8" t="s">
        <v>4844</v>
      </c>
      <c r="F2378" s="8" t="s">
        <v>1479</v>
      </c>
      <c r="G2378" s="8" t="s">
        <v>2556</v>
      </c>
      <c r="H2378" s="8">
        <v>0.0</v>
      </c>
      <c r="I2378" s="8" t="s">
        <v>583</v>
      </c>
      <c r="J2378" s="8" t="s">
        <v>22</v>
      </c>
      <c r="K2378" s="8" t="s">
        <v>225</v>
      </c>
      <c r="L2378" s="8" t="s">
        <v>24</v>
      </c>
      <c r="M2378" s="9">
        <v>0.5</v>
      </c>
      <c r="N2378" s="9">
        <v>0.2</v>
      </c>
      <c r="O2378" s="9">
        <v>0.2</v>
      </c>
      <c r="P2378" s="10">
        <v>45381.0</v>
      </c>
      <c r="Q2378" s="11">
        <v>1.725</v>
      </c>
      <c r="R2378" s="8" t="s">
        <v>33</v>
      </c>
      <c r="S2378" s="12">
        <f t="shared" si="1"/>
        <v>0.145</v>
      </c>
      <c r="T2378" s="12">
        <f t="shared" si="8"/>
        <v>87.18649346</v>
      </c>
      <c r="U2378" s="145"/>
    </row>
    <row r="2379">
      <c r="A2379" s="29"/>
      <c r="B2379" s="15" t="s">
        <v>26</v>
      </c>
      <c r="C2379" s="15" t="s">
        <v>40</v>
      </c>
      <c r="D2379" s="15">
        <v>69.0</v>
      </c>
      <c r="E2379" s="15" t="s">
        <v>4845</v>
      </c>
      <c r="F2379" s="15" t="s">
        <v>1479</v>
      </c>
      <c r="G2379" s="15" t="s">
        <v>2660</v>
      </c>
      <c r="H2379" s="15">
        <v>-2.0</v>
      </c>
      <c r="I2379" s="15" t="s">
        <v>229</v>
      </c>
      <c r="J2379" s="15" t="s">
        <v>22</v>
      </c>
      <c r="K2379" s="15" t="s">
        <v>892</v>
      </c>
      <c r="L2379" s="15" t="s">
        <v>24</v>
      </c>
      <c r="M2379" s="16">
        <v>0.0</v>
      </c>
      <c r="N2379" s="16">
        <v>0.5</v>
      </c>
      <c r="O2379" s="16">
        <v>0.5</v>
      </c>
      <c r="P2379" s="17">
        <v>45381.0</v>
      </c>
      <c r="Q2379" s="18">
        <v>1.7</v>
      </c>
      <c r="R2379" s="15" t="s">
        <v>70</v>
      </c>
      <c r="S2379" s="19">
        <f t="shared" si="1"/>
        <v>0</v>
      </c>
      <c r="T2379" s="19">
        <f t="shared" si="8"/>
        <v>87.18649346</v>
      </c>
      <c r="U2379" s="144"/>
    </row>
    <row r="2380">
      <c r="A2380" s="107"/>
      <c r="B2380" s="8" t="s">
        <v>131</v>
      </c>
      <c r="C2380" s="8" t="s">
        <v>40</v>
      </c>
      <c r="D2380" s="8">
        <v>81.0</v>
      </c>
      <c r="E2380" s="8" t="s">
        <v>4846</v>
      </c>
      <c r="F2380" s="8" t="s">
        <v>1473</v>
      </c>
      <c r="G2380" s="8" t="s">
        <v>2556</v>
      </c>
      <c r="H2380" s="8">
        <v>-1.0</v>
      </c>
      <c r="I2380" s="8" t="s">
        <v>624</v>
      </c>
      <c r="J2380" s="8" t="s">
        <v>22</v>
      </c>
      <c r="K2380" s="8" t="s">
        <v>225</v>
      </c>
      <c r="L2380" s="8" t="s">
        <v>24</v>
      </c>
      <c r="M2380" s="9">
        <v>0.25</v>
      </c>
      <c r="N2380" s="9">
        <v>0.5</v>
      </c>
      <c r="O2380" s="9">
        <v>0.28</v>
      </c>
      <c r="P2380" s="10">
        <v>45381.0</v>
      </c>
      <c r="Q2380" s="11">
        <v>1.7</v>
      </c>
      <c r="R2380" s="8" t="s">
        <v>996</v>
      </c>
      <c r="S2380" s="12">
        <f t="shared" si="1"/>
        <v>0.098</v>
      </c>
      <c r="T2380" s="12">
        <f t="shared" si="8"/>
        <v>87.28449346</v>
      </c>
      <c r="U2380" s="145"/>
    </row>
    <row r="2381">
      <c r="A2381" s="29"/>
      <c r="B2381" s="15" t="s">
        <v>26</v>
      </c>
      <c r="C2381" s="15" t="s">
        <v>40</v>
      </c>
      <c r="D2381" s="15">
        <v>85.0</v>
      </c>
      <c r="E2381" s="15" t="s">
        <v>4847</v>
      </c>
      <c r="F2381" s="15" t="s">
        <v>1473</v>
      </c>
      <c r="G2381" s="15" t="s">
        <v>2660</v>
      </c>
      <c r="H2381" s="15">
        <v>2</v>
      </c>
      <c r="I2381" s="15" t="s">
        <v>229</v>
      </c>
      <c r="J2381" s="15" t="s">
        <v>22</v>
      </c>
      <c r="K2381" s="15" t="s">
        <v>892</v>
      </c>
      <c r="L2381" s="15" t="s">
        <v>24</v>
      </c>
      <c r="M2381" s="16">
        <v>0.0</v>
      </c>
      <c r="N2381" s="16">
        <v>0.35</v>
      </c>
      <c r="O2381" s="16">
        <v>0.35</v>
      </c>
      <c r="P2381" s="17">
        <v>45381.0</v>
      </c>
      <c r="Q2381" s="18">
        <v>2.35</v>
      </c>
      <c r="R2381" s="15" t="s">
        <v>70</v>
      </c>
      <c r="S2381" s="19">
        <f t="shared" si="1"/>
        <v>0</v>
      </c>
      <c r="T2381" s="19">
        <f t="shared" si="8"/>
        <v>87.28449346</v>
      </c>
      <c r="U2381" s="144"/>
    </row>
    <row r="2382">
      <c r="A2382" s="107"/>
      <c r="B2382" s="8" t="s">
        <v>26</v>
      </c>
      <c r="C2382" s="8" t="s">
        <v>19</v>
      </c>
      <c r="D2382" s="8">
        <v>24.0</v>
      </c>
      <c r="E2382" s="8" t="s">
        <v>4848</v>
      </c>
      <c r="F2382" s="8" t="s">
        <v>1473</v>
      </c>
      <c r="G2382" s="8" t="s">
        <v>2660</v>
      </c>
      <c r="H2382" s="8">
        <f>1</f>
        <v>1</v>
      </c>
      <c r="I2382" s="8" t="s">
        <v>908</v>
      </c>
      <c r="J2382" s="8" t="s">
        <v>22</v>
      </c>
      <c r="K2382" s="8" t="s">
        <v>4584</v>
      </c>
      <c r="L2382" s="8" t="s">
        <v>24</v>
      </c>
      <c r="M2382" s="9">
        <v>0.0</v>
      </c>
      <c r="N2382" s="9">
        <v>0.5</v>
      </c>
      <c r="O2382" s="9">
        <v>0.5</v>
      </c>
      <c r="P2382" s="10">
        <v>45381.0</v>
      </c>
      <c r="Q2382" s="11">
        <v>1.775</v>
      </c>
      <c r="R2382" s="8" t="s">
        <v>70</v>
      </c>
      <c r="S2382" s="12">
        <f t="shared" si="1"/>
        <v>0</v>
      </c>
      <c r="T2382" s="12">
        <f t="shared" si="8"/>
        <v>87.28449346</v>
      </c>
      <c r="U2382" s="145"/>
    </row>
    <row r="2383">
      <c r="A2383" s="29"/>
      <c r="B2383" s="15" t="s">
        <v>26</v>
      </c>
      <c r="C2383" s="15" t="s">
        <v>19</v>
      </c>
      <c r="D2383" s="15">
        <v>26.0</v>
      </c>
      <c r="E2383" s="15" t="s">
        <v>4849</v>
      </c>
      <c r="F2383" s="15" t="s">
        <v>1473</v>
      </c>
      <c r="G2383" s="15" t="s">
        <v>2660</v>
      </c>
      <c r="H2383" s="15">
        <v>-1.0</v>
      </c>
      <c r="I2383" s="15" t="s">
        <v>115</v>
      </c>
      <c r="J2383" s="15" t="s">
        <v>22</v>
      </c>
      <c r="K2383" s="15" t="s">
        <v>892</v>
      </c>
      <c r="L2383" s="15" t="s">
        <v>24</v>
      </c>
      <c r="M2383" s="16">
        <v>0.0</v>
      </c>
      <c r="N2383" s="16">
        <v>1.0</v>
      </c>
      <c r="O2383" s="16">
        <v>1.0</v>
      </c>
      <c r="P2383" s="17">
        <v>45381.0</v>
      </c>
      <c r="Q2383" s="18">
        <v>1.7</v>
      </c>
      <c r="R2383" s="15" t="s">
        <v>70</v>
      </c>
      <c r="S2383" s="19">
        <f t="shared" si="1"/>
        <v>0</v>
      </c>
      <c r="T2383" s="19">
        <f t="shared" si="8"/>
        <v>87.28449346</v>
      </c>
      <c r="U2383" s="144"/>
    </row>
    <row r="2384">
      <c r="A2384" s="107"/>
      <c r="B2384" s="8" t="s">
        <v>129</v>
      </c>
      <c r="C2384" s="8" t="s">
        <v>40</v>
      </c>
      <c r="D2384" s="8">
        <v>18.0</v>
      </c>
      <c r="E2384" s="8" t="s">
        <v>4850</v>
      </c>
      <c r="F2384" s="8" t="s">
        <v>1473</v>
      </c>
      <c r="G2384" s="8" t="s">
        <v>2660</v>
      </c>
      <c r="H2384" s="8">
        <f>1</f>
        <v>1</v>
      </c>
      <c r="I2384" s="8" t="s">
        <v>99</v>
      </c>
      <c r="J2384" s="8" t="s">
        <v>22</v>
      </c>
      <c r="K2384" s="8" t="s">
        <v>4584</v>
      </c>
      <c r="L2384" s="8" t="s">
        <v>24</v>
      </c>
      <c r="M2384" s="9">
        <v>0.0</v>
      </c>
      <c r="N2384" s="9">
        <v>0.2</v>
      </c>
      <c r="O2384" s="9">
        <v>0.2</v>
      </c>
      <c r="P2384" s="10">
        <v>45381.0</v>
      </c>
      <c r="Q2384" s="11">
        <v>1.75</v>
      </c>
      <c r="R2384" s="8" t="s">
        <v>70</v>
      </c>
      <c r="S2384" s="12">
        <f t="shared" si="1"/>
        <v>0</v>
      </c>
      <c r="T2384" s="12">
        <f t="shared" si="8"/>
        <v>87.28449346</v>
      </c>
      <c r="U2384" s="145"/>
    </row>
    <row r="2385">
      <c r="A2385" s="29"/>
      <c r="B2385" s="15" t="s">
        <v>129</v>
      </c>
      <c r="C2385" s="15" t="s">
        <v>19</v>
      </c>
      <c r="D2385" s="15">
        <v>73.0</v>
      </c>
      <c r="E2385" s="15" t="s">
        <v>4851</v>
      </c>
      <c r="F2385" s="15" t="s">
        <v>1473</v>
      </c>
      <c r="G2385" s="15" t="s">
        <v>2660</v>
      </c>
      <c r="H2385" s="15">
        <v>-2.0</v>
      </c>
      <c r="I2385" s="15" t="s">
        <v>923</v>
      </c>
      <c r="J2385" s="15" t="s">
        <v>22</v>
      </c>
      <c r="K2385" s="15" t="s">
        <v>892</v>
      </c>
      <c r="L2385" s="15" t="s">
        <v>24</v>
      </c>
      <c r="M2385" s="16">
        <v>0.0</v>
      </c>
      <c r="N2385" s="16">
        <v>0.4</v>
      </c>
      <c r="O2385" s="16">
        <v>0.4</v>
      </c>
      <c r="P2385" s="17">
        <v>45381.0</v>
      </c>
      <c r="Q2385" s="18">
        <v>2.425</v>
      </c>
      <c r="R2385" s="15" t="s">
        <v>70</v>
      </c>
      <c r="S2385" s="19">
        <f t="shared" si="1"/>
        <v>0</v>
      </c>
      <c r="T2385" s="19">
        <f t="shared" si="8"/>
        <v>87.28449346</v>
      </c>
      <c r="U2385" s="144"/>
    </row>
    <row r="2386">
      <c r="A2386" s="107"/>
      <c r="B2386" s="8" t="s">
        <v>129</v>
      </c>
      <c r="C2386" s="8" t="s">
        <v>19</v>
      </c>
      <c r="D2386" s="8">
        <v>75.0</v>
      </c>
      <c r="E2386" s="8" t="s">
        <v>4852</v>
      </c>
      <c r="F2386" s="8" t="s">
        <v>1473</v>
      </c>
      <c r="G2386" s="8" t="s">
        <v>2660</v>
      </c>
      <c r="H2386" s="8">
        <v>0.0</v>
      </c>
      <c r="I2386" s="8" t="s">
        <v>525</v>
      </c>
      <c r="J2386" s="8" t="s">
        <v>22</v>
      </c>
      <c r="K2386" s="8" t="s">
        <v>892</v>
      </c>
      <c r="L2386" s="8" t="s">
        <v>24</v>
      </c>
      <c r="M2386" s="9">
        <v>0.0</v>
      </c>
      <c r="N2386" s="9">
        <v>0.25</v>
      </c>
      <c r="O2386" s="9">
        <v>0.09</v>
      </c>
      <c r="P2386" s="10">
        <v>45381.0</v>
      </c>
      <c r="Q2386" s="11">
        <v>1.65</v>
      </c>
      <c r="R2386" s="8" t="s">
        <v>70</v>
      </c>
      <c r="S2386" s="12">
        <f t="shared" si="1"/>
        <v>0</v>
      </c>
      <c r="T2386" s="12">
        <f t="shared" si="8"/>
        <v>87.28449346</v>
      </c>
      <c r="U2386" s="145"/>
    </row>
    <row r="2387">
      <c r="A2387" s="29"/>
      <c r="B2387" s="15" t="s">
        <v>26</v>
      </c>
      <c r="C2387" s="15" t="s">
        <v>19</v>
      </c>
      <c r="D2387" s="15">
        <v>68.0</v>
      </c>
      <c r="E2387" s="15" t="s">
        <v>4853</v>
      </c>
      <c r="F2387" s="15" t="s">
        <v>1479</v>
      </c>
      <c r="G2387" s="15" t="s">
        <v>2660</v>
      </c>
      <c r="H2387" s="15">
        <v>-1.0</v>
      </c>
      <c r="I2387" s="15" t="s">
        <v>583</v>
      </c>
      <c r="J2387" s="15" t="s">
        <v>22</v>
      </c>
      <c r="K2387" s="15" t="s">
        <v>892</v>
      </c>
      <c r="L2387" s="15" t="s">
        <v>24</v>
      </c>
      <c r="M2387" s="16">
        <v>0.0</v>
      </c>
      <c r="N2387" s="16">
        <v>0.75</v>
      </c>
      <c r="O2387" s="16">
        <v>0.75</v>
      </c>
      <c r="P2387" s="17">
        <v>45381.0</v>
      </c>
      <c r="Q2387" s="18">
        <v>1.825</v>
      </c>
      <c r="R2387" s="15" t="s">
        <v>70</v>
      </c>
      <c r="S2387" s="19">
        <f t="shared" si="1"/>
        <v>0</v>
      </c>
      <c r="T2387" s="19">
        <f t="shared" si="8"/>
        <v>87.28449346</v>
      </c>
      <c r="U2387" s="144"/>
    </row>
    <row r="2388">
      <c r="A2388" s="107"/>
      <c r="B2388" s="8" t="s">
        <v>26</v>
      </c>
      <c r="C2388" s="8" t="s">
        <v>19</v>
      </c>
      <c r="D2388" s="8">
        <v>71.0</v>
      </c>
      <c r="E2388" s="8" t="s">
        <v>4854</v>
      </c>
      <c r="F2388" s="8" t="s">
        <v>1479</v>
      </c>
      <c r="G2388" s="8" t="s">
        <v>2660</v>
      </c>
      <c r="H2388" s="8">
        <v>-3.0</v>
      </c>
      <c r="I2388" s="8" t="s">
        <v>583</v>
      </c>
      <c r="J2388" s="8" t="s">
        <v>22</v>
      </c>
      <c r="K2388" s="8" t="s">
        <v>892</v>
      </c>
      <c r="L2388" s="8" t="s">
        <v>24</v>
      </c>
      <c r="M2388" s="9">
        <v>0.0</v>
      </c>
      <c r="N2388" s="9">
        <v>0.25</v>
      </c>
      <c r="O2388" s="9">
        <v>0.24</v>
      </c>
      <c r="P2388" s="10">
        <v>45381.0</v>
      </c>
      <c r="Q2388" s="11">
        <v>1.75</v>
      </c>
      <c r="R2388" s="8" t="s">
        <v>25</v>
      </c>
      <c r="S2388" s="12">
        <f t="shared" si="1"/>
        <v>-0.24</v>
      </c>
      <c r="T2388" s="12">
        <f t="shared" si="8"/>
        <v>87.04449346</v>
      </c>
      <c r="U2388" s="145"/>
    </row>
    <row r="2389">
      <c r="A2389" s="29"/>
      <c r="B2389" s="15" t="s">
        <v>18</v>
      </c>
      <c r="C2389" s="15" t="s">
        <v>19</v>
      </c>
      <c r="D2389" s="15">
        <v>31.0</v>
      </c>
      <c r="E2389" s="15" t="s">
        <v>4855</v>
      </c>
      <c r="F2389" s="15" t="s">
        <v>1479</v>
      </c>
      <c r="G2389" s="15" t="s">
        <v>2660</v>
      </c>
      <c r="H2389" s="15">
        <v>0.0</v>
      </c>
      <c r="I2389" s="15" t="s">
        <v>624</v>
      </c>
      <c r="J2389" s="15" t="s">
        <v>22</v>
      </c>
      <c r="K2389" s="15" t="s">
        <v>4584</v>
      </c>
      <c r="L2389" s="15" t="s">
        <v>24</v>
      </c>
      <c r="M2389" s="16">
        <v>0.0</v>
      </c>
      <c r="N2389" s="16">
        <v>0.25</v>
      </c>
      <c r="O2389" s="16">
        <v>0.25</v>
      </c>
      <c r="P2389" s="17">
        <v>45381.0</v>
      </c>
      <c r="Q2389" s="18">
        <v>2.0</v>
      </c>
      <c r="R2389" s="15" t="s">
        <v>70</v>
      </c>
      <c r="S2389" s="19">
        <f t="shared" si="1"/>
        <v>0</v>
      </c>
      <c r="T2389" s="19">
        <f t="shared" si="8"/>
        <v>87.04449346</v>
      </c>
      <c r="U2389" s="144"/>
    </row>
    <row r="2390">
      <c r="A2390" s="107"/>
      <c r="B2390" s="8" t="s">
        <v>18</v>
      </c>
      <c r="C2390" s="8" t="s">
        <v>19</v>
      </c>
      <c r="D2390" s="8">
        <v>32.0</v>
      </c>
      <c r="E2390" s="8" t="s">
        <v>4856</v>
      </c>
      <c r="F2390" s="8" t="s">
        <v>1473</v>
      </c>
      <c r="G2390" s="8" t="s">
        <v>2660</v>
      </c>
      <c r="H2390" s="8">
        <v>0.0</v>
      </c>
      <c r="I2390" s="8" t="s">
        <v>624</v>
      </c>
      <c r="J2390" s="8" t="s">
        <v>22</v>
      </c>
      <c r="K2390" s="8" t="s">
        <v>4584</v>
      </c>
      <c r="L2390" s="8" t="s">
        <v>24</v>
      </c>
      <c r="M2390" s="9">
        <v>0.0</v>
      </c>
      <c r="N2390" s="9">
        <v>0.4</v>
      </c>
      <c r="O2390" s="9">
        <v>0.4</v>
      </c>
      <c r="P2390" s="10">
        <v>45381.0</v>
      </c>
      <c r="Q2390" s="11">
        <v>2.1</v>
      </c>
      <c r="R2390" s="8" t="s">
        <v>70</v>
      </c>
      <c r="S2390" s="12">
        <f t="shared" si="1"/>
        <v>0</v>
      </c>
      <c r="T2390" s="12">
        <f t="shared" si="8"/>
        <v>87.04449346</v>
      </c>
      <c r="U2390" s="145"/>
    </row>
    <row r="2391">
      <c r="A2391" s="29"/>
      <c r="B2391" s="15" t="s">
        <v>137</v>
      </c>
      <c r="C2391" s="15" t="s">
        <v>19</v>
      </c>
      <c r="D2391" s="15">
        <v>32.0</v>
      </c>
      <c r="E2391" s="15" t="s">
        <v>4857</v>
      </c>
      <c r="F2391" s="15" t="s">
        <v>1473</v>
      </c>
      <c r="G2391" s="15" t="s">
        <v>2660</v>
      </c>
      <c r="H2391" s="15">
        <v>0.0</v>
      </c>
      <c r="I2391" s="15" t="s">
        <v>44</v>
      </c>
      <c r="J2391" s="15" t="s">
        <v>22</v>
      </c>
      <c r="K2391" s="15" t="s">
        <v>2805</v>
      </c>
      <c r="L2391" s="15" t="s">
        <v>24</v>
      </c>
      <c r="M2391" s="16">
        <v>0.0</v>
      </c>
      <c r="N2391" s="16">
        <v>0.4</v>
      </c>
      <c r="O2391" s="16">
        <v>0.4</v>
      </c>
      <c r="P2391" s="17">
        <v>45381.0</v>
      </c>
      <c r="Q2391" s="18">
        <v>1.9</v>
      </c>
      <c r="R2391" s="15" t="s">
        <v>33</v>
      </c>
      <c r="S2391" s="19">
        <f t="shared" si="1"/>
        <v>0.36</v>
      </c>
      <c r="T2391" s="19">
        <f t="shared" si="8"/>
        <v>87.40449346</v>
      </c>
      <c r="U2391" s="144"/>
    </row>
    <row r="2392">
      <c r="A2392" s="107"/>
      <c r="B2392" s="8" t="s">
        <v>26</v>
      </c>
      <c r="C2392" s="8" t="s">
        <v>19</v>
      </c>
      <c r="D2392" s="8">
        <v>63.0</v>
      </c>
      <c r="E2392" s="8" t="s">
        <v>4858</v>
      </c>
      <c r="F2392" s="8" t="s">
        <v>1479</v>
      </c>
      <c r="G2392" s="8" t="s">
        <v>2660</v>
      </c>
      <c r="H2392" s="8">
        <f>1</f>
        <v>1</v>
      </c>
      <c r="I2392" s="8" t="s">
        <v>316</v>
      </c>
      <c r="J2392" s="8" t="s">
        <v>22</v>
      </c>
      <c r="K2392" s="8" t="s">
        <v>892</v>
      </c>
      <c r="L2392" s="8" t="s">
        <v>24</v>
      </c>
      <c r="M2392" s="9">
        <v>0.0</v>
      </c>
      <c r="N2392" s="9">
        <v>1.0</v>
      </c>
      <c r="O2392" s="9">
        <v>1.0</v>
      </c>
      <c r="P2392" s="10">
        <v>45381.0</v>
      </c>
      <c r="Q2392" s="11">
        <v>1.8</v>
      </c>
      <c r="R2392" s="8" t="s">
        <v>70</v>
      </c>
      <c r="S2392" s="12">
        <f t="shared" si="1"/>
        <v>0</v>
      </c>
      <c r="T2392" s="12">
        <f t="shared" si="8"/>
        <v>87.40449346</v>
      </c>
      <c r="U2392" s="145"/>
    </row>
    <row r="2393">
      <c r="A2393" s="29"/>
      <c r="B2393" s="15" t="s">
        <v>137</v>
      </c>
      <c r="C2393" s="15" t="s">
        <v>19</v>
      </c>
      <c r="D2393" s="15">
        <v>65.0</v>
      </c>
      <c r="E2393" s="15" t="s">
        <v>4859</v>
      </c>
      <c r="F2393" s="139"/>
      <c r="G2393" s="15"/>
      <c r="H2393" s="15"/>
      <c r="I2393" s="15" t="s">
        <v>44</v>
      </c>
      <c r="J2393" s="15" t="s">
        <v>22</v>
      </c>
      <c r="K2393" s="15" t="s">
        <v>440</v>
      </c>
      <c r="L2393" s="15" t="s">
        <v>24</v>
      </c>
      <c r="M2393" s="16">
        <v>2.0</v>
      </c>
      <c r="N2393" s="16">
        <v>0.2</v>
      </c>
      <c r="O2393" s="16">
        <v>0.2</v>
      </c>
      <c r="P2393" s="17">
        <v>45381.0</v>
      </c>
      <c r="Q2393" s="18">
        <v>2.2</v>
      </c>
      <c r="R2393" s="15" t="s">
        <v>25</v>
      </c>
      <c r="S2393" s="19">
        <f t="shared" si="1"/>
        <v>-0.2</v>
      </c>
      <c r="T2393" s="19">
        <f t="shared" si="8"/>
        <v>87.20449346</v>
      </c>
      <c r="U2393" s="144"/>
    </row>
    <row r="2394">
      <c r="A2394" s="107"/>
      <c r="B2394" s="8" t="s">
        <v>137</v>
      </c>
      <c r="C2394" s="8" t="s">
        <v>19</v>
      </c>
      <c r="D2394" s="8">
        <v>65.0</v>
      </c>
      <c r="E2394" s="8" t="s">
        <v>4860</v>
      </c>
      <c r="F2394" s="8"/>
      <c r="G2394" s="8"/>
      <c r="H2394" s="8"/>
      <c r="I2394" s="8" t="s">
        <v>44</v>
      </c>
      <c r="J2394" s="8" t="s">
        <v>22</v>
      </c>
      <c r="K2394" s="8" t="s">
        <v>440</v>
      </c>
      <c r="L2394" s="8" t="s">
        <v>24</v>
      </c>
      <c r="M2394" s="9">
        <v>1.75</v>
      </c>
      <c r="N2394" s="9">
        <v>0.12</v>
      </c>
      <c r="O2394" s="9">
        <v>0.12</v>
      </c>
      <c r="P2394" s="10">
        <v>45381.0</v>
      </c>
      <c r="Q2394" s="11">
        <v>1.825</v>
      </c>
      <c r="R2394" s="8" t="s">
        <v>25</v>
      </c>
      <c r="S2394" s="12">
        <f t="shared" si="1"/>
        <v>-0.12</v>
      </c>
      <c r="T2394" s="12">
        <f t="shared" si="8"/>
        <v>87.08449346</v>
      </c>
      <c r="U2394" s="145"/>
    </row>
    <row r="2395">
      <c r="A2395" s="29"/>
      <c r="B2395" s="15" t="s">
        <v>18</v>
      </c>
      <c r="C2395" s="15" t="s">
        <v>40</v>
      </c>
      <c r="D2395" s="15">
        <v>25.0</v>
      </c>
      <c r="E2395" s="15" t="s">
        <v>4861</v>
      </c>
      <c r="F2395" s="15" t="s">
        <v>1473</v>
      </c>
      <c r="G2395" s="15" t="s">
        <v>2660</v>
      </c>
      <c r="H2395" s="15">
        <f>1</f>
        <v>1</v>
      </c>
      <c r="I2395" s="15" t="s">
        <v>873</v>
      </c>
      <c r="J2395" s="15" t="s">
        <v>22</v>
      </c>
      <c r="K2395" s="15" t="s">
        <v>4584</v>
      </c>
      <c r="L2395" s="15" t="s">
        <v>24</v>
      </c>
      <c r="M2395" s="16">
        <v>0.0</v>
      </c>
      <c r="N2395" s="16">
        <v>0.4</v>
      </c>
      <c r="O2395" s="16">
        <v>0.4</v>
      </c>
      <c r="P2395" s="17">
        <v>45381.0</v>
      </c>
      <c r="Q2395" s="18">
        <v>2.02</v>
      </c>
      <c r="R2395" s="15" t="s">
        <v>70</v>
      </c>
      <c r="S2395" s="19">
        <f t="shared" si="1"/>
        <v>0</v>
      </c>
      <c r="T2395" s="19">
        <f t="shared" si="8"/>
        <v>87.08449346</v>
      </c>
      <c r="U2395" s="144"/>
    </row>
    <row r="2396">
      <c r="A2396" s="107"/>
      <c r="B2396" s="8" t="s">
        <v>26</v>
      </c>
      <c r="C2396" s="8" t="s">
        <v>19</v>
      </c>
      <c r="D2396" s="8">
        <v>74.0</v>
      </c>
      <c r="E2396" s="8" t="s">
        <v>4862</v>
      </c>
      <c r="F2396" s="8" t="s">
        <v>1479</v>
      </c>
      <c r="G2396" s="8" t="s">
        <v>2556</v>
      </c>
      <c r="H2396" s="8">
        <v>0.0</v>
      </c>
      <c r="I2396" s="8" t="s">
        <v>38</v>
      </c>
      <c r="J2396" s="8" t="s">
        <v>22</v>
      </c>
      <c r="K2396" s="8" t="s">
        <v>225</v>
      </c>
      <c r="L2396" s="8" t="s">
        <v>24</v>
      </c>
      <c r="M2396" s="9">
        <v>0.25</v>
      </c>
      <c r="N2396" s="9">
        <v>0.5</v>
      </c>
      <c r="O2396" s="9">
        <v>0.5</v>
      </c>
      <c r="P2396" s="10">
        <v>45381.0</v>
      </c>
      <c r="Q2396" s="11">
        <v>1.725</v>
      </c>
      <c r="R2396" s="8" t="s">
        <v>25</v>
      </c>
      <c r="S2396" s="12">
        <f t="shared" si="1"/>
        <v>-0.5</v>
      </c>
      <c r="T2396" s="12">
        <f t="shared" si="8"/>
        <v>86.58449346</v>
      </c>
      <c r="U2396" s="145"/>
    </row>
    <row r="2397">
      <c r="A2397" s="29"/>
      <c r="B2397" s="15" t="s">
        <v>26</v>
      </c>
      <c r="C2397" s="15" t="s">
        <v>40</v>
      </c>
      <c r="D2397" s="15">
        <v>65.0</v>
      </c>
      <c r="E2397" s="15" t="s">
        <v>4863</v>
      </c>
      <c r="F2397" s="15" t="s">
        <v>1479</v>
      </c>
      <c r="G2397" s="15" t="s">
        <v>2660</v>
      </c>
      <c r="H2397" s="15">
        <v>-1.0</v>
      </c>
      <c r="I2397" s="15" t="s">
        <v>873</v>
      </c>
      <c r="J2397" s="15" t="s">
        <v>22</v>
      </c>
      <c r="K2397" s="15" t="s">
        <v>892</v>
      </c>
      <c r="L2397" s="15" t="s">
        <v>24</v>
      </c>
      <c r="M2397" s="16">
        <v>0.0</v>
      </c>
      <c r="N2397" s="16">
        <v>1.0</v>
      </c>
      <c r="O2397" s="16">
        <v>1.0</v>
      </c>
      <c r="P2397" s="17">
        <v>45381.0</v>
      </c>
      <c r="Q2397" s="18">
        <v>1.75</v>
      </c>
      <c r="R2397" s="15" t="s">
        <v>70</v>
      </c>
      <c r="S2397" s="19">
        <f t="shared" si="1"/>
        <v>0</v>
      </c>
      <c r="T2397" s="19">
        <f t="shared" si="8"/>
        <v>86.58449346</v>
      </c>
      <c r="U2397" s="144"/>
    </row>
    <row r="2398">
      <c r="A2398" s="107"/>
      <c r="B2398" s="8" t="s">
        <v>131</v>
      </c>
      <c r="C2398" s="8" t="s">
        <v>40</v>
      </c>
      <c r="D2398" s="8">
        <v>83.0</v>
      </c>
      <c r="E2398" s="8" t="s">
        <v>4864</v>
      </c>
      <c r="F2398" s="8"/>
      <c r="G2398" s="8"/>
      <c r="H2398" s="8"/>
      <c r="I2398" s="8" t="s">
        <v>873</v>
      </c>
      <c r="J2398" s="8" t="s">
        <v>22</v>
      </c>
      <c r="K2398" s="8" t="s">
        <v>29</v>
      </c>
      <c r="L2398" s="8" t="s">
        <v>24</v>
      </c>
      <c r="M2398" s="9">
        <v>-2.5</v>
      </c>
      <c r="N2398" s="9">
        <v>0.1</v>
      </c>
      <c r="O2398" s="9">
        <v>0.1</v>
      </c>
      <c r="P2398" s="10">
        <v>45381.0</v>
      </c>
      <c r="Q2398" s="11">
        <v>1.75</v>
      </c>
      <c r="R2398" s="8" t="s">
        <v>25</v>
      </c>
      <c r="S2398" s="12">
        <f t="shared" si="1"/>
        <v>-0.1</v>
      </c>
      <c r="T2398" s="12">
        <f t="shared" si="8"/>
        <v>86.48449346</v>
      </c>
      <c r="U2398" s="145"/>
    </row>
    <row r="2399">
      <c r="A2399" s="29"/>
      <c r="B2399" s="15" t="s">
        <v>18</v>
      </c>
      <c r="C2399" s="15" t="s">
        <v>19</v>
      </c>
      <c r="D2399" s="15">
        <v>77.0</v>
      </c>
      <c r="E2399" s="15" t="s">
        <v>4865</v>
      </c>
      <c r="F2399" s="15" t="s">
        <v>1473</v>
      </c>
      <c r="G2399" s="15" t="s">
        <v>2556</v>
      </c>
      <c r="H2399" s="15">
        <v>-2.0</v>
      </c>
      <c r="I2399" s="15" t="s">
        <v>66</v>
      </c>
      <c r="J2399" s="15" t="s">
        <v>22</v>
      </c>
      <c r="K2399" s="15" t="s">
        <v>225</v>
      </c>
      <c r="L2399" s="15" t="s">
        <v>24</v>
      </c>
      <c r="M2399" s="16">
        <v>0.25</v>
      </c>
      <c r="N2399" s="16">
        <v>0.5</v>
      </c>
      <c r="O2399" s="16">
        <v>0.5</v>
      </c>
      <c r="P2399" s="55">
        <v>45381.0</v>
      </c>
      <c r="Q2399" s="18">
        <v>1.8</v>
      </c>
      <c r="R2399" s="15" t="s">
        <v>33</v>
      </c>
      <c r="S2399" s="19">
        <f t="shared" si="1"/>
        <v>0.4</v>
      </c>
      <c r="T2399" s="19">
        <f t="shared" si="8"/>
        <v>86.88449346</v>
      </c>
      <c r="U2399" s="144"/>
    </row>
    <row r="2400">
      <c r="A2400" s="107"/>
      <c r="B2400" s="8" t="s">
        <v>4225</v>
      </c>
      <c r="C2400" s="8" t="s">
        <v>19</v>
      </c>
      <c r="D2400" s="8">
        <v>38.0</v>
      </c>
      <c r="E2400" s="8" t="s">
        <v>4866</v>
      </c>
      <c r="F2400" s="32" t="s">
        <v>1479</v>
      </c>
      <c r="G2400" s="32" t="s">
        <v>2660</v>
      </c>
      <c r="H2400" s="32">
        <v>0.0</v>
      </c>
      <c r="I2400" s="32" t="s">
        <v>93</v>
      </c>
      <c r="J2400" s="32" t="s">
        <v>22</v>
      </c>
      <c r="K2400" s="32" t="s">
        <v>4584</v>
      </c>
      <c r="L2400" s="32" t="s">
        <v>24</v>
      </c>
      <c r="M2400" s="33">
        <v>0.0</v>
      </c>
      <c r="N2400" s="9">
        <v>0.4</v>
      </c>
      <c r="O2400" s="9">
        <v>0.4</v>
      </c>
      <c r="P2400" s="10">
        <v>45382.0</v>
      </c>
      <c r="Q2400" s="11">
        <v>1.75</v>
      </c>
      <c r="R2400" s="8" t="s">
        <v>70</v>
      </c>
      <c r="S2400" s="12">
        <f t="shared" si="1"/>
        <v>0</v>
      </c>
      <c r="T2400" s="12">
        <f t="shared" si="8"/>
        <v>86.88449346</v>
      </c>
      <c r="U2400" s="145"/>
    </row>
    <row r="2401">
      <c r="A2401" s="29"/>
      <c r="B2401" s="15" t="s">
        <v>4225</v>
      </c>
      <c r="C2401" s="15" t="s">
        <v>19</v>
      </c>
      <c r="D2401" s="15">
        <v>25.0</v>
      </c>
      <c r="E2401" s="15" t="s">
        <v>4867</v>
      </c>
      <c r="F2401" s="37" t="s">
        <v>1479</v>
      </c>
      <c r="G2401" s="37" t="s">
        <v>2660</v>
      </c>
      <c r="H2401" s="37">
        <v>0.0</v>
      </c>
      <c r="I2401" s="37" t="s">
        <v>923</v>
      </c>
      <c r="J2401" s="37" t="s">
        <v>22</v>
      </c>
      <c r="K2401" s="37" t="s">
        <v>4584</v>
      </c>
      <c r="L2401" s="37" t="s">
        <v>24</v>
      </c>
      <c r="M2401" s="24">
        <v>0.0</v>
      </c>
      <c r="N2401" s="16">
        <v>0.4</v>
      </c>
      <c r="O2401" s="16">
        <v>0.4</v>
      </c>
      <c r="P2401" s="17">
        <v>45382.0</v>
      </c>
      <c r="Q2401" s="18">
        <v>1.675</v>
      </c>
      <c r="R2401" s="15" t="s">
        <v>70</v>
      </c>
      <c r="S2401" s="19">
        <f t="shared" si="1"/>
        <v>0</v>
      </c>
      <c r="T2401" s="19">
        <f t="shared" si="8"/>
        <v>86.88449346</v>
      </c>
      <c r="U2401" s="144"/>
    </row>
    <row r="2402">
      <c r="A2402" s="107"/>
      <c r="B2402" s="8" t="s">
        <v>18</v>
      </c>
      <c r="C2402" s="8" t="s">
        <v>19</v>
      </c>
      <c r="D2402" s="158">
        <v>65.0</v>
      </c>
      <c r="E2402" s="8" t="s">
        <v>4868</v>
      </c>
      <c r="F2402" s="47" t="s">
        <v>1473</v>
      </c>
      <c r="G2402" s="47" t="s">
        <v>2660</v>
      </c>
      <c r="H2402" s="47">
        <v>0.0</v>
      </c>
      <c r="I2402" s="47" t="s">
        <v>923</v>
      </c>
      <c r="J2402" s="47" t="s">
        <v>22</v>
      </c>
      <c r="K2402" s="47" t="s">
        <v>892</v>
      </c>
      <c r="L2402" s="32" t="s">
        <v>24</v>
      </c>
      <c r="M2402" s="9">
        <v>0.0</v>
      </c>
      <c r="N2402" s="9">
        <v>0.4</v>
      </c>
      <c r="O2402" s="9">
        <v>0.4</v>
      </c>
      <c r="P2402" s="10">
        <v>45382.0</v>
      </c>
      <c r="Q2402" s="11">
        <v>2.0</v>
      </c>
      <c r="R2402" s="8" t="s">
        <v>70</v>
      </c>
      <c r="S2402" s="12">
        <f t="shared" si="1"/>
        <v>0</v>
      </c>
      <c r="T2402" s="12">
        <f t="shared" si="8"/>
        <v>86.88449346</v>
      </c>
      <c r="U2402" s="145"/>
    </row>
    <row r="2403">
      <c r="A2403" s="29"/>
      <c r="B2403" s="15" t="s">
        <v>18</v>
      </c>
      <c r="C2403" s="15" t="s">
        <v>19</v>
      </c>
      <c r="D2403" s="15">
        <v>38.0</v>
      </c>
      <c r="E2403" s="15" t="s">
        <v>4869</v>
      </c>
      <c r="F2403" s="15" t="s">
        <v>1473</v>
      </c>
      <c r="G2403" s="15" t="s">
        <v>2556</v>
      </c>
      <c r="H2403" s="15">
        <f>1</f>
        <v>1</v>
      </c>
      <c r="I2403" s="15" t="s">
        <v>106</v>
      </c>
      <c r="J2403" s="15" t="s">
        <v>22</v>
      </c>
      <c r="K2403" s="15" t="s">
        <v>1847</v>
      </c>
      <c r="L2403" s="37" t="s">
        <v>24</v>
      </c>
      <c r="M2403" s="16">
        <v>-0.5</v>
      </c>
      <c r="N2403" s="16">
        <v>0.75</v>
      </c>
      <c r="O2403" s="16">
        <v>0.75</v>
      </c>
      <c r="P2403" s="17">
        <v>45382.0</v>
      </c>
      <c r="Q2403" s="18">
        <v>1.8</v>
      </c>
      <c r="R2403" s="15" t="s">
        <v>33</v>
      </c>
      <c r="S2403" s="19">
        <f t="shared" si="1"/>
        <v>0.6</v>
      </c>
      <c r="T2403" s="19">
        <f t="shared" si="8"/>
        <v>87.48449346</v>
      </c>
      <c r="U2403" s="144"/>
    </row>
    <row r="2404">
      <c r="A2404" s="107"/>
      <c r="B2404" s="8" t="s">
        <v>4225</v>
      </c>
      <c r="C2404" s="8" t="s">
        <v>19</v>
      </c>
      <c r="D2404" s="8">
        <v>38.0</v>
      </c>
      <c r="E2404" s="8" t="s">
        <v>4870</v>
      </c>
      <c r="F2404" s="8" t="s">
        <v>1479</v>
      </c>
      <c r="G2404" s="8" t="s">
        <v>2573</v>
      </c>
      <c r="H2404" s="8">
        <v>-1.0</v>
      </c>
      <c r="I2404" s="8" t="s">
        <v>3017</v>
      </c>
      <c r="J2404" s="8" t="s">
        <v>22</v>
      </c>
      <c r="K2404" s="8" t="s">
        <v>4584</v>
      </c>
      <c r="L2404" s="32" t="s">
        <v>24</v>
      </c>
      <c r="M2404" s="9">
        <v>0.0</v>
      </c>
      <c r="N2404" s="9">
        <v>0.5</v>
      </c>
      <c r="O2404" s="9">
        <v>0.5</v>
      </c>
      <c r="P2404" s="10">
        <v>45382.0</v>
      </c>
      <c r="Q2404" s="11">
        <v>1.775</v>
      </c>
      <c r="R2404" s="8" t="s">
        <v>70</v>
      </c>
      <c r="S2404" s="12">
        <f t="shared" si="1"/>
        <v>0</v>
      </c>
      <c r="T2404" s="12">
        <f t="shared" si="8"/>
        <v>87.48449346</v>
      </c>
      <c r="U2404" s="145"/>
    </row>
    <row r="2405">
      <c r="A2405" s="29"/>
      <c r="B2405" s="15" t="s">
        <v>129</v>
      </c>
      <c r="C2405" s="15" t="s">
        <v>19</v>
      </c>
      <c r="D2405" s="15">
        <v>83.0</v>
      </c>
      <c r="E2405" s="15" t="s">
        <v>4871</v>
      </c>
      <c r="F2405" s="15" t="s">
        <v>1473</v>
      </c>
      <c r="G2405" s="15" t="s">
        <v>2660</v>
      </c>
      <c r="H2405" s="15">
        <v>0.0</v>
      </c>
      <c r="I2405" s="15" t="s">
        <v>42</v>
      </c>
      <c r="J2405" s="15" t="s">
        <v>22</v>
      </c>
      <c r="K2405" s="15" t="s">
        <v>892</v>
      </c>
      <c r="L2405" s="37" t="s">
        <v>24</v>
      </c>
      <c r="M2405" s="16">
        <v>0.0</v>
      </c>
      <c r="N2405" s="16">
        <v>0.2</v>
      </c>
      <c r="O2405" s="16">
        <v>0.2</v>
      </c>
      <c r="P2405" s="17">
        <v>45382.0</v>
      </c>
      <c r="Q2405" s="18">
        <v>2.3</v>
      </c>
      <c r="R2405" s="15" t="s">
        <v>70</v>
      </c>
      <c r="S2405" s="19">
        <f t="shared" si="1"/>
        <v>0</v>
      </c>
      <c r="T2405" s="19">
        <f t="shared" si="8"/>
        <v>87.48449346</v>
      </c>
      <c r="U2405" s="144"/>
    </row>
    <row r="2406">
      <c r="A2406" s="107"/>
      <c r="B2406" s="8" t="s">
        <v>129</v>
      </c>
      <c r="C2406" s="8" t="s">
        <v>19</v>
      </c>
      <c r="D2406" s="8">
        <v>68.0</v>
      </c>
      <c r="E2406" s="8" t="s">
        <v>4872</v>
      </c>
      <c r="F2406" s="8" t="s">
        <v>1473</v>
      </c>
      <c r="G2406" s="8" t="s">
        <v>2660</v>
      </c>
      <c r="H2406" s="8">
        <v>-1.0</v>
      </c>
      <c r="I2406" s="8" t="s">
        <v>193</v>
      </c>
      <c r="J2406" s="8" t="s">
        <v>22</v>
      </c>
      <c r="K2406" s="8" t="s">
        <v>892</v>
      </c>
      <c r="L2406" s="8" t="s">
        <v>24</v>
      </c>
      <c r="M2406" s="9">
        <v>0.0</v>
      </c>
      <c r="N2406" s="9">
        <v>0.5</v>
      </c>
      <c r="O2406" s="9">
        <v>0.5</v>
      </c>
      <c r="P2406" s="10">
        <v>45384.0</v>
      </c>
      <c r="Q2406" s="11">
        <v>2.1</v>
      </c>
      <c r="R2406" s="8" t="s">
        <v>70</v>
      </c>
      <c r="S2406" s="12">
        <f t="shared" si="1"/>
        <v>0</v>
      </c>
      <c r="T2406" s="12">
        <f t="shared" si="8"/>
        <v>87.48449346</v>
      </c>
      <c r="U2406" s="145"/>
    </row>
    <row r="2407">
      <c r="A2407" s="29"/>
      <c r="B2407" s="15" t="s">
        <v>131</v>
      </c>
      <c r="C2407" s="15" t="s">
        <v>19</v>
      </c>
      <c r="D2407" s="15">
        <v>85.0</v>
      </c>
      <c r="E2407" s="15" t="s">
        <v>4873</v>
      </c>
      <c r="F2407" s="15"/>
      <c r="G2407" s="15"/>
      <c r="H2407" s="15" t="s">
        <v>2615</v>
      </c>
      <c r="I2407" s="15" t="s">
        <v>157</v>
      </c>
      <c r="J2407" s="15" t="s">
        <v>22</v>
      </c>
      <c r="K2407" s="15" t="s">
        <v>2939</v>
      </c>
      <c r="L2407" s="15" t="s">
        <v>24</v>
      </c>
      <c r="M2407" s="16">
        <v>-3.5</v>
      </c>
      <c r="N2407" s="16">
        <v>0.1</v>
      </c>
      <c r="O2407" s="16">
        <v>0.1</v>
      </c>
      <c r="P2407" s="17">
        <v>45384.0</v>
      </c>
      <c r="Q2407" s="18">
        <v>1.7</v>
      </c>
      <c r="R2407" s="15" t="s">
        <v>33</v>
      </c>
      <c r="S2407" s="19">
        <f t="shared" si="1"/>
        <v>0.07</v>
      </c>
      <c r="T2407" s="19">
        <f t="shared" si="8"/>
        <v>87.55449346</v>
      </c>
      <c r="U2407" s="144"/>
    </row>
    <row r="2408">
      <c r="A2408" s="107"/>
      <c r="B2408" s="8" t="s">
        <v>131</v>
      </c>
      <c r="C2408" s="8" t="s">
        <v>19</v>
      </c>
      <c r="D2408" s="8">
        <v>37.0</v>
      </c>
      <c r="E2408" s="8" t="s">
        <v>4874</v>
      </c>
      <c r="F2408" s="8" t="s">
        <v>1479</v>
      </c>
      <c r="G2408" s="8" t="s">
        <v>2660</v>
      </c>
      <c r="H2408" s="8">
        <v>-1.0</v>
      </c>
      <c r="I2408" s="8" t="s">
        <v>191</v>
      </c>
      <c r="J2408" s="8" t="s">
        <v>22</v>
      </c>
      <c r="K2408" s="8" t="s">
        <v>2805</v>
      </c>
      <c r="L2408" s="8" t="s">
        <v>24</v>
      </c>
      <c r="M2408" s="9">
        <v>0.0</v>
      </c>
      <c r="N2408" s="9">
        <v>0.4</v>
      </c>
      <c r="O2408" s="9">
        <v>0.4</v>
      </c>
      <c r="P2408" s="10">
        <v>45384.0</v>
      </c>
      <c r="Q2408" s="11">
        <v>1.7</v>
      </c>
      <c r="R2408" s="8" t="s">
        <v>33</v>
      </c>
      <c r="S2408" s="12">
        <f t="shared" si="1"/>
        <v>0.28</v>
      </c>
      <c r="T2408" s="12">
        <f t="shared" si="8"/>
        <v>87.83449346</v>
      </c>
      <c r="U2408" s="145"/>
    </row>
    <row r="2409">
      <c r="A2409" s="29"/>
      <c r="B2409" s="15" t="s">
        <v>18</v>
      </c>
      <c r="C2409" s="15" t="s">
        <v>19</v>
      </c>
      <c r="D2409" s="15">
        <v>82.0</v>
      </c>
      <c r="E2409" s="15" t="s">
        <v>4875</v>
      </c>
      <c r="F2409" s="15" t="s">
        <v>1473</v>
      </c>
      <c r="G2409" s="15" t="s">
        <v>2660</v>
      </c>
      <c r="H2409" s="15">
        <v>0.0</v>
      </c>
      <c r="I2409" s="15" t="s">
        <v>174</v>
      </c>
      <c r="J2409" s="15" t="s">
        <v>22</v>
      </c>
      <c r="K2409" s="15" t="s">
        <v>892</v>
      </c>
      <c r="L2409" s="15" t="s">
        <v>24</v>
      </c>
      <c r="M2409" s="16">
        <v>0.0</v>
      </c>
      <c r="N2409" s="16">
        <v>0.5</v>
      </c>
      <c r="O2409" s="16">
        <v>0.5</v>
      </c>
      <c r="P2409" s="17">
        <v>45384.0</v>
      </c>
      <c r="Q2409" s="18">
        <v>1.775</v>
      </c>
      <c r="R2409" s="15" t="s">
        <v>70</v>
      </c>
      <c r="S2409" s="19">
        <f t="shared" si="1"/>
        <v>0</v>
      </c>
      <c r="T2409" s="19">
        <f t="shared" si="8"/>
        <v>87.83449346</v>
      </c>
      <c r="U2409" s="144"/>
    </row>
    <row r="2410">
      <c r="A2410" s="107"/>
      <c r="B2410" s="8" t="s">
        <v>26</v>
      </c>
      <c r="C2410" s="8" t="s">
        <v>19</v>
      </c>
      <c r="D2410" s="8">
        <v>28.0</v>
      </c>
      <c r="E2410" s="8" t="s">
        <v>4876</v>
      </c>
      <c r="F2410" s="8" t="s">
        <v>1479</v>
      </c>
      <c r="G2410" s="8" t="s">
        <v>2556</v>
      </c>
      <c r="H2410" s="8">
        <v>0.0</v>
      </c>
      <c r="I2410" s="8" t="s">
        <v>463</v>
      </c>
      <c r="J2410" s="8" t="s">
        <v>22</v>
      </c>
      <c r="K2410" s="8" t="s">
        <v>225</v>
      </c>
      <c r="L2410" s="8" t="s">
        <v>1803</v>
      </c>
      <c r="M2410" s="9">
        <v>0.5</v>
      </c>
      <c r="N2410" s="9">
        <v>1.0</v>
      </c>
      <c r="O2410" s="9">
        <v>1.0</v>
      </c>
      <c r="P2410" s="10">
        <v>45384.0</v>
      </c>
      <c r="Q2410" s="11">
        <v>1.8</v>
      </c>
      <c r="R2410" s="8" t="s">
        <v>33</v>
      </c>
      <c r="S2410" s="12">
        <f t="shared" si="1"/>
        <v>0.8</v>
      </c>
      <c r="T2410" s="12">
        <f t="shared" si="8"/>
        <v>88.63449346</v>
      </c>
      <c r="U2410" s="145"/>
    </row>
    <row r="2411">
      <c r="A2411" s="29"/>
      <c r="B2411" s="15" t="s">
        <v>26</v>
      </c>
      <c r="C2411" s="15" t="s">
        <v>19</v>
      </c>
      <c r="D2411" s="15">
        <v>84.0</v>
      </c>
      <c r="E2411" s="15" t="s">
        <v>4877</v>
      </c>
      <c r="F2411" s="15" t="s">
        <v>1473</v>
      </c>
      <c r="G2411" s="15" t="s">
        <v>2556</v>
      </c>
      <c r="H2411" s="15">
        <v>0.0</v>
      </c>
      <c r="I2411" s="15" t="s">
        <v>463</v>
      </c>
      <c r="J2411" s="15" t="s">
        <v>22</v>
      </c>
      <c r="K2411" s="15" t="s">
        <v>1847</v>
      </c>
      <c r="L2411" s="15" t="s">
        <v>1803</v>
      </c>
      <c r="M2411" s="16">
        <v>-0.5</v>
      </c>
      <c r="N2411" s="16">
        <v>0.2</v>
      </c>
      <c r="O2411" s="16">
        <v>0.15</v>
      </c>
      <c r="P2411" s="17">
        <v>45384.0</v>
      </c>
      <c r="Q2411" s="18">
        <v>3.75</v>
      </c>
      <c r="R2411" s="15" t="s">
        <v>25</v>
      </c>
      <c r="S2411" s="19">
        <f t="shared" si="1"/>
        <v>-0.15</v>
      </c>
      <c r="T2411" s="19">
        <f t="shared" si="8"/>
        <v>88.48449346</v>
      </c>
      <c r="U2411" s="144"/>
    </row>
    <row r="2412">
      <c r="A2412" s="107"/>
      <c r="B2412" s="8" t="s">
        <v>26</v>
      </c>
      <c r="C2412" s="8" t="s">
        <v>19</v>
      </c>
      <c r="D2412" s="8">
        <v>85.0</v>
      </c>
      <c r="E2412" s="8" t="s">
        <v>4878</v>
      </c>
      <c r="F2412" s="8"/>
      <c r="G2412" s="8"/>
      <c r="H2412" s="8">
        <v>0.0</v>
      </c>
      <c r="I2412" s="8" t="s">
        <v>463</v>
      </c>
      <c r="J2412" s="8" t="s">
        <v>22</v>
      </c>
      <c r="K2412" s="8" t="s">
        <v>440</v>
      </c>
      <c r="L2412" s="8" t="s">
        <v>1803</v>
      </c>
      <c r="M2412" s="9">
        <v>2.5</v>
      </c>
      <c r="N2412" s="9">
        <v>0.2</v>
      </c>
      <c r="O2412" s="9">
        <v>0.2</v>
      </c>
      <c r="P2412" s="10">
        <v>45384.0</v>
      </c>
      <c r="Q2412" s="11">
        <v>2.3</v>
      </c>
      <c r="R2412" s="8" t="s">
        <v>25</v>
      </c>
      <c r="S2412" s="12">
        <f t="shared" si="1"/>
        <v>-0.2</v>
      </c>
      <c r="T2412" s="12">
        <f t="shared" si="8"/>
        <v>88.28449346</v>
      </c>
      <c r="U2412" s="145"/>
    </row>
    <row r="2413">
      <c r="A2413" s="29"/>
      <c r="B2413" s="15" t="s">
        <v>26</v>
      </c>
      <c r="C2413" s="15" t="s">
        <v>19</v>
      </c>
      <c r="D2413" s="15">
        <v>29.0</v>
      </c>
      <c r="E2413" s="15" t="s">
        <v>4879</v>
      </c>
      <c r="F2413" s="15" t="s">
        <v>1479</v>
      </c>
      <c r="G2413" s="15" t="s">
        <v>2660</v>
      </c>
      <c r="H2413" s="15">
        <f>1</f>
        <v>1</v>
      </c>
      <c r="I2413" s="15" t="s">
        <v>38</v>
      </c>
      <c r="J2413" s="15" t="s">
        <v>22</v>
      </c>
      <c r="K2413" s="15" t="s">
        <v>1150</v>
      </c>
      <c r="L2413" s="15" t="s">
        <v>24</v>
      </c>
      <c r="M2413" s="16">
        <v>0.0</v>
      </c>
      <c r="N2413" s="16">
        <v>0.2</v>
      </c>
      <c r="O2413" s="16">
        <v>0.2</v>
      </c>
      <c r="P2413" s="17">
        <v>45384.0</v>
      </c>
      <c r="Q2413" s="18">
        <v>1.725</v>
      </c>
      <c r="R2413" s="15" t="s">
        <v>70</v>
      </c>
      <c r="S2413" s="19">
        <f t="shared" si="1"/>
        <v>0</v>
      </c>
      <c r="T2413" s="19">
        <f t="shared" si="8"/>
        <v>88.28449346</v>
      </c>
      <c r="U2413" s="144"/>
    </row>
    <row r="2414">
      <c r="A2414" s="107"/>
      <c r="B2414" s="8" t="s">
        <v>4225</v>
      </c>
      <c r="C2414" s="8" t="s">
        <v>19</v>
      </c>
      <c r="D2414" s="8">
        <v>63.0</v>
      </c>
      <c r="E2414" s="8" t="s">
        <v>4880</v>
      </c>
      <c r="F2414" s="8"/>
      <c r="G2414" s="8"/>
      <c r="H2414" s="8">
        <v>0.0</v>
      </c>
      <c r="I2414" s="8" t="s">
        <v>229</v>
      </c>
      <c r="J2414" s="8" t="s">
        <v>22</v>
      </c>
      <c r="K2414" s="8" t="s">
        <v>440</v>
      </c>
      <c r="L2414" s="8" t="s">
        <v>24</v>
      </c>
      <c r="M2414" s="9">
        <v>0.75</v>
      </c>
      <c r="N2414" s="9">
        <v>0.2</v>
      </c>
      <c r="O2414" s="9">
        <v>0.2</v>
      </c>
      <c r="P2414" s="10">
        <v>45385.0</v>
      </c>
      <c r="Q2414" s="11">
        <v>1.825</v>
      </c>
      <c r="R2414" s="8" t="s">
        <v>33</v>
      </c>
      <c r="S2414" s="12">
        <f t="shared" si="1"/>
        <v>0.165</v>
      </c>
      <c r="T2414" s="12">
        <f t="shared" si="8"/>
        <v>88.44949346</v>
      </c>
      <c r="U2414" s="145"/>
    </row>
    <row r="2415">
      <c r="A2415" s="29"/>
      <c r="B2415" s="15" t="s">
        <v>18</v>
      </c>
      <c r="C2415" s="15" t="s">
        <v>19</v>
      </c>
      <c r="D2415" s="15">
        <v>65.0</v>
      </c>
      <c r="E2415" s="15" t="s">
        <v>4881</v>
      </c>
      <c r="F2415" s="15" t="s">
        <v>1479</v>
      </c>
      <c r="G2415" s="15" t="s">
        <v>2660</v>
      </c>
      <c r="H2415" s="15">
        <v>0.0</v>
      </c>
      <c r="I2415" s="15" t="s">
        <v>806</v>
      </c>
      <c r="J2415" s="15" t="s">
        <v>22</v>
      </c>
      <c r="K2415" s="15" t="s">
        <v>892</v>
      </c>
      <c r="L2415" s="15" t="s">
        <v>24</v>
      </c>
      <c r="M2415" s="16">
        <v>0.0</v>
      </c>
      <c r="N2415" s="16">
        <v>0.5</v>
      </c>
      <c r="O2415" s="16">
        <v>0.5</v>
      </c>
      <c r="P2415" s="17">
        <v>45385.0</v>
      </c>
      <c r="Q2415" s="18">
        <v>1.625</v>
      </c>
      <c r="R2415" s="15" t="s">
        <v>33</v>
      </c>
      <c r="S2415" s="19">
        <f t="shared" si="1"/>
        <v>0.3125</v>
      </c>
      <c r="T2415" s="19">
        <f t="shared" si="8"/>
        <v>88.76199346</v>
      </c>
      <c r="U2415" s="144"/>
    </row>
    <row r="2416">
      <c r="A2416" s="107"/>
      <c r="B2416" s="8" t="s">
        <v>4225</v>
      </c>
      <c r="C2416" s="8" t="s">
        <v>19</v>
      </c>
      <c r="D2416" s="8">
        <v>69.0</v>
      </c>
      <c r="E2416" s="8" t="s">
        <v>4882</v>
      </c>
      <c r="F2416" s="8" t="s">
        <v>1473</v>
      </c>
      <c r="G2416" s="8" t="s">
        <v>2556</v>
      </c>
      <c r="H2416" s="8">
        <v>0.0</v>
      </c>
      <c r="I2416" s="8" t="s">
        <v>1031</v>
      </c>
      <c r="J2416" s="8" t="s">
        <v>22</v>
      </c>
      <c r="K2416" s="8" t="s">
        <v>892</v>
      </c>
      <c r="L2416" s="8" t="s">
        <v>24</v>
      </c>
      <c r="M2416" s="9">
        <v>0.75</v>
      </c>
      <c r="N2416" s="9">
        <v>0.35</v>
      </c>
      <c r="O2416" s="9">
        <v>0.28</v>
      </c>
      <c r="P2416" s="10">
        <v>45385.0</v>
      </c>
      <c r="Q2416" s="11">
        <v>1.85</v>
      </c>
      <c r="R2416" s="8" t="s">
        <v>79</v>
      </c>
      <c r="S2416" s="12">
        <f t="shared" si="1"/>
        <v>-0.14</v>
      </c>
      <c r="T2416" s="12">
        <f t="shared" si="8"/>
        <v>88.62199346</v>
      </c>
      <c r="U2416" s="145"/>
    </row>
    <row r="2417">
      <c r="A2417" s="29"/>
      <c r="B2417" s="15" t="s">
        <v>18</v>
      </c>
      <c r="C2417" s="15" t="s">
        <v>40</v>
      </c>
      <c r="D2417" s="15">
        <v>81.0</v>
      </c>
      <c r="E2417" s="15" t="s">
        <v>4883</v>
      </c>
      <c r="F2417" s="15" t="s">
        <v>1479</v>
      </c>
      <c r="G2417" s="15" t="s">
        <v>2660</v>
      </c>
      <c r="H2417" s="15">
        <v>0.0</v>
      </c>
      <c r="I2417" s="15" t="s">
        <v>48</v>
      </c>
      <c r="J2417" s="15" t="s">
        <v>22</v>
      </c>
      <c r="K2417" s="15" t="s">
        <v>892</v>
      </c>
      <c r="L2417" s="15" t="s">
        <v>24</v>
      </c>
      <c r="M2417" s="16">
        <v>0.0</v>
      </c>
      <c r="N2417" s="16">
        <v>0.25</v>
      </c>
      <c r="O2417" s="16">
        <v>0.25</v>
      </c>
      <c r="P2417" s="17">
        <v>45385.0</v>
      </c>
      <c r="Q2417" s="18">
        <v>2.3</v>
      </c>
      <c r="R2417" s="15" t="s">
        <v>25</v>
      </c>
      <c r="S2417" s="19">
        <f t="shared" si="1"/>
        <v>-0.25</v>
      </c>
      <c r="T2417" s="19">
        <f t="shared" si="8"/>
        <v>88.37199346</v>
      </c>
      <c r="U2417" s="144"/>
    </row>
    <row r="2418">
      <c r="A2418" s="107"/>
      <c r="B2418" s="8" t="s">
        <v>4225</v>
      </c>
      <c r="C2418" s="8" t="s">
        <v>19</v>
      </c>
      <c r="D2418" s="8">
        <v>64.0</v>
      </c>
      <c r="E2418" s="8" t="s">
        <v>4884</v>
      </c>
      <c r="F2418" s="8" t="s">
        <v>1479</v>
      </c>
      <c r="G2418" s="8" t="s">
        <v>2573</v>
      </c>
      <c r="H2418" s="8">
        <f>1</f>
        <v>1</v>
      </c>
      <c r="I2418" s="8" t="s">
        <v>191</v>
      </c>
      <c r="J2418" s="8" t="s">
        <v>22</v>
      </c>
      <c r="K2418" s="8" t="s">
        <v>894</v>
      </c>
      <c r="L2418" s="8" t="s">
        <v>24</v>
      </c>
      <c r="M2418" s="9">
        <v>-0.25</v>
      </c>
      <c r="N2418" s="9">
        <v>0.1</v>
      </c>
      <c r="O2418" s="9">
        <v>0.1</v>
      </c>
      <c r="P2418" s="10">
        <v>45385.0</v>
      </c>
      <c r="Q2418" s="11">
        <v>1.7</v>
      </c>
      <c r="R2418" s="8" t="s">
        <v>33</v>
      </c>
      <c r="S2418" s="12">
        <f t="shared" si="1"/>
        <v>0.07</v>
      </c>
      <c r="T2418" s="12">
        <f t="shared" si="8"/>
        <v>88.44199346</v>
      </c>
      <c r="U2418" s="145"/>
    </row>
    <row r="2419">
      <c r="A2419" s="29"/>
      <c r="B2419" s="15" t="s">
        <v>26</v>
      </c>
      <c r="C2419" s="15" t="s">
        <v>40</v>
      </c>
      <c r="D2419" s="15">
        <v>88.0</v>
      </c>
      <c r="E2419" s="15" t="s">
        <v>4885</v>
      </c>
      <c r="F2419" s="15"/>
      <c r="G2419" s="15"/>
      <c r="H2419" s="15"/>
      <c r="I2419" s="15" t="s">
        <v>28</v>
      </c>
      <c r="J2419" s="15" t="s">
        <v>22</v>
      </c>
      <c r="K2419" s="15" t="s">
        <v>23</v>
      </c>
      <c r="L2419" s="15" t="s">
        <v>24</v>
      </c>
      <c r="M2419" s="16">
        <v>-12.5</v>
      </c>
      <c r="N2419" s="16">
        <v>0.1</v>
      </c>
      <c r="O2419" s="16">
        <v>0.1</v>
      </c>
      <c r="P2419" s="17">
        <v>45385.0</v>
      </c>
      <c r="Q2419" s="18">
        <v>1.65</v>
      </c>
      <c r="R2419" s="15" t="s">
        <v>25</v>
      </c>
      <c r="S2419" s="19">
        <f t="shared" si="1"/>
        <v>-0.1</v>
      </c>
      <c r="T2419" s="19">
        <f t="shared" si="8"/>
        <v>88.34199346</v>
      </c>
      <c r="U2419" s="144"/>
    </row>
    <row r="2420">
      <c r="A2420" s="107"/>
      <c r="B2420" s="8" t="s">
        <v>4225</v>
      </c>
      <c r="C2420" s="8" t="s">
        <v>19</v>
      </c>
      <c r="D2420" s="8">
        <v>31.0</v>
      </c>
      <c r="E2420" s="8" t="s">
        <v>4886</v>
      </c>
      <c r="F2420" s="8" t="s">
        <v>1473</v>
      </c>
      <c r="G2420" s="8" t="s">
        <v>2660</v>
      </c>
      <c r="H2420" s="8">
        <v>-1.0</v>
      </c>
      <c r="I2420" s="8" t="s">
        <v>42</v>
      </c>
      <c r="J2420" s="8" t="s">
        <v>22</v>
      </c>
      <c r="K2420" s="8" t="s">
        <v>1150</v>
      </c>
      <c r="L2420" s="8" t="s">
        <v>24</v>
      </c>
      <c r="M2420" s="9">
        <v>0.0</v>
      </c>
      <c r="N2420" s="9">
        <v>0.2</v>
      </c>
      <c r="O2420" s="9">
        <v>0.2</v>
      </c>
      <c r="P2420" s="10">
        <v>45386.0</v>
      </c>
      <c r="Q2420" s="11">
        <v>1.75</v>
      </c>
      <c r="R2420" s="8" t="s">
        <v>33</v>
      </c>
      <c r="S2420" s="12">
        <f t="shared" si="1"/>
        <v>0.15</v>
      </c>
      <c r="T2420" s="12">
        <f t="shared" si="8"/>
        <v>88.49199346</v>
      </c>
      <c r="U2420" s="145"/>
    </row>
    <row r="2421">
      <c r="A2421" s="29"/>
      <c r="B2421" s="15" t="s">
        <v>4225</v>
      </c>
      <c r="C2421" s="15" t="s">
        <v>19</v>
      </c>
      <c r="D2421" s="15">
        <v>65.0</v>
      </c>
      <c r="E2421" s="15" t="s">
        <v>4887</v>
      </c>
      <c r="F2421" s="15" t="s">
        <v>1479</v>
      </c>
      <c r="G2421" s="15" t="s">
        <v>2660</v>
      </c>
      <c r="H2421" s="15">
        <v>0.0</v>
      </c>
      <c r="I2421" s="15" t="s">
        <v>42</v>
      </c>
      <c r="J2421" s="15" t="s">
        <v>22</v>
      </c>
      <c r="K2421" s="15" t="s">
        <v>892</v>
      </c>
      <c r="L2421" s="15" t="s">
        <v>24</v>
      </c>
      <c r="M2421" s="16">
        <v>0.0</v>
      </c>
      <c r="N2421" s="16">
        <v>1.0</v>
      </c>
      <c r="O2421" s="16">
        <v>1.0</v>
      </c>
      <c r="P2421" s="17">
        <v>45386.0</v>
      </c>
      <c r="Q2421" s="18">
        <v>1.675</v>
      </c>
      <c r="R2421" s="15" t="s">
        <v>70</v>
      </c>
      <c r="S2421" s="19">
        <f t="shared" si="1"/>
        <v>0</v>
      </c>
      <c r="T2421" s="19">
        <f t="shared" si="8"/>
        <v>88.49199346</v>
      </c>
      <c r="U2421" s="144"/>
    </row>
    <row r="2422">
      <c r="A2422" s="107"/>
      <c r="B2422" s="8" t="s">
        <v>18</v>
      </c>
      <c r="C2422" s="8" t="s">
        <v>19</v>
      </c>
      <c r="D2422" s="8">
        <v>68.0</v>
      </c>
      <c r="E2422" s="8" t="s">
        <v>4888</v>
      </c>
      <c r="F2422" s="8" t="s">
        <v>1479</v>
      </c>
      <c r="G2422" s="8" t="s">
        <v>2660</v>
      </c>
      <c r="H2422" s="8">
        <v>0.0</v>
      </c>
      <c r="I2422" s="8" t="s">
        <v>806</v>
      </c>
      <c r="J2422" s="8" t="s">
        <v>22</v>
      </c>
      <c r="K2422" s="8" t="s">
        <v>892</v>
      </c>
      <c r="L2422" s="8" t="s">
        <v>24</v>
      </c>
      <c r="M2422" s="9">
        <v>0.0</v>
      </c>
      <c r="N2422" s="9">
        <v>1.0</v>
      </c>
      <c r="O2422" s="9">
        <v>1.0</v>
      </c>
      <c r="P2422" s="10">
        <v>45386.0</v>
      </c>
      <c r="Q2422" s="11">
        <v>2.0</v>
      </c>
      <c r="R2422" s="8" t="s">
        <v>70</v>
      </c>
      <c r="S2422" s="12">
        <f t="shared" si="1"/>
        <v>0</v>
      </c>
      <c r="T2422" s="12">
        <f t="shared" si="8"/>
        <v>88.49199346</v>
      </c>
      <c r="U2422" s="145"/>
    </row>
    <row r="2423">
      <c r="A2423" s="29"/>
      <c r="B2423" s="15" t="s">
        <v>18</v>
      </c>
      <c r="C2423" s="15" t="s">
        <v>19</v>
      </c>
      <c r="D2423" s="15">
        <v>24.0</v>
      </c>
      <c r="E2423" s="15" t="s">
        <v>4889</v>
      </c>
      <c r="F2423" s="15" t="s">
        <v>1479</v>
      </c>
      <c r="G2423" s="15" t="s">
        <v>2660</v>
      </c>
      <c r="H2423" s="15">
        <v>0.0</v>
      </c>
      <c r="I2423" s="15" t="s">
        <v>1031</v>
      </c>
      <c r="J2423" s="15" t="s">
        <v>22</v>
      </c>
      <c r="K2423" s="15" t="s">
        <v>1150</v>
      </c>
      <c r="L2423" s="15" t="s">
        <v>24</v>
      </c>
      <c r="M2423" s="16">
        <v>0.0</v>
      </c>
      <c r="N2423" s="16">
        <v>0.75</v>
      </c>
      <c r="O2423" s="16">
        <v>0.75</v>
      </c>
      <c r="P2423" s="17">
        <v>45386.0</v>
      </c>
      <c r="Q2423" s="18">
        <v>1.9</v>
      </c>
      <c r="R2423" s="15" t="s">
        <v>70</v>
      </c>
      <c r="S2423" s="19">
        <f t="shared" si="1"/>
        <v>0</v>
      </c>
      <c r="T2423" s="19">
        <f t="shared" si="8"/>
        <v>88.49199346</v>
      </c>
      <c r="U2423" s="144"/>
    </row>
    <row r="2424">
      <c r="A2424" s="107"/>
      <c r="B2424" s="8" t="s">
        <v>26</v>
      </c>
      <c r="C2424" s="8" t="s">
        <v>19</v>
      </c>
      <c r="D2424" s="8">
        <v>67.0</v>
      </c>
      <c r="E2424" s="8" t="s">
        <v>4890</v>
      </c>
      <c r="F2424" s="8" t="s">
        <v>1479</v>
      </c>
      <c r="G2424" s="8" t="s">
        <v>2660</v>
      </c>
      <c r="H2424" s="8">
        <v>0.0</v>
      </c>
      <c r="I2424" s="8" t="s">
        <v>231</v>
      </c>
      <c r="J2424" s="8" t="s">
        <v>22</v>
      </c>
      <c r="K2424" s="8" t="s">
        <v>941</v>
      </c>
      <c r="L2424" s="8" t="s">
        <v>24</v>
      </c>
      <c r="M2424" s="9">
        <v>0.0</v>
      </c>
      <c r="N2424" s="9">
        <v>1.0</v>
      </c>
      <c r="O2424" s="9">
        <v>1.0</v>
      </c>
      <c r="P2424" s="54">
        <v>45386.0</v>
      </c>
      <c r="Q2424" s="11">
        <v>1.8</v>
      </c>
      <c r="R2424" s="8" t="s">
        <v>70</v>
      </c>
      <c r="S2424" s="12">
        <f t="shared" si="1"/>
        <v>0</v>
      </c>
      <c r="T2424" s="12">
        <f t="shared" si="8"/>
        <v>88.49199346</v>
      </c>
      <c r="U2424" s="145"/>
    </row>
    <row r="2425">
      <c r="A2425" s="29"/>
      <c r="B2425" s="15" t="s">
        <v>4225</v>
      </c>
      <c r="C2425" s="15" t="s">
        <v>19</v>
      </c>
      <c r="D2425" s="15">
        <v>86.0</v>
      </c>
      <c r="E2425" s="15" t="s">
        <v>4891</v>
      </c>
      <c r="F2425" s="15" t="s">
        <v>1479</v>
      </c>
      <c r="G2425" s="15" t="s">
        <v>2660</v>
      </c>
      <c r="H2425" s="15">
        <v>0.0</v>
      </c>
      <c r="I2425" s="15" t="s">
        <v>233</v>
      </c>
      <c r="J2425" s="15" t="s">
        <v>22</v>
      </c>
      <c r="K2425" s="15" t="s">
        <v>892</v>
      </c>
      <c r="L2425" s="15" t="s">
        <v>24</v>
      </c>
      <c r="M2425" s="16">
        <v>0.0</v>
      </c>
      <c r="N2425" s="16">
        <v>0.2</v>
      </c>
      <c r="O2425" s="16">
        <v>0.2</v>
      </c>
      <c r="P2425" s="17">
        <v>45386.0</v>
      </c>
      <c r="Q2425" s="18">
        <v>1.7</v>
      </c>
      <c r="R2425" s="15" t="s">
        <v>33</v>
      </c>
      <c r="S2425" s="19">
        <f t="shared" si="1"/>
        <v>0.14</v>
      </c>
      <c r="T2425" s="19">
        <f t="shared" si="8"/>
        <v>88.63199346</v>
      </c>
      <c r="U2425" s="144"/>
    </row>
    <row r="2426">
      <c r="A2426" s="107"/>
      <c r="B2426" s="8" t="s">
        <v>4225</v>
      </c>
      <c r="C2426" s="8" t="s">
        <v>19</v>
      </c>
      <c r="D2426" s="8">
        <v>72.0</v>
      </c>
      <c r="E2426" s="8" t="s">
        <v>4892</v>
      </c>
      <c r="F2426" s="8" t="s">
        <v>1479</v>
      </c>
      <c r="G2426" s="8" t="s">
        <v>2556</v>
      </c>
      <c r="H2426" s="8">
        <v>-1.0</v>
      </c>
      <c r="I2426" s="8" t="s">
        <v>2108</v>
      </c>
      <c r="J2426" s="8" t="s">
        <v>22</v>
      </c>
      <c r="K2426" s="8" t="s">
        <v>225</v>
      </c>
      <c r="L2426" s="8" t="s">
        <v>24</v>
      </c>
      <c r="M2426" s="9">
        <v>0.25</v>
      </c>
      <c r="N2426" s="9">
        <v>0.4</v>
      </c>
      <c r="O2426" s="9">
        <v>0.4</v>
      </c>
      <c r="P2426" s="10">
        <v>45387.0</v>
      </c>
      <c r="Q2426" s="11">
        <v>1.7</v>
      </c>
      <c r="R2426" s="8" t="s">
        <v>996</v>
      </c>
      <c r="S2426" s="12">
        <f t="shared" si="1"/>
        <v>0.14</v>
      </c>
      <c r="T2426" s="12">
        <f t="shared" si="8"/>
        <v>88.77199346</v>
      </c>
      <c r="U2426" s="145"/>
    </row>
    <row r="2427">
      <c r="A2427" s="29"/>
      <c r="B2427" s="15" t="s">
        <v>18</v>
      </c>
      <c r="C2427" s="15" t="s">
        <v>19</v>
      </c>
      <c r="D2427" s="15">
        <v>63.0</v>
      </c>
      <c r="E2427" s="15" t="s">
        <v>4893</v>
      </c>
      <c r="F2427" s="15" t="s">
        <v>1473</v>
      </c>
      <c r="G2427" s="15" t="s">
        <v>2660</v>
      </c>
      <c r="H2427" s="15">
        <v>-1.0</v>
      </c>
      <c r="I2427" s="15" t="s">
        <v>923</v>
      </c>
      <c r="J2427" s="15" t="s">
        <v>22</v>
      </c>
      <c r="K2427" s="15" t="s">
        <v>892</v>
      </c>
      <c r="L2427" s="15" t="s">
        <v>24</v>
      </c>
      <c r="M2427" s="16">
        <v>0.0</v>
      </c>
      <c r="N2427" s="16">
        <v>1.0</v>
      </c>
      <c r="O2427" s="16">
        <v>0.9</v>
      </c>
      <c r="P2427" s="17">
        <v>45387.0</v>
      </c>
      <c r="Q2427" s="18">
        <v>1.95</v>
      </c>
      <c r="R2427" s="15" t="s">
        <v>33</v>
      </c>
      <c r="S2427" s="19">
        <f t="shared" si="1"/>
        <v>0.855</v>
      </c>
      <c r="T2427" s="19">
        <f t="shared" si="8"/>
        <v>89.62699346</v>
      </c>
      <c r="U2427" s="144"/>
    </row>
    <row r="2428">
      <c r="A2428" s="107"/>
      <c r="B2428" s="8" t="s">
        <v>18</v>
      </c>
      <c r="C2428" s="8" t="s">
        <v>19</v>
      </c>
      <c r="D2428" s="8">
        <v>70.0</v>
      </c>
      <c r="E2428" s="8" t="s">
        <v>4894</v>
      </c>
      <c r="F2428" s="8" t="s">
        <v>1479</v>
      </c>
      <c r="G2428" s="8" t="s">
        <v>2556</v>
      </c>
      <c r="H2428" s="8">
        <v>0.0</v>
      </c>
      <c r="I2428" s="8" t="s">
        <v>42</v>
      </c>
      <c r="J2428" s="8" t="s">
        <v>22</v>
      </c>
      <c r="K2428" s="8" t="s">
        <v>225</v>
      </c>
      <c r="L2428" s="8" t="s">
        <v>24</v>
      </c>
      <c r="M2428" s="9">
        <v>0.25</v>
      </c>
      <c r="N2428" s="98">
        <v>0.25</v>
      </c>
      <c r="O2428" s="159">
        <f>0.25*28/53</f>
        <v>0.1320754717</v>
      </c>
      <c r="P2428" s="10">
        <v>45387.0</v>
      </c>
      <c r="Q2428" s="11">
        <v>1.7</v>
      </c>
      <c r="R2428" s="8" t="s">
        <v>996</v>
      </c>
      <c r="S2428" s="12">
        <f t="shared" si="1"/>
        <v>0.04622641509</v>
      </c>
      <c r="T2428" s="12">
        <f t="shared" si="8"/>
        <v>89.67321988</v>
      </c>
      <c r="U2428" s="145"/>
    </row>
    <row r="2429">
      <c r="A2429" s="29"/>
      <c r="B2429" s="15" t="s">
        <v>18</v>
      </c>
      <c r="C2429" s="15" t="s">
        <v>19</v>
      </c>
      <c r="D2429" s="15">
        <v>70.0</v>
      </c>
      <c r="E2429" s="15" t="s">
        <v>4895</v>
      </c>
      <c r="F2429" s="15" t="s">
        <v>1479</v>
      </c>
      <c r="G2429" s="15" t="s">
        <v>2556</v>
      </c>
      <c r="H2429" s="15">
        <v>0.0</v>
      </c>
      <c r="I2429" s="15" t="s">
        <v>42</v>
      </c>
      <c r="J2429" s="15" t="s">
        <v>22</v>
      </c>
      <c r="K2429" s="15" t="s">
        <v>892</v>
      </c>
      <c r="L2429" s="15" t="s">
        <v>24</v>
      </c>
      <c r="M2429" s="16">
        <v>0.0</v>
      </c>
      <c r="N2429" s="99">
        <v>0.4</v>
      </c>
      <c r="O2429" s="43">
        <v>0.32</v>
      </c>
      <c r="P2429" s="17">
        <v>45387.0</v>
      </c>
      <c r="Q2429" s="18">
        <v>2.025</v>
      </c>
      <c r="R2429" s="15" t="s">
        <v>70</v>
      </c>
      <c r="S2429" s="19">
        <f t="shared" si="1"/>
        <v>0</v>
      </c>
      <c r="T2429" s="19">
        <f t="shared" si="8"/>
        <v>89.67321988</v>
      </c>
      <c r="U2429" s="144"/>
    </row>
    <row r="2430">
      <c r="A2430" s="107"/>
      <c r="B2430" s="8" t="s">
        <v>26</v>
      </c>
      <c r="C2430" s="8" t="s">
        <v>19</v>
      </c>
      <c r="D2430" s="8">
        <v>70.0</v>
      </c>
      <c r="E2430" s="8" t="s">
        <v>4896</v>
      </c>
      <c r="F2430" s="8"/>
      <c r="G2430" s="8"/>
      <c r="H2430" s="8">
        <v>0.0</v>
      </c>
      <c r="I2430" s="8" t="s">
        <v>316</v>
      </c>
      <c r="J2430" s="8" t="s">
        <v>22</v>
      </c>
      <c r="K2430" s="8" t="s">
        <v>440</v>
      </c>
      <c r="L2430" s="8" t="s">
        <v>24</v>
      </c>
      <c r="M2430" s="9">
        <v>0.75</v>
      </c>
      <c r="N2430" s="9">
        <v>0.1</v>
      </c>
      <c r="O2430" s="9">
        <v>0.1</v>
      </c>
      <c r="P2430" s="10">
        <v>45387.0</v>
      </c>
      <c r="Q2430" s="11">
        <v>1.95</v>
      </c>
      <c r="R2430" s="8" t="s">
        <v>25</v>
      </c>
      <c r="S2430" s="12">
        <f t="shared" si="1"/>
        <v>-0.1</v>
      </c>
      <c r="T2430" s="12">
        <f t="shared" si="8"/>
        <v>89.57321988</v>
      </c>
      <c r="U2430" s="145"/>
    </row>
    <row r="2431">
      <c r="A2431" s="29"/>
      <c r="B2431" s="15" t="s">
        <v>4225</v>
      </c>
      <c r="C2431" s="15" t="s">
        <v>19</v>
      </c>
      <c r="D2431" s="15">
        <v>23.0</v>
      </c>
      <c r="E2431" s="160" t="s">
        <v>4897</v>
      </c>
      <c r="F2431" s="15" t="s">
        <v>1473</v>
      </c>
      <c r="G2431" s="15" t="s">
        <v>2660</v>
      </c>
      <c r="H2431" s="15">
        <v>0.0</v>
      </c>
      <c r="I2431" s="15" t="s">
        <v>66</v>
      </c>
      <c r="J2431" s="15" t="s">
        <v>22</v>
      </c>
      <c r="K2431" s="15" t="s">
        <v>1150</v>
      </c>
      <c r="L2431" s="15" t="s">
        <v>24</v>
      </c>
      <c r="M2431" s="16">
        <v>0.0</v>
      </c>
      <c r="N2431" s="16">
        <v>1.0</v>
      </c>
      <c r="O2431" s="16">
        <v>1.0</v>
      </c>
      <c r="P2431" s="17">
        <v>45387.0</v>
      </c>
      <c r="Q2431" s="18">
        <v>2.025</v>
      </c>
      <c r="R2431" s="15" t="s">
        <v>33</v>
      </c>
      <c r="S2431" s="19">
        <f t="shared" si="1"/>
        <v>1.025</v>
      </c>
      <c r="T2431" s="19">
        <f t="shared" si="8"/>
        <v>90.59821988</v>
      </c>
      <c r="U2431" s="144"/>
    </row>
    <row r="2432">
      <c r="A2432" s="107"/>
      <c r="B2432" s="8" t="s">
        <v>18</v>
      </c>
      <c r="C2432" s="8" t="s">
        <v>19</v>
      </c>
      <c r="D2432" s="8">
        <v>60.0</v>
      </c>
      <c r="E2432" s="8" t="s">
        <v>4898</v>
      </c>
      <c r="F2432" s="8" t="s">
        <v>1473</v>
      </c>
      <c r="G2432" s="8" t="s">
        <v>2660</v>
      </c>
      <c r="H2432" s="8">
        <v>0.0</v>
      </c>
      <c r="I2432" s="8" t="s">
        <v>60</v>
      </c>
      <c r="J2432" s="8" t="s">
        <v>22</v>
      </c>
      <c r="K2432" s="8" t="s">
        <v>892</v>
      </c>
      <c r="L2432" s="8" t="s">
        <v>24</v>
      </c>
      <c r="M2432" s="9">
        <v>0.0</v>
      </c>
      <c r="N2432" s="9">
        <v>0.4</v>
      </c>
      <c r="O2432" s="9">
        <v>0.4</v>
      </c>
      <c r="P2432" s="10">
        <v>45387.0</v>
      </c>
      <c r="Q2432" s="11">
        <v>1.825</v>
      </c>
      <c r="R2432" s="8" t="s">
        <v>33</v>
      </c>
      <c r="S2432" s="12">
        <f t="shared" si="1"/>
        <v>0.33</v>
      </c>
      <c r="T2432" s="12">
        <f t="shared" si="8"/>
        <v>90.92821988</v>
      </c>
      <c r="U2432" s="145"/>
    </row>
    <row r="2433">
      <c r="A2433" s="29"/>
      <c r="B2433" s="15" t="s">
        <v>26</v>
      </c>
      <c r="C2433" s="15" t="s">
        <v>19</v>
      </c>
      <c r="D2433" s="15">
        <v>78.0</v>
      </c>
      <c r="E2433" s="15" t="s">
        <v>4899</v>
      </c>
      <c r="F2433" s="15" t="s">
        <v>1473</v>
      </c>
      <c r="G2433" s="15" t="s">
        <v>2660</v>
      </c>
      <c r="H2433" s="15">
        <v>0.0</v>
      </c>
      <c r="I2433" s="15" t="s">
        <v>229</v>
      </c>
      <c r="J2433" s="15" t="s">
        <v>22</v>
      </c>
      <c r="K2433" s="15" t="s">
        <v>892</v>
      </c>
      <c r="L2433" s="15" t="s">
        <v>24</v>
      </c>
      <c r="M2433" s="16">
        <v>0.0</v>
      </c>
      <c r="N2433" s="16">
        <v>0.2</v>
      </c>
      <c r="O2433" s="16">
        <v>0.2</v>
      </c>
      <c r="P2433" s="17">
        <v>45388.0</v>
      </c>
      <c r="Q2433" s="18">
        <v>1.925</v>
      </c>
      <c r="R2433" s="15" t="s">
        <v>70</v>
      </c>
      <c r="S2433" s="19">
        <f t="shared" si="1"/>
        <v>0</v>
      </c>
      <c r="T2433" s="19">
        <f t="shared" si="8"/>
        <v>90.92821988</v>
      </c>
      <c r="U2433" s="144"/>
    </row>
    <row r="2434">
      <c r="A2434" s="107"/>
      <c r="B2434" s="8" t="s">
        <v>18</v>
      </c>
      <c r="C2434" s="8" t="s">
        <v>19</v>
      </c>
      <c r="D2434" s="8">
        <v>68.0</v>
      </c>
      <c r="E2434" s="8" t="s">
        <v>4900</v>
      </c>
      <c r="F2434" s="8" t="s">
        <v>1473</v>
      </c>
      <c r="G2434" s="8" t="s">
        <v>2556</v>
      </c>
      <c r="H2434" s="8">
        <v>-3.0</v>
      </c>
      <c r="I2434" s="8" t="s">
        <v>88</v>
      </c>
      <c r="J2434" s="8" t="s">
        <v>22</v>
      </c>
      <c r="K2434" s="8" t="s">
        <v>225</v>
      </c>
      <c r="L2434" s="8" t="s">
        <v>24</v>
      </c>
      <c r="M2434" s="9">
        <v>0.5</v>
      </c>
      <c r="N2434" s="9">
        <v>0.25</v>
      </c>
      <c r="O2434" s="9">
        <v>0.15</v>
      </c>
      <c r="P2434" s="10">
        <v>45388.0</v>
      </c>
      <c r="Q2434" s="11">
        <v>1.7</v>
      </c>
      <c r="R2434" s="8" t="s">
        <v>33</v>
      </c>
      <c r="S2434" s="12">
        <f t="shared" si="1"/>
        <v>0.105</v>
      </c>
      <c r="T2434" s="12">
        <f t="shared" si="8"/>
        <v>91.03321988</v>
      </c>
      <c r="U2434" s="145"/>
    </row>
    <row r="2435">
      <c r="A2435" s="29"/>
      <c r="B2435" s="15" t="s">
        <v>137</v>
      </c>
      <c r="C2435" s="15" t="s">
        <v>19</v>
      </c>
      <c r="D2435" s="15">
        <v>25.0</v>
      </c>
      <c r="E2435" s="15" t="s">
        <v>4901</v>
      </c>
      <c r="F2435" s="15" t="s">
        <v>1473</v>
      </c>
      <c r="G2435" s="15" t="s">
        <v>2660</v>
      </c>
      <c r="H2435" s="15">
        <v>0.0</v>
      </c>
      <c r="I2435" s="15" t="s">
        <v>432</v>
      </c>
      <c r="J2435" s="15" t="s">
        <v>22</v>
      </c>
      <c r="K2435" s="15" t="s">
        <v>1150</v>
      </c>
      <c r="L2435" s="15" t="s">
        <v>24</v>
      </c>
      <c r="M2435" s="16">
        <v>0.0</v>
      </c>
      <c r="N2435" s="16">
        <v>0.8</v>
      </c>
      <c r="O2435" s="16">
        <v>0.8</v>
      </c>
      <c r="P2435" s="17">
        <v>45388.0</v>
      </c>
      <c r="Q2435" s="18">
        <v>1.9</v>
      </c>
      <c r="R2435" s="15" t="s">
        <v>70</v>
      </c>
      <c r="S2435" s="19">
        <f t="shared" si="1"/>
        <v>0</v>
      </c>
      <c r="T2435" s="19">
        <f t="shared" si="8"/>
        <v>91.03321988</v>
      </c>
      <c r="U2435" s="144"/>
    </row>
    <row r="2436">
      <c r="A2436" s="107"/>
      <c r="B2436" s="8" t="s">
        <v>4225</v>
      </c>
      <c r="C2436" s="8" t="s">
        <v>19</v>
      </c>
      <c r="D2436" s="8">
        <v>38.0</v>
      </c>
      <c r="E2436" s="8" t="s">
        <v>4902</v>
      </c>
      <c r="F2436" s="8" t="s">
        <v>1479</v>
      </c>
      <c r="G2436" s="8" t="s">
        <v>2556</v>
      </c>
      <c r="H2436" s="8">
        <v>-1.0</v>
      </c>
      <c r="I2436" s="8" t="s">
        <v>1368</v>
      </c>
      <c r="J2436" s="8" t="s">
        <v>22</v>
      </c>
      <c r="K2436" s="8" t="s">
        <v>225</v>
      </c>
      <c r="L2436" s="8" t="s">
        <v>24</v>
      </c>
      <c r="M2436" s="9">
        <v>1.25</v>
      </c>
      <c r="N2436" s="9">
        <v>0.5</v>
      </c>
      <c r="O2436" s="9">
        <v>0.5</v>
      </c>
      <c r="P2436" s="10">
        <v>45388.0</v>
      </c>
      <c r="Q2436" s="11">
        <v>1.85</v>
      </c>
      <c r="R2436" s="8" t="s">
        <v>33</v>
      </c>
      <c r="S2436" s="12">
        <f t="shared" si="1"/>
        <v>0.425</v>
      </c>
      <c r="T2436" s="12">
        <f t="shared" si="8"/>
        <v>91.45821988</v>
      </c>
      <c r="U2436" s="145"/>
    </row>
    <row r="2437">
      <c r="A2437" s="29"/>
      <c r="B2437" s="15" t="s">
        <v>4225</v>
      </c>
      <c r="C2437" s="15" t="s">
        <v>19</v>
      </c>
      <c r="D2437" s="15">
        <v>56.0</v>
      </c>
      <c r="E2437" s="15" t="s">
        <v>4903</v>
      </c>
      <c r="F2437" s="15" t="s">
        <v>1479</v>
      </c>
      <c r="G2437" s="15" t="s">
        <v>2660</v>
      </c>
      <c r="H2437" s="15">
        <v>0.0</v>
      </c>
      <c r="I2437" s="15" t="s">
        <v>44</v>
      </c>
      <c r="J2437" s="15" t="s">
        <v>22</v>
      </c>
      <c r="K2437" s="15" t="s">
        <v>892</v>
      </c>
      <c r="L2437" s="15" t="s">
        <v>24</v>
      </c>
      <c r="M2437" s="16">
        <v>0.0</v>
      </c>
      <c r="N2437" s="16">
        <v>0.8</v>
      </c>
      <c r="O2437" s="16">
        <v>0.8</v>
      </c>
      <c r="P2437" s="17">
        <v>45388.0</v>
      </c>
      <c r="Q2437" s="18">
        <v>1.725</v>
      </c>
      <c r="R2437" s="15" t="s">
        <v>25</v>
      </c>
      <c r="S2437" s="19">
        <f t="shared" si="1"/>
        <v>-0.8</v>
      </c>
      <c r="T2437" s="19">
        <f t="shared" si="8"/>
        <v>90.65821988</v>
      </c>
      <c r="U2437" s="144"/>
    </row>
    <row r="2438">
      <c r="A2438" s="107"/>
      <c r="B2438" s="8" t="s">
        <v>26</v>
      </c>
      <c r="C2438" s="8" t="s">
        <v>19</v>
      </c>
      <c r="D2438" s="8">
        <v>30.0</v>
      </c>
      <c r="E2438" s="8" t="s">
        <v>4904</v>
      </c>
      <c r="F2438" s="8" t="s">
        <v>1473</v>
      </c>
      <c r="G2438" s="8" t="s">
        <v>2556</v>
      </c>
      <c r="H2438" s="8">
        <v>0.0</v>
      </c>
      <c r="I2438" s="8" t="s">
        <v>1031</v>
      </c>
      <c r="J2438" s="8" t="s">
        <v>22</v>
      </c>
      <c r="K2438" s="8" t="s">
        <v>225</v>
      </c>
      <c r="L2438" s="8" t="s">
        <v>24</v>
      </c>
      <c r="M2438" s="9">
        <v>0.5</v>
      </c>
      <c r="N2438" s="9">
        <v>0.25</v>
      </c>
      <c r="O2438" s="9">
        <v>0.25</v>
      </c>
      <c r="P2438" s="10">
        <v>45388.0</v>
      </c>
      <c r="Q2438" s="11">
        <v>1.775</v>
      </c>
      <c r="R2438" s="8" t="s">
        <v>25</v>
      </c>
      <c r="S2438" s="12">
        <f t="shared" si="1"/>
        <v>-0.25</v>
      </c>
      <c r="T2438" s="12">
        <f t="shared" si="8"/>
        <v>90.40821988</v>
      </c>
      <c r="U2438" s="145"/>
    </row>
    <row r="2439">
      <c r="A2439" s="29"/>
      <c r="B2439" s="15" t="s">
        <v>137</v>
      </c>
      <c r="C2439" s="15" t="s">
        <v>19</v>
      </c>
      <c r="D2439" s="15">
        <v>70.0</v>
      </c>
      <c r="E2439" s="15" t="s">
        <v>4905</v>
      </c>
      <c r="F2439" s="15" t="s">
        <v>1479</v>
      </c>
      <c r="G2439" s="15" t="s">
        <v>2660</v>
      </c>
      <c r="H2439" s="15">
        <v>-2.0</v>
      </c>
      <c r="I2439" s="15" t="s">
        <v>174</v>
      </c>
      <c r="J2439" s="15" t="s">
        <v>22</v>
      </c>
      <c r="K2439" s="15" t="s">
        <v>892</v>
      </c>
      <c r="L2439" s="15" t="s">
        <v>24</v>
      </c>
      <c r="M2439" s="16">
        <v>0.0</v>
      </c>
      <c r="N2439" s="16">
        <v>1.0</v>
      </c>
      <c r="O2439" s="16">
        <v>1.0</v>
      </c>
      <c r="P2439" s="17">
        <v>45388.0</v>
      </c>
      <c r="Q2439" s="18">
        <v>1.75</v>
      </c>
      <c r="R2439" s="15" t="s">
        <v>70</v>
      </c>
      <c r="S2439" s="19">
        <f t="shared" si="1"/>
        <v>0</v>
      </c>
      <c r="T2439" s="19">
        <f t="shared" si="8"/>
        <v>90.40821988</v>
      </c>
      <c r="U2439" s="144"/>
    </row>
    <row r="2440">
      <c r="A2440" s="107"/>
      <c r="B2440" s="8" t="s">
        <v>137</v>
      </c>
      <c r="C2440" s="8" t="s">
        <v>19</v>
      </c>
      <c r="D2440" s="8">
        <v>21.0</v>
      </c>
      <c r="E2440" s="8" t="s">
        <v>4906</v>
      </c>
      <c r="F2440" s="8" t="s">
        <v>1473</v>
      </c>
      <c r="G2440" s="8" t="s">
        <v>2660</v>
      </c>
      <c r="H2440" s="8">
        <v>0.0</v>
      </c>
      <c r="I2440" s="8" t="s">
        <v>646</v>
      </c>
      <c r="J2440" s="8" t="s">
        <v>22</v>
      </c>
      <c r="K2440" s="8" t="s">
        <v>1150</v>
      </c>
      <c r="L2440" s="8" t="s">
        <v>39</v>
      </c>
      <c r="M2440" s="9">
        <v>0.0</v>
      </c>
      <c r="N2440" s="9">
        <v>0.25</v>
      </c>
      <c r="O2440" s="9">
        <v>0.25</v>
      </c>
      <c r="P2440" s="10">
        <v>45388.0</v>
      </c>
      <c r="Q2440" s="11">
        <v>2.15</v>
      </c>
      <c r="R2440" s="8" t="s">
        <v>70</v>
      </c>
      <c r="S2440" s="12">
        <f t="shared" si="1"/>
        <v>0</v>
      </c>
      <c r="T2440" s="12">
        <f t="shared" si="8"/>
        <v>90.40821988</v>
      </c>
      <c r="U2440" s="145"/>
    </row>
    <row r="2441">
      <c r="A2441" s="29"/>
      <c r="B2441" s="15" t="s">
        <v>26</v>
      </c>
      <c r="C2441" s="15" t="s">
        <v>19</v>
      </c>
      <c r="D2441" s="15">
        <v>40.0</v>
      </c>
      <c r="E2441" s="15" t="s">
        <v>4907</v>
      </c>
      <c r="F2441" s="15" t="s">
        <v>1473</v>
      </c>
      <c r="G2441" s="15" t="s">
        <v>2556</v>
      </c>
      <c r="H2441" s="15">
        <v>0.0</v>
      </c>
      <c r="I2441" s="15" t="s">
        <v>3017</v>
      </c>
      <c r="J2441" s="15" t="s">
        <v>22</v>
      </c>
      <c r="K2441" s="15" t="s">
        <v>225</v>
      </c>
      <c r="L2441" s="15" t="s">
        <v>24</v>
      </c>
      <c r="M2441" s="16">
        <v>0.5</v>
      </c>
      <c r="N2441" s="16">
        <v>0.8</v>
      </c>
      <c r="O2441" s="16">
        <v>0.8</v>
      </c>
      <c r="P2441" s="17">
        <v>45388.0</v>
      </c>
      <c r="Q2441" s="18">
        <v>1.725</v>
      </c>
      <c r="R2441" s="15" t="s">
        <v>25</v>
      </c>
      <c r="S2441" s="19">
        <f t="shared" si="1"/>
        <v>-0.8</v>
      </c>
      <c r="T2441" s="19">
        <f t="shared" si="8"/>
        <v>89.60821988</v>
      </c>
      <c r="U2441" s="144"/>
    </row>
    <row r="2442">
      <c r="A2442" s="107"/>
      <c r="B2442" s="8" t="s">
        <v>26</v>
      </c>
      <c r="C2442" s="8" t="s">
        <v>19</v>
      </c>
      <c r="D2442" s="8">
        <v>80.0</v>
      </c>
      <c r="E2442" s="8" t="s">
        <v>4908</v>
      </c>
      <c r="F2442" s="8" t="s">
        <v>1479</v>
      </c>
      <c r="G2442" s="8" t="s">
        <v>2660</v>
      </c>
      <c r="H2442" s="8">
        <v>-1.0</v>
      </c>
      <c r="I2442" s="8" t="s">
        <v>121</v>
      </c>
      <c r="J2442" s="8" t="s">
        <v>22</v>
      </c>
      <c r="K2442" s="8" t="s">
        <v>892</v>
      </c>
      <c r="L2442" s="8" t="s">
        <v>24</v>
      </c>
      <c r="M2442" s="9">
        <v>0.0</v>
      </c>
      <c r="N2442" s="9">
        <v>0.5</v>
      </c>
      <c r="O2442" s="9">
        <v>0.5</v>
      </c>
      <c r="P2442" s="10">
        <v>45388.0</v>
      </c>
      <c r="Q2442" s="11">
        <v>1.6</v>
      </c>
      <c r="R2442" s="8" t="s">
        <v>70</v>
      </c>
      <c r="S2442" s="12">
        <f t="shared" si="1"/>
        <v>0</v>
      </c>
      <c r="T2442" s="12">
        <f t="shared" si="8"/>
        <v>89.60821988</v>
      </c>
      <c r="U2442" s="145"/>
    </row>
    <row r="2443">
      <c r="A2443" s="29"/>
      <c r="B2443" s="15" t="s">
        <v>4225</v>
      </c>
      <c r="C2443" s="15" t="s">
        <v>19</v>
      </c>
      <c r="D2443" s="15">
        <v>81.0</v>
      </c>
      <c r="E2443" s="15" t="s">
        <v>4909</v>
      </c>
      <c r="F2443" s="15" t="s">
        <v>1479</v>
      </c>
      <c r="G2443" s="15" t="s">
        <v>2660</v>
      </c>
      <c r="H2443" s="15">
        <v>-1.0</v>
      </c>
      <c r="I2443" s="15" t="s">
        <v>583</v>
      </c>
      <c r="J2443" s="15" t="s">
        <v>22</v>
      </c>
      <c r="K2443" s="15" t="s">
        <v>892</v>
      </c>
      <c r="L2443" s="15" t="s">
        <v>24</v>
      </c>
      <c r="M2443" s="16">
        <v>0.0</v>
      </c>
      <c r="N2443" s="16">
        <v>0.5</v>
      </c>
      <c r="O2443" s="16">
        <v>0.5</v>
      </c>
      <c r="P2443" s="17">
        <v>45388.0</v>
      </c>
      <c r="Q2443" s="18">
        <v>1.825</v>
      </c>
      <c r="R2443" s="15" t="s">
        <v>25</v>
      </c>
      <c r="S2443" s="19">
        <f t="shared" si="1"/>
        <v>-0.5</v>
      </c>
      <c r="T2443" s="19">
        <f t="shared" si="8"/>
        <v>89.10821988</v>
      </c>
      <c r="U2443" s="144"/>
    </row>
    <row r="2444">
      <c r="A2444" s="107"/>
      <c r="B2444" s="8" t="s">
        <v>131</v>
      </c>
      <c r="C2444" s="8" t="s">
        <v>19</v>
      </c>
      <c r="D2444" s="8">
        <v>39.0</v>
      </c>
      <c r="E2444" s="8" t="s">
        <v>4910</v>
      </c>
      <c r="F2444" s="8" t="s">
        <v>1473</v>
      </c>
      <c r="G2444" s="8" t="s">
        <v>2556</v>
      </c>
      <c r="H2444" s="8">
        <v>0.0</v>
      </c>
      <c r="I2444" s="8" t="s">
        <v>50</v>
      </c>
      <c r="J2444" s="8" t="s">
        <v>22</v>
      </c>
      <c r="K2444" s="8" t="s">
        <v>225</v>
      </c>
      <c r="L2444" s="8" t="s">
        <v>24</v>
      </c>
      <c r="M2444" s="9">
        <v>0.25</v>
      </c>
      <c r="N2444" s="9">
        <v>1.0</v>
      </c>
      <c r="O2444" s="9">
        <v>1.0</v>
      </c>
      <c r="P2444" s="10">
        <v>45388.0</v>
      </c>
      <c r="Q2444" s="11">
        <v>1.775</v>
      </c>
      <c r="R2444" s="8" t="s">
        <v>996</v>
      </c>
      <c r="S2444" s="12">
        <f t="shared" si="1"/>
        <v>0.3875</v>
      </c>
      <c r="T2444" s="12">
        <f t="shared" si="8"/>
        <v>89.49571988</v>
      </c>
      <c r="U2444" s="145"/>
    </row>
    <row r="2445">
      <c r="A2445" s="29"/>
      <c r="B2445" s="15" t="s">
        <v>131</v>
      </c>
      <c r="C2445" s="15" t="s">
        <v>19</v>
      </c>
      <c r="D2445" s="15">
        <v>75.0</v>
      </c>
      <c r="E2445" s="15" t="s">
        <v>4911</v>
      </c>
      <c r="F2445" s="15" t="s">
        <v>1473</v>
      </c>
      <c r="G2445" s="15" t="s">
        <v>2556</v>
      </c>
      <c r="H2445" s="15">
        <v>-2.0</v>
      </c>
      <c r="I2445" s="15" t="s">
        <v>50</v>
      </c>
      <c r="J2445" s="15" t="s">
        <v>22</v>
      </c>
      <c r="K2445" s="15" t="s">
        <v>225</v>
      </c>
      <c r="L2445" s="15" t="s">
        <v>24</v>
      </c>
      <c r="M2445" s="16">
        <v>0.25</v>
      </c>
      <c r="N2445" s="16">
        <v>0.5</v>
      </c>
      <c r="O2445" s="16">
        <v>0.5</v>
      </c>
      <c r="P2445" s="17">
        <v>45388.0</v>
      </c>
      <c r="Q2445" s="18">
        <v>1.7</v>
      </c>
      <c r="R2445" s="15" t="s">
        <v>996</v>
      </c>
      <c r="S2445" s="19">
        <f t="shared" si="1"/>
        <v>0.175</v>
      </c>
      <c r="T2445" s="19">
        <f t="shared" si="8"/>
        <v>89.67071988</v>
      </c>
      <c r="U2445" s="144"/>
    </row>
    <row r="2446">
      <c r="A2446" s="107"/>
      <c r="B2446" s="8" t="s">
        <v>129</v>
      </c>
      <c r="C2446" s="8" t="s">
        <v>19</v>
      </c>
      <c r="D2446" s="8">
        <v>79.0</v>
      </c>
      <c r="E2446" s="8" t="s">
        <v>4912</v>
      </c>
      <c r="F2446" s="8" t="s">
        <v>1479</v>
      </c>
      <c r="G2446" s="8" t="s">
        <v>2660</v>
      </c>
      <c r="H2446" s="8">
        <v>-2.0</v>
      </c>
      <c r="I2446" s="8" t="s">
        <v>93</v>
      </c>
      <c r="J2446" s="8" t="s">
        <v>22</v>
      </c>
      <c r="K2446" s="8" t="s">
        <v>892</v>
      </c>
      <c r="L2446" s="8" t="s">
        <v>1522</v>
      </c>
      <c r="M2446" s="9">
        <v>0.0</v>
      </c>
      <c r="N2446" s="9">
        <v>0.5</v>
      </c>
      <c r="O2446" s="9">
        <v>0.5</v>
      </c>
      <c r="P2446" s="10">
        <v>45388.0</v>
      </c>
      <c r="Q2446" s="11">
        <v>2.15</v>
      </c>
      <c r="R2446" s="8" t="s">
        <v>70</v>
      </c>
      <c r="S2446" s="12">
        <f t="shared" si="1"/>
        <v>0</v>
      </c>
      <c r="T2446" s="12">
        <f t="shared" si="8"/>
        <v>89.67071988</v>
      </c>
      <c r="U2446" s="145"/>
    </row>
    <row r="2447">
      <c r="A2447" s="29"/>
      <c r="B2447" s="15" t="s">
        <v>18</v>
      </c>
      <c r="C2447" s="15" t="s">
        <v>19</v>
      </c>
      <c r="D2447" s="15">
        <v>74.0</v>
      </c>
      <c r="E2447" s="15" t="s">
        <v>4913</v>
      </c>
      <c r="F2447" s="15" t="s">
        <v>1473</v>
      </c>
      <c r="G2447" s="15" t="s">
        <v>2660</v>
      </c>
      <c r="H2447" s="15">
        <v>-2.0</v>
      </c>
      <c r="I2447" s="15" t="s">
        <v>93</v>
      </c>
      <c r="J2447" s="15" t="s">
        <v>22</v>
      </c>
      <c r="K2447" s="15" t="s">
        <v>892</v>
      </c>
      <c r="L2447" s="15" t="s">
        <v>24</v>
      </c>
      <c r="M2447" s="16">
        <v>0.0</v>
      </c>
      <c r="N2447" s="16">
        <v>0.4</v>
      </c>
      <c r="O2447" s="16">
        <v>0.4</v>
      </c>
      <c r="P2447" s="17">
        <v>45389.0</v>
      </c>
      <c r="Q2447" s="18">
        <v>1.9</v>
      </c>
      <c r="R2447" s="15" t="s">
        <v>25</v>
      </c>
      <c r="S2447" s="19">
        <f t="shared" si="1"/>
        <v>-0.4</v>
      </c>
      <c r="T2447" s="19">
        <f t="shared" si="8"/>
        <v>89.27071988</v>
      </c>
      <c r="U2447" s="144"/>
    </row>
    <row r="2448">
      <c r="A2448" s="107"/>
      <c r="B2448" s="8" t="s">
        <v>129</v>
      </c>
      <c r="C2448" s="8" t="s">
        <v>19</v>
      </c>
      <c r="D2448" s="8">
        <v>55.0</v>
      </c>
      <c r="E2448" s="8" t="s">
        <v>4914</v>
      </c>
      <c r="F2448" s="8" t="s">
        <v>1473</v>
      </c>
      <c r="G2448" s="8" t="s">
        <v>2556</v>
      </c>
      <c r="H2448" s="8">
        <v>-1.0</v>
      </c>
      <c r="I2448" s="8" t="s">
        <v>93</v>
      </c>
      <c r="J2448" s="8" t="s">
        <v>22</v>
      </c>
      <c r="K2448" s="8" t="s">
        <v>225</v>
      </c>
      <c r="L2448" s="8" t="s">
        <v>24</v>
      </c>
      <c r="M2448" s="9">
        <v>0.25</v>
      </c>
      <c r="N2448" s="9">
        <v>1.0</v>
      </c>
      <c r="O2448" s="9">
        <v>0.774</v>
      </c>
      <c r="P2448" s="10">
        <v>45389.0</v>
      </c>
      <c r="Q2448" s="11">
        <v>1.775</v>
      </c>
      <c r="R2448" s="8" t="s">
        <v>996</v>
      </c>
      <c r="S2448" s="12">
        <f t="shared" si="1"/>
        <v>0.299925</v>
      </c>
      <c r="T2448" s="12">
        <f t="shared" si="8"/>
        <v>89.57064488</v>
      </c>
      <c r="U2448" s="145"/>
    </row>
    <row r="2449">
      <c r="A2449" s="29"/>
      <c r="B2449" s="15" t="s">
        <v>26</v>
      </c>
      <c r="C2449" s="15" t="s">
        <v>19</v>
      </c>
      <c r="D2449" s="15">
        <v>74.0</v>
      </c>
      <c r="E2449" s="15" t="s">
        <v>4915</v>
      </c>
      <c r="F2449" s="15" t="s">
        <v>1473</v>
      </c>
      <c r="G2449" s="15" t="s">
        <v>2660</v>
      </c>
      <c r="H2449" s="15">
        <v>0.0</v>
      </c>
      <c r="I2449" s="15" t="s">
        <v>93</v>
      </c>
      <c r="J2449" s="15" t="s">
        <v>22</v>
      </c>
      <c r="K2449" s="15" t="s">
        <v>892</v>
      </c>
      <c r="L2449" s="15" t="s">
        <v>24</v>
      </c>
      <c r="M2449" s="16">
        <v>0.0</v>
      </c>
      <c r="N2449" s="16">
        <v>0.5</v>
      </c>
      <c r="O2449" s="16">
        <f>40/43*0.5</f>
        <v>0.4651162791</v>
      </c>
      <c r="P2449" s="17">
        <v>45389.0</v>
      </c>
      <c r="Q2449" s="18">
        <v>1.825</v>
      </c>
      <c r="R2449" s="15" t="s">
        <v>33</v>
      </c>
      <c r="S2449" s="19">
        <f t="shared" si="1"/>
        <v>0.3837209302</v>
      </c>
      <c r="T2449" s="19">
        <f t="shared" si="8"/>
        <v>89.95436581</v>
      </c>
      <c r="U2449" s="144"/>
    </row>
    <row r="2450">
      <c r="A2450" s="107"/>
      <c r="B2450" s="8" t="s">
        <v>18</v>
      </c>
      <c r="C2450" s="8" t="s">
        <v>19</v>
      </c>
      <c r="D2450" s="8">
        <v>71.0</v>
      </c>
      <c r="E2450" s="8" t="s">
        <v>4916</v>
      </c>
      <c r="F2450" s="8" t="s">
        <v>1473</v>
      </c>
      <c r="G2450" s="8" t="s">
        <v>2660</v>
      </c>
      <c r="H2450" s="8">
        <v>0.0</v>
      </c>
      <c r="I2450" s="8" t="s">
        <v>583</v>
      </c>
      <c r="J2450" s="8" t="s">
        <v>22</v>
      </c>
      <c r="K2450" s="8" t="s">
        <v>941</v>
      </c>
      <c r="L2450" s="8" t="s">
        <v>24</v>
      </c>
      <c r="M2450" s="9">
        <v>0.0</v>
      </c>
      <c r="N2450" s="9">
        <v>0.5</v>
      </c>
      <c r="O2450" s="9">
        <v>0.2265</v>
      </c>
      <c r="P2450" s="10">
        <v>45389.0</v>
      </c>
      <c r="Q2450" s="11">
        <v>2.0</v>
      </c>
      <c r="R2450" s="8" t="s">
        <v>33</v>
      </c>
      <c r="S2450" s="12">
        <f t="shared" si="1"/>
        <v>0.2265</v>
      </c>
      <c r="T2450" s="12">
        <f t="shared" si="8"/>
        <v>90.18086581</v>
      </c>
      <c r="U2450" s="145"/>
    </row>
    <row r="2451">
      <c r="A2451" s="29"/>
      <c r="B2451" s="15" t="s">
        <v>129</v>
      </c>
      <c r="C2451" s="15" t="s">
        <v>19</v>
      </c>
      <c r="D2451" s="15">
        <v>16.0</v>
      </c>
      <c r="E2451" s="15" t="s">
        <v>4917</v>
      </c>
      <c r="F2451" s="15" t="s">
        <v>1479</v>
      </c>
      <c r="G2451" s="15" t="s">
        <v>2660</v>
      </c>
      <c r="H2451" s="15">
        <v>0.0</v>
      </c>
      <c r="I2451" s="15" t="s">
        <v>42</v>
      </c>
      <c r="J2451" s="15" t="s">
        <v>22</v>
      </c>
      <c r="K2451" s="15" t="s">
        <v>1150</v>
      </c>
      <c r="L2451" s="15" t="s">
        <v>24</v>
      </c>
      <c r="M2451" s="16">
        <v>0.0</v>
      </c>
      <c r="N2451" s="16">
        <v>0.4</v>
      </c>
      <c r="O2451" s="16">
        <v>0.1687</v>
      </c>
      <c r="P2451" s="17">
        <v>45389.0</v>
      </c>
      <c r="Q2451" s="18">
        <v>1.675</v>
      </c>
      <c r="R2451" s="15" t="s">
        <v>70</v>
      </c>
      <c r="S2451" s="19">
        <f t="shared" si="1"/>
        <v>0</v>
      </c>
      <c r="T2451" s="19">
        <f t="shared" si="8"/>
        <v>90.18086581</v>
      </c>
      <c r="U2451" s="144"/>
    </row>
    <row r="2452">
      <c r="A2452" s="107"/>
      <c r="B2452" s="8" t="s">
        <v>26</v>
      </c>
      <c r="C2452" s="8" t="s">
        <v>19</v>
      </c>
      <c r="D2452" s="8">
        <v>77.0</v>
      </c>
      <c r="E2452" s="8" t="s">
        <v>4918</v>
      </c>
      <c r="F2452" s="8" t="s">
        <v>1473</v>
      </c>
      <c r="G2452" s="8" t="s">
        <v>2660</v>
      </c>
      <c r="H2452" s="8">
        <v>-3.0</v>
      </c>
      <c r="I2452" s="8" t="s">
        <v>44</v>
      </c>
      <c r="J2452" s="8" t="s">
        <v>22</v>
      </c>
      <c r="K2452" s="8" t="s">
        <v>892</v>
      </c>
      <c r="L2452" s="8" t="s">
        <v>24</v>
      </c>
      <c r="M2452" s="9">
        <v>0.0</v>
      </c>
      <c r="N2452" s="9">
        <v>1.0</v>
      </c>
      <c r="O2452" s="9">
        <v>0.875</v>
      </c>
      <c r="P2452" s="10">
        <v>45389.0</v>
      </c>
      <c r="Q2452" s="11">
        <v>1.75</v>
      </c>
      <c r="R2452" s="8" t="s">
        <v>70</v>
      </c>
      <c r="S2452" s="12">
        <f t="shared" si="1"/>
        <v>0</v>
      </c>
      <c r="T2452" s="12">
        <f t="shared" si="8"/>
        <v>90.18086581</v>
      </c>
      <c r="U2452" s="145"/>
    </row>
    <row r="2453">
      <c r="A2453" s="29"/>
      <c r="B2453" s="15" t="s">
        <v>26</v>
      </c>
      <c r="C2453" s="15" t="s">
        <v>19</v>
      </c>
      <c r="D2453" s="15">
        <v>57.0</v>
      </c>
      <c r="E2453" s="15" t="s">
        <v>4919</v>
      </c>
      <c r="F2453" s="15" t="s">
        <v>1479</v>
      </c>
      <c r="G2453" s="15" t="s">
        <v>2660</v>
      </c>
      <c r="H2453" s="15">
        <v>-1.0</v>
      </c>
      <c r="I2453" s="15" t="s">
        <v>121</v>
      </c>
      <c r="J2453" s="15" t="s">
        <v>22</v>
      </c>
      <c r="K2453" s="15" t="s">
        <v>892</v>
      </c>
      <c r="L2453" s="15" t="s">
        <v>1522</v>
      </c>
      <c r="M2453" s="16">
        <v>0.0</v>
      </c>
      <c r="N2453" s="16">
        <v>1.0</v>
      </c>
      <c r="O2453" s="16">
        <v>1.0</v>
      </c>
      <c r="P2453" s="17">
        <v>45389.0</v>
      </c>
      <c r="Q2453" s="18">
        <v>1.725</v>
      </c>
      <c r="R2453" s="15" t="s">
        <v>70</v>
      </c>
      <c r="S2453" s="19">
        <f t="shared" si="1"/>
        <v>0</v>
      </c>
      <c r="T2453" s="19">
        <f t="shared" si="8"/>
        <v>90.18086581</v>
      </c>
      <c r="U2453" s="144"/>
    </row>
    <row r="2454">
      <c r="A2454" s="107"/>
      <c r="B2454" s="8" t="s">
        <v>18</v>
      </c>
      <c r="C2454" s="8" t="s">
        <v>40</v>
      </c>
      <c r="D2454" s="8">
        <v>32.0</v>
      </c>
      <c r="E2454" s="8" t="s">
        <v>4920</v>
      </c>
      <c r="F2454" s="8" t="s">
        <v>1479</v>
      </c>
      <c r="G2454" s="8" t="s">
        <v>2556</v>
      </c>
      <c r="H2454" s="8">
        <v>0.0</v>
      </c>
      <c r="I2454" s="8" t="s">
        <v>42</v>
      </c>
      <c r="J2454" s="8" t="s">
        <v>22</v>
      </c>
      <c r="K2454" s="8" t="s">
        <v>225</v>
      </c>
      <c r="L2454" s="8" t="s">
        <v>24</v>
      </c>
      <c r="M2454" s="9">
        <v>0.5</v>
      </c>
      <c r="N2454" s="9">
        <v>1.0</v>
      </c>
      <c r="O2454" s="9">
        <v>1.0</v>
      </c>
      <c r="P2454" s="10">
        <v>45389.0</v>
      </c>
      <c r="Q2454" s="11">
        <v>1.9</v>
      </c>
      <c r="R2454" s="8" t="s">
        <v>33</v>
      </c>
      <c r="S2454" s="12">
        <f t="shared" si="1"/>
        <v>0.9</v>
      </c>
      <c r="T2454" s="12">
        <f t="shared" si="8"/>
        <v>91.08086581</v>
      </c>
      <c r="U2454" s="145"/>
    </row>
    <row r="2455">
      <c r="A2455" s="29"/>
      <c r="B2455" s="15" t="s">
        <v>26</v>
      </c>
      <c r="C2455" s="15" t="s">
        <v>19</v>
      </c>
      <c r="D2455" s="15">
        <v>30.0</v>
      </c>
      <c r="E2455" s="15" t="s">
        <v>4921</v>
      </c>
      <c r="F2455" s="15" t="s">
        <v>1473</v>
      </c>
      <c r="G2455" s="15" t="s">
        <v>2660</v>
      </c>
      <c r="H2455" s="15">
        <v>0.0</v>
      </c>
      <c r="I2455" s="15" t="s">
        <v>624</v>
      </c>
      <c r="J2455" s="15" t="s">
        <v>22</v>
      </c>
      <c r="K2455" s="15" t="s">
        <v>1150</v>
      </c>
      <c r="L2455" s="15" t="s">
        <v>24</v>
      </c>
      <c r="M2455" s="16">
        <v>0.0</v>
      </c>
      <c r="N2455" s="16">
        <v>0.75</v>
      </c>
      <c r="O2455" s="16">
        <v>0.75</v>
      </c>
      <c r="P2455" s="17">
        <v>45389.0</v>
      </c>
      <c r="Q2455" s="18">
        <v>1.775</v>
      </c>
      <c r="R2455" s="15" t="s">
        <v>70</v>
      </c>
      <c r="S2455" s="19">
        <f t="shared" si="1"/>
        <v>0</v>
      </c>
      <c r="T2455" s="19">
        <f t="shared" si="8"/>
        <v>91.08086581</v>
      </c>
      <c r="U2455" s="144"/>
    </row>
    <row r="2456">
      <c r="A2456" s="107"/>
      <c r="B2456" s="8" t="s">
        <v>18</v>
      </c>
      <c r="C2456" s="8" t="s">
        <v>19</v>
      </c>
      <c r="D2456" s="8">
        <v>51.0</v>
      </c>
      <c r="E2456" s="8" t="s">
        <v>4922</v>
      </c>
      <c r="F2456" s="8" t="s">
        <v>1473</v>
      </c>
      <c r="G2456" s="8" t="s">
        <v>2660</v>
      </c>
      <c r="H2456" s="8">
        <v>0.0</v>
      </c>
      <c r="I2456" s="8" t="s">
        <v>42</v>
      </c>
      <c r="J2456" s="8" t="s">
        <v>22</v>
      </c>
      <c r="K2456" s="8" t="s">
        <v>892</v>
      </c>
      <c r="L2456" s="8" t="s">
        <v>24</v>
      </c>
      <c r="M2456" s="9">
        <v>0.0</v>
      </c>
      <c r="N2456" s="9">
        <v>0.25</v>
      </c>
      <c r="O2456" s="9">
        <v>0.25</v>
      </c>
      <c r="P2456" s="10">
        <v>45389.0</v>
      </c>
      <c r="Q2456" s="11">
        <v>1.9</v>
      </c>
      <c r="R2456" s="8" t="s">
        <v>70</v>
      </c>
      <c r="S2456" s="12">
        <f t="shared" si="1"/>
        <v>0</v>
      </c>
      <c r="T2456" s="12">
        <f t="shared" si="8"/>
        <v>91.08086581</v>
      </c>
      <c r="U2456" s="145"/>
    </row>
    <row r="2457">
      <c r="A2457" s="29"/>
      <c r="B2457" s="15" t="s">
        <v>26</v>
      </c>
      <c r="C2457" s="15" t="s">
        <v>19</v>
      </c>
      <c r="D2457" s="15">
        <v>45.0</v>
      </c>
      <c r="E2457" s="15" t="s">
        <v>4923</v>
      </c>
      <c r="F2457" s="15"/>
      <c r="G2457" s="15"/>
      <c r="H2457" s="15">
        <v>0.0</v>
      </c>
      <c r="I2457" s="15" t="s">
        <v>191</v>
      </c>
      <c r="J2457" s="15" t="s">
        <v>22</v>
      </c>
      <c r="K2457" s="15" t="s">
        <v>440</v>
      </c>
      <c r="L2457" s="15" t="s">
        <v>39</v>
      </c>
      <c r="M2457" s="16">
        <v>0.75</v>
      </c>
      <c r="N2457" s="16">
        <v>0.1</v>
      </c>
      <c r="O2457" s="16">
        <v>0.1</v>
      </c>
      <c r="P2457" s="17">
        <v>45389.0</v>
      </c>
      <c r="Q2457" s="18">
        <v>1.75</v>
      </c>
      <c r="R2457" s="15" t="s">
        <v>996</v>
      </c>
      <c r="S2457" s="19">
        <f t="shared" si="1"/>
        <v>0.0375</v>
      </c>
      <c r="T2457" s="19">
        <f t="shared" si="8"/>
        <v>91.11836581</v>
      </c>
      <c r="U2457" s="144"/>
    </row>
    <row r="2458">
      <c r="A2458" s="107"/>
      <c r="B2458" s="8" t="s">
        <v>4225</v>
      </c>
      <c r="C2458" s="8" t="s">
        <v>19</v>
      </c>
      <c r="D2458" s="8">
        <v>30.0</v>
      </c>
      <c r="E2458" s="8" t="s">
        <v>4924</v>
      </c>
      <c r="F2458" s="8" t="s">
        <v>1479</v>
      </c>
      <c r="G2458" s="8" t="s">
        <v>2556</v>
      </c>
      <c r="H2458" s="8">
        <v>0.0</v>
      </c>
      <c r="I2458" s="8" t="s">
        <v>1031</v>
      </c>
      <c r="J2458" s="8" t="s">
        <v>22</v>
      </c>
      <c r="K2458" s="8" t="s">
        <v>225</v>
      </c>
      <c r="L2458" s="8" t="s">
        <v>24</v>
      </c>
      <c r="M2458" s="9">
        <v>0.25</v>
      </c>
      <c r="N2458" s="9">
        <v>0.4</v>
      </c>
      <c r="O2458" s="9">
        <v>0.4</v>
      </c>
      <c r="P2458" s="54">
        <v>45391.0</v>
      </c>
      <c r="Q2458" s="11">
        <v>1.7</v>
      </c>
      <c r="R2458" s="8" t="s">
        <v>996</v>
      </c>
      <c r="S2458" s="12">
        <f t="shared" si="1"/>
        <v>0.14</v>
      </c>
      <c r="T2458" s="12">
        <f t="shared" si="8"/>
        <v>91.25836581</v>
      </c>
      <c r="U2458" s="145"/>
    </row>
    <row r="2459">
      <c r="A2459" s="29"/>
      <c r="B2459" s="15" t="s">
        <v>4225</v>
      </c>
      <c r="C2459" s="15" t="s">
        <v>19</v>
      </c>
      <c r="D2459" s="15">
        <v>60.0</v>
      </c>
      <c r="E2459" s="15" t="s">
        <v>4925</v>
      </c>
      <c r="F2459" s="15" t="s">
        <v>1479</v>
      </c>
      <c r="G2459" s="15" t="s">
        <v>3764</v>
      </c>
      <c r="H2459" s="15">
        <v>0.0</v>
      </c>
      <c r="I2459" s="15" t="s">
        <v>1031</v>
      </c>
      <c r="J2459" s="15" t="s">
        <v>22</v>
      </c>
      <c r="K2459" s="15" t="s">
        <v>892</v>
      </c>
      <c r="L2459" s="15" t="s">
        <v>24</v>
      </c>
      <c r="M2459" s="16">
        <v>0.0</v>
      </c>
      <c r="N2459" s="16">
        <v>0.25</v>
      </c>
      <c r="O2459" s="16">
        <v>0.25</v>
      </c>
      <c r="P2459" s="17">
        <v>45391.0</v>
      </c>
      <c r="Q2459" s="18">
        <v>2.08</v>
      </c>
      <c r="R2459" s="15" t="s">
        <v>70</v>
      </c>
      <c r="S2459" s="19">
        <f t="shared" si="1"/>
        <v>0</v>
      </c>
      <c r="T2459" s="19">
        <f t="shared" si="8"/>
        <v>91.25836581</v>
      </c>
      <c r="U2459" s="144"/>
    </row>
    <row r="2460">
      <c r="A2460" s="107"/>
      <c r="B2460" s="8" t="s">
        <v>18</v>
      </c>
      <c r="C2460" s="8" t="s">
        <v>19</v>
      </c>
      <c r="D2460" s="8">
        <v>60.0</v>
      </c>
      <c r="E2460" s="8" t="s">
        <v>4926</v>
      </c>
      <c r="F2460" s="8" t="s">
        <v>1473</v>
      </c>
      <c r="G2460" s="8" t="s">
        <v>2573</v>
      </c>
      <c r="H2460" s="8">
        <v>0.0</v>
      </c>
      <c r="I2460" s="8" t="s">
        <v>853</v>
      </c>
      <c r="J2460" s="8" t="s">
        <v>22</v>
      </c>
      <c r="K2460" s="8" t="s">
        <v>894</v>
      </c>
      <c r="L2460" s="8" t="s">
        <v>24</v>
      </c>
      <c r="M2460" s="9">
        <v>-0.5</v>
      </c>
      <c r="N2460" s="9">
        <v>0.1</v>
      </c>
      <c r="O2460" s="9">
        <v>0.1</v>
      </c>
      <c r="P2460" s="54">
        <v>45391.0</v>
      </c>
      <c r="Q2460" s="11">
        <v>1.775</v>
      </c>
      <c r="R2460" s="8" t="s">
        <v>25</v>
      </c>
      <c r="S2460" s="12">
        <f t="shared" si="1"/>
        <v>-0.1</v>
      </c>
      <c r="T2460" s="12">
        <f t="shared" si="8"/>
        <v>91.15836581</v>
      </c>
      <c r="U2460" s="145"/>
    </row>
    <row r="2461">
      <c r="A2461" s="29"/>
      <c r="B2461" s="15" t="s">
        <v>26</v>
      </c>
      <c r="C2461" s="15" t="s">
        <v>19</v>
      </c>
      <c r="D2461" s="15">
        <v>70.0</v>
      </c>
      <c r="E2461" s="15" t="s">
        <v>4927</v>
      </c>
      <c r="F2461" s="15" t="s">
        <v>1479</v>
      </c>
      <c r="G2461" s="15" t="s">
        <v>3764</v>
      </c>
      <c r="H2461" s="15">
        <v>0.0</v>
      </c>
      <c r="I2461" s="15" t="s">
        <v>3911</v>
      </c>
      <c r="J2461" s="15" t="s">
        <v>22</v>
      </c>
      <c r="K2461" s="15" t="s">
        <v>892</v>
      </c>
      <c r="L2461" s="15" t="s">
        <v>39</v>
      </c>
      <c r="M2461" s="16">
        <v>0.0</v>
      </c>
      <c r="N2461" s="16">
        <v>0.25</v>
      </c>
      <c r="O2461" s="16">
        <v>0.25</v>
      </c>
      <c r="P2461" s="17">
        <v>45391.0</v>
      </c>
      <c r="Q2461" s="18">
        <v>1.925</v>
      </c>
      <c r="R2461" s="15" t="s">
        <v>25</v>
      </c>
      <c r="S2461" s="19">
        <f t="shared" si="1"/>
        <v>-0.25</v>
      </c>
      <c r="T2461" s="19">
        <f t="shared" si="8"/>
        <v>90.90836581</v>
      </c>
      <c r="U2461" s="144"/>
    </row>
    <row r="2462">
      <c r="A2462" s="107"/>
      <c r="B2462" s="8" t="s">
        <v>26</v>
      </c>
      <c r="C2462" s="8" t="s">
        <v>19</v>
      </c>
      <c r="D2462" s="8">
        <v>28.0</v>
      </c>
      <c r="E2462" s="8" t="s">
        <v>4928</v>
      </c>
      <c r="F2462" s="8" t="s">
        <v>1479</v>
      </c>
      <c r="G2462" s="8" t="s">
        <v>2556</v>
      </c>
      <c r="H2462" s="8">
        <v>0.0</v>
      </c>
      <c r="I2462" s="8" t="s">
        <v>231</v>
      </c>
      <c r="J2462" s="8" t="s">
        <v>22</v>
      </c>
      <c r="K2462" s="8" t="s">
        <v>225</v>
      </c>
      <c r="L2462" s="8" t="s">
        <v>24</v>
      </c>
      <c r="M2462" s="9">
        <v>0.25</v>
      </c>
      <c r="N2462" s="9">
        <v>0.5</v>
      </c>
      <c r="O2462" s="9">
        <v>0.5</v>
      </c>
      <c r="P2462" s="10">
        <v>45391.0</v>
      </c>
      <c r="Q2462" s="11">
        <v>1.7</v>
      </c>
      <c r="R2462" s="8" t="s">
        <v>25</v>
      </c>
      <c r="S2462" s="12">
        <f t="shared" si="1"/>
        <v>-0.5</v>
      </c>
      <c r="T2462" s="12">
        <f t="shared" si="8"/>
        <v>90.40836581</v>
      </c>
      <c r="U2462" s="145"/>
    </row>
    <row r="2463">
      <c r="A2463" s="29"/>
      <c r="B2463" s="15" t="s">
        <v>4225</v>
      </c>
      <c r="C2463" s="15" t="s">
        <v>19</v>
      </c>
      <c r="D2463" s="15">
        <v>31.0</v>
      </c>
      <c r="E2463" s="15" t="s">
        <v>4929</v>
      </c>
      <c r="F2463" s="15"/>
      <c r="G2463" s="15"/>
      <c r="H2463" s="15"/>
      <c r="I2463" s="15" t="s">
        <v>42</v>
      </c>
      <c r="J2463" s="15" t="s">
        <v>22</v>
      </c>
      <c r="K2463" s="15" t="s">
        <v>3515</v>
      </c>
      <c r="L2463" s="15" t="s">
        <v>24</v>
      </c>
      <c r="M2463" s="16">
        <v>2.5</v>
      </c>
      <c r="N2463" s="16">
        <v>0.1</v>
      </c>
      <c r="O2463" s="16">
        <v>0.05</v>
      </c>
      <c r="P2463" s="17">
        <v>45392.0</v>
      </c>
      <c r="Q2463" s="18">
        <v>1.85</v>
      </c>
      <c r="R2463" s="15" t="s">
        <v>25</v>
      </c>
      <c r="S2463" s="19">
        <f t="shared" si="1"/>
        <v>-0.05</v>
      </c>
      <c r="T2463" s="19">
        <f t="shared" si="8"/>
        <v>90.35836581</v>
      </c>
      <c r="U2463" s="144"/>
    </row>
    <row r="2464">
      <c r="A2464" s="107"/>
      <c r="B2464" s="8" t="s">
        <v>18</v>
      </c>
      <c r="C2464" s="8" t="s">
        <v>19</v>
      </c>
      <c r="D2464" s="8">
        <v>20.0</v>
      </c>
      <c r="E2464" s="8" t="s">
        <v>4930</v>
      </c>
      <c r="F2464" s="8" t="s">
        <v>1473</v>
      </c>
      <c r="G2464" s="8" t="s">
        <v>2556</v>
      </c>
      <c r="H2464" s="8">
        <v>0.0</v>
      </c>
      <c r="I2464" s="8" t="s">
        <v>42</v>
      </c>
      <c r="J2464" s="8" t="s">
        <v>22</v>
      </c>
      <c r="K2464" s="8" t="s">
        <v>1847</v>
      </c>
      <c r="L2464" s="8" t="s">
        <v>24</v>
      </c>
      <c r="M2464" s="9">
        <v>-0.5</v>
      </c>
      <c r="N2464" s="9">
        <v>0.25</v>
      </c>
      <c r="O2464" s="9">
        <v>0.25</v>
      </c>
      <c r="P2464" s="10">
        <v>45392.0</v>
      </c>
      <c r="Q2464" s="11">
        <v>1.725</v>
      </c>
      <c r="R2464" s="8" t="s">
        <v>33</v>
      </c>
      <c r="S2464" s="12">
        <f t="shared" si="1"/>
        <v>0.18125</v>
      </c>
      <c r="T2464" s="12">
        <f t="shared" si="8"/>
        <v>90.53961581</v>
      </c>
      <c r="U2464" s="145"/>
    </row>
    <row r="2465">
      <c r="A2465" s="29"/>
      <c r="B2465" s="15" t="s">
        <v>4225</v>
      </c>
      <c r="C2465" s="15" t="s">
        <v>19</v>
      </c>
      <c r="D2465" s="15">
        <v>86.0</v>
      </c>
      <c r="E2465" s="15" t="s">
        <v>4931</v>
      </c>
      <c r="F2465" s="15"/>
      <c r="G2465" s="15"/>
      <c r="H2465" s="15"/>
      <c r="I2465" s="15" t="s">
        <v>432</v>
      </c>
      <c r="J2465" s="15" t="s">
        <v>22</v>
      </c>
      <c r="K2465" s="15" t="s">
        <v>2939</v>
      </c>
      <c r="L2465" s="15" t="s">
        <v>24</v>
      </c>
      <c r="M2465" s="16">
        <v>-3.5</v>
      </c>
      <c r="N2465" s="16">
        <v>0.1</v>
      </c>
      <c r="O2465" s="16">
        <v>0.1</v>
      </c>
      <c r="P2465" s="17">
        <v>45392.0</v>
      </c>
      <c r="Q2465" s="18">
        <v>1.7</v>
      </c>
      <c r="R2465" s="15" t="s">
        <v>33</v>
      </c>
      <c r="S2465" s="19">
        <f t="shared" si="1"/>
        <v>0.07</v>
      </c>
      <c r="T2465" s="19">
        <f t="shared" si="8"/>
        <v>90.60961581</v>
      </c>
      <c r="U2465" s="144"/>
    </row>
    <row r="2466">
      <c r="A2466" s="107"/>
      <c r="B2466" s="8" t="s">
        <v>131</v>
      </c>
      <c r="C2466" s="8" t="s">
        <v>19</v>
      </c>
      <c r="D2466" s="8">
        <v>18.0</v>
      </c>
      <c r="E2466" s="8" t="s">
        <v>4932</v>
      </c>
      <c r="F2466" s="8" t="s">
        <v>1473</v>
      </c>
      <c r="G2466" s="8" t="s">
        <v>2660</v>
      </c>
      <c r="H2466" s="8">
        <v>0.0</v>
      </c>
      <c r="I2466" s="8" t="s">
        <v>44</v>
      </c>
      <c r="J2466" s="8" t="s">
        <v>22</v>
      </c>
      <c r="K2466" s="8" t="s">
        <v>1150</v>
      </c>
      <c r="L2466" s="8" t="s">
        <v>1522</v>
      </c>
      <c r="M2466" s="9">
        <v>0.0</v>
      </c>
      <c r="N2466" s="9">
        <v>1.0</v>
      </c>
      <c r="O2466" s="9">
        <v>1.0</v>
      </c>
      <c r="P2466" s="10">
        <v>45392.0</v>
      </c>
      <c r="Q2466" s="11">
        <v>1.95</v>
      </c>
      <c r="R2466" s="8" t="s">
        <v>25</v>
      </c>
      <c r="S2466" s="12">
        <f t="shared" si="1"/>
        <v>-1</v>
      </c>
      <c r="T2466" s="12">
        <f t="shared" si="8"/>
        <v>89.60961581</v>
      </c>
      <c r="U2466" s="145"/>
    </row>
    <row r="2467">
      <c r="A2467" s="29"/>
      <c r="B2467" s="15" t="s">
        <v>26</v>
      </c>
      <c r="C2467" s="15" t="s">
        <v>19</v>
      </c>
      <c r="D2467" s="15">
        <v>16.0</v>
      </c>
      <c r="E2467" s="15" t="s">
        <v>4933</v>
      </c>
      <c r="F2467" s="15" t="s">
        <v>1473</v>
      </c>
      <c r="G2467" s="15" t="s">
        <v>2660</v>
      </c>
      <c r="H2467" s="15">
        <v>-1.0</v>
      </c>
      <c r="I2467" s="15" t="s">
        <v>38</v>
      </c>
      <c r="J2467" s="15" t="s">
        <v>22</v>
      </c>
      <c r="K2467" s="15" t="s">
        <v>892</v>
      </c>
      <c r="L2467" s="15" t="s">
        <v>24</v>
      </c>
      <c r="M2467" s="16">
        <v>0.0</v>
      </c>
      <c r="N2467" s="16">
        <v>0.6</v>
      </c>
      <c r="O2467" s="16">
        <v>0.6</v>
      </c>
      <c r="P2467" s="17">
        <v>45392.0</v>
      </c>
      <c r="Q2467" s="18">
        <v>1.725</v>
      </c>
      <c r="R2467" s="15" t="s">
        <v>25</v>
      </c>
      <c r="S2467" s="19">
        <f t="shared" si="1"/>
        <v>-0.6</v>
      </c>
      <c r="T2467" s="19">
        <f t="shared" si="8"/>
        <v>89.00961581</v>
      </c>
      <c r="U2467" s="144"/>
    </row>
    <row r="2468">
      <c r="A2468" s="107"/>
      <c r="B2468" s="8" t="s">
        <v>4225</v>
      </c>
      <c r="C2468" s="8" t="s">
        <v>19</v>
      </c>
      <c r="D2468" s="8">
        <v>21.0</v>
      </c>
      <c r="E2468" s="8" t="s">
        <v>4934</v>
      </c>
      <c r="F2468" s="8" t="s">
        <v>1479</v>
      </c>
      <c r="G2468" s="8" t="s">
        <v>2556</v>
      </c>
      <c r="H2468" s="8">
        <v>0.0</v>
      </c>
      <c r="I2468" s="8" t="s">
        <v>42</v>
      </c>
      <c r="J2468" s="8" t="s">
        <v>22</v>
      </c>
      <c r="K2468" s="8" t="s">
        <v>225</v>
      </c>
      <c r="L2468" s="8" t="s">
        <v>24</v>
      </c>
      <c r="M2468" s="9">
        <v>0.25</v>
      </c>
      <c r="N2468" s="9">
        <v>0.4</v>
      </c>
      <c r="O2468" s="9">
        <v>0.4</v>
      </c>
      <c r="P2468" s="10">
        <v>45393.0</v>
      </c>
      <c r="Q2468" s="11">
        <v>1.75</v>
      </c>
      <c r="R2468" s="8" t="s">
        <v>33</v>
      </c>
      <c r="S2468" s="12">
        <f t="shared" si="1"/>
        <v>0.3</v>
      </c>
      <c r="T2468" s="12">
        <f t="shared" si="8"/>
        <v>89.30961581</v>
      </c>
      <c r="U2468" s="145"/>
    </row>
    <row r="2469">
      <c r="A2469" s="29"/>
      <c r="B2469" s="15" t="s">
        <v>18</v>
      </c>
      <c r="C2469" s="15" t="s">
        <v>19</v>
      </c>
      <c r="D2469" s="15"/>
      <c r="E2469" s="15" t="s">
        <v>4935</v>
      </c>
      <c r="F2469" s="15"/>
      <c r="G2469" s="15"/>
      <c r="H2469" s="15"/>
      <c r="I2469" s="15" t="s">
        <v>231</v>
      </c>
      <c r="J2469" s="15" t="s">
        <v>22</v>
      </c>
      <c r="K2469" s="15" t="s">
        <v>440</v>
      </c>
      <c r="L2469" s="15" t="s">
        <v>24</v>
      </c>
      <c r="M2469" s="16">
        <v>0.5</v>
      </c>
      <c r="N2469" s="16">
        <v>0.1</v>
      </c>
      <c r="O2469" s="16">
        <v>0.1</v>
      </c>
      <c r="P2469" s="55">
        <v>45393.0</v>
      </c>
      <c r="Q2469" s="18">
        <v>1.725</v>
      </c>
      <c r="R2469" s="15" t="s">
        <v>25</v>
      </c>
      <c r="S2469" s="19">
        <f t="shared" si="1"/>
        <v>-0.1</v>
      </c>
      <c r="T2469" s="19">
        <f t="shared" si="8"/>
        <v>89.20961581</v>
      </c>
      <c r="U2469" s="144"/>
    </row>
    <row r="2470">
      <c r="A2470" s="107"/>
      <c r="B2470" s="8" t="s">
        <v>26</v>
      </c>
      <c r="C2470" s="8" t="s">
        <v>19</v>
      </c>
      <c r="D2470" s="8">
        <v>25.0</v>
      </c>
      <c r="E2470" s="8" t="s">
        <v>4936</v>
      </c>
      <c r="F2470" s="8" t="s">
        <v>1479</v>
      </c>
      <c r="G2470" s="8" t="s">
        <v>2556</v>
      </c>
      <c r="H2470" s="8">
        <v>0.0</v>
      </c>
      <c r="I2470" s="8" t="s">
        <v>42</v>
      </c>
      <c r="J2470" s="8" t="s">
        <v>22</v>
      </c>
      <c r="K2470" s="8" t="s">
        <v>225</v>
      </c>
      <c r="L2470" s="8" t="s">
        <v>24</v>
      </c>
      <c r="M2470" s="9">
        <v>0.25</v>
      </c>
      <c r="N2470" s="9">
        <v>1.0</v>
      </c>
      <c r="O2470" s="9">
        <v>1.0</v>
      </c>
      <c r="P2470" s="10">
        <v>45393.0</v>
      </c>
      <c r="Q2470" s="11">
        <v>1.825</v>
      </c>
      <c r="R2470" s="8" t="s">
        <v>33</v>
      </c>
      <c r="S2470" s="12">
        <f t="shared" si="1"/>
        <v>0.825</v>
      </c>
      <c r="T2470" s="12">
        <f t="shared" si="8"/>
        <v>90.03461581</v>
      </c>
      <c r="U2470" s="145"/>
    </row>
    <row r="2471">
      <c r="A2471" s="29"/>
      <c r="B2471" s="15" t="s">
        <v>4225</v>
      </c>
      <c r="C2471" s="15" t="s">
        <v>19</v>
      </c>
      <c r="D2471" s="15">
        <v>31.0</v>
      </c>
      <c r="E2471" s="15" t="s">
        <v>4937</v>
      </c>
      <c r="F2471" s="15" t="s">
        <v>1473</v>
      </c>
      <c r="G2471" s="15" t="s">
        <v>2660</v>
      </c>
      <c r="H2471" s="15">
        <v>0.0</v>
      </c>
      <c r="I2471" s="15" t="s">
        <v>463</v>
      </c>
      <c r="J2471" s="15" t="s">
        <v>22</v>
      </c>
      <c r="K2471" s="15" t="s">
        <v>1150</v>
      </c>
      <c r="L2471" s="15" t="s">
        <v>24</v>
      </c>
      <c r="M2471" s="16">
        <v>0.0</v>
      </c>
      <c r="N2471" s="16">
        <v>0.4</v>
      </c>
      <c r="O2471" s="16">
        <v>0.4</v>
      </c>
      <c r="P2471" s="17">
        <v>45393.0</v>
      </c>
      <c r="Q2471" s="18">
        <v>2.02</v>
      </c>
      <c r="R2471" s="15" t="s">
        <v>70</v>
      </c>
      <c r="S2471" s="19">
        <f t="shared" si="1"/>
        <v>0</v>
      </c>
      <c r="T2471" s="19">
        <f t="shared" si="8"/>
        <v>90.03461581</v>
      </c>
      <c r="U2471" s="144"/>
    </row>
    <row r="2472">
      <c r="A2472" s="107"/>
      <c r="B2472" s="8" t="s">
        <v>4225</v>
      </c>
      <c r="C2472" s="8" t="s">
        <v>19</v>
      </c>
      <c r="D2472" s="8">
        <v>30.0</v>
      </c>
      <c r="E2472" s="8" t="s">
        <v>4938</v>
      </c>
      <c r="F2472" s="8" t="s">
        <v>1473</v>
      </c>
      <c r="G2472" s="8" t="s">
        <v>2556</v>
      </c>
      <c r="H2472" s="8">
        <v>0.0</v>
      </c>
      <c r="I2472" s="8" t="s">
        <v>38</v>
      </c>
      <c r="J2472" s="8" t="s">
        <v>22</v>
      </c>
      <c r="K2472" s="8" t="s">
        <v>225</v>
      </c>
      <c r="L2472" s="8" t="s">
        <v>24</v>
      </c>
      <c r="M2472" s="9">
        <v>0.5</v>
      </c>
      <c r="N2472" s="9">
        <v>0.5</v>
      </c>
      <c r="O2472" s="9">
        <v>0.5</v>
      </c>
      <c r="P2472" s="10">
        <v>45394.0</v>
      </c>
      <c r="Q2472" s="11">
        <v>1.95</v>
      </c>
      <c r="R2472" s="8" t="s">
        <v>25</v>
      </c>
      <c r="S2472" s="12">
        <f t="shared" si="1"/>
        <v>-0.5</v>
      </c>
      <c r="T2472" s="12">
        <f t="shared" si="8"/>
        <v>89.53461581</v>
      </c>
      <c r="U2472" s="145"/>
    </row>
    <row r="2473">
      <c r="A2473" s="29"/>
      <c r="B2473" s="15" t="s">
        <v>26</v>
      </c>
      <c r="C2473" s="15" t="s">
        <v>19</v>
      </c>
      <c r="D2473" s="15">
        <v>71.0</v>
      </c>
      <c r="E2473" s="15" t="s">
        <v>4939</v>
      </c>
      <c r="F2473" s="15" t="s">
        <v>1479</v>
      </c>
      <c r="G2473" s="15" t="s">
        <v>2660</v>
      </c>
      <c r="H2473" s="15">
        <v>0.0</v>
      </c>
      <c r="I2473" s="15" t="s">
        <v>231</v>
      </c>
      <c r="J2473" s="15" t="s">
        <v>22</v>
      </c>
      <c r="K2473" s="15" t="s">
        <v>892</v>
      </c>
      <c r="L2473" s="15" t="s">
        <v>24</v>
      </c>
      <c r="M2473" s="16">
        <v>0.0</v>
      </c>
      <c r="N2473" s="16">
        <v>0.6</v>
      </c>
      <c r="O2473" s="16">
        <v>0.6</v>
      </c>
      <c r="P2473" s="17">
        <v>45394.0</v>
      </c>
      <c r="Q2473" s="18">
        <v>1.75</v>
      </c>
      <c r="R2473" s="15" t="s">
        <v>33</v>
      </c>
      <c r="S2473" s="19">
        <f t="shared" si="1"/>
        <v>0.45</v>
      </c>
      <c r="T2473" s="19">
        <f t="shared" si="8"/>
        <v>89.98461581</v>
      </c>
      <c r="U2473" s="144"/>
    </row>
    <row r="2474">
      <c r="A2474" s="107"/>
      <c r="B2474" s="8" t="s">
        <v>26</v>
      </c>
      <c r="C2474" s="8" t="s">
        <v>19</v>
      </c>
      <c r="D2474" s="8">
        <v>72.0</v>
      </c>
      <c r="E2474" s="8" t="s">
        <v>4940</v>
      </c>
      <c r="F2474" s="8" t="s">
        <v>1473</v>
      </c>
      <c r="G2474" s="8" t="s">
        <v>2660</v>
      </c>
      <c r="H2474" s="8">
        <v>-1.0</v>
      </c>
      <c r="I2474" s="8" t="s">
        <v>42</v>
      </c>
      <c r="J2474" s="8" t="s">
        <v>22</v>
      </c>
      <c r="K2474" s="8" t="s">
        <v>892</v>
      </c>
      <c r="L2474" s="8" t="s">
        <v>24</v>
      </c>
      <c r="M2474" s="9">
        <v>0.0</v>
      </c>
      <c r="N2474" s="9">
        <v>0.75</v>
      </c>
      <c r="O2474" s="9">
        <v>0.75</v>
      </c>
      <c r="P2474" s="10">
        <v>45394.0</v>
      </c>
      <c r="Q2474" s="11">
        <v>1.95</v>
      </c>
      <c r="R2474" s="8" t="s">
        <v>70</v>
      </c>
      <c r="S2474" s="12">
        <f t="shared" si="1"/>
        <v>0</v>
      </c>
      <c r="T2474" s="12">
        <f t="shared" si="8"/>
        <v>89.98461581</v>
      </c>
      <c r="U2474" s="145"/>
    </row>
    <row r="2475">
      <c r="A2475" s="29"/>
      <c r="B2475" s="15" t="s">
        <v>4225</v>
      </c>
      <c r="C2475" s="15" t="s">
        <v>19</v>
      </c>
      <c r="D2475" s="15">
        <v>34.0</v>
      </c>
      <c r="E2475" s="15" t="s">
        <v>4941</v>
      </c>
      <c r="F2475" s="15" t="s">
        <v>1479</v>
      </c>
      <c r="G2475" s="15" t="s">
        <v>2660</v>
      </c>
      <c r="H2475" s="15">
        <v>-1.0</v>
      </c>
      <c r="I2475" s="15" t="s">
        <v>231</v>
      </c>
      <c r="J2475" s="15" t="s">
        <v>22</v>
      </c>
      <c r="K2475" s="15" t="s">
        <v>1150</v>
      </c>
      <c r="L2475" s="15" t="s">
        <v>24</v>
      </c>
      <c r="M2475" s="16">
        <v>0.0</v>
      </c>
      <c r="N2475" s="16">
        <v>0.25</v>
      </c>
      <c r="O2475" s="16">
        <v>0.25</v>
      </c>
      <c r="P2475" s="17">
        <v>45394.0</v>
      </c>
      <c r="Q2475" s="18">
        <v>1.6</v>
      </c>
      <c r="R2475" s="15" t="s">
        <v>70</v>
      </c>
      <c r="S2475" s="19">
        <f t="shared" si="1"/>
        <v>0</v>
      </c>
      <c r="T2475" s="19">
        <f t="shared" si="8"/>
        <v>89.98461581</v>
      </c>
      <c r="U2475" s="144"/>
    </row>
    <row r="2476">
      <c r="A2476" s="107"/>
      <c r="B2476" s="8" t="s">
        <v>4225</v>
      </c>
      <c r="C2476" s="8" t="s">
        <v>19</v>
      </c>
      <c r="D2476" s="8">
        <v>35.0</v>
      </c>
      <c r="E2476" s="8" t="s">
        <v>4942</v>
      </c>
      <c r="F2476" s="8" t="s">
        <v>1473</v>
      </c>
      <c r="G2476" s="8" t="s">
        <v>2556</v>
      </c>
      <c r="H2476" s="8">
        <v>0.0</v>
      </c>
      <c r="I2476" s="8" t="s">
        <v>42</v>
      </c>
      <c r="J2476" s="8" t="s">
        <v>22</v>
      </c>
      <c r="K2476" s="8" t="s">
        <v>225</v>
      </c>
      <c r="L2476" s="8" t="s">
        <v>24</v>
      </c>
      <c r="M2476" s="9">
        <v>0.25</v>
      </c>
      <c r="N2476" s="9">
        <v>0.75</v>
      </c>
      <c r="O2476" s="9">
        <v>0.75</v>
      </c>
      <c r="P2476" s="10">
        <v>45394.0</v>
      </c>
      <c r="Q2476" s="11">
        <v>1.725</v>
      </c>
      <c r="R2476" s="8" t="s">
        <v>33</v>
      </c>
      <c r="S2476" s="12">
        <f t="shared" si="1"/>
        <v>0.54375</v>
      </c>
      <c r="T2476" s="12">
        <f t="shared" si="8"/>
        <v>90.52836581</v>
      </c>
      <c r="U2476" s="145"/>
    </row>
    <row r="2477">
      <c r="A2477" s="29"/>
      <c r="B2477" s="15" t="s">
        <v>26</v>
      </c>
      <c r="C2477" s="15" t="s">
        <v>19</v>
      </c>
      <c r="D2477" s="15">
        <v>33.0</v>
      </c>
      <c r="E2477" s="15" t="s">
        <v>4943</v>
      </c>
      <c r="F2477" s="15" t="s">
        <v>1473</v>
      </c>
      <c r="G2477" s="15" t="s">
        <v>2660</v>
      </c>
      <c r="H2477" s="15">
        <v>0.0</v>
      </c>
      <c r="I2477" s="15" t="s">
        <v>463</v>
      </c>
      <c r="J2477" s="15" t="s">
        <v>22</v>
      </c>
      <c r="K2477" s="15" t="s">
        <v>1150</v>
      </c>
      <c r="L2477" s="15" t="s">
        <v>24</v>
      </c>
      <c r="M2477" s="16">
        <v>0.0</v>
      </c>
      <c r="N2477" s="16">
        <v>0.5</v>
      </c>
      <c r="O2477" s="16">
        <v>0.5</v>
      </c>
      <c r="P2477" s="17">
        <v>45394.0</v>
      </c>
      <c r="Q2477" s="18">
        <v>1.9</v>
      </c>
      <c r="R2477" s="15" t="s">
        <v>70</v>
      </c>
      <c r="S2477" s="19">
        <f t="shared" si="1"/>
        <v>0</v>
      </c>
      <c r="T2477" s="19">
        <f t="shared" si="8"/>
        <v>90.52836581</v>
      </c>
      <c r="U2477" s="144"/>
    </row>
    <row r="2478">
      <c r="A2478" s="107"/>
      <c r="B2478" s="8" t="s">
        <v>18</v>
      </c>
      <c r="C2478" s="8" t="s">
        <v>19</v>
      </c>
      <c r="D2478" s="8">
        <v>71.0</v>
      </c>
      <c r="E2478" s="8" t="s">
        <v>4944</v>
      </c>
      <c r="F2478" s="8" t="s">
        <v>1473</v>
      </c>
      <c r="G2478" s="8" t="s">
        <v>2660</v>
      </c>
      <c r="H2478" s="8">
        <v>-2.0</v>
      </c>
      <c r="I2478" s="8" t="s">
        <v>42</v>
      </c>
      <c r="J2478" s="8" t="s">
        <v>22</v>
      </c>
      <c r="K2478" s="8" t="s">
        <v>892</v>
      </c>
      <c r="L2478" s="8" t="s">
        <v>24</v>
      </c>
      <c r="M2478" s="9">
        <v>0.0</v>
      </c>
      <c r="N2478" s="9">
        <v>0.45</v>
      </c>
      <c r="O2478" s="9">
        <v>0.45</v>
      </c>
      <c r="P2478" s="10">
        <v>45394.0</v>
      </c>
      <c r="Q2478" s="11">
        <v>1.975</v>
      </c>
      <c r="R2478" s="8" t="s">
        <v>33</v>
      </c>
      <c r="S2478" s="12">
        <f t="shared" si="1"/>
        <v>0.43875</v>
      </c>
      <c r="T2478" s="12">
        <f t="shared" si="8"/>
        <v>90.96711581</v>
      </c>
      <c r="U2478" s="145"/>
    </row>
    <row r="2479">
      <c r="A2479" s="29"/>
      <c r="B2479" s="15" t="s">
        <v>18</v>
      </c>
      <c r="C2479" s="15" t="s">
        <v>19</v>
      </c>
      <c r="D2479" s="15">
        <v>74.0</v>
      </c>
      <c r="E2479" s="15" t="s">
        <v>4944</v>
      </c>
      <c r="F2479" s="15" t="s">
        <v>1473</v>
      </c>
      <c r="G2479" s="15" t="s">
        <v>2660</v>
      </c>
      <c r="H2479" s="15">
        <v>-2.0</v>
      </c>
      <c r="I2479" s="15" t="s">
        <v>42</v>
      </c>
      <c r="J2479" s="15" t="s">
        <v>22</v>
      </c>
      <c r="K2479" s="15" t="s">
        <v>892</v>
      </c>
      <c r="L2479" s="15" t="s">
        <v>24</v>
      </c>
      <c r="M2479" s="16">
        <v>0.0</v>
      </c>
      <c r="N2479" s="16">
        <v>0.2</v>
      </c>
      <c r="O2479" s="16">
        <v>0.2</v>
      </c>
      <c r="P2479" s="17">
        <v>45394.0</v>
      </c>
      <c r="Q2479" s="18">
        <v>1.775</v>
      </c>
      <c r="R2479" s="15" t="s">
        <v>33</v>
      </c>
      <c r="S2479" s="19">
        <f t="shared" si="1"/>
        <v>0.155</v>
      </c>
      <c r="T2479" s="19">
        <f t="shared" si="8"/>
        <v>91.12211581</v>
      </c>
      <c r="U2479" s="144"/>
    </row>
    <row r="2480">
      <c r="A2480" s="107"/>
      <c r="B2480" s="8" t="s">
        <v>26</v>
      </c>
      <c r="C2480" s="8" t="s">
        <v>19</v>
      </c>
      <c r="D2480" s="8">
        <v>47.0</v>
      </c>
      <c r="E2480" s="8" t="s">
        <v>4945</v>
      </c>
      <c r="F2480" s="8" t="s">
        <v>1473</v>
      </c>
      <c r="G2480" s="8" t="s">
        <v>2660</v>
      </c>
      <c r="H2480" s="8">
        <v>-1.0</v>
      </c>
      <c r="I2480" s="8" t="s">
        <v>432</v>
      </c>
      <c r="J2480" s="8" t="s">
        <v>22</v>
      </c>
      <c r="K2480" s="8" t="s">
        <v>892</v>
      </c>
      <c r="L2480" s="8" t="s">
        <v>1522</v>
      </c>
      <c r="M2480" s="9">
        <v>0.0</v>
      </c>
      <c r="N2480" s="9">
        <v>0.9</v>
      </c>
      <c r="O2480" s="9">
        <v>0.9</v>
      </c>
      <c r="P2480" s="10">
        <v>45394.0</v>
      </c>
      <c r="Q2480" s="11">
        <v>1.775</v>
      </c>
      <c r="R2480" s="8" t="s">
        <v>33</v>
      </c>
      <c r="S2480" s="12">
        <f t="shared" si="1"/>
        <v>0.6975</v>
      </c>
      <c r="T2480" s="12">
        <f t="shared" si="8"/>
        <v>91.81961581</v>
      </c>
      <c r="U2480" s="145"/>
    </row>
    <row r="2481">
      <c r="A2481" s="29"/>
      <c r="B2481" s="15" t="s">
        <v>129</v>
      </c>
      <c r="C2481" s="15" t="s">
        <v>19</v>
      </c>
      <c r="D2481" s="15">
        <v>62.0</v>
      </c>
      <c r="E2481" s="15" t="s">
        <v>4946</v>
      </c>
      <c r="F2481" s="15" t="s">
        <v>1473</v>
      </c>
      <c r="G2481" s="15" t="s">
        <v>2660</v>
      </c>
      <c r="H2481" s="15">
        <v>0.0</v>
      </c>
      <c r="I2481" s="15" t="s">
        <v>82</v>
      </c>
      <c r="J2481" s="15" t="s">
        <v>22</v>
      </c>
      <c r="K2481" s="15" t="s">
        <v>892</v>
      </c>
      <c r="L2481" s="15" t="s">
        <v>24</v>
      </c>
      <c r="M2481" s="16">
        <v>0.0</v>
      </c>
      <c r="N2481" s="16">
        <v>0.2</v>
      </c>
      <c r="O2481" s="16">
        <v>0.2</v>
      </c>
      <c r="P2481" s="17">
        <v>45394.0</v>
      </c>
      <c r="Q2481" s="18">
        <v>1.8</v>
      </c>
      <c r="R2481" s="15" t="s">
        <v>33</v>
      </c>
      <c r="S2481" s="19">
        <f t="shared" si="1"/>
        <v>0.16</v>
      </c>
      <c r="T2481" s="19">
        <f t="shared" si="8"/>
        <v>91.97961581</v>
      </c>
      <c r="U2481" s="144"/>
    </row>
    <row r="2482">
      <c r="A2482" s="107"/>
      <c r="B2482" s="8" t="s">
        <v>4225</v>
      </c>
      <c r="C2482" s="8" t="s">
        <v>19</v>
      </c>
      <c r="D2482" s="8">
        <v>79.0</v>
      </c>
      <c r="E2482" s="8" t="s">
        <v>4947</v>
      </c>
      <c r="F2482" s="8" t="s">
        <v>1479</v>
      </c>
      <c r="G2482" s="8" t="s">
        <v>2556</v>
      </c>
      <c r="H2482" s="8">
        <v>0.0</v>
      </c>
      <c r="I2482" s="8" t="s">
        <v>82</v>
      </c>
      <c r="J2482" s="8" t="s">
        <v>22</v>
      </c>
      <c r="K2482" s="8" t="s">
        <v>225</v>
      </c>
      <c r="L2482" s="8" t="s">
        <v>24</v>
      </c>
      <c r="M2482" s="9">
        <v>0.5</v>
      </c>
      <c r="N2482" s="9">
        <v>0.1</v>
      </c>
      <c r="O2482" s="9">
        <v>0.1</v>
      </c>
      <c r="P2482" s="10">
        <v>45394.0</v>
      </c>
      <c r="Q2482" s="11">
        <v>1.8</v>
      </c>
      <c r="R2482" s="8" t="s">
        <v>33</v>
      </c>
      <c r="S2482" s="12">
        <f t="shared" si="1"/>
        <v>0.08</v>
      </c>
      <c r="T2482" s="12">
        <f t="shared" si="8"/>
        <v>92.05961581</v>
      </c>
      <c r="U2482" s="145"/>
    </row>
    <row r="2483">
      <c r="A2483" s="29"/>
      <c r="B2483" s="15" t="s">
        <v>26</v>
      </c>
      <c r="C2483" s="15" t="s">
        <v>19</v>
      </c>
      <c r="D2483" s="15">
        <v>68.0</v>
      </c>
      <c r="E2483" s="15" t="s">
        <v>4948</v>
      </c>
      <c r="F2483" s="15" t="s">
        <v>1479</v>
      </c>
      <c r="G2483" s="15" t="s">
        <v>2660</v>
      </c>
      <c r="H2483" s="15">
        <f>1</f>
        <v>1</v>
      </c>
      <c r="I2483" s="15" t="s">
        <v>487</v>
      </c>
      <c r="J2483" s="15" t="s">
        <v>22</v>
      </c>
      <c r="K2483" s="15" t="s">
        <v>892</v>
      </c>
      <c r="L2483" s="15" t="s">
        <v>24</v>
      </c>
      <c r="M2483" s="16">
        <v>0.0</v>
      </c>
      <c r="N2483" s="16">
        <v>0.4</v>
      </c>
      <c r="O2483" s="16">
        <v>0.33</v>
      </c>
      <c r="P2483" s="17">
        <v>45395.0</v>
      </c>
      <c r="Q2483" s="18">
        <v>1.85</v>
      </c>
      <c r="R2483" s="15" t="s">
        <v>25</v>
      </c>
      <c r="S2483" s="19">
        <f t="shared" si="1"/>
        <v>-0.33</v>
      </c>
      <c r="T2483" s="19">
        <f t="shared" si="8"/>
        <v>91.72961581</v>
      </c>
      <c r="U2483" s="144"/>
    </row>
    <row r="2484">
      <c r="A2484" s="107"/>
      <c r="B2484" s="8" t="s">
        <v>18</v>
      </c>
      <c r="C2484" s="8" t="s">
        <v>19</v>
      </c>
      <c r="D2484" s="8">
        <v>21.0</v>
      </c>
      <c r="E2484" s="8" t="s">
        <v>4949</v>
      </c>
      <c r="F2484" s="8" t="s">
        <v>1473</v>
      </c>
      <c r="G2484" s="8" t="s">
        <v>2573</v>
      </c>
      <c r="H2484" s="8">
        <v>0.0</v>
      </c>
      <c r="I2484" s="8" t="s">
        <v>806</v>
      </c>
      <c r="J2484" s="8" t="s">
        <v>22</v>
      </c>
      <c r="K2484" s="8" t="s">
        <v>894</v>
      </c>
      <c r="L2484" s="8" t="s">
        <v>24</v>
      </c>
      <c r="M2484" s="9">
        <v>-0.5</v>
      </c>
      <c r="N2484" s="9">
        <v>0.25</v>
      </c>
      <c r="O2484" s="9">
        <v>0.23</v>
      </c>
      <c r="P2484" s="10">
        <v>45395.0</v>
      </c>
      <c r="Q2484" s="11">
        <v>1.85</v>
      </c>
      <c r="R2484" s="8" t="s">
        <v>33</v>
      </c>
      <c r="S2484" s="12">
        <f t="shared" si="1"/>
        <v>0.1955</v>
      </c>
      <c r="T2484" s="12">
        <f t="shared" si="8"/>
        <v>91.92511581</v>
      </c>
      <c r="U2484" s="145"/>
    </row>
    <row r="2485">
      <c r="A2485" s="29"/>
      <c r="B2485" s="15" t="s">
        <v>4225</v>
      </c>
      <c r="C2485" s="15" t="s">
        <v>40</v>
      </c>
      <c r="D2485" s="15">
        <v>76.0</v>
      </c>
      <c r="E2485" s="15" t="s">
        <v>4950</v>
      </c>
      <c r="F2485" s="15" t="s">
        <v>1473</v>
      </c>
      <c r="G2485" s="15" t="s">
        <v>2556</v>
      </c>
      <c r="H2485" s="15">
        <v>2</v>
      </c>
      <c r="I2485" s="15" t="s">
        <v>583</v>
      </c>
      <c r="J2485" s="15" t="s">
        <v>22</v>
      </c>
      <c r="K2485" s="15" t="s">
        <v>225</v>
      </c>
      <c r="L2485" s="15" t="s">
        <v>24</v>
      </c>
      <c r="M2485" s="16">
        <v>0.25</v>
      </c>
      <c r="N2485" s="16">
        <v>0.25</v>
      </c>
      <c r="O2485" s="16">
        <v>0.25</v>
      </c>
      <c r="P2485" s="55">
        <v>45395.0</v>
      </c>
      <c r="Q2485" s="18">
        <v>1.725</v>
      </c>
      <c r="R2485" s="15" t="s">
        <v>25</v>
      </c>
      <c r="S2485" s="19">
        <f t="shared" si="1"/>
        <v>-0.25</v>
      </c>
      <c r="T2485" s="19">
        <f t="shared" si="8"/>
        <v>91.67511581</v>
      </c>
      <c r="U2485" s="144"/>
    </row>
    <row r="2486">
      <c r="A2486" s="107"/>
      <c r="B2486" s="8" t="s">
        <v>4225</v>
      </c>
      <c r="C2486" s="8" t="s">
        <v>19</v>
      </c>
      <c r="D2486" s="8">
        <v>62.0</v>
      </c>
      <c r="E2486" s="8" t="s">
        <v>4951</v>
      </c>
      <c r="F2486" s="8" t="s">
        <v>1473</v>
      </c>
      <c r="G2486" s="8" t="s">
        <v>2660</v>
      </c>
      <c r="H2486" s="8">
        <v>0.0</v>
      </c>
      <c r="I2486" s="8" t="s">
        <v>4952</v>
      </c>
      <c r="J2486" s="8" t="s">
        <v>22</v>
      </c>
      <c r="K2486" s="8" t="s">
        <v>892</v>
      </c>
      <c r="L2486" s="8" t="s">
        <v>24</v>
      </c>
      <c r="M2486" s="9">
        <v>0.0</v>
      </c>
      <c r="N2486" s="9">
        <v>0.4</v>
      </c>
      <c r="O2486" s="9">
        <v>0.4</v>
      </c>
      <c r="P2486" s="54">
        <v>45395.0</v>
      </c>
      <c r="Q2486" s="11">
        <v>1.875</v>
      </c>
      <c r="R2486" s="8" t="s">
        <v>70</v>
      </c>
      <c r="S2486" s="12">
        <f t="shared" si="1"/>
        <v>0</v>
      </c>
      <c r="T2486" s="12">
        <f t="shared" si="8"/>
        <v>91.67511581</v>
      </c>
      <c r="U2486" s="145"/>
    </row>
    <row r="2487">
      <c r="A2487" s="29"/>
      <c r="B2487" s="15" t="s">
        <v>4225</v>
      </c>
      <c r="C2487" s="15" t="s">
        <v>40</v>
      </c>
      <c r="D2487" s="15">
        <v>68.0</v>
      </c>
      <c r="E2487" s="15" t="s">
        <v>4953</v>
      </c>
      <c r="F2487" s="15" t="s">
        <v>1473</v>
      </c>
      <c r="G2487" s="15" t="s">
        <v>2660</v>
      </c>
      <c r="H2487" s="15">
        <v>0.0</v>
      </c>
      <c r="I2487" s="15" t="s">
        <v>463</v>
      </c>
      <c r="J2487" s="15" t="s">
        <v>22</v>
      </c>
      <c r="K2487" s="15" t="s">
        <v>892</v>
      </c>
      <c r="L2487" s="15" t="s">
        <v>24</v>
      </c>
      <c r="M2487" s="16">
        <v>0.0</v>
      </c>
      <c r="N2487" s="16">
        <v>0.2</v>
      </c>
      <c r="O2487" s="16">
        <v>0.2</v>
      </c>
      <c r="P2487" s="55">
        <v>45395.0</v>
      </c>
      <c r="Q2487" s="18">
        <v>2.05</v>
      </c>
      <c r="R2487" s="15" t="s">
        <v>70</v>
      </c>
      <c r="S2487" s="19">
        <f t="shared" si="1"/>
        <v>0</v>
      </c>
      <c r="T2487" s="19">
        <f t="shared" si="8"/>
        <v>91.67511581</v>
      </c>
      <c r="U2487" s="144"/>
    </row>
    <row r="2488">
      <c r="A2488" s="107"/>
      <c r="B2488" s="8" t="s">
        <v>4225</v>
      </c>
      <c r="C2488" s="8" t="s">
        <v>19</v>
      </c>
      <c r="D2488" s="8">
        <v>70.0</v>
      </c>
      <c r="E2488" s="8" t="s">
        <v>4953</v>
      </c>
      <c r="F2488" s="8" t="s">
        <v>1473</v>
      </c>
      <c r="G2488" s="8" t="s">
        <v>2660</v>
      </c>
      <c r="H2488" s="8">
        <v>0.0</v>
      </c>
      <c r="I2488" s="8" t="s">
        <v>463</v>
      </c>
      <c r="J2488" s="8" t="s">
        <v>22</v>
      </c>
      <c r="K2488" s="8" t="s">
        <v>892</v>
      </c>
      <c r="L2488" s="8" t="s">
        <v>24</v>
      </c>
      <c r="M2488" s="9">
        <v>0.0</v>
      </c>
      <c r="N2488" s="9">
        <v>0.25</v>
      </c>
      <c r="O2488" s="9">
        <v>0.25</v>
      </c>
      <c r="P2488" s="54">
        <v>45395.0</v>
      </c>
      <c r="Q2488" s="11">
        <v>1.75</v>
      </c>
      <c r="R2488" s="8" t="s">
        <v>70</v>
      </c>
      <c r="S2488" s="12">
        <f t="shared" si="1"/>
        <v>0</v>
      </c>
      <c r="T2488" s="12">
        <f t="shared" si="8"/>
        <v>91.67511581</v>
      </c>
      <c r="U2488" s="145"/>
    </row>
    <row r="2489">
      <c r="A2489" s="29"/>
      <c r="B2489" s="15" t="s">
        <v>4225</v>
      </c>
      <c r="C2489" s="15" t="s">
        <v>19</v>
      </c>
      <c r="D2489" s="15">
        <v>28.0</v>
      </c>
      <c r="E2489" s="15" t="s">
        <v>4954</v>
      </c>
      <c r="F2489" s="15" t="s">
        <v>1479</v>
      </c>
      <c r="G2489" s="15" t="s">
        <v>2556</v>
      </c>
      <c r="H2489" s="15">
        <v>0.0</v>
      </c>
      <c r="I2489" s="15" t="s">
        <v>908</v>
      </c>
      <c r="J2489" s="15" t="s">
        <v>22</v>
      </c>
      <c r="K2489" s="15" t="s">
        <v>225</v>
      </c>
      <c r="L2489" s="15" t="s">
        <v>24</v>
      </c>
      <c r="M2489" s="16">
        <v>0.5</v>
      </c>
      <c r="N2489" s="16">
        <v>1.0</v>
      </c>
      <c r="O2489" s="16">
        <v>1.0</v>
      </c>
      <c r="P2489" s="17">
        <v>45395.0</v>
      </c>
      <c r="Q2489" s="18">
        <v>1.8</v>
      </c>
      <c r="R2489" s="15" t="s">
        <v>25</v>
      </c>
      <c r="S2489" s="19">
        <f t="shared" si="1"/>
        <v>-1</v>
      </c>
      <c r="T2489" s="19">
        <f t="shared" si="8"/>
        <v>90.67511581</v>
      </c>
      <c r="U2489" s="144"/>
    </row>
    <row r="2490">
      <c r="A2490" s="107"/>
      <c r="B2490" s="8" t="s">
        <v>4225</v>
      </c>
      <c r="C2490" s="8" t="s">
        <v>40</v>
      </c>
      <c r="D2490" s="8">
        <v>86.0</v>
      </c>
      <c r="E2490" s="8" t="s">
        <v>4955</v>
      </c>
      <c r="F2490" s="8" t="s">
        <v>1479</v>
      </c>
      <c r="G2490" s="8" t="s">
        <v>2660</v>
      </c>
      <c r="H2490" s="8">
        <v>0.0</v>
      </c>
      <c r="I2490" s="8" t="s">
        <v>463</v>
      </c>
      <c r="J2490" s="8" t="s">
        <v>22</v>
      </c>
      <c r="K2490" s="8" t="s">
        <v>892</v>
      </c>
      <c r="L2490" s="8" t="s">
        <v>24</v>
      </c>
      <c r="M2490" s="9">
        <v>0.0</v>
      </c>
      <c r="N2490" s="9">
        <v>0.25</v>
      </c>
      <c r="O2490" s="9">
        <v>0.25</v>
      </c>
      <c r="P2490" s="10">
        <v>45395.0</v>
      </c>
      <c r="Q2490" s="11">
        <v>2.02</v>
      </c>
      <c r="R2490" s="8" t="s">
        <v>70</v>
      </c>
      <c r="S2490" s="12">
        <f t="shared" si="1"/>
        <v>0</v>
      </c>
      <c r="T2490" s="12">
        <f t="shared" si="8"/>
        <v>90.67511581</v>
      </c>
      <c r="U2490" s="145"/>
    </row>
    <row r="2491">
      <c r="A2491" s="29"/>
      <c r="B2491" s="15" t="s">
        <v>129</v>
      </c>
      <c r="C2491" s="15" t="s">
        <v>19</v>
      </c>
      <c r="D2491" s="15">
        <v>60.0</v>
      </c>
      <c r="E2491" s="15" t="s">
        <v>4956</v>
      </c>
      <c r="F2491" s="15" t="s">
        <v>1479</v>
      </c>
      <c r="G2491" s="15" t="s">
        <v>2660</v>
      </c>
      <c r="H2491" s="15">
        <v>0.0</v>
      </c>
      <c r="I2491" s="15" t="s">
        <v>463</v>
      </c>
      <c r="J2491" s="15" t="s">
        <v>22</v>
      </c>
      <c r="K2491" s="15" t="s">
        <v>892</v>
      </c>
      <c r="L2491" s="15" t="s">
        <v>24</v>
      </c>
      <c r="M2491" s="16">
        <v>0.0</v>
      </c>
      <c r="N2491" s="16">
        <v>0.6</v>
      </c>
      <c r="O2491" s="16">
        <v>0.6</v>
      </c>
      <c r="P2491" s="17">
        <v>45395.0</v>
      </c>
      <c r="Q2491" s="18">
        <v>1.775</v>
      </c>
      <c r="R2491" s="15" t="s">
        <v>33</v>
      </c>
      <c r="S2491" s="19">
        <f t="shared" si="1"/>
        <v>0.465</v>
      </c>
      <c r="T2491" s="19">
        <f t="shared" si="8"/>
        <v>91.14011581</v>
      </c>
      <c r="U2491" s="144"/>
    </row>
    <row r="2492">
      <c r="A2492" s="107"/>
      <c r="B2492" s="8" t="s">
        <v>129</v>
      </c>
      <c r="C2492" s="8" t="s">
        <v>19</v>
      </c>
      <c r="D2492" s="8">
        <v>60.0</v>
      </c>
      <c r="E2492" s="8" t="s">
        <v>4957</v>
      </c>
      <c r="F2492" s="8" t="s">
        <v>1473</v>
      </c>
      <c r="G2492" s="8" t="s">
        <v>2660</v>
      </c>
      <c r="H2492" s="8">
        <v>0.0</v>
      </c>
      <c r="I2492" s="8" t="s">
        <v>2667</v>
      </c>
      <c r="J2492" s="8" t="s">
        <v>22</v>
      </c>
      <c r="K2492" s="8" t="s">
        <v>892</v>
      </c>
      <c r="L2492" s="8" t="s">
        <v>24</v>
      </c>
      <c r="M2492" s="9">
        <v>0.0</v>
      </c>
      <c r="N2492" s="9">
        <v>1.0</v>
      </c>
      <c r="O2492" s="9">
        <v>1.0</v>
      </c>
      <c r="P2492" s="10">
        <v>45395.0</v>
      </c>
      <c r="Q2492" s="11">
        <v>1.975</v>
      </c>
      <c r="R2492" s="8" t="s">
        <v>70</v>
      </c>
      <c r="S2492" s="12">
        <f t="shared" si="1"/>
        <v>0</v>
      </c>
      <c r="T2492" s="12">
        <f t="shared" si="8"/>
        <v>91.14011581</v>
      </c>
      <c r="U2492" s="145"/>
    </row>
    <row r="2493">
      <c r="A2493" s="29"/>
      <c r="B2493" s="15" t="s">
        <v>129</v>
      </c>
      <c r="C2493" s="15" t="s">
        <v>19</v>
      </c>
      <c r="D2493" s="15">
        <v>73.0</v>
      </c>
      <c r="E2493" s="15" t="s">
        <v>4958</v>
      </c>
      <c r="F2493" s="15" t="s">
        <v>1479</v>
      </c>
      <c r="G2493" s="15" t="s">
        <v>2660</v>
      </c>
      <c r="H2493" s="15">
        <v>0.0</v>
      </c>
      <c r="I2493" s="15" t="s">
        <v>2667</v>
      </c>
      <c r="J2493" s="15" t="s">
        <v>22</v>
      </c>
      <c r="K2493" s="15" t="s">
        <v>892</v>
      </c>
      <c r="L2493" s="15" t="s">
        <v>24</v>
      </c>
      <c r="M2493" s="16">
        <v>0.0</v>
      </c>
      <c r="N2493" s="16">
        <v>0.6</v>
      </c>
      <c r="O2493" s="16">
        <v>0.6</v>
      </c>
      <c r="P2493" s="17">
        <v>45395.0</v>
      </c>
      <c r="Q2493" s="18">
        <v>1.9</v>
      </c>
      <c r="R2493" s="15" t="s">
        <v>70</v>
      </c>
      <c r="S2493" s="19">
        <f t="shared" si="1"/>
        <v>0</v>
      </c>
      <c r="T2493" s="19">
        <f t="shared" si="8"/>
        <v>91.14011581</v>
      </c>
      <c r="U2493" s="144"/>
    </row>
    <row r="2494">
      <c r="A2494" s="107"/>
      <c r="B2494" s="8" t="s">
        <v>129</v>
      </c>
      <c r="C2494" s="8"/>
      <c r="D2494" s="8">
        <v>76.0</v>
      </c>
      <c r="E2494" s="8" t="s">
        <v>4959</v>
      </c>
      <c r="F2494" s="8" t="s">
        <v>1473</v>
      </c>
      <c r="G2494" s="8" t="s">
        <v>2573</v>
      </c>
      <c r="H2494" s="8">
        <v>0.0</v>
      </c>
      <c r="I2494" s="8" t="s">
        <v>2667</v>
      </c>
      <c r="J2494" s="8" t="s">
        <v>22</v>
      </c>
      <c r="K2494" s="8" t="s">
        <v>894</v>
      </c>
      <c r="L2494" s="8" t="s">
        <v>24</v>
      </c>
      <c r="M2494" s="9">
        <v>-0.25</v>
      </c>
      <c r="N2494" s="9">
        <v>0.2</v>
      </c>
      <c r="O2494" s="9">
        <v>0.15</v>
      </c>
      <c r="P2494" s="10">
        <v>45395.0</v>
      </c>
      <c r="Q2494" s="11">
        <v>2.825</v>
      </c>
      <c r="R2494" s="8" t="s">
        <v>79</v>
      </c>
      <c r="S2494" s="12">
        <f t="shared" si="1"/>
        <v>-0.075</v>
      </c>
      <c r="T2494" s="12">
        <f t="shared" si="8"/>
        <v>91.06511581</v>
      </c>
      <c r="U2494" s="145"/>
    </row>
    <row r="2495">
      <c r="A2495" s="29"/>
      <c r="B2495" s="15" t="s">
        <v>26</v>
      </c>
      <c r="C2495" s="15" t="s">
        <v>19</v>
      </c>
      <c r="D2495" s="15">
        <v>32.0</v>
      </c>
      <c r="E2495" s="15" t="s">
        <v>4960</v>
      </c>
      <c r="F2495" s="15" t="s">
        <v>1473</v>
      </c>
      <c r="G2495" s="15" t="s">
        <v>2660</v>
      </c>
      <c r="H2495" s="15">
        <v>0.0</v>
      </c>
      <c r="I2495" s="15" t="s">
        <v>583</v>
      </c>
      <c r="J2495" s="15" t="s">
        <v>22</v>
      </c>
      <c r="K2495" s="15" t="s">
        <v>1150</v>
      </c>
      <c r="L2495" s="15" t="s">
        <v>24</v>
      </c>
      <c r="M2495" s="16">
        <v>0.0</v>
      </c>
      <c r="N2495" s="16">
        <v>0.6</v>
      </c>
      <c r="O2495" s="16">
        <v>0.36</v>
      </c>
      <c r="P2495" s="17">
        <v>45395.0</v>
      </c>
      <c r="Q2495" s="18">
        <v>1.825</v>
      </c>
      <c r="R2495" s="15" t="s">
        <v>70</v>
      </c>
      <c r="S2495" s="19">
        <f t="shared" si="1"/>
        <v>0</v>
      </c>
      <c r="T2495" s="19">
        <f t="shared" si="8"/>
        <v>91.06511581</v>
      </c>
      <c r="U2495" s="144"/>
    </row>
    <row r="2496">
      <c r="A2496" s="107"/>
      <c r="B2496" s="8" t="s">
        <v>4225</v>
      </c>
      <c r="C2496" s="8" t="s">
        <v>19</v>
      </c>
      <c r="D2496" s="8">
        <v>65.0</v>
      </c>
      <c r="E2496" s="8" t="s">
        <v>4961</v>
      </c>
      <c r="F2496" s="8" t="s">
        <v>1473</v>
      </c>
      <c r="G2496" s="8" t="s">
        <v>2660</v>
      </c>
      <c r="H2496" s="8">
        <v>-1.0</v>
      </c>
      <c r="I2496" s="8" t="s">
        <v>583</v>
      </c>
      <c r="J2496" s="8" t="s">
        <v>22</v>
      </c>
      <c r="K2496" s="8" t="s">
        <v>892</v>
      </c>
      <c r="L2496" s="8" t="s">
        <v>24</v>
      </c>
      <c r="M2496" s="9">
        <v>0.0</v>
      </c>
      <c r="N2496" s="9">
        <v>1.0</v>
      </c>
      <c r="O2496" s="9">
        <v>1.0</v>
      </c>
      <c r="P2496" s="10">
        <v>45395.0</v>
      </c>
      <c r="Q2496" s="11">
        <v>1.975</v>
      </c>
      <c r="R2496" s="8" t="s">
        <v>25</v>
      </c>
      <c r="S2496" s="12">
        <f t="shared" si="1"/>
        <v>-1</v>
      </c>
      <c r="T2496" s="12">
        <f t="shared" si="8"/>
        <v>90.06511581</v>
      </c>
      <c r="U2496" s="145"/>
    </row>
    <row r="2497">
      <c r="A2497" s="29"/>
      <c r="B2497" s="15" t="s">
        <v>129</v>
      </c>
      <c r="C2497" s="15" t="s">
        <v>40</v>
      </c>
      <c r="D2497" s="15">
        <v>20.0</v>
      </c>
      <c r="E2497" s="15" t="s">
        <v>4962</v>
      </c>
      <c r="F2497" s="15" t="s">
        <v>1473</v>
      </c>
      <c r="G2497" s="15" t="s">
        <v>2660</v>
      </c>
      <c r="H2497" s="15">
        <v>0.0</v>
      </c>
      <c r="I2497" s="15" t="s">
        <v>66</v>
      </c>
      <c r="J2497" s="15" t="s">
        <v>22</v>
      </c>
      <c r="K2497" s="15" t="s">
        <v>892</v>
      </c>
      <c r="L2497" s="15" t="s">
        <v>24</v>
      </c>
      <c r="M2497" s="16">
        <v>0.0</v>
      </c>
      <c r="N2497" s="16">
        <v>1.0</v>
      </c>
      <c r="O2497" s="16">
        <v>1.0</v>
      </c>
      <c r="P2497" s="17">
        <v>45395.0</v>
      </c>
      <c r="Q2497" s="18">
        <v>1.9</v>
      </c>
      <c r="R2497" s="15" t="s">
        <v>33</v>
      </c>
      <c r="S2497" s="19">
        <f t="shared" si="1"/>
        <v>0.9</v>
      </c>
      <c r="T2497" s="19">
        <f t="shared" si="8"/>
        <v>90.96511581</v>
      </c>
      <c r="U2497" s="144"/>
    </row>
    <row r="2498">
      <c r="A2498" s="107"/>
      <c r="B2498" s="8" t="s">
        <v>26</v>
      </c>
      <c r="C2498" s="8" t="s">
        <v>19</v>
      </c>
      <c r="D2498" s="8">
        <v>25.0</v>
      </c>
      <c r="E2498" s="8" t="s">
        <v>4963</v>
      </c>
      <c r="F2498" s="8" t="s">
        <v>1473</v>
      </c>
      <c r="G2498" s="8" t="s">
        <v>2660</v>
      </c>
      <c r="H2498" s="8">
        <v>0.0</v>
      </c>
      <c r="I2498" s="8" t="s">
        <v>66</v>
      </c>
      <c r="J2498" s="8" t="s">
        <v>22</v>
      </c>
      <c r="K2498" s="8" t="s">
        <v>892</v>
      </c>
      <c r="L2498" s="8" t="s">
        <v>24</v>
      </c>
      <c r="M2498" s="9">
        <v>0.0</v>
      </c>
      <c r="N2498" s="9">
        <v>1.0</v>
      </c>
      <c r="O2498" s="9">
        <v>1.0</v>
      </c>
      <c r="P2498" s="54">
        <v>45395.0</v>
      </c>
      <c r="Q2498" s="11">
        <v>2.02</v>
      </c>
      <c r="R2498" s="8" t="s">
        <v>33</v>
      </c>
      <c r="S2498" s="12">
        <f t="shared" si="1"/>
        <v>1.02</v>
      </c>
      <c r="T2498" s="12">
        <f t="shared" si="8"/>
        <v>91.98511581</v>
      </c>
      <c r="U2498" s="145"/>
    </row>
    <row r="2499">
      <c r="A2499" s="29"/>
      <c r="B2499" s="15" t="s">
        <v>4225</v>
      </c>
      <c r="C2499" s="15" t="s">
        <v>19</v>
      </c>
      <c r="D2499" s="15">
        <v>70.0</v>
      </c>
      <c r="E2499" s="15" t="s">
        <v>4964</v>
      </c>
      <c r="F2499" s="15" t="s">
        <v>1473</v>
      </c>
      <c r="G2499" s="15" t="s">
        <v>2660</v>
      </c>
      <c r="H2499" s="15">
        <v>-2.0</v>
      </c>
      <c r="I2499" s="15" t="s">
        <v>178</v>
      </c>
      <c r="J2499" s="15" t="s">
        <v>22</v>
      </c>
      <c r="K2499" s="15" t="s">
        <v>892</v>
      </c>
      <c r="L2499" s="15" t="s">
        <v>1522</v>
      </c>
      <c r="M2499" s="16">
        <v>0.0</v>
      </c>
      <c r="N2499" s="16">
        <v>0.25</v>
      </c>
      <c r="O2499" s="16">
        <v>0.25</v>
      </c>
      <c r="P2499" s="17">
        <v>45395.0</v>
      </c>
      <c r="Q2499" s="18">
        <v>1.975</v>
      </c>
      <c r="R2499" s="15" t="s">
        <v>25</v>
      </c>
      <c r="S2499" s="19">
        <f t="shared" si="1"/>
        <v>-0.25</v>
      </c>
      <c r="T2499" s="19">
        <f t="shared" si="8"/>
        <v>91.73511581</v>
      </c>
      <c r="U2499" s="144"/>
    </row>
    <row r="2500">
      <c r="A2500" s="107"/>
      <c r="B2500" s="8" t="s">
        <v>26</v>
      </c>
      <c r="C2500" s="8" t="s">
        <v>19</v>
      </c>
      <c r="D2500" s="8">
        <v>55.0</v>
      </c>
      <c r="E2500" s="8" t="s">
        <v>4965</v>
      </c>
      <c r="F2500" s="8" t="s">
        <v>1473</v>
      </c>
      <c r="G2500" s="8" t="s">
        <v>2660</v>
      </c>
      <c r="H2500" s="8">
        <v>0.0</v>
      </c>
      <c r="I2500" s="8" t="s">
        <v>66</v>
      </c>
      <c r="J2500" s="8" t="s">
        <v>22</v>
      </c>
      <c r="K2500" s="8" t="s">
        <v>892</v>
      </c>
      <c r="L2500" s="8" t="s">
        <v>24</v>
      </c>
      <c r="M2500" s="9">
        <v>0.0</v>
      </c>
      <c r="N2500" s="9">
        <v>1.0</v>
      </c>
      <c r="O2500" s="9">
        <v>1.0</v>
      </c>
      <c r="P2500" s="10">
        <v>45395.0</v>
      </c>
      <c r="Q2500" s="11">
        <v>1.95</v>
      </c>
      <c r="R2500" s="8" t="s">
        <v>25</v>
      </c>
      <c r="S2500" s="12">
        <f t="shared" si="1"/>
        <v>-1</v>
      </c>
      <c r="T2500" s="12">
        <f t="shared" si="8"/>
        <v>90.73511581</v>
      </c>
      <c r="U2500" s="145"/>
    </row>
    <row r="2501">
      <c r="A2501" s="29"/>
      <c r="B2501" s="15" t="s">
        <v>26</v>
      </c>
      <c r="C2501" s="15" t="s">
        <v>19</v>
      </c>
      <c r="D2501" s="15">
        <v>65.0</v>
      </c>
      <c r="E2501" s="15" t="s">
        <v>4966</v>
      </c>
      <c r="F2501" s="15" t="s">
        <v>1479</v>
      </c>
      <c r="G2501" s="15"/>
      <c r="H2501" s="15"/>
      <c r="I2501" s="15" t="s">
        <v>66</v>
      </c>
      <c r="J2501" s="15" t="s">
        <v>22</v>
      </c>
      <c r="K2501" s="15" t="s">
        <v>1023</v>
      </c>
      <c r="L2501" s="15" t="s">
        <v>24</v>
      </c>
      <c r="M2501" s="16"/>
      <c r="N2501" s="16">
        <v>0.4</v>
      </c>
      <c r="O2501" s="16">
        <v>0.4</v>
      </c>
      <c r="P2501" s="17">
        <v>45395.0</v>
      </c>
      <c r="Q2501" s="18">
        <v>2.6</v>
      </c>
      <c r="R2501" s="15" t="s">
        <v>25</v>
      </c>
      <c r="S2501" s="19">
        <f t="shared" si="1"/>
        <v>-0.4</v>
      </c>
      <c r="T2501" s="19">
        <f t="shared" si="8"/>
        <v>90.33511581</v>
      </c>
      <c r="U2501" s="144"/>
    </row>
    <row r="2502">
      <c r="A2502" s="107"/>
      <c r="B2502" s="8" t="s">
        <v>137</v>
      </c>
      <c r="C2502" s="8" t="s">
        <v>19</v>
      </c>
      <c r="D2502" s="8">
        <v>32.0</v>
      </c>
      <c r="E2502" s="8" t="s">
        <v>4967</v>
      </c>
      <c r="F2502" s="8" t="s">
        <v>1473</v>
      </c>
      <c r="G2502" s="8" t="s">
        <v>2660</v>
      </c>
      <c r="H2502" s="8">
        <v>0.0</v>
      </c>
      <c r="I2502" s="8" t="s">
        <v>233</v>
      </c>
      <c r="J2502" s="8" t="s">
        <v>22</v>
      </c>
      <c r="K2502" s="8" t="s">
        <v>892</v>
      </c>
      <c r="L2502" s="8" t="s">
        <v>24</v>
      </c>
      <c r="M2502" s="9">
        <v>0.0</v>
      </c>
      <c r="N2502" s="9">
        <v>0.25</v>
      </c>
      <c r="O2502" s="9">
        <v>0.25</v>
      </c>
      <c r="P2502" s="54">
        <v>45395.0</v>
      </c>
      <c r="Q2502" s="11">
        <v>1.775</v>
      </c>
      <c r="R2502" s="8" t="s">
        <v>33</v>
      </c>
      <c r="S2502" s="12">
        <f t="shared" si="1"/>
        <v>0.19375</v>
      </c>
      <c r="T2502" s="12">
        <f t="shared" si="8"/>
        <v>90.52886581</v>
      </c>
      <c r="U2502" s="145"/>
    </row>
    <row r="2503">
      <c r="A2503" s="29"/>
      <c r="B2503" s="15" t="s">
        <v>26</v>
      </c>
      <c r="C2503" s="15" t="s">
        <v>40</v>
      </c>
      <c r="D2503" s="15">
        <v>55.0</v>
      </c>
      <c r="E2503" s="15" t="s">
        <v>4968</v>
      </c>
      <c r="F2503" s="15" t="s">
        <v>1479</v>
      </c>
      <c r="G2503" s="15" t="s">
        <v>2660</v>
      </c>
      <c r="H2503" s="15">
        <v>0.0</v>
      </c>
      <c r="I2503" s="15" t="s">
        <v>93</v>
      </c>
      <c r="J2503" s="15" t="s">
        <v>22</v>
      </c>
      <c r="K2503" s="15" t="s">
        <v>892</v>
      </c>
      <c r="L2503" s="15" t="s">
        <v>24</v>
      </c>
      <c r="M2503" s="16">
        <v>0.0</v>
      </c>
      <c r="N2503" s="16">
        <v>1.0</v>
      </c>
      <c r="O2503" s="16">
        <v>1.0</v>
      </c>
      <c r="P2503" s="17">
        <v>45395.0</v>
      </c>
      <c r="Q2503" s="18">
        <v>1.875</v>
      </c>
      <c r="R2503" s="15" t="s">
        <v>25</v>
      </c>
      <c r="S2503" s="19">
        <f t="shared" si="1"/>
        <v>-1</v>
      </c>
      <c r="T2503" s="19">
        <f t="shared" si="8"/>
        <v>89.52886581</v>
      </c>
      <c r="U2503" s="144"/>
    </row>
    <row r="2504">
      <c r="A2504" s="107"/>
      <c r="B2504" s="8" t="s">
        <v>4225</v>
      </c>
      <c r="C2504" s="8" t="s">
        <v>19</v>
      </c>
      <c r="D2504" s="8">
        <v>67.0</v>
      </c>
      <c r="E2504" s="8" t="s">
        <v>4969</v>
      </c>
      <c r="F2504" s="8" t="s">
        <v>1479</v>
      </c>
      <c r="G2504" s="8" t="s">
        <v>2660</v>
      </c>
      <c r="H2504" s="8">
        <v>-1.0</v>
      </c>
      <c r="I2504" s="8" t="s">
        <v>50</v>
      </c>
      <c r="J2504" s="8" t="s">
        <v>22</v>
      </c>
      <c r="K2504" s="8" t="s">
        <v>892</v>
      </c>
      <c r="L2504" s="8" t="s">
        <v>24</v>
      </c>
      <c r="M2504" s="9">
        <v>0.0</v>
      </c>
      <c r="N2504" s="9">
        <v>0.5</v>
      </c>
      <c r="O2504" s="9">
        <v>0.5</v>
      </c>
      <c r="P2504" s="10">
        <v>45395.0</v>
      </c>
      <c r="Q2504" s="11">
        <v>1.8</v>
      </c>
      <c r="R2504" s="8" t="s">
        <v>25</v>
      </c>
      <c r="S2504" s="12">
        <f t="shared" si="1"/>
        <v>-0.5</v>
      </c>
      <c r="T2504" s="12">
        <f t="shared" si="8"/>
        <v>89.02886581</v>
      </c>
      <c r="U2504" s="145"/>
    </row>
    <row r="2505">
      <c r="A2505" s="29"/>
      <c r="B2505" s="15" t="s">
        <v>26</v>
      </c>
      <c r="C2505" s="15" t="s">
        <v>19</v>
      </c>
      <c r="D2505" s="15">
        <v>70.0</v>
      </c>
      <c r="E2505" s="15" t="s">
        <v>4970</v>
      </c>
      <c r="F2505" s="15" t="s">
        <v>1479</v>
      </c>
      <c r="G2505" s="15" t="s">
        <v>2660</v>
      </c>
      <c r="H2505" s="15">
        <v>-1.0</v>
      </c>
      <c r="I2505" s="15" t="s">
        <v>448</v>
      </c>
      <c r="J2505" s="15" t="s">
        <v>22</v>
      </c>
      <c r="K2505" s="15" t="s">
        <v>892</v>
      </c>
      <c r="L2505" s="15" t="s">
        <v>24</v>
      </c>
      <c r="M2505" s="16">
        <v>0.0</v>
      </c>
      <c r="N2505" s="16">
        <v>1.0</v>
      </c>
      <c r="O2505" s="16">
        <v>1.0</v>
      </c>
      <c r="P2505" s="17">
        <v>45396.0</v>
      </c>
      <c r="Q2505" s="18">
        <v>1.95</v>
      </c>
      <c r="R2505" s="15" t="s">
        <v>33</v>
      </c>
      <c r="S2505" s="19">
        <f t="shared" si="1"/>
        <v>0.95</v>
      </c>
      <c r="T2505" s="19">
        <f t="shared" si="8"/>
        <v>89.97886581</v>
      </c>
      <c r="U2505" s="144"/>
    </row>
    <row r="2506">
      <c r="A2506" s="107"/>
      <c r="B2506" s="8" t="s">
        <v>4225</v>
      </c>
      <c r="C2506" s="8" t="s">
        <v>19</v>
      </c>
      <c r="D2506" s="8">
        <v>32.0</v>
      </c>
      <c r="E2506" s="8" t="s">
        <v>4971</v>
      </c>
      <c r="F2506" s="8" t="s">
        <v>1479</v>
      </c>
      <c r="G2506" s="8" t="s">
        <v>2556</v>
      </c>
      <c r="H2506" s="8">
        <v>0.0</v>
      </c>
      <c r="I2506" s="8" t="s">
        <v>806</v>
      </c>
      <c r="J2506" s="8" t="s">
        <v>22</v>
      </c>
      <c r="K2506" s="8" t="s">
        <v>1847</v>
      </c>
      <c r="L2506" s="8" t="s">
        <v>24</v>
      </c>
      <c r="M2506" s="9">
        <v>-0.5</v>
      </c>
      <c r="N2506" s="9">
        <v>0.25</v>
      </c>
      <c r="O2506" s="9">
        <v>0.25</v>
      </c>
      <c r="P2506" s="10">
        <v>45396.0</v>
      </c>
      <c r="Q2506" s="11">
        <v>1.91</v>
      </c>
      <c r="R2506" s="8" t="s">
        <v>25</v>
      </c>
      <c r="S2506" s="12">
        <f t="shared" si="1"/>
        <v>-0.25</v>
      </c>
      <c r="T2506" s="12">
        <f t="shared" si="8"/>
        <v>89.72886581</v>
      </c>
      <c r="U2506" s="145"/>
    </row>
    <row r="2507">
      <c r="A2507" s="29"/>
      <c r="B2507" s="15" t="s">
        <v>4225</v>
      </c>
      <c r="C2507" s="15" t="s">
        <v>40</v>
      </c>
      <c r="D2507" s="15">
        <v>88.0</v>
      </c>
      <c r="E2507" s="15" t="s">
        <v>4972</v>
      </c>
      <c r="F2507" s="15"/>
      <c r="G2507" s="15"/>
      <c r="H2507" s="15"/>
      <c r="I2507" s="15" t="s">
        <v>683</v>
      </c>
      <c r="J2507" s="15" t="s">
        <v>22</v>
      </c>
      <c r="K2507" s="15" t="s">
        <v>2939</v>
      </c>
      <c r="L2507" s="15" t="s">
        <v>24</v>
      </c>
      <c r="M2507" s="16">
        <v>-7.5</v>
      </c>
      <c r="N2507" s="16">
        <v>0.1</v>
      </c>
      <c r="O2507" s="16">
        <v>0.1</v>
      </c>
      <c r="P2507" s="17">
        <v>45396.0</v>
      </c>
      <c r="Q2507" s="18">
        <v>1.75</v>
      </c>
      <c r="R2507" s="15" t="s">
        <v>33</v>
      </c>
      <c r="S2507" s="19">
        <f t="shared" si="1"/>
        <v>0.075</v>
      </c>
      <c r="T2507" s="19">
        <f t="shared" si="8"/>
        <v>89.80386581</v>
      </c>
      <c r="U2507" s="144"/>
    </row>
    <row r="2508">
      <c r="A2508" s="107"/>
      <c r="B2508" s="8" t="s">
        <v>4225</v>
      </c>
      <c r="C2508" s="8" t="s">
        <v>40</v>
      </c>
      <c r="D2508" s="8">
        <v>88.0</v>
      </c>
      <c r="E2508" s="8" t="s">
        <v>4973</v>
      </c>
      <c r="F2508" s="8"/>
      <c r="G2508" s="8"/>
      <c r="H2508" s="8"/>
      <c r="I2508" s="8" t="s">
        <v>683</v>
      </c>
      <c r="J2508" s="8" t="s">
        <v>22</v>
      </c>
      <c r="K2508" s="8" t="s">
        <v>4974</v>
      </c>
      <c r="L2508" s="8" t="s">
        <v>24</v>
      </c>
      <c r="M2508" s="9">
        <v>7.5</v>
      </c>
      <c r="N2508" s="9">
        <v>0.05</v>
      </c>
      <c r="O2508" s="9">
        <v>0.05</v>
      </c>
      <c r="P2508" s="10">
        <v>45396.0</v>
      </c>
      <c r="Q2508" s="11">
        <v>2.75</v>
      </c>
      <c r="R2508" s="8" t="s">
        <v>25</v>
      </c>
      <c r="S2508" s="12">
        <f t="shared" si="1"/>
        <v>-0.05</v>
      </c>
      <c r="T2508" s="12">
        <f t="shared" si="8"/>
        <v>89.75386581</v>
      </c>
      <c r="U2508" s="145"/>
    </row>
    <row r="2509">
      <c r="A2509" s="29"/>
      <c r="B2509" s="15" t="s">
        <v>129</v>
      </c>
      <c r="C2509" s="15" t="s">
        <v>19</v>
      </c>
      <c r="D2509" s="15">
        <v>63.0</v>
      </c>
      <c r="E2509" s="15" t="s">
        <v>4975</v>
      </c>
      <c r="F2509" s="15" t="s">
        <v>1473</v>
      </c>
      <c r="G2509" s="15" t="s">
        <v>2660</v>
      </c>
      <c r="H2509" s="15">
        <v>-1.0</v>
      </c>
      <c r="I2509" s="15" t="s">
        <v>93</v>
      </c>
      <c r="J2509" s="15" t="s">
        <v>22</v>
      </c>
      <c r="K2509" s="15" t="s">
        <v>892</v>
      </c>
      <c r="L2509" s="15" t="s">
        <v>24</v>
      </c>
      <c r="M2509" s="16">
        <v>0.0</v>
      </c>
      <c r="N2509" s="16">
        <v>0.25</v>
      </c>
      <c r="O2509" s="16">
        <v>0.25</v>
      </c>
      <c r="P2509" s="17">
        <v>45396.0</v>
      </c>
      <c r="Q2509" s="18">
        <v>2.0</v>
      </c>
      <c r="R2509" s="15" t="s">
        <v>70</v>
      </c>
      <c r="S2509" s="19">
        <f t="shared" si="1"/>
        <v>0</v>
      </c>
      <c r="T2509" s="19">
        <f t="shared" si="8"/>
        <v>89.75386581</v>
      </c>
      <c r="U2509" s="144"/>
    </row>
    <row r="2510">
      <c r="A2510" s="107"/>
      <c r="B2510" s="8" t="s">
        <v>137</v>
      </c>
      <c r="C2510" s="8" t="s">
        <v>19</v>
      </c>
      <c r="D2510" s="8">
        <v>70.0</v>
      </c>
      <c r="E2510" s="8" t="s">
        <v>4976</v>
      </c>
      <c r="F2510" s="8" t="s">
        <v>1473</v>
      </c>
      <c r="G2510" s="8" t="s">
        <v>2660</v>
      </c>
      <c r="H2510" s="8">
        <v>0.0</v>
      </c>
      <c r="I2510" s="8" t="s">
        <v>93</v>
      </c>
      <c r="J2510" s="8" t="s">
        <v>22</v>
      </c>
      <c r="K2510" s="8" t="s">
        <v>892</v>
      </c>
      <c r="L2510" s="8" t="s">
        <v>24</v>
      </c>
      <c r="M2510" s="9">
        <v>0.0</v>
      </c>
      <c r="N2510" s="9">
        <v>0.5</v>
      </c>
      <c r="O2510" s="9">
        <v>0.5</v>
      </c>
      <c r="P2510" s="54">
        <v>45396.0</v>
      </c>
      <c r="Q2510" s="11">
        <v>1.8</v>
      </c>
      <c r="R2510" s="8" t="s">
        <v>70</v>
      </c>
      <c r="S2510" s="12">
        <f t="shared" si="1"/>
        <v>0</v>
      </c>
      <c r="T2510" s="12">
        <f t="shared" si="8"/>
        <v>89.75386581</v>
      </c>
      <c r="U2510" s="145"/>
    </row>
    <row r="2511">
      <c r="A2511" s="29"/>
      <c r="B2511" s="15" t="s">
        <v>131</v>
      </c>
      <c r="C2511" s="15" t="s">
        <v>19</v>
      </c>
      <c r="D2511" s="15">
        <v>80.0</v>
      </c>
      <c r="E2511" s="15" t="s">
        <v>4977</v>
      </c>
      <c r="F2511" s="15" t="s">
        <v>1473</v>
      </c>
      <c r="G2511" s="15" t="s">
        <v>2660</v>
      </c>
      <c r="H2511" s="15">
        <v>0.0</v>
      </c>
      <c r="I2511" s="15" t="s">
        <v>44</v>
      </c>
      <c r="J2511" s="15" t="s">
        <v>22</v>
      </c>
      <c r="K2511" s="15" t="s">
        <v>892</v>
      </c>
      <c r="L2511" s="15" t="s">
        <v>24</v>
      </c>
      <c r="M2511" s="16">
        <v>0.0</v>
      </c>
      <c r="N2511" s="16">
        <v>0.5</v>
      </c>
      <c r="O2511" s="16">
        <v>0.5</v>
      </c>
      <c r="P2511" s="17">
        <v>45396.0</v>
      </c>
      <c r="Q2511" s="18">
        <v>1.85</v>
      </c>
      <c r="R2511" s="15" t="s">
        <v>70</v>
      </c>
      <c r="S2511" s="19">
        <f t="shared" si="1"/>
        <v>0</v>
      </c>
      <c r="T2511" s="19">
        <f t="shared" si="8"/>
        <v>89.75386581</v>
      </c>
      <c r="U2511" s="144"/>
    </row>
    <row r="2512">
      <c r="A2512" s="107"/>
      <c r="B2512" s="8" t="s">
        <v>4225</v>
      </c>
      <c r="C2512" s="8" t="s">
        <v>19</v>
      </c>
      <c r="D2512" s="8">
        <v>25.0</v>
      </c>
      <c r="E2512" s="8" t="s">
        <v>4978</v>
      </c>
      <c r="F2512" s="8" t="s">
        <v>1473</v>
      </c>
      <c r="G2512" s="8" t="s">
        <v>2556</v>
      </c>
      <c r="H2512" s="8">
        <v>-1.0</v>
      </c>
      <c r="I2512" s="8" t="s">
        <v>50</v>
      </c>
      <c r="J2512" s="8" t="s">
        <v>22</v>
      </c>
      <c r="K2512" s="8" t="s">
        <v>225</v>
      </c>
      <c r="L2512" s="8" t="s">
        <v>24</v>
      </c>
      <c r="M2512" s="9">
        <v>0.25</v>
      </c>
      <c r="N2512" s="9">
        <v>0.5</v>
      </c>
      <c r="O2512" s="9">
        <v>0.5</v>
      </c>
      <c r="P2512" s="10">
        <v>45396.0</v>
      </c>
      <c r="Q2512" s="11">
        <v>1.85</v>
      </c>
      <c r="R2512" s="8" t="s">
        <v>33</v>
      </c>
      <c r="S2512" s="12">
        <f t="shared" si="1"/>
        <v>0.425</v>
      </c>
      <c r="T2512" s="12">
        <f t="shared" si="8"/>
        <v>90.17886581</v>
      </c>
      <c r="U2512" s="145"/>
    </row>
    <row r="2513">
      <c r="A2513" s="29"/>
      <c r="B2513" s="15" t="s">
        <v>26</v>
      </c>
      <c r="C2513" s="15" t="s">
        <v>19</v>
      </c>
      <c r="D2513" s="15">
        <v>70.0</v>
      </c>
      <c r="E2513" s="113" t="s">
        <v>4979</v>
      </c>
      <c r="F2513" s="15" t="s">
        <v>1473</v>
      </c>
      <c r="G2513" s="15" t="s">
        <v>2660</v>
      </c>
      <c r="H2513" s="15">
        <v>0.0</v>
      </c>
      <c r="I2513" s="15" t="s">
        <v>121</v>
      </c>
      <c r="J2513" s="15" t="s">
        <v>22</v>
      </c>
      <c r="K2513" s="15" t="s">
        <v>892</v>
      </c>
      <c r="L2513" s="15" t="s">
        <v>24</v>
      </c>
      <c r="M2513" s="16">
        <v>0.0</v>
      </c>
      <c r="N2513" s="16">
        <v>0.5</v>
      </c>
      <c r="O2513" s="16">
        <v>0.39</v>
      </c>
      <c r="P2513" s="17">
        <v>45396.0</v>
      </c>
      <c r="Q2513" s="18">
        <v>1.775</v>
      </c>
      <c r="R2513" s="15" t="s">
        <v>70</v>
      </c>
      <c r="S2513" s="19">
        <f t="shared" si="1"/>
        <v>0</v>
      </c>
      <c r="T2513" s="19">
        <f t="shared" si="8"/>
        <v>90.17886581</v>
      </c>
      <c r="U2513" s="144"/>
    </row>
    <row r="2514">
      <c r="A2514" s="107"/>
      <c r="B2514" s="8" t="s">
        <v>4225</v>
      </c>
      <c r="C2514" s="8" t="s">
        <v>19</v>
      </c>
      <c r="D2514" s="8">
        <v>70.0</v>
      </c>
      <c r="E2514" s="8" t="s">
        <v>4980</v>
      </c>
      <c r="F2514" s="8" t="s">
        <v>1473</v>
      </c>
      <c r="G2514" s="8" t="s">
        <v>2556</v>
      </c>
      <c r="H2514" s="8">
        <f>1</f>
        <v>1</v>
      </c>
      <c r="I2514" s="8" t="s">
        <v>316</v>
      </c>
      <c r="J2514" s="8" t="s">
        <v>22</v>
      </c>
      <c r="K2514" s="8" t="s">
        <v>225</v>
      </c>
      <c r="L2514" s="8" t="s">
        <v>24</v>
      </c>
      <c r="M2514" s="9">
        <v>0.25</v>
      </c>
      <c r="N2514" s="9">
        <v>0.5</v>
      </c>
      <c r="O2514" s="9">
        <v>0.47</v>
      </c>
      <c r="P2514" s="10">
        <v>45396.0</v>
      </c>
      <c r="Q2514" s="11">
        <v>1.7</v>
      </c>
      <c r="R2514" s="8" t="s">
        <v>25</v>
      </c>
      <c r="S2514" s="12">
        <f t="shared" si="1"/>
        <v>-0.47</v>
      </c>
      <c r="T2514" s="12">
        <f t="shared" si="8"/>
        <v>89.70886581</v>
      </c>
      <c r="U2514" s="145"/>
    </row>
    <row r="2515">
      <c r="A2515" s="29"/>
      <c r="B2515" s="15" t="s">
        <v>26</v>
      </c>
      <c r="C2515" s="15" t="s">
        <v>19</v>
      </c>
      <c r="D2515" s="15">
        <v>34.0</v>
      </c>
      <c r="E2515" s="15" t="s">
        <v>4981</v>
      </c>
      <c r="F2515" s="15" t="s">
        <v>1473</v>
      </c>
      <c r="G2515" s="15" t="s">
        <v>2660</v>
      </c>
      <c r="H2515" s="15">
        <v>-1.0</v>
      </c>
      <c r="I2515" s="15" t="s">
        <v>432</v>
      </c>
      <c r="J2515" s="15" t="s">
        <v>22</v>
      </c>
      <c r="K2515" s="15" t="s">
        <v>892</v>
      </c>
      <c r="L2515" s="15" t="s">
        <v>24</v>
      </c>
      <c r="M2515" s="16">
        <v>0.0</v>
      </c>
      <c r="N2515" s="16">
        <v>0.25</v>
      </c>
      <c r="O2515" s="16">
        <v>0.25</v>
      </c>
      <c r="P2515" s="17">
        <v>45396.0</v>
      </c>
      <c r="Q2515" s="18">
        <v>2.0</v>
      </c>
      <c r="R2515" s="15" t="s">
        <v>25</v>
      </c>
      <c r="S2515" s="19">
        <f t="shared" si="1"/>
        <v>-0.25</v>
      </c>
      <c r="T2515" s="19">
        <f t="shared" si="8"/>
        <v>89.45886581</v>
      </c>
      <c r="U2515" s="144"/>
    </row>
    <row r="2516">
      <c r="A2516" s="107"/>
      <c r="B2516" s="8" t="s">
        <v>26</v>
      </c>
      <c r="C2516" s="8" t="s">
        <v>19</v>
      </c>
      <c r="D2516" s="8">
        <v>59.0</v>
      </c>
      <c r="E2516" s="8" t="s">
        <v>4982</v>
      </c>
      <c r="F2516" s="8" t="s">
        <v>1479</v>
      </c>
      <c r="G2516" s="8" t="s">
        <v>2660</v>
      </c>
      <c r="H2516" s="8">
        <f>1</f>
        <v>1</v>
      </c>
      <c r="I2516" s="8" t="s">
        <v>432</v>
      </c>
      <c r="J2516" s="8" t="s">
        <v>22</v>
      </c>
      <c r="K2516" s="8" t="s">
        <v>892</v>
      </c>
      <c r="L2516" s="8" t="s">
        <v>24</v>
      </c>
      <c r="M2516" s="9">
        <v>0.0</v>
      </c>
      <c r="N2516" s="9">
        <v>0.25</v>
      </c>
      <c r="O2516" s="9">
        <v>0.14</v>
      </c>
      <c r="P2516" s="10">
        <v>45396.0</v>
      </c>
      <c r="Q2516" s="11">
        <v>2.05</v>
      </c>
      <c r="R2516" s="8" t="s">
        <v>33</v>
      </c>
      <c r="S2516" s="12">
        <f t="shared" si="1"/>
        <v>0.147</v>
      </c>
      <c r="T2516" s="12">
        <f t="shared" si="8"/>
        <v>89.60586581</v>
      </c>
      <c r="U2516" s="145"/>
    </row>
    <row r="2517">
      <c r="A2517" s="29"/>
      <c r="B2517" s="15" t="s">
        <v>129</v>
      </c>
      <c r="C2517" s="15" t="s">
        <v>40</v>
      </c>
      <c r="D2517" s="15">
        <v>55.0</v>
      </c>
      <c r="E2517" s="15" t="s">
        <v>4983</v>
      </c>
      <c r="F2517" s="15" t="s">
        <v>1473</v>
      </c>
      <c r="G2517" s="15" t="s">
        <v>2556</v>
      </c>
      <c r="H2517" s="15">
        <v>0.0</v>
      </c>
      <c r="I2517" s="15" t="s">
        <v>245</v>
      </c>
      <c r="J2517" s="15" t="s">
        <v>22</v>
      </c>
      <c r="K2517" s="15" t="s">
        <v>225</v>
      </c>
      <c r="L2517" s="15" t="s">
        <v>24</v>
      </c>
      <c r="M2517" s="16">
        <v>0.25</v>
      </c>
      <c r="N2517" s="16">
        <v>0.8</v>
      </c>
      <c r="O2517" s="16">
        <v>0.8</v>
      </c>
      <c r="P2517" s="17">
        <v>45396.0</v>
      </c>
      <c r="Q2517" s="18">
        <v>1.975</v>
      </c>
      <c r="R2517" s="15" t="s">
        <v>33</v>
      </c>
      <c r="S2517" s="19">
        <f t="shared" si="1"/>
        <v>0.78</v>
      </c>
      <c r="T2517" s="19">
        <f t="shared" si="8"/>
        <v>90.38586581</v>
      </c>
      <c r="U2517" s="144"/>
    </row>
    <row r="2518">
      <c r="A2518" s="107"/>
      <c r="B2518" s="8" t="s">
        <v>129</v>
      </c>
      <c r="C2518" s="8" t="s">
        <v>19</v>
      </c>
      <c r="D2518" s="8">
        <v>80.0</v>
      </c>
      <c r="E2518" s="8" t="s">
        <v>4984</v>
      </c>
      <c r="F2518" s="8" t="s">
        <v>1473</v>
      </c>
      <c r="G2518" s="8" t="s">
        <v>2660</v>
      </c>
      <c r="H2518" s="8">
        <v>0.0</v>
      </c>
      <c r="I2518" s="8" t="s">
        <v>463</v>
      </c>
      <c r="J2518" s="8" t="s">
        <v>22</v>
      </c>
      <c r="K2518" s="8" t="s">
        <v>892</v>
      </c>
      <c r="L2518" s="8" t="s">
        <v>24</v>
      </c>
      <c r="M2518" s="9">
        <v>0.0</v>
      </c>
      <c r="N2518" s="9">
        <v>0.25</v>
      </c>
      <c r="O2518" s="9">
        <v>0.25</v>
      </c>
      <c r="P2518" s="10">
        <v>45396.0</v>
      </c>
      <c r="Q2518" s="11">
        <v>1.95</v>
      </c>
      <c r="R2518" s="8" t="s">
        <v>70</v>
      </c>
      <c r="S2518" s="12">
        <f t="shared" si="1"/>
        <v>0</v>
      </c>
      <c r="T2518" s="12">
        <f t="shared" si="8"/>
        <v>90.38586581</v>
      </c>
      <c r="U2518" s="145"/>
    </row>
    <row r="2519">
      <c r="A2519" s="29"/>
      <c r="B2519" s="15" t="s">
        <v>129</v>
      </c>
      <c r="C2519" s="15" t="s">
        <v>40</v>
      </c>
      <c r="D2519" s="15">
        <v>70.0</v>
      </c>
      <c r="E2519" s="15" t="s">
        <v>4985</v>
      </c>
      <c r="F2519" s="15" t="s">
        <v>1473</v>
      </c>
      <c r="G2519" s="15" t="s">
        <v>2556</v>
      </c>
      <c r="H2519" s="15">
        <v>-2.0</v>
      </c>
      <c r="I2519" s="15" t="s">
        <v>245</v>
      </c>
      <c r="J2519" s="15" t="s">
        <v>22</v>
      </c>
      <c r="K2519" s="15" t="s">
        <v>225</v>
      </c>
      <c r="L2519" s="15" t="s">
        <v>24</v>
      </c>
      <c r="M2519" s="16">
        <v>0.25</v>
      </c>
      <c r="N2519" s="16">
        <v>0.25</v>
      </c>
      <c r="O2519" s="16">
        <v>0.25</v>
      </c>
      <c r="P2519" s="17">
        <v>45396.0</v>
      </c>
      <c r="Q2519" s="18">
        <v>2.05</v>
      </c>
      <c r="R2519" s="15" t="s">
        <v>996</v>
      </c>
      <c r="S2519" s="19">
        <f t="shared" si="1"/>
        <v>0.13125</v>
      </c>
      <c r="T2519" s="19">
        <f t="shared" si="8"/>
        <v>90.51711581</v>
      </c>
      <c r="U2519" s="144"/>
    </row>
    <row r="2520">
      <c r="A2520" s="107"/>
      <c r="B2520" s="8" t="s">
        <v>137</v>
      </c>
      <c r="C2520" s="8" t="s">
        <v>19</v>
      </c>
      <c r="D2520" s="8">
        <v>25.0</v>
      </c>
      <c r="E2520" s="8" t="s">
        <v>4986</v>
      </c>
      <c r="F2520" s="8" t="s">
        <v>1473</v>
      </c>
      <c r="G2520" s="8" t="s">
        <v>2660</v>
      </c>
      <c r="H2520" s="8">
        <v>0.0</v>
      </c>
      <c r="I2520" s="8" t="s">
        <v>683</v>
      </c>
      <c r="J2520" s="8" t="s">
        <v>22</v>
      </c>
      <c r="K2520" s="8" t="s">
        <v>1150</v>
      </c>
      <c r="L2520" s="8" t="s">
        <v>24</v>
      </c>
      <c r="M2520" s="9">
        <v>0.0</v>
      </c>
      <c r="N2520" s="9">
        <v>0.5</v>
      </c>
      <c r="O2520" s="9">
        <v>0.5</v>
      </c>
      <c r="P2520" s="10">
        <v>45398.0</v>
      </c>
      <c r="Q2520" s="11">
        <v>1.8</v>
      </c>
      <c r="R2520" s="8" t="s">
        <v>70</v>
      </c>
      <c r="S2520" s="12">
        <f t="shared" si="1"/>
        <v>0</v>
      </c>
      <c r="T2520" s="12">
        <f t="shared" si="8"/>
        <v>90.51711581</v>
      </c>
      <c r="U2520" s="145"/>
    </row>
    <row r="2521">
      <c r="A2521" s="29"/>
      <c r="B2521" s="15" t="s">
        <v>137</v>
      </c>
      <c r="C2521" s="15" t="s">
        <v>19</v>
      </c>
      <c r="D2521" s="15">
        <v>25.0</v>
      </c>
      <c r="E2521" s="15" t="s">
        <v>4987</v>
      </c>
      <c r="F2521" s="15" t="s">
        <v>1473</v>
      </c>
      <c r="G2521" s="15" t="s">
        <v>2660</v>
      </c>
      <c r="H2521" s="15">
        <v>0.0</v>
      </c>
      <c r="I2521" s="15" t="s">
        <v>683</v>
      </c>
      <c r="J2521" s="15" t="s">
        <v>22</v>
      </c>
      <c r="K2521" s="15" t="s">
        <v>892</v>
      </c>
      <c r="L2521" s="15" t="s">
        <v>24</v>
      </c>
      <c r="M2521" s="16">
        <v>0.0</v>
      </c>
      <c r="N2521" s="16">
        <v>0.5</v>
      </c>
      <c r="O2521" s="16">
        <v>0.5</v>
      </c>
      <c r="P2521" s="17">
        <v>45398.0</v>
      </c>
      <c r="Q2521" s="18">
        <v>1.75</v>
      </c>
      <c r="R2521" s="15" t="s">
        <v>70</v>
      </c>
      <c r="S2521" s="19">
        <f t="shared" si="1"/>
        <v>0</v>
      </c>
      <c r="T2521" s="19">
        <f t="shared" si="8"/>
        <v>90.51711581</v>
      </c>
      <c r="U2521" s="144"/>
    </row>
    <row r="2522">
      <c r="A2522" s="107"/>
      <c r="B2522" s="8" t="s">
        <v>137</v>
      </c>
      <c r="C2522" s="8" t="s">
        <v>19</v>
      </c>
      <c r="D2522" s="8">
        <v>65.0</v>
      </c>
      <c r="E2522" s="8" t="s">
        <v>4988</v>
      </c>
      <c r="F2522" s="8"/>
      <c r="G2522" s="8"/>
      <c r="H2522" s="8">
        <v>0.0</v>
      </c>
      <c r="I2522" s="8" t="s">
        <v>683</v>
      </c>
      <c r="J2522" s="8" t="s">
        <v>22</v>
      </c>
      <c r="K2522" s="8" t="s">
        <v>440</v>
      </c>
      <c r="L2522" s="8" t="s">
        <v>24</v>
      </c>
      <c r="M2522" s="9">
        <v>0.75</v>
      </c>
      <c r="N2522" s="9">
        <v>0.25</v>
      </c>
      <c r="O2522" s="9">
        <v>0.25</v>
      </c>
      <c r="P2522" s="10">
        <v>45398.0</v>
      </c>
      <c r="Q2522" s="11">
        <v>1.875</v>
      </c>
      <c r="R2522" s="8" t="s">
        <v>25</v>
      </c>
      <c r="S2522" s="12">
        <f t="shared" si="1"/>
        <v>-0.25</v>
      </c>
      <c r="T2522" s="12">
        <f t="shared" si="8"/>
        <v>90.26711581</v>
      </c>
      <c r="U2522" s="145"/>
    </row>
    <row r="2523">
      <c r="A2523" s="29"/>
      <c r="B2523" s="15" t="s">
        <v>4225</v>
      </c>
      <c r="C2523" s="15" t="s">
        <v>19</v>
      </c>
      <c r="D2523" s="15">
        <v>20.0</v>
      </c>
      <c r="E2523" s="15" t="s">
        <v>4989</v>
      </c>
      <c r="F2523" s="15" t="s">
        <v>1473</v>
      </c>
      <c r="G2523" s="15" t="s">
        <v>2660</v>
      </c>
      <c r="H2523" s="15">
        <v>0.0</v>
      </c>
      <c r="I2523" s="15" t="s">
        <v>616</v>
      </c>
      <c r="J2523" s="15" t="s">
        <v>22</v>
      </c>
      <c r="K2523" s="15" t="s">
        <v>892</v>
      </c>
      <c r="L2523" s="15" t="s">
        <v>24</v>
      </c>
      <c r="M2523" s="16">
        <v>0.0</v>
      </c>
      <c r="N2523" s="16">
        <v>0.6</v>
      </c>
      <c r="O2523" s="16">
        <v>0.49</v>
      </c>
      <c r="P2523" s="17">
        <v>45398.0</v>
      </c>
      <c r="Q2523" s="18">
        <v>1.725</v>
      </c>
      <c r="R2523" s="15" t="s">
        <v>25</v>
      </c>
      <c r="S2523" s="19">
        <f t="shared" si="1"/>
        <v>-0.49</v>
      </c>
      <c r="T2523" s="19">
        <f t="shared" si="8"/>
        <v>89.77711581</v>
      </c>
      <c r="U2523" s="144"/>
    </row>
    <row r="2524">
      <c r="A2524" s="107"/>
      <c r="B2524" s="8" t="s">
        <v>4225</v>
      </c>
      <c r="C2524" s="8" t="s">
        <v>19</v>
      </c>
      <c r="D2524" s="8">
        <v>20.0</v>
      </c>
      <c r="E2524" s="8" t="s">
        <v>4990</v>
      </c>
      <c r="F2524" s="8" t="s">
        <v>1473</v>
      </c>
      <c r="G2524" s="8" t="s">
        <v>2660</v>
      </c>
      <c r="H2524" s="8">
        <v>0.0</v>
      </c>
      <c r="I2524" s="8" t="s">
        <v>616</v>
      </c>
      <c r="J2524" s="8" t="s">
        <v>22</v>
      </c>
      <c r="K2524" s="8" t="s">
        <v>1150</v>
      </c>
      <c r="L2524" s="8" t="s">
        <v>24</v>
      </c>
      <c r="M2524" s="9">
        <v>0.0</v>
      </c>
      <c r="N2524" s="9">
        <v>0.4</v>
      </c>
      <c r="O2524" s="9">
        <v>0.4</v>
      </c>
      <c r="P2524" s="10">
        <v>45398.0</v>
      </c>
      <c r="Q2524" s="11">
        <v>1.7</v>
      </c>
      <c r="R2524" s="8" t="s">
        <v>70</v>
      </c>
      <c r="S2524" s="12">
        <f t="shared" si="1"/>
        <v>0</v>
      </c>
      <c r="T2524" s="12">
        <f t="shared" si="8"/>
        <v>89.77711581</v>
      </c>
      <c r="U2524" s="145"/>
    </row>
    <row r="2525">
      <c r="A2525" s="29"/>
      <c r="B2525" s="15" t="s">
        <v>131</v>
      </c>
      <c r="C2525" s="15" t="s">
        <v>19</v>
      </c>
      <c r="D2525" s="15">
        <v>88.0</v>
      </c>
      <c r="E2525" s="15" t="s">
        <v>4991</v>
      </c>
      <c r="F2525" s="15"/>
      <c r="G2525" s="15"/>
      <c r="H2525" s="15"/>
      <c r="I2525" s="15" t="s">
        <v>513</v>
      </c>
      <c r="J2525" s="15" t="s">
        <v>22</v>
      </c>
      <c r="K2525" s="15" t="s">
        <v>2939</v>
      </c>
      <c r="L2525" s="15" t="s">
        <v>24</v>
      </c>
      <c r="M2525" s="16">
        <v>-7.5</v>
      </c>
      <c r="N2525" s="16">
        <v>0.3</v>
      </c>
      <c r="O2525" s="16">
        <v>0.3</v>
      </c>
      <c r="P2525" s="17">
        <v>45398.0</v>
      </c>
      <c r="Q2525" s="18">
        <v>1.85</v>
      </c>
      <c r="R2525" s="15" t="s">
        <v>25</v>
      </c>
      <c r="S2525" s="19">
        <f t="shared" si="1"/>
        <v>-0.3</v>
      </c>
      <c r="T2525" s="19">
        <f t="shared" si="8"/>
        <v>89.47711581</v>
      </c>
      <c r="U2525" s="144"/>
    </row>
    <row r="2526">
      <c r="A2526" s="107"/>
      <c r="B2526" s="8" t="s">
        <v>26</v>
      </c>
      <c r="C2526" s="8" t="s">
        <v>19</v>
      </c>
      <c r="D2526" s="8">
        <v>79.0</v>
      </c>
      <c r="E2526" s="8" t="s">
        <v>4989</v>
      </c>
      <c r="F2526" s="8" t="s">
        <v>1473</v>
      </c>
      <c r="G2526" s="8" t="s">
        <v>2660</v>
      </c>
      <c r="H2526" s="8">
        <v>-1.0</v>
      </c>
      <c r="I2526" s="8" t="s">
        <v>616</v>
      </c>
      <c r="J2526" s="8" t="s">
        <v>22</v>
      </c>
      <c r="K2526" s="8" t="s">
        <v>892</v>
      </c>
      <c r="L2526" s="8" t="s">
        <v>24</v>
      </c>
      <c r="M2526" s="9">
        <v>0.0</v>
      </c>
      <c r="N2526" s="9">
        <v>0.25</v>
      </c>
      <c r="O2526" s="9">
        <v>0.25</v>
      </c>
      <c r="P2526" s="10">
        <v>45398.0</v>
      </c>
      <c r="Q2526" s="11">
        <v>1.725</v>
      </c>
      <c r="R2526" s="8" t="s">
        <v>70</v>
      </c>
      <c r="S2526" s="12">
        <f t="shared" si="1"/>
        <v>0</v>
      </c>
      <c r="T2526" s="12">
        <f t="shared" si="8"/>
        <v>89.47711581</v>
      </c>
      <c r="U2526" s="145"/>
    </row>
    <row r="2527">
      <c r="A2527" s="29"/>
      <c r="B2527" s="15" t="s">
        <v>4225</v>
      </c>
      <c r="C2527" s="15" t="s">
        <v>19</v>
      </c>
      <c r="D2527" s="15">
        <v>0.0</v>
      </c>
      <c r="E2527" s="15" t="s">
        <v>4992</v>
      </c>
      <c r="F2527" s="15" t="s">
        <v>1473</v>
      </c>
      <c r="G2527" s="15" t="s">
        <v>2556</v>
      </c>
      <c r="H2527" s="15">
        <v>0.0</v>
      </c>
      <c r="I2527" s="15" t="s">
        <v>38</v>
      </c>
      <c r="J2527" s="15" t="s">
        <v>598</v>
      </c>
      <c r="K2527" s="15" t="s">
        <v>225</v>
      </c>
      <c r="L2527" s="15" t="s">
        <v>1851</v>
      </c>
      <c r="M2527" s="16">
        <v>0.5</v>
      </c>
      <c r="N2527" s="16">
        <v>0.1</v>
      </c>
      <c r="O2527" s="16">
        <v>0.03</v>
      </c>
      <c r="P2527" s="17">
        <v>45398.0</v>
      </c>
      <c r="Q2527" s="18">
        <v>1.8</v>
      </c>
      <c r="R2527" s="15" t="s">
        <v>25</v>
      </c>
      <c r="S2527" s="19">
        <f t="shared" si="1"/>
        <v>-0.03</v>
      </c>
      <c r="T2527" s="19">
        <f t="shared" si="8"/>
        <v>89.44711581</v>
      </c>
      <c r="U2527" s="144"/>
    </row>
    <row r="2528">
      <c r="A2528" s="107"/>
      <c r="B2528" s="8" t="s">
        <v>26</v>
      </c>
      <c r="C2528" s="8" t="s">
        <v>19</v>
      </c>
      <c r="D2528" s="8">
        <v>70.0</v>
      </c>
      <c r="E2528" s="8" t="s">
        <v>4993</v>
      </c>
      <c r="F2528" s="8" t="s">
        <v>1473</v>
      </c>
      <c r="G2528" s="8" t="s">
        <v>2660</v>
      </c>
      <c r="H2528" s="8">
        <v>-1.0</v>
      </c>
      <c r="I2528" s="8" t="s">
        <v>66</v>
      </c>
      <c r="J2528" s="8" t="s">
        <v>22</v>
      </c>
      <c r="K2528" s="8" t="s">
        <v>892</v>
      </c>
      <c r="L2528" s="8" t="s">
        <v>24</v>
      </c>
      <c r="M2528" s="9">
        <v>0.0</v>
      </c>
      <c r="N2528" s="9">
        <v>0.5</v>
      </c>
      <c r="O2528" s="9">
        <v>0.5</v>
      </c>
      <c r="P2528" s="54">
        <v>45399.0</v>
      </c>
      <c r="Q2528" s="11">
        <v>2.25</v>
      </c>
      <c r="R2528" s="8" t="s">
        <v>33</v>
      </c>
      <c r="S2528" s="12">
        <f t="shared" si="1"/>
        <v>0.625</v>
      </c>
      <c r="T2528" s="12">
        <f t="shared" si="8"/>
        <v>90.07211581</v>
      </c>
      <c r="U2528" s="145"/>
    </row>
    <row r="2529">
      <c r="A2529" s="29"/>
      <c r="B2529" s="15" t="s">
        <v>26</v>
      </c>
      <c r="C2529" s="15" t="s">
        <v>19</v>
      </c>
      <c r="D2529" s="15">
        <v>71.0</v>
      </c>
      <c r="E2529" s="15" t="s">
        <v>4994</v>
      </c>
      <c r="F2529" s="15" t="s">
        <v>1479</v>
      </c>
      <c r="G2529" s="15" t="s">
        <v>2660</v>
      </c>
      <c r="H2529" s="15">
        <v>0.0</v>
      </c>
      <c r="I2529" s="15" t="s">
        <v>853</v>
      </c>
      <c r="J2529" s="15" t="s">
        <v>22</v>
      </c>
      <c r="K2529" s="15" t="s">
        <v>892</v>
      </c>
      <c r="L2529" s="15" t="s">
        <v>24</v>
      </c>
      <c r="M2529" s="16">
        <v>0.0</v>
      </c>
      <c r="N2529" s="16">
        <v>0.5</v>
      </c>
      <c r="O2529" s="16">
        <v>0.5</v>
      </c>
      <c r="P2529" s="17">
        <v>45399.0</v>
      </c>
      <c r="Q2529" s="18">
        <v>2.05</v>
      </c>
      <c r="R2529" s="15" t="s">
        <v>70</v>
      </c>
      <c r="S2529" s="19">
        <f t="shared" si="1"/>
        <v>0</v>
      </c>
      <c r="T2529" s="19">
        <f t="shared" si="8"/>
        <v>90.07211581</v>
      </c>
      <c r="U2529" s="144"/>
    </row>
    <row r="2530">
      <c r="A2530" s="107"/>
      <c r="B2530" s="8" t="s">
        <v>4225</v>
      </c>
      <c r="C2530" s="8" t="s">
        <v>19</v>
      </c>
      <c r="D2530" s="8">
        <v>65.0</v>
      </c>
      <c r="E2530" s="8" t="s">
        <v>4995</v>
      </c>
      <c r="F2530" s="8" t="s">
        <v>1473</v>
      </c>
      <c r="G2530" s="8" t="s">
        <v>2573</v>
      </c>
      <c r="H2530" s="8">
        <v>0.0</v>
      </c>
      <c r="I2530" s="8" t="s">
        <v>1460</v>
      </c>
      <c r="J2530" s="8" t="s">
        <v>22</v>
      </c>
      <c r="K2530" s="8" t="s">
        <v>894</v>
      </c>
      <c r="L2530" s="8" t="s">
        <v>24</v>
      </c>
      <c r="M2530" s="9">
        <v>-0.25</v>
      </c>
      <c r="N2530" s="9">
        <v>0.2</v>
      </c>
      <c r="O2530" s="9">
        <v>0.2</v>
      </c>
      <c r="P2530" s="10">
        <v>45399.0</v>
      </c>
      <c r="Q2530" s="11">
        <v>1.95</v>
      </c>
      <c r="R2530" s="8" t="s">
        <v>33</v>
      </c>
      <c r="S2530" s="12">
        <f t="shared" si="1"/>
        <v>0.19</v>
      </c>
      <c r="T2530" s="12">
        <f t="shared" si="8"/>
        <v>90.26211581</v>
      </c>
      <c r="U2530" s="145"/>
    </row>
    <row r="2531">
      <c r="A2531" s="29"/>
      <c r="B2531" s="15" t="s">
        <v>4225</v>
      </c>
      <c r="C2531" s="15" t="s">
        <v>19</v>
      </c>
      <c r="D2531" s="15">
        <v>72.0</v>
      </c>
      <c r="E2531" s="15" t="s">
        <v>4996</v>
      </c>
      <c r="F2531" s="15" t="s">
        <v>1473</v>
      </c>
      <c r="G2531" s="15" t="s">
        <v>2660</v>
      </c>
      <c r="H2531" s="15">
        <v>0.0</v>
      </c>
      <c r="I2531" s="15" t="s">
        <v>101</v>
      </c>
      <c r="J2531" s="15" t="s">
        <v>22</v>
      </c>
      <c r="K2531" s="15" t="s">
        <v>892</v>
      </c>
      <c r="L2531" s="15" t="s">
        <v>24</v>
      </c>
      <c r="M2531" s="16">
        <v>0.0</v>
      </c>
      <c r="N2531" s="16">
        <v>0.65</v>
      </c>
      <c r="O2531" s="16">
        <v>0.65</v>
      </c>
      <c r="P2531" s="55">
        <v>45399.0</v>
      </c>
      <c r="Q2531" s="18">
        <v>2.0</v>
      </c>
      <c r="R2531" s="15" t="s">
        <v>70</v>
      </c>
      <c r="S2531" s="19">
        <f t="shared" si="1"/>
        <v>0</v>
      </c>
      <c r="T2531" s="19">
        <f t="shared" si="8"/>
        <v>90.26211581</v>
      </c>
      <c r="U2531" s="144"/>
    </row>
    <row r="2532">
      <c r="A2532" s="107"/>
      <c r="B2532" s="8" t="s">
        <v>18</v>
      </c>
      <c r="C2532" s="8" t="s">
        <v>19</v>
      </c>
      <c r="D2532" s="8">
        <v>81.0</v>
      </c>
      <c r="E2532" s="8" t="s">
        <v>4997</v>
      </c>
      <c r="F2532" s="8" t="s">
        <v>1479</v>
      </c>
      <c r="G2532" s="8" t="s">
        <v>2660</v>
      </c>
      <c r="H2532" s="8">
        <v>0.0</v>
      </c>
      <c r="I2532" s="8" t="s">
        <v>68</v>
      </c>
      <c r="J2532" s="8" t="s">
        <v>22</v>
      </c>
      <c r="K2532" s="8" t="s">
        <v>892</v>
      </c>
      <c r="L2532" s="8" t="s">
        <v>24</v>
      </c>
      <c r="M2532" s="9">
        <v>0.0</v>
      </c>
      <c r="N2532" s="9">
        <v>0.4</v>
      </c>
      <c r="O2532" s="9">
        <v>0.4</v>
      </c>
      <c r="P2532" s="10">
        <v>45399.0</v>
      </c>
      <c r="Q2532" s="11">
        <v>1.9</v>
      </c>
      <c r="R2532" s="8" t="s">
        <v>70</v>
      </c>
      <c r="S2532" s="12">
        <f t="shared" si="1"/>
        <v>0</v>
      </c>
      <c r="T2532" s="12">
        <f t="shared" si="8"/>
        <v>90.26211581</v>
      </c>
      <c r="U2532" s="145"/>
    </row>
    <row r="2533">
      <c r="A2533" s="29"/>
      <c r="B2533" s="15" t="s">
        <v>26</v>
      </c>
      <c r="C2533" s="15" t="s">
        <v>19</v>
      </c>
      <c r="D2533" s="15">
        <v>39.0</v>
      </c>
      <c r="E2533" s="15" t="s">
        <v>4998</v>
      </c>
      <c r="F2533" s="15" t="s">
        <v>1473</v>
      </c>
      <c r="G2533" s="15" t="s">
        <v>2660</v>
      </c>
      <c r="H2533" s="15">
        <v>0.0</v>
      </c>
      <c r="I2533" s="15" t="s">
        <v>82</v>
      </c>
      <c r="J2533" s="15" t="s">
        <v>22</v>
      </c>
      <c r="K2533" s="15" t="s">
        <v>1150</v>
      </c>
      <c r="L2533" s="15" t="s">
        <v>39</v>
      </c>
      <c r="M2533" s="16">
        <v>0.0</v>
      </c>
      <c r="N2533" s="16">
        <v>0.1</v>
      </c>
      <c r="O2533" s="16">
        <v>0.1</v>
      </c>
      <c r="P2533" s="17">
        <v>45399.0</v>
      </c>
      <c r="Q2533" s="18">
        <v>1.825</v>
      </c>
      <c r="R2533" s="15" t="s">
        <v>70</v>
      </c>
      <c r="S2533" s="19">
        <f t="shared" si="1"/>
        <v>0</v>
      </c>
      <c r="T2533" s="19">
        <f t="shared" si="8"/>
        <v>90.26211581</v>
      </c>
      <c r="U2533" s="144"/>
    </row>
    <row r="2534">
      <c r="A2534" s="107"/>
      <c r="B2534" s="8" t="s">
        <v>131</v>
      </c>
      <c r="C2534" s="8" t="s">
        <v>19</v>
      </c>
      <c r="D2534" s="8">
        <v>85.0</v>
      </c>
      <c r="E2534" s="8" t="s">
        <v>4999</v>
      </c>
      <c r="F2534" s="8" t="s">
        <v>1479</v>
      </c>
      <c r="G2534" s="8" t="s">
        <v>2660</v>
      </c>
      <c r="H2534" s="8">
        <v>5</v>
      </c>
      <c r="I2534" s="8" t="s">
        <v>616</v>
      </c>
      <c r="J2534" s="8" t="s">
        <v>22</v>
      </c>
      <c r="K2534" s="8" t="s">
        <v>892</v>
      </c>
      <c r="L2534" s="8" t="s">
        <v>24</v>
      </c>
      <c r="M2534" s="9">
        <v>0.0</v>
      </c>
      <c r="N2534" s="9">
        <v>0.25</v>
      </c>
      <c r="O2534" s="9">
        <v>0.25</v>
      </c>
      <c r="P2534" s="10">
        <v>45399.0</v>
      </c>
      <c r="Q2534" s="11">
        <v>1.625</v>
      </c>
      <c r="R2534" s="8" t="s">
        <v>33</v>
      </c>
      <c r="S2534" s="12">
        <f t="shared" si="1"/>
        <v>0.15625</v>
      </c>
      <c r="T2534" s="12">
        <f t="shared" si="8"/>
        <v>90.41836581</v>
      </c>
      <c r="U2534" s="145"/>
    </row>
    <row r="2535">
      <c r="A2535" s="29"/>
      <c r="B2535" s="15" t="s">
        <v>129</v>
      </c>
      <c r="C2535" s="15" t="s">
        <v>19</v>
      </c>
      <c r="D2535" s="15">
        <v>55.0</v>
      </c>
      <c r="E2535" s="15" t="s">
        <v>5000</v>
      </c>
      <c r="F2535" s="15" t="s">
        <v>1479</v>
      </c>
      <c r="G2535" s="15" t="s">
        <v>2556</v>
      </c>
      <c r="H2535" s="15">
        <v>-1.0</v>
      </c>
      <c r="I2535" s="15" t="s">
        <v>5001</v>
      </c>
      <c r="J2535" s="15" t="s">
        <v>22</v>
      </c>
      <c r="K2535" s="15" t="s">
        <v>225</v>
      </c>
      <c r="L2535" s="15" t="s">
        <v>24</v>
      </c>
      <c r="M2535" s="16">
        <v>0.5</v>
      </c>
      <c r="N2535" s="16">
        <v>0.5</v>
      </c>
      <c r="O2535" s="16">
        <v>0.5</v>
      </c>
      <c r="P2535" s="17">
        <v>45399.0</v>
      </c>
      <c r="Q2535" s="18">
        <v>1.725</v>
      </c>
      <c r="R2535" s="15" t="s">
        <v>33</v>
      </c>
      <c r="S2535" s="19">
        <f t="shared" si="1"/>
        <v>0.3625</v>
      </c>
      <c r="T2535" s="19">
        <f t="shared" si="8"/>
        <v>90.78086581</v>
      </c>
      <c r="U2535" s="144"/>
    </row>
    <row r="2536">
      <c r="A2536" s="107"/>
      <c r="B2536" s="8" t="s">
        <v>129</v>
      </c>
      <c r="C2536" s="8" t="s">
        <v>19</v>
      </c>
      <c r="D2536" s="8">
        <v>55.0</v>
      </c>
      <c r="E2536" s="8" t="s">
        <v>5000</v>
      </c>
      <c r="F2536" s="8" t="s">
        <v>1479</v>
      </c>
      <c r="G2536" s="8" t="s">
        <v>2556</v>
      </c>
      <c r="H2536" s="8">
        <v>-1.0</v>
      </c>
      <c r="I2536" s="8" t="s">
        <v>5001</v>
      </c>
      <c r="J2536" s="8" t="s">
        <v>22</v>
      </c>
      <c r="K2536" s="8" t="s">
        <v>225</v>
      </c>
      <c r="L2536" s="8" t="s">
        <v>24</v>
      </c>
      <c r="M2536" s="9">
        <v>0.25</v>
      </c>
      <c r="N2536" s="9">
        <v>0.25</v>
      </c>
      <c r="O2536" s="9">
        <v>0.25</v>
      </c>
      <c r="P2536" s="10">
        <v>45399.0</v>
      </c>
      <c r="Q2536" s="11">
        <v>1.725</v>
      </c>
      <c r="R2536" s="8" t="s">
        <v>996</v>
      </c>
      <c r="S2536" s="12">
        <f t="shared" si="1"/>
        <v>0.090625</v>
      </c>
      <c r="T2536" s="12">
        <f t="shared" si="8"/>
        <v>90.87149081</v>
      </c>
      <c r="U2536" s="145"/>
    </row>
    <row r="2537">
      <c r="A2537" s="29"/>
      <c r="B2537" s="15" t="s">
        <v>129</v>
      </c>
      <c r="C2537" s="15" t="s">
        <v>19</v>
      </c>
      <c r="D2537" s="15">
        <v>60.0</v>
      </c>
      <c r="E2537" s="15" t="s">
        <v>5002</v>
      </c>
      <c r="F2537" s="15" t="s">
        <v>1479</v>
      </c>
      <c r="G2537" s="15" t="s">
        <v>2556</v>
      </c>
      <c r="H2537" s="15">
        <v>-1.0</v>
      </c>
      <c r="I2537" s="15" t="s">
        <v>5001</v>
      </c>
      <c r="J2537" s="15" t="s">
        <v>22</v>
      </c>
      <c r="K2537" s="15" t="s">
        <v>892</v>
      </c>
      <c r="L2537" s="15" t="s">
        <v>24</v>
      </c>
      <c r="M2537" s="16">
        <v>0.0</v>
      </c>
      <c r="N2537" s="16">
        <v>0.1</v>
      </c>
      <c r="O2537" s="16">
        <v>0.1</v>
      </c>
      <c r="P2537" s="17">
        <v>45399.0</v>
      </c>
      <c r="Q2537" s="18">
        <v>2.475</v>
      </c>
      <c r="R2537" s="15" t="s">
        <v>70</v>
      </c>
      <c r="S2537" s="19">
        <f t="shared" si="1"/>
        <v>0</v>
      </c>
      <c r="T2537" s="19">
        <f t="shared" si="8"/>
        <v>90.87149081</v>
      </c>
      <c r="U2537" s="144"/>
    </row>
    <row r="2538">
      <c r="A2538" s="107"/>
      <c r="B2538" s="8" t="s">
        <v>26</v>
      </c>
      <c r="C2538" s="8" t="s">
        <v>19</v>
      </c>
      <c r="D2538" s="8">
        <v>55.0</v>
      </c>
      <c r="E2538" s="8" t="s">
        <v>5003</v>
      </c>
      <c r="F2538" s="8" t="s">
        <v>1479</v>
      </c>
      <c r="G2538" s="8" t="s">
        <v>2660</v>
      </c>
      <c r="H2538" s="8">
        <v>0.0</v>
      </c>
      <c r="I2538" s="8" t="s">
        <v>231</v>
      </c>
      <c r="J2538" s="8" t="s">
        <v>22</v>
      </c>
      <c r="K2538" s="8" t="s">
        <v>892</v>
      </c>
      <c r="L2538" s="8" t="s">
        <v>24</v>
      </c>
      <c r="M2538" s="9">
        <v>0.0</v>
      </c>
      <c r="N2538" s="9">
        <v>0.5</v>
      </c>
      <c r="O2538" s="9">
        <v>0.5</v>
      </c>
      <c r="P2538" s="10">
        <v>45400.0</v>
      </c>
      <c r="Q2538" s="11">
        <v>1.825</v>
      </c>
      <c r="R2538" s="8" t="s">
        <v>70</v>
      </c>
      <c r="S2538" s="12">
        <f t="shared" si="1"/>
        <v>0</v>
      </c>
      <c r="T2538" s="12">
        <f t="shared" si="8"/>
        <v>90.87149081</v>
      </c>
      <c r="U2538" s="145"/>
    </row>
    <row r="2539">
      <c r="A2539" s="29"/>
      <c r="B2539" s="15" t="s">
        <v>18</v>
      </c>
      <c r="C2539" s="15" t="s">
        <v>19</v>
      </c>
      <c r="D2539" s="15">
        <v>73.0</v>
      </c>
      <c r="E2539" s="15" t="s">
        <v>5004</v>
      </c>
      <c r="F2539" s="15" t="s">
        <v>1473</v>
      </c>
      <c r="G2539" s="15" t="s">
        <v>2660</v>
      </c>
      <c r="H2539" s="15">
        <v>0.0</v>
      </c>
      <c r="I2539" s="15" t="s">
        <v>248</v>
      </c>
      <c r="J2539" s="15" t="s">
        <v>22</v>
      </c>
      <c r="K2539" s="15" t="s">
        <v>892</v>
      </c>
      <c r="L2539" s="15" t="s">
        <v>24</v>
      </c>
      <c r="M2539" s="16">
        <v>0.0</v>
      </c>
      <c r="N2539" s="16">
        <v>0.5</v>
      </c>
      <c r="O2539" s="16">
        <v>0.5</v>
      </c>
      <c r="P2539" s="17">
        <v>45400.0</v>
      </c>
      <c r="Q2539" s="18">
        <v>1.725</v>
      </c>
      <c r="R2539" s="15" t="s">
        <v>70</v>
      </c>
      <c r="S2539" s="19">
        <f t="shared" si="1"/>
        <v>0</v>
      </c>
      <c r="T2539" s="19">
        <f t="shared" si="8"/>
        <v>90.87149081</v>
      </c>
      <c r="U2539" s="144"/>
    </row>
    <row r="2540">
      <c r="A2540" s="107"/>
      <c r="B2540" s="8" t="s">
        <v>129</v>
      </c>
      <c r="C2540" s="8" t="s">
        <v>19</v>
      </c>
      <c r="D2540" s="8">
        <v>75.0</v>
      </c>
      <c r="E2540" s="8" t="s">
        <v>5005</v>
      </c>
      <c r="F2540" s="8" t="s">
        <v>1473</v>
      </c>
      <c r="G2540" s="8" t="s">
        <v>2660</v>
      </c>
      <c r="H2540" s="8">
        <v>0.0</v>
      </c>
      <c r="I2540" s="8" t="s">
        <v>487</v>
      </c>
      <c r="J2540" s="8" t="s">
        <v>22</v>
      </c>
      <c r="K2540" s="8" t="s">
        <v>892</v>
      </c>
      <c r="L2540" s="8" t="s">
        <v>24</v>
      </c>
      <c r="M2540" s="9">
        <v>0.0</v>
      </c>
      <c r="N2540" s="9">
        <v>0.5</v>
      </c>
      <c r="O2540" s="9">
        <v>0.5</v>
      </c>
      <c r="P2540" s="10">
        <v>45401.0</v>
      </c>
      <c r="Q2540" s="11">
        <v>1.75</v>
      </c>
      <c r="R2540" s="8" t="s">
        <v>33</v>
      </c>
      <c r="S2540" s="12">
        <f t="shared" si="1"/>
        <v>0.375</v>
      </c>
      <c r="T2540" s="12">
        <f t="shared" si="8"/>
        <v>91.24649081</v>
      </c>
      <c r="U2540" s="145"/>
    </row>
    <row r="2541">
      <c r="A2541" s="29"/>
      <c r="B2541" s="15" t="s">
        <v>18</v>
      </c>
      <c r="C2541" s="15" t="s">
        <v>19</v>
      </c>
      <c r="D2541" s="15">
        <v>30.0</v>
      </c>
      <c r="E2541" s="15" t="s">
        <v>5006</v>
      </c>
      <c r="F2541" s="15" t="s">
        <v>1473</v>
      </c>
      <c r="G2541" s="15" t="s">
        <v>2660</v>
      </c>
      <c r="H2541" s="15">
        <v>-1.0</v>
      </c>
      <c r="I2541" s="15" t="s">
        <v>675</v>
      </c>
      <c r="J2541" s="15" t="s">
        <v>22</v>
      </c>
      <c r="K2541" s="15" t="s">
        <v>1150</v>
      </c>
      <c r="L2541" s="15" t="s">
        <v>24</v>
      </c>
      <c r="M2541" s="16">
        <v>0.0</v>
      </c>
      <c r="N2541" s="16">
        <v>0.6</v>
      </c>
      <c r="O2541" s="16">
        <v>0.6</v>
      </c>
      <c r="P2541" s="17">
        <v>45401.0</v>
      </c>
      <c r="Q2541" s="18">
        <v>1.7</v>
      </c>
      <c r="R2541" s="15" t="s">
        <v>70</v>
      </c>
      <c r="S2541" s="19">
        <f t="shared" si="1"/>
        <v>0</v>
      </c>
      <c r="T2541" s="19">
        <f t="shared" si="8"/>
        <v>91.24649081</v>
      </c>
      <c r="U2541" s="144"/>
    </row>
    <row r="2542">
      <c r="A2542" s="107"/>
      <c r="B2542" s="8" t="s">
        <v>137</v>
      </c>
      <c r="C2542" s="8" t="s">
        <v>19</v>
      </c>
      <c r="D2542" s="8">
        <v>60.0</v>
      </c>
      <c r="E2542" s="8" t="s">
        <v>5007</v>
      </c>
      <c r="F2542" s="8" t="s">
        <v>1473</v>
      </c>
      <c r="G2542" s="8" t="s">
        <v>2660</v>
      </c>
      <c r="H2542" s="8">
        <v>0.0</v>
      </c>
      <c r="I2542" s="8" t="s">
        <v>42</v>
      </c>
      <c r="J2542" s="8" t="s">
        <v>22</v>
      </c>
      <c r="K2542" s="8" t="s">
        <v>892</v>
      </c>
      <c r="L2542" s="8" t="s">
        <v>24</v>
      </c>
      <c r="M2542" s="9">
        <v>0.0</v>
      </c>
      <c r="N2542" s="9">
        <v>1.0</v>
      </c>
      <c r="O2542" s="9">
        <v>1.0</v>
      </c>
      <c r="P2542" s="54">
        <v>45401.0</v>
      </c>
      <c r="Q2542" s="11">
        <v>1.85</v>
      </c>
      <c r="R2542" s="8" t="s">
        <v>33</v>
      </c>
      <c r="S2542" s="12">
        <f t="shared" si="1"/>
        <v>0.85</v>
      </c>
      <c r="T2542" s="12">
        <f t="shared" si="8"/>
        <v>92.09649081</v>
      </c>
      <c r="U2542" s="145"/>
    </row>
    <row r="2543">
      <c r="A2543" s="29"/>
      <c r="B2543" s="15" t="s">
        <v>18</v>
      </c>
      <c r="C2543" s="15" t="s">
        <v>19</v>
      </c>
      <c r="D2543" s="139">
        <v>62.0</v>
      </c>
      <c r="E2543" s="15" t="s">
        <v>5008</v>
      </c>
      <c r="F2543" s="15" t="s">
        <v>1473</v>
      </c>
      <c r="G2543" s="15" t="s">
        <v>2556</v>
      </c>
      <c r="H2543" s="15">
        <v>-1.0</v>
      </c>
      <c r="I2543" s="15" t="s">
        <v>1006</v>
      </c>
      <c r="J2543" s="15" t="s">
        <v>22</v>
      </c>
      <c r="K2543" s="15" t="s">
        <v>225</v>
      </c>
      <c r="L2543" s="15" t="s">
        <v>24</v>
      </c>
      <c r="M2543" s="16">
        <v>0.25</v>
      </c>
      <c r="N2543" s="16">
        <v>0.2</v>
      </c>
      <c r="O2543" s="16">
        <v>0.2</v>
      </c>
      <c r="P2543" s="17">
        <v>45401.0</v>
      </c>
      <c r="Q2543" s="18">
        <v>1.7</v>
      </c>
      <c r="R2543" s="15" t="s">
        <v>25</v>
      </c>
      <c r="S2543" s="19">
        <f t="shared" si="1"/>
        <v>-0.2</v>
      </c>
      <c r="T2543" s="19">
        <f t="shared" si="8"/>
        <v>91.89649081</v>
      </c>
      <c r="U2543" s="144"/>
    </row>
    <row r="2544">
      <c r="A2544" s="107"/>
      <c r="B2544" s="8" t="s">
        <v>18</v>
      </c>
      <c r="C2544" s="8" t="s">
        <v>19</v>
      </c>
      <c r="D2544" s="8">
        <v>75.0</v>
      </c>
      <c r="E2544" s="8" t="s">
        <v>5009</v>
      </c>
      <c r="F2544" s="8" t="s">
        <v>1473</v>
      </c>
      <c r="G2544" s="8" t="s">
        <v>2660</v>
      </c>
      <c r="H2544" s="8">
        <v>-1.0</v>
      </c>
      <c r="I2544" s="8" t="s">
        <v>1006</v>
      </c>
      <c r="J2544" s="8" t="s">
        <v>22</v>
      </c>
      <c r="K2544" s="8" t="s">
        <v>892</v>
      </c>
      <c r="L2544" s="8" t="s">
        <v>24</v>
      </c>
      <c r="M2544" s="9">
        <v>0.0</v>
      </c>
      <c r="N2544" s="9">
        <v>0.2</v>
      </c>
      <c r="O2544" s="9">
        <v>0.08</v>
      </c>
      <c r="P2544" s="10">
        <v>45401.0</v>
      </c>
      <c r="Q2544" s="11">
        <v>1.95</v>
      </c>
      <c r="R2544" s="8" t="s">
        <v>25</v>
      </c>
      <c r="S2544" s="12">
        <f t="shared" si="1"/>
        <v>-0.08</v>
      </c>
      <c r="T2544" s="12">
        <f t="shared" si="8"/>
        <v>91.81649081</v>
      </c>
      <c r="U2544" s="145"/>
    </row>
    <row r="2545">
      <c r="A2545" s="29"/>
      <c r="B2545" s="15" t="s">
        <v>26</v>
      </c>
      <c r="C2545" s="15" t="s">
        <v>19</v>
      </c>
      <c r="D2545" s="15">
        <v>71.0</v>
      </c>
      <c r="E2545" s="15" t="s">
        <v>5010</v>
      </c>
      <c r="F2545" s="15" t="s">
        <v>1473</v>
      </c>
      <c r="G2545" s="15" t="s">
        <v>2660</v>
      </c>
      <c r="H2545" s="15">
        <f t="shared" ref="H2545:H2546" si="61">1</f>
        <v>1</v>
      </c>
      <c r="I2545" s="15" t="s">
        <v>432</v>
      </c>
      <c r="J2545" s="15" t="s">
        <v>22</v>
      </c>
      <c r="K2545" s="15" t="s">
        <v>892</v>
      </c>
      <c r="L2545" s="15" t="s">
        <v>24</v>
      </c>
      <c r="M2545" s="16">
        <v>0.0</v>
      </c>
      <c r="N2545" s="16">
        <v>0.6</v>
      </c>
      <c r="O2545" s="16">
        <v>0.56</v>
      </c>
      <c r="P2545" s="55">
        <v>45401.0</v>
      </c>
      <c r="Q2545" s="18">
        <v>1.7</v>
      </c>
      <c r="R2545" s="15" t="s">
        <v>70</v>
      </c>
      <c r="S2545" s="19">
        <f t="shared" si="1"/>
        <v>0</v>
      </c>
      <c r="T2545" s="19">
        <f t="shared" si="8"/>
        <v>91.81649081</v>
      </c>
      <c r="U2545" s="144"/>
    </row>
    <row r="2546">
      <c r="A2546" s="107"/>
      <c r="B2546" s="8" t="s">
        <v>26</v>
      </c>
      <c r="C2546" s="8" t="s">
        <v>19</v>
      </c>
      <c r="D2546" s="8">
        <v>90.0</v>
      </c>
      <c r="E2546" s="8" t="s">
        <v>5011</v>
      </c>
      <c r="F2546" s="8"/>
      <c r="G2546" s="8"/>
      <c r="H2546" s="8">
        <f t="shared" si="61"/>
        <v>1</v>
      </c>
      <c r="I2546" s="8" t="s">
        <v>432</v>
      </c>
      <c r="J2546" s="8" t="s">
        <v>22</v>
      </c>
      <c r="K2546" s="8" t="s">
        <v>4974</v>
      </c>
      <c r="L2546" s="8" t="s">
        <v>24</v>
      </c>
      <c r="M2546" s="9">
        <v>1.5</v>
      </c>
      <c r="N2546" s="9">
        <v>0.06</v>
      </c>
      <c r="O2546" s="9">
        <v>0.06</v>
      </c>
      <c r="P2546" s="10">
        <v>45401.0</v>
      </c>
      <c r="Q2546" s="11">
        <v>6.8</v>
      </c>
      <c r="R2546" s="8" t="s">
        <v>25</v>
      </c>
      <c r="S2546" s="12">
        <f t="shared" si="1"/>
        <v>-0.06</v>
      </c>
      <c r="T2546" s="12">
        <f t="shared" si="8"/>
        <v>91.75649081</v>
      </c>
      <c r="U2546" s="145"/>
    </row>
    <row r="2547">
      <c r="A2547" s="29"/>
      <c r="B2547" s="15" t="s">
        <v>18</v>
      </c>
      <c r="C2547" s="15" t="s">
        <v>19</v>
      </c>
      <c r="D2547" s="15">
        <v>49.0</v>
      </c>
      <c r="E2547" s="15" t="s">
        <v>5012</v>
      </c>
      <c r="F2547" s="15" t="s">
        <v>1479</v>
      </c>
      <c r="G2547" s="15" t="s">
        <v>2556</v>
      </c>
      <c r="H2547" s="15">
        <v>0.0</v>
      </c>
      <c r="I2547" s="15" t="s">
        <v>82</v>
      </c>
      <c r="J2547" s="15" t="s">
        <v>22</v>
      </c>
      <c r="K2547" s="15" t="s">
        <v>225</v>
      </c>
      <c r="L2547" s="15" t="s">
        <v>24</v>
      </c>
      <c r="M2547" s="16">
        <v>0.5</v>
      </c>
      <c r="N2547" s="16">
        <v>1.0</v>
      </c>
      <c r="O2547" s="16">
        <v>1.0</v>
      </c>
      <c r="P2547" s="17">
        <v>45401.0</v>
      </c>
      <c r="Q2547" s="18">
        <v>1.8</v>
      </c>
      <c r="R2547" s="15" t="s">
        <v>33</v>
      </c>
      <c r="S2547" s="19">
        <f t="shared" si="1"/>
        <v>0.8</v>
      </c>
      <c r="T2547" s="19">
        <f t="shared" si="8"/>
        <v>92.55649081</v>
      </c>
      <c r="U2547" s="144"/>
    </row>
    <row r="2548">
      <c r="A2548" s="107"/>
      <c r="B2548" s="8" t="s">
        <v>18</v>
      </c>
      <c r="C2548" s="8" t="s">
        <v>19</v>
      </c>
      <c r="D2548" s="8">
        <v>86.0</v>
      </c>
      <c r="E2548" s="8" t="s">
        <v>5013</v>
      </c>
      <c r="F2548" s="8" t="s">
        <v>1473</v>
      </c>
      <c r="G2548" s="8" t="s">
        <v>2556</v>
      </c>
      <c r="H2548" s="8">
        <v>0.0</v>
      </c>
      <c r="I2548" s="8" t="s">
        <v>82</v>
      </c>
      <c r="J2548" s="8" t="s">
        <v>22</v>
      </c>
      <c r="K2548" s="8" t="s">
        <v>1847</v>
      </c>
      <c r="L2548" s="8" t="s">
        <v>24</v>
      </c>
      <c r="M2548" s="9">
        <v>-0.5</v>
      </c>
      <c r="N2548" s="9">
        <v>0.3</v>
      </c>
      <c r="O2548" s="9">
        <v>0.27</v>
      </c>
      <c r="P2548" s="10">
        <v>45401.0</v>
      </c>
      <c r="Q2548" s="11">
        <v>4.0</v>
      </c>
      <c r="R2548" s="8" t="s">
        <v>25</v>
      </c>
      <c r="S2548" s="12">
        <f t="shared" si="1"/>
        <v>-0.27</v>
      </c>
      <c r="T2548" s="12">
        <f t="shared" si="8"/>
        <v>92.28649081</v>
      </c>
      <c r="U2548" s="145"/>
    </row>
    <row r="2549">
      <c r="A2549" s="29"/>
      <c r="B2549" s="15" t="s">
        <v>4225</v>
      </c>
      <c r="C2549" s="15" t="s">
        <v>19</v>
      </c>
      <c r="D2549" s="15">
        <v>77.0</v>
      </c>
      <c r="E2549" s="15" t="s">
        <v>5014</v>
      </c>
      <c r="F2549" s="15" t="s">
        <v>1479</v>
      </c>
      <c r="G2549" s="15" t="s">
        <v>2660</v>
      </c>
      <c r="H2549" s="15">
        <v>-3.0</v>
      </c>
      <c r="I2549" s="15" t="s">
        <v>487</v>
      </c>
      <c r="J2549" s="15" t="s">
        <v>22</v>
      </c>
      <c r="K2549" s="15" t="s">
        <v>892</v>
      </c>
      <c r="L2549" s="15" t="s">
        <v>24</v>
      </c>
      <c r="M2549" s="16">
        <v>0.0</v>
      </c>
      <c r="N2549" s="16">
        <v>0.5</v>
      </c>
      <c r="O2549" s="16">
        <v>0.5</v>
      </c>
      <c r="P2549" s="17">
        <v>45402.0</v>
      </c>
      <c r="Q2549" s="18">
        <v>1.9</v>
      </c>
      <c r="R2549" s="15" t="s">
        <v>70</v>
      </c>
      <c r="S2549" s="19">
        <f t="shared" si="1"/>
        <v>0</v>
      </c>
      <c r="T2549" s="19">
        <f t="shared" si="8"/>
        <v>92.28649081</v>
      </c>
      <c r="U2549" s="144"/>
    </row>
    <row r="2550">
      <c r="A2550" s="107"/>
      <c r="B2550" s="8" t="s">
        <v>26</v>
      </c>
      <c r="C2550" s="8" t="s">
        <v>19</v>
      </c>
      <c r="D2550" s="8">
        <v>65.0</v>
      </c>
      <c r="E2550" s="8" t="s">
        <v>5015</v>
      </c>
      <c r="F2550" s="8" t="s">
        <v>1473</v>
      </c>
      <c r="G2550" s="8" t="s">
        <v>2660</v>
      </c>
      <c r="H2550" s="8">
        <v>-2.0</v>
      </c>
      <c r="I2550" s="8" t="s">
        <v>448</v>
      </c>
      <c r="J2550" s="8" t="s">
        <v>22</v>
      </c>
      <c r="K2550" s="8" t="s">
        <v>892</v>
      </c>
      <c r="L2550" s="8" t="s">
        <v>24</v>
      </c>
      <c r="M2550" s="9">
        <v>0.0</v>
      </c>
      <c r="N2550" s="9">
        <v>0.5</v>
      </c>
      <c r="O2550" s="9">
        <v>0.49</v>
      </c>
      <c r="P2550" s="10">
        <v>45402.0</v>
      </c>
      <c r="Q2550" s="11">
        <v>1.9</v>
      </c>
      <c r="R2550" s="8" t="s">
        <v>25</v>
      </c>
      <c r="S2550" s="12">
        <f t="shared" si="1"/>
        <v>-0.49</v>
      </c>
      <c r="T2550" s="12">
        <f t="shared" si="8"/>
        <v>91.79649081</v>
      </c>
      <c r="U2550" s="145"/>
    </row>
    <row r="2551">
      <c r="A2551" s="29"/>
      <c r="B2551" s="15" t="s">
        <v>4225</v>
      </c>
      <c r="C2551" s="15" t="s">
        <v>19</v>
      </c>
      <c r="D2551" s="15">
        <v>70.0</v>
      </c>
      <c r="E2551" s="15" t="s">
        <v>5016</v>
      </c>
      <c r="F2551" s="15" t="s">
        <v>1473</v>
      </c>
      <c r="G2551" s="15" t="s">
        <v>2556</v>
      </c>
      <c r="H2551" s="15">
        <v>0.0</v>
      </c>
      <c r="I2551" s="15" t="s">
        <v>820</v>
      </c>
      <c r="J2551" s="15" t="s">
        <v>22</v>
      </c>
      <c r="K2551" s="15" t="s">
        <v>225</v>
      </c>
      <c r="L2551" s="15" t="s">
        <v>24</v>
      </c>
      <c r="M2551" s="16">
        <v>0.25</v>
      </c>
      <c r="N2551" s="16">
        <v>0.4</v>
      </c>
      <c r="O2551" s="16">
        <v>0.35</v>
      </c>
      <c r="P2551" s="17">
        <v>45402.0</v>
      </c>
      <c r="Q2551" s="18">
        <v>1.85</v>
      </c>
      <c r="R2551" s="15" t="s">
        <v>996</v>
      </c>
      <c r="S2551" s="19">
        <f t="shared" si="1"/>
        <v>0.14875</v>
      </c>
      <c r="T2551" s="19">
        <f t="shared" si="8"/>
        <v>91.94524081</v>
      </c>
      <c r="U2551" s="144"/>
    </row>
    <row r="2552">
      <c r="A2552" s="107"/>
      <c r="B2552" s="8" t="s">
        <v>129</v>
      </c>
      <c r="C2552" s="8" t="s">
        <v>19</v>
      </c>
      <c r="D2552" s="8">
        <v>72.0</v>
      </c>
      <c r="E2552" s="8" t="s">
        <v>5017</v>
      </c>
      <c r="F2552" s="8" t="s">
        <v>1473</v>
      </c>
      <c r="G2552" s="8" t="s">
        <v>2660</v>
      </c>
      <c r="H2552" s="8">
        <v>-2.0</v>
      </c>
      <c r="I2552" s="8" t="s">
        <v>93</v>
      </c>
      <c r="J2552" s="8" t="s">
        <v>22</v>
      </c>
      <c r="K2552" s="8" t="s">
        <v>892</v>
      </c>
      <c r="L2552" s="8" t="s">
        <v>24</v>
      </c>
      <c r="M2552" s="9">
        <v>0.0</v>
      </c>
      <c r="N2552" s="9">
        <v>0.6</v>
      </c>
      <c r="O2552" s="9">
        <v>0.59</v>
      </c>
      <c r="P2552" s="10">
        <v>45402.0</v>
      </c>
      <c r="Q2552" s="11">
        <v>1.9</v>
      </c>
      <c r="R2552" s="8" t="s">
        <v>70</v>
      </c>
      <c r="S2552" s="12">
        <f t="shared" si="1"/>
        <v>0</v>
      </c>
      <c r="T2552" s="12">
        <f t="shared" si="8"/>
        <v>91.94524081</v>
      </c>
      <c r="U2552" s="145"/>
    </row>
    <row r="2553">
      <c r="A2553" s="29"/>
      <c r="B2553" s="15" t="s">
        <v>129</v>
      </c>
      <c r="C2553" s="15" t="s">
        <v>19</v>
      </c>
      <c r="D2553" s="15">
        <v>77.0</v>
      </c>
      <c r="E2553" s="15" t="s">
        <v>5018</v>
      </c>
      <c r="F2553" s="15" t="s">
        <v>1473</v>
      </c>
      <c r="G2553" s="15" t="s">
        <v>2660</v>
      </c>
      <c r="H2553" s="15">
        <v>-1.0</v>
      </c>
      <c r="I2553" s="15" t="s">
        <v>44</v>
      </c>
      <c r="J2553" s="15" t="s">
        <v>22</v>
      </c>
      <c r="K2553" s="15" t="s">
        <v>892</v>
      </c>
      <c r="L2553" s="15" t="s">
        <v>24</v>
      </c>
      <c r="M2553" s="16">
        <v>0.0</v>
      </c>
      <c r="N2553" s="16">
        <v>0.6</v>
      </c>
      <c r="O2553" s="16">
        <v>0.6</v>
      </c>
      <c r="P2553" s="17">
        <v>45402.0</v>
      </c>
      <c r="Q2553" s="18">
        <v>1.9</v>
      </c>
      <c r="R2553" s="15" t="s">
        <v>70</v>
      </c>
      <c r="S2553" s="19">
        <f t="shared" si="1"/>
        <v>0</v>
      </c>
      <c r="T2553" s="19">
        <f t="shared" si="8"/>
        <v>91.94524081</v>
      </c>
      <c r="U2553" s="144"/>
    </row>
    <row r="2554">
      <c r="A2554" s="107"/>
      <c r="B2554" s="8" t="s">
        <v>4225</v>
      </c>
      <c r="C2554" s="8" t="s">
        <v>19</v>
      </c>
      <c r="D2554" s="8">
        <v>80.0</v>
      </c>
      <c r="E2554" s="8" t="s">
        <v>5019</v>
      </c>
      <c r="F2554" s="8" t="s">
        <v>1479</v>
      </c>
      <c r="G2554" s="8" t="s">
        <v>2660</v>
      </c>
      <c r="H2554" s="8">
        <v>0.0</v>
      </c>
      <c r="I2554" s="8" t="s">
        <v>44</v>
      </c>
      <c r="J2554" s="8" t="s">
        <v>22</v>
      </c>
      <c r="K2554" s="8" t="s">
        <v>892</v>
      </c>
      <c r="L2554" s="8" t="s">
        <v>24</v>
      </c>
      <c r="M2554" s="9">
        <v>0.0</v>
      </c>
      <c r="N2554" s="9">
        <v>0.55</v>
      </c>
      <c r="O2554" s="9">
        <v>0.55</v>
      </c>
      <c r="P2554" s="10">
        <v>45402.0</v>
      </c>
      <c r="Q2554" s="11">
        <v>1.625</v>
      </c>
      <c r="R2554" s="8" t="s">
        <v>70</v>
      </c>
      <c r="S2554" s="12">
        <f t="shared" si="1"/>
        <v>0</v>
      </c>
      <c r="T2554" s="12">
        <f t="shared" si="8"/>
        <v>91.94524081</v>
      </c>
      <c r="U2554" s="145"/>
    </row>
    <row r="2555">
      <c r="A2555" s="29"/>
      <c r="B2555" s="15" t="s">
        <v>18</v>
      </c>
      <c r="C2555" s="15" t="s">
        <v>19</v>
      </c>
      <c r="D2555" s="15">
        <v>21.0</v>
      </c>
      <c r="E2555" s="15" t="s">
        <v>5020</v>
      </c>
      <c r="F2555" s="15" t="s">
        <v>1473</v>
      </c>
      <c r="G2555" s="15" t="s">
        <v>2660</v>
      </c>
      <c r="H2555" s="15">
        <v>0.0</v>
      </c>
      <c r="I2555" s="147" t="s">
        <v>2667</v>
      </c>
      <c r="J2555" s="15" t="s">
        <v>22</v>
      </c>
      <c r="K2555" s="15" t="s">
        <v>1150</v>
      </c>
      <c r="L2555" s="15" t="s">
        <v>24</v>
      </c>
      <c r="M2555" s="16">
        <v>0.0</v>
      </c>
      <c r="N2555" s="16">
        <v>0.4</v>
      </c>
      <c r="O2555" s="16">
        <v>0.4</v>
      </c>
      <c r="P2555" s="17">
        <v>45402.0</v>
      </c>
      <c r="Q2555" s="18">
        <v>1.95</v>
      </c>
      <c r="R2555" s="15" t="s">
        <v>70</v>
      </c>
      <c r="S2555" s="19">
        <f t="shared" si="1"/>
        <v>0</v>
      </c>
      <c r="T2555" s="19">
        <f t="shared" si="8"/>
        <v>91.94524081</v>
      </c>
      <c r="U2555" s="144"/>
    </row>
    <row r="2556">
      <c r="A2556" s="107"/>
      <c r="B2556" s="8" t="s">
        <v>137</v>
      </c>
      <c r="C2556" s="8" t="s">
        <v>19</v>
      </c>
      <c r="D2556" s="8">
        <v>71.0</v>
      </c>
      <c r="E2556" s="8" t="s">
        <v>5021</v>
      </c>
      <c r="F2556" s="8" t="s">
        <v>1479</v>
      </c>
      <c r="G2556" s="8" t="s">
        <v>2660</v>
      </c>
      <c r="H2556" s="8">
        <v>0.0</v>
      </c>
      <c r="I2556" s="8" t="s">
        <v>683</v>
      </c>
      <c r="J2556" s="8" t="s">
        <v>22</v>
      </c>
      <c r="K2556" s="8" t="s">
        <v>892</v>
      </c>
      <c r="L2556" s="8" t="s">
        <v>24</v>
      </c>
      <c r="M2556" s="9">
        <v>0.0</v>
      </c>
      <c r="N2556" s="9">
        <v>1.0</v>
      </c>
      <c r="O2556" s="9">
        <v>1.0</v>
      </c>
      <c r="P2556" s="10">
        <v>45402.0</v>
      </c>
      <c r="Q2556" s="11">
        <v>1.7</v>
      </c>
      <c r="R2556" s="8" t="s">
        <v>70</v>
      </c>
      <c r="S2556" s="12">
        <f t="shared" si="1"/>
        <v>0</v>
      </c>
      <c r="T2556" s="12">
        <f t="shared" si="8"/>
        <v>91.94524081</v>
      </c>
      <c r="U2556" s="145"/>
    </row>
    <row r="2557">
      <c r="A2557" s="29"/>
      <c r="B2557" s="15" t="s">
        <v>26</v>
      </c>
      <c r="C2557" s="15" t="s">
        <v>19</v>
      </c>
      <c r="D2557" s="15">
        <v>33.0</v>
      </c>
      <c r="E2557" s="15" t="s">
        <v>5022</v>
      </c>
      <c r="F2557" s="15" t="s">
        <v>1479</v>
      </c>
      <c r="G2557" s="15" t="s">
        <v>2660</v>
      </c>
      <c r="H2557" s="15">
        <v>0.0</v>
      </c>
      <c r="I2557" s="15" t="s">
        <v>583</v>
      </c>
      <c r="J2557" s="15" t="s">
        <v>22</v>
      </c>
      <c r="K2557" s="15" t="s">
        <v>1150</v>
      </c>
      <c r="L2557" s="15" t="s">
        <v>24</v>
      </c>
      <c r="M2557" s="16">
        <v>0.0</v>
      </c>
      <c r="N2557" s="16">
        <v>0.55</v>
      </c>
      <c r="O2557" s="16">
        <v>0.53</v>
      </c>
      <c r="P2557" s="17">
        <v>45402.0</v>
      </c>
      <c r="Q2557" s="18">
        <v>1.9</v>
      </c>
      <c r="R2557" s="15" t="s">
        <v>70</v>
      </c>
      <c r="S2557" s="19">
        <f t="shared" si="1"/>
        <v>0</v>
      </c>
      <c r="T2557" s="19">
        <f t="shared" si="8"/>
        <v>91.94524081</v>
      </c>
      <c r="U2557" s="144"/>
    </row>
    <row r="2558">
      <c r="A2558" s="107"/>
      <c r="B2558" s="8" t="s">
        <v>26</v>
      </c>
      <c r="C2558" s="8" t="s">
        <v>19</v>
      </c>
      <c r="D2558" s="8">
        <v>65.0</v>
      </c>
      <c r="E2558" s="8" t="s">
        <v>5023</v>
      </c>
      <c r="F2558" s="8" t="s">
        <v>1473</v>
      </c>
      <c r="G2558" s="8" t="s">
        <v>2660</v>
      </c>
      <c r="H2558" s="8">
        <v>-1.0</v>
      </c>
      <c r="I2558" s="8" t="s">
        <v>583</v>
      </c>
      <c r="J2558" s="8" t="s">
        <v>22</v>
      </c>
      <c r="K2558" s="8" t="s">
        <v>892</v>
      </c>
      <c r="L2558" s="8" t="s">
        <v>24</v>
      </c>
      <c r="M2558" s="9">
        <v>0.0</v>
      </c>
      <c r="N2558" s="9">
        <v>1.0</v>
      </c>
      <c r="O2558" s="9">
        <v>1.0</v>
      </c>
      <c r="P2558" s="10">
        <v>45402.0</v>
      </c>
      <c r="Q2558" s="11">
        <v>1.975</v>
      </c>
      <c r="R2558" s="8" t="s">
        <v>33</v>
      </c>
      <c r="S2558" s="12">
        <f t="shared" si="1"/>
        <v>0.975</v>
      </c>
      <c r="T2558" s="12">
        <f t="shared" si="8"/>
        <v>92.92024081</v>
      </c>
      <c r="U2558" s="145"/>
    </row>
    <row r="2559">
      <c r="A2559" s="29"/>
      <c r="B2559" s="15" t="s">
        <v>129</v>
      </c>
      <c r="C2559" s="15" t="s">
        <v>19</v>
      </c>
      <c r="D2559" s="15">
        <v>58.0</v>
      </c>
      <c r="E2559" s="15" t="s">
        <v>5024</v>
      </c>
      <c r="F2559" s="15" t="s">
        <v>1479</v>
      </c>
      <c r="G2559" s="15" t="s">
        <v>2660</v>
      </c>
      <c r="H2559" s="15">
        <v>0.0</v>
      </c>
      <c r="I2559" s="15" t="s">
        <v>101</v>
      </c>
      <c r="J2559" s="15" t="s">
        <v>22</v>
      </c>
      <c r="K2559" s="15" t="s">
        <v>892</v>
      </c>
      <c r="L2559" s="15" t="s">
        <v>24</v>
      </c>
      <c r="M2559" s="16">
        <v>0.0</v>
      </c>
      <c r="N2559" s="16">
        <v>0.6</v>
      </c>
      <c r="O2559" s="16">
        <v>0.6</v>
      </c>
      <c r="P2559" s="17">
        <v>45402.0</v>
      </c>
      <c r="Q2559" s="18">
        <v>1.875</v>
      </c>
      <c r="R2559" s="15" t="s">
        <v>33</v>
      </c>
      <c r="S2559" s="19">
        <f t="shared" si="1"/>
        <v>0.525</v>
      </c>
      <c r="T2559" s="19">
        <f t="shared" si="8"/>
        <v>93.44524081</v>
      </c>
      <c r="U2559" s="144"/>
    </row>
    <row r="2560">
      <c r="A2560" s="107"/>
      <c r="B2560" s="8" t="s">
        <v>26</v>
      </c>
      <c r="C2560" s="8" t="s">
        <v>19</v>
      </c>
      <c r="D2560" s="8">
        <v>72.0</v>
      </c>
      <c r="E2560" s="8" t="s">
        <v>5025</v>
      </c>
      <c r="F2560" s="8" t="s">
        <v>1479</v>
      </c>
      <c r="G2560" s="8" t="s">
        <v>2660</v>
      </c>
      <c r="H2560" s="8">
        <v>0.0</v>
      </c>
      <c r="I2560" s="8" t="s">
        <v>66</v>
      </c>
      <c r="J2560" s="8" t="s">
        <v>22</v>
      </c>
      <c r="K2560" s="8" t="s">
        <v>892</v>
      </c>
      <c r="L2560" s="8" t="s">
        <v>24</v>
      </c>
      <c r="M2560" s="9">
        <v>0.0</v>
      </c>
      <c r="N2560" s="9">
        <v>0.75</v>
      </c>
      <c r="O2560" s="9">
        <v>0.75</v>
      </c>
      <c r="P2560" s="54">
        <v>45402.0</v>
      </c>
      <c r="Q2560" s="11">
        <v>1.8</v>
      </c>
      <c r="R2560" s="8" t="s">
        <v>70</v>
      </c>
      <c r="S2560" s="12">
        <f t="shared" si="1"/>
        <v>0</v>
      </c>
      <c r="T2560" s="12">
        <f t="shared" si="8"/>
        <v>93.44524081</v>
      </c>
      <c r="U2560" s="145"/>
    </row>
    <row r="2561">
      <c r="A2561" s="29"/>
      <c r="B2561" s="15" t="s">
        <v>129</v>
      </c>
      <c r="C2561" s="15" t="s">
        <v>40</v>
      </c>
      <c r="D2561" s="15">
        <v>38.0</v>
      </c>
      <c r="E2561" s="15" t="s">
        <v>5026</v>
      </c>
      <c r="F2561" s="15" t="s">
        <v>1479</v>
      </c>
      <c r="G2561" s="15" t="s">
        <v>2660</v>
      </c>
      <c r="H2561" s="15">
        <f>1</f>
        <v>1</v>
      </c>
      <c r="I2561" s="15" t="s">
        <v>93</v>
      </c>
      <c r="J2561" s="15" t="s">
        <v>22</v>
      </c>
      <c r="K2561" s="15" t="s">
        <v>1150</v>
      </c>
      <c r="L2561" s="15" t="s">
        <v>24</v>
      </c>
      <c r="M2561" s="16">
        <v>0.0</v>
      </c>
      <c r="N2561" s="16">
        <v>0.65</v>
      </c>
      <c r="O2561" s="16">
        <v>0.65</v>
      </c>
      <c r="P2561" s="17">
        <v>45402.0</v>
      </c>
      <c r="Q2561" s="18">
        <v>1.775</v>
      </c>
      <c r="R2561" s="15" t="s">
        <v>70</v>
      </c>
      <c r="S2561" s="19">
        <f t="shared" si="1"/>
        <v>0</v>
      </c>
      <c r="T2561" s="19">
        <f t="shared" si="8"/>
        <v>93.44524081</v>
      </c>
      <c r="U2561" s="144"/>
    </row>
    <row r="2562">
      <c r="A2562" s="107"/>
      <c r="B2562" s="8" t="s">
        <v>26</v>
      </c>
      <c r="C2562" s="8" t="s">
        <v>19</v>
      </c>
      <c r="D2562" s="8">
        <v>75.0</v>
      </c>
      <c r="E2562" s="8" t="s">
        <v>5027</v>
      </c>
      <c r="F2562" s="8" t="s">
        <v>1479</v>
      </c>
      <c r="G2562" s="8" t="s">
        <v>2556</v>
      </c>
      <c r="H2562" s="8">
        <v>-2.0</v>
      </c>
      <c r="I2562" s="8" t="s">
        <v>624</v>
      </c>
      <c r="J2562" s="8" t="s">
        <v>22</v>
      </c>
      <c r="K2562" s="8" t="s">
        <v>225</v>
      </c>
      <c r="L2562" s="8" t="s">
        <v>24</v>
      </c>
      <c r="M2562" s="9">
        <v>0.25</v>
      </c>
      <c r="N2562" s="9">
        <v>0.3</v>
      </c>
      <c r="O2562" s="9">
        <v>0.3</v>
      </c>
      <c r="P2562" s="10">
        <v>45402.0</v>
      </c>
      <c r="Q2562" s="11">
        <v>1.825</v>
      </c>
      <c r="R2562" s="8" t="s">
        <v>30</v>
      </c>
      <c r="S2562" s="12">
        <f t="shared" si="1"/>
        <v>0.12375</v>
      </c>
      <c r="T2562" s="12">
        <f t="shared" si="8"/>
        <v>93.56899081</v>
      </c>
      <c r="U2562" s="145"/>
    </row>
    <row r="2563">
      <c r="A2563" s="29"/>
      <c r="B2563" s="15" t="s">
        <v>26</v>
      </c>
      <c r="C2563" s="15" t="s">
        <v>19</v>
      </c>
      <c r="D2563" s="15">
        <v>85.0</v>
      </c>
      <c r="E2563" s="15" t="s">
        <v>5028</v>
      </c>
      <c r="F2563" s="15"/>
      <c r="G2563" s="15"/>
      <c r="H2563" s="15">
        <v>-2.0</v>
      </c>
      <c r="I2563" s="15" t="s">
        <v>624</v>
      </c>
      <c r="J2563" s="15" t="s">
        <v>22</v>
      </c>
      <c r="K2563" s="15" t="s">
        <v>440</v>
      </c>
      <c r="L2563" s="15" t="s">
        <v>24</v>
      </c>
      <c r="M2563" s="16">
        <v>2.5</v>
      </c>
      <c r="N2563" s="16">
        <v>0.1</v>
      </c>
      <c r="O2563" s="16">
        <v>0.1</v>
      </c>
      <c r="P2563" s="17">
        <v>45402.0</v>
      </c>
      <c r="Q2563" s="18">
        <v>3.5</v>
      </c>
      <c r="R2563" s="15" t="s">
        <v>25</v>
      </c>
      <c r="S2563" s="19">
        <f t="shared" si="1"/>
        <v>-0.1</v>
      </c>
      <c r="T2563" s="19">
        <f t="shared" si="8"/>
        <v>93.46899081</v>
      </c>
      <c r="U2563" s="144"/>
    </row>
    <row r="2564">
      <c r="A2564" s="107"/>
      <c r="B2564" s="8" t="s">
        <v>18</v>
      </c>
      <c r="C2564" s="8" t="s">
        <v>19</v>
      </c>
      <c r="D2564" s="8">
        <v>55.0</v>
      </c>
      <c r="E2564" s="8" t="s">
        <v>5029</v>
      </c>
      <c r="F2564" s="8" t="s">
        <v>1479</v>
      </c>
      <c r="G2564" s="8" t="s">
        <v>2556</v>
      </c>
      <c r="H2564" s="8">
        <v>0.0</v>
      </c>
      <c r="I2564" s="8" t="s">
        <v>88</v>
      </c>
      <c r="J2564" s="8" t="s">
        <v>22</v>
      </c>
      <c r="K2564" s="8" t="s">
        <v>225</v>
      </c>
      <c r="L2564" s="8" t="s">
        <v>24</v>
      </c>
      <c r="M2564" s="9">
        <v>0.25</v>
      </c>
      <c r="N2564" s="9">
        <v>0.5</v>
      </c>
      <c r="O2564" s="9">
        <v>0.5</v>
      </c>
      <c r="P2564" s="10">
        <v>45403.0</v>
      </c>
      <c r="Q2564" s="11">
        <v>1.75</v>
      </c>
      <c r="R2564" s="8" t="s">
        <v>30</v>
      </c>
      <c r="S2564" s="12">
        <f t="shared" si="1"/>
        <v>0.1875</v>
      </c>
      <c r="T2564" s="12">
        <f t="shared" si="8"/>
        <v>93.65649081</v>
      </c>
      <c r="U2564" s="145"/>
    </row>
    <row r="2565">
      <c r="A2565" s="29"/>
      <c r="B2565" s="15" t="s">
        <v>26</v>
      </c>
      <c r="C2565" s="15" t="s">
        <v>19</v>
      </c>
      <c r="D2565" s="15">
        <v>25.0</v>
      </c>
      <c r="E2565" s="15" t="s">
        <v>5030</v>
      </c>
      <c r="F2565" s="15" t="s">
        <v>1479</v>
      </c>
      <c r="G2565" s="15" t="s">
        <v>2660</v>
      </c>
      <c r="H2565" s="15">
        <v>0.0</v>
      </c>
      <c r="I2565" s="15" t="s">
        <v>908</v>
      </c>
      <c r="J2565" s="15" t="s">
        <v>22</v>
      </c>
      <c r="K2565" s="15" t="s">
        <v>892</v>
      </c>
      <c r="L2565" s="15" t="s">
        <v>24</v>
      </c>
      <c r="M2565" s="16">
        <v>0.0</v>
      </c>
      <c r="N2565" s="16">
        <v>1.0</v>
      </c>
      <c r="O2565" s="16">
        <v>1.0</v>
      </c>
      <c r="P2565" s="17">
        <v>45403.0</v>
      </c>
      <c r="Q2565" s="18">
        <v>1.825</v>
      </c>
      <c r="R2565" s="15" t="s">
        <v>33</v>
      </c>
      <c r="S2565" s="19">
        <f t="shared" si="1"/>
        <v>0.825</v>
      </c>
      <c r="T2565" s="19">
        <f t="shared" si="8"/>
        <v>94.48149081</v>
      </c>
      <c r="U2565" s="144"/>
    </row>
    <row r="2566">
      <c r="A2566" s="107"/>
      <c r="B2566" s="8" t="s">
        <v>129</v>
      </c>
      <c r="C2566" s="8" t="s">
        <v>40</v>
      </c>
      <c r="D2566" s="8">
        <v>65.0</v>
      </c>
      <c r="E2566" s="8" t="s">
        <v>5031</v>
      </c>
      <c r="F2566" s="8" t="s">
        <v>1473</v>
      </c>
      <c r="G2566" s="8" t="s">
        <v>2660</v>
      </c>
      <c r="H2566" s="8">
        <v>0.0</v>
      </c>
      <c r="I2566" s="8" t="s">
        <v>48</v>
      </c>
      <c r="J2566" s="8" t="s">
        <v>22</v>
      </c>
      <c r="K2566" s="8" t="s">
        <v>892</v>
      </c>
      <c r="L2566" s="8" t="s">
        <v>24</v>
      </c>
      <c r="M2566" s="9">
        <v>0.0</v>
      </c>
      <c r="N2566" s="9">
        <v>0.5</v>
      </c>
      <c r="O2566" s="9">
        <v>0.5</v>
      </c>
      <c r="P2566" s="10">
        <v>45403.0</v>
      </c>
      <c r="Q2566" s="11">
        <v>2.075</v>
      </c>
      <c r="R2566" s="8" t="s">
        <v>70</v>
      </c>
      <c r="S2566" s="12">
        <f t="shared" si="1"/>
        <v>0</v>
      </c>
      <c r="T2566" s="12">
        <f t="shared" si="8"/>
        <v>94.48149081</v>
      </c>
      <c r="U2566" s="145"/>
    </row>
    <row r="2567">
      <c r="A2567" s="29"/>
      <c r="B2567" s="15" t="s">
        <v>129</v>
      </c>
      <c r="C2567" s="15" t="s">
        <v>19</v>
      </c>
      <c r="D2567" s="15">
        <v>65.0</v>
      </c>
      <c r="E2567" s="15" t="s">
        <v>5032</v>
      </c>
      <c r="F2567" s="15" t="s">
        <v>1473</v>
      </c>
      <c r="G2567" s="15" t="s">
        <v>2660</v>
      </c>
      <c r="H2567" s="15">
        <v>0.0</v>
      </c>
      <c r="I2567" s="15" t="s">
        <v>229</v>
      </c>
      <c r="J2567" s="15" t="s">
        <v>22</v>
      </c>
      <c r="K2567" s="15" t="s">
        <v>892</v>
      </c>
      <c r="L2567" s="15" t="s">
        <v>39</v>
      </c>
      <c r="M2567" s="16">
        <v>0.0</v>
      </c>
      <c r="N2567" s="16">
        <v>0.4</v>
      </c>
      <c r="O2567" s="16">
        <f>0.3224</f>
        <v>0.3224</v>
      </c>
      <c r="P2567" s="17">
        <v>45403.0</v>
      </c>
      <c r="Q2567" s="18">
        <v>1.925</v>
      </c>
      <c r="R2567" s="15" t="s">
        <v>33</v>
      </c>
      <c r="S2567" s="19">
        <f t="shared" si="1"/>
        <v>0.29822</v>
      </c>
      <c r="T2567" s="19">
        <f t="shared" si="8"/>
        <v>94.77971081</v>
      </c>
      <c r="U2567" s="144"/>
    </row>
    <row r="2568">
      <c r="A2568" s="107"/>
      <c r="B2568" s="8" t="s">
        <v>18</v>
      </c>
      <c r="C2568" s="8" t="s">
        <v>19</v>
      </c>
      <c r="D2568" s="8">
        <v>45.0</v>
      </c>
      <c r="E2568" s="8" t="s">
        <v>5033</v>
      </c>
      <c r="F2568" s="8" t="s">
        <v>1473</v>
      </c>
      <c r="G2568" s="8" t="s">
        <v>2660</v>
      </c>
      <c r="H2568" s="8">
        <v>0.0</v>
      </c>
      <c r="I2568" s="8" t="s">
        <v>44</v>
      </c>
      <c r="J2568" s="8" t="s">
        <v>22</v>
      </c>
      <c r="K2568" s="8" t="s">
        <v>892</v>
      </c>
      <c r="L2568" s="8" t="s">
        <v>24</v>
      </c>
      <c r="M2568" s="9">
        <v>0.0</v>
      </c>
      <c r="N2568" s="9">
        <v>0.5</v>
      </c>
      <c r="O2568" s="9">
        <v>0.433</v>
      </c>
      <c r="P2568" s="10">
        <v>45403.0</v>
      </c>
      <c r="Q2568" s="11">
        <v>1.85</v>
      </c>
      <c r="R2568" s="8" t="s">
        <v>33</v>
      </c>
      <c r="S2568" s="12">
        <f t="shared" si="1"/>
        <v>0.36805</v>
      </c>
      <c r="T2568" s="12">
        <f t="shared" si="8"/>
        <v>95.14776081</v>
      </c>
      <c r="U2568" s="145"/>
    </row>
    <row r="2569">
      <c r="A2569" s="29"/>
      <c r="B2569" s="15" t="s">
        <v>4225</v>
      </c>
      <c r="C2569" s="15" t="s">
        <v>19</v>
      </c>
      <c r="D2569" s="15">
        <v>39.0</v>
      </c>
      <c r="E2569" s="15" t="s">
        <v>5034</v>
      </c>
      <c r="F2569" s="15" t="s">
        <v>1473</v>
      </c>
      <c r="G2569" s="15" t="s">
        <v>2660</v>
      </c>
      <c r="H2569" s="15">
        <v>0.0</v>
      </c>
      <c r="I2569" s="15" t="s">
        <v>923</v>
      </c>
      <c r="J2569" s="15" t="s">
        <v>22</v>
      </c>
      <c r="K2569" s="15" t="s">
        <v>892</v>
      </c>
      <c r="L2569" s="15" t="s">
        <v>24</v>
      </c>
      <c r="M2569" s="16">
        <v>0.0</v>
      </c>
      <c r="N2569" s="16">
        <v>0.2</v>
      </c>
      <c r="O2569" s="16">
        <v>0.04</v>
      </c>
      <c r="P2569" s="17">
        <v>45405.0</v>
      </c>
      <c r="Q2569" s="18">
        <v>1.95</v>
      </c>
      <c r="R2569" s="15" t="s">
        <v>70</v>
      </c>
      <c r="S2569" s="19">
        <f t="shared" si="1"/>
        <v>0</v>
      </c>
      <c r="T2569" s="19">
        <f t="shared" si="8"/>
        <v>95.14776081</v>
      </c>
      <c r="U2569" s="144"/>
    </row>
    <row r="2570">
      <c r="A2570" s="107"/>
      <c r="B2570" s="8" t="s">
        <v>4225</v>
      </c>
      <c r="C2570" s="8" t="s">
        <v>19</v>
      </c>
      <c r="D2570" s="8">
        <v>40.0</v>
      </c>
      <c r="E2570" s="8" t="s">
        <v>5035</v>
      </c>
      <c r="F2570" s="8" t="s">
        <v>1473</v>
      </c>
      <c r="G2570" s="8" t="s">
        <v>2660</v>
      </c>
      <c r="H2570" s="8">
        <v>0.0</v>
      </c>
      <c r="I2570" s="8" t="s">
        <v>923</v>
      </c>
      <c r="J2570" s="8" t="s">
        <v>22</v>
      </c>
      <c r="K2570" s="8" t="s">
        <v>1150</v>
      </c>
      <c r="L2570" s="8" t="s">
        <v>24</v>
      </c>
      <c r="M2570" s="9">
        <v>0.0</v>
      </c>
      <c r="N2570" s="9">
        <v>0.8</v>
      </c>
      <c r="O2570" s="9">
        <v>0.78</v>
      </c>
      <c r="P2570" s="10">
        <v>45405.0</v>
      </c>
      <c r="Q2570" s="11">
        <v>1.7</v>
      </c>
      <c r="R2570" s="8" t="s">
        <v>70</v>
      </c>
      <c r="S2570" s="12">
        <f t="shared" si="1"/>
        <v>0</v>
      </c>
      <c r="T2570" s="12">
        <f t="shared" si="8"/>
        <v>95.14776081</v>
      </c>
      <c r="U2570" s="145"/>
    </row>
    <row r="2571">
      <c r="A2571" s="29"/>
      <c r="B2571" s="15" t="s">
        <v>4225</v>
      </c>
      <c r="C2571" s="15" t="s">
        <v>19</v>
      </c>
      <c r="D2571" s="15">
        <v>67.0</v>
      </c>
      <c r="E2571" s="15" t="s">
        <v>5036</v>
      </c>
      <c r="F2571" s="15" t="s">
        <v>1473</v>
      </c>
      <c r="G2571" s="15" t="s">
        <v>2660</v>
      </c>
      <c r="H2571" s="15">
        <v>0.0</v>
      </c>
      <c r="I2571" s="15" t="s">
        <v>923</v>
      </c>
      <c r="J2571" s="15" t="s">
        <v>22</v>
      </c>
      <c r="K2571" s="15" t="s">
        <v>892</v>
      </c>
      <c r="L2571" s="15" t="s">
        <v>24</v>
      </c>
      <c r="M2571" s="16">
        <v>0.0</v>
      </c>
      <c r="N2571" s="16">
        <v>1.0</v>
      </c>
      <c r="O2571" s="16">
        <v>1.0</v>
      </c>
      <c r="P2571" s="17">
        <v>45405.0</v>
      </c>
      <c r="Q2571" s="18">
        <v>1.825</v>
      </c>
      <c r="R2571" s="15" t="s">
        <v>25</v>
      </c>
      <c r="S2571" s="19">
        <f t="shared" si="1"/>
        <v>-1</v>
      </c>
      <c r="T2571" s="19">
        <f t="shared" si="8"/>
        <v>94.14776081</v>
      </c>
      <c r="U2571" s="144"/>
    </row>
    <row r="2572">
      <c r="A2572" s="107"/>
      <c r="B2572" s="8" t="s">
        <v>137</v>
      </c>
      <c r="C2572" s="8" t="s">
        <v>19</v>
      </c>
      <c r="D2572" s="8">
        <v>33.0</v>
      </c>
      <c r="E2572" s="8" t="s">
        <v>5037</v>
      </c>
      <c r="F2572" s="8" t="s">
        <v>1473</v>
      </c>
      <c r="G2572" s="8" t="s">
        <v>2660</v>
      </c>
      <c r="H2572" s="8">
        <v>0.0</v>
      </c>
      <c r="I2572" s="8" t="s">
        <v>248</v>
      </c>
      <c r="J2572" s="8" t="s">
        <v>22</v>
      </c>
      <c r="K2572" s="8" t="s">
        <v>1150</v>
      </c>
      <c r="L2572" s="8" t="s">
        <v>24</v>
      </c>
      <c r="M2572" s="9">
        <v>0.0</v>
      </c>
      <c r="N2572" s="9">
        <v>0.2</v>
      </c>
      <c r="O2572" s="9">
        <v>0.11</v>
      </c>
      <c r="P2572" s="10">
        <v>45405.0</v>
      </c>
      <c r="Q2572" s="11">
        <v>2.08</v>
      </c>
      <c r="R2572" s="8" t="s">
        <v>33</v>
      </c>
      <c r="S2572" s="12">
        <f t="shared" si="1"/>
        <v>0.1188</v>
      </c>
      <c r="T2572" s="12">
        <f t="shared" si="8"/>
        <v>94.26656081</v>
      </c>
      <c r="U2572" s="145"/>
    </row>
    <row r="2573">
      <c r="A2573" s="29"/>
      <c r="B2573" s="15" t="s">
        <v>4225</v>
      </c>
      <c r="C2573" s="15" t="s">
        <v>19</v>
      </c>
      <c r="D2573" s="15">
        <v>71.0</v>
      </c>
      <c r="E2573" s="15" t="s">
        <v>5038</v>
      </c>
      <c r="F2573" s="15" t="s">
        <v>1473</v>
      </c>
      <c r="G2573" s="15" t="s">
        <v>2660</v>
      </c>
      <c r="H2573" s="15">
        <v>0.0</v>
      </c>
      <c r="I2573" s="15" t="s">
        <v>1558</v>
      </c>
      <c r="J2573" s="15" t="s">
        <v>22</v>
      </c>
      <c r="K2573" s="15" t="s">
        <v>892</v>
      </c>
      <c r="L2573" s="15" t="s">
        <v>24</v>
      </c>
      <c r="M2573" s="16">
        <v>0.0</v>
      </c>
      <c r="N2573" s="16">
        <v>0.6</v>
      </c>
      <c r="O2573" s="16">
        <v>0.6</v>
      </c>
      <c r="P2573" s="17">
        <v>45405.0</v>
      </c>
      <c r="Q2573" s="18">
        <v>1.95</v>
      </c>
      <c r="R2573" s="15" t="s">
        <v>25</v>
      </c>
      <c r="S2573" s="19">
        <f t="shared" si="1"/>
        <v>-0.6</v>
      </c>
      <c r="T2573" s="19">
        <f t="shared" si="8"/>
        <v>93.66656081</v>
      </c>
      <c r="U2573" s="144"/>
    </row>
    <row r="2574">
      <c r="A2574" s="107"/>
      <c r="B2574" s="8" t="s">
        <v>137</v>
      </c>
      <c r="C2574" s="8" t="s">
        <v>19</v>
      </c>
      <c r="D2574" s="8">
        <v>72.0</v>
      </c>
      <c r="E2574" s="8" t="s">
        <v>5039</v>
      </c>
      <c r="F2574" s="8" t="s">
        <v>1473</v>
      </c>
      <c r="G2574" s="8" t="s">
        <v>2660</v>
      </c>
      <c r="H2574" s="8">
        <f>1</f>
        <v>1</v>
      </c>
      <c r="I2574" s="8" t="s">
        <v>248</v>
      </c>
      <c r="J2574" s="8" t="s">
        <v>22</v>
      </c>
      <c r="K2574" s="8" t="s">
        <v>892</v>
      </c>
      <c r="L2574" s="8" t="s">
        <v>24</v>
      </c>
      <c r="M2574" s="9">
        <v>0.0</v>
      </c>
      <c r="N2574" s="9">
        <v>0.6</v>
      </c>
      <c r="O2574" s="9">
        <v>0.6</v>
      </c>
      <c r="P2574" s="10">
        <v>45405.0</v>
      </c>
      <c r="Q2574" s="11">
        <v>2.05</v>
      </c>
      <c r="R2574" s="8" t="s">
        <v>70</v>
      </c>
      <c r="S2574" s="12">
        <f t="shared" si="1"/>
        <v>0</v>
      </c>
      <c r="T2574" s="12">
        <f t="shared" si="8"/>
        <v>93.66656081</v>
      </c>
      <c r="U2574" s="145"/>
    </row>
    <row r="2575">
      <c r="A2575" s="29"/>
      <c r="B2575" s="15" t="s">
        <v>4225</v>
      </c>
      <c r="C2575" s="15" t="s">
        <v>19</v>
      </c>
      <c r="D2575" s="15">
        <v>74.0</v>
      </c>
      <c r="E2575" s="15" t="s">
        <v>5040</v>
      </c>
      <c r="F2575" s="15" t="s">
        <v>1473</v>
      </c>
      <c r="G2575" s="15" t="s">
        <v>2660</v>
      </c>
      <c r="H2575" s="15">
        <v>-2.0</v>
      </c>
      <c r="I2575" s="15" t="s">
        <v>248</v>
      </c>
      <c r="J2575" s="15" t="s">
        <v>22</v>
      </c>
      <c r="K2575" s="15" t="s">
        <v>892</v>
      </c>
      <c r="L2575" s="15" t="s">
        <v>24</v>
      </c>
      <c r="M2575" s="16">
        <v>0.0</v>
      </c>
      <c r="N2575" s="16">
        <v>0.55</v>
      </c>
      <c r="O2575" s="16">
        <v>0.55</v>
      </c>
      <c r="P2575" s="17">
        <v>45405.0</v>
      </c>
      <c r="Q2575" s="18">
        <v>2.35</v>
      </c>
      <c r="R2575" s="15" t="s">
        <v>25</v>
      </c>
      <c r="S2575" s="19">
        <f t="shared" si="1"/>
        <v>-0.55</v>
      </c>
      <c r="T2575" s="19">
        <f t="shared" si="8"/>
        <v>93.11656081</v>
      </c>
      <c r="U2575" s="144"/>
    </row>
    <row r="2576">
      <c r="A2576" s="107"/>
      <c r="B2576" s="8" t="s">
        <v>18</v>
      </c>
      <c r="C2576" s="8" t="s">
        <v>19</v>
      </c>
      <c r="D2576" s="8">
        <v>53.0</v>
      </c>
      <c r="E2576" s="8" t="s">
        <v>5041</v>
      </c>
      <c r="F2576" s="8" t="s">
        <v>1479</v>
      </c>
      <c r="G2576" s="8" t="s">
        <v>2556</v>
      </c>
      <c r="H2576" s="8">
        <v>-1.0</v>
      </c>
      <c r="I2576" s="8" t="s">
        <v>115</v>
      </c>
      <c r="J2576" s="8" t="s">
        <v>22</v>
      </c>
      <c r="K2576" s="8" t="s">
        <v>225</v>
      </c>
      <c r="L2576" s="8" t="s">
        <v>24</v>
      </c>
      <c r="M2576" s="9">
        <v>0.25</v>
      </c>
      <c r="N2576" s="9">
        <v>0.2</v>
      </c>
      <c r="O2576" s="9">
        <f>40/50*0.2</f>
        <v>0.16</v>
      </c>
      <c r="P2576" s="10">
        <v>45406.0</v>
      </c>
      <c r="Q2576" s="11">
        <v>1.8</v>
      </c>
      <c r="R2576" s="8" t="s">
        <v>30</v>
      </c>
      <c r="S2576" s="12">
        <f t="shared" si="1"/>
        <v>0.064</v>
      </c>
      <c r="T2576" s="12">
        <f t="shared" si="8"/>
        <v>93.18056081</v>
      </c>
      <c r="U2576" s="145"/>
    </row>
    <row r="2577">
      <c r="A2577" s="29"/>
      <c r="B2577" s="15" t="s">
        <v>4225</v>
      </c>
      <c r="C2577" s="15" t="s">
        <v>19</v>
      </c>
      <c r="D2577" s="15">
        <v>51.0</v>
      </c>
      <c r="E2577" s="15" t="s">
        <v>5042</v>
      </c>
      <c r="F2577" s="15" t="s">
        <v>1473</v>
      </c>
      <c r="G2577" s="15" t="s">
        <v>2556</v>
      </c>
      <c r="H2577" s="15">
        <f>1</f>
        <v>1</v>
      </c>
      <c r="I2577" s="15" t="s">
        <v>48</v>
      </c>
      <c r="J2577" s="15" t="s">
        <v>22</v>
      </c>
      <c r="K2577" s="15" t="s">
        <v>225</v>
      </c>
      <c r="L2577" s="15" t="s">
        <v>24</v>
      </c>
      <c r="M2577" s="16">
        <v>0.25</v>
      </c>
      <c r="N2577" s="16">
        <v>0.4</v>
      </c>
      <c r="O2577" s="16">
        <v>0.36</v>
      </c>
      <c r="P2577" s="17">
        <v>45406.0</v>
      </c>
      <c r="Q2577" s="18">
        <v>2.08</v>
      </c>
      <c r="R2577" s="15" t="s">
        <v>25</v>
      </c>
      <c r="S2577" s="19">
        <f t="shared" si="1"/>
        <v>-0.36</v>
      </c>
      <c r="T2577" s="19">
        <f t="shared" si="8"/>
        <v>92.82056081</v>
      </c>
      <c r="U2577" s="144"/>
    </row>
    <row r="2578">
      <c r="A2578" s="107"/>
      <c r="B2578" s="8" t="s">
        <v>18</v>
      </c>
      <c r="C2578" s="8" t="s">
        <v>19</v>
      </c>
      <c r="D2578" s="8">
        <v>71.0</v>
      </c>
      <c r="E2578" s="8" t="s">
        <v>5043</v>
      </c>
      <c r="F2578" s="8" t="s">
        <v>1473</v>
      </c>
      <c r="G2578" s="8" t="s">
        <v>2660</v>
      </c>
      <c r="H2578" s="8">
        <v>-1.0</v>
      </c>
      <c r="I2578" s="8" t="s">
        <v>48</v>
      </c>
      <c r="J2578" s="8" t="s">
        <v>22</v>
      </c>
      <c r="K2578" s="8" t="s">
        <v>892</v>
      </c>
      <c r="L2578" s="8" t="s">
        <v>24</v>
      </c>
      <c r="M2578" s="9">
        <v>0.0</v>
      </c>
      <c r="N2578" s="9">
        <v>0.2</v>
      </c>
      <c r="O2578" s="9">
        <v>0.2</v>
      </c>
      <c r="P2578" s="10">
        <v>45406.0</v>
      </c>
      <c r="Q2578" s="11">
        <v>2.05</v>
      </c>
      <c r="R2578" s="8" t="s">
        <v>25</v>
      </c>
      <c r="S2578" s="12">
        <f t="shared" si="1"/>
        <v>-0.2</v>
      </c>
      <c r="T2578" s="12">
        <f t="shared" si="8"/>
        <v>92.62056081</v>
      </c>
      <c r="U2578" s="145"/>
    </row>
    <row r="2579">
      <c r="A2579" s="29"/>
      <c r="B2579" s="15" t="s">
        <v>26</v>
      </c>
      <c r="C2579" s="15" t="s">
        <v>19</v>
      </c>
      <c r="D2579" s="15">
        <v>50.0</v>
      </c>
      <c r="E2579" s="15" t="s">
        <v>5044</v>
      </c>
      <c r="F2579" s="15" t="s">
        <v>1473</v>
      </c>
      <c r="G2579" s="15" t="s">
        <v>2660</v>
      </c>
      <c r="H2579" s="15">
        <v>0.0</v>
      </c>
      <c r="I2579" s="15" t="s">
        <v>806</v>
      </c>
      <c r="J2579" s="15" t="s">
        <v>22</v>
      </c>
      <c r="K2579" s="15" t="s">
        <v>225</v>
      </c>
      <c r="L2579" s="15" t="s">
        <v>24</v>
      </c>
      <c r="M2579" s="16">
        <v>0.25</v>
      </c>
      <c r="N2579" s="16">
        <v>0.2</v>
      </c>
      <c r="O2579" s="16">
        <v>0.2</v>
      </c>
      <c r="P2579" s="17">
        <v>45406.0</v>
      </c>
      <c r="Q2579" s="18">
        <v>1.7</v>
      </c>
      <c r="R2579" s="15" t="s">
        <v>70</v>
      </c>
      <c r="S2579" s="19">
        <f t="shared" si="1"/>
        <v>0</v>
      </c>
      <c r="T2579" s="19">
        <f t="shared" si="8"/>
        <v>92.62056081</v>
      </c>
      <c r="U2579" s="144"/>
    </row>
    <row r="2580">
      <c r="A2580" s="107"/>
      <c r="B2580" s="8" t="s">
        <v>26</v>
      </c>
      <c r="C2580" s="8" t="s">
        <v>40</v>
      </c>
      <c r="D2580" s="8"/>
      <c r="E2580" s="8" t="s">
        <v>5045</v>
      </c>
      <c r="F2580" s="8" t="s">
        <v>1473</v>
      </c>
      <c r="G2580" s="8" t="s">
        <v>2556</v>
      </c>
      <c r="H2580" s="8">
        <v>0.0</v>
      </c>
      <c r="I2580" s="8" t="s">
        <v>185</v>
      </c>
      <c r="J2580" s="8" t="s">
        <v>22</v>
      </c>
      <c r="K2580" s="8" t="s">
        <v>225</v>
      </c>
      <c r="L2580" s="8" t="s">
        <v>24</v>
      </c>
      <c r="M2580" s="9">
        <v>0.25</v>
      </c>
      <c r="N2580" s="9">
        <v>0.75</v>
      </c>
      <c r="O2580" s="9">
        <v>0.73</v>
      </c>
      <c r="P2580" s="54">
        <v>45406.0</v>
      </c>
      <c r="Q2580" s="11">
        <v>1.725</v>
      </c>
      <c r="R2580" s="8" t="s">
        <v>25</v>
      </c>
      <c r="S2580" s="12">
        <f t="shared" si="1"/>
        <v>-0.73</v>
      </c>
      <c r="T2580" s="12">
        <f t="shared" si="8"/>
        <v>91.89056081</v>
      </c>
      <c r="U2580" s="145"/>
    </row>
    <row r="2581">
      <c r="A2581" s="29"/>
      <c r="B2581" s="15" t="s">
        <v>26</v>
      </c>
      <c r="C2581" s="15" t="s">
        <v>19</v>
      </c>
      <c r="D2581" s="15">
        <v>71.0</v>
      </c>
      <c r="E2581" s="15" t="s">
        <v>5046</v>
      </c>
      <c r="F2581" s="15" t="s">
        <v>1473</v>
      </c>
      <c r="G2581" s="15" t="s">
        <v>2556</v>
      </c>
      <c r="H2581" s="15">
        <v>-2.0</v>
      </c>
      <c r="I2581" s="15" t="s">
        <v>78</v>
      </c>
      <c r="J2581" s="15" t="s">
        <v>22</v>
      </c>
      <c r="K2581" s="15" t="s">
        <v>225</v>
      </c>
      <c r="L2581" s="15" t="s">
        <v>24</v>
      </c>
      <c r="M2581" s="16">
        <v>0.25</v>
      </c>
      <c r="N2581" s="16">
        <v>0.2</v>
      </c>
      <c r="O2581" s="16">
        <v>0.02</v>
      </c>
      <c r="P2581" s="17">
        <v>45406.0</v>
      </c>
      <c r="Q2581" s="18">
        <v>1.775</v>
      </c>
      <c r="R2581" s="15" t="s">
        <v>33</v>
      </c>
      <c r="S2581" s="19">
        <f t="shared" si="1"/>
        <v>0.0155</v>
      </c>
      <c r="T2581" s="19">
        <f t="shared" si="8"/>
        <v>91.90606081</v>
      </c>
      <c r="U2581" s="144"/>
    </row>
    <row r="2582">
      <c r="A2582" s="107"/>
      <c r="B2582" s="8" t="s">
        <v>4225</v>
      </c>
      <c r="C2582" s="8" t="s">
        <v>19</v>
      </c>
      <c r="D2582" s="8">
        <v>30.0</v>
      </c>
      <c r="E2582" s="8" t="s">
        <v>5047</v>
      </c>
      <c r="F2582" s="8" t="s">
        <v>1479</v>
      </c>
      <c r="G2582" s="8" t="s">
        <v>2660</v>
      </c>
      <c r="H2582" s="8">
        <v>0.0</v>
      </c>
      <c r="I2582" s="8" t="s">
        <v>248</v>
      </c>
      <c r="J2582" s="8" t="s">
        <v>22</v>
      </c>
      <c r="K2582" s="8" t="s">
        <v>1150</v>
      </c>
      <c r="L2582" s="8" t="s">
        <v>24</v>
      </c>
      <c r="M2582" s="9">
        <v>0.0</v>
      </c>
      <c r="N2582" s="9">
        <v>0.6</v>
      </c>
      <c r="O2582" s="9">
        <v>0.57</v>
      </c>
      <c r="P2582" s="10">
        <v>45406.0</v>
      </c>
      <c r="Q2582" s="11">
        <v>1.7</v>
      </c>
      <c r="R2582" s="8" t="s">
        <v>70</v>
      </c>
      <c r="S2582" s="12">
        <f t="shared" si="1"/>
        <v>0</v>
      </c>
      <c r="T2582" s="12">
        <f t="shared" si="8"/>
        <v>91.90606081</v>
      </c>
      <c r="U2582" s="145"/>
    </row>
    <row r="2583">
      <c r="A2583" s="29"/>
      <c r="B2583" s="15" t="s">
        <v>18</v>
      </c>
      <c r="C2583" s="15" t="s">
        <v>19</v>
      </c>
      <c r="D2583" s="15">
        <v>74.0</v>
      </c>
      <c r="E2583" s="15" t="s">
        <v>5048</v>
      </c>
      <c r="F2583" s="15" t="s">
        <v>1473</v>
      </c>
      <c r="G2583" s="15" t="s">
        <v>2660</v>
      </c>
      <c r="H2583" s="15">
        <v>-1.0</v>
      </c>
      <c r="I2583" s="15" t="s">
        <v>1031</v>
      </c>
      <c r="J2583" s="15" t="s">
        <v>22</v>
      </c>
      <c r="K2583" s="15" t="s">
        <v>892</v>
      </c>
      <c r="L2583" s="15" t="s">
        <v>24</v>
      </c>
      <c r="M2583" s="16">
        <v>0.0</v>
      </c>
      <c r="N2583" s="16">
        <v>0.75</v>
      </c>
      <c r="O2583" s="16">
        <v>0.75</v>
      </c>
      <c r="P2583" s="17">
        <v>45406.0</v>
      </c>
      <c r="Q2583" s="18">
        <v>1.95</v>
      </c>
      <c r="R2583" s="15" t="s">
        <v>70</v>
      </c>
      <c r="S2583" s="19">
        <f t="shared" si="1"/>
        <v>0</v>
      </c>
      <c r="T2583" s="19">
        <f t="shared" si="8"/>
        <v>91.90606081</v>
      </c>
      <c r="U2583" s="144"/>
    </row>
    <row r="2584">
      <c r="A2584" s="107"/>
      <c r="B2584" s="8" t="s">
        <v>4225</v>
      </c>
      <c r="C2584" s="8" t="s">
        <v>19</v>
      </c>
      <c r="D2584" s="8"/>
      <c r="E2584" s="8" t="s">
        <v>5049</v>
      </c>
      <c r="F2584" s="8" t="s">
        <v>1479</v>
      </c>
      <c r="G2584" s="8" t="s">
        <v>2660</v>
      </c>
      <c r="H2584" s="8">
        <v>0.0</v>
      </c>
      <c r="I2584" s="8" t="s">
        <v>248</v>
      </c>
      <c r="J2584" s="8" t="s">
        <v>22</v>
      </c>
      <c r="K2584" s="8" t="s">
        <v>892</v>
      </c>
      <c r="L2584" s="8" t="s">
        <v>24</v>
      </c>
      <c r="M2584" s="9">
        <v>0.0</v>
      </c>
      <c r="N2584" s="9">
        <v>0.75</v>
      </c>
      <c r="O2584" s="9">
        <v>0.74</v>
      </c>
      <c r="P2584" s="10">
        <v>45406.0</v>
      </c>
      <c r="Q2584" s="11">
        <v>1.7</v>
      </c>
      <c r="R2584" s="8" t="s">
        <v>25</v>
      </c>
      <c r="S2584" s="12">
        <f t="shared" si="1"/>
        <v>-0.74</v>
      </c>
      <c r="T2584" s="12">
        <f t="shared" si="8"/>
        <v>91.16606081</v>
      </c>
      <c r="U2584" s="145"/>
    </row>
    <row r="2585">
      <c r="A2585" s="29"/>
      <c r="B2585" s="15" t="s">
        <v>18</v>
      </c>
      <c r="C2585" s="15" t="s">
        <v>19</v>
      </c>
      <c r="D2585" s="15"/>
      <c r="E2585" s="15" t="s">
        <v>5050</v>
      </c>
      <c r="F2585" s="15" t="s">
        <v>1473</v>
      </c>
      <c r="G2585" s="15" t="s">
        <v>2556</v>
      </c>
      <c r="H2585" s="15">
        <v>2</v>
      </c>
      <c r="I2585" s="15" t="s">
        <v>172</v>
      </c>
      <c r="J2585" s="15" t="s">
        <v>22</v>
      </c>
      <c r="K2585" s="15" t="s">
        <v>225</v>
      </c>
      <c r="L2585" s="15" t="s">
        <v>24</v>
      </c>
      <c r="M2585" s="16">
        <v>0.25</v>
      </c>
      <c r="N2585" s="16">
        <v>0.6</v>
      </c>
      <c r="O2585" s="16">
        <v>0.57</v>
      </c>
      <c r="P2585" s="17">
        <v>45406.0</v>
      </c>
      <c r="Q2585" s="18">
        <v>1.7</v>
      </c>
      <c r="R2585" s="15" t="s">
        <v>25</v>
      </c>
      <c r="S2585" s="19">
        <f t="shared" si="1"/>
        <v>-0.57</v>
      </c>
      <c r="T2585" s="19">
        <f t="shared" si="8"/>
        <v>90.59606081</v>
      </c>
      <c r="U2585" s="144"/>
    </row>
    <row r="2586">
      <c r="A2586" s="107"/>
      <c r="B2586" s="8" t="s">
        <v>26</v>
      </c>
      <c r="C2586" s="8" t="s">
        <v>19</v>
      </c>
      <c r="D2586" s="8"/>
      <c r="E2586" s="8" t="s">
        <v>5051</v>
      </c>
      <c r="F2586" s="8" t="s">
        <v>1473</v>
      </c>
      <c r="G2586" s="8" t="s">
        <v>2556</v>
      </c>
      <c r="H2586" s="8">
        <v>0.0</v>
      </c>
      <c r="I2586" s="8" t="s">
        <v>48</v>
      </c>
      <c r="J2586" s="8" t="s">
        <v>22</v>
      </c>
      <c r="K2586" s="8" t="s">
        <v>225</v>
      </c>
      <c r="L2586" s="8" t="s">
        <v>24</v>
      </c>
      <c r="M2586" s="9">
        <v>0.5</v>
      </c>
      <c r="N2586" s="9">
        <v>0.4</v>
      </c>
      <c r="O2586" s="9">
        <v>0.4</v>
      </c>
      <c r="P2586" s="10">
        <v>45407.0</v>
      </c>
      <c r="Q2586" s="11">
        <v>1.9</v>
      </c>
      <c r="R2586" s="8" t="s">
        <v>33</v>
      </c>
      <c r="S2586" s="12">
        <f t="shared" si="1"/>
        <v>0.36</v>
      </c>
      <c r="T2586" s="12">
        <f t="shared" si="8"/>
        <v>90.95606081</v>
      </c>
      <c r="U2586" s="145"/>
    </row>
    <row r="2587">
      <c r="A2587" s="29"/>
      <c r="B2587" s="15" t="s">
        <v>26</v>
      </c>
      <c r="C2587" s="15" t="s">
        <v>40</v>
      </c>
      <c r="D2587" s="15"/>
      <c r="E2587" s="15" t="s">
        <v>5052</v>
      </c>
      <c r="F2587" s="15" t="s">
        <v>1473</v>
      </c>
      <c r="G2587" s="15" t="s">
        <v>2660</v>
      </c>
      <c r="H2587" s="15">
        <v>0.0</v>
      </c>
      <c r="I2587" s="15" t="s">
        <v>1031</v>
      </c>
      <c r="J2587" s="15" t="s">
        <v>22</v>
      </c>
      <c r="K2587" s="15" t="s">
        <v>1150</v>
      </c>
      <c r="L2587" s="15" t="s">
        <v>24</v>
      </c>
      <c r="M2587" s="16">
        <v>0.0</v>
      </c>
      <c r="N2587" s="16">
        <v>0.5</v>
      </c>
      <c r="O2587" s="16">
        <v>0.38</v>
      </c>
      <c r="P2587" s="17">
        <v>45407.0</v>
      </c>
      <c r="Q2587" s="18">
        <v>1.9</v>
      </c>
      <c r="R2587" s="15" t="s">
        <v>33</v>
      </c>
      <c r="S2587" s="19">
        <f t="shared" si="1"/>
        <v>0.342</v>
      </c>
      <c r="T2587" s="19">
        <f t="shared" si="8"/>
        <v>91.29806081</v>
      </c>
      <c r="U2587" s="144"/>
    </row>
    <row r="2588">
      <c r="A2588" s="107"/>
      <c r="B2588" s="8" t="s">
        <v>137</v>
      </c>
      <c r="C2588" s="8" t="s">
        <v>19</v>
      </c>
      <c r="D2588" s="8"/>
      <c r="E2588" s="8" t="s">
        <v>5053</v>
      </c>
      <c r="F2588" s="8" t="s">
        <v>1473</v>
      </c>
      <c r="G2588" s="8" t="s">
        <v>2660</v>
      </c>
      <c r="H2588" s="8">
        <v>-2.0</v>
      </c>
      <c r="I2588" s="8" t="s">
        <v>248</v>
      </c>
      <c r="J2588" s="8" t="s">
        <v>22</v>
      </c>
      <c r="K2588" s="8" t="s">
        <v>892</v>
      </c>
      <c r="L2588" s="8" t="s">
        <v>24</v>
      </c>
      <c r="M2588" s="9">
        <v>0.0</v>
      </c>
      <c r="N2588" s="9">
        <v>0.6</v>
      </c>
      <c r="O2588" s="9">
        <v>0.6</v>
      </c>
      <c r="P2588" s="10">
        <v>45407.0</v>
      </c>
      <c r="Q2588" s="11">
        <v>2.1</v>
      </c>
      <c r="R2588" s="8" t="s">
        <v>70</v>
      </c>
      <c r="S2588" s="12">
        <f t="shared" si="1"/>
        <v>0</v>
      </c>
      <c r="T2588" s="12">
        <f t="shared" si="8"/>
        <v>91.29806081</v>
      </c>
      <c r="U2588" s="145"/>
    </row>
    <row r="2589">
      <c r="A2589" s="29"/>
      <c r="B2589" s="15" t="s">
        <v>18</v>
      </c>
      <c r="C2589" s="15" t="s">
        <v>19</v>
      </c>
      <c r="D2589" s="15">
        <v>33.0</v>
      </c>
      <c r="E2589" s="15" t="s">
        <v>5054</v>
      </c>
      <c r="F2589" s="15" t="s">
        <v>1473</v>
      </c>
      <c r="G2589" s="15" t="s">
        <v>2556</v>
      </c>
      <c r="H2589" s="15">
        <f t="shared" ref="H2589:H2591" si="62">1</f>
        <v>1</v>
      </c>
      <c r="I2589" s="15" t="s">
        <v>167</v>
      </c>
      <c r="J2589" s="15" t="s">
        <v>22</v>
      </c>
      <c r="K2589" s="15" t="s">
        <v>225</v>
      </c>
      <c r="L2589" s="15" t="s">
        <v>24</v>
      </c>
      <c r="M2589" s="16">
        <v>0.25</v>
      </c>
      <c r="N2589" s="16">
        <v>0.8</v>
      </c>
      <c r="O2589" s="16">
        <v>0.75</v>
      </c>
      <c r="P2589" s="17">
        <v>45408.0</v>
      </c>
      <c r="Q2589" s="18">
        <v>1.775</v>
      </c>
      <c r="R2589" s="15" t="s">
        <v>25</v>
      </c>
      <c r="S2589" s="19">
        <f t="shared" si="1"/>
        <v>-0.75</v>
      </c>
      <c r="T2589" s="19">
        <f t="shared" si="8"/>
        <v>90.54806081</v>
      </c>
      <c r="U2589" s="144"/>
    </row>
    <row r="2590">
      <c r="A2590" s="107"/>
      <c r="B2590" s="8" t="s">
        <v>26</v>
      </c>
      <c r="C2590" s="8" t="s">
        <v>19</v>
      </c>
      <c r="D2590" s="8"/>
      <c r="E2590" s="8" t="s">
        <v>5055</v>
      </c>
      <c r="F2590" s="8" t="s">
        <v>1479</v>
      </c>
      <c r="G2590" s="8" t="s">
        <v>2660</v>
      </c>
      <c r="H2590" s="8">
        <f t="shared" si="62"/>
        <v>1</v>
      </c>
      <c r="I2590" s="8" t="s">
        <v>583</v>
      </c>
      <c r="J2590" s="8" t="s">
        <v>22</v>
      </c>
      <c r="K2590" s="8" t="s">
        <v>1150</v>
      </c>
      <c r="L2590" s="8" t="s">
        <v>24</v>
      </c>
      <c r="M2590" s="9">
        <v>0.0</v>
      </c>
      <c r="N2590" s="9">
        <v>1.0</v>
      </c>
      <c r="O2590" s="9">
        <v>1.0</v>
      </c>
      <c r="P2590" s="10">
        <v>45408.0</v>
      </c>
      <c r="Q2590" s="11">
        <v>1.725</v>
      </c>
      <c r="R2590" s="8" t="s">
        <v>70</v>
      </c>
      <c r="S2590" s="12">
        <f t="shared" si="1"/>
        <v>0</v>
      </c>
      <c r="T2590" s="12">
        <f t="shared" si="8"/>
        <v>90.54806081</v>
      </c>
      <c r="U2590" s="145"/>
    </row>
    <row r="2591">
      <c r="A2591" s="29"/>
      <c r="B2591" s="15" t="s">
        <v>4225</v>
      </c>
      <c r="C2591" s="15" t="s">
        <v>40</v>
      </c>
      <c r="D2591" s="15"/>
      <c r="E2591" s="15" t="s">
        <v>5056</v>
      </c>
      <c r="F2591" s="15" t="s">
        <v>1479</v>
      </c>
      <c r="G2591" s="15" t="s">
        <v>2556</v>
      </c>
      <c r="H2591" s="15">
        <f t="shared" si="62"/>
        <v>1</v>
      </c>
      <c r="I2591" s="15" t="s">
        <v>820</v>
      </c>
      <c r="J2591" s="15" t="s">
        <v>22</v>
      </c>
      <c r="K2591" s="15" t="s">
        <v>225</v>
      </c>
      <c r="L2591" s="15" t="s">
        <v>3460</v>
      </c>
      <c r="M2591" s="16">
        <v>0.25</v>
      </c>
      <c r="N2591" s="16">
        <v>1.0</v>
      </c>
      <c r="O2591" s="16">
        <v>1.0</v>
      </c>
      <c r="P2591" s="17">
        <v>45408.0</v>
      </c>
      <c r="Q2591" s="18">
        <v>1.75</v>
      </c>
      <c r="R2591" s="15" t="s">
        <v>25</v>
      </c>
      <c r="S2591" s="19">
        <f t="shared" si="1"/>
        <v>-1</v>
      </c>
      <c r="T2591" s="19">
        <f t="shared" si="8"/>
        <v>89.54806081</v>
      </c>
      <c r="U2591" s="144"/>
    </row>
    <row r="2592">
      <c r="A2592" s="107"/>
      <c r="B2592" s="8" t="s">
        <v>137</v>
      </c>
      <c r="C2592" s="8" t="s">
        <v>19</v>
      </c>
      <c r="D2592" s="8"/>
      <c r="E2592" s="8" t="s">
        <v>5057</v>
      </c>
      <c r="F2592" s="8" t="s">
        <v>1479</v>
      </c>
      <c r="G2592" s="8" t="s">
        <v>2660</v>
      </c>
      <c r="H2592" s="8">
        <v>0.0</v>
      </c>
      <c r="I2592" s="8" t="s">
        <v>231</v>
      </c>
      <c r="J2592" s="8" t="s">
        <v>22</v>
      </c>
      <c r="K2592" s="8" t="s">
        <v>892</v>
      </c>
      <c r="L2592" s="8" t="s">
        <v>24</v>
      </c>
      <c r="M2592" s="9">
        <v>0.0</v>
      </c>
      <c r="N2592" s="9">
        <v>1.0</v>
      </c>
      <c r="O2592" s="9">
        <v>1.0</v>
      </c>
      <c r="P2592" s="10">
        <v>45408.0</v>
      </c>
      <c r="Q2592" s="11">
        <v>1.65</v>
      </c>
      <c r="R2592" s="8" t="s">
        <v>70</v>
      </c>
      <c r="S2592" s="12">
        <f t="shared" si="1"/>
        <v>0</v>
      </c>
      <c r="T2592" s="12">
        <f t="shared" si="8"/>
        <v>89.54806081</v>
      </c>
      <c r="U2592" s="145"/>
    </row>
    <row r="2593">
      <c r="A2593" s="29"/>
      <c r="B2593" s="15"/>
      <c r="C2593" s="15" t="s">
        <v>19</v>
      </c>
      <c r="D2593" s="15">
        <v>36.0</v>
      </c>
      <c r="E2593" s="15" t="s">
        <v>5058</v>
      </c>
      <c r="F2593" s="15" t="s">
        <v>1479</v>
      </c>
      <c r="G2593" s="15" t="s">
        <v>2660</v>
      </c>
      <c r="H2593" s="15">
        <f>1</f>
        <v>1</v>
      </c>
      <c r="I2593" s="15" t="s">
        <v>44</v>
      </c>
      <c r="J2593" s="15" t="s">
        <v>22</v>
      </c>
      <c r="K2593" s="15" t="s">
        <v>1150</v>
      </c>
      <c r="L2593" s="15" t="s">
        <v>24</v>
      </c>
      <c r="M2593" s="16">
        <v>0.0</v>
      </c>
      <c r="N2593" s="16">
        <v>0.25</v>
      </c>
      <c r="O2593" s="16">
        <v>0.21</v>
      </c>
      <c r="P2593" s="17">
        <v>45408.0</v>
      </c>
      <c r="Q2593" s="18">
        <v>1.775</v>
      </c>
      <c r="R2593" s="15" t="s">
        <v>70</v>
      </c>
      <c r="S2593" s="19">
        <f t="shared" si="1"/>
        <v>0</v>
      </c>
      <c r="T2593" s="19">
        <f t="shared" si="8"/>
        <v>89.54806081</v>
      </c>
      <c r="U2593" s="144"/>
    </row>
    <row r="2594">
      <c r="A2594" s="107"/>
      <c r="B2594" s="8" t="s">
        <v>18</v>
      </c>
      <c r="C2594" s="8" t="s">
        <v>19</v>
      </c>
      <c r="D2594" s="8">
        <v>76.0</v>
      </c>
      <c r="E2594" s="8" t="s">
        <v>5059</v>
      </c>
      <c r="F2594" s="8" t="s">
        <v>1473</v>
      </c>
      <c r="G2594" s="8" t="s">
        <v>2660</v>
      </c>
      <c r="H2594" s="8">
        <v>-2.0</v>
      </c>
      <c r="I2594" s="8" t="s">
        <v>248</v>
      </c>
      <c r="J2594" s="8" t="s">
        <v>22</v>
      </c>
      <c r="K2594" s="8" t="s">
        <v>892</v>
      </c>
      <c r="L2594" s="8" t="s">
        <v>24</v>
      </c>
      <c r="M2594" s="9">
        <v>0.0</v>
      </c>
      <c r="N2594" s="9">
        <v>0.5</v>
      </c>
      <c r="O2594" s="9">
        <v>0.49</v>
      </c>
      <c r="P2594" s="10">
        <v>45408.0</v>
      </c>
      <c r="Q2594" s="11">
        <v>2.1</v>
      </c>
      <c r="R2594" s="8" t="s">
        <v>70</v>
      </c>
      <c r="S2594" s="12">
        <f t="shared" si="1"/>
        <v>0</v>
      </c>
      <c r="T2594" s="12">
        <f t="shared" si="8"/>
        <v>89.54806081</v>
      </c>
      <c r="U2594" s="145"/>
    </row>
    <row r="2595">
      <c r="A2595" s="29"/>
      <c r="B2595" s="15"/>
      <c r="C2595" s="15" t="s">
        <v>19</v>
      </c>
      <c r="D2595" s="15">
        <v>32.0</v>
      </c>
      <c r="E2595" s="15" t="s">
        <v>5060</v>
      </c>
      <c r="F2595" s="15" t="s">
        <v>1479</v>
      </c>
      <c r="G2595" s="15" t="s">
        <v>2660</v>
      </c>
      <c r="H2595" s="15">
        <v>0.0</v>
      </c>
      <c r="I2595" s="15" t="s">
        <v>82</v>
      </c>
      <c r="J2595" s="15" t="s">
        <v>22</v>
      </c>
      <c r="K2595" s="15" t="s">
        <v>1150</v>
      </c>
      <c r="L2595" s="15" t="s">
        <v>24</v>
      </c>
      <c r="M2595" s="16">
        <v>0.0</v>
      </c>
      <c r="N2595" s="16">
        <v>0.9</v>
      </c>
      <c r="O2595" s="16">
        <v>0.83</v>
      </c>
      <c r="P2595" s="55">
        <v>45408.0</v>
      </c>
      <c r="Q2595" s="18">
        <v>1.7</v>
      </c>
      <c r="R2595" s="15" t="s">
        <v>70</v>
      </c>
      <c r="S2595" s="19">
        <f t="shared" si="1"/>
        <v>0</v>
      </c>
      <c r="T2595" s="19">
        <f t="shared" si="8"/>
        <v>89.54806081</v>
      </c>
      <c r="U2595" s="144"/>
    </row>
    <row r="2596">
      <c r="A2596" s="107"/>
      <c r="B2596" s="8" t="s">
        <v>26</v>
      </c>
      <c r="C2596" s="8" t="s">
        <v>19</v>
      </c>
      <c r="D2596" s="8">
        <v>74.0</v>
      </c>
      <c r="E2596" s="8" t="s">
        <v>5061</v>
      </c>
      <c r="F2596" s="8" t="s">
        <v>1473</v>
      </c>
      <c r="G2596" s="8" t="s">
        <v>2660</v>
      </c>
      <c r="H2596" s="8">
        <v>0.0</v>
      </c>
      <c r="I2596" s="8" t="s">
        <v>44</v>
      </c>
      <c r="J2596" s="8" t="s">
        <v>22</v>
      </c>
      <c r="K2596" s="8" t="s">
        <v>892</v>
      </c>
      <c r="L2596" s="8" t="s">
        <v>24</v>
      </c>
      <c r="M2596" s="9">
        <v>0.0</v>
      </c>
      <c r="N2596" s="9">
        <v>0.6</v>
      </c>
      <c r="O2596" s="9">
        <v>0.41</v>
      </c>
      <c r="P2596" s="10">
        <v>45408.0</v>
      </c>
      <c r="Q2596" s="11">
        <v>2.3</v>
      </c>
      <c r="R2596" s="8" t="s">
        <v>70</v>
      </c>
      <c r="S2596" s="12">
        <f t="shared" si="1"/>
        <v>0</v>
      </c>
      <c r="T2596" s="12">
        <f t="shared" si="8"/>
        <v>89.54806081</v>
      </c>
      <c r="U2596" s="145"/>
    </row>
    <row r="2597">
      <c r="A2597" s="29"/>
      <c r="B2597" s="15" t="s">
        <v>26</v>
      </c>
      <c r="C2597" s="15" t="s">
        <v>19</v>
      </c>
      <c r="D2597" s="15">
        <v>34.0</v>
      </c>
      <c r="E2597" s="15" t="s">
        <v>5062</v>
      </c>
      <c r="F2597" s="15" t="s">
        <v>1479</v>
      </c>
      <c r="G2597" s="15" t="s">
        <v>2556</v>
      </c>
      <c r="H2597" s="15">
        <v>-2.0</v>
      </c>
      <c r="I2597" s="15" t="s">
        <v>169</v>
      </c>
      <c r="J2597" s="15" t="s">
        <v>22</v>
      </c>
      <c r="K2597" s="15" t="s">
        <v>225</v>
      </c>
      <c r="L2597" s="15" t="s">
        <v>24</v>
      </c>
      <c r="M2597" s="16">
        <v>0.25</v>
      </c>
      <c r="N2597" s="16">
        <v>1.0</v>
      </c>
      <c r="O2597" s="16">
        <v>0.84</v>
      </c>
      <c r="P2597" s="17">
        <v>45408.0</v>
      </c>
      <c r="Q2597" s="18">
        <v>1.825</v>
      </c>
      <c r="R2597" s="15" t="s">
        <v>25</v>
      </c>
      <c r="S2597" s="19">
        <f t="shared" si="1"/>
        <v>-0.84</v>
      </c>
      <c r="T2597" s="19">
        <f t="shared" si="8"/>
        <v>88.70806081</v>
      </c>
      <c r="U2597" s="144"/>
    </row>
    <row r="2598">
      <c r="A2598" s="107"/>
      <c r="B2598" s="8" t="s">
        <v>4225</v>
      </c>
      <c r="C2598" s="8" t="s">
        <v>19</v>
      </c>
      <c r="D2598" s="8">
        <v>70.0</v>
      </c>
      <c r="E2598" s="8" t="s">
        <v>5063</v>
      </c>
      <c r="F2598" s="8" t="s">
        <v>1473</v>
      </c>
      <c r="G2598" s="8" t="s">
        <v>2556</v>
      </c>
      <c r="H2598" s="8">
        <v>-1.0</v>
      </c>
      <c r="I2598" s="8" t="s">
        <v>82</v>
      </c>
      <c r="J2598" s="8" t="s">
        <v>22</v>
      </c>
      <c r="K2598" s="8" t="s">
        <v>225</v>
      </c>
      <c r="L2598" s="8" t="s">
        <v>24</v>
      </c>
      <c r="M2598" s="9">
        <v>0.25</v>
      </c>
      <c r="N2598" s="9">
        <v>0.8</v>
      </c>
      <c r="O2598" s="9">
        <v>0.72</v>
      </c>
      <c r="P2598" s="10">
        <v>45408.0</v>
      </c>
      <c r="Q2598" s="11">
        <v>2.025</v>
      </c>
      <c r="R2598" s="8" t="s">
        <v>25</v>
      </c>
      <c r="S2598" s="12">
        <f t="shared" si="1"/>
        <v>-0.72</v>
      </c>
      <c r="T2598" s="12">
        <f t="shared" si="8"/>
        <v>87.98806081</v>
      </c>
      <c r="U2598" s="145"/>
    </row>
    <row r="2599">
      <c r="A2599" s="29"/>
      <c r="B2599" s="15" t="s">
        <v>18</v>
      </c>
      <c r="C2599" s="15" t="s">
        <v>40</v>
      </c>
      <c r="D2599" s="15">
        <v>74.0</v>
      </c>
      <c r="E2599" s="15" t="s">
        <v>5064</v>
      </c>
      <c r="F2599" s="15" t="s">
        <v>1479</v>
      </c>
      <c r="G2599" s="15" t="s">
        <v>2660</v>
      </c>
      <c r="H2599" s="15">
        <v>0.0</v>
      </c>
      <c r="I2599" s="15" t="s">
        <v>920</v>
      </c>
      <c r="J2599" s="15" t="s">
        <v>22</v>
      </c>
      <c r="K2599" s="15" t="s">
        <v>892</v>
      </c>
      <c r="L2599" s="15" t="s">
        <v>24</v>
      </c>
      <c r="M2599" s="16">
        <v>0.0</v>
      </c>
      <c r="N2599" s="16">
        <v>0.8</v>
      </c>
      <c r="O2599" s="16">
        <v>0.72</v>
      </c>
      <c r="P2599" s="17">
        <v>45409.0</v>
      </c>
      <c r="Q2599" s="18">
        <v>1.825</v>
      </c>
      <c r="R2599" s="15" t="s">
        <v>25</v>
      </c>
      <c r="S2599" s="19">
        <f t="shared" si="1"/>
        <v>-0.72</v>
      </c>
      <c r="T2599" s="19">
        <f t="shared" si="8"/>
        <v>87.26806081</v>
      </c>
      <c r="U2599" s="144"/>
    </row>
    <row r="2600">
      <c r="A2600" s="107"/>
      <c r="B2600" s="8" t="s">
        <v>26</v>
      </c>
      <c r="C2600" s="8" t="s">
        <v>19</v>
      </c>
      <c r="D2600" s="8">
        <v>42.0</v>
      </c>
      <c r="E2600" s="8" t="s">
        <v>5065</v>
      </c>
      <c r="F2600" s="8" t="s">
        <v>1473</v>
      </c>
      <c r="G2600" s="8" t="s">
        <v>2556</v>
      </c>
      <c r="H2600" s="8">
        <v>3</v>
      </c>
      <c r="I2600" s="8" t="s">
        <v>940</v>
      </c>
      <c r="J2600" s="8" t="s">
        <v>22</v>
      </c>
      <c r="K2600" s="8" t="s">
        <v>225</v>
      </c>
      <c r="L2600" s="8" t="s">
        <v>24</v>
      </c>
      <c r="M2600" s="9">
        <v>0.5</v>
      </c>
      <c r="N2600" s="9">
        <v>0.6</v>
      </c>
      <c r="O2600" s="9">
        <v>0.47</v>
      </c>
      <c r="P2600" s="10">
        <v>45409.0</v>
      </c>
      <c r="Q2600" s="11">
        <v>1.333</v>
      </c>
      <c r="R2600" s="8" t="s">
        <v>33</v>
      </c>
      <c r="S2600" s="12">
        <f t="shared" si="1"/>
        <v>0.15651</v>
      </c>
      <c r="T2600" s="12">
        <f t="shared" si="8"/>
        <v>87.42457081</v>
      </c>
      <c r="U2600" s="145"/>
    </row>
    <row r="2601">
      <c r="A2601" s="29"/>
      <c r="B2601" s="15" t="s">
        <v>137</v>
      </c>
      <c r="C2601" s="15" t="s">
        <v>19</v>
      </c>
      <c r="D2601" s="15">
        <v>18.0</v>
      </c>
      <c r="E2601" s="15" t="s">
        <v>5066</v>
      </c>
      <c r="F2601" s="15" t="s">
        <v>1473</v>
      </c>
      <c r="G2601" s="15" t="s">
        <v>2556</v>
      </c>
      <c r="H2601" s="15">
        <v>0.0</v>
      </c>
      <c r="I2601" s="15" t="s">
        <v>44</v>
      </c>
      <c r="J2601" s="15" t="s">
        <v>22</v>
      </c>
      <c r="K2601" s="15" t="s">
        <v>225</v>
      </c>
      <c r="L2601" s="15" t="s">
        <v>24</v>
      </c>
      <c r="M2601" s="16">
        <v>0.25</v>
      </c>
      <c r="N2601" s="16">
        <v>0.1</v>
      </c>
      <c r="O2601" s="16">
        <v>0.1</v>
      </c>
      <c r="P2601" s="17">
        <v>45409.0</v>
      </c>
      <c r="Q2601" s="18">
        <v>2.0</v>
      </c>
      <c r="R2601" s="15" t="s">
        <v>25</v>
      </c>
      <c r="S2601" s="19">
        <f t="shared" si="1"/>
        <v>-0.1</v>
      </c>
      <c r="T2601" s="19">
        <f t="shared" si="8"/>
        <v>87.32457081</v>
      </c>
      <c r="U2601" s="144"/>
    </row>
    <row r="2602">
      <c r="A2602" s="107"/>
      <c r="B2602" s="8" t="s">
        <v>129</v>
      </c>
      <c r="C2602" s="8" t="s">
        <v>19</v>
      </c>
      <c r="D2602" s="8">
        <v>68.0</v>
      </c>
      <c r="E2602" s="8" t="s">
        <v>5067</v>
      </c>
      <c r="F2602" s="8" t="s">
        <v>1473</v>
      </c>
      <c r="G2602" s="8" t="s">
        <v>2660</v>
      </c>
      <c r="H2602" s="8">
        <v>0.0</v>
      </c>
      <c r="I2602" s="8" t="s">
        <v>463</v>
      </c>
      <c r="J2602" s="8" t="s">
        <v>22</v>
      </c>
      <c r="K2602" s="8" t="s">
        <v>892</v>
      </c>
      <c r="L2602" s="8" t="s">
        <v>24</v>
      </c>
      <c r="M2602" s="9">
        <v>0.0</v>
      </c>
      <c r="N2602" s="9">
        <v>1.0</v>
      </c>
      <c r="O2602" s="9">
        <v>0.88</v>
      </c>
      <c r="P2602" s="10">
        <v>45409.0</v>
      </c>
      <c r="Q2602" s="11">
        <v>2.075</v>
      </c>
      <c r="R2602" s="8" t="s">
        <v>70</v>
      </c>
      <c r="S2602" s="12">
        <f t="shared" si="1"/>
        <v>0</v>
      </c>
      <c r="T2602" s="12">
        <f t="shared" si="8"/>
        <v>87.32457081</v>
      </c>
      <c r="U2602" s="145"/>
    </row>
    <row r="2603">
      <c r="A2603" s="29"/>
      <c r="B2603" s="15" t="s">
        <v>137</v>
      </c>
      <c r="C2603" s="15" t="s">
        <v>19</v>
      </c>
      <c r="D2603" s="15"/>
      <c r="E2603" s="15" t="s">
        <v>5068</v>
      </c>
      <c r="F2603" s="15" t="s">
        <v>1473</v>
      </c>
      <c r="G2603" s="15" t="s">
        <v>2660</v>
      </c>
      <c r="H2603" s="15">
        <v>-2.0</v>
      </c>
      <c r="I2603" s="15" t="s">
        <v>93</v>
      </c>
      <c r="J2603" s="15" t="s">
        <v>22</v>
      </c>
      <c r="K2603" s="15" t="s">
        <v>892</v>
      </c>
      <c r="L2603" s="15" t="s">
        <v>24</v>
      </c>
      <c r="M2603" s="16">
        <v>0.0</v>
      </c>
      <c r="N2603" s="16">
        <v>1.0</v>
      </c>
      <c r="O2603" s="16">
        <v>1.0</v>
      </c>
      <c r="P2603" s="17">
        <v>45409.0</v>
      </c>
      <c r="Q2603" s="18">
        <v>2.025</v>
      </c>
      <c r="R2603" s="15" t="s">
        <v>70</v>
      </c>
      <c r="S2603" s="19">
        <f t="shared" si="1"/>
        <v>0</v>
      </c>
      <c r="T2603" s="19">
        <f t="shared" si="8"/>
        <v>87.32457081</v>
      </c>
      <c r="U2603" s="144"/>
    </row>
    <row r="2604">
      <c r="A2604" s="107"/>
      <c r="B2604" s="8" t="s">
        <v>129</v>
      </c>
      <c r="C2604" s="8" t="s">
        <v>19</v>
      </c>
      <c r="D2604" s="8">
        <v>39.0</v>
      </c>
      <c r="E2604" s="8" t="s">
        <v>5069</v>
      </c>
      <c r="F2604" s="8" t="s">
        <v>1473</v>
      </c>
      <c r="G2604" s="8" t="s">
        <v>2660</v>
      </c>
      <c r="H2604" s="8">
        <v>0.0</v>
      </c>
      <c r="I2604" s="8" t="s">
        <v>174</v>
      </c>
      <c r="J2604" s="8" t="s">
        <v>22</v>
      </c>
      <c r="K2604" s="8" t="s">
        <v>892</v>
      </c>
      <c r="L2604" s="8" t="s">
        <v>24</v>
      </c>
      <c r="M2604" s="9">
        <v>0.0</v>
      </c>
      <c r="N2604" s="9">
        <v>0.5</v>
      </c>
      <c r="O2604" s="9">
        <v>0.48</v>
      </c>
      <c r="P2604" s="10">
        <v>45409.0</v>
      </c>
      <c r="Q2604" s="11">
        <v>1.8</v>
      </c>
      <c r="R2604" s="8" t="s">
        <v>70</v>
      </c>
      <c r="S2604" s="12">
        <f t="shared" si="1"/>
        <v>0</v>
      </c>
      <c r="T2604" s="12">
        <f t="shared" si="8"/>
        <v>87.32457081</v>
      </c>
      <c r="U2604" s="145"/>
    </row>
    <row r="2605">
      <c r="A2605" s="29"/>
      <c r="B2605" s="15" t="s">
        <v>26</v>
      </c>
      <c r="C2605" s="15" t="s">
        <v>19</v>
      </c>
      <c r="D2605" s="15">
        <v>25.0</v>
      </c>
      <c r="E2605" s="15" t="s">
        <v>5070</v>
      </c>
      <c r="F2605" s="15" t="s">
        <v>1479</v>
      </c>
      <c r="G2605" s="15" t="s">
        <v>2556</v>
      </c>
      <c r="H2605" s="15">
        <v>-1.0</v>
      </c>
      <c r="I2605" s="15" t="s">
        <v>1006</v>
      </c>
      <c r="J2605" s="15" t="s">
        <v>22</v>
      </c>
      <c r="K2605" s="15" t="s">
        <v>225</v>
      </c>
      <c r="L2605" s="15" t="s">
        <v>24</v>
      </c>
      <c r="M2605" s="16">
        <v>0.5</v>
      </c>
      <c r="N2605" s="16">
        <v>1.0</v>
      </c>
      <c r="O2605" s="16">
        <v>0.94</v>
      </c>
      <c r="P2605" s="17">
        <v>45410.0</v>
      </c>
      <c r="Q2605" s="18">
        <v>1.75</v>
      </c>
      <c r="R2605" s="15" t="s">
        <v>25</v>
      </c>
      <c r="S2605" s="19">
        <f t="shared" si="1"/>
        <v>-0.94</v>
      </c>
      <c r="T2605" s="19">
        <f t="shared" si="8"/>
        <v>86.38457081</v>
      </c>
      <c r="U2605" s="144"/>
    </row>
    <row r="2606">
      <c r="A2606" s="107"/>
      <c r="B2606" s="8" t="s">
        <v>137</v>
      </c>
      <c r="C2606" s="8" t="s">
        <v>19</v>
      </c>
      <c r="D2606" s="8">
        <v>32.0</v>
      </c>
      <c r="E2606" s="8" t="s">
        <v>5071</v>
      </c>
      <c r="F2606" s="8" t="s">
        <v>1473</v>
      </c>
      <c r="G2606" s="8" t="s">
        <v>2660</v>
      </c>
      <c r="H2606" s="8">
        <v>0.0</v>
      </c>
      <c r="I2606" s="8" t="s">
        <v>316</v>
      </c>
      <c r="J2606" s="8" t="s">
        <v>22</v>
      </c>
      <c r="K2606" s="8" t="s">
        <v>1150</v>
      </c>
      <c r="L2606" s="8" t="s">
        <v>24</v>
      </c>
      <c r="M2606" s="9">
        <v>0.0</v>
      </c>
      <c r="N2606" s="9">
        <v>0.5</v>
      </c>
      <c r="O2606" s="9">
        <v>0.49</v>
      </c>
      <c r="P2606" s="10">
        <v>45410.0</v>
      </c>
      <c r="Q2606" s="11">
        <v>2.0</v>
      </c>
      <c r="R2606" s="8" t="s">
        <v>70</v>
      </c>
      <c r="S2606" s="12">
        <f t="shared" si="1"/>
        <v>0</v>
      </c>
      <c r="T2606" s="12">
        <f t="shared" si="8"/>
        <v>86.38457081</v>
      </c>
      <c r="U2606" s="145"/>
    </row>
    <row r="2607">
      <c r="A2607" s="29"/>
      <c r="B2607" s="15" t="s">
        <v>129</v>
      </c>
      <c r="C2607" s="15" t="s">
        <v>19</v>
      </c>
      <c r="D2607" s="15">
        <v>28.0</v>
      </c>
      <c r="E2607" s="15" t="s">
        <v>5072</v>
      </c>
      <c r="F2607" s="15" t="s">
        <v>1473</v>
      </c>
      <c r="G2607" s="15" t="s">
        <v>2660</v>
      </c>
      <c r="H2607" s="15">
        <v>0.0</v>
      </c>
      <c r="I2607" s="15" t="s">
        <v>1470</v>
      </c>
      <c r="J2607" s="15" t="s">
        <v>22</v>
      </c>
      <c r="K2607" s="15" t="s">
        <v>892</v>
      </c>
      <c r="L2607" s="15" t="s">
        <v>24</v>
      </c>
      <c r="M2607" s="16">
        <v>0.0</v>
      </c>
      <c r="N2607" s="16">
        <v>0.4</v>
      </c>
      <c r="O2607" s="16">
        <v>0.36</v>
      </c>
      <c r="P2607" s="17">
        <v>45410.0</v>
      </c>
      <c r="Q2607" s="18">
        <v>1.75</v>
      </c>
      <c r="R2607" s="15" t="s">
        <v>70</v>
      </c>
      <c r="S2607" s="19">
        <f t="shared" si="1"/>
        <v>0</v>
      </c>
      <c r="T2607" s="19">
        <f t="shared" si="8"/>
        <v>86.38457081</v>
      </c>
      <c r="U2607" s="144"/>
    </row>
    <row r="2608">
      <c r="A2608" s="107"/>
      <c r="B2608" s="8" t="s">
        <v>18</v>
      </c>
      <c r="C2608" s="8" t="s">
        <v>19</v>
      </c>
      <c r="D2608" s="8">
        <v>55.0</v>
      </c>
      <c r="E2608" s="8" t="s">
        <v>5073</v>
      </c>
      <c r="F2608" s="8" t="s">
        <v>1473</v>
      </c>
      <c r="G2608" s="8" t="s">
        <v>2556</v>
      </c>
      <c r="H2608" s="8">
        <v>-1.0</v>
      </c>
      <c r="I2608" s="8" t="s">
        <v>101</v>
      </c>
      <c r="J2608" s="8" t="s">
        <v>22</v>
      </c>
      <c r="K2608" s="8" t="s">
        <v>225</v>
      </c>
      <c r="L2608" s="8" t="s">
        <v>24</v>
      </c>
      <c r="M2608" s="9">
        <v>0.25</v>
      </c>
      <c r="N2608" s="9">
        <v>1.0</v>
      </c>
      <c r="O2608" s="9">
        <v>1.0</v>
      </c>
      <c r="P2608" s="10">
        <v>45410.0</v>
      </c>
      <c r="Q2608" s="11">
        <v>1.7</v>
      </c>
      <c r="R2608" s="8" t="s">
        <v>30</v>
      </c>
      <c r="S2608" s="12">
        <f t="shared" si="1"/>
        <v>0.35</v>
      </c>
      <c r="T2608" s="12">
        <f t="shared" si="8"/>
        <v>86.73457081</v>
      </c>
      <c r="U2608" s="145"/>
    </row>
    <row r="2609">
      <c r="A2609" s="29"/>
      <c r="B2609" s="15" t="s">
        <v>137</v>
      </c>
      <c r="C2609" s="15" t="s">
        <v>19</v>
      </c>
      <c r="D2609" s="15">
        <v>31.0</v>
      </c>
      <c r="E2609" s="15" t="s">
        <v>5074</v>
      </c>
      <c r="F2609" s="15" t="s">
        <v>1473</v>
      </c>
      <c r="G2609" s="15" t="s">
        <v>2556</v>
      </c>
      <c r="H2609" s="15">
        <v>0.0</v>
      </c>
      <c r="I2609" s="15" t="s">
        <v>1175</v>
      </c>
      <c r="J2609" s="15" t="s">
        <v>22</v>
      </c>
      <c r="K2609" s="15" t="s">
        <v>225</v>
      </c>
      <c r="L2609" s="15" t="s">
        <v>24</v>
      </c>
      <c r="M2609" s="16">
        <v>0.25</v>
      </c>
      <c r="N2609" s="16">
        <v>1.0</v>
      </c>
      <c r="O2609" s="16">
        <v>0.86</v>
      </c>
      <c r="P2609" s="17">
        <v>45410.0</v>
      </c>
      <c r="Q2609" s="18">
        <v>1.71</v>
      </c>
      <c r="R2609" s="15" t="s">
        <v>33</v>
      </c>
      <c r="S2609" s="19">
        <f t="shared" si="1"/>
        <v>0.6106</v>
      </c>
      <c r="T2609" s="19">
        <f t="shared" si="8"/>
        <v>87.34517081</v>
      </c>
      <c r="U2609" s="144"/>
    </row>
    <row r="2610">
      <c r="A2610" s="107"/>
      <c r="B2610" s="8" t="s">
        <v>137</v>
      </c>
      <c r="C2610" s="8" t="s">
        <v>19</v>
      </c>
      <c r="D2610" s="8">
        <v>80.0</v>
      </c>
      <c r="E2610" s="8" t="s">
        <v>5075</v>
      </c>
      <c r="F2610" s="8" t="s">
        <v>1479</v>
      </c>
      <c r="G2610" s="8" t="s">
        <v>2660</v>
      </c>
      <c r="H2610" s="8">
        <v>0.0</v>
      </c>
      <c r="I2610" s="8" t="s">
        <v>121</v>
      </c>
      <c r="J2610" s="8" t="s">
        <v>22</v>
      </c>
      <c r="K2610" s="8" t="s">
        <v>892</v>
      </c>
      <c r="L2610" s="8" t="s">
        <v>24</v>
      </c>
      <c r="M2610" s="9">
        <v>0.0</v>
      </c>
      <c r="N2610" s="9">
        <v>0.5</v>
      </c>
      <c r="O2610" s="9">
        <v>0.49</v>
      </c>
      <c r="P2610" s="10">
        <v>45410.0</v>
      </c>
      <c r="Q2610" s="11">
        <v>2.05</v>
      </c>
      <c r="R2610" s="8" t="s">
        <v>25</v>
      </c>
      <c r="S2610" s="12">
        <f t="shared" si="1"/>
        <v>-0.49</v>
      </c>
      <c r="T2610" s="12">
        <f t="shared" si="8"/>
        <v>86.85517081</v>
      </c>
      <c r="U2610" s="145"/>
    </row>
    <row r="2611">
      <c r="A2611" s="29"/>
      <c r="B2611" s="15" t="s">
        <v>26</v>
      </c>
      <c r="C2611" s="15" t="s">
        <v>40</v>
      </c>
      <c r="D2611" s="15">
        <v>24.0</v>
      </c>
      <c r="E2611" s="15" t="s">
        <v>5076</v>
      </c>
      <c r="F2611" s="15" t="s">
        <v>1473</v>
      </c>
      <c r="G2611" s="15" t="s">
        <v>2660</v>
      </c>
      <c r="H2611" s="15">
        <v>0.0</v>
      </c>
      <c r="I2611" s="15" t="s">
        <v>66</v>
      </c>
      <c r="J2611" s="15" t="s">
        <v>22</v>
      </c>
      <c r="K2611" s="15" t="s">
        <v>1150</v>
      </c>
      <c r="L2611" s="15" t="s">
        <v>24</v>
      </c>
      <c r="M2611" s="16">
        <v>0.0</v>
      </c>
      <c r="N2611" s="16">
        <v>0.5</v>
      </c>
      <c r="O2611" s="16">
        <v>0.48</v>
      </c>
      <c r="P2611" s="17">
        <v>45410.0</v>
      </c>
      <c r="Q2611" s="18">
        <v>1.725</v>
      </c>
      <c r="R2611" s="15" t="s">
        <v>25</v>
      </c>
      <c r="S2611" s="19">
        <f t="shared" si="1"/>
        <v>-0.48</v>
      </c>
      <c r="T2611" s="19">
        <f t="shared" si="8"/>
        <v>86.37517081</v>
      </c>
      <c r="U2611" s="144"/>
    </row>
    <row r="2612">
      <c r="A2612" s="107"/>
      <c r="B2612" s="8" t="s">
        <v>26</v>
      </c>
      <c r="C2612" s="8" t="s">
        <v>19</v>
      </c>
      <c r="D2612" s="8">
        <v>81.0</v>
      </c>
      <c r="E2612" s="8" t="s">
        <v>5077</v>
      </c>
      <c r="F2612" s="8" t="s">
        <v>1479</v>
      </c>
      <c r="G2612" s="8" t="s">
        <v>2660</v>
      </c>
      <c r="H2612" s="8">
        <v>0.0</v>
      </c>
      <c r="I2612" s="8" t="s">
        <v>101</v>
      </c>
      <c r="J2612" s="8" t="s">
        <v>22</v>
      </c>
      <c r="K2612" s="8" t="s">
        <v>892</v>
      </c>
      <c r="L2612" s="8" t="s">
        <v>24</v>
      </c>
      <c r="M2612" s="9">
        <v>0.0</v>
      </c>
      <c r="N2612" s="9">
        <v>0.2</v>
      </c>
      <c r="O2612" s="9">
        <v>0.03</v>
      </c>
      <c r="P2612" s="10">
        <v>45410.0</v>
      </c>
      <c r="Q2612" s="11">
        <v>1.775</v>
      </c>
      <c r="R2612" s="8" t="s">
        <v>33</v>
      </c>
      <c r="S2612" s="12">
        <f t="shared" si="1"/>
        <v>0.02325</v>
      </c>
      <c r="T2612" s="12">
        <f t="shared" si="8"/>
        <v>86.39842081</v>
      </c>
      <c r="U2612" s="145"/>
    </row>
    <row r="2613">
      <c r="A2613" s="29"/>
      <c r="B2613" s="15" t="s">
        <v>137</v>
      </c>
      <c r="C2613" s="15" t="s">
        <v>19</v>
      </c>
      <c r="D2613" s="15">
        <v>44.0</v>
      </c>
      <c r="E2613" s="15" t="s">
        <v>5078</v>
      </c>
      <c r="F2613" s="15" t="s">
        <v>1473</v>
      </c>
      <c r="G2613" s="15" t="s">
        <v>2556</v>
      </c>
      <c r="H2613" s="15">
        <v>0.0</v>
      </c>
      <c r="I2613" s="15" t="s">
        <v>415</v>
      </c>
      <c r="J2613" s="15" t="s">
        <v>22</v>
      </c>
      <c r="K2613" s="15" t="s">
        <v>225</v>
      </c>
      <c r="L2613" s="15" t="s">
        <v>24</v>
      </c>
      <c r="M2613" s="16">
        <v>0.25</v>
      </c>
      <c r="N2613" s="16">
        <v>0.6</v>
      </c>
      <c r="O2613" s="16">
        <v>0.22</v>
      </c>
      <c r="P2613" s="17">
        <v>45410.0</v>
      </c>
      <c r="Q2613" s="18">
        <v>1.8</v>
      </c>
      <c r="R2613" s="15" t="s">
        <v>25</v>
      </c>
      <c r="S2613" s="19">
        <f t="shared" si="1"/>
        <v>-0.22</v>
      </c>
      <c r="T2613" s="19">
        <f t="shared" si="8"/>
        <v>86.17842081</v>
      </c>
      <c r="U2613" s="144"/>
    </row>
    <row r="2614">
      <c r="A2614" s="107"/>
      <c r="B2614" s="8" t="s">
        <v>26</v>
      </c>
      <c r="C2614" s="8" t="s">
        <v>19</v>
      </c>
      <c r="D2614" s="8"/>
      <c r="E2614" s="8" t="s">
        <v>5079</v>
      </c>
      <c r="F2614" s="8" t="s">
        <v>1479</v>
      </c>
      <c r="G2614" s="8" t="s">
        <v>2660</v>
      </c>
      <c r="H2614" s="8">
        <f>1</f>
        <v>1</v>
      </c>
      <c r="I2614" s="8" t="s">
        <v>463</v>
      </c>
      <c r="J2614" s="8" t="s">
        <v>22</v>
      </c>
      <c r="K2614" s="8" t="s">
        <v>1150</v>
      </c>
      <c r="L2614" s="8" t="s">
        <v>24</v>
      </c>
      <c r="M2614" s="9">
        <v>0.0</v>
      </c>
      <c r="N2614" s="9">
        <v>0.5</v>
      </c>
      <c r="O2614" s="9">
        <v>0.49</v>
      </c>
      <c r="P2614" s="54">
        <v>45410.0</v>
      </c>
      <c r="Q2614" s="11">
        <v>1.8</v>
      </c>
      <c r="R2614" s="8" t="s">
        <v>70</v>
      </c>
      <c r="S2614" s="12">
        <f t="shared" si="1"/>
        <v>0</v>
      </c>
      <c r="T2614" s="12">
        <f t="shared" si="8"/>
        <v>86.17842081</v>
      </c>
      <c r="U2614" s="145"/>
    </row>
    <row r="2615">
      <c r="A2615" s="29"/>
      <c r="B2615" s="15" t="s">
        <v>18</v>
      </c>
      <c r="C2615" s="15" t="s">
        <v>19</v>
      </c>
      <c r="D2615" s="15">
        <v>66.0</v>
      </c>
      <c r="E2615" s="15" t="s">
        <v>5080</v>
      </c>
      <c r="F2615" s="15" t="s">
        <v>1479</v>
      </c>
      <c r="G2615" s="15" t="s">
        <v>2660</v>
      </c>
      <c r="H2615" s="15">
        <v>-1.0</v>
      </c>
      <c r="I2615" s="15" t="s">
        <v>4293</v>
      </c>
      <c r="J2615" s="15" t="s">
        <v>22</v>
      </c>
      <c r="K2615" s="15" t="s">
        <v>892</v>
      </c>
      <c r="L2615" s="15" t="s">
        <v>24</v>
      </c>
      <c r="M2615" s="16">
        <v>0.0</v>
      </c>
      <c r="N2615" s="16">
        <v>0.2</v>
      </c>
      <c r="O2615" s="16">
        <v>0.18</v>
      </c>
      <c r="P2615" s="17">
        <v>45410.0</v>
      </c>
      <c r="Q2615" s="18">
        <v>1.825</v>
      </c>
      <c r="R2615" s="15" t="s">
        <v>70</v>
      </c>
      <c r="S2615" s="19">
        <f t="shared" si="1"/>
        <v>0</v>
      </c>
      <c r="T2615" s="19">
        <f t="shared" si="8"/>
        <v>86.17842081</v>
      </c>
      <c r="U2615" s="144"/>
    </row>
    <row r="2616">
      <c r="A2616" s="107"/>
      <c r="B2616" s="8" t="s">
        <v>129</v>
      </c>
      <c r="C2616" s="8" t="s">
        <v>40</v>
      </c>
      <c r="D2616" s="8"/>
      <c r="E2616" s="8" t="s">
        <v>5081</v>
      </c>
      <c r="F2616" s="8" t="s">
        <v>1479</v>
      </c>
      <c r="G2616" s="8" t="s">
        <v>2660</v>
      </c>
      <c r="H2616" s="8">
        <v>-1.0</v>
      </c>
      <c r="I2616" s="8" t="s">
        <v>82</v>
      </c>
      <c r="J2616" s="8" t="s">
        <v>22</v>
      </c>
      <c r="K2616" s="8" t="s">
        <v>892</v>
      </c>
      <c r="L2616" s="8" t="s">
        <v>24</v>
      </c>
      <c r="M2616" s="9">
        <v>0.0</v>
      </c>
      <c r="N2616" s="9">
        <v>1.0</v>
      </c>
      <c r="O2616" s="9">
        <v>0.93</v>
      </c>
      <c r="P2616" s="10">
        <v>45410.0</v>
      </c>
      <c r="Q2616" s="11">
        <v>1.9</v>
      </c>
      <c r="R2616" s="8" t="s">
        <v>70</v>
      </c>
      <c r="S2616" s="12">
        <f t="shared" si="1"/>
        <v>0</v>
      </c>
      <c r="T2616" s="12">
        <f t="shared" si="8"/>
        <v>86.17842081</v>
      </c>
      <c r="U2616" s="145"/>
    </row>
    <row r="2617">
      <c r="A2617" s="29"/>
      <c r="B2617" s="15" t="s">
        <v>4225</v>
      </c>
      <c r="C2617" s="15" t="s">
        <v>19</v>
      </c>
      <c r="D2617" s="15">
        <v>61.0</v>
      </c>
      <c r="E2617" s="37" t="s">
        <v>5082</v>
      </c>
      <c r="F2617" s="15" t="s">
        <v>1473</v>
      </c>
      <c r="G2617" s="15" t="s">
        <v>2573</v>
      </c>
      <c r="H2617" s="15">
        <v>0.0</v>
      </c>
      <c r="I2617" s="15" t="s">
        <v>316</v>
      </c>
      <c r="J2617" s="15" t="s">
        <v>22</v>
      </c>
      <c r="K2617" s="15" t="s">
        <v>894</v>
      </c>
      <c r="L2617" s="15" t="s">
        <v>24</v>
      </c>
      <c r="M2617" s="16">
        <v>-0.5</v>
      </c>
      <c r="N2617" s="16">
        <v>0.2</v>
      </c>
      <c r="O2617" s="16">
        <v>0.19</v>
      </c>
      <c r="P2617" s="17">
        <v>45412.0</v>
      </c>
      <c r="Q2617" s="18">
        <v>1.75</v>
      </c>
      <c r="R2617" s="15" t="s">
        <v>33</v>
      </c>
      <c r="S2617" s="19">
        <f t="shared" si="1"/>
        <v>0.1425</v>
      </c>
      <c r="T2617" s="19">
        <f t="shared" si="8"/>
        <v>86.32092081</v>
      </c>
      <c r="U2617" s="144"/>
    </row>
    <row r="2618">
      <c r="A2618" s="107"/>
      <c r="B2618" s="8" t="s">
        <v>26</v>
      </c>
      <c r="C2618" s="8" t="s">
        <v>19</v>
      </c>
      <c r="D2618" s="8">
        <v>80.0</v>
      </c>
      <c r="E2618" s="8" t="s">
        <v>5083</v>
      </c>
      <c r="F2618" s="8" t="s">
        <v>1479</v>
      </c>
      <c r="G2618" s="8" t="s">
        <v>1480</v>
      </c>
      <c r="H2618" s="8">
        <v>4</v>
      </c>
      <c r="I2618" s="8" t="s">
        <v>44</v>
      </c>
      <c r="J2618" s="8" t="s">
        <v>22</v>
      </c>
      <c r="K2618" s="8" t="s">
        <v>892</v>
      </c>
      <c r="L2618" s="8" t="s">
        <v>24</v>
      </c>
      <c r="M2618" s="9">
        <v>0.0</v>
      </c>
      <c r="N2618" s="9">
        <v>0.25</v>
      </c>
      <c r="O2618" s="9">
        <v>0.25</v>
      </c>
      <c r="P2618" s="10">
        <v>45413.0</v>
      </c>
      <c r="Q2618" s="11">
        <v>1.6</v>
      </c>
      <c r="R2618" s="8" t="s">
        <v>33</v>
      </c>
      <c r="S2618" s="12">
        <f t="shared" si="1"/>
        <v>0.15</v>
      </c>
      <c r="T2618" s="12">
        <f t="shared" si="8"/>
        <v>86.47092081</v>
      </c>
      <c r="U2618" s="8"/>
    </row>
    <row r="2619">
      <c r="A2619" s="29"/>
      <c r="B2619" s="15" t="s">
        <v>26</v>
      </c>
      <c r="C2619" s="15" t="s">
        <v>19</v>
      </c>
      <c r="D2619" s="15">
        <v>21.0</v>
      </c>
      <c r="E2619" s="15" t="s">
        <v>5084</v>
      </c>
      <c r="F2619" s="15" t="s">
        <v>1473</v>
      </c>
      <c r="G2619" s="15" t="s">
        <v>1480</v>
      </c>
      <c r="H2619" s="15">
        <v>0.0</v>
      </c>
      <c r="I2619" s="15" t="s">
        <v>221</v>
      </c>
      <c r="J2619" s="15" t="s">
        <v>22</v>
      </c>
      <c r="K2619" s="15" t="s">
        <v>1150</v>
      </c>
      <c r="L2619" s="15" t="s">
        <v>24</v>
      </c>
      <c r="M2619" s="16">
        <v>0.0</v>
      </c>
      <c r="N2619" s="16">
        <v>1.0</v>
      </c>
      <c r="O2619" s="16">
        <v>1.0</v>
      </c>
      <c r="P2619" s="17">
        <v>45413.0</v>
      </c>
      <c r="Q2619" s="18">
        <v>1.9</v>
      </c>
      <c r="R2619" s="15" t="s">
        <v>70</v>
      </c>
      <c r="S2619" s="19">
        <f t="shared" si="1"/>
        <v>0</v>
      </c>
      <c r="T2619" s="19">
        <f t="shared" si="8"/>
        <v>86.47092081</v>
      </c>
      <c r="U2619" s="15"/>
    </row>
    <row r="2620">
      <c r="A2620" s="107"/>
      <c r="B2620" s="8" t="s">
        <v>4225</v>
      </c>
      <c r="C2620" s="8" t="s">
        <v>19</v>
      </c>
      <c r="D2620" s="8">
        <v>65.0</v>
      </c>
      <c r="E2620" s="8" t="s">
        <v>5085</v>
      </c>
      <c r="F2620" s="8" t="s">
        <v>1473</v>
      </c>
      <c r="G2620" s="8" t="s">
        <v>1480</v>
      </c>
      <c r="H2620" s="8">
        <v>-2.0</v>
      </c>
      <c r="I2620" s="8" t="s">
        <v>316</v>
      </c>
      <c r="J2620" s="8" t="s">
        <v>22</v>
      </c>
      <c r="K2620" s="8" t="s">
        <v>892</v>
      </c>
      <c r="L2620" s="8" t="s">
        <v>24</v>
      </c>
      <c r="M2620" s="9">
        <v>0.0</v>
      </c>
      <c r="N2620" s="9">
        <v>0.2</v>
      </c>
      <c r="O2620" s="9">
        <v>0.13</v>
      </c>
      <c r="P2620" s="10">
        <v>45413.0</v>
      </c>
      <c r="Q2620" s="11">
        <v>1.925</v>
      </c>
      <c r="R2620" s="8" t="s">
        <v>25</v>
      </c>
      <c r="S2620" s="12">
        <f t="shared" si="1"/>
        <v>-0.13</v>
      </c>
      <c r="T2620" s="12">
        <f t="shared" si="8"/>
        <v>86.34092081</v>
      </c>
      <c r="U2620" s="8"/>
    </row>
    <row r="2621">
      <c r="A2621" s="29"/>
      <c r="B2621" s="15" t="s">
        <v>26</v>
      </c>
      <c r="C2621" s="15" t="s">
        <v>19</v>
      </c>
      <c r="D2621" s="15">
        <v>69.0</v>
      </c>
      <c r="E2621" s="15" t="s">
        <v>5086</v>
      </c>
      <c r="F2621" s="15" t="s">
        <v>1479</v>
      </c>
      <c r="G2621" s="15" t="s">
        <v>1480</v>
      </c>
      <c r="H2621" s="15">
        <v>-1.0</v>
      </c>
      <c r="I2621" s="15" t="s">
        <v>44</v>
      </c>
      <c r="J2621" s="15" t="s">
        <v>22</v>
      </c>
      <c r="K2621" s="15" t="s">
        <v>892</v>
      </c>
      <c r="L2621" s="15" t="s">
        <v>24</v>
      </c>
      <c r="M2621" s="16">
        <v>0.0</v>
      </c>
      <c r="N2621" s="16">
        <v>0.6</v>
      </c>
      <c r="O2621" s="16">
        <v>0.58</v>
      </c>
      <c r="P2621" s="17">
        <v>45413.0</v>
      </c>
      <c r="Q2621" s="18">
        <v>1.75</v>
      </c>
      <c r="R2621" s="15" t="s">
        <v>25</v>
      </c>
      <c r="S2621" s="19">
        <f t="shared" si="1"/>
        <v>-0.58</v>
      </c>
      <c r="T2621" s="19">
        <f t="shared" si="8"/>
        <v>85.76092081</v>
      </c>
      <c r="U2621" s="15"/>
    </row>
    <row r="2622">
      <c r="A2622" s="107"/>
      <c r="B2622" s="8" t="s">
        <v>26</v>
      </c>
      <c r="C2622" s="8" t="s">
        <v>19</v>
      </c>
      <c r="D2622" s="8">
        <v>46.0</v>
      </c>
      <c r="E2622" s="8" t="s">
        <v>5087</v>
      </c>
      <c r="F2622" s="8" t="s">
        <v>1473</v>
      </c>
      <c r="G2622" s="8" t="s">
        <v>1474</v>
      </c>
      <c r="H2622" s="8">
        <v>0.0</v>
      </c>
      <c r="I2622" s="8" t="s">
        <v>93</v>
      </c>
      <c r="J2622" s="8" t="s">
        <v>22</v>
      </c>
      <c r="K2622" s="8" t="s">
        <v>225</v>
      </c>
      <c r="L2622" s="8" t="s">
        <v>24</v>
      </c>
      <c r="M2622" s="9">
        <v>1.0</v>
      </c>
      <c r="N2622" s="9">
        <v>0.1</v>
      </c>
      <c r="O2622" s="9">
        <v>0.09</v>
      </c>
      <c r="P2622" s="10">
        <v>45413.0</v>
      </c>
      <c r="Q2622" s="11">
        <v>1.9</v>
      </c>
      <c r="R2622" s="8" t="s">
        <v>25</v>
      </c>
      <c r="S2622" s="12">
        <f t="shared" si="1"/>
        <v>-0.09</v>
      </c>
      <c r="T2622" s="12">
        <f t="shared" si="8"/>
        <v>85.67092081</v>
      </c>
      <c r="U2622" s="8"/>
    </row>
    <row r="2623">
      <c r="A2623" s="29"/>
      <c r="B2623" s="15" t="s">
        <v>26</v>
      </c>
      <c r="C2623" s="15" t="s">
        <v>19</v>
      </c>
      <c r="D2623" s="15">
        <v>45.0</v>
      </c>
      <c r="E2623" s="15" t="s">
        <v>5088</v>
      </c>
      <c r="F2623" s="15" t="s">
        <v>1473</v>
      </c>
      <c r="G2623" s="15" t="s">
        <v>1474</v>
      </c>
      <c r="H2623" s="15">
        <v>0.0</v>
      </c>
      <c r="I2623" s="15" t="s">
        <v>1031</v>
      </c>
      <c r="J2623" s="15" t="s">
        <v>22</v>
      </c>
      <c r="K2623" s="15" t="s">
        <v>225</v>
      </c>
      <c r="L2623" s="15" t="s">
        <v>24</v>
      </c>
      <c r="M2623" s="16">
        <v>0.25</v>
      </c>
      <c r="N2623" s="16">
        <v>0.4</v>
      </c>
      <c r="O2623" s="16">
        <v>0.37</v>
      </c>
      <c r="P2623" s="17">
        <v>45413.0</v>
      </c>
      <c r="Q2623" s="18">
        <v>1.7</v>
      </c>
      <c r="R2623" s="15" t="s">
        <v>25</v>
      </c>
      <c r="S2623" s="19">
        <f t="shared" si="1"/>
        <v>-0.37</v>
      </c>
      <c r="T2623" s="19">
        <f t="shared" si="8"/>
        <v>85.30092081</v>
      </c>
      <c r="U2623" s="15"/>
    </row>
    <row r="2624">
      <c r="A2624" s="107"/>
      <c r="B2624" s="8" t="s">
        <v>26</v>
      </c>
      <c r="C2624" s="8" t="s">
        <v>40</v>
      </c>
      <c r="D2624" s="8">
        <v>75.0</v>
      </c>
      <c r="E2624" s="8" t="s">
        <v>5089</v>
      </c>
      <c r="F2624" s="8" t="s">
        <v>1473</v>
      </c>
      <c r="G2624" s="8" t="s">
        <v>1480</v>
      </c>
      <c r="H2624" s="8">
        <v>-1.0</v>
      </c>
      <c r="I2624" s="8" t="s">
        <v>233</v>
      </c>
      <c r="J2624" s="8" t="s">
        <v>22</v>
      </c>
      <c r="K2624" s="8" t="s">
        <v>892</v>
      </c>
      <c r="L2624" s="8" t="s">
        <v>24</v>
      </c>
      <c r="M2624" s="9">
        <v>0.0</v>
      </c>
      <c r="N2624" s="9">
        <v>0.6</v>
      </c>
      <c r="O2624" s="9">
        <v>0.57</v>
      </c>
      <c r="P2624" s="10">
        <v>45413.0</v>
      </c>
      <c r="Q2624" s="11">
        <v>1.95</v>
      </c>
      <c r="R2624" s="8" t="s">
        <v>70</v>
      </c>
      <c r="S2624" s="12">
        <f t="shared" si="1"/>
        <v>0</v>
      </c>
      <c r="T2624" s="12">
        <f t="shared" si="8"/>
        <v>85.30092081</v>
      </c>
      <c r="U2624" s="8"/>
    </row>
    <row r="2625">
      <c r="A2625" s="29"/>
      <c r="B2625" s="15" t="s">
        <v>26</v>
      </c>
      <c r="C2625" s="15" t="s">
        <v>19</v>
      </c>
      <c r="D2625" s="15">
        <v>38.0</v>
      </c>
      <c r="E2625" s="15" t="s">
        <v>5090</v>
      </c>
      <c r="F2625" s="15" t="s">
        <v>1473</v>
      </c>
      <c r="G2625" s="15" t="s">
        <v>1480</v>
      </c>
      <c r="H2625" s="15">
        <v>0.0</v>
      </c>
      <c r="I2625" s="15" t="s">
        <v>740</v>
      </c>
      <c r="J2625" s="15" t="s">
        <v>22</v>
      </c>
      <c r="K2625" s="15" t="s">
        <v>1150</v>
      </c>
      <c r="L2625" s="15" t="s">
        <v>24</v>
      </c>
      <c r="M2625" s="16">
        <v>0.0</v>
      </c>
      <c r="N2625" s="16">
        <v>0.1</v>
      </c>
      <c r="O2625" s="16">
        <v>0.09</v>
      </c>
      <c r="P2625" s="17">
        <v>45414.0</v>
      </c>
      <c r="Q2625" s="18">
        <v>1.775</v>
      </c>
      <c r="R2625" s="15" t="s">
        <v>70</v>
      </c>
      <c r="S2625" s="19">
        <f t="shared" si="1"/>
        <v>0</v>
      </c>
      <c r="T2625" s="19">
        <f t="shared" si="8"/>
        <v>85.30092081</v>
      </c>
      <c r="U2625" s="15"/>
    </row>
    <row r="2626">
      <c r="A2626" s="107"/>
      <c r="B2626" s="8" t="s">
        <v>129</v>
      </c>
      <c r="C2626" s="8" t="s">
        <v>19</v>
      </c>
      <c r="D2626" s="8">
        <v>70.0</v>
      </c>
      <c r="E2626" s="8" t="s">
        <v>5091</v>
      </c>
      <c r="F2626" s="8" t="s">
        <v>1473</v>
      </c>
      <c r="G2626" s="8" t="s">
        <v>1474</v>
      </c>
      <c r="H2626" s="8">
        <v>-1.0</v>
      </c>
      <c r="I2626" s="8" t="s">
        <v>5092</v>
      </c>
      <c r="J2626" s="8" t="s">
        <v>22</v>
      </c>
      <c r="K2626" s="8" t="s">
        <v>225</v>
      </c>
      <c r="L2626" s="8" t="s">
        <v>24</v>
      </c>
      <c r="M2626" s="9">
        <v>0.25</v>
      </c>
      <c r="N2626" s="9">
        <v>0.4</v>
      </c>
      <c r="O2626" s="9">
        <v>0.4</v>
      </c>
      <c r="P2626" s="10">
        <v>45414.0</v>
      </c>
      <c r="Q2626" s="11">
        <v>1.725</v>
      </c>
      <c r="R2626" s="8" t="s">
        <v>33</v>
      </c>
      <c r="S2626" s="12">
        <f t="shared" si="1"/>
        <v>0.29</v>
      </c>
      <c r="T2626" s="12">
        <f t="shared" si="8"/>
        <v>85.59092081</v>
      </c>
      <c r="U2626" s="8"/>
    </row>
    <row r="2627">
      <c r="A2627" s="29"/>
      <c r="B2627" s="15" t="s">
        <v>129</v>
      </c>
      <c r="C2627" s="15" t="s">
        <v>19</v>
      </c>
      <c r="D2627" s="15">
        <v>70.0</v>
      </c>
      <c r="E2627" s="15" t="s">
        <v>5093</v>
      </c>
      <c r="F2627" s="15" t="s">
        <v>1473</v>
      </c>
      <c r="G2627" s="15" t="s">
        <v>1480</v>
      </c>
      <c r="H2627" s="15">
        <v>0.0</v>
      </c>
      <c r="I2627" s="15" t="s">
        <v>820</v>
      </c>
      <c r="J2627" s="15" t="s">
        <v>22</v>
      </c>
      <c r="K2627" s="15" t="s">
        <v>892</v>
      </c>
      <c r="L2627" s="15" t="s">
        <v>24</v>
      </c>
      <c r="M2627" s="16">
        <v>0.0</v>
      </c>
      <c r="N2627" s="16">
        <v>0.3</v>
      </c>
      <c r="O2627" s="16">
        <v>0.3</v>
      </c>
      <c r="P2627" s="17">
        <v>45415.0</v>
      </c>
      <c r="Q2627" s="18">
        <v>1.8</v>
      </c>
      <c r="R2627" s="15" t="s">
        <v>33</v>
      </c>
      <c r="S2627" s="19">
        <f t="shared" si="1"/>
        <v>0.24</v>
      </c>
      <c r="T2627" s="19">
        <f t="shared" si="8"/>
        <v>85.83092081</v>
      </c>
      <c r="U2627" s="15"/>
    </row>
    <row r="2628">
      <c r="A2628" s="107"/>
      <c r="B2628" s="8" t="s">
        <v>26</v>
      </c>
      <c r="C2628" s="8" t="s">
        <v>19</v>
      </c>
      <c r="D2628" s="8">
        <v>0.0</v>
      </c>
      <c r="E2628" s="8" t="s">
        <v>5094</v>
      </c>
      <c r="F2628" s="8"/>
      <c r="G2628" s="8"/>
      <c r="H2628" s="8">
        <v>0.0</v>
      </c>
      <c r="I2628" s="8" t="s">
        <v>487</v>
      </c>
      <c r="J2628" s="8" t="s">
        <v>598</v>
      </c>
      <c r="K2628" s="8" t="s">
        <v>440</v>
      </c>
      <c r="L2628" s="8" t="s">
        <v>24</v>
      </c>
      <c r="M2628" s="9">
        <v>2.5</v>
      </c>
      <c r="N2628" s="9">
        <v>0.05</v>
      </c>
      <c r="O2628" s="9">
        <v>0.04</v>
      </c>
      <c r="P2628" s="10">
        <v>45415.0</v>
      </c>
      <c r="Q2628" s="11">
        <v>1.7</v>
      </c>
      <c r="R2628" s="8" t="s">
        <v>33</v>
      </c>
      <c r="S2628" s="12">
        <f t="shared" si="1"/>
        <v>0.028</v>
      </c>
      <c r="T2628" s="12">
        <f t="shared" si="8"/>
        <v>85.85892081</v>
      </c>
      <c r="U2628" s="8"/>
    </row>
    <row r="2629">
      <c r="A2629" s="29"/>
      <c r="B2629" s="15" t="s">
        <v>18</v>
      </c>
      <c r="C2629" s="15" t="s">
        <v>19</v>
      </c>
      <c r="D2629" s="15">
        <v>63.0</v>
      </c>
      <c r="E2629" s="15" t="s">
        <v>5095</v>
      </c>
      <c r="F2629" s="15" t="s">
        <v>1473</v>
      </c>
      <c r="G2629" s="15" t="s">
        <v>1474</v>
      </c>
      <c r="H2629" s="15">
        <f>1</f>
        <v>1</v>
      </c>
      <c r="I2629" s="15" t="s">
        <v>583</v>
      </c>
      <c r="J2629" s="15" t="s">
        <v>22</v>
      </c>
      <c r="K2629" s="15" t="s">
        <v>225</v>
      </c>
      <c r="L2629" s="15" t="s">
        <v>24</v>
      </c>
      <c r="M2629" s="16">
        <v>0.25</v>
      </c>
      <c r="N2629" s="16">
        <v>0.6</v>
      </c>
      <c r="O2629" s="16">
        <v>0.6</v>
      </c>
      <c r="P2629" s="17">
        <v>45415.0</v>
      </c>
      <c r="Q2629" s="18">
        <v>1.725</v>
      </c>
      <c r="R2629" s="15" t="s">
        <v>33</v>
      </c>
      <c r="S2629" s="19">
        <f t="shared" si="1"/>
        <v>0.435</v>
      </c>
      <c r="T2629" s="19">
        <f t="shared" si="8"/>
        <v>86.29392081</v>
      </c>
      <c r="U2629" s="15"/>
    </row>
    <row r="2630">
      <c r="A2630" s="107"/>
      <c r="B2630" s="8" t="s">
        <v>18</v>
      </c>
      <c r="C2630" s="8" t="s">
        <v>40</v>
      </c>
      <c r="D2630" s="8">
        <v>71.0</v>
      </c>
      <c r="E2630" s="8" t="s">
        <v>5096</v>
      </c>
      <c r="F2630" s="8" t="s">
        <v>1479</v>
      </c>
      <c r="G2630" s="8" t="s">
        <v>1474</v>
      </c>
      <c r="H2630" s="8">
        <v>-1.0</v>
      </c>
      <c r="I2630" s="8" t="s">
        <v>513</v>
      </c>
      <c r="J2630" s="8" t="s">
        <v>22</v>
      </c>
      <c r="K2630" s="8" t="s">
        <v>225</v>
      </c>
      <c r="L2630" s="8" t="s">
        <v>24</v>
      </c>
      <c r="M2630" s="9">
        <v>0.75</v>
      </c>
      <c r="N2630" s="9">
        <v>0.2</v>
      </c>
      <c r="O2630" s="9">
        <v>0.2</v>
      </c>
      <c r="P2630" s="10">
        <v>45415.0</v>
      </c>
      <c r="Q2630" s="11">
        <v>1.825</v>
      </c>
      <c r="R2630" s="8" t="s">
        <v>79</v>
      </c>
      <c r="S2630" s="12">
        <f t="shared" si="1"/>
        <v>-0.1</v>
      </c>
      <c r="T2630" s="12">
        <f t="shared" si="8"/>
        <v>86.19392081</v>
      </c>
      <c r="U2630" s="8"/>
    </row>
    <row r="2631">
      <c r="A2631" s="29"/>
      <c r="B2631" s="15" t="s">
        <v>18</v>
      </c>
      <c r="C2631" s="15" t="s">
        <v>40</v>
      </c>
      <c r="D2631" s="15">
        <v>73.0</v>
      </c>
      <c r="E2631" s="15" t="s">
        <v>5097</v>
      </c>
      <c r="F2631" s="15" t="s">
        <v>1479</v>
      </c>
      <c r="G2631" s="15" t="s">
        <v>1474</v>
      </c>
      <c r="H2631" s="15">
        <v>-1.0</v>
      </c>
      <c r="I2631" s="15" t="s">
        <v>513</v>
      </c>
      <c r="J2631" s="15" t="s">
        <v>22</v>
      </c>
      <c r="K2631" s="15" t="s">
        <v>941</v>
      </c>
      <c r="L2631" s="15" t="s">
        <v>24</v>
      </c>
      <c r="M2631" s="16">
        <v>0.0</v>
      </c>
      <c r="N2631" s="16">
        <v>0.1</v>
      </c>
      <c r="O2631" s="16">
        <v>0.1</v>
      </c>
      <c r="P2631" s="17">
        <v>45415.0</v>
      </c>
      <c r="Q2631" s="18">
        <v>7.5</v>
      </c>
      <c r="R2631" s="15" t="s">
        <v>25</v>
      </c>
      <c r="S2631" s="19">
        <f t="shared" si="1"/>
        <v>-0.1</v>
      </c>
      <c r="T2631" s="19">
        <f t="shared" si="8"/>
        <v>86.09392081</v>
      </c>
      <c r="U2631" s="15"/>
    </row>
    <row r="2632">
      <c r="A2632" s="107"/>
      <c r="B2632" s="8" t="s">
        <v>137</v>
      </c>
      <c r="C2632" s="8" t="s">
        <v>19</v>
      </c>
      <c r="D2632" s="8">
        <v>41.0</v>
      </c>
      <c r="E2632" s="8" t="s">
        <v>5098</v>
      </c>
      <c r="F2632" s="8" t="s">
        <v>1473</v>
      </c>
      <c r="G2632" s="8" t="s">
        <v>1474</v>
      </c>
      <c r="H2632" s="8">
        <v>0.0</v>
      </c>
      <c r="I2632" s="8" t="s">
        <v>44</v>
      </c>
      <c r="J2632" s="8" t="s">
        <v>22</v>
      </c>
      <c r="K2632" s="8" t="s">
        <v>225</v>
      </c>
      <c r="L2632" s="8" t="s">
        <v>24</v>
      </c>
      <c r="M2632" s="9">
        <v>0.25</v>
      </c>
      <c r="N2632" s="9">
        <v>0.25</v>
      </c>
      <c r="O2632" s="9">
        <v>0.19</v>
      </c>
      <c r="P2632" s="10">
        <v>45415.0</v>
      </c>
      <c r="Q2632" s="11">
        <v>1.775</v>
      </c>
      <c r="R2632" s="8" t="s">
        <v>25</v>
      </c>
      <c r="S2632" s="12">
        <f t="shared" si="1"/>
        <v>-0.19</v>
      </c>
      <c r="T2632" s="12">
        <f t="shared" si="8"/>
        <v>85.90392081</v>
      </c>
      <c r="U2632" s="8"/>
    </row>
    <row r="2633">
      <c r="A2633" s="29"/>
      <c r="B2633" s="15" t="s">
        <v>26</v>
      </c>
      <c r="C2633" s="15" t="s">
        <v>19</v>
      </c>
      <c r="D2633" s="15">
        <v>45.0</v>
      </c>
      <c r="E2633" s="15" t="s">
        <v>5099</v>
      </c>
      <c r="F2633" s="15" t="s">
        <v>1473</v>
      </c>
      <c r="G2633" s="15" t="s">
        <v>1474</v>
      </c>
      <c r="H2633" s="15">
        <v>-1.0</v>
      </c>
      <c r="I2633" s="15" t="s">
        <v>82</v>
      </c>
      <c r="J2633" s="15" t="s">
        <v>22</v>
      </c>
      <c r="K2633" s="15" t="s">
        <v>225</v>
      </c>
      <c r="L2633" s="15" t="s">
        <v>24</v>
      </c>
      <c r="M2633" s="16">
        <v>0.25</v>
      </c>
      <c r="N2633" s="16">
        <v>0.75</v>
      </c>
      <c r="O2633" s="16">
        <v>0.73</v>
      </c>
      <c r="P2633" s="17">
        <v>45415.0</v>
      </c>
      <c r="Q2633" s="18">
        <v>1.75</v>
      </c>
      <c r="R2633" s="15" t="s">
        <v>25</v>
      </c>
      <c r="S2633" s="19">
        <f t="shared" si="1"/>
        <v>-0.73</v>
      </c>
      <c r="T2633" s="19">
        <f t="shared" si="8"/>
        <v>85.17392081</v>
      </c>
      <c r="U2633" s="15"/>
    </row>
    <row r="2634">
      <c r="A2634" s="107"/>
      <c r="B2634" s="8" t="s">
        <v>26</v>
      </c>
      <c r="C2634" s="8" t="s">
        <v>19</v>
      </c>
      <c r="D2634" s="8">
        <v>80.0</v>
      </c>
      <c r="E2634" s="8" t="s">
        <v>5100</v>
      </c>
      <c r="F2634" s="8" t="s">
        <v>1479</v>
      </c>
      <c r="G2634" s="8" t="s">
        <v>1474</v>
      </c>
      <c r="H2634" s="8">
        <v>-3.0</v>
      </c>
      <c r="I2634" s="8" t="s">
        <v>487</v>
      </c>
      <c r="J2634" s="8" t="s">
        <v>22</v>
      </c>
      <c r="K2634" s="8" t="s">
        <v>225</v>
      </c>
      <c r="L2634" s="8" t="s">
        <v>24</v>
      </c>
      <c r="M2634" s="9">
        <v>0.25</v>
      </c>
      <c r="N2634" s="9">
        <v>0.6</v>
      </c>
      <c r="O2634" s="9">
        <v>0.54</v>
      </c>
      <c r="P2634" s="10">
        <v>45416.0</v>
      </c>
      <c r="Q2634" s="11">
        <v>1.9</v>
      </c>
      <c r="R2634" s="8" t="s">
        <v>25</v>
      </c>
      <c r="S2634" s="12">
        <f t="shared" si="1"/>
        <v>-0.54</v>
      </c>
      <c r="T2634" s="12">
        <f t="shared" si="8"/>
        <v>84.63392081</v>
      </c>
      <c r="U2634" s="8"/>
    </row>
    <row r="2635">
      <c r="A2635" s="29"/>
      <c r="B2635" s="15" t="s">
        <v>26</v>
      </c>
      <c r="C2635" s="15" t="s">
        <v>19</v>
      </c>
      <c r="D2635" s="15">
        <v>60.0</v>
      </c>
      <c r="E2635" s="15" t="s">
        <v>5101</v>
      </c>
      <c r="F2635" s="15" t="s">
        <v>1473</v>
      </c>
      <c r="G2635" s="15" t="s">
        <v>1474</v>
      </c>
      <c r="H2635" s="15">
        <v>0.0</v>
      </c>
      <c r="I2635" s="15" t="s">
        <v>487</v>
      </c>
      <c r="J2635" s="15" t="s">
        <v>22</v>
      </c>
      <c r="K2635" s="15" t="s">
        <v>225</v>
      </c>
      <c r="L2635" s="15" t="s">
        <v>24</v>
      </c>
      <c r="M2635" s="16">
        <v>0.25</v>
      </c>
      <c r="N2635" s="16">
        <v>0.2</v>
      </c>
      <c r="O2635" s="16">
        <v>0.19</v>
      </c>
      <c r="P2635" s="17">
        <v>45416.0</v>
      </c>
      <c r="Q2635" s="18">
        <v>1.825</v>
      </c>
      <c r="R2635" s="15" t="s">
        <v>25</v>
      </c>
      <c r="S2635" s="19">
        <f t="shared" si="1"/>
        <v>-0.19</v>
      </c>
      <c r="T2635" s="19">
        <f t="shared" si="8"/>
        <v>84.44392081</v>
      </c>
      <c r="U2635" s="15"/>
    </row>
    <row r="2636">
      <c r="A2636" s="107"/>
      <c r="B2636" s="8" t="s">
        <v>18</v>
      </c>
      <c r="C2636" s="8" t="s">
        <v>19</v>
      </c>
      <c r="D2636" s="8">
        <v>60.0</v>
      </c>
      <c r="E2636" s="8" t="s">
        <v>5102</v>
      </c>
      <c r="F2636" s="8" t="s">
        <v>1473</v>
      </c>
      <c r="G2636" s="8" t="s">
        <v>1474</v>
      </c>
      <c r="H2636" s="8">
        <v>-1.0</v>
      </c>
      <c r="I2636" s="8" t="s">
        <v>66</v>
      </c>
      <c r="J2636" s="8" t="s">
        <v>22</v>
      </c>
      <c r="K2636" s="8" t="s">
        <v>225</v>
      </c>
      <c r="L2636" s="8" t="s">
        <v>24</v>
      </c>
      <c r="M2636" s="9">
        <v>0.5</v>
      </c>
      <c r="N2636" s="9">
        <v>0.2</v>
      </c>
      <c r="O2636" s="9">
        <v>0.19</v>
      </c>
      <c r="P2636" s="54">
        <v>45416.0</v>
      </c>
      <c r="Q2636" s="11">
        <v>1.775</v>
      </c>
      <c r="R2636" s="8" t="s">
        <v>33</v>
      </c>
      <c r="S2636" s="12">
        <f t="shared" si="1"/>
        <v>0.14725</v>
      </c>
      <c r="T2636" s="12">
        <f t="shared" si="8"/>
        <v>84.59117081</v>
      </c>
      <c r="U2636" s="8"/>
    </row>
    <row r="2637">
      <c r="A2637" s="29"/>
      <c r="B2637" s="15" t="s">
        <v>18</v>
      </c>
      <c r="C2637" s="15" t="s">
        <v>19</v>
      </c>
      <c r="D2637" s="15">
        <v>76.0</v>
      </c>
      <c r="E2637" s="15" t="s">
        <v>5103</v>
      </c>
      <c r="F2637" s="15"/>
      <c r="G2637" s="15"/>
      <c r="H2637" s="15">
        <v>0.0</v>
      </c>
      <c r="I2637" s="15" t="s">
        <v>683</v>
      </c>
      <c r="J2637" s="15" t="s">
        <v>22</v>
      </c>
      <c r="K2637" s="15" t="s">
        <v>29</v>
      </c>
      <c r="L2637" s="15" t="s">
        <v>24</v>
      </c>
      <c r="M2637" s="16">
        <v>-2.75</v>
      </c>
      <c r="N2637" s="16">
        <v>0.1</v>
      </c>
      <c r="O2637" s="16">
        <v>0.09</v>
      </c>
      <c r="P2637" s="17">
        <v>45416.0</v>
      </c>
      <c r="Q2637" s="18">
        <v>2.0</v>
      </c>
      <c r="R2637" s="15" t="s">
        <v>33</v>
      </c>
      <c r="S2637" s="19">
        <f t="shared" si="1"/>
        <v>0.09</v>
      </c>
      <c r="T2637" s="19">
        <f t="shared" si="8"/>
        <v>84.68117081</v>
      </c>
      <c r="U2637" s="15"/>
    </row>
    <row r="2638">
      <c r="A2638" s="107"/>
      <c r="B2638" s="8" t="s">
        <v>18</v>
      </c>
      <c r="C2638" s="8" t="s">
        <v>19</v>
      </c>
      <c r="D2638" s="8">
        <v>59.0</v>
      </c>
      <c r="E2638" s="8" t="s">
        <v>5104</v>
      </c>
      <c r="F2638" s="8" t="s">
        <v>1473</v>
      </c>
      <c r="G2638" s="8" t="s">
        <v>1477</v>
      </c>
      <c r="H2638" s="8">
        <v>2.0</v>
      </c>
      <c r="I2638" s="8" t="s">
        <v>44</v>
      </c>
      <c r="J2638" s="8" t="s">
        <v>22</v>
      </c>
      <c r="K2638" s="8" t="s">
        <v>894</v>
      </c>
      <c r="L2638" s="8" t="s">
        <v>24</v>
      </c>
      <c r="M2638" s="9">
        <v>-0.25</v>
      </c>
      <c r="N2638" s="9">
        <v>0.1</v>
      </c>
      <c r="O2638" s="9">
        <v>0.1</v>
      </c>
      <c r="P2638" s="10">
        <v>45416.0</v>
      </c>
      <c r="Q2638" s="11">
        <v>1.75</v>
      </c>
      <c r="R2638" s="8" t="s">
        <v>33</v>
      </c>
      <c r="S2638" s="12">
        <f t="shared" si="1"/>
        <v>0.075</v>
      </c>
      <c r="T2638" s="12">
        <f t="shared" si="8"/>
        <v>84.75617081</v>
      </c>
      <c r="U2638" s="8"/>
    </row>
    <row r="2639">
      <c r="A2639" s="29"/>
      <c r="B2639" s="15" t="s">
        <v>137</v>
      </c>
      <c r="C2639" s="15" t="s">
        <v>19</v>
      </c>
      <c r="D2639" s="15">
        <v>26.0</v>
      </c>
      <c r="E2639" s="15" t="s">
        <v>5105</v>
      </c>
      <c r="F2639" s="15" t="s">
        <v>1473</v>
      </c>
      <c r="G2639" s="15" t="s">
        <v>1474</v>
      </c>
      <c r="H2639" s="15">
        <v>0.0</v>
      </c>
      <c r="I2639" s="15" t="s">
        <v>341</v>
      </c>
      <c r="J2639" s="15" t="s">
        <v>22</v>
      </c>
      <c r="K2639" s="15" t="s">
        <v>225</v>
      </c>
      <c r="L2639" s="15" t="s">
        <v>24</v>
      </c>
      <c r="M2639" s="16">
        <v>0.5</v>
      </c>
      <c r="N2639" s="16">
        <v>0.2</v>
      </c>
      <c r="O2639" s="16">
        <v>0.2</v>
      </c>
      <c r="P2639" s="17">
        <v>45416.0</v>
      </c>
      <c r="Q2639" s="18">
        <v>1.775</v>
      </c>
      <c r="R2639" s="15" t="s">
        <v>33</v>
      </c>
      <c r="S2639" s="19">
        <f t="shared" si="1"/>
        <v>0.155</v>
      </c>
      <c r="T2639" s="19">
        <f t="shared" si="8"/>
        <v>84.91117081</v>
      </c>
      <c r="U2639" s="15"/>
    </row>
    <row r="2640">
      <c r="A2640" s="107"/>
      <c r="B2640" s="8" t="s">
        <v>129</v>
      </c>
      <c r="C2640" s="8" t="s">
        <v>19</v>
      </c>
      <c r="D2640" s="8">
        <v>72.0</v>
      </c>
      <c r="E2640" s="8" t="s">
        <v>5106</v>
      </c>
      <c r="F2640" s="8" t="s">
        <v>1479</v>
      </c>
      <c r="G2640" s="8" t="s">
        <v>1480</v>
      </c>
      <c r="H2640" s="8">
        <v>0.0</v>
      </c>
      <c r="I2640" s="8" t="s">
        <v>1493</v>
      </c>
      <c r="J2640" s="8" t="s">
        <v>22</v>
      </c>
      <c r="K2640" s="8" t="s">
        <v>892</v>
      </c>
      <c r="L2640" s="8" t="s">
        <v>24</v>
      </c>
      <c r="M2640" s="9">
        <v>0.0</v>
      </c>
      <c r="N2640" s="98">
        <v>0.6</v>
      </c>
      <c r="O2640" s="33">
        <v>0.59</v>
      </c>
      <c r="P2640" s="10">
        <v>45416.0</v>
      </c>
      <c r="Q2640" s="11">
        <v>1.65</v>
      </c>
      <c r="R2640" s="8" t="s">
        <v>25</v>
      </c>
      <c r="S2640" s="12">
        <f t="shared" si="1"/>
        <v>-0.59</v>
      </c>
      <c r="T2640" s="12">
        <f t="shared" si="8"/>
        <v>84.32117081</v>
      </c>
      <c r="U2640" s="8"/>
    </row>
    <row r="2641">
      <c r="A2641" s="29"/>
      <c r="B2641" s="15" t="s">
        <v>26</v>
      </c>
      <c r="C2641" s="15" t="s">
        <v>19</v>
      </c>
      <c r="D2641" s="15">
        <v>83.0</v>
      </c>
      <c r="E2641" s="15" t="s">
        <v>5107</v>
      </c>
      <c r="F2641" s="15" t="s">
        <v>1479</v>
      </c>
      <c r="G2641" s="15" t="s">
        <v>1480</v>
      </c>
      <c r="H2641" s="15">
        <v>-3.0</v>
      </c>
      <c r="I2641" s="15" t="s">
        <v>463</v>
      </c>
      <c r="J2641" s="15" t="s">
        <v>22</v>
      </c>
      <c r="K2641" s="15" t="s">
        <v>892</v>
      </c>
      <c r="L2641" s="15" t="s">
        <v>24</v>
      </c>
      <c r="M2641" s="16">
        <v>0.0</v>
      </c>
      <c r="N2641" s="99">
        <v>0.35</v>
      </c>
      <c r="O2641" s="43">
        <v>0.35</v>
      </c>
      <c r="P2641" s="17">
        <v>45416.0</v>
      </c>
      <c r="Q2641" s="18">
        <v>1.9</v>
      </c>
      <c r="R2641" s="15" t="s">
        <v>70</v>
      </c>
      <c r="S2641" s="19">
        <f t="shared" si="1"/>
        <v>0</v>
      </c>
      <c r="T2641" s="19">
        <f t="shared" si="8"/>
        <v>84.32117081</v>
      </c>
      <c r="U2641" s="15"/>
    </row>
    <row r="2642">
      <c r="A2642" s="107"/>
      <c r="B2642" s="8" t="s">
        <v>26</v>
      </c>
      <c r="C2642" s="8" t="s">
        <v>19</v>
      </c>
      <c r="D2642" s="8">
        <v>42.0</v>
      </c>
      <c r="E2642" s="8" t="s">
        <v>5108</v>
      </c>
      <c r="F2642" s="8" t="s">
        <v>1473</v>
      </c>
      <c r="G2642" s="8" t="s">
        <v>1480</v>
      </c>
      <c r="H2642" s="8">
        <v>0.0</v>
      </c>
      <c r="I2642" s="8" t="s">
        <v>50</v>
      </c>
      <c r="J2642" s="8" t="s">
        <v>22</v>
      </c>
      <c r="K2642" s="8" t="s">
        <v>892</v>
      </c>
      <c r="L2642" s="8" t="s">
        <v>24</v>
      </c>
      <c r="M2642" s="9">
        <v>0.0</v>
      </c>
      <c r="N2642" s="9">
        <v>0.1</v>
      </c>
      <c r="O2642" s="9">
        <v>0.1</v>
      </c>
      <c r="P2642" s="10">
        <v>45416.0</v>
      </c>
      <c r="Q2642" s="11">
        <v>1.825</v>
      </c>
      <c r="R2642" s="8" t="s">
        <v>70</v>
      </c>
      <c r="S2642" s="12">
        <f t="shared" si="1"/>
        <v>0</v>
      </c>
      <c r="T2642" s="12">
        <f t="shared" si="8"/>
        <v>84.32117081</v>
      </c>
      <c r="U2642" s="8"/>
    </row>
    <row r="2643">
      <c r="A2643" s="29"/>
      <c r="B2643" s="15" t="s">
        <v>26</v>
      </c>
      <c r="C2643" s="15" t="s">
        <v>19</v>
      </c>
      <c r="D2643" s="15">
        <v>25.0</v>
      </c>
      <c r="E2643" s="160" t="s">
        <v>5109</v>
      </c>
      <c r="F2643" s="15" t="s">
        <v>1479</v>
      </c>
      <c r="G2643" s="15" t="s">
        <v>1480</v>
      </c>
      <c r="H2643" s="15">
        <v>0.0</v>
      </c>
      <c r="I2643" s="15" t="s">
        <v>101</v>
      </c>
      <c r="J2643" s="15" t="s">
        <v>22</v>
      </c>
      <c r="K2643" s="15" t="s">
        <v>1150</v>
      </c>
      <c r="L2643" s="15" t="s">
        <v>24</v>
      </c>
      <c r="M2643" s="16">
        <v>0.0</v>
      </c>
      <c r="N2643" s="16">
        <v>0.1</v>
      </c>
      <c r="O2643" s="16">
        <v>0.4</v>
      </c>
      <c r="P2643" s="17">
        <v>45416.0</v>
      </c>
      <c r="Q2643" s="18">
        <v>1.7</v>
      </c>
      <c r="R2643" s="15" t="s">
        <v>70</v>
      </c>
      <c r="S2643" s="19">
        <f t="shared" si="1"/>
        <v>0</v>
      </c>
      <c r="T2643" s="19">
        <f t="shared" si="8"/>
        <v>84.32117081</v>
      </c>
      <c r="U2643" s="15"/>
    </row>
    <row r="2644">
      <c r="A2644" s="107"/>
      <c r="B2644" s="8" t="s">
        <v>18</v>
      </c>
      <c r="C2644" s="8" t="s">
        <v>19</v>
      </c>
      <c r="D2644" s="8">
        <v>73.0</v>
      </c>
      <c r="E2644" s="8" t="s">
        <v>5110</v>
      </c>
      <c r="F2644" s="8" t="s">
        <v>1479</v>
      </c>
      <c r="G2644" s="8" t="s">
        <v>1480</v>
      </c>
      <c r="H2644" s="8">
        <v>-1.0</v>
      </c>
      <c r="I2644" s="8" t="s">
        <v>463</v>
      </c>
      <c r="J2644" s="8" t="s">
        <v>22</v>
      </c>
      <c r="K2644" s="8" t="s">
        <v>892</v>
      </c>
      <c r="L2644" s="8" t="s">
        <v>24</v>
      </c>
      <c r="M2644" s="9">
        <v>0.0</v>
      </c>
      <c r="N2644" s="9">
        <v>0.3</v>
      </c>
      <c r="O2644" s="9">
        <v>0.3</v>
      </c>
      <c r="P2644" s="10">
        <v>45416.0</v>
      </c>
      <c r="Q2644" s="11">
        <v>1.775</v>
      </c>
      <c r="R2644" s="8" t="s">
        <v>33</v>
      </c>
      <c r="S2644" s="12">
        <f t="shared" si="1"/>
        <v>0.2325</v>
      </c>
      <c r="T2644" s="12">
        <f t="shared" si="8"/>
        <v>84.55367081</v>
      </c>
      <c r="U2644" s="8"/>
    </row>
    <row r="2645">
      <c r="A2645" s="29"/>
      <c r="B2645" s="15" t="s">
        <v>26</v>
      </c>
      <c r="C2645" s="15" t="s">
        <v>19</v>
      </c>
      <c r="D2645" s="15">
        <v>58.0</v>
      </c>
      <c r="E2645" s="15" t="s">
        <v>5111</v>
      </c>
      <c r="F2645" s="15" t="s">
        <v>1479</v>
      </c>
      <c r="G2645" s="15" t="s">
        <v>1477</v>
      </c>
      <c r="H2645" s="15">
        <v>0.0</v>
      </c>
      <c r="I2645" s="15" t="s">
        <v>3017</v>
      </c>
      <c r="J2645" s="15" t="s">
        <v>22</v>
      </c>
      <c r="K2645" s="15" t="s">
        <v>894</v>
      </c>
      <c r="L2645" s="15" t="s">
        <v>24</v>
      </c>
      <c r="M2645" s="16">
        <v>-0.75</v>
      </c>
      <c r="N2645" s="16">
        <v>0.1</v>
      </c>
      <c r="O2645" s="16">
        <v>0.09</v>
      </c>
      <c r="P2645" s="17">
        <v>45416.0</v>
      </c>
      <c r="Q2645" s="18">
        <v>1.95</v>
      </c>
      <c r="R2645" s="15" t="s">
        <v>30</v>
      </c>
      <c r="S2645" s="19">
        <f t="shared" si="1"/>
        <v>0.04275</v>
      </c>
      <c r="T2645" s="19">
        <f t="shared" si="8"/>
        <v>84.59642081</v>
      </c>
      <c r="U2645" s="15"/>
    </row>
    <row r="2646">
      <c r="A2646" s="107"/>
      <c r="B2646" s="8" t="s">
        <v>26</v>
      </c>
      <c r="C2646" s="8" t="s">
        <v>40</v>
      </c>
      <c r="D2646" s="8">
        <v>69.0</v>
      </c>
      <c r="E2646" s="8" t="s">
        <v>5112</v>
      </c>
      <c r="F2646" s="8" t="s">
        <v>1473</v>
      </c>
      <c r="G2646" s="8" t="s">
        <v>1480</v>
      </c>
      <c r="H2646" s="8">
        <v>0.0</v>
      </c>
      <c r="I2646" s="8" t="s">
        <v>60</v>
      </c>
      <c r="J2646" s="8" t="s">
        <v>22</v>
      </c>
      <c r="K2646" s="8" t="s">
        <v>892</v>
      </c>
      <c r="L2646" s="8" t="s">
        <v>24</v>
      </c>
      <c r="M2646" s="9">
        <v>0.0</v>
      </c>
      <c r="N2646" s="9">
        <v>0.5</v>
      </c>
      <c r="O2646" s="9">
        <v>0.5</v>
      </c>
      <c r="P2646" s="10">
        <v>45416.0</v>
      </c>
      <c r="Q2646" s="11">
        <v>1.95</v>
      </c>
      <c r="R2646" s="8" t="s">
        <v>25</v>
      </c>
      <c r="S2646" s="12">
        <f t="shared" si="1"/>
        <v>-0.5</v>
      </c>
      <c r="T2646" s="12">
        <f t="shared" si="8"/>
        <v>84.09642081</v>
      </c>
      <c r="U2646" s="8"/>
    </row>
    <row r="2647">
      <c r="A2647" s="29"/>
      <c r="B2647" s="15" t="s">
        <v>26</v>
      </c>
      <c r="C2647" s="15" t="s">
        <v>19</v>
      </c>
      <c r="D2647" s="15">
        <v>79.0</v>
      </c>
      <c r="E2647" s="15" t="s">
        <v>5113</v>
      </c>
      <c r="F2647" s="15" t="s">
        <v>1473</v>
      </c>
      <c r="G2647" s="15" t="s">
        <v>1474</v>
      </c>
      <c r="H2647" s="15">
        <v>2.0</v>
      </c>
      <c r="I2647" s="15" t="s">
        <v>60</v>
      </c>
      <c r="J2647" s="15" t="s">
        <v>22</v>
      </c>
      <c r="K2647" s="15" t="s">
        <v>225</v>
      </c>
      <c r="L2647" s="15" t="s">
        <v>24</v>
      </c>
      <c r="M2647" s="16">
        <v>0.25</v>
      </c>
      <c r="N2647" s="16">
        <v>0.6</v>
      </c>
      <c r="O2647" s="16">
        <v>0.59</v>
      </c>
      <c r="P2647" s="17">
        <v>45416.0</v>
      </c>
      <c r="Q2647" s="18">
        <v>1.775</v>
      </c>
      <c r="R2647" s="15" t="s">
        <v>30</v>
      </c>
      <c r="S2647" s="19">
        <f t="shared" si="1"/>
        <v>0.228625</v>
      </c>
      <c r="T2647" s="19">
        <f t="shared" si="8"/>
        <v>84.32504581</v>
      </c>
      <c r="U2647" s="15"/>
    </row>
    <row r="2648">
      <c r="A2648" s="107"/>
      <c r="B2648" s="8" t="s">
        <v>18</v>
      </c>
      <c r="C2648" s="8" t="s">
        <v>19</v>
      </c>
      <c r="D2648" s="8">
        <v>57.0</v>
      </c>
      <c r="E2648" s="8" t="s">
        <v>5114</v>
      </c>
      <c r="F2648" s="8" t="s">
        <v>1479</v>
      </c>
      <c r="G2648" s="8" t="s">
        <v>1480</v>
      </c>
      <c r="H2648" s="8">
        <v>-1.0</v>
      </c>
      <c r="I2648" s="8" t="s">
        <v>93</v>
      </c>
      <c r="J2648" s="8" t="s">
        <v>22</v>
      </c>
      <c r="K2648" s="8" t="s">
        <v>892</v>
      </c>
      <c r="L2648" s="8" t="s">
        <v>24</v>
      </c>
      <c r="M2648" s="9">
        <v>0.0</v>
      </c>
      <c r="N2648" s="9">
        <v>0.95</v>
      </c>
      <c r="O2648" s="9">
        <v>0.77</v>
      </c>
      <c r="P2648" s="10">
        <v>45416.0</v>
      </c>
      <c r="Q2648" s="11">
        <v>1.975</v>
      </c>
      <c r="R2648" s="8" t="s">
        <v>70</v>
      </c>
      <c r="S2648" s="12">
        <f t="shared" si="1"/>
        <v>0</v>
      </c>
      <c r="T2648" s="12">
        <f t="shared" si="8"/>
        <v>84.32504581</v>
      </c>
      <c r="U2648" s="8"/>
    </row>
    <row r="2649">
      <c r="A2649" s="29"/>
      <c r="B2649" s="15" t="s">
        <v>137</v>
      </c>
      <c r="C2649" s="15" t="s">
        <v>19</v>
      </c>
      <c r="D2649" s="15">
        <v>20.0</v>
      </c>
      <c r="E2649" s="15" t="s">
        <v>5115</v>
      </c>
      <c r="F2649" s="15" t="s">
        <v>1479</v>
      </c>
      <c r="G2649" s="15" t="s">
        <v>1480</v>
      </c>
      <c r="H2649" s="15">
        <v>0.0</v>
      </c>
      <c r="I2649" s="15" t="s">
        <v>74</v>
      </c>
      <c r="J2649" s="15" t="s">
        <v>22</v>
      </c>
      <c r="K2649" s="15" t="s">
        <v>1150</v>
      </c>
      <c r="L2649" s="15" t="s">
        <v>24</v>
      </c>
      <c r="M2649" s="16">
        <v>0.0</v>
      </c>
      <c r="N2649" s="16">
        <v>0.5</v>
      </c>
      <c r="O2649" s="16">
        <v>0.48</v>
      </c>
      <c r="P2649" s="17">
        <v>45416.0</v>
      </c>
      <c r="Q2649" s="18">
        <v>1.8</v>
      </c>
      <c r="R2649" s="15" t="s">
        <v>25</v>
      </c>
      <c r="S2649" s="19">
        <f t="shared" si="1"/>
        <v>-0.48</v>
      </c>
      <c r="T2649" s="19">
        <f t="shared" si="8"/>
        <v>83.84504581</v>
      </c>
      <c r="U2649" s="15"/>
    </row>
    <row r="2650">
      <c r="A2650" s="107"/>
      <c r="B2650" s="8" t="s">
        <v>129</v>
      </c>
      <c r="C2650" s="8" t="s">
        <v>19</v>
      </c>
      <c r="D2650" s="8">
        <v>25.0</v>
      </c>
      <c r="E2650" s="8" t="s">
        <v>5116</v>
      </c>
      <c r="F2650" s="8" t="s">
        <v>1473</v>
      </c>
      <c r="G2650" s="8" t="s">
        <v>1480</v>
      </c>
      <c r="H2650" s="8">
        <v>0.0</v>
      </c>
      <c r="I2650" s="8" t="s">
        <v>93</v>
      </c>
      <c r="J2650" s="8" t="s">
        <v>22</v>
      </c>
      <c r="K2650" s="8" t="s">
        <v>892</v>
      </c>
      <c r="L2650" s="8" t="s">
        <v>24</v>
      </c>
      <c r="M2650" s="9">
        <v>0.0</v>
      </c>
      <c r="N2650" s="9">
        <v>0.2</v>
      </c>
      <c r="O2650" s="9">
        <v>0.09</v>
      </c>
      <c r="P2650" s="10">
        <v>45417.0</v>
      </c>
      <c r="Q2650" s="11">
        <v>1.9</v>
      </c>
      <c r="R2650" s="8" t="s">
        <v>33</v>
      </c>
      <c r="S2650" s="12">
        <f t="shared" si="1"/>
        <v>0.081</v>
      </c>
      <c r="T2650" s="12">
        <f t="shared" si="8"/>
        <v>83.92604581</v>
      </c>
      <c r="U2650" s="8"/>
    </row>
    <row r="2651">
      <c r="A2651" s="29"/>
      <c r="B2651" s="15" t="s">
        <v>26</v>
      </c>
      <c r="C2651" s="15" t="s">
        <v>19</v>
      </c>
      <c r="D2651" s="15">
        <v>62.0</v>
      </c>
      <c r="E2651" s="15" t="s">
        <v>5117</v>
      </c>
      <c r="F2651" s="15" t="s">
        <v>1473</v>
      </c>
      <c r="G2651" s="15" t="s">
        <v>1480</v>
      </c>
      <c r="H2651" s="15">
        <v>0.0</v>
      </c>
      <c r="I2651" s="15" t="s">
        <v>463</v>
      </c>
      <c r="J2651" s="15" t="s">
        <v>22</v>
      </c>
      <c r="K2651" s="15" t="s">
        <v>892</v>
      </c>
      <c r="L2651" s="15" t="s">
        <v>24</v>
      </c>
      <c r="M2651" s="16">
        <v>0.0</v>
      </c>
      <c r="N2651" s="16">
        <v>0.5</v>
      </c>
      <c r="O2651" s="16">
        <v>0.39</v>
      </c>
      <c r="P2651" s="17">
        <v>45417.0</v>
      </c>
      <c r="Q2651" s="18">
        <v>2.02</v>
      </c>
      <c r="R2651" s="15" t="s">
        <v>70</v>
      </c>
      <c r="S2651" s="19">
        <f t="shared" si="1"/>
        <v>0</v>
      </c>
      <c r="T2651" s="19">
        <f t="shared" si="8"/>
        <v>83.92604581</v>
      </c>
      <c r="U2651" s="15"/>
    </row>
    <row r="2652">
      <c r="A2652" s="107"/>
      <c r="B2652" s="8" t="s">
        <v>18</v>
      </c>
      <c r="C2652" s="8" t="s">
        <v>19</v>
      </c>
      <c r="D2652" s="8">
        <v>68.0</v>
      </c>
      <c r="E2652" s="8" t="s">
        <v>5118</v>
      </c>
      <c r="F2652" s="8" t="s">
        <v>1479</v>
      </c>
      <c r="G2652" s="8" t="s">
        <v>1480</v>
      </c>
      <c r="H2652" s="8">
        <v>0.0</v>
      </c>
      <c r="I2652" s="8" t="s">
        <v>463</v>
      </c>
      <c r="J2652" s="8" t="s">
        <v>22</v>
      </c>
      <c r="K2652" s="8" t="s">
        <v>892</v>
      </c>
      <c r="L2652" s="8" t="s">
        <v>24</v>
      </c>
      <c r="M2652" s="9">
        <v>0.0</v>
      </c>
      <c r="N2652" s="9">
        <v>0.5</v>
      </c>
      <c r="O2652" s="9">
        <v>0.45</v>
      </c>
      <c r="P2652" s="10">
        <v>45417.0</v>
      </c>
      <c r="Q2652" s="11">
        <v>1.825</v>
      </c>
      <c r="R2652" s="8" t="s">
        <v>70</v>
      </c>
      <c r="S2652" s="12">
        <f t="shared" si="1"/>
        <v>0</v>
      </c>
      <c r="T2652" s="12">
        <f t="shared" si="8"/>
        <v>83.92604581</v>
      </c>
      <c r="U2652" s="8"/>
    </row>
    <row r="2653">
      <c r="A2653" s="29"/>
      <c r="B2653" s="15" t="s">
        <v>18</v>
      </c>
      <c r="C2653" s="15" t="s">
        <v>19</v>
      </c>
      <c r="D2653" s="15">
        <v>65.0</v>
      </c>
      <c r="E2653" s="15" t="s">
        <v>5119</v>
      </c>
      <c r="F2653" s="15" t="s">
        <v>1479</v>
      </c>
      <c r="G2653" s="15" t="s">
        <v>1474</v>
      </c>
      <c r="H2653" s="15">
        <v>1.0</v>
      </c>
      <c r="I2653" s="15" t="s">
        <v>513</v>
      </c>
      <c r="J2653" s="15" t="s">
        <v>22</v>
      </c>
      <c r="K2653" s="15" t="s">
        <v>225</v>
      </c>
      <c r="L2653" s="15" t="s">
        <v>24</v>
      </c>
      <c r="M2653" s="16">
        <v>0.25</v>
      </c>
      <c r="N2653" s="16">
        <v>0.2</v>
      </c>
      <c r="O2653" s="16">
        <v>0.2</v>
      </c>
      <c r="P2653" s="17">
        <v>45417.0</v>
      </c>
      <c r="Q2653" s="18">
        <v>1.725</v>
      </c>
      <c r="R2653" s="15" t="s">
        <v>33</v>
      </c>
      <c r="S2653" s="19">
        <f t="shared" si="1"/>
        <v>0.145</v>
      </c>
      <c r="T2653" s="19">
        <f t="shared" si="8"/>
        <v>84.07104581</v>
      </c>
      <c r="U2653" s="15"/>
    </row>
    <row r="2654">
      <c r="A2654" s="107"/>
      <c r="B2654" s="8" t="s">
        <v>129</v>
      </c>
      <c r="C2654" s="8" t="s">
        <v>19</v>
      </c>
      <c r="D2654" s="8">
        <v>43.0</v>
      </c>
      <c r="E2654" s="8" t="s">
        <v>5120</v>
      </c>
      <c r="F2654" s="8" t="s">
        <v>1473</v>
      </c>
      <c r="G2654" s="8" t="s">
        <v>1474</v>
      </c>
      <c r="H2654" s="8">
        <v>-1.0</v>
      </c>
      <c r="I2654" s="8" t="s">
        <v>513</v>
      </c>
      <c r="J2654" s="8" t="s">
        <v>22</v>
      </c>
      <c r="K2654" s="8" t="s">
        <v>225</v>
      </c>
      <c r="L2654" s="8" t="s">
        <v>24</v>
      </c>
      <c r="M2654" s="9">
        <v>1.25</v>
      </c>
      <c r="N2654" s="9">
        <v>0.2</v>
      </c>
      <c r="O2654" s="9">
        <v>0.2</v>
      </c>
      <c r="P2654" s="10">
        <v>45417.0</v>
      </c>
      <c r="Q2654" s="11">
        <v>1.8</v>
      </c>
      <c r="R2654" s="8" t="s">
        <v>25</v>
      </c>
      <c r="S2654" s="12">
        <f t="shared" si="1"/>
        <v>-0.2</v>
      </c>
      <c r="T2654" s="12">
        <f t="shared" si="8"/>
        <v>83.87104581</v>
      </c>
      <c r="U2654" s="8"/>
    </row>
    <row r="2655">
      <c r="A2655" s="29"/>
      <c r="B2655" s="15" t="s">
        <v>18</v>
      </c>
      <c r="C2655" s="15" t="s">
        <v>19</v>
      </c>
      <c r="D2655" s="15">
        <v>70.0</v>
      </c>
      <c r="E2655" s="15" t="s">
        <v>5121</v>
      </c>
      <c r="F2655" s="15" t="s">
        <v>1473</v>
      </c>
      <c r="G2655" s="15" t="s">
        <v>1474</v>
      </c>
      <c r="H2655" s="15">
        <v>0.0</v>
      </c>
      <c r="I2655" s="15" t="s">
        <v>124</v>
      </c>
      <c r="J2655" s="15" t="s">
        <v>22</v>
      </c>
      <c r="K2655" s="15" t="s">
        <v>225</v>
      </c>
      <c r="L2655" s="15" t="s">
        <v>24</v>
      </c>
      <c r="M2655" s="16">
        <v>0.25</v>
      </c>
      <c r="N2655" s="16">
        <v>0.2</v>
      </c>
      <c r="O2655" s="16">
        <v>0.2</v>
      </c>
      <c r="P2655" s="17">
        <v>45417.0</v>
      </c>
      <c r="Q2655" s="18">
        <v>1.092</v>
      </c>
      <c r="R2655" s="15" t="s">
        <v>33</v>
      </c>
      <c r="S2655" s="19">
        <f t="shared" si="1"/>
        <v>0.0184</v>
      </c>
      <c r="T2655" s="19">
        <f t="shared" si="8"/>
        <v>83.88944581</v>
      </c>
      <c r="U2655" s="15"/>
    </row>
    <row r="2656">
      <c r="A2656" s="107"/>
      <c r="B2656" s="8" t="s">
        <v>26</v>
      </c>
      <c r="C2656" s="8" t="s">
        <v>19</v>
      </c>
      <c r="D2656" s="8">
        <v>16.0</v>
      </c>
      <c r="E2656" s="8" t="s">
        <v>5122</v>
      </c>
      <c r="F2656" s="8" t="s">
        <v>1479</v>
      </c>
      <c r="G2656" s="8" t="s">
        <v>1480</v>
      </c>
      <c r="H2656" s="8">
        <v>0.0</v>
      </c>
      <c r="I2656" s="8" t="s">
        <v>432</v>
      </c>
      <c r="J2656" s="8" t="s">
        <v>22</v>
      </c>
      <c r="K2656" s="8" t="s">
        <v>1150</v>
      </c>
      <c r="L2656" s="8" t="s">
        <v>39</v>
      </c>
      <c r="M2656" s="9">
        <v>0.0</v>
      </c>
      <c r="N2656" s="9">
        <v>0.5</v>
      </c>
      <c r="O2656" s="9">
        <v>0.5</v>
      </c>
      <c r="P2656" s="10">
        <v>45417.0</v>
      </c>
      <c r="Q2656" s="11">
        <v>1.63</v>
      </c>
      <c r="R2656" s="8" t="s">
        <v>33</v>
      </c>
      <c r="S2656" s="12">
        <f t="shared" si="1"/>
        <v>0.315</v>
      </c>
      <c r="T2656" s="12">
        <f t="shared" si="8"/>
        <v>84.20444581</v>
      </c>
      <c r="U2656" s="8"/>
    </row>
    <row r="2657">
      <c r="A2657" s="29"/>
      <c r="B2657" s="15" t="s">
        <v>26</v>
      </c>
      <c r="C2657" s="15" t="s">
        <v>19</v>
      </c>
      <c r="D2657" s="15">
        <v>13.0</v>
      </c>
      <c r="E2657" s="15" t="s">
        <v>5123</v>
      </c>
      <c r="F2657" s="15" t="s">
        <v>1473</v>
      </c>
      <c r="G2657" s="15" t="s">
        <v>1477</v>
      </c>
      <c r="H2657" s="15">
        <v>0.0</v>
      </c>
      <c r="I2657" s="15" t="s">
        <v>768</v>
      </c>
      <c r="J2657" s="15" t="s">
        <v>22</v>
      </c>
      <c r="K2657" s="15" t="s">
        <v>894</v>
      </c>
      <c r="L2657" s="15" t="s">
        <v>24</v>
      </c>
      <c r="M2657" s="16">
        <v>-0.5</v>
      </c>
      <c r="N2657" s="16">
        <v>0.2</v>
      </c>
      <c r="O2657" s="16">
        <v>0.2</v>
      </c>
      <c r="P2657" s="17">
        <v>45417.0</v>
      </c>
      <c r="Q2657" s="18">
        <v>1.85</v>
      </c>
      <c r="R2657" s="15" t="s">
        <v>25</v>
      </c>
      <c r="S2657" s="19">
        <f t="shared" si="1"/>
        <v>-0.2</v>
      </c>
      <c r="T2657" s="19">
        <f t="shared" si="8"/>
        <v>84.00444581</v>
      </c>
      <c r="U2657" s="15"/>
    </row>
    <row r="2658">
      <c r="A2658" s="107"/>
      <c r="B2658" s="8" t="s">
        <v>26</v>
      </c>
      <c r="C2658" s="8" t="s">
        <v>19</v>
      </c>
      <c r="D2658" s="8">
        <v>73.0</v>
      </c>
      <c r="E2658" s="8" t="s">
        <v>5124</v>
      </c>
      <c r="F2658" s="8" t="s">
        <v>1479</v>
      </c>
      <c r="G2658" s="8" t="s">
        <v>1480</v>
      </c>
      <c r="H2658" s="8">
        <v>0.0</v>
      </c>
      <c r="I2658" s="8" t="s">
        <v>93</v>
      </c>
      <c r="J2658" s="8" t="s">
        <v>22</v>
      </c>
      <c r="K2658" s="8" t="s">
        <v>892</v>
      </c>
      <c r="L2658" s="8" t="s">
        <v>24</v>
      </c>
      <c r="M2658" s="9">
        <v>0.0</v>
      </c>
      <c r="N2658" s="9">
        <v>0.5</v>
      </c>
      <c r="O2658" s="9">
        <v>0.5</v>
      </c>
      <c r="P2658" s="10">
        <v>45417.0</v>
      </c>
      <c r="Q2658" s="11">
        <v>1.675</v>
      </c>
      <c r="R2658" s="8" t="s">
        <v>70</v>
      </c>
      <c r="S2658" s="12">
        <f t="shared" si="1"/>
        <v>0</v>
      </c>
      <c r="T2658" s="12">
        <f t="shared" si="8"/>
        <v>84.00444581</v>
      </c>
      <c r="U2658" s="8"/>
    </row>
    <row r="2659">
      <c r="A2659" s="29"/>
      <c r="B2659" s="15" t="s">
        <v>26</v>
      </c>
      <c r="C2659" s="15" t="s">
        <v>19</v>
      </c>
      <c r="D2659" s="15">
        <v>80.0</v>
      </c>
      <c r="E2659" s="15" t="s">
        <v>5125</v>
      </c>
      <c r="F2659" s="15" t="s">
        <v>1473</v>
      </c>
      <c r="G2659" s="15" t="s">
        <v>1480</v>
      </c>
      <c r="H2659" s="15">
        <v>0.0</v>
      </c>
      <c r="I2659" s="15" t="s">
        <v>432</v>
      </c>
      <c r="J2659" s="15" t="s">
        <v>22</v>
      </c>
      <c r="K2659" s="15" t="s">
        <v>892</v>
      </c>
      <c r="L2659" s="15" t="s">
        <v>24</v>
      </c>
      <c r="M2659" s="16">
        <v>0.0</v>
      </c>
      <c r="N2659" s="16">
        <v>0.25</v>
      </c>
      <c r="O2659" s="16">
        <v>0.25</v>
      </c>
      <c r="P2659" s="17">
        <v>45417.0</v>
      </c>
      <c r="Q2659" s="18">
        <v>1.975</v>
      </c>
      <c r="R2659" s="15" t="s">
        <v>33</v>
      </c>
      <c r="S2659" s="19">
        <f t="shared" si="1"/>
        <v>0.24375</v>
      </c>
      <c r="T2659" s="19">
        <f t="shared" si="8"/>
        <v>84.24819581</v>
      </c>
      <c r="U2659" s="15"/>
    </row>
    <row r="2660">
      <c r="A2660" s="107"/>
      <c r="B2660" s="8" t="s">
        <v>129</v>
      </c>
      <c r="C2660" s="8" t="s">
        <v>19</v>
      </c>
      <c r="D2660" s="8">
        <v>70.0</v>
      </c>
      <c r="E2660" s="8" t="s">
        <v>5126</v>
      </c>
      <c r="F2660" s="8" t="s">
        <v>1473</v>
      </c>
      <c r="G2660" s="8" t="s">
        <v>1480</v>
      </c>
      <c r="H2660" s="8">
        <v>0.0</v>
      </c>
      <c r="I2660" s="8" t="s">
        <v>4293</v>
      </c>
      <c r="J2660" s="8" t="s">
        <v>22</v>
      </c>
      <c r="K2660" s="8" t="s">
        <v>892</v>
      </c>
      <c r="L2660" s="8" t="s">
        <v>24</v>
      </c>
      <c r="M2660" s="9">
        <v>0.0</v>
      </c>
      <c r="N2660" s="9">
        <v>0.25</v>
      </c>
      <c r="O2660" s="9">
        <v>0.25</v>
      </c>
      <c r="P2660" s="10">
        <v>45418.0</v>
      </c>
      <c r="Q2660" s="11">
        <v>1.825</v>
      </c>
      <c r="R2660" s="8" t="s">
        <v>33</v>
      </c>
      <c r="S2660" s="12">
        <f t="shared" si="1"/>
        <v>0.20625</v>
      </c>
      <c r="T2660" s="12">
        <f t="shared" si="8"/>
        <v>84.45444581</v>
      </c>
      <c r="U2660" s="8"/>
    </row>
    <row r="2661">
      <c r="A2661" s="29"/>
      <c r="B2661" s="15" t="s">
        <v>4225</v>
      </c>
      <c r="C2661" s="15" t="s">
        <v>19</v>
      </c>
      <c r="D2661" s="15">
        <v>59.0</v>
      </c>
      <c r="E2661" s="15" t="s">
        <v>5127</v>
      </c>
      <c r="F2661" s="15" t="s">
        <v>1473</v>
      </c>
      <c r="G2661" s="15" t="s">
        <v>1474</v>
      </c>
      <c r="H2661" s="15">
        <v>-1.0</v>
      </c>
      <c r="I2661" s="15" t="s">
        <v>616</v>
      </c>
      <c r="J2661" s="15" t="s">
        <v>22</v>
      </c>
      <c r="K2661" s="15" t="s">
        <v>225</v>
      </c>
      <c r="L2661" s="15" t="s">
        <v>24</v>
      </c>
      <c r="M2661" s="16">
        <v>0.5</v>
      </c>
      <c r="N2661" s="16">
        <v>0.4</v>
      </c>
      <c r="O2661" s="16">
        <v>0.24</v>
      </c>
      <c r="P2661" s="17">
        <v>45419.0</v>
      </c>
      <c r="Q2661" s="18">
        <v>1.5</v>
      </c>
      <c r="R2661" s="15" t="s">
        <v>33</v>
      </c>
      <c r="S2661" s="19">
        <f t="shared" si="1"/>
        <v>0.12</v>
      </c>
      <c r="T2661" s="19">
        <f t="shared" si="8"/>
        <v>84.57444581</v>
      </c>
      <c r="U2661" s="15"/>
    </row>
    <row r="2662">
      <c r="A2662" s="107"/>
      <c r="B2662" s="8" t="s">
        <v>26</v>
      </c>
      <c r="C2662" s="8" t="s">
        <v>19</v>
      </c>
      <c r="D2662" s="8">
        <v>18.0</v>
      </c>
      <c r="E2662" s="8" t="s">
        <v>5128</v>
      </c>
      <c r="F2662" s="8" t="s">
        <v>1473</v>
      </c>
      <c r="G2662" s="8" t="s">
        <v>1474</v>
      </c>
      <c r="H2662" s="8">
        <v>0.0</v>
      </c>
      <c r="I2662" s="8" t="s">
        <v>82</v>
      </c>
      <c r="J2662" s="8" t="s">
        <v>22</v>
      </c>
      <c r="K2662" s="8" t="s">
        <v>225</v>
      </c>
      <c r="L2662" s="8" t="s">
        <v>24</v>
      </c>
      <c r="M2662" s="9">
        <v>1.0</v>
      </c>
      <c r="N2662" s="9">
        <v>0.5</v>
      </c>
      <c r="O2662" s="9">
        <v>0.48</v>
      </c>
      <c r="P2662" s="10">
        <v>45419.0</v>
      </c>
      <c r="Q2662" s="11">
        <v>1.57</v>
      </c>
      <c r="R2662" s="8" t="s">
        <v>33</v>
      </c>
      <c r="S2662" s="12">
        <f t="shared" si="1"/>
        <v>0.2736</v>
      </c>
      <c r="T2662" s="12">
        <f t="shared" si="8"/>
        <v>84.84804581</v>
      </c>
      <c r="U2662" s="8"/>
    </row>
    <row r="2663">
      <c r="A2663" s="29"/>
      <c r="B2663" s="15" t="s">
        <v>26</v>
      </c>
      <c r="C2663" s="15" t="s">
        <v>19</v>
      </c>
      <c r="D2663" s="15">
        <v>32.0</v>
      </c>
      <c r="E2663" s="15" t="s">
        <v>5129</v>
      </c>
      <c r="F2663" s="15" t="s">
        <v>1473</v>
      </c>
      <c r="G2663" s="15" t="s">
        <v>1480</v>
      </c>
      <c r="H2663" s="15">
        <v>0.0</v>
      </c>
      <c r="I2663" s="15" t="s">
        <v>174</v>
      </c>
      <c r="J2663" s="15" t="s">
        <v>22</v>
      </c>
      <c r="K2663" s="15" t="s">
        <v>1150</v>
      </c>
      <c r="L2663" s="15" t="s">
        <v>24</v>
      </c>
      <c r="M2663" s="16">
        <v>0.0</v>
      </c>
      <c r="N2663" s="16">
        <v>0.5</v>
      </c>
      <c r="O2663" s="16">
        <v>0.49</v>
      </c>
      <c r="P2663" s="17">
        <v>45420.0</v>
      </c>
      <c r="Q2663" s="18">
        <v>1.975</v>
      </c>
      <c r="R2663" s="15" t="s">
        <v>70</v>
      </c>
      <c r="S2663" s="19">
        <f t="shared" si="1"/>
        <v>0</v>
      </c>
      <c r="T2663" s="19">
        <f t="shared" si="8"/>
        <v>84.84804581</v>
      </c>
      <c r="U2663" s="15"/>
    </row>
    <row r="2664">
      <c r="A2664" s="107"/>
      <c r="B2664" s="8" t="s">
        <v>18</v>
      </c>
      <c r="C2664" s="8" t="s">
        <v>19</v>
      </c>
      <c r="D2664" s="8">
        <v>32.0</v>
      </c>
      <c r="E2664" s="8" t="s">
        <v>5130</v>
      </c>
      <c r="F2664" s="8" t="s">
        <v>1479</v>
      </c>
      <c r="G2664" s="8" t="s">
        <v>1474</v>
      </c>
      <c r="H2664" s="8">
        <v>1.0</v>
      </c>
      <c r="I2664" s="8" t="s">
        <v>923</v>
      </c>
      <c r="J2664" s="8" t="s">
        <v>22</v>
      </c>
      <c r="K2664" s="8" t="s">
        <v>225</v>
      </c>
      <c r="L2664" s="8" t="s">
        <v>24</v>
      </c>
      <c r="M2664" s="9">
        <v>0.25</v>
      </c>
      <c r="N2664" s="9">
        <v>0.5</v>
      </c>
      <c r="O2664" s="9">
        <v>0.5</v>
      </c>
      <c r="P2664" s="10">
        <v>45420.0</v>
      </c>
      <c r="Q2664" s="11">
        <v>1.07</v>
      </c>
      <c r="R2664" s="8" t="s">
        <v>33</v>
      </c>
      <c r="S2664" s="12">
        <f t="shared" si="1"/>
        <v>0.035</v>
      </c>
      <c r="T2664" s="12">
        <f t="shared" si="8"/>
        <v>84.88304581</v>
      </c>
      <c r="U2664" s="8"/>
    </row>
    <row r="2665">
      <c r="A2665" s="29"/>
      <c r="B2665" s="15" t="s">
        <v>137</v>
      </c>
      <c r="C2665" s="15" t="s">
        <v>19</v>
      </c>
      <c r="D2665" s="15">
        <v>69.0</v>
      </c>
      <c r="E2665" s="15" t="s">
        <v>5131</v>
      </c>
      <c r="F2665" s="15" t="s">
        <v>1479</v>
      </c>
      <c r="G2665" s="15" t="s">
        <v>1480</v>
      </c>
      <c r="H2665" s="15">
        <v>-1.0</v>
      </c>
      <c r="I2665" s="15" t="s">
        <v>93</v>
      </c>
      <c r="J2665" s="15" t="s">
        <v>22</v>
      </c>
      <c r="K2665" s="15" t="s">
        <v>892</v>
      </c>
      <c r="L2665" s="15" t="s">
        <v>24</v>
      </c>
      <c r="M2665" s="16">
        <v>0.0</v>
      </c>
      <c r="N2665" s="16">
        <v>0.4</v>
      </c>
      <c r="O2665" s="16">
        <v>0.34</v>
      </c>
      <c r="P2665" s="17">
        <v>45420.0</v>
      </c>
      <c r="Q2665" s="18">
        <v>1.6</v>
      </c>
      <c r="R2665" s="15" t="s">
        <v>70</v>
      </c>
      <c r="S2665" s="19">
        <f t="shared" si="1"/>
        <v>0</v>
      </c>
      <c r="T2665" s="19">
        <f t="shared" si="8"/>
        <v>84.88304581</v>
      </c>
      <c r="U2665" s="15"/>
    </row>
    <row r="2666">
      <c r="A2666" s="107"/>
      <c r="B2666" s="8" t="s">
        <v>18</v>
      </c>
      <c r="C2666" s="8" t="s">
        <v>19</v>
      </c>
      <c r="D2666" s="8">
        <v>55.0</v>
      </c>
      <c r="E2666" s="8" t="s">
        <v>5132</v>
      </c>
      <c r="F2666" s="8" t="s">
        <v>1473</v>
      </c>
      <c r="G2666" s="8" t="s">
        <v>1480</v>
      </c>
      <c r="H2666" s="8">
        <v>0.0</v>
      </c>
      <c r="I2666" s="8" t="s">
        <v>248</v>
      </c>
      <c r="J2666" s="8" t="s">
        <v>22</v>
      </c>
      <c r="K2666" s="8" t="s">
        <v>941</v>
      </c>
      <c r="L2666" s="8" t="s">
        <v>24</v>
      </c>
      <c r="M2666" s="9">
        <v>0.0</v>
      </c>
      <c r="N2666" s="9">
        <v>0.4</v>
      </c>
      <c r="O2666" s="9">
        <v>0.34</v>
      </c>
      <c r="P2666" s="10">
        <v>45420.0</v>
      </c>
      <c r="Q2666" s="11">
        <v>2.25</v>
      </c>
      <c r="R2666" s="8" t="s">
        <v>70</v>
      </c>
      <c r="S2666" s="12">
        <f t="shared" si="1"/>
        <v>0</v>
      </c>
      <c r="T2666" s="12">
        <f t="shared" si="8"/>
        <v>84.88304581</v>
      </c>
      <c r="U2666" s="8"/>
    </row>
    <row r="2667">
      <c r="A2667" s="29"/>
      <c r="B2667" s="15" t="s">
        <v>131</v>
      </c>
      <c r="C2667" s="15" t="s">
        <v>19</v>
      </c>
      <c r="D2667" s="15">
        <v>60.0</v>
      </c>
      <c r="E2667" s="15" t="s">
        <v>5133</v>
      </c>
      <c r="F2667" s="15" t="s">
        <v>1473</v>
      </c>
      <c r="G2667" s="15" t="s">
        <v>1480</v>
      </c>
      <c r="H2667" s="15">
        <v>0.0</v>
      </c>
      <c r="I2667" s="15" t="s">
        <v>44</v>
      </c>
      <c r="J2667" s="15" t="s">
        <v>22</v>
      </c>
      <c r="K2667" s="15" t="s">
        <v>941</v>
      </c>
      <c r="L2667" s="15" t="s">
        <v>24</v>
      </c>
      <c r="M2667" s="16">
        <v>0.0</v>
      </c>
      <c r="N2667" s="16">
        <v>0.1</v>
      </c>
      <c r="O2667" s="16">
        <v>0.09</v>
      </c>
      <c r="P2667" s="17">
        <v>45420.0</v>
      </c>
      <c r="Q2667" s="18">
        <v>6.15</v>
      </c>
      <c r="R2667" s="15" t="s">
        <v>33</v>
      </c>
      <c r="S2667" s="19">
        <f t="shared" si="1"/>
        <v>0.4635</v>
      </c>
      <c r="T2667" s="19">
        <f t="shared" si="8"/>
        <v>85.34654581</v>
      </c>
      <c r="U2667" s="15"/>
    </row>
    <row r="2668">
      <c r="A2668" s="107"/>
      <c r="B2668" s="8" t="s">
        <v>131</v>
      </c>
      <c r="C2668" s="8" t="s">
        <v>19</v>
      </c>
      <c r="D2668" s="8">
        <v>61.0</v>
      </c>
      <c r="E2668" s="8" t="s">
        <v>5134</v>
      </c>
      <c r="F2668" s="8" t="s">
        <v>1473</v>
      </c>
      <c r="G2668" s="8" t="s">
        <v>1474</v>
      </c>
      <c r="H2668" s="8">
        <v>0.0</v>
      </c>
      <c r="I2668" s="8" t="s">
        <v>44</v>
      </c>
      <c r="J2668" s="8" t="s">
        <v>22</v>
      </c>
      <c r="K2668" s="8" t="s">
        <v>225</v>
      </c>
      <c r="L2668" s="8" t="s">
        <v>24</v>
      </c>
      <c r="M2668" s="9">
        <v>1.25</v>
      </c>
      <c r="N2668" s="9">
        <v>0.3</v>
      </c>
      <c r="O2668" s="9">
        <v>0.26</v>
      </c>
      <c r="P2668" s="10">
        <v>45420.0</v>
      </c>
      <c r="Q2668" s="11">
        <v>1.605</v>
      </c>
      <c r="R2668" s="8" t="s">
        <v>33</v>
      </c>
      <c r="S2668" s="12">
        <f t="shared" si="1"/>
        <v>0.1573</v>
      </c>
      <c r="T2668" s="12">
        <f t="shared" si="8"/>
        <v>85.50384581</v>
      </c>
      <c r="U2668" s="8"/>
    </row>
    <row r="2669">
      <c r="A2669" s="29"/>
      <c r="B2669" s="15" t="s">
        <v>4225</v>
      </c>
      <c r="C2669" s="15" t="s">
        <v>19</v>
      </c>
      <c r="D2669" s="15">
        <v>28.0</v>
      </c>
      <c r="E2669" s="15" t="s">
        <v>5135</v>
      </c>
      <c r="F2669" s="15" t="s">
        <v>1479</v>
      </c>
      <c r="G2669" s="15" t="s">
        <v>1480</v>
      </c>
      <c r="H2669" s="15">
        <v>0.0</v>
      </c>
      <c r="I2669" s="15" t="s">
        <v>316</v>
      </c>
      <c r="J2669" s="15" t="s">
        <v>22</v>
      </c>
      <c r="K2669" s="15" t="s">
        <v>1150</v>
      </c>
      <c r="L2669" s="15" t="s">
        <v>24</v>
      </c>
      <c r="M2669" s="16">
        <v>0.0</v>
      </c>
      <c r="N2669" s="16">
        <v>0.4</v>
      </c>
      <c r="O2669" s="16">
        <v>0.35</v>
      </c>
      <c r="P2669" s="17">
        <v>45421.0</v>
      </c>
      <c r="Q2669" s="18">
        <v>1.7</v>
      </c>
      <c r="R2669" s="15" t="s">
        <v>33</v>
      </c>
      <c r="S2669" s="19">
        <f t="shared" si="1"/>
        <v>0.245</v>
      </c>
      <c r="T2669" s="19">
        <f t="shared" si="8"/>
        <v>85.74884581</v>
      </c>
      <c r="U2669" s="15"/>
    </row>
    <row r="2670">
      <c r="A2670" s="107"/>
      <c r="B2670" s="8" t="s">
        <v>18</v>
      </c>
      <c r="C2670" s="8" t="s">
        <v>19</v>
      </c>
      <c r="D2670" s="8">
        <v>80.0</v>
      </c>
      <c r="E2670" s="8" t="s">
        <v>5136</v>
      </c>
      <c r="F2670" s="8" t="s">
        <v>1479</v>
      </c>
      <c r="G2670" s="8" t="s">
        <v>1480</v>
      </c>
      <c r="H2670" s="8">
        <v>0.0</v>
      </c>
      <c r="I2670" s="8" t="s">
        <v>463</v>
      </c>
      <c r="J2670" s="8" t="s">
        <v>22</v>
      </c>
      <c r="K2670" s="8" t="s">
        <v>941</v>
      </c>
      <c r="L2670" s="8" t="s">
        <v>24</v>
      </c>
      <c r="M2670" s="9">
        <v>0.0</v>
      </c>
      <c r="N2670" s="9">
        <v>0.15</v>
      </c>
      <c r="O2670" s="9">
        <v>0.13</v>
      </c>
      <c r="P2670" s="54">
        <v>45421.0</v>
      </c>
      <c r="Q2670" s="11">
        <v>3.0</v>
      </c>
      <c r="R2670" s="8" t="s">
        <v>70</v>
      </c>
      <c r="S2670" s="12">
        <f t="shared" si="1"/>
        <v>0</v>
      </c>
      <c r="T2670" s="12">
        <f t="shared" si="8"/>
        <v>85.74884581</v>
      </c>
      <c r="U2670" s="8"/>
    </row>
    <row r="2671">
      <c r="A2671" s="29"/>
      <c r="B2671" s="15" t="s">
        <v>26</v>
      </c>
      <c r="C2671" s="15" t="s">
        <v>19</v>
      </c>
      <c r="D2671" s="15">
        <v>60.0</v>
      </c>
      <c r="E2671" s="15" t="s">
        <v>5137</v>
      </c>
      <c r="F2671" s="15"/>
      <c r="G2671" s="15"/>
      <c r="H2671" s="15"/>
      <c r="I2671" s="15" t="s">
        <v>191</v>
      </c>
      <c r="J2671" s="15" t="s">
        <v>22</v>
      </c>
      <c r="K2671" s="15" t="s">
        <v>440</v>
      </c>
      <c r="L2671" s="15" t="s">
        <v>24</v>
      </c>
      <c r="M2671" s="16">
        <v>0.5</v>
      </c>
      <c r="N2671" s="16">
        <v>0.1</v>
      </c>
      <c r="O2671" s="16">
        <v>0.09</v>
      </c>
      <c r="P2671" s="55">
        <v>45421.0</v>
      </c>
      <c r="Q2671" s="18">
        <v>1.6</v>
      </c>
      <c r="R2671" s="15" t="s">
        <v>25</v>
      </c>
      <c r="S2671" s="19">
        <f t="shared" si="1"/>
        <v>-0.09</v>
      </c>
      <c r="T2671" s="19">
        <f t="shared" si="8"/>
        <v>85.65884581</v>
      </c>
      <c r="U2671" s="15"/>
    </row>
    <row r="2672">
      <c r="A2672" s="107"/>
      <c r="B2672" s="8" t="s">
        <v>26</v>
      </c>
      <c r="C2672" s="8" t="s">
        <v>19</v>
      </c>
      <c r="D2672" s="8">
        <v>60.0</v>
      </c>
      <c r="E2672" s="8" t="s">
        <v>5138</v>
      </c>
      <c r="F2672" s="8" t="s">
        <v>1473</v>
      </c>
      <c r="G2672" s="8" t="s">
        <v>1480</v>
      </c>
      <c r="H2672" s="8">
        <v>0.0</v>
      </c>
      <c r="I2672" s="8" t="s">
        <v>4293</v>
      </c>
      <c r="J2672" s="8" t="s">
        <v>22</v>
      </c>
      <c r="K2672" s="8" t="s">
        <v>892</v>
      </c>
      <c r="L2672" s="8" t="s">
        <v>24</v>
      </c>
      <c r="M2672" s="9">
        <v>0.0</v>
      </c>
      <c r="N2672" s="9">
        <v>0.15</v>
      </c>
      <c r="O2672" s="9">
        <v>0.15</v>
      </c>
      <c r="P2672" s="54">
        <v>45421.0</v>
      </c>
      <c r="Q2672" s="11">
        <v>1.8</v>
      </c>
      <c r="R2672" s="8" t="s">
        <v>70</v>
      </c>
      <c r="S2672" s="12">
        <f t="shared" si="1"/>
        <v>0</v>
      </c>
      <c r="T2672" s="12">
        <f t="shared" si="8"/>
        <v>85.65884581</v>
      </c>
      <c r="U2672" s="8"/>
    </row>
    <row r="2673">
      <c r="A2673" s="29"/>
      <c r="B2673" s="15" t="s">
        <v>18</v>
      </c>
      <c r="C2673" s="15" t="s">
        <v>19</v>
      </c>
      <c r="D2673" s="15">
        <v>14.0</v>
      </c>
      <c r="E2673" s="15" t="s">
        <v>5139</v>
      </c>
      <c r="F2673" s="15" t="s">
        <v>1479</v>
      </c>
      <c r="G2673" s="15" t="s">
        <v>1480</v>
      </c>
      <c r="H2673" s="15">
        <v>0.0</v>
      </c>
      <c r="I2673" s="15" t="s">
        <v>316</v>
      </c>
      <c r="J2673" s="15" t="s">
        <v>22</v>
      </c>
      <c r="K2673" s="15" t="s">
        <v>1150</v>
      </c>
      <c r="L2673" s="15" t="s">
        <v>24</v>
      </c>
      <c r="M2673" s="16">
        <v>0.0</v>
      </c>
      <c r="N2673" s="16">
        <v>0.6</v>
      </c>
      <c r="O2673" s="16">
        <v>0.58</v>
      </c>
      <c r="P2673" s="17">
        <v>45422.0</v>
      </c>
      <c r="Q2673" s="18">
        <v>1.825</v>
      </c>
      <c r="R2673" s="15" t="s">
        <v>70</v>
      </c>
      <c r="S2673" s="19">
        <f t="shared" si="1"/>
        <v>0</v>
      </c>
      <c r="T2673" s="19">
        <f t="shared" si="8"/>
        <v>85.65884581</v>
      </c>
      <c r="U2673" s="15"/>
    </row>
    <row r="2674">
      <c r="A2674" s="107"/>
      <c r="B2674" s="8" t="s">
        <v>26</v>
      </c>
      <c r="C2674" s="8" t="s">
        <v>19</v>
      </c>
      <c r="D2674" s="8">
        <v>74.0</v>
      </c>
      <c r="E2674" s="8" t="s">
        <v>5140</v>
      </c>
      <c r="F2674" s="8" t="s">
        <v>1479</v>
      </c>
      <c r="G2674" s="8" t="s">
        <v>1480</v>
      </c>
      <c r="H2674" s="8">
        <v>0.0</v>
      </c>
      <c r="I2674" s="8" t="s">
        <v>248</v>
      </c>
      <c r="J2674" s="8" t="s">
        <v>22</v>
      </c>
      <c r="K2674" s="8" t="s">
        <v>892</v>
      </c>
      <c r="L2674" s="8" t="s">
        <v>24</v>
      </c>
      <c r="M2674" s="9">
        <v>0.0</v>
      </c>
      <c r="N2674" s="9">
        <v>0.2</v>
      </c>
      <c r="O2674" s="9">
        <v>0.2</v>
      </c>
      <c r="P2674" s="10">
        <v>45422.0</v>
      </c>
      <c r="Q2674" s="11">
        <v>1.8</v>
      </c>
      <c r="R2674" s="8" t="s">
        <v>70</v>
      </c>
      <c r="S2674" s="12">
        <f t="shared" si="1"/>
        <v>0</v>
      </c>
      <c r="T2674" s="12">
        <f t="shared" si="8"/>
        <v>85.65884581</v>
      </c>
      <c r="U2674" s="8"/>
    </row>
    <row r="2675">
      <c r="A2675" s="29"/>
      <c r="B2675" s="15" t="s">
        <v>4225</v>
      </c>
      <c r="C2675" s="15" t="s">
        <v>19</v>
      </c>
      <c r="D2675" s="15">
        <v>66.0</v>
      </c>
      <c r="E2675" s="15" t="s">
        <v>5141</v>
      </c>
      <c r="F2675" s="15" t="s">
        <v>1473</v>
      </c>
      <c r="G2675" s="15" t="s">
        <v>1480</v>
      </c>
      <c r="H2675" s="15">
        <v>-1.0</v>
      </c>
      <c r="I2675" s="15" t="s">
        <v>316</v>
      </c>
      <c r="J2675" s="15" t="s">
        <v>22</v>
      </c>
      <c r="K2675" s="15" t="s">
        <v>892</v>
      </c>
      <c r="L2675" s="15" t="s">
        <v>24</v>
      </c>
      <c r="M2675" s="16">
        <v>0.0</v>
      </c>
      <c r="N2675" s="16">
        <v>0.2</v>
      </c>
      <c r="O2675" s="16">
        <v>0.2</v>
      </c>
      <c r="P2675" s="17">
        <v>45422.0</v>
      </c>
      <c r="Q2675" s="18">
        <v>1.65</v>
      </c>
      <c r="R2675" s="15" t="s">
        <v>33</v>
      </c>
      <c r="S2675" s="19">
        <f t="shared" si="1"/>
        <v>0.13</v>
      </c>
      <c r="T2675" s="19">
        <f t="shared" si="8"/>
        <v>85.78884581</v>
      </c>
      <c r="U2675" s="15"/>
    </row>
    <row r="2676">
      <c r="A2676" s="107"/>
      <c r="B2676" s="8" t="s">
        <v>26</v>
      </c>
      <c r="C2676" s="8" t="s">
        <v>19</v>
      </c>
      <c r="D2676" s="8">
        <v>65.0</v>
      </c>
      <c r="E2676" s="8" t="s">
        <v>5142</v>
      </c>
      <c r="F2676" s="8" t="s">
        <v>1479</v>
      </c>
      <c r="G2676" s="8" t="s">
        <v>1480</v>
      </c>
      <c r="H2676" s="8">
        <v>0.0</v>
      </c>
      <c r="I2676" s="8" t="s">
        <v>229</v>
      </c>
      <c r="J2676" s="8" t="s">
        <v>22</v>
      </c>
      <c r="K2676" s="8" t="s">
        <v>892</v>
      </c>
      <c r="L2676" s="8" t="s">
        <v>24</v>
      </c>
      <c r="M2676" s="9">
        <v>0.0</v>
      </c>
      <c r="N2676" s="9">
        <v>0.6</v>
      </c>
      <c r="O2676" s="9">
        <v>0.6</v>
      </c>
      <c r="P2676" s="10">
        <v>45423.0</v>
      </c>
      <c r="Q2676" s="11">
        <f>225.6/120</f>
        <v>1.88</v>
      </c>
      <c r="R2676" s="8" t="s">
        <v>33</v>
      </c>
      <c r="S2676" s="12">
        <f t="shared" si="1"/>
        <v>0.528</v>
      </c>
      <c r="T2676" s="12">
        <f t="shared" si="8"/>
        <v>86.31684581</v>
      </c>
      <c r="U2676" s="8"/>
    </row>
    <row r="2677">
      <c r="A2677" s="29"/>
      <c r="B2677" s="15" t="s">
        <v>4225</v>
      </c>
      <c r="C2677" s="15" t="s">
        <v>19</v>
      </c>
      <c r="D2677" s="15">
        <v>55.0</v>
      </c>
      <c r="E2677" s="15" t="s">
        <v>5143</v>
      </c>
      <c r="F2677" s="15" t="s">
        <v>1479</v>
      </c>
      <c r="G2677" s="15" t="s">
        <v>1477</v>
      </c>
      <c r="H2677" s="15">
        <v>-1.0</v>
      </c>
      <c r="I2677" s="15" t="s">
        <v>683</v>
      </c>
      <c r="J2677" s="15" t="s">
        <v>22</v>
      </c>
      <c r="K2677" s="15" t="s">
        <v>894</v>
      </c>
      <c r="L2677" s="15" t="s">
        <v>24</v>
      </c>
      <c r="M2677" s="16">
        <v>-0.75</v>
      </c>
      <c r="N2677" s="16">
        <v>0.1</v>
      </c>
      <c r="O2677" s="16">
        <v>0.1</v>
      </c>
      <c r="P2677" s="17">
        <v>45423.0</v>
      </c>
      <c r="Q2677" s="18">
        <v>1.875</v>
      </c>
      <c r="R2677" s="15" t="s">
        <v>33</v>
      </c>
      <c r="S2677" s="19">
        <f t="shared" si="1"/>
        <v>0.0875</v>
      </c>
      <c r="T2677" s="19">
        <f t="shared" si="8"/>
        <v>86.40434581</v>
      </c>
      <c r="U2677" s="15"/>
    </row>
    <row r="2678">
      <c r="A2678" s="107"/>
      <c r="B2678" s="8" t="s">
        <v>18</v>
      </c>
      <c r="C2678" s="8" t="s">
        <v>19</v>
      </c>
      <c r="D2678" s="8">
        <v>68.0</v>
      </c>
      <c r="E2678" s="8" t="s">
        <v>5144</v>
      </c>
      <c r="F2678" s="8" t="s">
        <v>1479</v>
      </c>
      <c r="G2678" s="8" t="s">
        <v>1480</v>
      </c>
      <c r="H2678" s="8">
        <v>-1.0</v>
      </c>
      <c r="I2678" s="8" t="s">
        <v>157</v>
      </c>
      <c r="J2678" s="8" t="s">
        <v>22</v>
      </c>
      <c r="K2678" s="8" t="s">
        <v>892</v>
      </c>
      <c r="L2678" s="8" t="s">
        <v>24</v>
      </c>
      <c r="M2678" s="9">
        <v>0.0</v>
      </c>
      <c r="N2678" s="9">
        <v>0.4</v>
      </c>
      <c r="O2678" s="9">
        <v>0.4</v>
      </c>
      <c r="P2678" s="10">
        <v>45423.0</v>
      </c>
      <c r="Q2678" s="11">
        <v>1.925</v>
      </c>
      <c r="R2678" s="8" t="s">
        <v>70</v>
      </c>
      <c r="S2678" s="12">
        <f t="shared" si="1"/>
        <v>0</v>
      </c>
      <c r="T2678" s="12">
        <f t="shared" si="8"/>
        <v>86.40434581</v>
      </c>
      <c r="U2678" s="8"/>
    </row>
    <row r="2679">
      <c r="A2679" s="29"/>
      <c r="B2679" s="15" t="s">
        <v>18</v>
      </c>
      <c r="C2679" s="15" t="s">
        <v>19</v>
      </c>
      <c r="D2679" s="15">
        <v>60.0</v>
      </c>
      <c r="E2679" s="15" t="s">
        <v>5145</v>
      </c>
      <c r="F2679" s="15" t="s">
        <v>1473</v>
      </c>
      <c r="G2679" s="15" t="s">
        <v>1480</v>
      </c>
      <c r="H2679" s="15">
        <v>0.0</v>
      </c>
      <c r="I2679" s="15" t="s">
        <v>66</v>
      </c>
      <c r="J2679" s="15" t="s">
        <v>22</v>
      </c>
      <c r="K2679" s="15" t="s">
        <v>892</v>
      </c>
      <c r="L2679" s="15" t="s">
        <v>24</v>
      </c>
      <c r="M2679" s="16">
        <v>0.0</v>
      </c>
      <c r="N2679" s="16">
        <v>0.4</v>
      </c>
      <c r="O2679" s="16">
        <f>0.4*59/62</f>
        <v>0.3806451613</v>
      </c>
      <c r="P2679" s="17">
        <v>45423.0</v>
      </c>
      <c r="Q2679" s="18">
        <v>1.65</v>
      </c>
      <c r="R2679" s="15" t="s">
        <v>33</v>
      </c>
      <c r="S2679" s="19">
        <f t="shared" si="1"/>
        <v>0.2474193548</v>
      </c>
      <c r="T2679" s="19">
        <f t="shared" si="8"/>
        <v>86.65176516</v>
      </c>
      <c r="U2679" s="15"/>
    </row>
    <row r="2680">
      <c r="A2680" s="107"/>
      <c r="B2680" s="8" t="s">
        <v>18</v>
      </c>
      <c r="C2680" s="8" t="s">
        <v>19</v>
      </c>
      <c r="D2680" s="8">
        <v>35.0</v>
      </c>
      <c r="E2680" s="8" t="s">
        <v>5146</v>
      </c>
      <c r="F2680" s="8" t="s">
        <v>1473</v>
      </c>
      <c r="G2680" s="8" t="s">
        <v>1480</v>
      </c>
      <c r="H2680" s="8">
        <v>0.0</v>
      </c>
      <c r="I2680" s="8" t="s">
        <v>44</v>
      </c>
      <c r="J2680" s="8" t="s">
        <v>22</v>
      </c>
      <c r="K2680" s="8" t="s">
        <v>1150</v>
      </c>
      <c r="L2680" s="8" t="s">
        <v>24</v>
      </c>
      <c r="M2680" s="9">
        <v>0.0</v>
      </c>
      <c r="N2680" s="9">
        <v>0.2</v>
      </c>
      <c r="O2680" s="9">
        <v>0.2</v>
      </c>
      <c r="P2680" s="10">
        <v>45423.0</v>
      </c>
      <c r="Q2680" s="11">
        <v>1.9</v>
      </c>
      <c r="R2680" s="8" t="s">
        <v>33</v>
      </c>
      <c r="S2680" s="12">
        <f t="shared" si="1"/>
        <v>0.18</v>
      </c>
      <c r="T2680" s="12">
        <f t="shared" si="8"/>
        <v>86.83176516</v>
      </c>
      <c r="U2680" s="8"/>
    </row>
    <row r="2681">
      <c r="A2681" s="29"/>
      <c r="B2681" s="15" t="s">
        <v>18</v>
      </c>
      <c r="C2681" s="15" t="s">
        <v>19</v>
      </c>
      <c r="D2681" s="15">
        <v>75.0</v>
      </c>
      <c r="E2681" s="15" t="s">
        <v>5147</v>
      </c>
      <c r="F2681" s="15" t="s">
        <v>1473</v>
      </c>
      <c r="G2681" s="15" t="s">
        <v>1480</v>
      </c>
      <c r="H2681" s="15">
        <v>0.0</v>
      </c>
      <c r="I2681" s="15" t="s">
        <v>50</v>
      </c>
      <c r="J2681" s="15" t="s">
        <v>22</v>
      </c>
      <c r="K2681" s="15" t="s">
        <v>892</v>
      </c>
      <c r="L2681" s="15" t="s">
        <v>24</v>
      </c>
      <c r="M2681" s="16">
        <v>0.0</v>
      </c>
      <c r="N2681" s="16">
        <v>0.5</v>
      </c>
      <c r="O2681" s="16">
        <v>0.48</v>
      </c>
      <c r="P2681" s="55">
        <v>45423.0</v>
      </c>
      <c r="Q2681" s="18">
        <v>2.08</v>
      </c>
      <c r="R2681" s="15" t="s">
        <v>70</v>
      </c>
      <c r="S2681" s="19">
        <f t="shared" si="1"/>
        <v>0</v>
      </c>
      <c r="T2681" s="19">
        <f t="shared" si="8"/>
        <v>86.83176516</v>
      </c>
      <c r="U2681" s="15"/>
    </row>
    <row r="2682">
      <c r="A2682" s="107"/>
      <c r="B2682" s="8" t="s">
        <v>129</v>
      </c>
      <c r="C2682" s="8" t="s">
        <v>19</v>
      </c>
      <c r="D2682" s="8">
        <v>76.0</v>
      </c>
      <c r="E2682" s="8" t="s">
        <v>5148</v>
      </c>
      <c r="F2682" s="8" t="s">
        <v>1473</v>
      </c>
      <c r="G2682" s="8" t="s">
        <v>1474</v>
      </c>
      <c r="H2682" s="8">
        <v>-1.0</v>
      </c>
      <c r="I2682" s="8" t="s">
        <v>66</v>
      </c>
      <c r="J2682" s="8" t="s">
        <v>22</v>
      </c>
      <c r="K2682" s="8" t="s">
        <v>225</v>
      </c>
      <c r="L2682" s="8" t="s">
        <v>24</v>
      </c>
      <c r="M2682" s="9">
        <v>0.25</v>
      </c>
      <c r="N2682" s="9">
        <v>0.35</v>
      </c>
      <c r="O2682" s="9">
        <v>0.33</v>
      </c>
      <c r="P2682" s="10">
        <v>45423.0</v>
      </c>
      <c r="Q2682" s="11">
        <v>1.725</v>
      </c>
      <c r="R2682" s="8" t="s">
        <v>30</v>
      </c>
      <c r="S2682" s="12">
        <f t="shared" si="1"/>
        <v>0.119625</v>
      </c>
      <c r="T2682" s="12">
        <f t="shared" si="8"/>
        <v>86.95139016</v>
      </c>
      <c r="U2682" s="8"/>
    </row>
    <row r="2683">
      <c r="A2683" s="29"/>
      <c r="B2683" s="15" t="s">
        <v>1915</v>
      </c>
      <c r="C2683" s="15" t="s">
        <v>19</v>
      </c>
      <c r="D2683" s="15">
        <v>2.0</v>
      </c>
      <c r="E2683" s="15" t="s">
        <v>5149</v>
      </c>
      <c r="F2683" s="15"/>
      <c r="G2683" s="15"/>
      <c r="H2683" s="15"/>
      <c r="I2683" s="15" t="s">
        <v>82</v>
      </c>
      <c r="J2683" s="15" t="s">
        <v>22</v>
      </c>
      <c r="K2683" s="15" t="s">
        <v>29</v>
      </c>
      <c r="L2683" s="15" t="s">
        <v>39</v>
      </c>
      <c r="M2683" s="16">
        <v>-2.5</v>
      </c>
      <c r="N2683" s="16">
        <v>0.01</v>
      </c>
      <c r="O2683" s="16">
        <v>0.01</v>
      </c>
      <c r="P2683" s="17">
        <v>45423.0</v>
      </c>
      <c r="Q2683" s="18">
        <v>1.9</v>
      </c>
      <c r="R2683" s="15" t="s">
        <v>33</v>
      </c>
      <c r="S2683" s="19">
        <f t="shared" si="1"/>
        <v>0.009</v>
      </c>
      <c r="T2683" s="19">
        <f t="shared" si="8"/>
        <v>86.96039016</v>
      </c>
      <c r="U2683" s="15"/>
    </row>
    <row r="2684">
      <c r="A2684" s="107"/>
      <c r="B2684" s="8" t="s">
        <v>1915</v>
      </c>
      <c r="C2684" s="8" t="s">
        <v>19</v>
      </c>
      <c r="D2684" s="8">
        <v>2.0</v>
      </c>
      <c r="E2684" s="8" t="s">
        <v>5150</v>
      </c>
      <c r="F2684" s="8"/>
      <c r="G2684" s="8"/>
      <c r="H2684" s="8"/>
      <c r="I2684" s="8" t="s">
        <v>82</v>
      </c>
      <c r="J2684" s="8" t="s">
        <v>22</v>
      </c>
      <c r="K2684" s="8" t="s">
        <v>29</v>
      </c>
      <c r="L2684" s="8" t="s">
        <v>39</v>
      </c>
      <c r="M2684" s="9">
        <v>-2.5</v>
      </c>
      <c r="N2684" s="9">
        <v>0.01</v>
      </c>
      <c r="O2684" s="9">
        <v>0.01</v>
      </c>
      <c r="P2684" s="10">
        <v>45423.0</v>
      </c>
      <c r="Q2684" s="11">
        <v>1.875</v>
      </c>
      <c r="R2684" s="8" t="s">
        <v>33</v>
      </c>
      <c r="S2684" s="12">
        <f t="shared" si="1"/>
        <v>0.00875</v>
      </c>
      <c r="T2684" s="12">
        <f t="shared" si="8"/>
        <v>86.96914016</v>
      </c>
      <c r="U2684" s="8"/>
    </row>
    <row r="2685">
      <c r="A2685" s="29"/>
      <c r="B2685" s="15" t="s">
        <v>129</v>
      </c>
      <c r="C2685" s="15" t="s">
        <v>19</v>
      </c>
      <c r="D2685" s="15">
        <v>57.0</v>
      </c>
      <c r="E2685" s="15" t="s">
        <v>5151</v>
      </c>
      <c r="F2685" s="15" t="s">
        <v>1473</v>
      </c>
      <c r="G2685" s="15" t="s">
        <v>1474</v>
      </c>
      <c r="H2685" s="15">
        <v>0.0</v>
      </c>
      <c r="I2685" s="15" t="s">
        <v>1368</v>
      </c>
      <c r="J2685" s="15" t="s">
        <v>22</v>
      </c>
      <c r="K2685" s="15" t="s">
        <v>225</v>
      </c>
      <c r="L2685" s="15" t="s">
        <v>24</v>
      </c>
      <c r="M2685" s="16">
        <v>0.5</v>
      </c>
      <c r="N2685" s="16">
        <v>0.6</v>
      </c>
      <c r="O2685" s="16">
        <v>0.6</v>
      </c>
      <c r="P2685" s="17">
        <v>45424.0</v>
      </c>
      <c r="Q2685" s="18">
        <v>1.85</v>
      </c>
      <c r="R2685" s="15" t="s">
        <v>25</v>
      </c>
      <c r="S2685" s="19">
        <f t="shared" si="1"/>
        <v>-0.6</v>
      </c>
      <c r="T2685" s="19">
        <f t="shared" si="8"/>
        <v>86.36914016</v>
      </c>
      <c r="U2685" s="15"/>
    </row>
    <row r="2686">
      <c r="A2686" s="107"/>
      <c r="B2686" s="8" t="s">
        <v>26</v>
      </c>
      <c r="C2686" s="8" t="s">
        <v>19</v>
      </c>
      <c r="D2686" s="8">
        <v>16.0</v>
      </c>
      <c r="E2686" s="8" t="s">
        <v>5152</v>
      </c>
      <c r="F2686" s="8" t="s">
        <v>1479</v>
      </c>
      <c r="G2686" s="8" t="s">
        <v>1480</v>
      </c>
      <c r="H2686" s="8">
        <v>0.0</v>
      </c>
      <c r="I2686" s="8" t="s">
        <v>221</v>
      </c>
      <c r="J2686" s="8" t="s">
        <v>22</v>
      </c>
      <c r="K2686" s="8" t="s">
        <v>1150</v>
      </c>
      <c r="L2686" s="8" t="s">
        <v>1851</v>
      </c>
      <c r="M2686" s="9">
        <v>0.0</v>
      </c>
      <c r="N2686" s="9">
        <v>0.2</v>
      </c>
      <c r="O2686" s="9">
        <v>0.2</v>
      </c>
      <c r="P2686" s="10">
        <v>45424.0</v>
      </c>
      <c r="Q2686" s="11">
        <v>1.75</v>
      </c>
      <c r="R2686" s="8" t="s">
        <v>70</v>
      </c>
      <c r="S2686" s="12">
        <f t="shared" si="1"/>
        <v>0</v>
      </c>
      <c r="T2686" s="12">
        <f t="shared" si="8"/>
        <v>86.36914016</v>
      </c>
      <c r="U2686" s="8"/>
    </row>
    <row r="2687">
      <c r="A2687" s="29"/>
      <c r="B2687" s="15" t="s">
        <v>137</v>
      </c>
      <c r="C2687" s="15" t="s">
        <v>19</v>
      </c>
      <c r="D2687" s="15">
        <v>35.0</v>
      </c>
      <c r="E2687" s="15" t="s">
        <v>5153</v>
      </c>
      <c r="F2687" s="15" t="s">
        <v>1473</v>
      </c>
      <c r="G2687" s="15" t="s">
        <v>1480</v>
      </c>
      <c r="H2687" s="15">
        <v>-1.0</v>
      </c>
      <c r="I2687" s="15" t="s">
        <v>2108</v>
      </c>
      <c r="J2687" s="15" t="s">
        <v>22</v>
      </c>
      <c r="K2687" s="15" t="s">
        <v>892</v>
      </c>
      <c r="L2687" s="15" t="s">
        <v>24</v>
      </c>
      <c r="M2687" s="16">
        <v>0.0</v>
      </c>
      <c r="N2687" s="16">
        <v>0.6</v>
      </c>
      <c r="O2687" s="16">
        <v>0.6</v>
      </c>
      <c r="P2687" s="17">
        <v>45424.0</v>
      </c>
      <c r="Q2687" s="18">
        <v>1.825</v>
      </c>
      <c r="R2687" s="15" t="s">
        <v>33</v>
      </c>
      <c r="S2687" s="19">
        <f t="shared" si="1"/>
        <v>0.495</v>
      </c>
      <c r="T2687" s="19">
        <f t="shared" si="8"/>
        <v>86.86414016</v>
      </c>
      <c r="U2687" s="15"/>
    </row>
    <row r="2688">
      <c r="A2688" s="107"/>
      <c r="B2688" s="8" t="s">
        <v>26</v>
      </c>
      <c r="C2688" s="8" t="s">
        <v>19</v>
      </c>
      <c r="D2688" s="8">
        <v>30.0</v>
      </c>
      <c r="E2688" s="8" t="s">
        <v>5154</v>
      </c>
      <c r="F2688" s="8" t="s">
        <v>1473</v>
      </c>
      <c r="G2688" s="8" t="s">
        <v>1480</v>
      </c>
      <c r="H2688" s="8">
        <v>0.0</v>
      </c>
      <c r="I2688" s="8" t="s">
        <v>1470</v>
      </c>
      <c r="J2688" s="8" t="s">
        <v>22</v>
      </c>
      <c r="K2688" s="8" t="s">
        <v>1150</v>
      </c>
      <c r="L2688" s="8" t="s">
        <v>24</v>
      </c>
      <c r="M2688" s="9">
        <v>0.0</v>
      </c>
      <c r="N2688" s="9">
        <v>0.2</v>
      </c>
      <c r="O2688" s="9">
        <v>0.2</v>
      </c>
      <c r="P2688" s="10">
        <v>45424.0</v>
      </c>
      <c r="Q2688" s="11">
        <v>1.775</v>
      </c>
      <c r="R2688" s="8" t="s">
        <v>25</v>
      </c>
      <c r="S2688" s="12">
        <f t="shared" si="1"/>
        <v>-0.2</v>
      </c>
      <c r="T2688" s="12">
        <f t="shared" si="8"/>
        <v>86.66414016</v>
      </c>
      <c r="U2688" s="8"/>
    </row>
    <row r="2689">
      <c r="A2689" s="29"/>
      <c r="B2689" s="15" t="s">
        <v>4225</v>
      </c>
      <c r="C2689" s="15" t="s">
        <v>19</v>
      </c>
      <c r="D2689" s="15">
        <v>38.0</v>
      </c>
      <c r="E2689" s="15" t="s">
        <v>5155</v>
      </c>
      <c r="F2689" s="15" t="s">
        <v>1473</v>
      </c>
      <c r="G2689" s="15" t="s">
        <v>1480</v>
      </c>
      <c r="H2689" s="15">
        <v>-1.0</v>
      </c>
      <c r="I2689" s="15" t="s">
        <v>50</v>
      </c>
      <c r="J2689" s="15" t="s">
        <v>22</v>
      </c>
      <c r="K2689" s="15" t="s">
        <v>892</v>
      </c>
      <c r="L2689" s="15" t="s">
        <v>24</v>
      </c>
      <c r="M2689" s="16">
        <v>0.0</v>
      </c>
      <c r="N2689" s="16">
        <v>0.8</v>
      </c>
      <c r="O2689" s="16">
        <v>0.79</v>
      </c>
      <c r="P2689" s="17">
        <v>45424.0</v>
      </c>
      <c r="Q2689" s="18">
        <v>1.094</v>
      </c>
      <c r="R2689" s="15" t="s">
        <v>33</v>
      </c>
      <c r="S2689" s="19">
        <f t="shared" si="1"/>
        <v>0.07426</v>
      </c>
      <c r="T2689" s="19">
        <f t="shared" si="8"/>
        <v>86.73840016</v>
      </c>
      <c r="U2689" s="15"/>
    </row>
    <row r="2690">
      <c r="A2690" s="107"/>
      <c r="B2690" s="8" t="s">
        <v>18</v>
      </c>
      <c r="C2690" s="8" t="s">
        <v>19</v>
      </c>
      <c r="D2690" s="8">
        <v>36.0</v>
      </c>
      <c r="E2690" s="8" t="s">
        <v>5156</v>
      </c>
      <c r="F2690" s="8" t="s">
        <v>1473</v>
      </c>
      <c r="G2690" s="8" t="s">
        <v>1480</v>
      </c>
      <c r="H2690" s="8">
        <v>-1.0</v>
      </c>
      <c r="I2690" s="8" t="s">
        <v>187</v>
      </c>
      <c r="J2690" s="8" t="s">
        <v>22</v>
      </c>
      <c r="K2690" s="8" t="s">
        <v>892</v>
      </c>
      <c r="L2690" s="8" t="s">
        <v>24</v>
      </c>
      <c r="M2690" s="9">
        <v>0.0</v>
      </c>
      <c r="N2690" s="9">
        <v>0.2</v>
      </c>
      <c r="O2690" s="9">
        <v>0.2</v>
      </c>
      <c r="P2690" s="10">
        <v>45424.0</v>
      </c>
      <c r="Q2690" s="11">
        <v>2.0</v>
      </c>
      <c r="R2690" s="8" t="s">
        <v>70</v>
      </c>
      <c r="S2690" s="12">
        <f t="shared" si="1"/>
        <v>0</v>
      </c>
      <c r="T2690" s="12">
        <f t="shared" si="8"/>
        <v>86.73840016</v>
      </c>
      <c r="U2690" s="8"/>
    </row>
    <row r="2691">
      <c r="A2691" s="29"/>
      <c r="B2691" s="15" t="s">
        <v>129</v>
      </c>
      <c r="C2691" s="15" t="s">
        <v>19</v>
      </c>
      <c r="D2691" s="15">
        <v>56.0</v>
      </c>
      <c r="E2691" s="15" t="s">
        <v>5157</v>
      </c>
      <c r="F2691" s="15" t="s">
        <v>1479</v>
      </c>
      <c r="G2691" s="15" t="s">
        <v>1480</v>
      </c>
      <c r="H2691" s="15">
        <v>-1.0</v>
      </c>
      <c r="I2691" s="15" t="s">
        <v>174</v>
      </c>
      <c r="J2691" s="15" t="s">
        <v>22</v>
      </c>
      <c r="K2691" s="15" t="s">
        <v>892</v>
      </c>
      <c r="L2691" s="15" t="s">
        <v>24</v>
      </c>
      <c r="M2691" s="16">
        <v>0.0</v>
      </c>
      <c r="N2691" s="16">
        <v>0.6</v>
      </c>
      <c r="O2691" s="16">
        <v>0.6</v>
      </c>
      <c r="P2691" s="17">
        <v>45424.0</v>
      </c>
      <c r="Q2691" s="18">
        <v>1.8</v>
      </c>
      <c r="R2691" s="15" t="s">
        <v>70</v>
      </c>
      <c r="S2691" s="19">
        <f t="shared" si="1"/>
        <v>0</v>
      </c>
      <c r="T2691" s="19">
        <f t="shared" si="8"/>
        <v>86.73840016</v>
      </c>
      <c r="U2691" s="15"/>
    </row>
    <row r="2692">
      <c r="A2692" s="107"/>
      <c r="B2692" s="8" t="s">
        <v>26</v>
      </c>
      <c r="C2692" s="8" t="s">
        <v>19</v>
      </c>
      <c r="D2692" s="8">
        <v>63.0</v>
      </c>
      <c r="E2692" s="8" t="s">
        <v>5158</v>
      </c>
      <c r="F2692" s="8" t="s">
        <v>1473</v>
      </c>
      <c r="G2692" s="8" t="s">
        <v>1480</v>
      </c>
      <c r="H2692" s="8">
        <v>0.0</v>
      </c>
      <c r="I2692" s="8" t="s">
        <v>50</v>
      </c>
      <c r="J2692" s="8" t="s">
        <v>22</v>
      </c>
      <c r="K2692" s="8" t="s">
        <v>892</v>
      </c>
      <c r="L2692" s="8" t="s">
        <v>24</v>
      </c>
      <c r="M2692" s="9">
        <v>0.0</v>
      </c>
      <c r="N2692" s="9">
        <v>0.2</v>
      </c>
      <c r="O2692" s="9">
        <v>0.2</v>
      </c>
      <c r="P2692" s="10">
        <v>45424.0</v>
      </c>
      <c r="Q2692" s="11">
        <v>1.975</v>
      </c>
      <c r="R2692" s="8" t="s">
        <v>25</v>
      </c>
      <c r="S2692" s="12">
        <f t="shared" si="1"/>
        <v>-0.2</v>
      </c>
      <c r="T2692" s="12">
        <f t="shared" si="8"/>
        <v>86.53840016</v>
      </c>
      <c r="U2692" s="8"/>
    </row>
    <row r="2693">
      <c r="A2693" s="29"/>
      <c r="B2693" s="15" t="s">
        <v>26</v>
      </c>
      <c r="C2693" s="15" t="s">
        <v>19</v>
      </c>
      <c r="D2693" s="15">
        <v>45.0</v>
      </c>
      <c r="E2693" s="15" t="s">
        <v>5159</v>
      </c>
      <c r="F2693" s="15"/>
      <c r="G2693" s="15"/>
      <c r="H2693" s="15">
        <v>0.0</v>
      </c>
      <c r="I2693" s="15" t="s">
        <v>877</v>
      </c>
      <c r="J2693" s="15" t="s">
        <v>22</v>
      </c>
      <c r="K2693" s="15" t="s">
        <v>29</v>
      </c>
      <c r="L2693" s="15" t="s">
        <v>1803</v>
      </c>
      <c r="M2693" s="16">
        <v>-1.5</v>
      </c>
      <c r="N2693" s="16">
        <v>0.1</v>
      </c>
      <c r="O2693" s="16">
        <v>0.1</v>
      </c>
      <c r="P2693" s="17">
        <v>45426.0</v>
      </c>
      <c r="Q2693" s="18">
        <v>2.0</v>
      </c>
      <c r="R2693" s="15" t="s">
        <v>25</v>
      </c>
      <c r="S2693" s="19">
        <f t="shared" si="1"/>
        <v>-0.1</v>
      </c>
      <c r="T2693" s="19">
        <f t="shared" si="8"/>
        <v>86.43840016</v>
      </c>
      <c r="U2693" s="15"/>
    </row>
    <row r="2694">
      <c r="A2694" s="107"/>
      <c r="B2694" s="8" t="s">
        <v>26</v>
      </c>
      <c r="C2694" s="8" t="s">
        <v>19</v>
      </c>
      <c r="D2694" s="8">
        <v>0.0</v>
      </c>
      <c r="E2694" s="8" t="s">
        <v>5160</v>
      </c>
      <c r="F2694" s="8"/>
      <c r="G2694" s="8"/>
      <c r="H2694" s="8"/>
      <c r="I2694" s="8" t="s">
        <v>93</v>
      </c>
      <c r="J2694" s="8" t="s">
        <v>598</v>
      </c>
      <c r="K2694" s="8" t="s">
        <v>2776</v>
      </c>
      <c r="L2694" s="8" t="s">
        <v>24</v>
      </c>
      <c r="M2694" s="9"/>
      <c r="N2694" s="9">
        <v>0.1</v>
      </c>
      <c r="O2694" s="9">
        <v>0.1</v>
      </c>
      <c r="P2694" s="10">
        <v>45426.0</v>
      </c>
      <c r="Q2694" s="11">
        <v>4.33</v>
      </c>
      <c r="R2694" s="8" t="s">
        <v>25</v>
      </c>
      <c r="S2694" s="12">
        <f t="shared" si="1"/>
        <v>-0.1</v>
      </c>
      <c r="T2694" s="12">
        <f t="shared" si="8"/>
        <v>86.33840016</v>
      </c>
      <c r="U2694" s="8"/>
    </row>
    <row r="2695">
      <c r="A2695" s="29"/>
      <c r="B2695" s="15" t="s">
        <v>26</v>
      </c>
      <c r="C2695" s="15" t="s">
        <v>19</v>
      </c>
      <c r="D2695" s="15">
        <v>0.0</v>
      </c>
      <c r="E2695" s="15" t="s">
        <v>5161</v>
      </c>
      <c r="F2695" s="15"/>
      <c r="G2695" s="15"/>
      <c r="H2695" s="15"/>
      <c r="I2695" s="15" t="s">
        <v>93</v>
      </c>
      <c r="J2695" s="15" t="s">
        <v>598</v>
      </c>
      <c r="K2695" s="15" t="s">
        <v>2776</v>
      </c>
      <c r="L2695" s="15" t="s">
        <v>24</v>
      </c>
      <c r="M2695" s="16"/>
      <c r="N2695" s="16">
        <v>0.1</v>
      </c>
      <c r="O2695" s="16">
        <v>0.1</v>
      </c>
      <c r="P2695" s="17">
        <v>45426.0</v>
      </c>
      <c r="Q2695" s="18">
        <v>5.5</v>
      </c>
      <c r="R2695" s="15" t="s">
        <v>33</v>
      </c>
      <c r="S2695" s="19">
        <f t="shared" si="1"/>
        <v>0.45</v>
      </c>
      <c r="T2695" s="19">
        <f t="shared" si="8"/>
        <v>86.78840016</v>
      </c>
      <c r="U2695" s="15"/>
    </row>
    <row r="2696">
      <c r="A2696" s="107"/>
      <c r="B2696" s="8" t="s">
        <v>26</v>
      </c>
      <c r="C2696" s="8" t="s">
        <v>19</v>
      </c>
      <c r="D2696" s="8">
        <v>21.0</v>
      </c>
      <c r="E2696" s="8" t="s">
        <v>5162</v>
      </c>
      <c r="F2696" s="8" t="s">
        <v>1473</v>
      </c>
      <c r="G2696" s="8" t="s">
        <v>1480</v>
      </c>
      <c r="H2696" s="8">
        <v>0.0</v>
      </c>
      <c r="I2696" s="8" t="s">
        <v>174</v>
      </c>
      <c r="J2696" s="8" t="s">
        <v>22</v>
      </c>
      <c r="K2696" s="8" t="s">
        <v>1150</v>
      </c>
      <c r="L2696" s="8" t="s">
        <v>24</v>
      </c>
      <c r="M2696" s="9">
        <v>0.0</v>
      </c>
      <c r="N2696" s="9">
        <v>0.6</v>
      </c>
      <c r="O2696" s="9">
        <v>0.6</v>
      </c>
      <c r="P2696" s="10">
        <v>45426.0</v>
      </c>
      <c r="Q2696" s="11">
        <v>1.75</v>
      </c>
      <c r="R2696" s="8" t="s">
        <v>70</v>
      </c>
      <c r="S2696" s="12">
        <f t="shared" si="1"/>
        <v>0</v>
      </c>
      <c r="T2696" s="12">
        <f t="shared" si="8"/>
        <v>86.78840016</v>
      </c>
      <c r="U2696" s="8"/>
    </row>
    <row r="2697">
      <c r="A2697" s="29"/>
      <c r="B2697" s="15" t="s">
        <v>26</v>
      </c>
      <c r="C2697" s="15" t="s">
        <v>19</v>
      </c>
      <c r="D2697" s="15">
        <v>60.0</v>
      </c>
      <c r="E2697" s="15" t="s">
        <v>5163</v>
      </c>
      <c r="F2697" s="15"/>
      <c r="G2697" s="15"/>
      <c r="H2697" s="15">
        <v>0.0</v>
      </c>
      <c r="I2697" s="15" t="s">
        <v>191</v>
      </c>
      <c r="J2697" s="15" t="s">
        <v>22</v>
      </c>
      <c r="K2697" s="15" t="s">
        <v>440</v>
      </c>
      <c r="L2697" s="15" t="s">
        <v>39</v>
      </c>
      <c r="M2697" s="16">
        <v>0.5</v>
      </c>
      <c r="N2697" s="16">
        <v>0.1</v>
      </c>
      <c r="O2697" s="16">
        <v>0.1</v>
      </c>
      <c r="P2697" s="55">
        <v>45427.0</v>
      </c>
      <c r="Q2697" s="18">
        <v>1.75</v>
      </c>
      <c r="R2697" s="15" t="s">
        <v>33</v>
      </c>
      <c r="S2697" s="19">
        <f t="shared" si="1"/>
        <v>0.075</v>
      </c>
      <c r="T2697" s="19">
        <f t="shared" si="8"/>
        <v>86.86340016</v>
      </c>
      <c r="U2697" s="15"/>
    </row>
    <row r="2698">
      <c r="A2698" s="107"/>
      <c r="B2698" s="8" t="s">
        <v>18</v>
      </c>
      <c r="C2698" s="8" t="s">
        <v>19</v>
      </c>
      <c r="D2698" s="8">
        <v>43.0</v>
      </c>
      <c r="E2698" s="8" t="s">
        <v>5164</v>
      </c>
      <c r="F2698" s="8" t="s">
        <v>1473</v>
      </c>
      <c r="G2698" s="8" t="s">
        <v>1480</v>
      </c>
      <c r="H2698" s="8">
        <v>-1.0</v>
      </c>
      <c r="I2698" s="8" t="s">
        <v>432</v>
      </c>
      <c r="J2698" s="8" t="s">
        <v>22</v>
      </c>
      <c r="K2698" s="8" t="s">
        <v>1150</v>
      </c>
      <c r="L2698" s="8" t="s">
        <v>24</v>
      </c>
      <c r="M2698" s="9">
        <v>0.0</v>
      </c>
      <c r="N2698" s="9">
        <v>0.2</v>
      </c>
      <c r="O2698" s="9">
        <v>0.11</v>
      </c>
      <c r="P2698" s="54">
        <v>45427.0</v>
      </c>
      <c r="Q2698" s="11">
        <v>1.825</v>
      </c>
      <c r="R2698" s="8" t="s">
        <v>70</v>
      </c>
      <c r="S2698" s="12">
        <f t="shared" si="1"/>
        <v>0</v>
      </c>
      <c r="T2698" s="12">
        <f t="shared" si="8"/>
        <v>86.86340016</v>
      </c>
      <c r="U2698" s="8"/>
    </row>
    <row r="2699">
      <c r="A2699" s="29"/>
      <c r="B2699" s="15" t="s">
        <v>1915</v>
      </c>
      <c r="C2699" s="15" t="s">
        <v>19</v>
      </c>
      <c r="D2699" s="15">
        <v>0.0</v>
      </c>
      <c r="E2699" s="15" t="s">
        <v>5165</v>
      </c>
      <c r="F2699" s="15"/>
      <c r="G2699" s="15"/>
      <c r="H2699" s="15">
        <v>0.0</v>
      </c>
      <c r="I2699" s="15" t="s">
        <v>229</v>
      </c>
      <c r="J2699" s="15" t="s">
        <v>22</v>
      </c>
      <c r="K2699" s="15" t="s">
        <v>29</v>
      </c>
      <c r="L2699" s="15" t="s">
        <v>39</v>
      </c>
      <c r="M2699" s="16">
        <v>-2.5</v>
      </c>
      <c r="N2699" s="16">
        <v>0.05</v>
      </c>
      <c r="O2699" s="16">
        <v>0.05</v>
      </c>
      <c r="P2699" s="55">
        <v>45427.0</v>
      </c>
      <c r="Q2699" s="18">
        <v>1.8</v>
      </c>
      <c r="R2699" s="15" t="s">
        <v>33</v>
      </c>
      <c r="S2699" s="19">
        <f t="shared" si="1"/>
        <v>0.04</v>
      </c>
      <c r="T2699" s="19">
        <f t="shared" si="8"/>
        <v>86.90340016</v>
      </c>
      <c r="U2699" s="15"/>
    </row>
    <row r="2700">
      <c r="A2700" s="107"/>
      <c r="B2700" s="8" t="s">
        <v>18</v>
      </c>
      <c r="C2700" s="8" t="s">
        <v>19</v>
      </c>
      <c r="D2700" s="8">
        <v>59.0</v>
      </c>
      <c r="E2700" s="8" t="s">
        <v>5166</v>
      </c>
      <c r="F2700" s="8" t="s">
        <v>1473</v>
      </c>
      <c r="G2700" s="8" t="s">
        <v>1480</v>
      </c>
      <c r="H2700" s="8">
        <v>-1.0</v>
      </c>
      <c r="I2700" s="8" t="s">
        <v>432</v>
      </c>
      <c r="J2700" s="8" t="s">
        <v>22</v>
      </c>
      <c r="K2700" s="8" t="s">
        <v>892</v>
      </c>
      <c r="L2700" s="8" t="s">
        <v>24</v>
      </c>
      <c r="M2700" s="9">
        <v>0.0</v>
      </c>
      <c r="N2700" s="9">
        <v>0.75</v>
      </c>
      <c r="O2700" s="9">
        <v>0.75</v>
      </c>
      <c r="P2700" s="54">
        <v>45427.0</v>
      </c>
      <c r="Q2700" s="11">
        <v>1.775</v>
      </c>
      <c r="R2700" s="8" t="s">
        <v>25</v>
      </c>
      <c r="S2700" s="12">
        <f t="shared" si="1"/>
        <v>-0.75</v>
      </c>
      <c r="T2700" s="12">
        <f t="shared" si="8"/>
        <v>86.15340016</v>
      </c>
      <c r="U2700" s="8"/>
    </row>
    <row r="2701">
      <c r="A2701" s="29"/>
      <c r="B2701" s="15" t="s">
        <v>26</v>
      </c>
      <c r="C2701" s="15" t="s">
        <v>19</v>
      </c>
      <c r="D2701" s="15">
        <v>32.0</v>
      </c>
      <c r="E2701" s="15" t="s">
        <v>5167</v>
      </c>
      <c r="F2701" s="15" t="s">
        <v>1479</v>
      </c>
      <c r="G2701" s="15" t="s">
        <v>1480</v>
      </c>
      <c r="H2701" s="15">
        <v>0.0</v>
      </c>
      <c r="I2701" s="15" t="s">
        <v>415</v>
      </c>
      <c r="J2701" s="15" t="s">
        <v>22</v>
      </c>
      <c r="K2701" s="15" t="s">
        <v>1150</v>
      </c>
      <c r="L2701" s="15" t="s">
        <v>24</v>
      </c>
      <c r="M2701" s="16">
        <v>0.0</v>
      </c>
      <c r="N2701" s="16">
        <v>0.2</v>
      </c>
      <c r="O2701" s="16">
        <v>0.2</v>
      </c>
      <c r="P2701" s="17">
        <v>45427.0</v>
      </c>
      <c r="Q2701" s="18">
        <v>1.825</v>
      </c>
      <c r="R2701" s="15" t="s">
        <v>33</v>
      </c>
      <c r="S2701" s="19">
        <f t="shared" si="1"/>
        <v>0.165</v>
      </c>
      <c r="T2701" s="19">
        <f t="shared" si="8"/>
        <v>86.31840016</v>
      </c>
      <c r="U2701" s="15"/>
    </row>
    <row r="2702">
      <c r="A2702" s="107"/>
      <c r="B2702" s="8" t="s">
        <v>18</v>
      </c>
      <c r="C2702" s="8" t="s">
        <v>40</v>
      </c>
      <c r="D2702" s="8">
        <v>77.0</v>
      </c>
      <c r="E2702" s="8" t="s">
        <v>5168</v>
      </c>
      <c r="F2702" s="8" t="s">
        <v>1473</v>
      </c>
      <c r="G2702" s="8" t="s">
        <v>1480</v>
      </c>
      <c r="H2702" s="8">
        <v>0.0</v>
      </c>
      <c r="I2702" s="8" t="s">
        <v>463</v>
      </c>
      <c r="J2702" s="8" t="s">
        <v>22</v>
      </c>
      <c r="K2702" s="8" t="s">
        <v>892</v>
      </c>
      <c r="L2702" s="8" t="s">
        <v>24</v>
      </c>
      <c r="M2702" s="9">
        <v>0.0</v>
      </c>
      <c r="N2702" s="9">
        <v>0.6</v>
      </c>
      <c r="O2702" s="9">
        <v>0.6</v>
      </c>
      <c r="P2702" s="10">
        <v>45427.0</v>
      </c>
      <c r="Q2702" s="11">
        <v>1.8</v>
      </c>
      <c r="R2702" s="8" t="s">
        <v>70</v>
      </c>
      <c r="S2702" s="12">
        <f t="shared" si="1"/>
        <v>0</v>
      </c>
      <c r="T2702" s="12">
        <f t="shared" si="8"/>
        <v>86.31840016</v>
      </c>
      <c r="U2702" s="8"/>
    </row>
    <row r="2703">
      <c r="A2703" s="29"/>
      <c r="B2703" s="15" t="s">
        <v>4225</v>
      </c>
      <c r="C2703" s="15" t="s">
        <v>19</v>
      </c>
      <c r="D2703" s="15">
        <v>80.0</v>
      </c>
      <c r="E2703" s="15" t="s">
        <v>5169</v>
      </c>
      <c r="F2703" s="15" t="s">
        <v>1479</v>
      </c>
      <c r="G2703" s="15" t="s">
        <v>1480</v>
      </c>
      <c r="H2703" s="15">
        <v>-1.0</v>
      </c>
      <c r="I2703" s="15" t="s">
        <v>415</v>
      </c>
      <c r="J2703" s="15" t="s">
        <v>22</v>
      </c>
      <c r="K2703" s="15" t="s">
        <v>892</v>
      </c>
      <c r="L2703" s="15" t="s">
        <v>24</v>
      </c>
      <c r="M2703" s="16">
        <v>0.0</v>
      </c>
      <c r="N2703" s="16">
        <v>0.2</v>
      </c>
      <c r="O2703" s="16">
        <v>0.06</v>
      </c>
      <c r="P2703" s="55">
        <v>45427.0</v>
      </c>
      <c r="Q2703" s="18">
        <v>1.9</v>
      </c>
      <c r="R2703" s="15" t="s">
        <v>70</v>
      </c>
      <c r="S2703" s="19">
        <f t="shared" si="1"/>
        <v>0</v>
      </c>
      <c r="T2703" s="19">
        <f t="shared" si="8"/>
        <v>86.31840016</v>
      </c>
      <c r="U2703" s="15"/>
    </row>
    <row r="2704">
      <c r="A2704" s="107"/>
      <c r="B2704" s="8" t="s">
        <v>26</v>
      </c>
      <c r="C2704" s="8" t="s">
        <v>19</v>
      </c>
      <c r="D2704" s="8">
        <v>73.0</v>
      </c>
      <c r="E2704" s="8" t="s">
        <v>5170</v>
      </c>
      <c r="F2704" s="8" t="s">
        <v>1473</v>
      </c>
      <c r="G2704" s="8" t="s">
        <v>1480</v>
      </c>
      <c r="H2704" s="8">
        <v>0.0</v>
      </c>
      <c r="I2704" s="8" t="s">
        <v>415</v>
      </c>
      <c r="J2704" s="8" t="s">
        <v>22</v>
      </c>
      <c r="K2704" s="8" t="s">
        <v>892</v>
      </c>
      <c r="L2704" s="8" t="s">
        <v>24</v>
      </c>
      <c r="M2704" s="9">
        <v>0.0</v>
      </c>
      <c r="N2704" s="9">
        <v>0.7</v>
      </c>
      <c r="O2704" s="9">
        <v>0.7</v>
      </c>
      <c r="P2704" s="10">
        <v>45427.0</v>
      </c>
      <c r="Q2704" s="11">
        <v>1.975</v>
      </c>
      <c r="R2704" s="8" t="s">
        <v>25</v>
      </c>
      <c r="S2704" s="12">
        <f t="shared" si="1"/>
        <v>-0.7</v>
      </c>
      <c r="T2704" s="12">
        <f t="shared" si="8"/>
        <v>85.61840016</v>
      </c>
      <c r="U2704" s="8"/>
    </row>
    <row r="2705">
      <c r="A2705" s="29"/>
      <c r="B2705" s="15" t="s">
        <v>4225</v>
      </c>
      <c r="C2705" s="15" t="s">
        <v>19</v>
      </c>
      <c r="D2705" s="15">
        <v>72.0</v>
      </c>
      <c r="E2705" s="15" t="s">
        <v>5171</v>
      </c>
      <c r="F2705" s="15" t="s">
        <v>1479</v>
      </c>
      <c r="G2705" s="15" t="s">
        <v>1480</v>
      </c>
      <c r="H2705" s="15">
        <v>-1.0</v>
      </c>
      <c r="I2705" s="15" t="s">
        <v>207</v>
      </c>
      <c r="J2705" s="15" t="s">
        <v>22</v>
      </c>
      <c r="K2705" s="15" t="s">
        <v>892</v>
      </c>
      <c r="L2705" s="15" t="s">
        <v>39</v>
      </c>
      <c r="M2705" s="16">
        <v>0.0</v>
      </c>
      <c r="N2705" s="16">
        <v>0.4</v>
      </c>
      <c r="O2705" s="16">
        <v>0.38</v>
      </c>
      <c r="P2705" s="17">
        <v>45428.0</v>
      </c>
      <c r="Q2705" s="18">
        <v>1.775</v>
      </c>
      <c r="R2705" s="15" t="s">
        <v>70</v>
      </c>
      <c r="S2705" s="19">
        <f t="shared" si="1"/>
        <v>0</v>
      </c>
      <c r="T2705" s="19">
        <f t="shared" si="8"/>
        <v>85.61840016</v>
      </c>
      <c r="U2705" s="15"/>
    </row>
    <row r="2706">
      <c r="A2706" s="107"/>
      <c r="B2706" s="8" t="s">
        <v>26</v>
      </c>
      <c r="C2706" s="8" t="s">
        <v>19</v>
      </c>
      <c r="D2706" s="8">
        <v>30.0</v>
      </c>
      <c r="E2706" s="8" t="s">
        <v>5172</v>
      </c>
      <c r="F2706" s="8" t="s">
        <v>1473</v>
      </c>
      <c r="G2706" s="8" t="s">
        <v>1480</v>
      </c>
      <c r="H2706" s="8">
        <v>0.0</v>
      </c>
      <c r="I2706" s="8" t="s">
        <v>231</v>
      </c>
      <c r="J2706" s="8" t="s">
        <v>22</v>
      </c>
      <c r="K2706" s="8" t="s">
        <v>1150</v>
      </c>
      <c r="L2706" s="8" t="s">
        <v>24</v>
      </c>
      <c r="M2706" s="9">
        <v>0.0</v>
      </c>
      <c r="N2706" s="9">
        <v>0.6</v>
      </c>
      <c r="O2706" s="9">
        <v>0.58</v>
      </c>
      <c r="P2706" s="10">
        <v>45428.0</v>
      </c>
      <c r="Q2706" s="11">
        <v>1.725</v>
      </c>
      <c r="R2706" s="8" t="s">
        <v>70</v>
      </c>
      <c r="S2706" s="12">
        <f t="shared" si="1"/>
        <v>0</v>
      </c>
      <c r="T2706" s="12">
        <f t="shared" si="8"/>
        <v>85.61840016</v>
      </c>
      <c r="U2706" s="8"/>
    </row>
    <row r="2707">
      <c r="A2707" s="29"/>
      <c r="B2707" s="15" t="s">
        <v>26</v>
      </c>
      <c r="C2707" s="15" t="s">
        <v>19</v>
      </c>
      <c r="D2707" s="15">
        <v>63.0</v>
      </c>
      <c r="E2707" s="15" t="s">
        <v>5173</v>
      </c>
      <c r="F2707" s="15" t="s">
        <v>1479</v>
      </c>
      <c r="G2707" s="15" t="s">
        <v>1480</v>
      </c>
      <c r="H2707" s="15">
        <v>-1.0</v>
      </c>
      <c r="I2707" s="15" t="s">
        <v>174</v>
      </c>
      <c r="J2707" s="15" t="s">
        <v>22</v>
      </c>
      <c r="K2707" s="15" t="s">
        <v>892</v>
      </c>
      <c r="L2707" s="15" t="s">
        <v>24</v>
      </c>
      <c r="M2707" s="16">
        <v>0.0</v>
      </c>
      <c r="N2707" s="16">
        <v>0.6</v>
      </c>
      <c r="O2707" s="16">
        <v>0.58</v>
      </c>
      <c r="P2707" s="17">
        <v>45428.0</v>
      </c>
      <c r="Q2707" s="18">
        <v>1.65</v>
      </c>
      <c r="R2707" s="15" t="s">
        <v>70</v>
      </c>
      <c r="S2707" s="19">
        <f t="shared" si="1"/>
        <v>0</v>
      </c>
      <c r="T2707" s="19">
        <f t="shared" si="8"/>
        <v>85.61840016</v>
      </c>
      <c r="U2707" s="15"/>
    </row>
    <row r="2708">
      <c r="A2708" s="107"/>
      <c r="B2708" s="8" t="s">
        <v>26</v>
      </c>
      <c r="C2708" s="8" t="s">
        <v>19</v>
      </c>
      <c r="D2708" s="8">
        <v>78.0</v>
      </c>
      <c r="E2708" s="8" t="s">
        <v>5174</v>
      </c>
      <c r="F2708" s="8" t="s">
        <v>1479</v>
      </c>
      <c r="G2708" s="8" t="s">
        <v>1480</v>
      </c>
      <c r="H2708" s="8">
        <v>-1.0</v>
      </c>
      <c r="I2708" s="8" t="s">
        <v>463</v>
      </c>
      <c r="J2708" s="8" t="s">
        <v>22</v>
      </c>
      <c r="K2708" s="8" t="s">
        <v>892</v>
      </c>
      <c r="L2708" s="8" t="s">
        <v>24</v>
      </c>
      <c r="M2708" s="9">
        <v>0.0</v>
      </c>
      <c r="N2708" s="9">
        <v>0.5</v>
      </c>
      <c r="O2708" s="9">
        <v>0.49</v>
      </c>
      <c r="P2708" s="10">
        <v>45428.0</v>
      </c>
      <c r="Q2708" s="11">
        <v>2.08</v>
      </c>
      <c r="R2708" s="8" t="s">
        <v>70</v>
      </c>
      <c r="S2708" s="12">
        <f t="shared" si="1"/>
        <v>0</v>
      </c>
      <c r="T2708" s="12">
        <f t="shared" si="8"/>
        <v>85.61840016</v>
      </c>
      <c r="U2708" s="8"/>
    </row>
    <row r="2709">
      <c r="A2709" s="29"/>
      <c r="B2709" s="15" t="s">
        <v>18</v>
      </c>
      <c r="C2709" s="15" t="s">
        <v>19</v>
      </c>
      <c r="D2709" s="15">
        <v>86.0</v>
      </c>
      <c r="E2709" s="15" t="s">
        <v>5175</v>
      </c>
      <c r="F2709" s="15" t="s">
        <v>1479</v>
      </c>
      <c r="G2709" s="15" t="s">
        <v>1480</v>
      </c>
      <c r="H2709" s="15">
        <v>-1.0</v>
      </c>
      <c r="I2709" s="15" t="s">
        <v>248</v>
      </c>
      <c r="J2709" s="15" t="s">
        <v>22</v>
      </c>
      <c r="K2709" s="15" t="s">
        <v>892</v>
      </c>
      <c r="L2709" s="15" t="s">
        <v>24</v>
      </c>
      <c r="M2709" s="16">
        <v>0.0</v>
      </c>
      <c r="N2709" s="16">
        <v>0.35</v>
      </c>
      <c r="O2709" s="16">
        <v>0.35</v>
      </c>
      <c r="P2709" s="17">
        <v>45428.0</v>
      </c>
      <c r="Q2709" s="18">
        <v>1.725</v>
      </c>
      <c r="R2709" s="15" t="s">
        <v>70</v>
      </c>
      <c r="S2709" s="19">
        <f t="shared" si="1"/>
        <v>0</v>
      </c>
      <c r="T2709" s="19">
        <f t="shared" si="8"/>
        <v>85.61840016</v>
      </c>
      <c r="U2709" s="15"/>
    </row>
    <row r="2710">
      <c r="A2710" s="107"/>
      <c r="B2710" s="8" t="s">
        <v>18</v>
      </c>
      <c r="C2710" s="8" t="s">
        <v>19</v>
      </c>
      <c r="D2710" s="8">
        <v>40.0</v>
      </c>
      <c r="E2710" s="8" t="s">
        <v>5176</v>
      </c>
      <c r="F2710" s="8" t="s">
        <v>1479</v>
      </c>
      <c r="G2710" s="8"/>
      <c r="H2710" s="8">
        <v>0.0</v>
      </c>
      <c r="I2710" s="8" t="s">
        <v>319</v>
      </c>
      <c r="J2710" s="8" t="s">
        <v>22</v>
      </c>
      <c r="K2710" s="8" t="s">
        <v>1023</v>
      </c>
      <c r="L2710" s="8" t="s">
        <v>24</v>
      </c>
      <c r="M2710" s="9">
        <v>0.5</v>
      </c>
      <c r="N2710" s="9">
        <v>0.2</v>
      </c>
      <c r="O2710" s="9">
        <v>0.07</v>
      </c>
      <c r="P2710" s="54">
        <v>45428.0</v>
      </c>
      <c r="Q2710" s="11">
        <v>1.4375</v>
      </c>
      <c r="R2710" s="8" t="s">
        <v>33</v>
      </c>
      <c r="S2710" s="12">
        <f t="shared" si="1"/>
        <v>0.030625</v>
      </c>
      <c r="T2710" s="12">
        <f t="shared" si="8"/>
        <v>85.64902516</v>
      </c>
      <c r="U2710" s="8"/>
    </row>
    <row r="2711">
      <c r="A2711" s="29"/>
      <c r="B2711" s="15" t="s">
        <v>18</v>
      </c>
      <c r="C2711" s="15" t="s">
        <v>19</v>
      </c>
      <c r="D2711" s="15">
        <v>44.0</v>
      </c>
      <c r="E2711" s="15" t="s">
        <v>5177</v>
      </c>
      <c r="F2711" s="15" t="s">
        <v>1479</v>
      </c>
      <c r="G2711" s="15" t="s">
        <v>1474</v>
      </c>
      <c r="H2711" s="15">
        <v>0.0</v>
      </c>
      <c r="I2711" s="15" t="s">
        <v>319</v>
      </c>
      <c r="J2711" s="15" t="s">
        <v>22</v>
      </c>
      <c r="K2711" s="15" t="s">
        <v>225</v>
      </c>
      <c r="L2711" s="15" t="s">
        <v>24</v>
      </c>
      <c r="M2711" s="16">
        <v>0.25</v>
      </c>
      <c r="N2711" s="16">
        <v>0.2</v>
      </c>
      <c r="O2711" s="16">
        <v>0.11</v>
      </c>
      <c r="P2711" s="17">
        <v>45428.0</v>
      </c>
      <c r="Q2711" s="18">
        <v>1.2538</v>
      </c>
      <c r="R2711" s="15" t="s">
        <v>33</v>
      </c>
      <c r="S2711" s="19">
        <f t="shared" si="1"/>
        <v>0.027918</v>
      </c>
      <c r="T2711" s="19">
        <f t="shared" si="8"/>
        <v>85.67694316</v>
      </c>
      <c r="U2711" s="15"/>
    </row>
    <row r="2712">
      <c r="A2712" s="107"/>
      <c r="B2712" s="8" t="s">
        <v>26</v>
      </c>
      <c r="C2712" s="8" t="s">
        <v>19</v>
      </c>
      <c r="D2712" s="8">
        <v>18.0</v>
      </c>
      <c r="E2712" s="8" t="s">
        <v>5178</v>
      </c>
      <c r="F2712" s="8" t="s">
        <v>1479</v>
      </c>
      <c r="G2712" s="8" t="s">
        <v>1474</v>
      </c>
      <c r="H2712" s="8">
        <v>0.0</v>
      </c>
      <c r="I2712" s="8" t="s">
        <v>525</v>
      </c>
      <c r="J2712" s="8" t="s">
        <v>22</v>
      </c>
      <c r="K2712" s="8" t="s">
        <v>225</v>
      </c>
      <c r="L2712" s="8" t="s">
        <v>24</v>
      </c>
      <c r="M2712" s="9">
        <v>0.25</v>
      </c>
      <c r="N2712" s="9">
        <v>0.2</v>
      </c>
      <c r="O2712" s="9">
        <v>0.015</v>
      </c>
      <c r="P2712" s="10">
        <v>45429.0</v>
      </c>
      <c r="Q2712" s="11">
        <v>1.75</v>
      </c>
      <c r="R2712" s="8" t="s">
        <v>25</v>
      </c>
      <c r="S2712" s="12">
        <f t="shared" si="1"/>
        <v>-0.015</v>
      </c>
      <c r="T2712" s="12">
        <f t="shared" si="8"/>
        <v>85.66194316</v>
      </c>
      <c r="U2712" s="8"/>
    </row>
    <row r="2713">
      <c r="A2713" s="29"/>
      <c r="B2713" s="15" t="s">
        <v>18</v>
      </c>
      <c r="C2713" s="15" t="s">
        <v>19</v>
      </c>
      <c r="D2713" s="15">
        <v>37.0</v>
      </c>
      <c r="E2713" s="15" t="s">
        <v>5179</v>
      </c>
      <c r="F2713" s="15" t="s">
        <v>1473</v>
      </c>
      <c r="G2713" s="15" t="s">
        <v>1480</v>
      </c>
      <c r="H2713" s="15">
        <v>-1.0</v>
      </c>
      <c r="I2713" s="15" t="s">
        <v>820</v>
      </c>
      <c r="J2713" s="15" t="s">
        <v>22</v>
      </c>
      <c r="K2713" s="15" t="s">
        <v>892</v>
      </c>
      <c r="L2713" s="15" t="s">
        <v>24</v>
      </c>
      <c r="M2713" s="16">
        <v>0.0</v>
      </c>
      <c r="N2713" s="16">
        <v>0.5</v>
      </c>
      <c r="O2713" s="16">
        <v>0.48</v>
      </c>
      <c r="P2713" s="17">
        <v>45429.0</v>
      </c>
      <c r="Q2713" s="18">
        <v>1.95</v>
      </c>
      <c r="R2713" s="15" t="s">
        <v>70</v>
      </c>
      <c r="S2713" s="19">
        <f t="shared" si="1"/>
        <v>0</v>
      </c>
      <c r="T2713" s="19">
        <f t="shared" si="8"/>
        <v>85.66194316</v>
      </c>
      <c r="U2713" s="15"/>
    </row>
    <row r="2714">
      <c r="A2714" s="107"/>
      <c r="B2714" s="8" t="s">
        <v>18</v>
      </c>
      <c r="C2714" s="8" t="s">
        <v>19</v>
      </c>
      <c r="D2714" s="8">
        <v>53.0</v>
      </c>
      <c r="E2714" s="8" t="s">
        <v>5180</v>
      </c>
      <c r="F2714" s="8" t="s">
        <v>1473</v>
      </c>
      <c r="G2714" s="8" t="s">
        <v>1477</v>
      </c>
      <c r="H2714" s="8">
        <v>0.0</v>
      </c>
      <c r="I2714" s="8" t="s">
        <v>820</v>
      </c>
      <c r="J2714" s="8" t="s">
        <v>22</v>
      </c>
      <c r="K2714" s="8" t="s">
        <v>894</v>
      </c>
      <c r="L2714" s="8" t="s">
        <v>24</v>
      </c>
      <c r="M2714" s="9">
        <v>-0.75</v>
      </c>
      <c r="N2714" s="9">
        <v>0.2</v>
      </c>
      <c r="O2714" s="9">
        <v>0.2</v>
      </c>
      <c r="P2714" s="54">
        <v>45429.0</v>
      </c>
      <c r="Q2714" s="11">
        <v>1.7</v>
      </c>
      <c r="R2714" s="8" t="s">
        <v>33</v>
      </c>
      <c r="S2714" s="12">
        <f t="shared" si="1"/>
        <v>0.14</v>
      </c>
      <c r="T2714" s="12">
        <f t="shared" si="8"/>
        <v>85.80194316</v>
      </c>
      <c r="U2714" s="8"/>
    </row>
    <row r="2715">
      <c r="A2715" s="29"/>
      <c r="B2715" s="15" t="s">
        <v>26</v>
      </c>
      <c r="C2715" s="15" t="s">
        <v>19</v>
      </c>
      <c r="D2715" s="15">
        <v>68.0</v>
      </c>
      <c r="E2715" s="15" t="s">
        <v>5181</v>
      </c>
      <c r="F2715" s="15" t="s">
        <v>1473</v>
      </c>
      <c r="G2715" s="15" t="s">
        <v>1474</v>
      </c>
      <c r="H2715" s="15">
        <v>1.0</v>
      </c>
      <c r="I2715" s="15" t="s">
        <v>316</v>
      </c>
      <c r="J2715" s="15" t="s">
        <v>22</v>
      </c>
      <c r="K2715" s="15" t="s">
        <v>225</v>
      </c>
      <c r="L2715" s="15" t="s">
        <v>24</v>
      </c>
      <c r="M2715" s="16">
        <v>0.25</v>
      </c>
      <c r="N2715" s="16">
        <v>0.2</v>
      </c>
      <c r="O2715" s="16">
        <v>0.2</v>
      </c>
      <c r="P2715" s="17">
        <v>45429.0</v>
      </c>
      <c r="Q2715" s="18">
        <v>1.725</v>
      </c>
      <c r="R2715" s="15" t="s">
        <v>30</v>
      </c>
      <c r="S2715" s="19">
        <f t="shared" si="1"/>
        <v>0.0725</v>
      </c>
      <c r="T2715" s="19">
        <f t="shared" si="8"/>
        <v>85.87444316</v>
      </c>
      <c r="U2715" s="15"/>
    </row>
    <row r="2716">
      <c r="A2716" s="107"/>
      <c r="B2716" s="8" t="s">
        <v>26</v>
      </c>
      <c r="C2716" s="8" t="s">
        <v>19</v>
      </c>
      <c r="D2716" s="8">
        <v>68.0</v>
      </c>
      <c r="E2716" s="8" t="s">
        <v>5182</v>
      </c>
      <c r="F2716" s="8" t="s">
        <v>1473</v>
      </c>
      <c r="G2716" s="8" t="s">
        <v>1474</v>
      </c>
      <c r="H2716" s="8">
        <v>0.0</v>
      </c>
      <c r="I2716" s="8" t="s">
        <v>82</v>
      </c>
      <c r="J2716" s="8" t="s">
        <v>22</v>
      </c>
      <c r="K2716" s="8" t="s">
        <v>225</v>
      </c>
      <c r="L2716" s="8" t="s">
        <v>24</v>
      </c>
      <c r="M2716" s="9">
        <v>0.5</v>
      </c>
      <c r="N2716" s="9">
        <v>0.2</v>
      </c>
      <c r="O2716" s="9">
        <v>0.2</v>
      </c>
      <c r="P2716" s="10">
        <v>45429.0</v>
      </c>
      <c r="Q2716" s="11">
        <v>1.75</v>
      </c>
      <c r="R2716" s="8" t="s">
        <v>33</v>
      </c>
      <c r="S2716" s="12">
        <f t="shared" si="1"/>
        <v>0.15</v>
      </c>
      <c r="T2716" s="12">
        <f t="shared" si="8"/>
        <v>86.02444316</v>
      </c>
      <c r="U2716" s="8"/>
    </row>
    <row r="2717">
      <c r="A2717" s="29"/>
      <c r="B2717" s="15" t="s">
        <v>129</v>
      </c>
      <c r="C2717" s="15" t="s">
        <v>19</v>
      </c>
      <c r="D2717" s="15">
        <v>60.0</v>
      </c>
      <c r="E2717" s="15" t="s">
        <v>5183</v>
      </c>
      <c r="F2717" s="15" t="s">
        <v>1473</v>
      </c>
      <c r="G2717" s="15" t="s">
        <v>1474</v>
      </c>
      <c r="H2717" s="15">
        <v>0.0</v>
      </c>
      <c r="I2717" s="15" t="s">
        <v>432</v>
      </c>
      <c r="J2717" s="15" t="s">
        <v>22</v>
      </c>
      <c r="K2717" s="15" t="s">
        <v>225</v>
      </c>
      <c r="L2717" s="15" t="s">
        <v>24</v>
      </c>
      <c r="M2717" s="16">
        <v>0.5</v>
      </c>
      <c r="N2717" s="16">
        <v>0.2</v>
      </c>
      <c r="O2717" s="16">
        <v>0.15</v>
      </c>
      <c r="P2717" s="17">
        <v>45430.0</v>
      </c>
      <c r="Q2717" s="18">
        <v>1.75</v>
      </c>
      <c r="R2717" s="15" t="s">
        <v>25</v>
      </c>
      <c r="S2717" s="19">
        <f t="shared" si="1"/>
        <v>-0.15</v>
      </c>
      <c r="T2717" s="19">
        <f t="shared" si="8"/>
        <v>85.87444316</v>
      </c>
      <c r="U2717" s="15"/>
    </row>
    <row r="2718">
      <c r="A2718" s="107"/>
      <c r="B2718" s="8" t="s">
        <v>26</v>
      </c>
      <c r="C2718" s="8" t="s">
        <v>19</v>
      </c>
      <c r="D2718" s="8">
        <v>70.0</v>
      </c>
      <c r="E2718" s="8" t="s">
        <v>5184</v>
      </c>
      <c r="F2718" s="8" t="s">
        <v>1473</v>
      </c>
      <c r="G2718" s="8" t="s">
        <v>1480</v>
      </c>
      <c r="H2718" s="8">
        <v>-2.0</v>
      </c>
      <c r="I2718" s="8" t="s">
        <v>50</v>
      </c>
      <c r="J2718" s="8" t="s">
        <v>22</v>
      </c>
      <c r="K2718" s="8" t="s">
        <v>892</v>
      </c>
      <c r="L2718" s="8" t="s">
        <v>24</v>
      </c>
      <c r="M2718" s="9">
        <v>0.0</v>
      </c>
      <c r="N2718" s="9">
        <v>0.4</v>
      </c>
      <c r="O2718" s="9">
        <v>0.32</v>
      </c>
      <c r="P2718" s="10">
        <v>45430.0</v>
      </c>
      <c r="Q2718" s="11">
        <v>1.95</v>
      </c>
      <c r="R2718" s="8" t="s">
        <v>33</v>
      </c>
      <c r="S2718" s="12">
        <f t="shared" si="1"/>
        <v>0.304</v>
      </c>
      <c r="T2718" s="12">
        <f t="shared" si="8"/>
        <v>86.17844316</v>
      </c>
      <c r="U2718" s="8"/>
    </row>
    <row r="2719">
      <c r="A2719" s="29"/>
      <c r="B2719" s="15" t="s">
        <v>18</v>
      </c>
      <c r="C2719" s="15" t="s">
        <v>19</v>
      </c>
      <c r="D2719" s="15">
        <v>25.0</v>
      </c>
      <c r="E2719" s="15" t="s">
        <v>5185</v>
      </c>
      <c r="F2719" s="15" t="s">
        <v>1473</v>
      </c>
      <c r="G2719" s="15" t="s">
        <v>1480</v>
      </c>
      <c r="H2719" s="15">
        <v>0.0</v>
      </c>
      <c r="I2719" s="15" t="s">
        <v>820</v>
      </c>
      <c r="J2719" s="15" t="s">
        <v>22</v>
      </c>
      <c r="K2719" s="15" t="s">
        <v>1150</v>
      </c>
      <c r="L2719" s="15" t="s">
        <v>24</v>
      </c>
      <c r="M2719" s="16">
        <v>0.0</v>
      </c>
      <c r="N2719" s="16">
        <v>0.5</v>
      </c>
      <c r="O2719" s="16">
        <v>0.41</v>
      </c>
      <c r="P2719" s="17">
        <v>45430.0</v>
      </c>
      <c r="Q2719" s="18">
        <v>1.75</v>
      </c>
      <c r="R2719" s="15" t="s">
        <v>70</v>
      </c>
      <c r="S2719" s="19">
        <f t="shared" si="1"/>
        <v>0</v>
      </c>
      <c r="T2719" s="19">
        <f t="shared" si="8"/>
        <v>86.17844316</v>
      </c>
      <c r="U2719" s="15"/>
    </row>
    <row r="2720">
      <c r="A2720" s="107"/>
      <c r="B2720" s="8" t="s">
        <v>131</v>
      </c>
      <c r="C2720" s="8" t="s">
        <v>19</v>
      </c>
      <c r="D2720" s="8">
        <v>14.0</v>
      </c>
      <c r="E2720" s="8" t="s">
        <v>5186</v>
      </c>
      <c r="F2720" s="8" t="s">
        <v>1473</v>
      </c>
      <c r="G2720" s="8" t="s">
        <v>1480</v>
      </c>
      <c r="H2720" s="8">
        <v>0.0</v>
      </c>
      <c r="I2720" s="8" t="s">
        <v>432</v>
      </c>
      <c r="J2720" s="8" t="s">
        <v>22</v>
      </c>
      <c r="K2720" s="8" t="s">
        <v>1150</v>
      </c>
      <c r="L2720" s="8" t="s">
        <v>24</v>
      </c>
      <c r="M2720" s="9">
        <v>0.0</v>
      </c>
      <c r="N2720" s="9">
        <v>0.6</v>
      </c>
      <c r="O2720" s="9">
        <v>0.5</v>
      </c>
      <c r="P2720" s="10">
        <v>45430.0</v>
      </c>
      <c r="Q2720" s="11">
        <v>1.725</v>
      </c>
      <c r="R2720" s="8" t="s">
        <v>70</v>
      </c>
      <c r="S2720" s="12">
        <f t="shared" si="1"/>
        <v>0</v>
      </c>
      <c r="T2720" s="12">
        <f t="shared" si="8"/>
        <v>86.17844316</v>
      </c>
      <c r="U2720" s="8"/>
    </row>
    <row r="2721">
      <c r="A2721" s="29"/>
      <c r="B2721" s="15" t="s">
        <v>26</v>
      </c>
      <c r="C2721" s="15" t="s">
        <v>19</v>
      </c>
      <c r="D2721" s="15">
        <v>27.0</v>
      </c>
      <c r="E2721" s="15" t="s">
        <v>5187</v>
      </c>
      <c r="F2721" s="15" t="s">
        <v>1479</v>
      </c>
      <c r="G2721" s="15" t="s">
        <v>1474</v>
      </c>
      <c r="H2721" s="15">
        <v>1.0</v>
      </c>
      <c r="I2721" s="15" t="s">
        <v>121</v>
      </c>
      <c r="J2721" s="15" t="s">
        <v>22</v>
      </c>
      <c r="K2721" s="15" t="s">
        <v>225</v>
      </c>
      <c r="L2721" s="15" t="s">
        <v>24</v>
      </c>
      <c r="M2721" s="16">
        <v>0.5</v>
      </c>
      <c r="N2721" s="16">
        <v>0.3</v>
      </c>
      <c r="O2721" s="16">
        <v>0.3</v>
      </c>
      <c r="P2721" s="55">
        <v>45430.0</v>
      </c>
      <c r="Q2721" s="18">
        <v>1.9</v>
      </c>
      <c r="R2721" s="15" t="s">
        <v>25</v>
      </c>
      <c r="S2721" s="19">
        <f t="shared" si="1"/>
        <v>-0.3</v>
      </c>
      <c r="T2721" s="19">
        <f t="shared" si="8"/>
        <v>85.87844316</v>
      </c>
      <c r="U2721" s="15"/>
    </row>
    <row r="2722">
      <c r="A2722" s="107"/>
      <c r="B2722" s="8" t="s">
        <v>137</v>
      </c>
      <c r="C2722" s="8" t="s">
        <v>19</v>
      </c>
      <c r="D2722" s="8">
        <v>36.0</v>
      </c>
      <c r="E2722" s="8" t="s">
        <v>5188</v>
      </c>
      <c r="F2722" s="8" t="s">
        <v>1479</v>
      </c>
      <c r="G2722" s="8" t="s">
        <v>1480</v>
      </c>
      <c r="H2722" s="8">
        <v>0.0</v>
      </c>
      <c r="I2722" s="8" t="s">
        <v>2667</v>
      </c>
      <c r="J2722" s="8" t="s">
        <v>22</v>
      </c>
      <c r="K2722" s="8" t="s">
        <v>1150</v>
      </c>
      <c r="L2722" s="8" t="s">
        <v>24</v>
      </c>
      <c r="M2722" s="9">
        <v>0.0</v>
      </c>
      <c r="N2722" s="9">
        <v>0.6</v>
      </c>
      <c r="O2722" s="9">
        <v>0.58</v>
      </c>
      <c r="P2722" s="54">
        <v>45430.0</v>
      </c>
      <c r="Q2722" s="11">
        <v>1.75</v>
      </c>
      <c r="R2722" s="8" t="s">
        <v>70</v>
      </c>
      <c r="S2722" s="12">
        <f t="shared" si="1"/>
        <v>0</v>
      </c>
      <c r="T2722" s="12">
        <f t="shared" si="8"/>
        <v>85.87844316</v>
      </c>
      <c r="U2722" s="8"/>
    </row>
    <row r="2723">
      <c r="A2723" s="29"/>
      <c r="B2723" s="15" t="s">
        <v>26</v>
      </c>
      <c r="C2723" s="15" t="s">
        <v>19</v>
      </c>
      <c r="D2723" s="15">
        <v>72.0</v>
      </c>
      <c r="E2723" s="15" t="s">
        <v>5189</v>
      </c>
      <c r="F2723" s="15" t="s">
        <v>1473</v>
      </c>
      <c r="G2723" s="15" t="s">
        <v>1480</v>
      </c>
      <c r="H2723" s="15">
        <v>-1.0</v>
      </c>
      <c r="I2723" s="15" t="s">
        <v>908</v>
      </c>
      <c r="J2723" s="15" t="s">
        <v>22</v>
      </c>
      <c r="K2723" s="15" t="s">
        <v>892</v>
      </c>
      <c r="L2723" s="15" t="s">
        <v>24</v>
      </c>
      <c r="M2723" s="16">
        <v>0.0</v>
      </c>
      <c r="N2723" s="16">
        <v>0.6</v>
      </c>
      <c r="O2723" s="16">
        <v>0.56</v>
      </c>
      <c r="P2723" s="17">
        <v>45430.0</v>
      </c>
      <c r="Q2723" s="18">
        <v>1.85</v>
      </c>
      <c r="R2723" s="15" t="s">
        <v>70</v>
      </c>
      <c r="S2723" s="19">
        <f t="shared" si="1"/>
        <v>0</v>
      </c>
      <c r="T2723" s="19">
        <f t="shared" si="8"/>
        <v>85.87844316</v>
      </c>
      <c r="U2723" s="15"/>
    </row>
    <row r="2724">
      <c r="A2724" s="107"/>
      <c r="B2724" s="8" t="s">
        <v>18</v>
      </c>
      <c r="C2724" s="8" t="s">
        <v>19</v>
      </c>
      <c r="D2724" s="8">
        <v>70.0</v>
      </c>
      <c r="E2724" s="8" t="s">
        <v>5190</v>
      </c>
      <c r="F2724" s="8" t="s">
        <v>1479</v>
      </c>
      <c r="G2724" s="8" t="s">
        <v>1480</v>
      </c>
      <c r="H2724" s="8">
        <v>-1.0</v>
      </c>
      <c r="I2724" s="8" t="s">
        <v>44</v>
      </c>
      <c r="J2724" s="8" t="s">
        <v>22</v>
      </c>
      <c r="K2724" s="8" t="s">
        <v>892</v>
      </c>
      <c r="L2724" s="8" t="s">
        <v>24</v>
      </c>
      <c r="M2724" s="9">
        <v>0.0</v>
      </c>
      <c r="N2724" s="9">
        <v>0.6</v>
      </c>
      <c r="O2724" s="9">
        <v>0.58</v>
      </c>
      <c r="P2724" s="10">
        <v>45430.0</v>
      </c>
      <c r="Q2724" s="11">
        <v>1.775</v>
      </c>
      <c r="R2724" s="8" t="s">
        <v>33</v>
      </c>
      <c r="S2724" s="12">
        <f t="shared" si="1"/>
        <v>0.4495</v>
      </c>
      <c r="T2724" s="12">
        <f t="shared" si="8"/>
        <v>86.32794316</v>
      </c>
      <c r="U2724" s="8"/>
    </row>
    <row r="2725">
      <c r="A2725" s="29"/>
      <c r="B2725" s="15" t="s">
        <v>137</v>
      </c>
      <c r="C2725" s="15" t="s">
        <v>19</v>
      </c>
      <c r="D2725" s="15">
        <v>68.0</v>
      </c>
      <c r="E2725" s="15" t="s">
        <v>4957</v>
      </c>
      <c r="F2725" s="15" t="s">
        <v>1473</v>
      </c>
      <c r="G2725" s="15" t="s">
        <v>1480</v>
      </c>
      <c r="H2725" s="15">
        <v>0.0</v>
      </c>
      <c r="I2725" s="15" t="s">
        <v>2667</v>
      </c>
      <c r="J2725" s="15" t="s">
        <v>22</v>
      </c>
      <c r="K2725" s="15" t="s">
        <v>892</v>
      </c>
      <c r="L2725" s="15" t="s">
        <v>24</v>
      </c>
      <c r="M2725" s="16">
        <v>0.0</v>
      </c>
      <c r="N2725" s="16">
        <v>0.5</v>
      </c>
      <c r="O2725" s="16">
        <v>0.44</v>
      </c>
      <c r="P2725" s="17">
        <v>45430.0</v>
      </c>
      <c r="Q2725" s="18">
        <v>1.8</v>
      </c>
      <c r="R2725" s="15" t="s">
        <v>70</v>
      </c>
      <c r="S2725" s="19">
        <f t="shared" si="1"/>
        <v>0</v>
      </c>
      <c r="T2725" s="19">
        <f t="shared" si="8"/>
        <v>86.32794316</v>
      </c>
      <c r="U2725" s="15"/>
    </row>
    <row r="2726">
      <c r="A2726" s="107"/>
      <c r="B2726" s="8" t="s">
        <v>129</v>
      </c>
      <c r="C2726" s="8" t="s">
        <v>19</v>
      </c>
      <c r="D2726" s="8">
        <v>73.0</v>
      </c>
      <c r="E2726" s="8" t="s">
        <v>5191</v>
      </c>
      <c r="F2726" s="8" t="s">
        <v>1473</v>
      </c>
      <c r="G2726" s="8" t="s">
        <v>1480</v>
      </c>
      <c r="H2726" s="8">
        <v>0.0</v>
      </c>
      <c r="I2726" s="8" t="s">
        <v>675</v>
      </c>
      <c r="J2726" s="8" t="s">
        <v>22</v>
      </c>
      <c r="K2726" s="8" t="s">
        <v>892</v>
      </c>
      <c r="L2726" s="8" t="s">
        <v>24</v>
      </c>
      <c r="M2726" s="9">
        <v>0.0</v>
      </c>
      <c r="N2726" s="9">
        <v>0.2</v>
      </c>
      <c r="O2726" s="9">
        <v>0.01</v>
      </c>
      <c r="P2726" s="10">
        <v>45430.0</v>
      </c>
      <c r="Q2726" s="11">
        <v>1.775</v>
      </c>
      <c r="R2726" s="8" t="s">
        <v>25</v>
      </c>
      <c r="S2726" s="12">
        <f t="shared" si="1"/>
        <v>-0.01</v>
      </c>
      <c r="T2726" s="12">
        <f t="shared" si="8"/>
        <v>86.31794316</v>
      </c>
      <c r="U2726" s="8"/>
    </row>
    <row r="2727">
      <c r="A2727" s="29"/>
      <c r="B2727" s="15" t="s">
        <v>26</v>
      </c>
      <c r="C2727" s="15" t="s">
        <v>19</v>
      </c>
      <c r="D2727" s="15">
        <v>19.0</v>
      </c>
      <c r="E2727" s="15" t="s">
        <v>5192</v>
      </c>
      <c r="F2727" s="15" t="s">
        <v>1479</v>
      </c>
      <c r="G2727" s="15" t="s">
        <v>1474</v>
      </c>
      <c r="H2727" s="15">
        <v>0.0</v>
      </c>
      <c r="I2727" s="15" t="s">
        <v>5193</v>
      </c>
      <c r="J2727" s="15" t="s">
        <v>22</v>
      </c>
      <c r="K2727" s="15" t="s">
        <v>941</v>
      </c>
      <c r="L2727" s="15" t="s">
        <v>24</v>
      </c>
      <c r="M2727" s="16">
        <v>0.0</v>
      </c>
      <c r="N2727" s="16">
        <v>0.2</v>
      </c>
      <c r="O2727" s="16">
        <v>0.13</v>
      </c>
      <c r="P2727" s="17">
        <v>45430.0</v>
      </c>
      <c r="Q2727" s="18">
        <v>2.62</v>
      </c>
      <c r="R2727" s="15" t="s">
        <v>33</v>
      </c>
      <c r="S2727" s="19">
        <f t="shared" si="1"/>
        <v>0.2106</v>
      </c>
      <c r="T2727" s="19">
        <f t="shared" si="8"/>
        <v>86.52854316</v>
      </c>
      <c r="U2727" s="15"/>
    </row>
    <row r="2728">
      <c r="A2728" s="107"/>
      <c r="B2728" s="8" t="s">
        <v>26</v>
      </c>
      <c r="C2728" s="8" t="s">
        <v>19</v>
      </c>
      <c r="D2728" s="8">
        <v>21.0</v>
      </c>
      <c r="E2728" s="8" t="s">
        <v>5194</v>
      </c>
      <c r="F2728" s="8" t="s">
        <v>1479</v>
      </c>
      <c r="G2728" s="8" t="s">
        <v>1474</v>
      </c>
      <c r="H2728" s="8">
        <v>0.0</v>
      </c>
      <c r="I2728" s="8" t="s">
        <v>5193</v>
      </c>
      <c r="J2728" s="8" t="s">
        <v>22</v>
      </c>
      <c r="K2728" s="8" t="s">
        <v>225</v>
      </c>
      <c r="L2728" s="8" t="s">
        <v>24</v>
      </c>
      <c r="M2728" s="9">
        <v>0.5</v>
      </c>
      <c r="N2728" s="9">
        <v>0.2</v>
      </c>
      <c r="O2728" s="9">
        <v>0.18</v>
      </c>
      <c r="P2728" s="10">
        <v>45430.0</v>
      </c>
      <c r="Q2728" s="11">
        <v>1.88</v>
      </c>
      <c r="R2728" s="8" t="s">
        <v>33</v>
      </c>
      <c r="S2728" s="12">
        <f t="shared" si="1"/>
        <v>0.1584</v>
      </c>
      <c r="T2728" s="12">
        <f t="shared" si="8"/>
        <v>86.68694316</v>
      </c>
      <c r="U2728" s="8"/>
    </row>
    <row r="2729">
      <c r="A2729" s="29"/>
      <c r="B2729" s="15" t="s">
        <v>1915</v>
      </c>
      <c r="C2729" s="15" t="s">
        <v>19</v>
      </c>
      <c r="D2729" s="15">
        <v>0.0</v>
      </c>
      <c r="E2729" s="15" t="s">
        <v>5195</v>
      </c>
      <c r="F2729" s="15"/>
      <c r="G2729" s="15"/>
      <c r="H2729" s="15"/>
      <c r="I2729" s="15" t="s">
        <v>93</v>
      </c>
      <c r="J2729" s="15" t="s">
        <v>22</v>
      </c>
      <c r="K2729" s="15" t="s">
        <v>29</v>
      </c>
      <c r="L2729" s="15" t="s">
        <v>1522</v>
      </c>
      <c r="M2729" s="16">
        <v>-2.25</v>
      </c>
      <c r="N2729" s="16">
        <v>0.1</v>
      </c>
      <c r="O2729" s="16">
        <v>0.1</v>
      </c>
      <c r="P2729" s="17">
        <v>45430.0</v>
      </c>
      <c r="Q2729" s="18">
        <v>1.9</v>
      </c>
      <c r="R2729" s="15" t="s">
        <v>33</v>
      </c>
      <c r="S2729" s="19">
        <f t="shared" si="1"/>
        <v>0.09</v>
      </c>
      <c r="T2729" s="19">
        <f t="shared" si="8"/>
        <v>86.77694316</v>
      </c>
      <c r="U2729" s="15"/>
    </row>
    <row r="2730">
      <c r="A2730" s="107"/>
      <c r="B2730" s="8" t="s">
        <v>26</v>
      </c>
      <c r="C2730" s="8" t="s">
        <v>19</v>
      </c>
      <c r="D2730" s="8">
        <v>57.0</v>
      </c>
      <c r="E2730" s="8" t="s">
        <v>5196</v>
      </c>
      <c r="F2730" s="8" t="s">
        <v>1479</v>
      </c>
      <c r="G2730" s="8" t="s">
        <v>1480</v>
      </c>
      <c r="H2730" s="8">
        <v>2.0</v>
      </c>
      <c r="I2730" s="8" t="s">
        <v>635</v>
      </c>
      <c r="J2730" s="8" t="s">
        <v>22</v>
      </c>
      <c r="K2730" s="8" t="s">
        <v>892</v>
      </c>
      <c r="L2730" s="8" t="s">
        <v>24</v>
      </c>
      <c r="M2730" s="9">
        <v>0.0</v>
      </c>
      <c r="N2730" s="9">
        <v>0.2</v>
      </c>
      <c r="O2730" s="9">
        <v>0.08</v>
      </c>
      <c r="P2730" s="10">
        <v>45430.0</v>
      </c>
      <c r="Q2730" s="11">
        <v>1.8</v>
      </c>
      <c r="R2730" s="8" t="s">
        <v>25</v>
      </c>
      <c r="S2730" s="12">
        <f t="shared" si="1"/>
        <v>-0.08</v>
      </c>
      <c r="T2730" s="12">
        <f t="shared" si="8"/>
        <v>86.69694316</v>
      </c>
      <c r="U2730" s="8"/>
    </row>
    <row r="2731">
      <c r="A2731" s="29"/>
      <c r="B2731" s="15" t="s">
        <v>137</v>
      </c>
      <c r="C2731" s="15" t="s">
        <v>19</v>
      </c>
      <c r="D2731" s="15">
        <v>69.0</v>
      </c>
      <c r="E2731" s="15" t="s">
        <v>5197</v>
      </c>
      <c r="F2731" s="15" t="s">
        <v>1479</v>
      </c>
      <c r="G2731" s="15" t="s">
        <v>1480</v>
      </c>
      <c r="H2731" s="15">
        <v>0.0</v>
      </c>
      <c r="I2731" s="15" t="s">
        <v>432</v>
      </c>
      <c r="J2731" s="15" t="s">
        <v>22</v>
      </c>
      <c r="K2731" s="15" t="s">
        <v>892</v>
      </c>
      <c r="L2731" s="15" t="s">
        <v>24</v>
      </c>
      <c r="M2731" s="16">
        <v>0.0</v>
      </c>
      <c r="N2731" s="16">
        <v>0.2</v>
      </c>
      <c r="O2731" s="16">
        <v>0.19</v>
      </c>
      <c r="P2731" s="17">
        <v>45430.0</v>
      </c>
      <c r="Q2731" s="18">
        <v>2.02</v>
      </c>
      <c r="R2731" s="15" t="s">
        <v>70</v>
      </c>
      <c r="S2731" s="19">
        <f t="shared" si="1"/>
        <v>0</v>
      </c>
      <c r="T2731" s="19">
        <f t="shared" si="8"/>
        <v>86.69694316</v>
      </c>
      <c r="U2731" s="15"/>
    </row>
    <row r="2732">
      <c r="A2732" s="107"/>
      <c r="B2732" s="8" t="s">
        <v>26</v>
      </c>
      <c r="C2732" s="8" t="s">
        <v>19</v>
      </c>
      <c r="D2732" s="8">
        <v>38.0</v>
      </c>
      <c r="E2732" s="8" t="s">
        <v>5198</v>
      </c>
      <c r="F2732" s="8" t="s">
        <v>1479</v>
      </c>
      <c r="G2732" s="8" t="s">
        <v>1480</v>
      </c>
      <c r="H2732" s="8">
        <v>-1.0</v>
      </c>
      <c r="I2732" s="8" t="s">
        <v>66</v>
      </c>
      <c r="J2732" s="8" t="s">
        <v>22</v>
      </c>
      <c r="K2732" s="8" t="s">
        <v>892</v>
      </c>
      <c r="L2732" s="8" t="s">
        <v>24</v>
      </c>
      <c r="M2732" s="9">
        <v>0.0</v>
      </c>
      <c r="N2732" s="9">
        <v>0.4</v>
      </c>
      <c r="O2732" s="9">
        <v>0.38</v>
      </c>
      <c r="P2732" s="10">
        <v>45430.0</v>
      </c>
      <c r="Q2732" s="11">
        <v>1.8</v>
      </c>
      <c r="R2732" s="8" t="s">
        <v>70</v>
      </c>
      <c r="S2732" s="12">
        <f t="shared" si="1"/>
        <v>0</v>
      </c>
      <c r="T2732" s="12">
        <f t="shared" si="8"/>
        <v>86.69694316</v>
      </c>
      <c r="U2732" s="8"/>
    </row>
    <row r="2733">
      <c r="A2733" s="29"/>
      <c r="B2733" s="15" t="s">
        <v>26</v>
      </c>
      <c r="C2733" s="15" t="s">
        <v>19</v>
      </c>
      <c r="D2733" s="15">
        <v>65.0</v>
      </c>
      <c r="E2733" s="15" t="s">
        <v>5198</v>
      </c>
      <c r="F2733" s="15" t="s">
        <v>1479</v>
      </c>
      <c r="G2733" s="15" t="s">
        <v>1480</v>
      </c>
      <c r="H2733" s="15">
        <v>-1.0</v>
      </c>
      <c r="I2733" s="15" t="s">
        <v>66</v>
      </c>
      <c r="J2733" s="15" t="s">
        <v>22</v>
      </c>
      <c r="K2733" s="15" t="s">
        <v>892</v>
      </c>
      <c r="L2733" s="15" t="s">
        <v>24</v>
      </c>
      <c r="M2733" s="16">
        <v>0.0</v>
      </c>
      <c r="N2733" s="16">
        <v>0.1</v>
      </c>
      <c r="O2733" s="16">
        <v>0.09</v>
      </c>
      <c r="P2733" s="17">
        <v>45430.0</v>
      </c>
      <c r="Q2733" s="18">
        <v>1.825</v>
      </c>
      <c r="R2733" s="15" t="s">
        <v>70</v>
      </c>
      <c r="S2733" s="19">
        <f t="shared" si="1"/>
        <v>0</v>
      </c>
      <c r="T2733" s="19">
        <f t="shared" si="8"/>
        <v>86.69694316</v>
      </c>
      <c r="U2733" s="15"/>
    </row>
    <row r="2734">
      <c r="A2734" s="107"/>
      <c r="B2734" s="8" t="s">
        <v>26</v>
      </c>
      <c r="C2734" s="8" t="s">
        <v>19</v>
      </c>
      <c r="D2734" s="8">
        <v>67.0</v>
      </c>
      <c r="E2734" s="8" t="s">
        <v>5199</v>
      </c>
      <c r="F2734" s="8" t="s">
        <v>1479</v>
      </c>
      <c r="G2734" s="8" t="s">
        <v>1480</v>
      </c>
      <c r="H2734" s="8">
        <v>-3.0</v>
      </c>
      <c r="I2734" s="8" t="s">
        <v>66</v>
      </c>
      <c r="J2734" s="8" t="s">
        <v>22</v>
      </c>
      <c r="K2734" s="8" t="s">
        <v>892</v>
      </c>
      <c r="L2734" s="8" t="s">
        <v>24</v>
      </c>
      <c r="M2734" s="9">
        <v>0.0</v>
      </c>
      <c r="N2734" s="9">
        <v>0.2</v>
      </c>
      <c r="O2734" s="9">
        <v>0.19</v>
      </c>
      <c r="P2734" s="10">
        <v>45430.0</v>
      </c>
      <c r="Q2734" s="11">
        <v>1.975</v>
      </c>
      <c r="R2734" s="8" t="s">
        <v>70</v>
      </c>
      <c r="S2734" s="12">
        <f t="shared" si="1"/>
        <v>0</v>
      </c>
      <c r="T2734" s="12">
        <f t="shared" si="8"/>
        <v>86.69694316</v>
      </c>
      <c r="U2734" s="8"/>
    </row>
    <row r="2735">
      <c r="A2735" s="29"/>
      <c r="B2735" s="15" t="s">
        <v>26</v>
      </c>
      <c r="C2735" s="15" t="s">
        <v>19</v>
      </c>
      <c r="D2735" s="15">
        <v>72.0</v>
      </c>
      <c r="E2735" s="15" t="s">
        <v>5200</v>
      </c>
      <c r="F2735" s="15" t="s">
        <v>1473</v>
      </c>
      <c r="G2735" s="15" t="s">
        <v>1480</v>
      </c>
      <c r="H2735" s="15">
        <v>0.0</v>
      </c>
      <c r="I2735" s="15" t="s">
        <v>68</v>
      </c>
      <c r="J2735" s="15" t="s">
        <v>22</v>
      </c>
      <c r="K2735" s="15" t="s">
        <v>892</v>
      </c>
      <c r="L2735" s="15" t="s">
        <v>24</v>
      </c>
      <c r="M2735" s="16">
        <v>0.0</v>
      </c>
      <c r="N2735" s="16">
        <v>0.2</v>
      </c>
      <c r="O2735" s="16">
        <v>0.07</v>
      </c>
      <c r="P2735" s="17">
        <v>45430.0</v>
      </c>
      <c r="Q2735" s="18">
        <v>1.975</v>
      </c>
      <c r="R2735" s="15" t="s">
        <v>25</v>
      </c>
      <c r="S2735" s="19">
        <f t="shared" si="1"/>
        <v>-0.07</v>
      </c>
      <c r="T2735" s="19">
        <f t="shared" si="8"/>
        <v>86.62694316</v>
      </c>
      <c r="U2735" s="15"/>
    </row>
    <row r="2736">
      <c r="A2736" s="107"/>
      <c r="B2736" s="8" t="s">
        <v>26</v>
      </c>
      <c r="C2736" s="8" t="s">
        <v>19</v>
      </c>
      <c r="D2736" s="8">
        <v>0.0</v>
      </c>
      <c r="E2736" s="8" t="s">
        <v>5201</v>
      </c>
      <c r="F2736" s="8" t="s">
        <v>1479</v>
      </c>
      <c r="G2736" s="8" t="s">
        <v>1474</v>
      </c>
      <c r="H2736" s="8">
        <v>0.0</v>
      </c>
      <c r="I2736" s="8" t="s">
        <v>38</v>
      </c>
      <c r="J2736" s="8" t="s">
        <v>598</v>
      </c>
      <c r="K2736" s="8" t="s">
        <v>225</v>
      </c>
      <c r="L2736" s="8" t="s">
        <v>24</v>
      </c>
      <c r="M2736" s="9">
        <v>3.25</v>
      </c>
      <c r="N2736" s="9">
        <v>0.05</v>
      </c>
      <c r="O2736" s="9">
        <v>0.04</v>
      </c>
      <c r="P2736" s="10">
        <v>45431.0</v>
      </c>
      <c r="Q2736" s="11">
        <f>32.07/30</f>
        <v>1.069</v>
      </c>
      <c r="R2736" s="8" t="s">
        <v>33</v>
      </c>
      <c r="S2736" s="12">
        <f t="shared" si="1"/>
        <v>0.00276</v>
      </c>
      <c r="T2736" s="12">
        <f t="shared" si="8"/>
        <v>86.62970316</v>
      </c>
      <c r="U2736" s="8"/>
    </row>
    <row r="2737">
      <c r="A2737" s="29"/>
      <c r="B2737" s="15" t="s">
        <v>129</v>
      </c>
      <c r="C2737" s="15" t="s">
        <v>40</v>
      </c>
      <c r="D2737" s="15">
        <v>26.0</v>
      </c>
      <c r="E2737" s="15" t="s">
        <v>5202</v>
      </c>
      <c r="F2737" s="15" t="s">
        <v>1473</v>
      </c>
      <c r="G2737" s="15" t="s">
        <v>1480</v>
      </c>
      <c r="H2737" s="15">
        <v>0.0</v>
      </c>
      <c r="I2737" s="15" t="s">
        <v>683</v>
      </c>
      <c r="J2737" s="15" t="s">
        <v>22</v>
      </c>
      <c r="K2737" s="15" t="s">
        <v>1150</v>
      </c>
      <c r="L2737" s="15" t="s">
        <v>24</v>
      </c>
      <c r="M2737" s="16">
        <v>0.0</v>
      </c>
      <c r="N2737" s="16">
        <v>0.6</v>
      </c>
      <c r="O2737" s="16">
        <v>0.56</v>
      </c>
      <c r="P2737" s="17">
        <v>45431.0</v>
      </c>
      <c r="Q2737" s="18">
        <v>1.7</v>
      </c>
      <c r="R2737" s="15" t="s">
        <v>70</v>
      </c>
      <c r="S2737" s="19">
        <f t="shared" si="1"/>
        <v>0</v>
      </c>
      <c r="T2737" s="19">
        <f t="shared" si="8"/>
        <v>86.62970316</v>
      </c>
      <c r="U2737" s="15"/>
    </row>
    <row r="2738">
      <c r="A2738" s="107"/>
      <c r="B2738" s="8" t="s">
        <v>26</v>
      </c>
      <c r="C2738" s="8" t="s">
        <v>19</v>
      </c>
      <c r="D2738" s="8">
        <v>61.0</v>
      </c>
      <c r="E2738" s="8" t="s">
        <v>5203</v>
      </c>
      <c r="F2738" s="8" t="s">
        <v>1473</v>
      </c>
      <c r="G2738" s="8" t="s">
        <v>1477</v>
      </c>
      <c r="H2738" s="8">
        <v>-1.0</v>
      </c>
      <c r="I2738" s="8" t="s">
        <v>2108</v>
      </c>
      <c r="J2738" s="8" t="s">
        <v>22</v>
      </c>
      <c r="K2738" s="8" t="s">
        <v>894</v>
      </c>
      <c r="L2738" s="8" t="s">
        <v>24</v>
      </c>
      <c r="M2738" s="9">
        <v>-1.0</v>
      </c>
      <c r="N2738" s="9">
        <v>0.05</v>
      </c>
      <c r="O2738" s="9">
        <v>0.05</v>
      </c>
      <c r="P2738" s="10">
        <v>45431.0</v>
      </c>
      <c r="Q2738" s="11">
        <v>1.775</v>
      </c>
      <c r="R2738" s="8" t="s">
        <v>25</v>
      </c>
      <c r="S2738" s="12">
        <f t="shared" si="1"/>
        <v>-0.05</v>
      </c>
      <c r="T2738" s="12">
        <f t="shared" si="8"/>
        <v>86.57970316</v>
      </c>
      <c r="U2738" s="8"/>
    </row>
    <row r="2739">
      <c r="A2739" s="29"/>
      <c r="B2739" s="15" t="s">
        <v>26</v>
      </c>
      <c r="C2739" s="15" t="s">
        <v>19</v>
      </c>
      <c r="D2739" s="15">
        <v>16.0</v>
      </c>
      <c r="E2739" s="15" t="s">
        <v>5204</v>
      </c>
      <c r="F2739" s="15"/>
      <c r="G2739" s="15"/>
      <c r="H2739" s="15"/>
      <c r="I2739" s="15" t="s">
        <v>50</v>
      </c>
      <c r="J2739" s="15" t="s">
        <v>22</v>
      </c>
      <c r="K2739" s="15" t="s">
        <v>5205</v>
      </c>
      <c r="L2739" s="15" t="s">
        <v>24</v>
      </c>
      <c r="M2739" s="16"/>
      <c r="N2739" s="16">
        <v>0.1</v>
      </c>
      <c r="O2739" s="16">
        <v>0.1</v>
      </c>
      <c r="P2739" s="17">
        <v>45431.0</v>
      </c>
      <c r="Q2739" s="18">
        <f>83.08/60</f>
        <v>1.384666667</v>
      </c>
      <c r="R2739" s="15" t="s">
        <v>33</v>
      </c>
      <c r="S2739" s="19">
        <f t="shared" si="1"/>
        <v>0.03846666667</v>
      </c>
      <c r="T2739" s="19">
        <f t="shared" si="8"/>
        <v>86.61816983</v>
      </c>
      <c r="U2739" s="15"/>
    </row>
    <row r="2740">
      <c r="A2740" s="107"/>
      <c r="B2740" s="8" t="s">
        <v>18</v>
      </c>
      <c r="C2740" s="8" t="s">
        <v>19</v>
      </c>
      <c r="D2740" s="8">
        <v>39.0</v>
      </c>
      <c r="E2740" s="8" t="s">
        <v>5206</v>
      </c>
      <c r="F2740" s="8" t="s">
        <v>1473</v>
      </c>
      <c r="G2740" s="8" t="s">
        <v>1474</v>
      </c>
      <c r="H2740" s="8">
        <v>-1.0</v>
      </c>
      <c r="I2740" s="8" t="s">
        <v>3476</v>
      </c>
      <c r="J2740" s="8" t="s">
        <v>22</v>
      </c>
      <c r="K2740" s="8" t="s">
        <v>225</v>
      </c>
      <c r="L2740" s="8" t="s">
        <v>24</v>
      </c>
      <c r="M2740" s="9">
        <v>0.5</v>
      </c>
      <c r="N2740" s="9">
        <v>0.2</v>
      </c>
      <c r="O2740" s="9">
        <v>0.19</v>
      </c>
      <c r="P2740" s="54">
        <v>45431.0</v>
      </c>
      <c r="Q2740" s="11">
        <f>200.96/120</f>
        <v>1.674666667</v>
      </c>
      <c r="R2740" s="8" t="s">
        <v>33</v>
      </c>
      <c r="S2740" s="12">
        <f t="shared" si="1"/>
        <v>0.1281866667</v>
      </c>
      <c r="T2740" s="12">
        <f t="shared" si="8"/>
        <v>86.7463565</v>
      </c>
      <c r="U2740" s="8"/>
    </row>
    <row r="2741">
      <c r="A2741" s="29"/>
      <c r="B2741" s="15" t="s">
        <v>129</v>
      </c>
      <c r="C2741" s="15" t="s">
        <v>40</v>
      </c>
      <c r="D2741" s="15">
        <v>43.0</v>
      </c>
      <c r="E2741" s="15" t="s">
        <v>5207</v>
      </c>
      <c r="F2741" s="15" t="s">
        <v>1479</v>
      </c>
      <c r="G2741" s="15" t="s">
        <v>1474</v>
      </c>
      <c r="H2741" s="15">
        <v>0.0</v>
      </c>
      <c r="I2741" s="15" t="s">
        <v>50</v>
      </c>
      <c r="J2741" s="15" t="s">
        <v>22</v>
      </c>
      <c r="K2741" s="15" t="s">
        <v>225</v>
      </c>
      <c r="L2741" s="15" t="s">
        <v>24</v>
      </c>
      <c r="M2741" s="16">
        <v>0.75</v>
      </c>
      <c r="N2741" s="16">
        <v>0.6</v>
      </c>
      <c r="O2741" s="16">
        <v>0.6</v>
      </c>
      <c r="P2741" s="17">
        <v>45431.0</v>
      </c>
      <c r="Q2741" s="18">
        <f>(1.975+1.75+1.75)/3</f>
        <v>1.825</v>
      </c>
      <c r="R2741" s="15" t="s">
        <v>33</v>
      </c>
      <c r="S2741" s="19">
        <f t="shared" si="1"/>
        <v>0.495</v>
      </c>
      <c r="T2741" s="19">
        <f t="shared" si="8"/>
        <v>87.2413565</v>
      </c>
      <c r="U2741" s="15"/>
    </row>
    <row r="2742">
      <c r="A2742" s="107"/>
      <c r="B2742" s="8" t="s">
        <v>129</v>
      </c>
      <c r="C2742" s="8" t="s">
        <v>40</v>
      </c>
      <c r="D2742" s="8">
        <v>61.0</v>
      </c>
      <c r="E2742" s="8" t="s">
        <v>5208</v>
      </c>
      <c r="F2742" s="8" t="s">
        <v>1479</v>
      </c>
      <c r="G2742" s="8" t="s">
        <v>1480</v>
      </c>
      <c r="H2742" s="8">
        <v>0.0</v>
      </c>
      <c r="I2742" s="8" t="s">
        <v>50</v>
      </c>
      <c r="J2742" s="8" t="s">
        <v>22</v>
      </c>
      <c r="K2742" s="8" t="s">
        <v>892</v>
      </c>
      <c r="L2742" s="8" t="s">
        <v>24</v>
      </c>
      <c r="M2742" s="9">
        <v>0.0</v>
      </c>
      <c r="N2742" s="9">
        <v>0.5</v>
      </c>
      <c r="O2742" s="9">
        <v>0.5</v>
      </c>
      <c r="P2742" s="10">
        <v>45431.0</v>
      </c>
      <c r="Q2742" s="11">
        <v>1.9</v>
      </c>
      <c r="R2742" s="8" t="s">
        <v>33</v>
      </c>
      <c r="S2742" s="12">
        <f t="shared" si="1"/>
        <v>0.45</v>
      </c>
      <c r="T2742" s="12">
        <f t="shared" si="8"/>
        <v>87.6913565</v>
      </c>
      <c r="U2742" s="8"/>
    </row>
    <row r="2743">
      <c r="A2743" s="29"/>
      <c r="B2743" s="15" t="s">
        <v>1915</v>
      </c>
      <c r="C2743" s="15" t="s">
        <v>19</v>
      </c>
      <c r="D2743" s="15">
        <v>0.0</v>
      </c>
      <c r="E2743" s="15" t="s">
        <v>5209</v>
      </c>
      <c r="F2743" s="15"/>
      <c r="G2743" s="15"/>
      <c r="H2743" s="15"/>
      <c r="I2743" s="15" t="s">
        <v>93</v>
      </c>
      <c r="J2743" s="15" t="s">
        <v>22</v>
      </c>
      <c r="K2743" s="15" t="s">
        <v>29</v>
      </c>
      <c r="L2743" s="15" t="s">
        <v>1522</v>
      </c>
      <c r="M2743" s="16">
        <v>-2.25</v>
      </c>
      <c r="N2743" s="16">
        <v>0.1</v>
      </c>
      <c r="O2743" s="16">
        <v>0.1</v>
      </c>
      <c r="P2743" s="55">
        <v>45431.0</v>
      </c>
      <c r="Q2743" s="18">
        <v>1.9</v>
      </c>
      <c r="R2743" s="15" t="s">
        <v>33</v>
      </c>
      <c r="S2743" s="19">
        <f t="shared" si="1"/>
        <v>0.09</v>
      </c>
      <c r="T2743" s="19">
        <f t="shared" si="8"/>
        <v>87.7813565</v>
      </c>
      <c r="U2743" s="15"/>
    </row>
    <row r="2744">
      <c r="A2744" s="107"/>
      <c r="B2744" s="8" t="s">
        <v>26</v>
      </c>
      <c r="C2744" s="8" t="s">
        <v>19</v>
      </c>
      <c r="D2744" s="8">
        <v>65.0</v>
      </c>
      <c r="E2744" s="8" t="s">
        <v>5210</v>
      </c>
      <c r="F2744" s="8" t="s">
        <v>1473</v>
      </c>
      <c r="G2744" s="8" t="s">
        <v>1480</v>
      </c>
      <c r="H2744" s="8">
        <v>1.0</v>
      </c>
      <c r="I2744" s="8" t="s">
        <v>432</v>
      </c>
      <c r="J2744" s="8" t="s">
        <v>22</v>
      </c>
      <c r="K2744" s="8" t="s">
        <v>892</v>
      </c>
      <c r="L2744" s="8" t="s">
        <v>1522</v>
      </c>
      <c r="M2744" s="9">
        <v>0.0</v>
      </c>
      <c r="N2744" s="9">
        <v>0.5</v>
      </c>
      <c r="O2744" s="9">
        <v>0.073</v>
      </c>
      <c r="P2744" s="10">
        <v>45431.0</v>
      </c>
      <c r="Q2744" s="11">
        <v>1.725</v>
      </c>
      <c r="R2744" s="8" t="s">
        <v>25</v>
      </c>
      <c r="S2744" s="12">
        <f t="shared" si="1"/>
        <v>-0.073</v>
      </c>
      <c r="T2744" s="12">
        <f t="shared" si="8"/>
        <v>87.7083565</v>
      </c>
      <c r="U2744" s="8"/>
    </row>
    <row r="2745">
      <c r="A2745" s="29"/>
      <c r="B2745" s="15" t="s">
        <v>18</v>
      </c>
      <c r="C2745" s="15" t="s">
        <v>40</v>
      </c>
      <c r="D2745" s="15">
        <v>30.0</v>
      </c>
      <c r="E2745" s="15" t="s">
        <v>5211</v>
      </c>
      <c r="F2745" s="15" t="s">
        <v>1479</v>
      </c>
      <c r="G2745" s="15" t="s">
        <v>1477</v>
      </c>
      <c r="H2745" s="15">
        <v>1.0</v>
      </c>
      <c r="I2745" s="15" t="s">
        <v>319</v>
      </c>
      <c r="J2745" s="15" t="s">
        <v>22</v>
      </c>
      <c r="K2745" s="15" t="s">
        <v>894</v>
      </c>
      <c r="L2745" s="15" t="s">
        <v>24</v>
      </c>
      <c r="M2745" s="16">
        <v>-0.5</v>
      </c>
      <c r="N2745" s="16">
        <v>0.1</v>
      </c>
      <c r="O2745" s="16">
        <v>0.1</v>
      </c>
      <c r="P2745" s="17">
        <v>45431.0</v>
      </c>
      <c r="Q2745" s="18">
        <v>1.8</v>
      </c>
      <c r="R2745" s="15" t="s">
        <v>33</v>
      </c>
      <c r="S2745" s="19">
        <f t="shared" si="1"/>
        <v>0.08</v>
      </c>
      <c r="T2745" s="19">
        <f t="shared" si="8"/>
        <v>87.7883565</v>
      </c>
      <c r="U2745" s="15"/>
    </row>
    <row r="2746">
      <c r="A2746" s="107"/>
      <c r="B2746" s="8" t="s">
        <v>18</v>
      </c>
      <c r="C2746" s="8" t="s">
        <v>19</v>
      </c>
      <c r="D2746" s="8">
        <v>28.0</v>
      </c>
      <c r="E2746" s="8" t="s">
        <v>5212</v>
      </c>
      <c r="F2746" s="8" t="s">
        <v>1479</v>
      </c>
      <c r="G2746" s="8" t="s">
        <v>1480</v>
      </c>
      <c r="H2746" s="8">
        <v>0.0</v>
      </c>
      <c r="I2746" s="8" t="s">
        <v>248</v>
      </c>
      <c r="J2746" s="8" t="s">
        <v>22</v>
      </c>
      <c r="K2746" s="8" t="s">
        <v>1150</v>
      </c>
      <c r="L2746" s="8" t="s">
        <v>24</v>
      </c>
      <c r="M2746" s="9">
        <v>0.0</v>
      </c>
      <c r="N2746" s="9">
        <v>0.25</v>
      </c>
      <c r="O2746" s="9">
        <v>0.25</v>
      </c>
      <c r="P2746" s="10">
        <v>45431.0</v>
      </c>
      <c r="Q2746" s="11">
        <v>1.825</v>
      </c>
      <c r="R2746" s="8" t="s">
        <v>25</v>
      </c>
      <c r="S2746" s="12">
        <f t="shared" si="1"/>
        <v>-0.25</v>
      </c>
      <c r="T2746" s="12">
        <f t="shared" si="8"/>
        <v>87.5383565</v>
      </c>
      <c r="U2746" s="8"/>
    </row>
    <row r="2747">
      <c r="A2747" s="29"/>
      <c r="B2747" s="15" t="s">
        <v>129</v>
      </c>
      <c r="C2747" s="15" t="s">
        <v>19</v>
      </c>
      <c r="D2747" s="15">
        <v>70.0</v>
      </c>
      <c r="E2747" s="15" t="s">
        <v>5213</v>
      </c>
      <c r="F2747" s="15" t="s">
        <v>1479</v>
      </c>
      <c r="G2747" s="15" t="s">
        <v>1480</v>
      </c>
      <c r="H2747" s="15">
        <v>2.0</v>
      </c>
      <c r="I2747" s="15" t="s">
        <v>1003</v>
      </c>
      <c r="J2747" s="15" t="s">
        <v>22</v>
      </c>
      <c r="K2747" s="15" t="s">
        <v>892</v>
      </c>
      <c r="L2747" s="15" t="s">
        <v>24</v>
      </c>
      <c r="M2747" s="16">
        <v>0.0</v>
      </c>
      <c r="N2747" s="16">
        <v>0.2</v>
      </c>
      <c r="O2747" s="16">
        <v>0.15</v>
      </c>
      <c r="P2747" s="17">
        <v>45432.0</v>
      </c>
      <c r="Q2747" s="18">
        <v>1.7</v>
      </c>
      <c r="R2747" s="15" t="s">
        <v>70</v>
      </c>
      <c r="S2747" s="19">
        <f t="shared" si="1"/>
        <v>0</v>
      </c>
      <c r="T2747" s="19">
        <f t="shared" si="8"/>
        <v>87.5383565</v>
      </c>
      <c r="U2747" s="15"/>
    </row>
    <row r="2748">
      <c r="A2748" s="107"/>
      <c r="B2748" s="8" t="s">
        <v>26</v>
      </c>
      <c r="C2748" s="8" t="s">
        <v>19</v>
      </c>
      <c r="D2748" s="8">
        <v>63.0</v>
      </c>
      <c r="E2748" s="8" t="s">
        <v>5214</v>
      </c>
      <c r="F2748" s="8" t="s">
        <v>1479</v>
      </c>
      <c r="G2748" s="8" t="s">
        <v>1480</v>
      </c>
      <c r="H2748" s="8">
        <v>0.0</v>
      </c>
      <c r="I2748" s="8" t="s">
        <v>78</v>
      </c>
      <c r="J2748" s="8" t="s">
        <v>22</v>
      </c>
      <c r="K2748" s="8" t="s">
        <v>892</v>
      </c>
      <c r="L2748" s="8" t="s">
        <v>24</v>
      </c>
      <c r="M2748" s="9">
        <v>0.0</v>
      </c>
      <c r="N2748" s="9">
        <v>0.4</v>
      </c>
      <c r="O2748" s="9">
        <v>0.39</v>
      </c>
      <c r="P2748" s="10">
        <v>45433.0</v>
      </c>
      <c r="Q2748" s="11">
        <v>1.74</v>
      </c>
      <c r="R2748" s="8" t="s">
        <v>33</v>
      </c>
      <c r="S2748" s="12">
        <f t="shared" si="1"/>
        <v>0.2886</v>
      </c>
      <c r="T2748" s="12">
        <f t="shared" si="8"/>
        <v>87.8269565</v>
      </c>
      <c r="U2748" s="8"/>
    </row>
    <row r="2749">
      <c r="A2749" s="29"/>
      <c r="B2749" s="15" t="s">
        <v>4225</v>
      </c>
      <c r="C2749" s="15" t="s">
        <v>19</v>
      </c>
      <c r="D2749" s="15">
        <v>0.0</v>
      </c>
      <c r="E2749" s="15" t="s">
        <v>5215</v>
      </c>
      <c r="F2749" s="15"/>
      <c r="G2749" s="15"/>
      <c r="H2749" s="15"/>
      <c r="I2749" s="15" t="s">
        <v>248</v>
      </c>
      <c r="J2749" s="15" t="s">
        <v>22</v>
      </c>
      <c r="K2749" s="15" t="s">
        <v>29</v>
      </c>
      <c r="L2749" s="15" t="s">
        <v>24</v>
      </c>
      <c r="M2749" s="16">
        <v>-1.75</v>
      </c>
      <c r="N2749" s="16">
        <v>0.3</v>
      </c>
      <c r="O2749" s="16">
        <v>0.28</v>
      </c>
      <c r="P2749" s="17">
        <v>45433.0</v>
      </c>
      <c r="Q2749" s="18">
        <v>1.228</v>
      </c>
      <c r="R2749" s="15" t="s">
        <v>33</v>
      </c>
      <c r="S2749" s="19">
        <f t="shared" si="1"/>
        <v>0.06384</v>
      </c>
      <c r="T2749" s="19">
        <f t="shared" si="8"/>
        <v>87.8907965</v>
      </c>
      <c r="U2749" s="15"/>
    </row>
    <row r="2750">
      <c r="A2750" s="107"/>
      <c r="B2750" s="8" t="s">
        <v>4225</v>
      </c>
      <c r="C2750" s="8" t="s">
        <v>19</v>
      </c>
      <c r="D2750" s="8">
        <v>54.0</v>
      </c>
      <c r="E2750" s="8" t="s">
        <v>5216</v>
      </c>
      <c r="F2750" s="8" t="s">
        <v>1479</v>
      </c>
      <c r="G2750" s="8" t="s">
        <v>1477</v>
      </c>
      <c r="H2750" s="8">
        <v>-1.0</v>
      </c>
      <c r="I2750" s="8" t="s">
        <v>174</v>
      </c>
      <c r="J2750" s="8" t="s">
        <v>22</v>
      </c>
      <c r="K2750" s="8" t="s">
        <v>894</v>
      </c>
      <c r="L2750" s="8" t="s">
        <v>24</v>
      </c>
      <c r="M2750" s="9">
        <v>-0.75</v>
      </c>
      <c r="N2750" s="9">
        <v>0.2</v>
      </c>
      <c r="O2750" s="9">
        <v>0.02</v>
      </c>
      <c r="P2750" s="10">
        <v>45433.0</v>
      </c>
      <c r="Q2750" s="11">
        <v>1.825</v>
      </c>
      <c r="R2750" s="8" t="s">
        <v>33</v>
      </c>
      <c r="S2750" s="12">
        <f t="shared" si="1"/>
        <v>0.0165</v>
      </c>
      <c r="T2750" s="12">
        <f t="shared" si="8"/>
        <v>87.9072965</v>
      </c>
      <c r="U2750" s="8"/>
    </row>
    <row r="2751">
      <c r="A2751" s="29"/>
      <c r="B2751" s="15" t="s">
        <v>26</v>
      </c>
      <c r="C2751" s="15" t="s">
        <v>19</v>
      </c>
      <c r="D2751" s="15">
        <v>64.0</v>
      </c>
      <c r="E2751" s="15" t="s">
        <v>5217</v>
      </c>
      <c r="F2751" s="15" t="s">
        <v>1479</v>
      </c>
      <c r="G2751" s="15" t="s">
        <v>1480</v>
      </c>
      <c r="H2751" s="15">
        <v>-1.0</v>
      </c>
      <c r="I2751" s="15" t="s">
        <v>4354</v>
      </c>
      <c r="J2751" s="15" t="s">
        <v>22</v>
      </c>
      <c r="K2751" s="15" t="s">
        <v>892</v>
      </c>
      <c r="L2751" s="15" t="s">
        <v>24</v>
      </c>
      <c r="M2751" s="16">
        <v>0.0</v>
      </c>
      <c r="N2751" s="16">
        <v>0.2</v>
      </c>
      <c r="O2751" s="16">
        <v>0.19</v>
      </c>
      <c r="P2751" s="17">
        <v>45433.0</v>
      </c>
      <c r="Q2751" s="18">
        <v>1.65</v>
      </c>
      <c r="R2751" s="15" t="s">
        <v>70</v>
      </c>
      <c r="S2751" s="19">
        <f t="shared" si="1"/>
        <v>0</v>
      </c>
      <c r="T2751" s="19">
        <f t="shared" si="8"/>
        <v>87.9072965</v>
      </c>
      <c r="U2751" s="15"/>
    </row>
    <row r="2752">
      <c r="A2752" s="107"/>
      <c r="B2752" s="8" t="s">
        <v>4225</v>
      </c>
      <c r="C2752" s="8" t="s">
        <v>19</v>
      </c>
      <c r="D2752" s="8">
        <v>75.0</v>
      </c>
      <c r="E2752" s="8" t="s">
        <v>5218</v>
      </c>
      <c r="F2752" s="8" t="s">
        <v>1473</v>
      </c>
      <c r="G2752" s="8" t="s">
        <v>1477</v>
      </c>
      <c r="H2752" s="8">
        <v>-1.0</v>
      </c>
      <c r="I2752" s="8" t="s">
        <v>174</v>
      </c>
      <c r="J2752" s="8" t="s">
        <v>22</v>
      </c>
      <c r="K2752" s="8" t="s">
        <v>894</v>
      </c>
      <c r="L2752" s="8" t="s">
        <v>39</v>
      </c>
      <c r="M2752" s="9">
        <v>-0.25</v>
      </c>
      <c r="N2752" s="9">
        <v>0.1</v>
      </c>
      <c r="O2752" s="9">
        <v>0.1</v>
      </c>
      <c r="P2752" s="10">
        <v>45433.0</v>
      </c>
      <c r="Q2752" s="11">
        <v>1.753</v>
      </c>
      <c r="R2752" s="8" t="s">
        <v>33</v>
      </c>
      <c r="S2752" s="12">
        <f t="shared" si="1"/>
        <v>0.0753</v>
      </c>
      <c r="T2752" s="12">
        <f t="shared" si="8"/>
        <v>87.9825965</v>
      </c>
      <c r="U2752" s="8"/>
    </row>
    <row r="2753">
      <c r="A2753" s="29"/>
      <c r="B2753" s="15" t="s">
        <v>26</v>
      </c>
      <c r="C2753" s="15" t="s">
        <v>40</v>
      </c>
      <c r="D2753" s="15">
        <v>31.0</v>
      </c>
      <c r="E2753" s="15" t="s">
        <v>5219</v>
      </c>
      <c r="F2753" s="15" t="s">
        <v>1473</v>
      </c>
      <c r="G2753" s="15" t="s">
        <v>1480</v>
      </c>
      <c r="H2753" s="15">
        <v>0.0</v>
      </c>
      <c r="I2753" s="15" t="s">
        <v>191</v>
      </c>
      <c r="J2753" s="15" t="s">
        <v>22</v>
      </c>
      <c r="K2753" s="15" t="s">
        <v>1150</v>
      </c>
      <c r="L2753" s="15" t="s">
        <v>24</v>
      </c>
      <c r="M2753" s="16">
        <v>0.0</v>
      </c>
      <c r="N2753" s="16">
        <v>0.35</v>
      </c>
      <c r="O2753" s="16">
        <v>0.35</v>
      </c>
      <c r="P2753" s="17">
        <v>45434.0</v>
      </c>
      <c r="Q2753" s="18">
        <v>1.725</v>
      </c>
      <c r="R2753" s="15" t="s">
        <v>33</v>
      </c>
      <c r="S2753" s="19">
        <f t="shared" si="1"/>
        <v>0.25375</v>
      </c>
      <c r="T2753" s="19">
        <f t="shared" si="8"/>
        <v>88.2363465</v>
      </c>
      <c r="U2753" s="15"/>
    </row>
    <row r="2754">
      <c r="A2754" s="107"/>
      <c r="B2754" s="8" t="s">
        <v>131</v>
      </c>
      <c r="C2754" s="8" t="s">
        <v>19</v>
      </c>
      <c r="D2754" s="8">
        <v>38.0</v>
      </c>
      <c r="E2754" s="8" t="s">
        <v>5220</v>
      </c>
      <c r="F2754" s="8" t="s">
        <v>1479</v>
      </c>
      <c r="G2754" s="8" t="s">
        <v>1480</v>
      </c>
      <c r="H2754" s="8">
        <v>-1.0</v>
      </c>
      <c r="I2754" s="8" t="s">
        <v>853</v>
      </c>
      <c r="J2754" s="8" t="s">
        <v>22</v>
      </c>
      <c r="K2754" s="8" t="s">
        <v>892</v>
      </c>
      <c r="L2754" s="8" t="s">
        <v>24</v>
      </c>
      <c r="M2754" s="9">
        <v>0.0</v>
      </c>
      <c r="N2754" s="9">
        <v>0.2</v>
      </c>
      <c r="O2754" s="9">
        <v>0.19</v>
      </c>
      <c r="P2754" s="54">
        <v>45434.0</v>
      </c>
      <c r="Q2754" s="11">
        <v>1.75</v>
      </c>
      <c r="R2754" s="8" t="s">
        <v>33</v>
      </c>
      <c r="S2754" s="12">
        <f t="shared" si="1"/>
        <v>0.1425</v>
      </c>
      <c r="T2754" s="12">
        <f t="shared" si="8"/>
        <v>88.3788465</v>
      </c>
      <c r="U2754" s="8"/>
    </row>
    <row r="2755">
      <c r="A2755" s="29"/>
      <c r="B2755" s="15" t="s">
        <v>1915</v>
      </c>
      <c r="C2755" s="15" t="s">
        <v>19</v>
      </c>
      <c r="D2755" s="139">
        <v>2.0</v>
      </c>
      <c r="E2755" s="15" t="s">
        <v>5221</v>
      </c>
      <c r="F2755" s="15"/>
      <c r="G2755" s="15"/>
      <c r="H2755" s="15">
        <v>0.0</v>
      </c>
      <c r="I2755" s="15" t="s">
        <v>583</v>
      </c>
      <c r="J2755" s="15" t="s">
        <v>22</v>
      </c>
      <c r="K2755" s="15" t="s">
        <v>29</v>
      </c>
      <c r="L2755" s="15" t="s">
        <v>24</v>
      </c>
      <c r="M2755" s="16">
        <v>-2.75</v>
      </c>
      <c r="N2755" s="16">
        <v>0.2</v>
      </c>
      <c r="O2755" s="16">
        <v>0.1</v>
      </c>
      <c r="P2755" s="17">
        <v>45434.0</v>
      </c>
      <c r="Q2755" s="18">
        <v>1.85</v>
      </c>
      <c r="R2755" s="15" t="s">
        <v>33</v>
      </c>
      <c r="S2755" s="19">
        <f t="shared" si="1"/>
        <v>0.085</v>
      </c>
      <c r="T2755" s="19">
        <f t="shared" si="8"/>
        <v>88.4638465</v>
      </c>
      <c r="U2755" s="15"/>
    </row>
    <row r="2756">
      <c r="A2756" s="107"/>
      <c r="B2756" s="8" t="s">
        <v>26</v>
      </c>
      <c r="C2756" s="8" t="s">
        <v>40</v>
      </c>
      <c r="D2756" s="8">
        <v>73.0</v>
      </c>
      <c r="E2756" s="8" t="s">
        <v>5222</v>
      </c>
      <c r="F2756" s="8" t="s">
        <v>1479</v>
      </c>
      <c r="G2756" s="8" t="s">
        <v>1480</v>
      </c>
      <c r="H2756" s="8">
        <v>0.0</v>
      </c>
      <c r="I2756" s="8" t="s">
        <v>99</v>
      </c>
      <c r="J2756" s="8" t="s">
        <v>22</v>
      </c>
      <c r="K2756" s="8" t="s">
        <v>892</v>
      </c>
      <c r="L2756" s="8" t="s">
        <v>24</v>
      </c>
      <c r="M2756" s="9">
        <v>0.0</v>
      </c>
      <c r="N2756" s="9">
        <v>0.6</v>
      </c>
      <c r="O2756" s="9">
        <v>0.6</v>
      </c>
      <c r="P2756" s="10">
        <v>45434.0</v>
      </c>
      <c r="Q2756" s="11">
        <v>1.675</v>
      </c>
      <c r="R2756" s="8" t="s">
        <v>70</v>
      </c>
      <c r="S2756" s="12">
        <f t="shared" si="1"/>
        <v>0</v>
      </c>
      <c r="T2756" s="12">
        <f t="shared" si="8"/>
        <v>88.4638465</v>
      </c>
      <c r="U2756" s="8"/>
    </row>
    <row r="2757">
      <c r="A2757" s="29"/>
      <c r="B2757" s="15" t="s">
        <v>129</v>
      </c>
      <c r="C2757" s="15" t="s">
        <v>19</v>
      </c>
      <c r="D2757" s="15">
        <v>77.0</v>
      </c>
      <c r="E2757" s="15" t="s">
        <v>5223</v>
      </c>
      <c r="F2757" s="15" t="s">
        <v>1479</v>
      </c>
      <c r="G2757" s="15" t="s">
        <v>1480</v>
      </c>
      <c r="H2757" s="15">
        <v>0.0</v>
      </c>
      <c r="I2757" s="15" t="s">
        <v>583</v>
      </c>
      <c r="J2757" s="15" t="s">
        <v>22</v>
      </c>
      <c r="K2757" s="15" t="s">
        <v>941</v>
      </c>
      <c r="L2757" s="15" t="s">
        <v>24</v>
      </c>
      <c r="M2757" s="16">
        <v>0.0</v>
      </c>
      <c r="N2757" s="16">
        <v>0.4</v>
      </c>
      <c r="O2757" s="16">
        <v>0.39</v>
      </c>
      <c r="P2757" s="55">
        <v>45434.0</v>
      </c>
      <c r="Q2757" s="18">
        <v>2.25</v>
      </c>
      <c r="R2757" s="15" t="s">
        <v>70</v>
      </c>
      <c r="S2757" s="19">
        <f t="shared" si="1"/>
        <v>0</v>
      </c>
      <c r="T2757" s="19">
        <f t="shared" si="8"/>
        <v>88.4638465</v>
      </c>
      <c r="U2757" s="15"/>
    </row>
    <row r="2758">
      <c r="A2758" s="107"/>
      <c r="B2758" s="8" t="s">
        <v>18</v>
      </c>
      <c r="C2758" s="8" t="s">
        <v>19</v>
      </c>
      <c r="D2758" s="8">
        <v>72.0</v>
      </c>
      <c r="E2758" s="8" t="s">
        <v>5224</v>
      </c>
      <c r="F2758" s="8" t="s">
        <v>1479</v>
      </c>
      <c r="G2758" s="8" t="s">
        <v>1477</v>
      </c>
      <c r="H2758" s="8">
        <v>0.0</v>
      </c>
      <c r="I2758" s="8" t="s">
        <v>174</v>
      </c>
      <c r="J2758" s="8" t="s">
        <v>22</v>
      </c>
      <c r="K2758" s="8" t="s">
        <v>894</v>
      </c>
      <c r="L2758" s="8" t="s">
        <v>24</v>
      </c>
      <c r="M2758" s="9">
        <v>-0.25</v>
      </c>
      <c r="N2758" s="9">
        <v>0.1</v>
      </c>
      <c r="O2758" s="9">
        <v>0.1</v>
      </c>
      <c r="P2758" s="10">
        <v>45434.0</v>
      </c>
      <c r="Q2758" s="11">
        <v>1.75</v>
      </c>
      <c r="R2758" s="8" t="s">
        <v>33</v>
      </c>
      <c r="S2758" s="12">
        <f t="shared" si="1"/>
        <v>0.075</v>
      </c>
      <c r="T2758" s="12">
        <f t="shared" si="8"/>
        <v>88.5388465</v>
      </c>
      <c r="U2758" s="8"/>
    </row>
    <row r="2759">
      <c r="A2759" s="29"/>
      <c r="B2759" s="15" t="s">
        <v>26</v>
      </c>
      <c r="C2759" s="15" t="s">
        <v>19</v>
      </c>
      <c r="D2759" s="15">
        <v>26.0</v>
      </c>
      <c r="E2759" s="15" t="s">
        <v>5225</v>
      </c>
      <c r="F2759" s="15" t="s">
        <v>1479</v>
      </c>
      <c r="G2759" s="15" t="s">
        <v>1480</v>
      </c>
      <c r="H2759" s="15">
        <v>1.0</v>
      </c>
      <c r="I2759" s="15" t="s">
        <v>82</v>
      </c>
      <c r="J2759" s="15" t="s">
        <v>22</v>
      </c>
      <c r="K2759" s="15" t="s">
        <v>892</v>
      </c>
      <c r="L2759" s="15" t="s">
        <v>39</v>
      </c>
      <c r="M2759" s="16">
        <v>0.0</v>
      </c>
      <c r="N2759" s="16">
        <v>0.1</v>
      </c>
      <c r="O2759" s="16">
        <v>0.1</v>
      </c>
      <c r="P2759" s="17">
        <v>45434.0</v>
      </c>
      <c r="Q2759" s="18">
        <f>106.81/70</f>
        <v>1.525857143</v>
      </c>
      <c r="R2759" s="15" t="s">
        <v>33</v>
      </c>
      <c r="S2759" s="19">
        <f t="shared" si="1"/>
        <v>0.05258571429</v>
      </c>
      <c r="T2759" s="19">
        <f t="shared" si="8"/>
        <v>88.59143221</v>
      </c>
      <c r="U2759" s="15"/>
    </row>
    <row r="2760">
      <c r="A2760" s="107"/>
      <c r="B2760" s="8" t="s">
        <v>18</v>
      </c>
      <c r="C2760" s="8" t="s">
        <v>19</v>
      </c>
      <c r="D2760" s="8">
        <v>75.0</v>
      </c>
      <c r="E2760" s="8" t="s">
        <v>5226</v>
      </c>
      <c r="F2760" s="8" t="s">
        <v>1479</v>
      </c>
      <c r="G2760" s="8" t="s">
        <v>1480</v>
      </c>
      <c r="H2760" s="8">
        <v>-1.0</v>
      </c>
      <c r="I2760" s="8" t="s">
        <v>463</v>
      </c>
      <c r="J2760" s="8" t="s">
        <v>22</v>
      </c>
      <c r="K2760" s="8" t="s">
        <v>892</v>
      </c>
      <c r="L2760" s="8" t="s">
        <v>1803</v>
      </c>
      <c r="M2760" s="9">
        <v>0.0</v>
      </c>
      <c r="N2760" s="9">
        <v>0.2</v>
      </c>
      <c r="O2760" s="9">
        <v>0.2</v>
      </c>
      <c r="P2760" s="10">
        <v>45434.0</v>
      </c>
      <c r="Q2760" s="11">
        <v>1.625</v>
      </c>
      <c r="R2760" s="8" t="s">
        <v>33</v>
      </c>
      <c r="S2760" s="12">
        <f t="shared" si="1"/>
        <v>0.125</v>
      </c>
      <c r="T2760" s="12">
        <f t="shared" si="8"/>
        <v>88.71643221</v>
      </c>
      <c r="U2760" s="8"/>
    </row>
    <row r="2761">
      <c r="A2761" s="29"/>
      <c r="B2761" s="15" t="s">
        <v>18</v>
      </c>
      <c r="C2761" s="15" t="s">
        <v>19</v>
      </c>
      <c r="D2761" s="15">
        <v>25.0</v>
      </c>
      <c r="E2761" s="15" t="s">
        <v>5227</v>
      </c>
      <c r="F2761" s="15" t="s">
        <v>1479</v>
      </c>
      <c r="G2761" s="15" t="s">
        <v>1477</v>
      </c>
      <c r="H2761" s="15">
        <v>0.0</v>
      </c>
      <c r="I2761" s="15" t="s">
        <v>853</v>
      </c>
      <c r="J2761" s="15" t="s">
        <v>22</v>
      </c>
      <c r="K2761" s="15" t="s">
        <v>894</v>
      </c>
      <c r="L2761" s="15" t="s">
        <v>24</v>
      </c>
      <c r="M2761" s="16">
        <v>-0.25</v>
      </c>
      <c r="N2761" s="16">
        <v>0.2</v>
      </c>
      <c r="O2761" s="16">
        <v>0.2</v>
      </c>
      <c r="P2761" s="17">
        <v>45435.0</v>
      </c>
      <c r="Q2761" s="18">
        <v>1.7</v>
      </c>
      <c r="R2761" s="15" t="s">
        <v>79</v>
      </c>
      <c r="S2761" s="19">
        <f t="shared" si="1"/>
        <v>-0.1</v>
      </c>
      <c r="T2761" s="19">
        <f t="shared" si="8"/>
        <v>88.61643221</v>
      </c>
      <c r="U2761" s="15"/>
    </row>
    <row r="2762">
      <c r="A2762" s="107"/>
      <c r="B2762" s="8" t="s">
        <v>26</v>
      </c>
      <c r="C2762" s="8" t="s">
        <v>19</v>
      </c>
      <c r="D2762" s="8">
        <v>80.0</v>
      </c>
      <c r="E2762" s="8" t="s">
        <v>5228</v>
      </c>
      <c r="F2762" s="8"/>
      <c r="G2762" s="8"/>
      <c r="H2762" s="8"/>
      <c r="I2762" s="8" t="s">
        <v>3017</v>
      </c>
      <c r="J2762" s="8" t="s">
        <v>22</v>
      </c>
      <c r="K2762" s="8" t="s">
        <v>2415</v>
      </c>
      <c r="L2762" s="8" t="s">
        <v>24</v>
      </c>
      <c r="M2762" s="9">
        <v>8.0</v>
      </c>
      <c r="N2762" s="9">
        <v>0.15</v>
      </c>
      <c r="O2762" s="9">
        <v>0.14</v>
      </c>
      <c r="P2762" s="10">
        <v>45435.0</v>
      </c>
      <c r="Q2762" s="11">
        <v>1.75</v>
      </c>
      <c r="R2762" s="8" t="s">
        <v>70</v>
      </c>
      <c r="S2762" s="12">
        <f t="shared" si="1"/>
        <v>0</v>
      </c>
      <c r="T2762" s="12">
        <f t="shared" si="8"/>
        <v>88.61643221</v>
      </c>
      <c r="U2762" s="8"/>
    </row>
    <row r="2763">
      <c r="A2763" s="29"/>
      <c r="B2763" s="15" t="s">
        <v>4225</v>
      </c>
      <c r="C2763" s="15" t="s">
        <v>40</v>
      </c>
      <c r="D2763" s="15">
        <v>10.0</v>
      </c>
      <c r="E2763" s="15" t="s">
        <v>5229</v>
      </c>
      <c r="F2763" s="15" t="s">
        <v>1473</v>
      </c>
      <c r="G2763" s="15" t="s">
        <v>1480</v>
      </c>
      <c r="H2763" s="15">
        <v>0.0</v>
      </c>
      <c r="I2763" s="15" t="s">
        <v>42</v>
      </c>
      <c r="J2763" s="15" t="s">
        <v>22</v>
      </c>
      <c r="K2763" s="15" t="s">
        <v>1150</v>
      </c>
      <c r="L2763" s="15" t="s">
        <v>24</v>
      </c>
      <c r="M2763" s="16">
        <v>0.0</v>
      </c>
      <c r="N2763" s="16">
        <v>0.4</v>
      </c>
      <c r="O2763" s="16">
        <v>0.31</v>
      </c>
      <c r="P2763" s="17">
        <v>45436.0</v>
      </c>
      <c r="Q2763" s="18">
        <v>1.65</v>
      </c>
      <c r="R2763" s="15" t="s">
        <v>25</v>
      </c>
      <c r="S2763" s="19">
        <f t="shared" si="1"/>
        <v>-0.31</v>
      </c>
      <c r="T2763" s="19">
        <f t="shared" si="8"/>
        <v>88.30643221</v>
      </c>
      <c r="U2763" s="15"/>
    </row>
    <row r="2764">
      <c r="A2764" s="107"/>
      <c r="B2764" s="8" t="s">
        <v>26</v>
      </c>
      <c r="C2764" s="8" t="s">
        <v>19</v>
      </c>
      <c r="D2764" s="8">
        <v>65.0</v>
      </c>
      <c r="E2764" s="8" t="s">
        <v>5230</v>
      </c>
      <c r="F2764" s="8"/>
      <c r="G2764" s="8"/>
      <c r="H2764" s="8"/>
      <c r="I2764" s="8" t="s">
        <v>167</v>
      </c>
      <c r="J2764" s="8" t="s">
        <v>22</v>
      </c>
      <c r="K2764" s="8" t="s">
        <v>440</v>
      </c>
      <c r="L2764" s="8" t="s">
        <v>39</v>
      </c>
      <c r="M2764" s="9">
        <v>3.75</v>
      </c>
      <c r="N2764" s="9">
        <v>0.1</v>
      </c>
      <c r="O2764" s="9">
        <v>0.1</v>
      </c>
      <c r="P2764" s="10">
        <v>45436.0</v>
      </c>
      <c r="Q2764" s="11">
        <v>1.8</v>
      </c>
      <c r="R2764" s="8" t="s">
        <v>30</v>
      </c>
      <c r="S2764" s="12">
        <f t="shared" si="1"/>
        <v>0.04</v>
      </c>
      <c r="T2764" s="12">
        <f t="shared" si="8"/>
        <v>88.34643221</v>
      </c>
      <c r="U2764" s="8"/>
    </row>
    <row r="2765">
      <c r="A2765" s="29"/>
      <c r="B2765" s="15" t="s">
        <v>18</v>
      </c>
      <c r="C2765" s="15" t="s">
        <v>19</v>
      </c>
      <c r="D2765" s="15">
        <v>70.0</v>
      </c>
      <c r="E2765" s="15" t="s">
        <v>5231</v>
      </c>
      <c r="F2765" s="15" t="s">
        <v>1473</v>
      </c>
      <c r="G2765" s="15" t="s">
        <v>1480</v>
      </c>
      <c r="H2765" s="15">
        <v>1.0</v>
      </c>
      <c r="I2765" s="15" t="s">
        <v>117</v>
      </c>
      <c r="J2765" s="15" t="s">
        <v>22</v>
      </c>
      <c r="K2765" s="15" t="s">
        <v>892</v>
      </c>
      <c r="L2765" s="15" t="s">
        <v>24</v>
      </c>
      <c r="M2765" s="16">
        <v>0.0</v>
      </c>
      <c r="N2765" s="16">
        <v>0.4</v>
      </c>
      <c r="O2765" s="16">
        <v>0.4</v>
      </c>
      <c r="P2765" s="17">
        <v>45436.0</v>
      </c>
      <c r="Q2765" s="18">
        <v>2.2</v>
      </c>
      <c r="R2765" s="15" t="s">
        <v>70</v>
      </c>
      <c r="S2765" s="19">
        <f t="shared" si="1"/>
        <v>0</v>
      </c>
      <c r="T2765" s="19">
        <f t="shared" si="8"/>
        <v>88.34643221</v>
      </c>
      <c r="U2765" s="15"/>
    </row>
    <row r="2766">
      <c r="A2766" s="107"/>
      <c r="B2766" s="8" t="s">
        <v>26</v>
      </c>
      <c r="C2766" s="8" t="s">
        <v>19</v>
      </c>
      <c r="D2766" s="8">
        <v>38.0</v>
      </c>
      <c r="E2766" s="8" t="s">
        <v>5232</v>
      </c>
      <c r="F2766" s="8" t="s">
        <v>1479</v>
      </c>
      <c r="G2766" s="8" t="s">
        <v>1474</v>
      </c>
      <c r="H2766" s="8">
        <v>-1.0</v>
      </c>
      <c r="I2766" s="8" t="s">
        <v>82</v>
      </c>
      <c r="J2766" s="8" t="s">
        <v>22</v>
      </c>
      <c r="K2766" s="8" t="s">
        <v>225</v>
      </c>
      <c r="L2766" s="8" t="s">
        <v>24</v>
      </c>
      <c r="M2766" s="9">
        <v>0.25</v>
      </c>
      <c r="N2766" s="9">
        <v>0.6</v>
      </c>
      <c r="O2766" s="9">
        <v>0.57</v>
      </c>
      <c r="P2766" s="10">
        <v>45436.0</v>
      </c>
      <c r="Q2766" s="11">
        <v>1.75</v>
      </c>
      <c r="R2766" s="8" t="s">
        <v>33</v>
      </c>
      <c r="S2766" s="12">
        <f t="shared" si="1"/>
        <v>0.4275</v>
      </c>
      <c r="T2766" s="12">
        <f t="shared" si="8"/>
        <v>88.77393221</v>
      </c>
      <c r="U2766" s="8"/>
    </row>
    <row r="2767">
      <c r="A2767" s="29"/>
      <c r="B2767" s="15" t="s">
        <v>18</v>
      </c>
      <c r="C2767" s="15" t="s">
        <v>19</v>
      </c>
      <c r="D2767" s="15">
        <v>57.0</v>
      </c>
      <c r="E2767" s="15" t="s">
        <v>5233</v>
      </c>
      <c r="F2767" s="15" t="s">
        <v>1479</v>
      </c>
      <c r="G2767" s="15" t="s">
        <v>1480</v>
      </c>
      <c r="H2767" s="15">
        <v>0.0</v>
      </c>
      <c r="I2767" s="15" t="s">
        <v>316</v>
      </c>
      <c r="J2767" s="15" t="s">
        <v>22</v>
      </c>
      <c r="K2767" s="15" t="s">
        <v>892</v>
      </c>
      <c r="L2767" s="15" t="s">
        <v>24</v>
      </c>
      <c r="M2767" s="16">
        <v>0.0</v>
      </c>
      <c r="N2767" s="16">
        <v>0.75</v>
      </c>
      <c r="O2767" s="16">
        <v>0.74</v>
      </c>
      <c r="P2767" s="17">
        <v>45436.0</v>
      </c>
      <c r="Q2767" s="18">
        <v>1.7</v>
      </c>
      <c r="R2767" s="15" t="s">
        <v>70</v>
      </c>
      <c r="S2767" s="19">
        <f t="shared" si="1"/>
        <v>0</v>
      </c>
      <c r="T2767" s="19">
        <f t="shared" si="8"/>
        <v>88.77393221</v>
      </c>
      <c r="U2767" s="15"/>
    </row>
    <row r="2768">
      <c r="A2768" s="107"/>
      <c r="B2768" s="8" t="s">
        <v>137</v>
      </c>
      <c r="C2768" s="8" t="s">
        <v>19</v>
      </c>
      <c r="D2768" s="8">
        <v>75.0</v>
      </c>
      <c r="E2768" s="8" t="s">
        <v>5234</v>
      </c>
      <c r="F2768" s="8" t="s">
        <v>1473</v>
      </c>
      <c r="G2768" s="8" t="s">
        <v>1480</v>
      </c>
      <c r="H2768" s="8">
        <v>0.0</v>
      </c>
      <c r="I2768" s="8" t="s">
        <v>2667</v>
      </c>
      <c r="J2768" s="8" t="s">
        <v>22</v>
      </c>
      <c r="K2768" s="8" t="s">
        <v>892</v>
      </c>
      <c r="L2768" s="8" t="s">
        <v>24</v>
      </c>
      <c r="M2768" s="9">
        <v>0.0</v>
      </c>
      <c r="N2768" s="9">
        <v>0.2</v>
      </c>
      <c r="O2768" s="9">
        <v>0.2</v>
      </c>
      <c r="P2768" s="10">
        <v>45436.0</v>
      </c>
      <c r="Q2768" s="11">
        <v>1.925</v>
      </c>
      <c r="R2768" s="8" t="s">
        <v>70</v>
      </c>
      <c r="S2768" s="12">
        <f t="shared" si="1"/>
        <v>0</v>
      </c>
      <c r="T2768" s="12">
        <f t="shared" si="8"/>
        <v>88.77393221</v>
      </c>
      <c r="U2768" s="8"/>
    </row>
    <row r="2769">
      <c r="A2769" s="29"/>
      <c r="B2769" s="15" t="s">
        <v>129</v>
      </c>
      <c r="C2769" s="15" t="s">
        <v>19</v>
      </c>
      <c r="D2769" s="15">
        <v>20.0</v>
      </c>
      <c r="E2769" s="15" t="s">
        <v>5235</v>
      </c>
      <c r="F2769" s="15" t="s">
        <v>1479</v>
      </c>
      <c r="G2769" s="15" t="s">
        <v>1480</v>
      </c>
      <c r="H2769" s="15">
        <v>0.0</v>
      </c>
      <c r="I2769" s="15" t="s">
        <v>432</v>
      </c>
      <c r="J2769" s="15" t="s">
        <v>22</v>
      </c>
      <c r="K2769" s="15" t="s">
        <v>1150</v>
      </c>
      <c r="L2769" s="15" t="s">
        <v>24</v>
      </c>
      <c r="M2769" s="16">
        <v>0.0</v>
      </c>
      <c r="N2769" s="16">
        <v>0.4</v>
      </c>
      <c r="O2769" s="16">
        <v>0.35</v>
      </c>
      <c r="P2769" s="17">
        <v>45437.0</v>
      </c>
      <c r="Q2769" s="18">
        <v>1.7</v>
      </c>
      <c r="R2769" s="15" t="s">
        <v>33</v>
      </c>
      <c r="S2769" s="19">
        <f t="shared" si="1"/>
        <v>0.245</v>
      </c>
      <c r="T2769" s="19">
        <f t="shared" si="8"/>
        <v>89.01893221</v>
      </c>
      <c r="U2769" s="15"/>
    </row>
    <row r="2770">
      <c r="A2770" s="107"/>
      <c r="B2770" s="8" t="s">
        <v>4225</v>
      </c>
      <c r="C2770" s="8" t="s">
        <v>19</v>
      </c>
      <c r="D2770" s="8">
        <v>47.0</v>
      </c>
      <c r="E2770" s="8" t="s">
        <v>5236</v>
      </c>
      <c r="F2770" s="8" t="s">
        <v>1479</v>
      </c>
      <c r="G2770" s="8" t="s">
        <v>1477</v>
      </c>
      <c r="H2770" s="8">
        <v>-1.0</v>
      </c>
      <c r="I2770" s="8" t="s">
        <v>44</v>
      </c>
      <c r="J2770" s="8" t="s">
        <v>22</v>
      </c>
      <c r="K2770" s="8" t="s">
        <v>894</v>
      </c>
      <c r="L2770" s="8" t="s">
        <v>24</v>
      </c>
      <c r="M2770" s="9">
        <v>-0.5</v>
      </c>
      <c r="N2770" s="9">
        <v>0.25</v>
      </c>
      <c r="O2770" s="9">
        <v>0.23</v>
      </c>
      <c r="P2770" s="10">
        <v>45437.0</v>
      </c>
      <c r="Q2770" s="11">
        <v>1.657</v>
      </c>
      <c r="R2770" s="8" t="s">
        <v>33</v>
      </c>
      <c r="S2770" s="12">
        <f t="shared" si="1"/>
        <v>0.15111</v>
      </c>
      <c r="T2770" s="12">
        <f t="shared" si="8"/>
        <v>89.17004221</v>
      </c>
      <c r="U2770" s="8"/>
    </row>
    <row r="2771">
      <c r="A2771" s="29"/>
      <c r="B2771" s="15" t="s">
        <v>1915</v>
      </c>
      <c r="C2771" s="15" t="s">
        <v>40</v>
      </c>
      <c r="D2771" s="15">
        <v>0.0</v>
      </c>
      <c r="E2771" s="15" t="s">
        <v>5237</v>
      </c>
      <c r="F2771" s="15"/>
      <c r="G2771" s="15"/>
      <c r="H2771" s="15"/>
      <c r="I2771" s="15" t="s">
        <v>101</v>
      </c>
      <c r="J2771" s="15" t="s">
        <v>598</v>
      </c>
      <c r="K2771" s="15" t="s">
        <v>29</v>
      </c>
      <c r="L2771" s="15" t="s">
        <v>24</v>
      </c>
      <c r="M2771" s="16">
        <v>-3.5</v>
      </c>
      <c r="N2771" s="16">
        <v>0.2</v>
      </c>
      <c r="O2771" s="16">
        <v>0.2</v>
      </c>
      <c r="P2771" s="17">
        <v>45437.0</v>
      </c>
      <c r="Q2771" s="18">
        <v>1.14</v>
      </c>
      <c r="R2771" s="15" t="s">
        <v>33</v>
      </c>
      <c r="S2771" s="19">
        <f t="shared" si="1"/>
        <v>0.028</v>
      </c>
      <c r="T2771" s="19">
        <f t="shared" si="8"/>
        <v>89.19804221</v>
      </c>
      <c r="U2771" s="15"/>
    </row>
    <row r="2772">
      <c r="A2772" s="107"/>
      <c r="B2772" s="8" t="s">
        <v>131</v>
      </c>
      <c r="C2772" s="8" t="s">
        <v>19</v>
      </c>
      <c r="D2772" s="8">
        <v>17.0</v>
      </c>
      <c r="E2772" s="8" t="s">
        <v>5238</v>
      </c>
      <c r="F2772" s="8" t="s">
        <v>1473</v>
      </c>
      <c r="G2772" s="8" t="s">
        <v>1474</v>
      </c>
      <c r="H2772" s="8">
        <v>0.0</v>
      </c>
      <c r="I2772" s="8" t="s">
        <v>245</v>
      </c>
      <c r="J2772" s="8" t="s">
        <v>22</v>
      </c>
      <c r="K2772" s="8" t="s">
        <v>2725</v>
      </c>
      <c r="L2772" s="8" t="s">
        <v>1522</v>
      </c>
      <c r="M2772" s="9">
        <v>0.25</v>
      </c>
      <c r="N2772" s="9">
        <v>0.2</v>
      </c>
      <c r="O2772" s="9">
        <v>0.19</v>
      </c>
      <c r="P2772" s="54">
        <v>45437.0</v>
      </c>
      <c r="Q2772" s="11">
        <v>1.775</v>
      </c>
      <c r="R2772" s="8" t="s">
        <v>33</v>
      </c>
      <c r="S2772" s="12">
        <f t="shared" si="1"/>
        <v>0.14725</v>
      </c>
      <c r="T2772" s="12">
        <f t="shared" si="8"/>
        <v>89.34529221</v>
      </c>
      <c r="U2772" s="8"/>
    </row>
    <row r="2773">
      <c r="A2773" s="29"/>
      <c r="B2773" s="15" t="s">
        <v>129</v>
      </c>
      <c r="C2773" s="15" t="s">
        <v>19</v>
      </c>
      <c r="D2773" s="15">
        <v>26.0</v>
      </c>
      <c r="E2773" s="15" t="s">
        <v>5239</v>
      </c>
      <c r="F2773" s="15" t="s">
        <v>1479</v>
      </c>
      <c r="G2773" s="15" t="s">
        <v>1480</v>
      </c>
      <c r="H2773" s="15">
        <v>0.0</v>
      </c>
      <c r="I2773" s="15" t="s">
        <v>1031</v>
      </c>
      <c r="J2773" s="15" t="s">
        <v>22</v>
      </c>
      <c r="K2773" s="15" t="s">
        <v>1150</v>
      </c>
      <c r="L2773" s="15" t="s">
        <v>24</v>
      </c>
      <c r="M2773" s="16">
        <v>0.0</v>
      </c>
      <c r="N2773" s="16">
        <v>0.6</v>
      </c>
      <c r="O2773" s="16">
        <v>0.6</v>
      </c>
      <c r="P2773" s="17">
        <v>45437.0</v>
      </c>
      <c r="Q2773" s="18">
        <v>2.0</v>
      </c>
      <c r="R2773" s="15" t="s">
        <v>70</v>
      </c>
      <c r="S2773" s="19">
        <f t="shared" si="1"/>
        <v>0</v>
      </c>
      <c r="T2773" s="19">
        <f t="shared" si="8"/>
        <v>89.34529221</v>
      </c>
      <c r="U2773" s="15"/>
    </row>
    <row r="2774">
      <c r="A2774" s="107"/>
      <c r="B2774" s="8" t="s">
        <v>18</v>
      </c>
      <c r="C2774" s="8" t="s">
        <v>19</v>
      </c>
      <c r="D2774" s="8">
        <v>58.0</v>
      </c>
      <c r="E2774" s="8" t="s">
        <v>5240</v>
      </c>
      <c r="F2774" s="8" t="s">
        <v>1479</v>
      </c>
      <c r="G2774" s="8" t="s">
        <v>1480</v>
      </c>
      <c r="H2774" s="8">
        <v>2.0</v>
      </c>
      <c r="I2774" s="8" t="s">
        <v>341</v>
      </c>
      <c r="J2774" s="8" t="s">
        <v>22</v>
      </c>
      <c r="K2774" s="8" t="s">
        <v>892</v>
      </c>
      <c r="L2774" s="8" t="s">
        <v>24</v>
      </c>
      <c r="M2774" s="9">
        <v>0.0</v>
      </c>
      <c r="N2774" s="9">
        <v>0.35</v>
      </c>
      <c r="O2774" s="9">
        <v>0.35</v>
      </c>
      <c r="P2774" s="10">
        <v>45437.0</v>
      </c>
      <c r="Q2774" s="11">
        <v>1.738</v>
      </c>
      <c r="R2774" s="8" t="s">
        <v>33</v>
      </c>
      <c r="S2774" s="12">
        <f t="shared" si="1"/>
        <v>0.2583</v>
      </c>
      <c r="T2774" s="12">
        <f t="shared" si="8"/>
        <v>89.60359221</v>
      </c>
      <c r="U2774" s="8"/>
    </row>
    <row r="2775">
      <c r="A2775" s="29"/>
      <c r="B2775" s="15" t="s">
        <v>18</v>
      </c>
      <c r="C2775" s="15" t="s">
        <v>19</v>
      </c>
      <c r="D2775" s="15">
        <v>80.0</v>
      </c>
      <c r="E2775" s="15" t="s">
        <v>5241</v>
      </c>
      <c r="F2775" s="15" t="s">
        <v>1473</v>
      </c>
      <c r="G2775" s="15" t="s">
        <v>1480</v>
      </c>
      <c r="H2775" s="15">
        <v>-1.0</v>
      </c>
      <c r="I2775" s="15" t="s">
        <v>423</v>
      </c>
      <c r="J2775" s="15" t="s">
        <v>22</v>
      </c>
      <c r="K2775" s="15" t="s">
        <v>892</v>
      </c>
      <c r="L2775" s="15" t="s">
        <v>24</v>
      </c>
      <c r="M2775" s="16">
        <v>0.0</v>
      </c>
      <c r="N2775" s="16">
        <v>0.2</v>
      </c>
      <c r="O2775" s="16">
        <v>0.2</v>
      </c>
      <c r="P2775" s="17">
        <v>45437.0</v>
      </c>
      <c r="Q2775" s="18">
        <v>2.42</v>
      </c>
      <c r="R2775" s="15" t="s">
        <v>70</v>
      </c>
      <c r="S2775" s="19">
        <f t="shared" si="1"/>
        <v>0</v>
      </c>
      <c r="T2775" s="19">
        <f t="shared" si="8"/>
        <v>89.60359221</v>
      </c>
      <c r="U2775" s="15"/>
    </row>
    <row r="2776">
      <c r="A2776" s="107"/>
      <c r="B2776" s="8" t="s">
        <v>1915</v>
      </c>
      <c r="C2776" s="8" t="s">
        <v>19</v>
      </c>
      <c r="D2776" s="8">
        <v>0.0</v>
      </c>
      <c r="E2776" s="8" t="s">
        <v>5242</v>
      </c>
      <c r="F2776" s="8"/>
      <c r="G2776" s="8"/>
      <c r="H2776" s="8"/>
      <c r="I2776" s="8" t="s">
        <v>66</v>
      </c>
      <c r="J2776" s="8" t="s">
        <v>598</v>
      </c>
      <c r="K2776" s="8" t="s">
        <v>29</v>
      </c>
      <c r="L2776" s="8" t="s">
        <v>24</v>
      </c>
      <c r="M2776" s="9">
        <v>-2.25</v>
      </c>
      <c r="N2776" s="9">
        <v>0.1</v>
      </c>
      <c r="O2776" s="9">
        <v>0.1</v>
      </c>
      <c r="P2776" s="10">
        <v>45437.0</v>
      </c>
      <c r="Q2776" s="11">
        <v>1.825</v>
      </c>
      <c r="R2776" s="8" t="s">
        <v>30</v>
      </c>
      <c r="S2776" s="12">
        <f t="shared" si="1"/>
        <v>0.04125</v>
      </c>
      <c r="T2776" s="12">
        <f t="shared" si="8"/>
        <v>89.64484221</v>
      </c>
      <c r="U2776" s="8"/>
    </row>
    <row r="2777">
      <c r="A2777" s="29"/>
      <c r="B2777" s="15" t="s">
        <v>26</v>
      </c>
      <c r="C2777" s="15" t="s">
        <v>19</v>
      </c>
      <c r="D2777" s="15">
        <v>45.0</v>
      </c>
      <c r="E2777" s="15" t="s">
        <v>5243</v>
      </c>
      <c r="F2777" s="15" t="s">
        <v>1479</v>
      </c>
      <c r="G2777" s="15" t="s">
        <v>1477</v>
      </c>
      <c r="H2777" s="15">
        <v>-2.0</v>
      </c>
      <c r="I2777" s="15" t="s">
        <v>38</v>
      </c>
      <c r="J2777" s="15" t="s">
        <v>22</v>
      </c>
      <c r="K2777" s="15" t="s">
        <v>894</v>
      </c>
      <c r="L2777" s="15" t="s">
        <v>39</v>
      </c>
      <c r="M2777" s="16">
        <v>-1.0</v>
      </c>
      <c r="N2777" s="16">
        <v>0.1</v>
      </c>
      <c r="O2777" s="16">
        <v>0.1</v>
      </c>
      <c r="P2777" s="17">
        <v>45437.0</v>
      </c>
      <c r="Q2777" s="18">
        <v>1.7</v>
      </c>
      <c r="R2777" s="15" t="s">
        <v>70</v>
      </c>
      <c r="S2777" s="19">
        <f t="shared" si="1"/>
        <v>0</v>
      </c>
      <c r="T2777" s="19">
        <f t="shared" si="8"/>
        <v>89.64484221</v>
      </c>
      <c r="U2777" s="15"/>
    </row>
    <row r="2778">
      <c r="A2778" s="107"/>
      <c r="B2778" s="8" t="s">
        <v>129</v>
      </c>
      <c r="C2778" s="8" t="s">
        <v>40</v>
      </c>
      <c r="D2778" s="8">
        <v>80.0</v>
      </c>
      <c r="E2778" s="8" t="s">
        <v>5244</v>
      </c>
      <c r="F2778" s="8" t="s">
        <v>1479</v>
      </c>
      <c r="G2778" s="8" t="s">
        <v>1480</v>
      </c>
      <c r="H2778" s="8">
        <v>0.0</v>
      </c>
      <c r="I2778" s="8" t="s">
        <v>5245</v>
      </c>
      <c r="J2778" s="8" t="s">
        <v>22</v>
      </c>
      <c r="K2778" s="8" t="s">
        <v>2805</v>
      </c>
      <c r="L2778" s="8" t="s">
        <v>24</v>
      </c>
      <c r="M2778" s="9">
        <v>0.0</v>
      </c>
      <c r="N2778" s="9">
        <v>0.2</v>
      </c>
      <c r="O2778" s="9">
        <v>0.2</v>
      </c>
      <c r="P2778" s="10">
        <v>45437.0</v>
      </c>
      <c r="Q2778" s="11">
        <v>2.15</v>
      </c>
      <c r="R2778" s="8" t="s">
        <v>70</v>
      </c>
      <c r="S2778" s="12">
        <f t="shared" si="1"/>
        <v>0</v>
      </c>
      <c r="T2778" s="12">
        <f t="shared" si="8"/>
        <v>89.64484221</v>
      </c>
      <c r="U2778" s="8"/>
    </row>
    <row r="2779">
      <c r="A2779" s="29"/>
      <c r="B2779" s="15" t="s">
        <v>129</v>
      </c>
      <c r="C2779" s="15" t="s">
        <v>19</v>
      </c>
      <c r="D2779" s="15">
        <v>25.0</v>
      </c>
      <c r="E2779" s="15" t="s">
        <v>5246</v>
      </c>
      <c r="F2779" s="15" t="s">
        <v>1473</v>
      </c>
      <c r="G2779" s="15" t="s">
        <v>1480</v>
      </c>
      <c r="H2779" s="15">
        <v>3.0</v>
      </c>
      <c r="I2779" s="15" t="s">
        <v>432</v>
      </c>
      <c r="J2779" s="15" t="s">
        <v>22</v>
      </c>
      <c r="K2779" s="15" t="s">
        <v>1150</v>
      </c>
      <c r="L2779" s="15" t="s">
        <v>24</v>
      </c>
      <c r="M2779" s="16">
        <v>0.0</v>
      </c>
      <c r="N2779" s="16">
        <v>0.2</v>
      </c>
      <c r="O2779" s="16">
        <v>0.2</v>
      </c>
      <c r="P2779" s="17">
        <v>45437.0</v>
      </c>
      <c r="Q2779" s="18">
        <v>1.65</v>
      </c>
      <c r="R2779" s="15" t="s">
        <v>70</v>
      </c>
      <c r="S2779" s="19">
        <f t="shared" si="1"/>
        <v>0</v>
      </c>
      <c r="T2779" s="19">
        <f t="shared" si="8"/>
        <v>89.64484221</v>
      </c>
      <c r="U2779" s="15"/>
    </row>
    <row r="2780">
      <c r="A2780" s="107"/>
      <c r="B2780" s="8" t="s">
        <v>4225</v>
      </c>
      <c r="C2780" s="8" t="s">
        <v>19</v>
      </c>
      <c r="D2780" s="8">
        <v>80.0</v>
      </c>
      <c r="E2780" s="8" t="s">
        <v>5247</v>
      </c>
      <c r="F2780" s="8" t="s">
        <v>1473</v>
      </c>
      <c r="G2780" s="8" t="s">
        <v>1480</v>
      </c>
      <c r="H2780" s="8">
        <v>0.0</v>
      </c>
      <c r="I2780" s="8" t="s">
        <v>66</v>
      </c>
      <c r="J2780" s="8" t="s">
        <v>22</v>
      </c>
      <c r="K2780" s="8" t="s">
        <v>892</v>
      </c>
      <c r="L2780" s="8" t="s">
        <v>24</v>
      </c>
      <c r="M2780" s="9">
        <v>0.0</v>
      </c>
      <c r="N2780" s="9">
        <v>0.1</v>
      </c>
      <c r="O2780" s="9">
        <v>0.1</v>
      </c>
      <c r="P2780" s="10">
        <v>45437.0</v>
      </c>
      <c r="Q2780" s="11">
        <v>1.625</v>
      </c>
      <c r="R2780" s="8" t="s">
        <v>33</v>
      </c>
      <c r="S2780" s="12">
        <f t="shared" si="1"/>
        <v>0.0625</v>
      </c>
      <c r="T2780" s="12">
        <f t="shared" si="8"/>
        <v>89.70734221</v>
      </c>
      <c r="U2780" s="8"/>
    </row>
    <row r="2781">
      <c r="A2781" s="29"/>
      <c r="B2781" s="15" t="s">
        <v>137</v>
      </c>
      <c r="C2781" s="15" t="s">
        <v>19</v>
      </c>
      <c r="D2781" s="15">
        <v>25.0</v>
      </c>
      <c r="E2781" s="15" t="s">
        <v>5248</v>
      </c>
      <c r="F2781" s="15" t="s">
        <v>1479</v>
      </c>
      <c r="G2781" s="15" t="s">
        <v>1480</v>
      </c>
      <c r="H2781" s="15">
        <v>-1.0</v>
      </c>
      <c r="I2781" s="15" t="s">
        <v>1470</v>
      </c>
      <c r="J2781" s="15" t="s">
        <v>22</v>
      </c>
      <c r="K2781" s="15" t="s">
        <v>1150</v>
      </c>
      <c r="L2781" s="15" t="s">
        <v>24</v>
      </c>
      <c r="M2781" s="16">
        <v>0.0</v>
      </c>
      <c r="N2781" s="16">
        <v>0.4</v>
      </c>
      <c r="O2781" s="16">
        <v>0.4</v>
      </c>
      <c r="P2781" s="17">
        <v>45438.0</v>
      </c>
      <c r="Q2781" s="18">
        <v>1.8</v>
      </c>
      <c r="R2781" s="15" t="s">
        <v>25</v>
      </c>
      <c r="S2781" s="19">
        <f t="shared" si="1"/>
        <v>-0.4</v>
      </c>
      <c r="T2781" s="19">
        <f t="shared" si="8"/>
        <v>89.30734221</v>
      </c>
      <c r="U2781" s="15"/>
    </row>
    <row r="2782">
      <c r="A2782" s="107"/>
      <c r="B2782" s="8" t="s">
        <v>137</v>
      </c>
      <c r="C2782" s="8" t="s">
        <v>19</v>
      </c>
      <c r="D2782" s="8">
        <v>39.0</v>
      </c>
      <c r="E2782" s="8" t="s">
        <v>5249</v>
      </c>
      <c r="F2782" s="8" t="s">
        <v>1473</v>
      </c>
      <c r="G2782" s="8" t="s">
        <v>1474</v>
      </c>
      <c r="H2782" s="8">
        <v>0.0</v>
      </c>
      <c r="I2782" s="8" t="s">
        <v>3476</v>
      </c>
      <c r="J2782" s="8" t="s">
        <v>22</v>
      </c>
      <c r="K2782" s="8" t="s">
        <v>225</v>
      </c>
      <c r="L2782" s="8" t="s">
        <v>24</v>
      </c>
      <c r="M2782" s="9">
        <v>0.5</v>
      </c>
      <c r="N2782" s="9">
        <v>0.2</v>
      </c>
      <c r="O2782" s="9">
        <v>0.2</v>
      </c>
      <c r="P2782" s="10">
        <v>45438.0</v>
      </c>
      <c r="Q2782" s="11">
        <v>1.75</v>
      </c>
      <c r="R2782" s="8" t="s">
        <v>25</v>
      </c>
      <c r="S2782" s="12">
        <f t="shared" si="1"/>
        <v>-0.2</v>
      </c>
      <c r="T2782" s="12">
        <f t="shared" si="8"/>
        <v>89.10734221</v>
      </c>
      <c r="U2782" s="8"/>
    </row>
    <row r="2783">
      <c r="A2783" s="29"/>
      <c r="B2783" s="15" t="s">
        <v>129</v>
      </c>
      <c r="C2783" s="15" t="s">
        <v>19</v>
      </c>
      <c r="D2783" s="15">
        <v>28.0</v>
      </c>
      <c r="E2783" s="15" t="s">
        <v>5250</v>
      </c>
      <c r="F2783" s="15" t="s">
        <v>1473</v>
      </c>
      <c r="G2783" s="15" t="s">
        <v>1480</v>
      </c>
      <c r="H2783" s="15">
        <v>0.0</v>
      </c>
      <c r="I2783" s="15" t="s">
        <v>1501</v>
      </c>
      <c r="J2783" s="15" t="s">
        <v>22</v>
      </c>
      <c r="K2783" s="15" t="s">
        <v>1150</v>
      </c>
      <c r="L2783" s="15" t="s">
        <v>24</v>
      </c>
      <c r="M2783" s="16">
        <v>0.0</v>
      </c>
      <c r="N2783" s="16">
        <v>0.6</v>
      </c>
      <c r="O2783" s="16">
        <v>0.6</v>
      </c>
      <c r="P2783" s="17">
        <v>45438.0</v>
      </c>
      <c r="Q2783" s="18">
        <v>1.8</v>
      </c>
      <c r="R2783" s="15" t="s">
        <v>70</v>
      </c>
      <c r="S2783" s="19">
        <f t="shared" si="1"/>
        <v>0</v>
      </c>
      <c r="T2783" s="19">
        <f t="shared" si="8"/>
        <v>89.10734221</v>
      </c>
      <c r="U2783" s="15"/>
    </row>
    <row r="2784">
      <c r="A2784" s="107"/>
      <c r="B2784" s="8" t="s">
        <v>1915</v>
      </c>
      <c r="C2784" s="8" t="s">
        <v>19</v>
      </c>
      <c r="D2784" s="8">
        <v>0.0</v>
      </c>
      <c r="E2784" s="8" t="s">
        <v>5251</v>
      </c>
      <c r="F2784" s="8"/>
      <c r="G2784" s="8"/>
      <c r="H2784" s="8"/>
      <c r="I2784" s="8" t="s">
        <v>93</v>
      </c>
      <c r="J2784" s="8" t="s">
        <v>22</v>
      </c>
      <c r="K2784" s="8" t="s">
        <v>29</v>
      </c>
      <c r="L2784" s="8" t="s">
        <v>24</v>
      </c>
      <c r="M2784" s="9">
        <v>-2.25</v>
      </c>
      <c r="N2784" s="9">
        <v>0.25</v>
      </c>
      <c r="O2784" s="9">
        <v>0.25</v>
      </c>
      <c r="P2784" s="10">
        <v>45438.0</v>
      </c>
      <c r="Q2784" s="11">
        <v>1.8</v>
      </c>
      <c r="R2784" s="8" t="s">
        <v>25</v>
      </c>
      <c r="S2784" s="12">
        <f t="shared" si="1"/>
        <v>-0.25</v>
      </c>
      <c r="T2784" s="12">
        <f t="shared" si="8"/>
        <v>88.85734221</v>
      </c>
      <c r="U2784" s="8"/>
    </row>
    <row r="2785">
      <c r="A2785" s="29"/>
      <c r="B2785" s="15" t="s">
        <v>26</v>
      </c>
      <c r="C2785" s="15" t="s">
        <v>19</v>
      </c>
      <c r="D2785" s="15">
        <v>81.0</v>
      </c>
      <c r="E2785" s="15" t="s">
        <v>5252</v>
      </c>
      <c r="F2785" s="15" t="s">
        <v>1473</v>
      </c>
      <c r="G2785" s="15" t="s">
        <v>1480</v>
      </c>
      <c r="H2785" s="15">
        <v>-1.0</v>
      </c>
      <c r="I2785" s="15" t="s">
        <v>319</v>
      </c>
      <c r="J2785" s="15" t="s">
        <v>22</v>
      </c>
      <c r="K2785" s="15" t="s">
        <v>892</v>
      </c>
      <c r="L2785" s="15" t="s">
        <v>24</v>
      </c>
      <c r="M2785" s="16">
        <v>0.0</v>
      </c>
      <c r="N2785" s="16">
        <v>0.4</v>
      </c>
      <c r="O2785" s="16">
        <v>0.4</v>
      </c>
      <c r="P2785" s="17">
        <v>45438.0</v>
      </c>
      <c r="Q2785" s="18">
        <v>1.825</v>
      </c>
      <c r="R2785" s="15" t="s">
        <v>25</v>
      </c>
      <c r="S2785" s="19">
        <f t="shared" si="1"/>
        <v>-0.4</v>
      </c>
      <c r="T2785" s="19">
        <f t="shared" si="8"/>
        <v>88.45734221</v>
      </c>
      <c r="U2785" s="15"/>
    </row>
    <row r="2786">
      <c r="A2786" s="107"/>
      <c r="B2786" s="8" t="s">
        <v>129</v>
      </c>
      <c r="C2786" s="8" t="s">
        <v>40</v>
      </c>
      <c r="D2786" s="8">
        <v>13.0</v>
      </c>
      <c r="E2786" s="8" t="s">
        <v>5253</v>
      </c>
      <c r="F2786" s="8" t="s">
        <v>1479</v>
      </c>
      <c r="G2786" s="8" t="s">
        <v>1480</v>
      </c>
      <c r="H2786" s="8">
        <v>0.0</v>
      </c>
      <c r="I2786" s="8" t="s">
        <v>245</v>
      </c>
      <c r="J2786" s="8" t="s">
        <v>22</v>
      </c>
      <c r="K2786" s="8" t="s">
        <v>1150</v>
      </c>
      <c r="L2786" s="8" t="s">
        <v>24</v>
      </c>
      <c r="M2786" s="9">
        <v>0.0</v>
      </c>
      <c r="N2786" s="9">
        <v>0.8</v>
      </c>
      <c r="O2786" s="9">
        <v>0.77</v>
      </c>
      <c r="P2786" s="10">
        <v>45438.0</v>
      </c>
      <c r="Q2786" s="11">
        <v>1.75</v>
      </c>
      <c r="R2786" s="8" t="s">
        <v>70</v>
      </c>
      <c r="S2786" s="12">
        <f t="shared" si="1"/>
        <v>0</v>
      </c>
      <c r="T2786" s="12">
        <f t="shared" si="8"/>
        <v>88.45734221</v>
      </c>
      <c r="U2786" s="8"/>
    </row>
    <row r="2787">
      <c r="A2787" s="29"/>
      <c r="B2787" s="15" t="s">
        <v>26</v>
      </c>
      <c r="C2787" s="15" t="s">
        <v>19</v>
      </c>
      <c r="D2787" s="15">
        <v>56.0</v>
      </c>
      <c r="E2787" s="15" t="s">
        <v>5254</v>
      </c>
      <c r="F2787" s="15" t="s">
        <v>1479</v>
      </c>
      <c r="G2787" s="15" t="s">
        <v>1480</v>
      </c>
      <c r="H2787" s="15">
        <v>0.0</v>
      </c>
      <c r="I2787" s="15" t="s">
        <v>99</v>
      </c>
      <c r="J2787" s="15" t="s">
        <v>22</v>
      </c>
      <c r="K2787" s="15" t="s">
        <v>892</v>
      </c>
      <c r="L2787" s="15" t="s">
        <v>24</v>
      </c>
      <c r="M2787" s="16">
        <v>0.0</v>
      </c>
      <c r="N2787" s="16">
        <v>0.6</v>
      </c>
      <c r="O2787" s="16">
        <v>0.6</v>
      </c>
      <c r="P2787" s="17">
        <v>45438.0</v>
      </c>
      <c r="Q2787" s="18">
        <v>1.825</v>
      </c>
      <c r="R2787" s="15" t="s">
        <v>25</v>
      </c>
      <c r="S2787" s="19">
        <f t="shared" si="1"/>
        <v>-0.6</v>
      </c>
      <c r="T2787" s="19">
        <f t="shared" si="8"/>
        <v>87.85734221</v>
      </c>
      <c r="U2787" s="15"/>
    </row>
    <row r="2788">
      <c r="A2788" s="107"/>
      <c r="B2788" s="8" t="s">
        <v>26</v>
      </c>
      <c r="C2788" s="8" t="s">
        <v>19</v>
      </c>
      <c r="D2788" s="8">
        <v>32.0</v>
      </c>
      <c r="E2788" s="8" t="s">
        <v>5255</v>
      </c>
      <c r="F2788" s="8" t="s">
        <v>1479</v>
      </c>
      <c r="G2788" s="8" t="s">
        <v>1477</v>
      </c>
      <c r="H2788" s="8">
        <v>0.0</v>
      </c>
      <c r="I2788" s="8" t="s">
        <v>231</v>
      </c>
      <c r="J2788" s="8" t="s">
        <v>22</v>
      </c>
      <c r="K2788" s="8" t="s">
        <v>894</v>
      </c>
      <c r="L2788" s="8" t="s">
        <v>24</v>
      </c>
      <c r="M2788" s="9">
        <v>-0.5</v>
      </c>
      <c r="N2788" s="9">
        <v>0.5</v>
      </c>
      <c r="O2788" s="9">
        <v>0.5</v>
      </c>
      <c r="P2788" s="10">
        <v>45440.0</v>
      </c>
      <c r="Q2788" s="11">
        <v>1.583</v>
      </c>
      <c r="R2788" s="8" t="s">
        <v>33</v>
      </c>
      <c r="S2788" s="12">
        <f t="shared" si="1"/>
        <v>0.2915</v>
      </c>
      <c r="T2788" s="12">
        <f t="shared" si="8"/>
        <v>88.14884221</v>
      </c>
      <c r="U2788" s="8"/>
    </row>
    <row r="2789">
      <c r="A2789" s="29"/>
      <c r="B2789" s="15" t="s">
        <v>26</v>
      </c>
      <c r="C2789" s="15" t="s">
        <v>40</v>
      </c>
      <c r="D2789" s="15">
        <v>8.0</v>
      </c>
      <c r="E2789" s="15" t="s">
        <v>5256</v>
      </c>
      <c r="F2789" s="15" t="s">
        <v>1473</v>
      </c>
      <c r="G2789" s="15" t="s">
        <v>1480</v>
      </c>
      <c r="H2789" s="15">
        <v>0.0</v>
      </c>
      <c r="I2789" s="15" t="s">
        <v>5245</v>
      </c>
      <c r="J2789" s="15" t="s">
        <v>22</v>
      </c>
      <c r="K2789" s="15" t="s">
        <v>892</v>
      </c>
      <c r="L2789" s="15" t="s">
        <v>24</v>
      </c>
      <c r="M2789" s="16">
        <v>0.0</v>
      </c>
      <c r="N2789" s="16">
        <v>0.6</v>
      </c>
      <c r="O2789" s="16">
        <v>0.51</v>
      </c>
      <c r="P2789" s="17">
        <v>45441.0</v>
      </c>
      <c r="Q2789" s="18">
        <v>2.0</v>
      </c>
      <c r="R2789" s="15" t="s">
        <v>33</v>
      </c>
      <c r="S2789" s="19">
        <f t="shared" si="1"/>
        <v>0.51</v>
      </c>
      <c r="T2789" s="19">
        <f t="shared" si="8"/>
        <v>88.65884221</v>
      </c>
      <c r="U2789" s="15"/>
    </row>
    <row r="2790">
      <c r="A2790" s="107"/>
      <c r="B2790" s="8" t="s">
        <v>26</v>
      </c>
      <c r="C2790" s="8" t="s">
        <v>40</v>
      </c>
      <c r="D2790" s="8">
        <v>13.0</v>
      </c>
      <c r="E2790" s="8" t="s">
        <v>5257</v>
      </c>
      <c r="F2790" s="8" t="s">
        <v>1473</v>
      </c>
      <c r="G2790" s="8" t="s">
        <v>1480</v>
      </c>
      <c r="H2790" s="8">
        <v>0.0</v>
      </c>
      <c r="I2790" s="8" t="s">
        <v>5245</v>
      </c>
      <c r="J2790" s="8" t="s">
        <v>22</v>
      </c>
      <c r="K2790" s="8" t="s">
        <v>1150</v>
      </c>
      <c r="L2790" s="8" t="s">
        <v>24</v>
      </c>
      <c r="M2790" s="9">
        <v>0.0</v>
      </c>
      <c r="N2790" s="9">
        <v>0.2</v>
      </c>
      <c r="O2790" s="9">
        <v>0.2</v>
      </c>
      <c r="P2790" s="10">
        <v>45441.0</v>
      </c>
      <c r="Q2790" s="11">
        <v>1.7</v>
      </c>
      <c r="R2790" s="8" t="s">
        <v>70</v>
      </c>
      <c r="S2790" s="12">
        <f t="shared" si="1"/>
        <v>0</v>
      </c>
      <c r="T2790" s="12">
        <f t="shared" si="8"/>
        <v>88.65884221</v>
      </c>
      <c r="U2790" s="8"/>
    </row>
    <row r="2791">
      <c r="A2791" s="29"/>
      <c r="B2791" s="15" t="s">
        <v>26</v>
      </c>
      <c r="C2791" s="15" t="s">
        <v>19</v>
      </c>
      <c r="D2791" s="15">
        <v>72.0</v>
      </c>
      <c r="E2791" s="15" t="s">
        <v>5258</v>
      </c>
      <c r="F2791" s="15" t="s">
        <v>1473</v>
      </c>
      <c r="G2791" s="15" t="s">
        <v>1480</v>
      </c>
      <c r="H2791" s="15">
        <v>0.0</v>
      </c>
      <c r="I2791" s="15" t="s">
        <v>191</v>
      </c>
      <c r="J2791" s="15" t="s">
        <v>22</v>
      </c>
      <c r="K2791" s="15" t="s">
        <v>892</v>
      </c>
      <c r="L2791" s="15" t="s">
        <v>24</v>
      </c>
      <c r="M2791" s="16">
        <v>0.0</v>
      </c>
      <c r="N2791" s="16">
        <v>0.5</v>
      </c>
      <c r="O2791" s="16">
        <v>0.5</v>
      </c>
      <c r="P2791" s="17">
        <v>45441.0</v>
      </c>
      <c r="Q2791" s="18">
        <v>1.6</v>
      </c>
      <c r="R2791" s="15" t="s">
        <v>25</v>
      </c>
      <c r="S2791" s="19">
        <f t="shared" si="1"/>
        <v>-0.5</v>
      </c>
      <c r="T2791" s="19">
        <f t="shared" si="8"/>
        <v>88.15884221</v>
      </c>
      <c r="U2791" s="15"/>
    </row>
    <row r="2792">
      <c r="A2792" s="107"/>
      <c r="B2792" s="8" t="s">
        <v>4225</v>
      </c>
      <c r="C2792" s="8" t="s">
        <v>19</v>
      </c>
      <c r="D2792" s="8">
        <v>65.0</v>
      </c>
      <c r="E2792" s="8" t="s">
        <v>5259</v>
      </c>
      <c r="F2792" s="8" t="s">
        <v>1479</v>
      </c>
      <c r="G2792" s="8" t="s">
        <v>1480</v>
      </c>
      <c r="H2792" s="8">
        <v>0.0</v>
      </c>
      <c r="I2792" s="8" t="s">
        <v>96</v>
      </c>
      <c r="J2792" s="8" t="s">
        <v>22</v>
      </c>
      <c r="K2792" s="8" t="s">
        <v>892</v>
      </c>
      <c r="L2792" s="8" t="s">
        <v>24</v>
      </c>
      <c r="M2792" s="9">
        <v>0.0</v>
      </c>
      <c r="N2792" s="9">
        <v>0.4</v>
      </c>
      <c r="O2792" s="9">
        <v>0.4</v>
      </c>
      <c r="P2792" s="54">
        <v>45441.0</v>
      </c>
      <c r="Q2792" s="11">
        <v>1.825</v>
      </c>
      <c r="R2792" s="8" t="s">
        <v>70</v>
      </c>
      <c r="S2792" s="12">
        <f t="shared" si="1"/>
        <v>0</v>
      </c>
      <c r="T2792" s="12">
        <f t="shared" si="8"/>
        <v>88.15884221</v>
      </c>
      <c r="U2792" s="8"/>
    </row>
    <row r="2793">
      <c r="A2793" s="29"/>
      <c r="B2793" s="15" t="s">
        <v>137</v>
      </c>
      <c r="C2793" s="15" t="s">
        <v>40</v>
      </c>
      <c r="D2793" s="15">
        <v>25.0</v>
      </c>
      <c r="E2793" s="15" t="s">
        <v>5260</v>
      </c>
      <c r="F2793" s="15" t="s">
        <v>1479</v>
      </c>
      <c r="G2793" s="15" t="s">
        <v>1480</v>
      </c>
      <c r="H2793" s="15">
        <v>0.0</v>
      </c>
      <c r="I2793" s="15" t="s">
        <v>794</v>
      </c>
      <c r="J2793" s="15" t="s">
        <v>22</v>
      </c>
      <c r="K2793" s="15" t="s">
        <v>1150</v>
      </c>
      <c r="L2793" s="15" t="s">
        <v>24</v>
      </c>
      <c r="M2793" s="16">
        <v>0.0</v>
      </c>
      <c r="N2793" s="16">
        <v>0.5</v>
      </c>
      <c r="O2793" s="16">
        <v>0.49</v>
      </c>
      <c r="P2793" s="17">
        <v>45441.0</v>
      </c>
      <c r="Q2793" s="18">
        <v>1.825</v>
      </c>
      <c r="R2793" s="15" t="s">
        <v>70</v>
      </c>
      <c r="S2793" s="19">
        <f t="shared" si="1"/>
        <v>0</v>
      </c>
      <c r="T2793" s="19">
        <f t="shared" si="8"/>
        <v>88.15884221</v>
      </c>
      <c r="U2793" s="15"/>
    </row>
    <row r="2794">
      <c r="A2794" s="107"/>
      <c r="B2794" s="8" t="s">
        <v>1915</v>
      </c>
      <c r="C2794" s="8" t="s">
        <v>19</v>
      </c>
      <c r="D2794" s="8">
        <v>7.0</v>
      </c>
      <c r="E2794" s="8" t="s">
        <v>5261</v>
      </c>
      <c r="F2794" s="8"/>
      <c r="G2794" s="8"/>
      <c r="H2794" s="8"/>
      <c r="I2794" s="8" t="s">
        <v>44</v>
      </c>
      <c r="J2794" s="8" t="s">
        <v>22</v>
      </c>
      <c r="K2794" s="8" t="s">
        <v>29</v>
      </c>
      <c r="L2794" s="8" t="s">
        <v>24</v>
      </c>
      <c r="M2794" s="9">
        <v>-2.5</v>
      </c>
      <c r="N2794" s="9">
        <v>0.5</v>
      </c>
      <c r="O2794" s="9">
        <v>0.49</v>
      </c>
      <c r="P2794" s="10">
        <v>45441.0</v>
      </c>
      <c r="Q2794" s="11">
        <f>1.863</f>
        <v>1.863</v>
      </c>
      <c r="R2794" s="8" t="s">
        <v>33</v>
      </c>
      <c r="S2794" s="12">
        <f t="shared" si="1"/>
        <v>0.42287</v>
      </c>
      <c r="T2794" s="12">
        <f t="shared" si="8"/>
        <v>88.58171221</v>
      </c>
      <c r="U2794" s="8"/>
    </row>
    <row r="2795">
      <c r="A2795" s="29"/>
      <c r="B2795" s="15" t="s">
        <v>26</v>
      </c>
      <c r="C2795" s="15" t="s">
        <v>19</v>
      </c>
      <c r="D2795" s="15">
        <v>37.0</v>
      </c>
      <c r="E2795" s="15" t="s">
        <v>5262</v>
      </c>
      <c r="F2795" s="15" t="s">
        <v>1479</v>
      </c>
      <c r="G2795" s="15" t="s">
        <v>1480</v>
      </c>
      <c r="H2795" s="15">
        <v>0.0</v>
      </c>
      <c r="I2795" s="15" t="s">
        <v>316</v>
      </c>
      <c r="J2795" s="15" t="s">
        <v>22</v>
      </c>
      <c r="K2795" s="15" t="s">
        <v>1150</v>
      </c>
      <c r="L2795" s="15" t="s">
        <v>24</v>
      </c>
      <c r="M2795" s="16">
        <v>0.0</v>
      </c>
      <c r="N2795" s="16">
        <v>0.2</v>
      </c>
      <c r="O2795" s="16">
        <v>0.2</v>
      </c>
      <c r="P2795" s="17">
        <v>45441.0</v>
      </c>
      <c r="Q2795" s="18">
        <v>1.825</v>
      </c>
      <c r="R2795" s="15" t="s">
        <v>70</v>
      </c>
      <c r="S2795" s="19">
        <f t="shared" si="1"/>
        <v>0</v>
      </c>
      <c r="T2795" s="19">
        <f t="shared" si="8"/>
        <v>88.58171221</v>
      </c>
      <c r="U2795" s="15"/>
    </row>
    <row r="2796">
      <c r="A2796" s="107"/>
      <c r="B2796" s="8" t="s">
        <v>26</v>
      </c>
      <c r="C2796" s="8" t="s">
        <v>19</v>
      </c>
      <c r="D2796" s="8">
        <v>63.0</v>
      </c>
      <c r="E2796" s="8" t="s">
        <v>5263</v>
      </c>
      <c r="F2796" s="8" t="s">
        <v>1473</v>
      </c>
      <c r="G2796" s="8" t="s">
        <v>1474</v>
      </c>
      <c r="H2796" s="8">
        <v>-1.0</v>
      </c>
      <c r="I2796" s="8" t="s">
        <v>4293</v>
      </c>
      <c r="J2796" s="8" t="s">
        <v>22</v>
      </c>
      <c r="K2796" s="8" t="s">
        <v>225</v>
      </c>
      <c r="L2796" s="8" t="s">
        <v>24</v>
      </c>
      <c r="M2796" s="9">
        <v>0.25</v>
      </c>
      <c r="N2796" s="9">
        <v>0.4</v>
      </c>
      <c r="O2796" s="9">
        <v>0.3</v>
      </c>
      <c r="P2796" s="10">
        <v>45441.0</v>
      </c>
      <c r="Q2796" s="11">
        <v>1.725</v>
      </c>
      <c r="R2796" s="8" t="s">
        <v>33</v>
      </c>
      <c r="S2796" s="12">
        <f t="shared" si="1"/>
        <v>0.2175</v>
      </c>
      <c r="T2796" s="12">
        <f t="shared" si="8"/>
        <v>88.79921221</v>
      </c>
      <c r="U2796" s="8"/>
    </row>
    <row r="2797">
      <c r="A2797" s="29"/>
      <c r="B2797" s="15" t="s">
        <v>26</v>
      </c>
      <c r="C2797" s="15" t="s">
        <v>19</v>
      </c>
      <c r="D2797" s="15">
        <v>70.0</v>
      </c>
      <c r="E2797" s="15" t="s">
        <v>5264</v>
      </c>
      <c r="F2797" s="15" t="s">
        <v>1473</v>
      </c>
      <c r="G2797" s="15"/>
      <c r="H2797" s="15"/>
      <c r="I2797" s="15" t="s">
        <v>463</v>
      </c>
      <c r="J2797" s="15" t="s">
        <v>22</v>
      </c>
      <c r="K2797" s="15" t="s">
        <v>1165</v>
      </c>
      <c r="L2797" s="15"/>
      <c r="M2797" s="16"/>
      <c r="N2797" s="16">
        <v>0.1</v>
      </c>
      <c r="O2797" s="16">
        <v>0.1</v>
      </c>
      <c r="P2797" s="17">
        <v>45441.0</v>
      </c>
      <c r="Q2797" s="18">
        <v>5.0</v>
      </c>
      <c r="R2797" s="15" t="s">
        <v>25</v>
      </c>
      <c r="S2797" s="19">
        <f t="shared" si="1"/>
        <v>-0.1</v>
      </c>
      <c r="T2797" s="19">
        <f t="shared" si="8"/>
        <v>88.69921221</v>
      </c>
      <c r="U2797" s="15"/>
    </row>
    <row r="2798">
      <c r="A2798" s="107"/>
      <c r="B2798" s="8" t="s">
        <v>4225</v>
      </c>
      <c r="C2798" s="8" t="s">
        <v>19</v>
      </c>
      <c r="D2798" s="8">
        <v>70.0</v>
      </c>
      <c r="E2798" s="8" t="s">
        <v>5265</v>
      </c>
      <c r="F2798" s="8" t="s">
        <v>1473</v>
      </c>
      <c r="G2798" s="8" t="s">
        <v>1480</v>
      </c>
      <c r="H2798" s="8">
        <v>0.0</v>
      </c>
      <c r="I2798" s="8" t="s">
        <v>227</v>
      </c>
      <c r="J2798" s="8" t="s">
        <v>22</v>
      </c>
      <c r="K2798" s="8" t="s">
        <v>892</v>
      </c>
      <c r="L2798" s="8"/>
      <c r="M2798" s="9">
        <v>0.0</v>
      </c>
      <c r="N2798" s="9">
        <v>0.4</v>
      </c>
      <c r="O2798" s="9">
        <v>0.4</v>
      </c>
      <c r="P2798" s="10">
        <v>45441.0</v>
      </c>
      <c r="Q2798" s="11">
        <v>1.9</v>
      </c>
      <c r="R2798" s="8" t="s">
        <v>70</v>
      </c>
      <c r="S2798" s="12">
        <f t="shared" si="1"/>
        <v>0</v>
      </c>
      <c r="T2798" s="12">
        <f t="shared" si="8"/>
        <v>88.69921221</v>
      </c>
      <c r="U2798" s="8"/>
    </row>
    <row r="2799">
      <c r="A2799" s="29"/>
      <c r="B2799" s="15" t="s">
        <v>26</v>
      </c>
      <c r="C2799" s="15" t="s">
        <v>19</v>
      </c>
      <c r="D2799" s="15">
        <v>34.0</v>
      </c>
      <c r="E2799" s="15" t="s">
        <v>5266</v>
      </c>
      <c r="F2799" s="15" t="s">
        <v>1473</v>
      </c>
      <c r="G2799" s="15" t="s">
        <v>1474</v>
      </c>
      <c r="H2799" s="15">
        <v>-1.0</v>
      </c>
      <c r="I2799" s="15" t="s">
        <v>316</v>
      </c>
      <c r="J2799" s="15" t="s">
        <v>22</v>
      </c>
      <c r="K2799" s="15" t="s">
        <v>225</v>
      </c>
      <c r="L2799" s="15" t="s">
        <v>24</v>
      </c>
      <c r="M2799" s="16">
        <v>0.5</v>
      </c>
      <c r="N2799" s="16">
        <v>0.5</v>
      </c>
      <c r="O2799" s="16">
        <v>0.5</v>
      </c>
      <c r="P2799" s="17">
        <v>45443.0</v>
      </c>
      <c r="Q2799" s="18">
        <v>1.75</v>
      </c>
      <c r="R2799" s="15" t="s">
        <v>25</v>
      </c>
      <c r="S2799" s="19">
        <f t="shared" si="1"/>
        <v>-0.5</v>
      </c>
      <c r="T2799" s="19">
        <f t="shared" si="8"/>
        <v>88.19921221</v>
      </c>
      <c r="U2799" s="15"/>
    </row>
    <row r="2800">
      <c r="A2800" s="107"/>
      <c r="B2800" s="8" t="s">
        <v>4225</v>
      </c>
      <c r="C2800" s="8" t="s">
        <v>19</v>
      </c>
      <c r="D2800" s="8">
        <v>19.0</v>
      </c>
      <c r="E2800" s="8" t="s">
        <v>5267</v>
      </c>
      <c r="F2800" s="8" t="s">
        <v>1479</v>
      </c>
      <c r="G2800" s="8" t="s">
        <v>1480</v>
      </c>
      <c r="H2800" s="8">
        <v>0.0</v>
      </c>
      <c r="I2800" s="8" t="s">
        <v>82</v>
      </c>
      <c r="J2800" s="8" t="s">
        <v>22</v>
      </c>
      <c r="K2800" s="8" t="s">
        <v>1150</v>
      </c>
      <c r="L2800" s="8" t="s">
        <v>24</v>
      </c>
      <c r="M2800" s="9">
        <v>0.0</v>
      </c>
      <c r="N2800" s="9">
        <v>0.6</v>
      </c>
      <c r="O2800" s="9">
        <v>0.6</v>
      </c>
      <c r="P2800" s="10">
        <v>45443.0</v>
      </c>
      <c r="Q2800" s="11">
        <v>1.725</v>
      </c>
      <c r="R2800" s="8" t="s">
        <v>33</v>
      </c>
      <c r="S2800" s="12">
        <f t="shared" si="1"/>
        <v>0.435</v>
      </c>
      <c r="T2800" s="12">
        <f t="shared" si="8"/>
        <v>88.63421221</v>
      </c>
      <c r="U2800" s="8"/>
    </row>
    <row r="2801">
      <c r="A2801" s="29"/>
      <c r="B2801" s="15" t="s">
        <v>26</v>
      </c>
      <c r="C2801" s="15" t="s">
        <v>19</v>
      </c>
      <c r="D2801" s="15">
        <v>71.0</v>
      </c>
      <c r="E2801" s="15" t="s">
        <v>5268</v>
      </c>
      <c r="F2801" s="15" t="s">
        <v>1479</v>
      </c>
      <c r="G2801" s="15" t="s">
        <v>1480</v>
      </c>
      <c r="H2801" s="15">
        <v>-1.0</v>
      </c>
      <c r="I2801" s="15" t="s">
        <v>316</v>
      </c>
      <c r="J2801" s="15" t="s">
        <v>22</v>
      </c>
      <c r="K2801" s="15" t="s">
        <v>892</v>
      </c>
      <c r="L2801" s="15" t="s">
        <v>24</v>
      </c>
      <c r="M2801" s="16">
        <v>0.0</v>
      </c>
      <c r="N2801" s="16">
        <v>0.4</v>
      </c>
      <c r="O2801" s="16">
        <v>0.4</v>
      </c>
      <c r="P2801" s="17">
        <v>45443.0</v>
      </c>
      <c r="Q2801" s="18">
        <v>2.2</v>
      </c>
      <c r="R2801" s="15" t="s">
        <v>70</v>
      </c>
      <c r="S2801" s="19">
        <f t="shared" si="1"/>
        <v>0</v>
      </c>
      <c r="T2801" s="19">
        <f t="shared" si="8"/>
        <v>88.63421221</v>
      </c>
      <c r="U2801" s="15"/>
    </row>
    <row r="2802">
      <c r="A2802" s="107"/>
      <c r="B2802" s="8" t="s">
        <v>26</v>
      </c>
      <c r="C2802" s="8" t="s">
        <v>19</v>
      </c>
      <c r="D2802" s="8">
        <v>73.0</v>
      </c>
      <c r="E2802" s="8" t="s">
        <v>5269</v>
      </c>
      <c r="F2802" s="8"/>
      <c r="G2802" s="8"/>
      <c r="H2802" s="8"/>
      <c r="I2802" s="8" t="s">
        <v>174</v>
      </c>
      <c r="J2802" s="8" t="s">
        <v>22</v>
      </c>
      <c r="K2802" s="8" t="s">
        <v>440</v>
      </c>
      <c r="L2802" s="8" t="s">
        <v>24</v>
      </c>
      <c r="M2802" s="9">
        <v>0.5</v>
      </c>
      <c r="N2802" s="9">
        <v>0.2</v>
      </c>
      <c r="O2802" s="9">
        <v>0.2</v>
      </c>
      <c r="P2802" s="10">
        <v>45443.0</v>
      </c>
      <c r="Q2802" s="11">
        <v>1.725</v>
      </c>
      <c r="R2802" s="8" t="s">
        <v>33</v>
      </c>
      <c r="S2802" s="12">
        <f t="shared" si="1"/>
        <v>0.145</v>
      </c>
      <c r="T2802" s="12">
        <f t="shared" si="8"/>
        <v>88.77921221</v>
      </c>
      <c r="U2802" s="8"/>
    </row>
    <row r="2803">
      <c r="A2803" s="29"/>
      <c r="B2803" s="15" t="s">
        <v>18</v>
      </c>
      <c r="C2803" s="15" t="s">
        <v>40</v>
      </c>
      <c r="D2803" s="15">
        <v>81.0</v>
      </c>
      <c r="E2803" s="15" t="s">
        <v>5270</v>
      </c>
      <c r="F2803" s="15" t="s">
        <v>1473</v>
      </c>
      <c r="G2803" s="15" t="s">
        <v>1480</v>
      </c>
      <c r="H2803" s="15">
        <v>-1.0</v>
      </c>
      <c r="I2803" s="15" t="s">
        <v>28</v>
      </c>
      <c r="J2803" s="15" t="s">
        <v>22</v>
      </c>
      <c r="K2803" s="15" t="s">
        <v>892</v>
      </c>
      <c r="L2803" s="15" t="s">
        <v>24</v>
      </c>
      <c r="M2803" s="16">
        <v>0.0</v>
      </c>
      <c r="N2803" s="16">
        <v>0.4</v>
      </c>
      <c r="O2803" s="16">
        <v>0.4</v>
      </c>
      <c r="P2803" s="17">
        <v>45444.0</v>
      </c>
      <c r="Q2803" s="18">
        <v>2.5</v>
      </c>
      <c r="R2803" s="15" t="s">
        <v>33</v>
      </c>
      <c r="S2803" s="19">
        <f t="shared" si="1"/>
        <v>0.6</v>
      </c>
      <c r="T2803" s="19">
        <f t="shared" si="8"/>
        <v>89.37921221</v>
      </c>
      <c r="U2803" s="144"/>
    </row>
    <row r="2804">
      <c r="A2804" s="107"/>
      <c r="B2804" s="8" t="s">
        <v>129</v>
      </c>
      <c r="C2804" s="8" t="s">
        <v>19</v>
      </c>
      <c r="D2804" s="8">
        <v>77.0</v>
      </c>
      <c r="E2804" s="8" t="s">
        <v>5271</v>
      </c>
      <c r="F2804" s="8" t="s">
        <v>1479</v>
      </c>
      <c r="G2804" s="8" t="s">
        <v>1480</v>
      </c>
      <c r="H2804" s="8">
        <v>-2.0</v>
      </c>
      <c r="I2804" s="8" t="s">
        <v>44</v>
      </c>
      <c r="J2804" s="8" t="s">
        <v>22</v>
      </c>
      <c r="K2804" s="8" t="s">
        <v>892</v>
      </c>
      <c r="L2804" s="8" t="s">
        <v>24</v>
      </c>
      <c r="M2804" s="9">
        <v>0.0</v>
      </c>
      <c r="N2804" s="9">
        <v>0.5</v>
      </c>
      <c r="O2804" s="9">
        <v>0.48</v>
      </c>
      <c r="P2804" s="10">
        <v>45444.0</v>
      </c>
      <c r="Q2804" s="11">
        <v>2.0</v>
      </c>
      <c r="R2804" s="8" t="s">
        <v>70</v>
      </c>
      <c r="S2804" s="12">
        <f t="shared" si="1"/>
        <v>0</v>
      </c>
      <c r="T2804" s="12">
        <f t="shared" si="8"/>
        <v>89.37921221</v>
      </c>
      <c r="U2804" s="145"/>
    </row>
    <row r="2805">
      <c r="A2805" s="29"/>
      <c r="B2805" s="15" t="s">
        <v>26</v>
      </c>
      <c r="C2805" s="15" t="s">
        <v>19</v>
      </c>
      <c r="D2805" s="15">
        <v>73.0</v>
      </c>
      <c r="E2805" s="15" t="s">
        <v>5272</v>
      </c>
      <c r="F2805" s="15"/>
      <c r="G2805" s="15"/>
      <c r="H2805" s="15"/>
      <c r="I2805" s="15" t="s">
        <v>1368</v>
      </c>
      <c r="J2805" s="15" t="s">
        <v>22</v>
      </c>
      <c r="K2805" s="15" t="s">
        <v>440</v>
      </c>
      <c r="L2805" s="15" t="s">
        <v>24</v>
      </c>
      <c r="M2805" s="16">
        <v>6.75</v>
      </c>
      <c r="N2805" s="16">
        <v>0.1</v>
      </c>
      <c r="O2805" s="16">
        <v>0.1</v>
      </c>
      <c r="P2805" s="17">
        <v>45444.0</v>
      </c>
      <c r="Q2805" s="18">
        <v>1.775</v>
      </c>
      <c r="R2805" s="15" t="s">
        <v>33</v>
      </c>
      <c r="S2805" s="19">
        <f t="shared" si="1"/>
        <v>0.0775</v>
      </c>
      <c r="T2805" s="19">
        <f t="shared" si="8"/>
        <v>89.45671221</v>
      </c>
      <c r="U2805" s="144"/>
    </row>
    <row r="2806">
      <c r="A2806" s="107"/>
      <c r="B2806" s="8" t="s">
        <v>18</v>
      </c>
      <c r="C2806" s="8" t="s">
        <v>19</v>
      </c>
      <c r="D2806" s="8">
        <v>25.0</v>
      </c>
      <c r="E2806" s="8" t="s">
        <v>5273</v>
      </c>
      <c r="F2806" s="8" t="s">
        <v>1473</v>
      </c>
      <c r="G2806" s="8" t="s">
        <v>1474</v>
      </c>
      <c r="H2806" s="8">
        <v>3.0</v>
      </c>
      <c r="I2806" s="8" t="s">
        <v>93</v>
      </c>
      <c r="J2806" s="8" t="s">
        <v>22</v>
      </c>
      <c r="K2806" s="8" t="s">
        <v>225</v>
      </c>
      <c r="L2806" s="8" t="s">
        <v>24</v>
      </c>
      <c r="M2806" s="9">
        <v>0.5</v>
      </c>
      <c r="N2806" s="9">
        <v>0.6</v>
      </c>
      <c r="O2806" s="9">
        <v>0.3</v>
      </c>
      <c r="P2806" s="10">
        <v>45444.0</v>
      </c>
      <c r="Q2806" s="11">
        <v>1.75</v>
      </c>
      <c r="R2806" s="8" t="s">
        <v>25</v>
      </c>
      <c r="S2806" s="12">
        <f t="shared" si="1"/>
        <v>-0.3</v>
      </c>
      <c r="T2806" s="12">
        <f t="shared" si="8"/>
        <v>89.15671221</v>
      </c>
      <c r="U2806" s="145"/>
    </row>
    <row r="2807">
      <c r="A2807" s="29"/>
      <c r="B2807" s="15" t="s">
        <v>26</v>
      </c>
      <c r="C2807" s="15" t="s">
        <v>19</v>
      </c>
      <c r="D2807" s="15">
        <v>65.0</v>
      </c>
      <c r="E2807" s="15" t="s">
        <v>5274</v>
      </c>
      <c r="F2807" s="15"/>
      <c r="G2807" s="15"/>
      <c r="H2807" s="15"/>
      <c r="I2807" s="15" t="s">
        <v>191</v>
      </c>
      <c r="J2807" s="15" t="s">
        <v>22</v>
      </c>
      <c r="K2807" s="15" t="s">
        <v>440</v>
      </c>
      <c r="L2807" s="15" t="s">
        <v>39</v>
      </c>
      <c r="M2807" s="16">
        <v>2.75</v>
      </c>
      <c r="N2807" s="16">
        <v>0.1</v>
      </c>
      <c r="O2807" s="16">
        <v>0.1</v>
      </c>
      <c r="P2807" s="17">
        <v>45444.0</v>
      </c>
      <c r="Q2807" s="18">
        <v>1.7</v>
      </c>
      <c r="R2807" s="15" t="s">
        <v>30</v>
      </c>
      <c r="S2807" s="19">
        <f t="shared" si="1"/>
        <v>0.035</v>
      </c>
      <c r="T2807" s="19">
        <f t="shared" si="8"/>
        <v>89.19171221</v>
      </c>
      <c r="U2807" s="144"/>
    </row>
    <row r="2808">
      <c r="A2808" s="107"/>
      <c r="B2808" s="8" t="s">
        <v>4225</v>
      </c>
      <c r="C2808" s="8" t="s">
        <v>19</v>
      </c>
      <c r="D2808" s="8">
        <v>17.0</v>
      </c>
      <c r="E2808" s="8" t="s">
        <v>5275</v>
      </c>
      <c r="F2808" s="8" t="s">
        <v>1473</v>
      </c>
      <c r="G2808" s="8" t="s">
        <v>1474</v>
      </c>
      <c r="H2808" s="8">
        <v>0.0</v>
      </c>
      <c r="I2808" s="8" t="s">
        <v>248</v>
      </c>
      <c r="J2808" s="8" t="s">
        <v>22</v>
      </c>
      <c r="K2808" s="8" t="s">
        <v>225</v>
      </c>
      <c r="L2808" s="8" t="s">
        <v>24</v>
      </c>
      <c r="M2808" s="9">
        <v>0.5</v>
      </c>
      <c r="N2808" s="9">
        <v>0.2</v>
      </c>
      <c r="O2808" s="9">
        <v>0.2</v>
      </c>
      <c r="P2808" s="10">
        <v>45444.0</v>
      </c>
      <c r="Q2808" s="11">
        <v>1.775</v>
      </c>
      <c r="R2808" s="8" t="s">
        <v>25</v>
      </c>
      <c r="S2808" s="12">
        <f t="shared" si="1"/>
        <v>-0.2</v>
      </c>
      <c r="T2808" s="12">
        <f t="shared" si="8"/>
        <v>88.99171221</v>
      </c>
      <c r="U2808" s="145"/>
    </row>
    <row r="2809">
      <c r="A2809" s="29"/>
      <c r="B2809" s="15" t="s">
        <v>26</v>
      </c>
      <c r="C2809" s="15" t="s">
        <v>19</v>
      </c>
      <c r="D2809" s="15">
        <v>67.0</v>
      </c>
      <c r="E2809" s="15" t="s">
        <v>5276</v>
      </c>
      <c r="F2809" s="15"/>
      <c r="G2809" s="15"/>
      <c r="H2809" s="15"/>
      <c r="I2809" s="15" t="s">
        <v>231</v>
      </c>
      <c r="J2809" s="15" t="s">
        <v>22</v>
      </c>
      <c r="K2809" s="15" t="s">
        <v>440</v>
      </c>
      <c r="L2809" s="15" t="s">
        <v>1803</v>
      </c>
      <c r="M2809" s="16">
        <v>0.75</v>
      </c>
      <c r="N2809" s="16">
        <v>0.25</v>
      </c>
      <c r="O2809" s="16">
        <v>0.25</v>
      </c>
      <c r="P2809" s="17">
        <v>45444.0</v>
      </c>
      <c r="Q2809" s="18">
        <v>1.75</v>
      </c>
      <c r="R2809" s="15" t="s">
        <v>30</v>
      </c>
      <c r="S2809" s="19">
        <f t="shared" si="1"/>
        <v>0.09375</v>
      </c>
      <c r="T2809" s="19">
        <f t="shared" si="8"/>
        <v>89.08546221</v>
      </c>
      <c r="U2809" s="144"/>
    </row>
    <row r="2810">
      <c r="A2810" s="107"/>
      <c r="B2810" s="8" t="s">
        <v>26</v>
      </c>
      <c r="C2810" s="8" t="s">
        <v>19</v>
      </c>
      <c r="D2810" s="8">
        <v>60.0</v>
      </c>
      <c r="E2810" s="8" t="s">
        <v>5277</v>
      </c>
      <c r="F2810" s="8" t="s">
        <v>1473</v>
      </c>
      <c r="G2810" s="8" t="s">
        <v>1474</v>
      </c>
      <c r="H2810" s="8">
        <v>1.0</v>
      </c>
      <c r="I2810" s="8" t="s">
        <v>635</v>
      </c>
      <c r="J2810" s="8" t="s">
        <v>22</v>
      </c>
      <c r="K2810" s="8" t="s">
        <v>225</v>
      </c>
      <c r="L2810" s="8" t="s">
        <v>24</v>
      </c>
      <c r="M2810" s="9">
        <v>0.5</v>
      </c>
      <c r="N2810" s="9">
        <v>0.2</v>
      </c>
      <c r="O2810" s="9">
        <v>0.2</v>
      </c>
      <c r="P2810" s="10">
        <v>45444.0</v>
      </c>
      <c r="Q2810" s="11">
        <v>1.75</v>
      </c>
      <c r="R2810" s="8" t="s">
        <v>33</v>
      </c>
      <c r="S2810" s="12">
        <f t="shared" si="1"/>
        <v>0.15</v>
      </c>
      <c r="T2810" s="12">
        <f t="shared" si="8"/>
        <v>89.23546221</v>
      </c>
      <c r="U2810" s="145"/>
    </row>
    <row r="2811">
      <c r="A2811" s="29"/>
      <c r="B2811" s="15" t="s">
        <v>26</v>
      </c>
      <c r="C2811" s="15" t="s">
        <v>19</v>
      </c>
      <c r="D2811" s="15">
        <v>70.0</v>
      </c>
      <c r="E2811" s="15" t="s">
        <v>5278</v>
      </c>
      <c r="F2811" s="15" t="s">
        <v>1479</v>
      </c>
      <c r="G2811" s="15" t="s">
        <v>1474</v>
      </c>
      <c r="H2811" s="15">
        <v>-2.0</v>
      </c>
      <c r="I2811" s="15" t="s">
        <v>316</v>
      </c>
      <c r="J2811" s="15" t="s">
        <v>22</v>
      </c>
      <c r="K2811" s="15" t="s">
        <v>225</v>
      </c>
      <c r="L2811" s="15" t="s">
        <v>24</v>
      </c>
      <c r="M2811" s="16">
        <v>0.25</v>
      </c>
      <c r="N2811" s="16">
        <v>0.5</v>
      </c>
      <c r="O2811" s="16">
        <v>0.5</v>
      </c>
      <c r="P2811" s="17">
        <v>45445.0</v>
      </c>
      <c r="Q2811" s="18">
        <v>1.9</v>
      </c>
      <c r="R2811" s="15" t="s">
        <v>33</v>
      </c>
      <c r="S2811" s="19">
        <f t="shared" si="1"/>
        <v>0.45</v>
      </c>
      <c r="T2811" s="19">
        <f t="shared" si="8"/>
        <v>89.68546221</v>
      </c>
      <c r="U2811" s="144"/>
    </row>
    <row r="2812">
      <c r="A2812" s="107"/>
      <c r="B2812" s="8" t="s">
        <v>129</v>
      </c>
      <c r="C2812" s="8" t="s">
        <v>19</v>
      </c>
      <c r="D2812" s="8">
        <v>71.0</v>
      </c>
      <c r="E2812" s="8" t="s">
        <v>5279</v>
      </c>
      <c r="F2812" s="8" t="s">
        <v>1473</v>
      </c>
      <c r="G2812" s="8" t="s">
        <v>1480</v>
      </c>
      <c r="H2812" s="8">
        <v>-1.0</v>
      </c>
      <c r="I2812" s="8" t="s">
        <v>42</v>
      </c>
      <c r="J2812" s="8" t="s">
        <v>22</v>
      </c>
      <c r="K2812" s="8" t="s">
        <v>892</v>
      </c>
      <c r="L2812" s="8" t="s">
        <v>24</v>
      </c>
      <c r="M2812" s="9">
        <v>0.0</v>
      </c>
      <c r="N2812" s="9">
        <v>0.2</v>
      </c>
      <c r="O2812" s="9">
        <v>0.2</v>
      </c>
      <c r="P2812" s="10">
        <v>45445.0</v>
      </c>
      <c r="Q2812" s="11">
        <v>1.9</v>
      </c>
      <c r="R2812" s="8" t="s">
        <v>70</v>
      </c>
      <c r="S2812" s="12">
        <f t="shared" si="1"/>
        <v>0</v>
      </c>
      <c r="T2812" s="12">
        <f t="shared" si="8"/>
        <v>89.68546221</v>
      </c>
      <c r="U2812" s="145"/>
    </row>
    <row r="2813">
      <c r="A2813" s="29"/>
      <c r="B2813" s="15" t="s">
        <v>18</v>
      </c>
      <c r="C2813" s="15" t="s">
        <v>19</v>
      </c>
      <c r="D2813" s="15">
        <v>26.0</v>
      </c>
      <c r="E2813" s="15" t="s">
        <v>5280</v>
      </c>
      <c r="F2813" s="15" t="s">
        <v>1473</v>
      </c>
      <c r="G2813" s="15" t="s">
        <v>1480</v>
      </c>
      <c r="H2813" s="15">
        <v>-1.0</v>
      </c>
      <c r="I2813" s="15" t="s">
        <v>316</v>
      </c>
      <c r="J2813" s="15" t="s">
        <v>22</v>
      </c>
      <c r="K2813" s="15" t="s">
        <v>1150</v>
      </c>
      <c r="L2813" s="15" t="s">
        <v>24</v>
      </c>
      <c r="M2813" s="16">
        <v>0.0</v>
      </c>
      <c r="N2813" s="16">
        <v>0.2</v>
      </c>
      <c r="O2813" s="16">
        <v>0.2</v>
      </c>
      <c r="P2813" s="17">
        <v>45445.0</v>
      </c>
      <c r="Q2813" s="18">
        <v>2.0</v>
      </c>
      <c r="R2813" s="15" t="s">
        <v>25</v>
      </c>
      <c r="S2813" s="19">
        <f t="shared" si="1"/>
        <v>-0.2</v>
      </c>
      <c r="T2813" s="19">
        <f t="shared" si="8"/>
        <v>89.48546221</v>
      </c>
      <c r="U2813" s="144"/>
    </row>
    <row r="2814">
      <c r="A2814" s="107"/>
      <c r="B2814" s="8" t="s">
        <v>26</v>
      </c>
      <c r="C2814" s="8" t="s">
        <v>40</v>
      </c>
      <c r="D2814" s="8">
        <v>56.0</v>
      </c>
      <c r="E2814" s="8" t="s">
        <v>5281</v>
      </c>
      <c r="F2814" s="8" t="s">
        <v>1479</v>
      </c>
      <c r="G2814" s="8" t="s">
        <v>1480</v>
      </c>
      <c r="H2814" s="8">
        <v>3.0</v>
      </c>
      <c r="I2814" s="8" t="s">
        <v>683</v>
      </c>
      <c r="J2814" s="8" t="s">
        <v>22</v>
      </c>
      <c r="K2814" s="8" t="s">
        <v>892</v>
      </c>
      <c r="L2814" s="8" t="s">
        <v>24</v>
      </c>
      <c r="M2814" s="9">
        <v>0.0</v>
      </c>
      <c r="N2814" s="9">
        <v>0.6</v>
      </c>
      <c r="O2814" s="9">
        <v>0.46</v>
      </c>
      <c r="P2814" s="10">
        <v>45445.0</v>
      </c>
      <c r="Q2814" s="11">
        <v>1.8</v>
      </c>
      <c r="R2814" s="8" t="s">
        <v>70</v>
      </c>
      <c r="S2814" s="12">
        <f t="shared" si="1"/>
        <v>0</v>
      </c>
      <c r="T2814" s="12">
        <f t="shared" si="8"/>
        <v>89.48546221</v>
      </c>
      <c r="U2814" s="145"/>
    </row>
    <row r="2815">
      <c r="A2815" s="29"/>
      <c r="B2815" s="15" t="s">
        <v>26</v>
      </c>
      <c r="C2815" s="15" t="s">
        <v>19</v>
      </c>
      <c r="D2815" s="15">
        <v>35.0</v>
      </c>
      <c r="E2815" s="15" t="s">
        <v>5282</v>
      </c>
      <c r="F2815" s="15" t="s">
        <v>1479</v>
      </c>
      <c r="G2815" s="15" t="s">
        <v>1480</v>
      </c>
      <c r="H2815" s="15">
        <v>0.0</v>
      </c>
      <c r="I2815" s="15" t="s">
        <v>463</v>
      </c>
      <c r="J2815" s="15" t="s">
        <v>22</v>
      </c>
      <c r="K2815" s="15" t="s">
        <v>1150</v>
      </c>
      <c r="L2815" s="15" t="s">
        <v>24</v>
      </c>
      <c r="M2815" s="16">
        <v>0.0</v>
      </c>
      <c r="N2815" s="16">
        <v>0.75</v>
      </c>
      <c r="O2815" s="16">
        <v>0.75</v>
      </c>
      <c r="P2815" s="17">
        <v>45445.0</v>
      </c>
      <c r="Q2815" s="18">
        <v>1.8</v>
      </c>
      <c r="R2815" s="15" t="s">
        <v>70</v>
      </c>
      <c r="S2815" s="19">
        <f t="shared" si="1"/>
        <v>0</v>
      </c>
      <c r="T2815" s="19">
        <f t="shared" si="8"/>
        <v>89.48546221</v>
      </c>
      <c r="U2815" s="144"/>
    </row>
    <row r="2816">
      <c r="A2816" s="107"/>
      <c r="B2816" s="8" t="s">
        <v>26</v>
      </c>
      <c r="C2816" s="8" t="s">
        <v>19</v>
      </c>
      <c r="D2816" s="8">
        <v>83.0</v>
      </c>
      <c r="E2816" s="8" t="s">
        <v>5283</v>
      </c>
      <c r="F2816" s="8" t="s">
        <v>1479</v>
      </c>
      <c r="G2816" s="8" t="s">
        <v>1480</v>
      </c>
      <c r="H2816" s="8">
        <v>0.0</v>
      </c>
      <c r="I2816" s="8" t="s">
        <v>44</v>
      </c>
      <c r="J2816" s="8" t="s">
        <v>22</v>
      </c>
      <c r="K2816" s="8" t="s">
        <v>892</v>
      </c>
      <c r="L2816" s="8" t="s">
        <v>24</v>
      </c>
      <c r="M2816" s="9">
        <v>0.0</v>
      </c>
      <c r="N2816" s="9">
        <v>0.25</v>
      </c>
      <c r="O2816" s="9">
        <v>0.25</v>
      </c>
      <c r="P2816" s="10">
        <v>45445.0</v>
      </c>
      <c r="Q2816" s="11">
        <v>1.675</v>
      </c>
      <c r="R2816" s="8" t="s">
        <v>33</v>
      </c>
      <c r="S2816" s="12">
        <f t="shared" si="1"/>
        <v>0.16875</v>
      </c>
      <c r="T2816" s="12">
        <f t="shared" si="8"/>
        <v>89.65421221</v>
      </c>
      <c r="U2816" s="145"/>
    </row>
    <row r="2817">
      <c r="A2817" s="29"/>
      <c r="B2817" s="15" t="s">
        <v>26</v>
      </c>
      <c r="C2817" s="15" t="s">
        <v>19</v>
      </c>
      <c r="D2817" s="15">
        <v>37.0</v>
      </c>
      <c r="E2817" s="15" t="s">
        <v>5284</v>
      </c>
      <c r="F2817" s="15" t="s">
        <v>1473</v>
      </c>
      <c r="G2817" s="15" t="s">
        <v>1480</v>
      </c>
      <c r="H2817" s="15">
        <v>0.0</v>
      </c>
      <c r="I2817" s="15" t="s">
        <v>93</v>
      </c>
      <c r="J2817" s="15" t="s">
        <v>22</v>
      </c>
      <c r="K2817" s="15" t="s">
        <v>1150</v>
      </c>
      <c r="L2817" s="15" t="s">
        <v>24</v>
      </c>
      <c r="M2817" s="16">
        <v>0.0</v>
      </c>
      <c r="N2817" s="16">
        <v>0.2</v>
      </c>
      <c r="O2817" s="16">
        <v>0.2</v>
      </c>
      <c r="P2817" s="17">
        <v>45445.0</v>
      </c>
      <c r="Q2817" s="18">
        <v>1.9</v>
      </c>
      <c r="R2817" s="15" t="s">
        <v>70</v>
      </c>
      <c r="S2817" s="19">
        <f t="shared" si="1"/>
        <v>0</v>
      </c>
      <c r="T2817" s="19">
        <f t="shared" si="8"/>
        <v>89.65421221</v>
      </c>
      <c r="U2817" s="144"/>
    </row>
    <row r="2818">
      <c r="A2818" s="107"/>
      <c r="B2818" s="8" t="s">
        <v>26</v>
      </c>
      <c r="C2818" s="8" t="s">
        <v>19</v>
      </c>
      <c r="D2818" s="8">
        <v>61.0</v>
      </c>
      <c r="E2818" s="8" t="s">
        <v>5285</v>
      </c>
      <c r="F2818" s="8"/>
      <c r="G2818" s="8"/>
      <c r="H2818" s="8"/>
      <c r="I2818" s="8" t="s">
        <v>191</v>
      </c>
      <c r="J2818" s="8" t="s">
        <v>22</v>
      </c>
      <c r="K2818" s="8" t="s">
        <v>440</v>
      </c>
      <c r="L2818" s="8" t="s">
        <v>39</v>
      </c>
      <c r="M2818" s="9">
        <v>0.75</v>
      </c>
      <c r="N2818" s="9">
        <v>0.2</v>
      </c>
      <c r="O2818" s="9">
        <v>0.2</v>
      </c>
      <c r="P2818" s="10">
        <v>45445.0</v>
      </c>
      <c r="Q2818" s="11">
        <v>1.7</v>
      </c>
      <c r="R2818" s="8" t="s">
        <v>33</v>
      </c>
      <c r="S2818" s="12">
        <f t="shared" si="1"/>
        <v>0.14</v>
      </c>
      <c r="T2818" s="12">
        <f t="shared" si="8"/>
        <v>89.79421221</v>
      </c>
      <c r="U2818" s="145"/>
    </row>
    <row r="2819">
      <c r="A2819" s="29"/>
      <c r="B2819" s="15" t="s">
        <v>18</v>
      </c>
      <c r="C2819" s="15" t="s">
        <v>19</v>
      </c>
      <c r="D2819" s="15">
        <v>19.0</v>
      </c>
      <c r="E2819" s="15" t="s">
        <v>5286</v>
      </c>
      <c r="F2819" s="15" t="s">
        <v>1473</v>
      </c>
      <c r="G2819" s="15" t="s">
        <v>1480</v>
      </c>
      <c r="H2819" s="15">
        <v>0.0</v>
      </c>
      <c r="I2819" s="15" t="s">
        <v>82</v>
      </c>
      <c r="J2819" s="15" t="s">
        <v>22</v>
      </c>
      <c r="K2819" s="15" t="s">
        <v>1150</v>
      </c>
      <c r="L2819" s="15" t="s">
        <v>24</v>
      </c>
      <c r="M2819" s="16">
        <v>0.0</v>
      </c>
      <c r="N2819" s="16">
        <v>0.6</v>
      </c>
      <c r="O2819" s="16">
        <v>0.57</v>
      </c>
      <c r="P2819" s="17">
        <v>45445.0</v>
      </c>
      <c r="Q2819" s="18">
        <v>1.75</v>
      </c>
      <c r="R2819" s="15" t="s">
        <v>25</v>
      </c>
      <c r="S2819" s="19">
        <f t="shared" si="1"/>
        <v>-0.57</v>
      </c>
      <c r="T2819" s="19">
        <f t="shared" si="8"/>
        <v>89.22421221</v>
      </c>
      <c r="U2819" s="144"/>
    </row>
    <row r="2820">
      <c r="A2820" s="107"/>
      <c r="B2820" s="8" t="s">
        <v>18</v>
      </c>
      <c r="C2820" s="8" t="s">
        <v>19</v>
      </c>
      <c r="D2820" s="8">
        <v>25.0</v>
      </c>
      <c r="E2820" s="8" t="s">
        <v>5287</v>
      </c>
      <c r="F2820" s="8" t="s">
        <v>1473</v>
      </c>
      <c r="G2820" s="8" t="s">
        <v>1480</v>
      </c>
      <c r="H2820" s="8">
        <v>0.0</v>
      </c>
      <c r="I2820" s="8" t="s">
        <v>82</v>
      </c>
      <c r="J2820" s="8" t="s">
        <v>22</v>
      </c>
      <c r="K2820" s="8" t="s">
        <v>892</v>
      </c>
      <c r="L2820" s="8" t="s">
        <v>24</v>
      </c>
      <c r="M2820" s="9">
        <v>0.0</v>
      </c>
      <c r="N2820" s="9">
        <v>0.2</v>
      </c>
      <c r="O2820" s="9">
        <v>0.19</v>
      </c>
      <c r="P2820" s="10">
        <v>45445.0</v>
      </c>
      <c r="Q2820" s="11">
        <v>1.75</v>
      </c>
      <c r="R2820" s="8" t="s">
        <v>25</v>
      </c>
      <c r="S2820" s="12">
        <f t="shared" si="1"/>
        <v>-0.19</v>
      </c>
      <c r="T2820" s="12">
        <f t="shared" si="8"/>
        <v>89.03421221</v>
      </c>
      <c r="U2820" s="145"/>
    </row>
    <row r="2821">
      <c r="A2821" s="29"/>
      <c r="B2821" s="15" t="s">
        <v>26</v>
      </c>
      <c r="C2821" s="15" t="s">
        <v>19</v>
      </c>
      <c r="D2821" s="15">
        <v>73.0</v>
      </c>
      <c r="E2821" s="15" t="s">
        <v>5288</v>
      </c>
      <c r="F2821" s="15" t="s">
        <v>1473</v>
      </c>
      <c r="G2821" s="15" t="s">
        <v>1474</v>
      </c>
      <c r="H2821" s="15">
        <v>-1.0</v>
      </c>
      <c r="I2821" s="15" t="s">
        <v>794</v>
      </c>
      <c r="J2821" s="15" t="s">
        <v>22</v>
      </c>
      <c r="K2821" s="15" t="s">
        <v>225</v>
      </c>
      <c r="L2821" s="15" t="s">
        <v>24</v>
      </c>
      <c r="M2821" s="16">
        <v>0.5</v>
      </c>
      <c r="N2821" s="16">
        <v>0.2</v>
      </c>
      <c r="O2821" s="16">
        <v>0.19</v>
      </c>
      <c r="P2821" s="55">
        <v>45445.0</v>
      </c>
      <c r="Q2821" s="18">
        <v>1.725</v>
      </c>
      <c r="R2821" s="15" t="s">
        <v>25</v>
      </c>
      <c r="S2821" s="19">
        <f t="shared" si="1"/>
        <v>-0.19</v>
      </c>
      <c r="T2821" s="19">
        <f t="shared" si="8"/>
        <v>88.84421221</v>
      </c>
      <c r="U2821" s="144"/>
    </row>
    <row r="2822">
      <c r="A2822" s="107"/>
      <c r="B2822" s="8" t="s">
        <v>26</v>
      </c>
      <c r="C2822" s="8" t="s">
        <v>19</v>
      </c>
      <c r="D2822" s="8">
        <v>23.0</v>
      </c>
      <c r="E2822" s="8" t="s">
        <v>5289</v>
      </c>
      <c r="F2822" s="8" t="s">
        <v>1479</v>
      </c>
      <c r="G2822" s="8" t="s">
        <v>1474</v>
      </c>
      <c r="H2822" s="8">
        <v>1.0</v>
      </c>
      <c r="I2822" s="8" t="s">
        <v>372</v>
      </c>
      <c r="J2822" s="8" t="s">
        <v>22</v>
      </c>
      <c r="K2822" s="8" t="s">
        <v>225</v>
      </c>
      <c r="L2822" s="8" t="s">
        <v>1522</v>
      </c>
      <c r="M2822" s="9">
        <v>0.5</v>
      </c>
      <c r="N2822" s="9">
        <v>0.6</v>
      </c>
      <c r="O2822" s="9">
        <v>0.57</v>
      </c>
      <c r="P2822" s="10">
        <v>45445.0</v>
      </c>
      <c r="Q2822" s="11">
        <v>1.59</v>
      </c>
      <c r="R2822" s="8" t="s">
        <v>33</v>
      </c>
      <c r="S2822" s="12">
        <f t="shared" si="1"/>
        <v>0.3363</v>
      </c>
      <c r="T2822" s="12">
        <f t="shared" si="8"/>
        <v>89.18051221</v>
      </c>
      <c r="U2822" s="145"/>
    </row>
    <row r="2823">
      <c r="A2823" s="29"/>
      <c r="B2823" s="15" t="s">
        <v>129</v>
      </c>
      <c r="C2823" s="15" t="s">
        <v>40</v>
      </c>
      <c r="D2823" s="15">
        <v>45.0</v>
      </c>
      <c r="E2823" s="15" t="s">
        <v>5290</v>
      </c>
      <c r="F2823" s="15" t="s">
        <v>1473</v>
      </c>
      <c r="G2823" s="15" t="s">
        <v>1480</v>
      </c>
      <c r="H2823" s="15">
        <v>1.0</v>
      </c>
      <c r="I2823" s="15" t="s">
        <v>768</v>
      </c>
      <c r="J2823" s="15" t="s">
        <v>22</v>
      </c>
      <c r="K2823" s="15" t="s">
        <v>892</v>
      </c>
      <c r="L2823" s="15" t="s">
        <v>24</v>
      </c>
      <c r="M2823" s="16">
        <v>0.0</v>
      </c>
      <c r="N2823" s="16">
        <v>0.4</v>
      </c>
      <c r="O2823" s="16">
        <v>0.38</v>
      </c>
      <c r="P2823" s="17">
        <v>45445.0</v>
      </c>
      <c r="Q2823" s="18">
        <v>1.8</v>
      </c>
      <c r="R2823" s="15" t="s">
        <v>70</v>
      </c>
      <c r="S2823" s="19">
        <f t="shared" si="1"/>
        <v>0</v>
      </c>
      <c r="T2823" s="19">
        <f t="shared" si="8"/>
        <v>89.18051221</v>
      </c>
      <c r="U2823" s="144"/>
    </row>
    <row r="2824">
      <c r="A2824" s="107"/>
      <c r="B2824" s="8" t="s">
        <v>4225</v>
      </c>
      <c r="C2824" s="8" t="s">
        <v>19</v>
      </c>
      <c r="D2824" s="8">
        <v>0.0</v>
      </c>
      <c r="E2824" s="8" t="s">
        <v>5291</v>
      </c>
      <c r="F2824" s="8"/>
      <c r="G2824" s="8"/>
      <c r="H2824" s="8"/>
      <c r="I2824" s="8" t="s">
        <v>84</v>
      </c>
      <c r="J2824" s="8" t="s">
        <v>598</v>
      </c>
      <c r="K2824" s="8" t="s">
        <v>29</v>
      </c>
      <c r="L2824" s="8" t="s">
        <v>2201</v>
      </c>
      <c r="M2824" s="9">
        <v>-2.25</v>
      </c>
      <c r="N2824" s="9">
        <v>0.25</v>
      </c>
      <c r="O2824" s="9">
        <v>0.25</v>
      </c>
      <c r="P2824" s="10">
        <v>45447.0</v>
      </c>
      <c r="Q2824" s="11">
        <v>1.825</v>
      </c>
      <c r="R2824" s="8" t="s">
        <v>25</v>
      </c>
      <c r="S2824" s="12">
        <f t="shared" si="1"/>
        <v>-0.25</v>
      </c>
      <c r="T2824" s="12">
        <f t="shared" si="8"/>
        <v>88.93051221</v>
      </c>
      <c r="U2824" s="145"/>
    </row>
    <row r="2825">
      <c r="A2825" s="29"/>
      <c r="B2825" s="15" t="s">
        <v>26</v>
      </c>
      <c r="C2825" s="15" t="s">
        <v>19</v>
      </c>
      <c r="D2825" s="15">
        <v>0.0</v>
      </c>
      <c r="E2825" s="15" t="s">
        <v>5292</v>
      </c>
      <c r="F2825" s="15"/>
      <c r="G2825" s="15"/>
      <c r="H2825" s="15"/>
      <c r="I2825" s="15" t="s">
        <v>248</v>
      </c>
      <c r="J2825" s="15" t="s">
        <v>598</v>
      </c>
      <c r="K2825" s="15" t="s">
        <v>29</v>
      </c>
      <c r="L2825" s="15" t="s">
        <v>24</v>
      </c>
      <c r="M2825" s="16">
        <v>-2.0</v>
      </c>
      <c r="N2825" s="23">
        <v>0.2</v>
      </c>
      <c r="O2825" s="24">
        <v>0.2</v>
      </c>
      <c r="P2825" s="17">
        <v>45447.0</v>
      </c>
      <c r="Q2825" s="18">
        <v>2.0</v>
      </c>
      <c r="R2825" s="15" t="s">
        <v>33</v>
      </c>
      <c r="S2825" s="19">
        <f t="shared" si="1"/>
        <v>0.2</v>
      </c>
      <c r="T2825" s="19">
        <f t="shared" si="8"/>
        <v>89.13051221</v>
      </c>
      <c r="U2825" s="144"/>
    </row>
    <row r="2826">
      <c r="A2826" s="107"/>
      <c r="B2826" s="8" t="s">
        <v>26</v>
      </c>
      <c r="C2826" s="8" t="s">
        <v>19</v>
      </c>
      <c r="D2826" s="8">
        <v>0.0</v>
      </c>
      <c r="E2826" s="8" t="s">
        <v>5293</v>
      </c>
      <c r="F2826" s="8"/>
      <c r="G2826" s="8"/>
      <c r="H2826" s="8"/>
      <c r="I2826" s="8" t="s">
        <v>248</v>
      </c>
      <c r="J2826" s="8" t="s">
        <v>598</v>
      </c>
      <c r="K2826" s="8" t="s">
        <v>29</v>
      </c>
      <c r="L2826" s="8" t="s">
        <v>24</v>
      </c>
      <c r="M2826" s="9">
        <v>-2.25</v>
      </c>
      <c r="N2826" s="25">
        <v>0.2</v>
      </c>
      <c r="O2826" s="26">
        <v>0.2</v>
      </c>
      <c r="P2826" s="10">
        <v>45447.0</v>
      </c>
      <c r="Q2826" s="11">
        <v>1.7</v>
      </c>
      <c r="R2826" s="8" t="s">
        <v>33</v>
      </c>
      <c r="S2826" s="12">
        <f t="shared" si="1"/>
        <v>0.14</v>
      </c>
      <c r="T2826" s="12">
        <f t="shared" si="8"/>
        <v>89.27051221</v>
      </c>
      <c r="U2826" s="145"/>
    </row>
    <row r="2827">
      <c r="A2827" s="29"/>
      <c r="B2827" s="15" t="s">
        <v>131</v>
      </c>
      <c r="C2827" s="15" t="s">
        <v>19</v>
      </c>
      <c r="D2827" s="15">
        <v>23.0</v>
      </c>
      <c r="E2827" s="15" t="s">
        <v>5294</v>
      </c>
      <c r="F2827" s="15" t="s">
        <v>1473</v>
      </c>
      <c r="G2827" s="15" t="s">
        <v>1474</v>
      </c>
      <c r="H2827" s="15">
        <v>1.0</v>
      </c>
      <c r="I2827" s="15" t="s">
        <v>316</v>
      </c>
      <c r="J2827" s="15" t="s">
        <v>22</v>
      </c>
      <c r="K2827" s="15" t="s">
        <v>941</v>
      </c>
      <c r="L2827" s="15" t="s">
        <v>24</v>
      </c>
      <c r="M2827" s="16">
        <v>0.0</v>
      </c>
      <c r="N2827" s="16">
        <v>0.2</v>
      </c>
      <c r="O2827" s="16">
        <v>0.18</v>
      </c>
      <c r="P2827" s="17">
        <v>45447.0</v>
      </c>
      <c r="Q2827" s="18">
        <v>1.727</v>
      </c>
      <c r="R2827" s="15" t="s">
        <v>33</v>
      </c>
      <c r="S2827" s="19">
        <f t="shared" si="1"/>
        <v>0.13086</v>
      </c>
      <c r="T2827" s="19">
        <f t="shared" si="8"/>
        <v>89.40137221</v>
      </c>
      <c r="U2827" s="144"/>
    </row>
    <row r="2828">
      <c r="A2828" s="107"/>
      <c r="B2828" s="8" t="s">
        <v>131</v>
      </c>
      <c r="C2828" s="8" t="s">
        <v>19</v>
      </c>
      <c r="D2828" s="8">
        <v>25.0</v>
      </c>
      <c r="E2828" s="8" t="s">
        <v>5295</v>
      </c>
      <c r="F2828" s="8" t="s">
        <v>1473</v>
      </c>
      <c r="G2828" s="8" t="s">
        <v>1474</v>
      </c>
      <c r="H2828" s="8">
        <v>1.0</v>
      </c>
      <c r="I2828" s="8" t="s">
        <v>316</v>
      </c>
      <c r="J2828" s="8" t="s">
        <v>22</v>
      </c>
      <c r="K2828" s="8" t="s">
        <v>1150</v>
      </c>
      <c r="L2828" s="8" t="s">
        <v>24</v>
      </c>
      <c r="M2828" s="9">
        <v>0.25</v>
      </c>
      <c r="N2828" s="9">
        <v>0.4</v>
      </c>
      <c r="O2828" s="9">
        <v>0.4</v>
      </c>
      <c r="P2828" s="10">
        <v>45447.0</v>
      </c>
      <c r="Q2828" s="11">
        <v>1.7</v>
      </c>
      <c r="R2828" s="8" t="s">
        <v>25</v>
      </c>
      <c r="S2828" s="12">
        <f t="shared" si="1"/>
        <v>-0.4</v>
      </c>
      <c r="T2828" s="12">
        <f t="shared" si="8"/>
        <v>89.00137221</v>
      </c>
      <c r="U2828" s="145"/>
    </row>
    <row r="2829">
      <c r="A2829" s="29"/>
      <c r="B2829" s="15" t="s">
        <v>131</v>
      </c>
      <c r="C2829" s="15" t="s">
        <v>19</v>
      </c>
      <c r="D2829" s="15">
        <v>75.0</v>
      </c>
      <c r="E2829" s="15" t="s">
        <v>5296</v>
      </c>
      <c r="F2829" s="15" t="s">
        <v>1479</v>
      </c>
      <c r="G2829" s="15" t="s">
        <v>1474</v>
      </c>
      <c r="H2829" s="15">
        <v>-2.0</v>
      </c>
      <c r="I2829" s="15" t="s">
        <v>316</v>
      </c>
      <c r="J2829" s="15" t="s">
        <v>22</v>
      </c>
      <c r="K2829" s="15" t="s">
        <v>225</v>
      </c>
      <c r="L2829" s="15" t="s">
        <v>24</v>
      </c>
      <c r="M2829" s="16">
        <v>0.25</v>
      </c>
      <c r="N2829" s="16">
        <v>0.4</v>
      </c>
      <c r="O2829" s="16">
        <v>0.4</v>
      </c>
      <c r="P2829" s="17">
        <v>45447.0</v>
      </c>
      <c r="Q2829" s="18">
        <v>1.7</v>
      </c>
      <c r="R2829" s="15" t="s">
        <v>30</v>
      </c>
      <c r="S2829" s="19">
        <f t="shared" si="1"/>
        <v>0.14</v>
      </c>
      <c r="T2829" s="19">
        <f t="shared" si="8"/>
        <v>89.14137221</v>
      </c>
      <c r="U2829" s="144"/>
    </row>
    <row r="2830">
      <c r="A2830" s="107"/>
      <c r="B2830" s="8" t="s">
        <v>18</v>
      </c>
      <c r="C2830" s="8" t="s">
        <v>19</v>
      </c>
      <c r="D2830" s="8">
        <v>71.0</v>
      </c>
      <c r="E2830" s="8" t="s">
        <v>5297</v>
      </c>
      <c r="F2830" s="8" t="s">
        <v>1479</v>
      </c>
      <c r="G2830" s="8" t="s">
        <v>1480</v>
      </c>
      <c r="H2830" s="8">
        <v>0.0</v>
      </c>
      <c r="I2830" s="8" t="s">
        <v>794</v>
      </c>
      <c r="J2830" s="8" t="s">
        <v>22</v>
      </c>
      <c r="K2830" s="8" t="s">
        <v>892</v>
      </c>
      <c r="L2830" s="8" t="s">
        <v>24</v>
      </c>
      <c r="M2830" s="9">
        <v>0.0</v>
      </c>
      <c r="N2830" s="9">
        <v>0.4</v>
      </c>
      <c r="O2830" s="9">
        <v>0.28</v>
      </c>
      <c r="P2830" s="10">
        <v>45449.0</v>
      </c>
      <c r="Q2830" s="11">
        <v>1.8</v>
      </c>
      <c r="R2830" s="8" t="s">
        <v>70</v>
      </c>
      <c r="S2830" s="12">
        <f t="shared" si="1"/>
        <v>0</v>
      </c>
      <c r="T2830" s="12">
        <f t="shared" si="8"/>
        <v>89.14137221</v>
      </c>
      <c r="U2830" s="145"/>
    </row>
    <row r="2831">
      <c r="A2831" s="29"/>
      <c r="B2831" s="15" t="s">
        <v>18</v>
      </c>
      <c r="C2831" s="15" t="s">
        <v>19</v>
      </c>
      <c r="D2831" s="15">
        <v>68.0</v>
      </c>
      <c r="E2831" s="15" t="s">
        <v>5298</v>
      </c>
      <c r="F2831" s="15" t="s">
        <v>1479</v>
      </c>
      <c r="G2831" s="15" t="s">
        <v>1480</v>
      </c>
      <c r="H2831" s="15">
        <v>0.0</v>
      </c>
      <c r="I2831" s="15" t="s">
        <v>121</v>
      </c>
      <c r="J2831" s="15" t="s">
        <v>22</v>
      </c>
      <c r="K2831" s="15" t="s">
        <v>892</v>
      </c>
      <c r="L2831" s="15" t="s">
        <v>24</v>
      </c>
      <c r="M2831" s="16">
        <v>0.0</v>
      </c>
      <c r="N2831" s="16">
        <v>0.6</v>
      </c>
      <c r="O2831" s="16">
        <v>0.51</v>
      </c>
      <c r="P2831" s="17">
        <v>45449.0</v>
      </c>
      <c r="Q2831" s="18">
        <v>1.65</v>
      </c>
      <c r="R2831" s="15" t="s">
        <v>70</v>
      </c>
      <c r="S2831" s="19">
        <f t="shared" si="1"/>
        <v>0</v>
      </c>
      <c r="T2831" s="19">
        <f t="shared" si="8"/>
        <v>89.14137221</v>
      </c>
      <c r="U2831" s="144"/>
    </row>
    <row r="2832">
      <c r="A2832" s="107"/>
      <c r="B2832" s="8" t="s">
        <v>137</v>
      </c>
      <c r="C2832" s="8" t="s">
        <v>19</v>
      </c>
      <c r="D2832" s="8">
        <v>25.0</v>
      </c>
      <c r="E2832" s="8" t="s">
        <v>5299</v>
      </c>
      <c r="F2832" s="8" t="s">
        <v>1473</v>
      </c>
      <c r="G2832" s="8" t="s">
        <v>1480</v>
      </c>
      <c r="H2832" s="8">
        <v>0.0</v>
      </c>
      <c r="I2832" s="8" t="s">
        <v>78</v>
      </c>
      <c r="J2832" s="8" t="s">
        <v>22</v>
      </c>
      <c r="K2832" s="8" t="s">
        <v>1150</v>
      </c>
      <c r="L2832" s="8" t="s">
        <v>24</v>
      </c>
      <c r="M2832" s="9">
        <v>0.0</v>
      </c>
      <c r="N2832" s="9">
        <v>0.75</v>
      </c>
      <c r="O2832" s="9">
        <v>0.74</v>
      </c>
      <c r="P2832" s="10">
        <v>45450.0</v>
      </c>
      <c r="Q2832" s="11">
        <v>1.7</v>
      </c>
      <c r="R2832" s="8" t="s">
        <v>70</v>
      </c>
      <c r="S2832" s="12">
        <f t="shared" si="1"/>
        <v>0</v>
      </c>
      <c r="T2832" s="12">
        <f t="shared" si="8"/>
        <v>89.14137221</v>
      </c>
      <c r="U2832" s="145"/>
    </row>
    <row r="2833">
      <c r="A2833" s="29"/>
      <c r="B2833" s="15" t="s">
        <v>26</v>
      </c>
      <c r="C2833" s="15" t="s">
        <v>19</v>
      </c>
      <c r="D2833" s="15">
        <v>39.0</v>
      </c>
      <c r="E2833" s="15" t="s">
        <v>5300</v>
      </c>
      <c r="F2833" s="15" t="s">
        <v>1479</v>
      </c>
      <c r="G2833" s="15" t="s">
        <v>1480</v>
      </c>
      <c r="H2833" s="15">
        <v>0.0</v>
      </c>
      <c r="I2833" s="15" t="s">
        <v>96</v>
      </c>
      <c r="J2833" s="15" t="s">
        <v>22</v>
      </c>
      <c r="K2833" s="15" t="s">
        <v>892</v>
      </c>
      <c r="L2833" s="15" t="s">
        <v>24</v>
      </c>
      <c r="M2833" s="16">
        <v>0.0</v>
      </c>
      <c r="N2833" s="16">
        <v>0.6</v>
      </c>
      <c r="O2833" s="16">
        <v>0.6</v>
      </c>
      <c r="P2833" s="17">
        <v>45450.0</v>
      </c>
      <c r="Q2833" s="18">
        <v>1.507</v>
      </c>
      <c r="R2833" s="15" t="s">
        <v>33</v>
      </c>
      <c r="S2833" s="19">
        <f t="shared" si="1"/>
        <v>0.3042</v>
      </c>
      <c r="T2833" s="19">
        <f t="shared" si="8"/>
        <v>89.44557221</v>
      </c>
      <c r="U2833" s="144"/>
    </row>
    <row r="2834">
      <c r="A2834" s="107"/>
      <c r="B2834" s="8" t="s">
        <v>4225</v>
      </c>
      <c r="C2834" s="8" t="s">
        <v>19</v>
      </c>
      <c r="D2834" s="8">
        <v>0.0</v>
      </c>
      <c r="E2834" s="8" t="s">
        <v>5301</v>
      </c>
      <c r="F2834" s="8" t="s">
        <v>1479</v>
      </c>
      <c r="G2834" s="8" t="s">
        <v>1474</v>
      </c>
      <c r="H2834" s="8">
        <v>0.0</v>
      </c>
      <c r="I2834" s="8" t="s">
        <v>432</v>
      </c>
      <c r="J2834" s="8" t="s">
        <v>598</v>
      </c>
      <c r="K2834" s="8" t="s">
        <v>225</v>
      </c>
      <c r="L2834" s="8" t="s">
        <v>1851</v>
      </c>
      <c r="M2834" s="9">
        <v>0.5</v>
      </c>
      <c r="N2834" s="9">
        <v>0.1</v>
      </c>
      <c r="O2834" s="9">
        <v>0.1</v>
      </c>
      <c r="P2834" s="10">
        <v>45450.0</v>
      </c>
      <c r="Q2834" s="11">
        <v>1.975</v>
      </c>
      <c r="R2834" s="8" t="s">
        <v>33</v>
      </c>
      <c r="S2834" s="12">
        <f t="shared" si="1"/>
        <v>0.0975</v>
      </c>
      <c r="T2834" s="12">
        <f t="shared" si="8"/>
        <v>89.54307221</v>
      </c>
      <c r="U2834" s="145"/>
    </row>
    <row r="2835">
      <c r="A2835" s="29"/>
      <c r="B2835" s="15" t="s">
        <v>18</v>
      </c>
      <c r="C2835" s="15" t="s">
        <v>19</v>
      </c>
      <c r="D2835" s="15">
        <v>79.0</v>
      </c>
      <c r="E2835" s="15" t="s">
        <v>5302</v>
      </c>
      <c r="F2835" s="15" t="s">
        <v>1473</v>
      </c>
      <c r="G2835" s="15" t="s">
        <v>1480</v>
      </c>
      <c r="H2835" s="15">
        <v>-2.0</v>
      </c>
      <c r="I2835" s="15" t="s">
        <v>96</v>
      </c>
      <c r="J2835" s="15" t="s">
        <v>22</v>
      </c>
      <c r="K2835" s="15" t="s">
        <v>892</v>
      </c>
      <c r="L2835" s="15" t="s">
        <v>24</v>
      </c>
      <c r="M2835" s="16">
        <v>0.0</v>
      </c>
      <c r="N2835" s="16">
        <v>0.4</v>
      </c>
      <c r="O2835" s="16">
        <v>0.4</v>
      </c>
      <c r="P2835" s="17">
        <v>45450.0</v>
      </c>
      <c r="Q2835" s="18">
        <v>1.625</v>
      </c>
      <c r="R2835" s="15" t="s">
        <v>70</v>
      </c>
      <c r="S2835" s="19">
        <f t="shared" si="1"/>
        <v>0</v>
      </c>
      <c r="T2835" s="19">
        <f t="shared" si="8"/>
        <v>89.54307221</v>
      </c>
      <c r="U2835" s="144"/>
    </row>
    <row r="2836">
      <c r="A2836" s="107"/>
      <c r="B2836" s="8" t="s">
        <v>26</v>
      </c>
      <c r="C2836" s="8" t="s">
        <v>40</v>
      </c>
      <c r="D2836" s="8">
        <v>54.0</v>
      </c>
      <c r="E2836" s="8" t="s">
        <v>5303</v>
      </c>
      <c r="F2836" s="8" t="s">
        <v>1479</v>
      </c>
      <c r="G2836" s="8" t="s">
        <v>1477</v>
      </c>
      <c r="H2836" s="8">
        <v>1.0</v>
      </c>
      <c r="I2836" s="8" t="s">
        <v>920</v>
      </c>
      <c r="J2836" s="8" t="s">
        <v>22</v>
      </c>
      <c r="K2836" s="8" t="s">
        <v>894</v>
      </c>
      <c r="L2836" s="8" t="s">
        <v>24</v>
      </c>
      <c r="M2836" s="9">
        <v>-0.75</v>
      </c>
      <c r="N2836" s="9">
        <v>0.25</v>
      </c>
      <c r="O2836" s="9">
        <v>0.25</v>
      </c>
      <c r="P2836" s="10">
        <v>45450.0</v>
      </c>
      <c r="Q2836" s="11">
        <f>0.396*2+1</f>
        <v>1.792</v>
      </c>
      <c r="R2836" s="8" t="s">
        <v>30</v>
      </c>
      <c r="S2836" s="12">
        <f t="shared" si="1"/>
        <v>0.099</v>
      </c>
      <c r="T2836" s="12">
        <f t="shared" si="8"/>
        <v>89.64207221</v>
      </c>
      <c r="U2836" s="145"/>
    </row>
    <row r="2837">
      <c r="A2837" s="29"/>
      <c r="B2837" s="15" t="s">
        <v>18</v>
      </c>
      <c r="C2837" s="15" t="s">
        <v>19</v>
      </c>
      <c r="D2837" s="15">
        <v>43.0</v>
      </c>
      <c r="E2837" s="15" t="s">
        <v>5304</v>
      </c>
      <c r="F2837" s="15"/>
      <c r="G2837" s="15"/>
      <c r="H2837" s="15"/>
      <c r="I2837" s="15" t="s">
        <v>513</v>
      </c>
      <c r="J2837" s="15" t="s">
        <v>22</v>
      </c>
      <c r="K2837" s="15" t="s">
        <v>29</v>
      </c>
      <c r="L2837" s="15" t="s">
        <v>24</v>
      </c>
      <c r="M2837" s="16">
        <v>-2.25</v>
      </c>
      <c r="N2837" s="16">
        <v>0.1</v>
      </c>
      <c r="O2837" s="16">
        <v>0.1</v>
      </c>
      <c r="P2837" s="17">
        <v>45450.0</v>
      </c>
      <c r="Q2837" s="18">
        <v>1.8</v>
      </c>
      <c r="R2837" s="15" t="s">
        <v>33</v>
      </c>
      <c r="S2837" s="19">
        <f t="shared" si="1"/>
        <v>0.08</v>
      </c>
      <c r="T2837" s="19">
        <f t="shared" si="8"/>
        <v>89.72207221</v>
      </c>
      <c r="U2837" s="144"/>
    </row>
    <row r="2838">
      <c r="A2838" s="107"/>
      <c r="B2838" s="8" t="s">
        <v>131</v>
      </c>
      <c r="C2838" s="8" t="s">
        <v>19</v>
      </c>
      <c r="D2838" s="8">
        <v>73.0</v>
      </c>
      <c r="E2838" s="8" t="s">
        <v>5305</v>
      </c>
      <c r="F2838" s="8" t="s">
        <v>1473</v>
      </c>
      <c r="G2838" s="8" t="s">
        <v>1474</v>
      </c>
      <c r="H2838" s="8">
        <v>0.0</v>
      </c>
      <c r="I2838" s="8" t="s">
        <v>316</v>
      </c>
      <c r="J2838" s="8" t="s">
        <v>22</v>
      </c>
      <c r="K2838" s="8" t="s">
        <v>225</v>
      </c>
      <c r="L2838" s="8" t="s">
        <v>24</v>
      </c>
      <c r="M2838" s="9">
        <v>0.25</v>
      </c>
      <c r="N2838" s="9">
        <v>0.4</v>
      </c>
      <c r="O2838" s="9">
        <v>0.4</v>
      </c>
      <c r="P2838" s="10">
        <v>45450.0</v>
      </c>
      <c r="Q2838" s="11">
        <v>1.725</v>
      </c>
      <c r="R2838" s="8" t="s">
        <v>70</v>
      </c>
      <c r="S2838" s="12">
        <f t="shared" si="1"/>
        <v>0</v>
      </c>
      <c r="T2838" s="12">
        <f t="shared" si="8"/>
        <v>89.72207221</v>
      </c>
      <c r="U2838" s="145"/>
    </row>
    <row r="2839">
      <c r="A2839" s="29"/>
      <c r="B2839" s="15" t="s">
        <v>26</v>
      </c>
      <c r="C2839" s="15" t="s">
        <v>19</v>
      </c>
      <c r="D2839" s="15">
        <v>66.0</v>
      </c>
      <c r="E2839" s="15" t="s">
        <v>5306</v>
      </c>
      <c r="F2839" s="15" t="s">
        <v>1479</v>
      </c>
      <c r="G2839" s="15" t="s">
        <v>1480</v>
      </c>
      <c r="H2839" s="15">
        <v>-1.0</v>
      </c>
      <c r="I2839" s="15" t="s">
        <v>82</v>
      </c>
      <c r="J2839" s="15" t="s">
        <v>22</v>
      </c>
      <c r="K2839" s="15" t="s">
        <v>892</v>
      </c>
      <c r="L2839" s="15" t="s">
        <v>24</v>
      </c>
      <c r="M2839" s="16">
        <v>0.0</v>
      </c>
      <c r="N2839" s="16">
        <v>0.5</v>
      </c>
      <c r="O2839" s="16">
        <v>0.5</v>
      </c>
      <c r="P2839" s="17">
        <v>45450.0</v>
      </c>
      <c r="Q2839" s="18">
        <v>1.8</v>
      </c>
      <c r="R2839" s="15" t="s">
        <v>70</v>
      </c>
      <c r="S2839" s="19">
        <f t="shared" si="1"/>
        <v>0</v>
      </c>
      <c r="T2839" s="19">
        <f t="shared" si="8"/>
        <v>89.72207221</v>
      </c>
      <c r="U2839" s="144"/>
    </row>
    <row r="2840">
      <c r="A2840" s="107"/>
      <c r="B2840" s="8" t="s">
        <v>26</v>
      </c>
      <c r="C2840" s="8" t="s">
        <v>19</v>
      </c>
      <c r="D2840" s="8">
        <v>65.0</v>
      </c>
      <c r="E2840" s="8" t="s">
        <v>5307</v>
      </c>
      <c r="F2840" s="8"/>
      <c r="G2840" s="8"/>
      <c r="H2840" s="8"/>
      <c r="I2840" s="8" t="s">
        <v>82</v>
      </c>
      <c r="J2840" s="8" t="s">
        <v>22</v>
      </c>
      <c r="K2840" s="8" t="s">
        <v>440</v>
      </c>
      <c r="L2840" s="8" t="s">
        <v>39</v>
      </c>
      <c r="M2840" s="9">
        <v>4.25</v>
      </c>
      <c r="N2840" s="9">
        <v>0.1</v>
      </c>
      <c r="O2840" s="9">
        <v>0.06</v>
      </c>
      <c r="P2840" s="10">
        <v>45450.0</v>
      </c>
      <c r="Q2840" s="11">
        <v>1.6</v>
      </c>
      <c r="R2840" s="8" t="s">
        <v>33</v>
      </c>
      <c r="S2840" s="12">
        <f t="shared" si="1"/>
        <v>0.036</v>
      </c>
      <c r="T2840" s="12">
        <f t="shared" si="8"/>
        <v>89.75807221</v>
      </c>
      <c r="U2840" s="145"/>
    </row>
    <row r="2841">
      <c r="A2841" s="29"/>
      <c r="B2841" s="15" t="s">
        <v>129</v>
      </c>
      <c r="C2841" s="15" t="s">
        <v>19</v>
      </c>
      <c r="D2841" s="15">
        <v>16.0</v>
      </c>
      <c r="E2841" s="15" t="s">
        <v>5308</v>
      </c>
      <c r="F2841" s="15" t="s">
        <v>1479</v>
      </c>
      <c r="G2841" s="15" t="s">
        <v>1480</v>
      </c>
      <c r="H2841" s="15">
        <v>0.0</v>
      </c>
      <c r="I2841" s="15" t="s">
        <v>44</v>
      </c>
      <c r="J2841" s="15" t="s">
        <v>22</v>
      </c>
      <c r="K2841" s="15" t="s">
        <v>1150</v>
      </c>
      <c r="L2841" s="15" t="s">
        <v>24</v>
      </c>
      <c r="M2841" s="16">
        <v>0.0</v>
      </c>
      <c r="N2841" s="16">
        <v>0.6</v>
      </c>
      <c r="O2841" s="16">
        <v>0.6</v>
      </c>
      <c r="P2841" s="17">
        <v>45451.0</v>
      </c>
      <c r="Q2841" s="18">
        <v>1.675</v>
      </c>
      <c r="R2841" s="15" t="s">
        <v>25</v>
      </c>
      <c r="S2841" s="19">
        <f t="shared" si="1"/>
        <v>-0.6</v>
      </c>
      <c r="T2841" s="19">
        <f t="shared" si="8"/>
        <v>89.15807221</v>
      </c>
      <c r="U2841" s="144"/>
    </row>
    <row r="2842">
      <c r="A2842" s="107"/>
      <c r="B2842" s="8" t="s">
        <v>131</v>
      </c>
      <c r="C2842" s="8" t="s">
        <v>40</v>
      </c>
      <c r="D2842" s="8">
        <v>18.0</v>
      </c>
      <c r="E2842" s="8" t="s">
        <v>5309</v>
      </c>
      <c r="F2842" s="8"/>
      <c r="G2842" s="8"/>
      <c r="H2842" s="8"/>
      <c r="I2842" s="8" t="s">
        <v>2667</v>
      </c>
      <c r="J2842" s="8" t="s">
        <v>22</v>
      </c>
      <c r="K2842" s="8" t="s">
        <v>29</v>
      </c>
      <c r="L2842" s="8" t="s">
        <v>24</v>
      </c>
      <c r="M2842" s="9">
        <v>-3.25</v>
      </c>
      <c r="N2842" s="9">
        <v>0.2</v>
      </c>
      <c r="O2842" s="9">
        <v>0.08</v>
      </c>
      <c r="P2842" s="10">
        <v>45451.0</v>
      </c>
      <c r="Q2842" s="11">
        <v>1.8</v>
      </c>
      <c r="R2842" s="8" t="s">
        <v>25</v>
      </c>
      <c r="S2842" s="12">
        <f t="shared" si="1"/>
        <v>-0.08</v>
      </c>
      <c r="T2842" s="12">
        <f t="shared" si="8"/>
        <v>89.07807221</v>
      </c>
      <c r="U2842" s="145"/>
    </row>
    <row r="2843">
      <c r="A2843" s="29"/>
      <c r="B2843" s="15" t="s">
        <v>131</v>
      </c>
      <c r="C2843" s="15" t="s">
        <v>40</v>
      </c>
      <c r="D2843" s="15">
        <v>27.0</v>
      </c>
      <c r="E2843" s="15" t="s">
        <v>5310</v>
      </c>
      <c r="F2843" s="15" t="s">
        <v>1473</v>
      </c>
      <c r="G2843" s="15" t="s">
        <v>1480</v>
      </c>
      <c r="H2843" s="15">
        <v>0.0</v>
      </c>
      <c r="I2843" s="15" t="s">
        <v>2667</v>
      </c>
      <c r="J2843" s="15" t="s">
        <v>22</v>
      </c>
      <c r="K2843" s="15" t="s">
        <v>892</v>
      </c>
      <c r="L2843" s="15" t="s">
        <v>24</v>
      </c>
      <c r="M2843" s="16">
        <v>0.0</v>
      </c>
      <c r="N2843" s="16">
        <v>0.2</v>
      </c>
      <c r="O2843" s="16">
        <v>0.04</v>
      </c>
      <c r="P2843" s="17">
        <v>45451.0</v>
      </c>
      <c r="Q2843" s="18">
        <v>1.9</v>
      </c>
      <c r="R2843" s="15" t="s">
        <v>33</v>
      </c>
      <c r="S2843" s="19">
        <f t="shared" si="1"/>
        <v>0.036</v>
      </c>
      <c r="T2843" s="19">
        <f t="shared" si="8"/>
        <v>89.11407221</v>
      </c>
      <c r="U2843" s="144"/>
    </row>
    <row r="2844">
      <c r="A2844" s="107"/>
      <c r="B2844" s="8" t="s">
        <v>26</v>
      </c>
      <c r="C2844" s="8" t="s">
        <v>19</v>
      </c>
      <c r="D2844" s="8">
        <v>50.0</v>
      </c>
      <c r="E2844" s="8" t="s">
        <v>5311</v>
      </c>
      <c r="F2844" s="8" t="s">
        <v>1473</v>
      </c>
      <c r="G2844" s="8" t="s">
        <v>1474</v>
      </c>
      <c r="H2844" s="8">
        <v>1.0</v>
      </c>
      <c r="I2844" s="8" t="s">
        <v>513</v>
      </c>
      <c r="J2844" s="8" t="s">
        <v>22</v>
      </c>
      <c r="K2844" s="8" t="s">
        <v>225</v>
      </c>
      <c r="L2844" s="8" t="s">
        <v>24</v>
      </c>
      <c r="M2844" s="9">
        <v>0.25</v>
      </c>
      <c r="N2844" s="9">
        <v>0.6</v>
      </c>
      <c r="O2844" s="9">
        <v>0.6</v>
      </c>
      <c r="P2844" s="10">
        <v>45451.0</v>
      </c>
      <c r="Q2844" s="11">
        <v>1.775</v>
      </c>
      <c r="R2844" s="8" t="s">
        <v>25</v>
      </c>
      <c r="S2844" s="12">
        <f t="shared" si="1"/>
        <v>-0.6</v>
      </c>
      <c r="T2844" s="12">
        <f t="shared" si="8"/>
        <v>88.51407221</v>
      </c>
      <c r="U2844" s="145"/>
    </row>
    <row r="2845">
      <c r="A2845" s="29"/>
      <c r="B2845" s="15" t="s">
        <v>137</v>
      </c>
      <c r="C2845" s="15" t="s">
        <v>19</v>
      </c>
      <c r="D2845" s="15">
        <v>66.0</v>
      </c>
      <c r="E2845" s="15" t="s">
        <v>5312</v>
      </c>
      <c r="F2845" s="15" t="s">
        <v>1473</v>
      </c>
      <c r="G2845" s="15" t="s">
        <v>1480</v>
      </c>
      <c r="H2845" s="15">
        <v>0.0</v>
      </c>
      <c r="I2845" s="15" t="s">
        <v>178</v>
      </c>
      <c r="J2845" s="15" t="s">
        <v>22</v>
      </c>
      <c r="K2845" s="15" t="s">
        <v>892</v>
      </c>
      <c r="L2845" s="15" t="s">
        <v>24</v>
      </c>
      <c r="M2845" s="16">
        <v>0.0</v>
      </c>
      <c r="N2845" s="16">
        <v>0.2</v>
      </c>
      <c r="O2845" s="16">
        <v>0.16</v>
      </c>
      <c r="P2845" s="17">
        <v>45451.0</v>
      </c>
      <c r="Q2845" s="18">
        <v>1.675</v>
      </c>
      <c r="R2845" s="15" t="s">
        <v>25</v>
      </c>
      <c r="S2845" s="19">
        <f t="shared" si="1"/>
        <v>-0.16</v>
      </c>
      <c r="T2845" s="19">
        <f t="shared" si="8"/>
        <v>88.35407221</v>
      </c>
      <c r="U2845" s="144"/>
    </row>
    <row r="2846">
      <c r="A2846" s="107"/>
      <c r="B2846" s="8" t="s">
        <v>129</v>
      </c>
      <c r="C2846" s="8" t="s">
        <v>40</v>
      </c>
      <c r="D2846" s="8">
        <v>54.0</v>
      </c>
      <c r="E2846" s="8" t="s">
        <v>5313</v>
      </c>
      <c r="F2846" s="8" t="s">
        <v>1473</v>
      </c>
      <c r="G2846" s="8" t="s">
        <v>1480</v>
      </c>
      <c r="H2846" s="8">
        <v>-1.0</v>
      </c>
      <c r="I2846" s="8" t="s">
        <v>908</v>
      </c>
      <c r="J2846" s="8" t="s">
        <v>22</v>
      </c>
      <c r="K2846" s="8" t="s">
        <v>892</v>
      </c>
      <c r="L2846" s="8" t="s">
        <v>24</v>
      </c>
      <c r="M2846" s="9">
        <v>0.0</v>
      </c>
      <c r="N2846" s="9">
        <v>1.0</v>
      </c>
      <c r="O2846" s="9">
        <v>1.0</v>
      </c>
      <c r="P2846" s="10">
        <v>45451.0</v>
      </c>
      <c r="Q2846" s="11">
        <v>1.75</v>
      </c>
      <c r="R2846" s="8" t="s">
        <v>33</v>
      </c>
      <c r="S2846" s="12">
        <f t="shared" si="1"/>
        <v>0.75</v>
      </c>
      <c r="T2846" s="12">
        <f t="shared" si="8"/>
        <v>89.10407221</v>
      </c>
      <c r="U2846" s="145"/>
    </row>
    <row r="2847">
      <c r="A2847" s="29"/>
      <c r="B2847" s="15" t="s">
        <v>1915</v>
      </c>
      <c r="C2847" s="15" t="s">
        <v>19</v>
      </c>
      <c r="D2847" s="15">
        <v>0.0</v>
      </c>
      <c r="E2847" s="15" t="s">
        <v>5314</v>
      </c>
      <c r="F2847" s="15"/>
      <c r="G2847" s="15"/>
      <c r="H2847" s="15"/>
      <c r="I2847" s="15" t="s">
        <v>93</v>
      </c>
      <c r="J2847" s="15" t="s">
        <v>598</v>
      </c>
      <c r="K2847" s="15" t="s">
        <v>29</v>
      </c>
      <c r="L2847" s="15" t="s">
        <v>39</v>
      </c>
      <c r="M2847" s="16">
        <v>-2.25</v>
      </c>
      <c r="N2847" s="16">
        <v>0.4</v>
      </c>
      <c r="O2847" s="16">
        <v>0.4</v>
      </c>
      <c r="P2847" s="17">
        <v>45451.0</v>
      </c>
      <c r="Q2847" s="18">
        <v>1.825</v>
      </c>
      <c r="R2847" s="15" t="s">
        <v>25</v>
      </c>
      <c r="S2847" s="19">
        <f t="shared" si="1"/>
        <v>-0.4</v>
      </c>
      <c r="T2847" s="19">
        <f t="shared" si="8"/>
        <v>88.70407221</v>
      </c>
      <c r="U2847" s="144"/>
    </row>
    <row r="2848">
      <c r="A2848" s="107"/>
      <c r="B2848" s="8" t="s">
        <v>129</v>
      </c>
      <c r="C2848" s="8" t="s">
        <v>19</v>
      </c>
      <c r="D2848" s="8">
        <v>78.0</v>
      </c>
      <c r="E2848" s="8" t="s">
        <v>5315</v>
      </c>
      <c r="F2848" s="8" t="s">
        <v>1479</v>
      </c>
      <c r="G2848" s="8" t="s">
        <v>1474</v>
      </c>
      <c r="H2848" s="8">
        <v>0.0</v>
      </c>
      <c r="I2848" s="8" t="s">
        <v>513</v>
      </c>
      <c r="J2848" s="8" t="s">
        <v>22</v>
      </c>
      <c r="K2848" s="8" t="s">
        <v>225</v>
      </c>
      <c r="L2848" s="8" t="s">
        <v>24</v>
      </c>
      <c r="M2848" s="9">
        <v>0.25</v>
      </c>
      <c r="N2848" s="9">
        <v>0.75</v>
      </c>
      <c r="O2848" s="9">
        <v>0.73</v>
      </c>
      <c r="P2848" s="10">
        <v>45451.0</v>
      </c>
      <c r="Q2848" s="11">
        <v>2.0</v>
      </c>
      <c r="R2848" s="8" t="s">
        <v>33</v>
      </c>
      <c r="S2848" s="12">
        <f t="shared" si="1"/>
        <v>0.73</v>
      </c>
      <c r="T2848" s="12">
        <f t="shared" si="8"/>
        <v>89.43407221</v>
      </c>
      <c r="U2848" s="145"/>
    </row>
    <row r="2849">
      <c r="A2849" s="29"/>
      <c r="B2849" s="15" t="s">
        <v>26</v>
      </c>
      <c r="C2849" s="15" t="s">
        <v>40</v>
      </c>
      <c r="D2849" s="15">
        <v>61.0</v>
      </c>
      <c r="E2849" s="15" t="s">
        <v>5316</v>
      </c>
      <c r="F2849" s="15" t="s">
        <v>1479</v>
      </c>
      <c r="G2849" s="15" t="s">
        <v>1480</v>
      </c>
      <c r="H2849" s="15">
        <v>0.0</v>
      </c>
      <c r="I2849" s="15" t="s">
        <v>463</v>
      </c>
      <c r="J2849" s="15" t="s">
        <v>22</v>
      </c>
      <c r="K2849" s="15" t="s">
        <v>1847</v>
      </c>
      <c r="L2849" s="15" t="s">
        <v>24</v>
      </c>
      <c r="M2849" s="16">
        <v>-0.5</v>
      </c>
      <c r="N2849" s="16">
        <v>0.25</v>
      </c>
      <c r="O2849" s="16">
        <v>0.25</v>
      </c>
      <c r="P2849" s="17">
        <v>45451.0</v>
      </c>
      <c r="Q2849" s="18">
        <v>1.727</v>
      </c>
      <c r="R2849" s="15" t="s">
        <v>33</v>
      </c>
      <c r="S2849" s="19">
        <f t="shared" si="1"/>
        <v>0.18175</v>
      </c>
      <c r="T2849" s="19">
        <f t="shared" si="8"/>
        <v>89.61582221</v>
      </c>
      <c r="U2849" s="144"/>
    </row>
    <row r="2850">
      <c r="A2850" s="107"/>
      <c r="B2850" s="8" t="s">
        <v>1915</v>
      </c>
      <c r="C2850" s="8" t="s">
        <v>19</v>
      </c>
      <c r="D2850" s="8">
        <v>0.0</v>
      </c>
      <c r="E2850" s="95" t="s">
        <v>5317</v>
      </c>
      <c r="F2850" s="8"/>
      <c r="G2850" s="8"/>
      <c r="H2850" s="8"/>
      <c r="I2850" s="8" t="s">
        <v>82</v>
      </c>
      <c r="J2850" s="8" t="s">
        <v>598</v>
      </c>
      <c r="K2850" s="8" t="s">
        <v>29</v>
      </c>
      <c r="L2850" s="8" t="s">
        <v>39</v>
      </c>
      <c r="M2850" s="9">
        <v>-2.5</v>
      </c>
      <c r="N2850" s="9">
        <v>0.5</v>
      </c>
      <c r="O2850" s="9">
        <v>0.5</v>
      </c>
      <c r="P2850" s="10">
        <v>45451.0</v>
      </c>
      <c r="Q2850" s="11">
        <v>1.65</v>
      </c>
      <c r="R2850" s="8" t="s">
        <v>33</v>
      </c>
      <c r="S2850" s="12">
        <f t="shared" si="1"/>
        <v>0.325</v>
      </c>
      <c r="T2850" s="12">
        <f t="shared" si="8"/>
        <v>89.94082221</v>
      </c>
      <c r="U2850" s="145"/>
    </row>
    <row r="2851">
      <c r="A2851" s="29"/>
      <c r="B2851" s="15" t="s">
        <v>26</v>
      </c>
      <c r="C2851" s="15" t="s">
        <v>19</v>
      </c>
      <c r="D2851" s="15">
        <v>35.0</v>
      </c>
      <c r="E2851" s="15" t="s">
        <v>5318</v>
      </c>
      <c r="F2851" s="15"/>
      <c r="G2851" s="15"/>
      <c r="H2851" s="15"/>
      <c r="I2851" s="15" t="s">
        <v>82</v>
      </c>
      <c r="J2851" s="15" t="s">
        <v>22</v>
      </c>
      <c r="K2851" s="15" t="s">
        <v>29</v>
      </c>
      <c r="L2851" s="15" t="s">
        <v>1522</v>
      </c>
      <c r="M2851" s="16">
        <v>-2.0</v>
      </c>
      <c r="N2851" s="16">
        <v>0.3</v>
      </c>
      <c r="O2851" s="16">
        <v>0.3</v>
      </c>
      <c r="P2851" s="17">
        <v>45451.0</v>
      </c>
      <c r="Q2851" s="18">
        <v>2.0</v>
      </c>
      <c r="R2851" s="15" t="s">
        <v>33</v>
      </c>
      <c r="S2851" s="19">
        <f t="shared" si="1"/>
        <v>0.3</v>
      </c>
      <c r="T2851" s="19">
        <f t="shared" si="8"/>
        <v>90.24082221</v>
      </c>
      <c r="U2851" s="144"/>
    </row>
    <row r="2852">
      <c r="A2852" s="107"/>
      <c r="B2852" s="8" t="s">
        <v>18</v>
      </c>
      <c r="C2852" s="8" t="s">
        <v>19</v>
      </c>
      <c r="D2852" s="8">
        <v>34.0</v>
      </c>
      <c r="E2852" s="8" t="s">
        <v>5319</v>
      </c>
      <c r="F2852" s="8" t="s">
        <v>1473</v>
      </c>
      <c r="G2852" s="8" t="s">
        <v>1474</v>
      </c>
      <c r="H2852" s="8">
        <v>0.0</v>
      </c>
      <c r="I2852" s="8" t="s">
        <v>101</v>
      </c>
      <c r="J2852" s="8" t="s">
        <v>22</v>
      </c>
      <c r="K2852" s="8" t="s">
        <v>225</v>
      </c>
      <c r="L2852" s="8" t="s">
        <v>24</v>
      </c>
      <c r="M2852" s="9">
        <v>0.25</v>
      </c>
      <c r="N2852" s="9">
        <v>0.2</v>
      </c>
      <c r="O2852" s="9">
        <v>0.2</v>
      </c>
      <c r="P2852" s="10">
        <v>45452.0</v>
      </c>
      <c r="Q2852" s="11">
        <v>1.6</v>
      </c>
      <c r="R2852" s="8" t="s">
        <v>33</v>
      </c>
      <c r="S2852" s="12">
        <f t="shared" si="1"/>
        <v>0.12</v>
      </c>
      <c r="T2852" s="12">
        <f t="shared" si="8"/>
        <v>90.36082221</v>
      </c>
      <c r="U2852" s="145"/>
    </row>
    <row r="2853">
      <c r="A2853" s="29"/>
      <c r="B2853" s="15" t="s">
        <v>26</v>
      </c>
      <c r="C2853" s="15" t="s">
        <v>19</v>
      </c>
      <c r="D2853" s="15">
        <v>0.0</v>
      </c>
      <c r="E2853" s="15" t="s">
        <v>5320</v>
      </c>
      <c r="F2853" s="15"/>
      <c r="G2853" s="15"/>
      <c r="H2853" s="15"/>
      <c r="I2853" s="15" t="s">
        <v>248</v>
      </c>
      <c r="J2853" s="15" t="s">
        <v>22</v>
      </c>
      <c r="K2853" s="15" t="s">
        <v>29</v>
      </c>
      <c r="L2853" s="15" t="s">
        <v>24</v>
      </c>
      <c r="M2853" s="16">
        <v>-2.0</v>
      </c>
      <c r="N2853" s="16">
        <v>0.5</v>
      </c>
      <c r="O2853" s="16">
        <v>0.5</v>
      </c>
      <c r="P2853" s="17">
        <v>45453.0</v>
      </c>
      <c r="Q2853" s="18">
        <v>1.925</v>
      </c>
      <c r="R2853" s="15" t="s">
        <v>33</v>
      </c>
      <c r="S2853" s="19">
        <f t="shared" si="1"/>
        <v>0.4625</v>
      </c>
      <c r="T2853" s="19">
        <f t="shared" si="8"/>
        <v>90.82332221</v>
      </c>
      <c r="U2853" s="144"/>
    </row>
    <row r="2854">
      <c r="A2854" s="107"/>
      <c r="B2854" s="161" t="s">
        <v>1915</v>
      </c>
      <c r="C2854" s="148" t="s">
        <v>19</v>
      </c>
      <c r="D2854" s="8">
        <v>0.0</v>
      </c>
      <c r="E2854" s="148" t="s">
        <v>5321</v>
      </c>
      <c r="F2854" s="134"/>
      <c r="G2854" s="134"/>
      <c r="H2854" s="134"/>
      <c r="I2854" s="148" t="s">
        <v>794</v>
      </c>
      <c r="J2854" s="148" t="s">
        <v>22</v>
      </c>
      <c r="K2854" s="148" t="s">
        <v>29</v>
      </c>
      <c r="L2854" s="8" t="s">
        <v>39</v>
      </c>
      <c r="M2854" s="159">
        <v>-2.5</v>
      </c>
      <c r="N2854" s="159">
        <v>0.25</v>
      </c>
      <c r="O2854" s="159">
        <v>0.25</v>
      </c>
      <c r="P2854" s="162">
        <v>45454.0</v>
      </c>
      <c r="Q2854" s="137">
        <v>1.825</v>
      </c>
      <c r="R2854" s="148" t="s">
        <v>33</v>
      </c>
      <c r="S2854" s="12">
        <f t="shared" si="1"/>
        <v>0.20625</v>
      </c>
      <c r="T2854" s="12">
        <f t="shared" si="8"/>
        <v>91.02957221</v>
      </c>
      <c r="U2854" s="145"/>
    </row>
    <row r="2855">
      <c r="A2855" s="29"/>
      <c r="B2855" s="15" t="s">
        <v>18</v>
      </c>
      <c r="C2855" s="163" t="s">
        <v>19</v>
      </c>
      <c r="D2855" s="163">
        <v>58.0</v>
      </c>
      <c r="E2855" s="163" t="s">
        <v>5322</v>
      </c>
      <c r="F2855" s="163" t="s">
        <v>1473</v>
      </c>
      <c r="G2855" s="163" t="s">
        <v>1477</v>
      </c>
      <c r="H2855" s="163">
        <v>3.0</v>
      </c>
      <c r="I2855" s="163" t="s">
        <v>794</v>
      </c>
      <c r="J2855" s="163" t="s">
        <v>22</v>
      </c>
      <c r="K2855" s="163" t="s">
        <v>894</v>
      </c>
      <c r="L2855" s="15" t="s">
        <v>39</v>
      </c>
      <c r="M2855" s="164">
        <v>-0.75</v>
      </c>
      <c r="N2855" s="164">
        <v>0.1</v>
      </c>
      <c r="O2855" s="164">
        <v>0.1</v>
      </c>
      <c r="P2855" s="165">
        <v>45454.0</v>
      </c>
      <c r="Q2855" s="166">
        <v>1.925</v>
      </c>
      <c r="R2855" s="42" t="s">
        <v>25</v>
      </c>
      <c r="S2855" s="19">
        <f t="shared" si="1"/>
        <v>-0.1</v>
      </c>
      <c r="T2855" s="19">
        <f t="shared" si="8"/>
        <v>90.92957221</v>
      </c>
      <c r="U2855" s="144"/>
    </row>
    <row r="2856">
      <c r="A2856" s="107"/>
      <c r="B2856" s="8" t="s">
        <v>137</v>
      </c>
      <c r="C2856" s="8" t="s">
        <v>19</v>
      </c>
      <c r="D2856" s="8">
        <v>21.0</v>
      </c>
      <c r="E2856" s="8" t="s">
        <v>5323</v>
      </c>
      <c r="F2856" s="8" t="s">
        <v>1479</v>
      </c>
      <c r="G2856" s="8" t="s">
        <v>1480</v>
      </c>
      <c r="H2856" s="8">
        <v>0.0</v>
      </c>
      <c r="I2856" s="8" t="s">
        <v>82</v>
      </c>
      <c r="J2856" s="8" t="s">
        <v>22</v>
      </c>
      <c r="K2856" s="8" t="s">
        <v>1150</v>
      </c>
      <c r="L2856" s="8" t="s">
        <v>1522</v>
      </c>
      <c r="M2856" s="9">
        <v>0.0</v>
      </c>
      <c r="N2856" s="9">
        <v>0.2</v>
      </c>
      <c r="O2856" s="9">
        <v>0.2</v>
      </c>
      <c r="P2856" s="54">
        <v>45454.0</v>
      </c>
      <c r="Q2856" s="11">
        <v>1.7</v>
      </c>
      <c r="R2856" s="8" t="s">
        <v>25</v>
      </c>
      <c r="S2856" s="12">
        <f t="shared" si="1"/>
        <v>-0.2</v>
      </c>
      <c r="T2856" s="12">
        <f t="shared" si="8"/>
        <v>90.72957221</v>
      </c>
      <c r="U2856" s="145"/>
    </row>
    <row r="2857">
      <c r="A2857" s="29"/>
      <c r="B2857" s="15" t="s">
        <v>26</v>
      </c>
      <c r="C2857" s="15" t="s">
        <v>19</v>
      </c>
      <c r="D2857" s="15">
        <v>40.0</v>
      </c>
      <c r="E2857" s="15" t="s">
        <v>5323</v>
      </c>
      <c r="F2857" s="15" t="s">
        <v>1479</v>
      </c>
      <c r="G2857" s="15" t="s">
        <v>1480</v>
      </c>
      <c r="H2857" s="15">
        <v>-1.0</v>
      </c>
      <c r="I2857" s="15" t="s">
        <v>82</v>
      </c>
      <c r="J2857" s="15" t="s">
        <v>22</v>
      </c>
      <c r="K2857" s="15" t="s">
        <v>1150</v>
      </c>
      <c r="L2857" s="15" t="s">
        <v>1522</v>
      </c>
      <c r="M2857" s="16">
        <v>0.0</v>
      </c>
      <c r="N2857" s="16">
        <v>0.2</v>
      </c>
      <c r="O2857" s="16">
        <v>0.12</v>
      </c>
      <c r="P2857" s="55">
        <v>45454.0</v>
      </c>
      <c r="Q2857" s="18">
        <v>1.625</v>
      </c>
      <c r="R2857" s="15" t="s">
        <v>70</v>
      </c>
      <c r="S2857" s="19">
        <f t="shared" si="1"/>
        <v>0</v>
      </c>
      <c r="T2857" s="19">
        <f t="shared" si="8"/>
        <v>90.72957221</v>
      </c>
      <c r="U2857" s="144"/>
    </row>
    <row r="2858">
      <c r="A2858" s="107"/>
      <c r="B2858" s="8" t="s">
        <v>129</v>
      </c>
      <c r="C2858" s="8" t="s">
        <v>40</v>
      </c>
      <c r="D2858" s="8">
        <v>25.0</v>
      </c>
      <c r="E2858" s="8" t="s">
        <v>5324</v>
      </c>
      <c r="F2858" s="8" t="s">
        <v>1473</v>
      </c>
      <c r="G2858" s="8" t="s">
        <v>1477</v>
      </c>
      <c r="H2858" s="8">
        <v>0.0</v>
      </c>
      <c r="I2858" s="8" t="s">
        <v>1003</v>
      </c>
      <c r="J2858" s="8" t="s">
        <v>22</v>
      </c>
      <c r="K2858" s="8" t="s">
        <v>894</v>
      </c>
      <c r="L2858" s="8" t="s">
        <v>24</v>
      </c>
      <c r="M2858" s="9">
        <v>-0.5</v>
      </c>
      <c r="N2858" s="9">
        <v>0.2</v>
      </c>
      <c r="O2858" s="9">
        <v>0.2</v>
      </c>
      <c r="P2858" s="10">
        <v>45454.0</v>
      </c>
      <c r="Q2858" s="11">
        <f>186.45/140</f>
        <v>1.331785714</v>
      </c>
      <c r="R2858" s="148" t="s">
        <v>33</v>
      </c>
      <c r="S2858" s="12">
        <f t="shared" si="1"/>
        <v>0.06635714286</v>
      </c>
      <c r="T2858" s="12">
        <f t="shared" si="8"/>
        <v>90.79592936</v>
      </c>
      <c r="U2858" s="145"/>
    </row>
    <row r="2859">
      <c r="A2859" s="29"/>
      <c r="B2859" s="15" t="s">
        <v>26</v>
      </c>
      <c r="C2859" s="15" t="s">
        <v>19</v>
      </c>
      <c r="D2859" s="15">
        <v>65.0</v>
      </c>
      <c r="E2859" s="15" t="s">
        <v>5325</v>
      </c>
      <c r="F2859" s="15" t="s">
        <v>1479</v>
      </c>
      <c r="G2859" s="15" t="s">
        <v>1477</v>
      </c>
      <c r="H2859" s="15">
        <v>0.0</v>
      </c>
      <c r="I2859" s="15" t="s">
        <v>191</v>
      </c>
      <c r="J2859" s="15" t="s">
        <v>22</v>
      </c>
      <c r="K2859" s="15" t="s">
        <v>894</v>
      </c>
      <c r="L2859" s="15" t="s">
        <v>39</v>
      </c>
      <c r="M2859" s="16">
        <v>-0.75</v>
      </c>
      <c r="N2859" s="16">
        <v>0.25</v>
      </c>
      <c r="O2859" s="16">
        <v>0.25</v>
      </c>
      <c r="P2859" s="17">
        <v>45455.0</v>
      </c>
      <c r="Q2859" s="18">
        <v>1.8</v>
      </c>
      <c r="R2859" s="15" t="s">
        <v>25</v>
      </c>
      <c r="S2859" s="19">
        <f t="shared" si="1"/>
        <v>-0.25</v>
      </c>
      <c r="T2859" s="19">
        <f t="shared" si="8"/>
        <v>90.54592936</v>
      </c>
      <c r="U2859" s="144"/>
    </row>
    <row r="2860">
      <c r="A2860" s="107"/>
      <c r="B2860" s="8" t="s">
        <v>4225</v>
      </c>
      <c r="C2860" s="8" t="s">
        <v>19</v>
      </c>
      <c r="D2860" s="8">
        <v>0.0</v>
      </c>
      <c r="E2860" s="8" t="s">
        <v>5326</v>
      </c>
      <c r="F2860" s="8" t="s">
        <v>1473</v>
      </c>
      <c r="G2860" s="8" t="s">
        <v>1474</v>
      </c>
      <c r="H2860" s="8">
        <v>0.0</v>
      </c>
      <c r="I2860" s="8" t="s">
        <v>463</v>
      </c>
      <c r="J2860" s="8" t="s">
        <v>598</v>
      </c>
      <c r="K2860" s="8" t="s">
        <v>892</v>
      </c>
      <c r="L2860" s="8" t="s">
        <v>2201</v>
      </c>
      <c r="M2860" s="9">
        <v>0.75</v>
      </c>
      <c r="N2860" s="9">
        <v>0.1</v>
      </c>
      <c r="O2860" s="9">
        <v>0.1</v>
      </c>
      <c r="P2860" s="10">
        <v>45455.0</v>
      </c>
      <c r="Q2860" s="11">
        <v>1.925</v>
      </c>
      <c r="R2860" s="8" t="s">
        <v>25</v>
      </c>
      <c r="S2860" s="12">
        <f t="shared" si="1"/>
        <v>-0.1</v>
      </c>
      <c r="T2860" s="12">
        <f t="shared" si="8"/>
        <v>90.44592936</v>
      </c>
      <c r="U2860" s="145"/>
    </row>
    <row r="2861">
      <c r="A2861" s="29"/>
      <c r="B2861" s="15" t="s">
        <v>4225</v>
      </c>
      <c r="C2861" s="15" t="s">
        <v>19</v>
      </c>
      <c r="D2861" s="15">
        <v>61.0</v>
      </c>
      <c r="E2861" s="15" t="s">
        <v>5327</v>
      </c>
      <c r="F2861" s="15" t="s">
        <v>1479</v>
      </c>
      <c r="G2861" s="15" t="s">
        <v>1480</v>
      </c>
      <c r="H2861" s="15">
        <v>0.0</v>
      </c>
      <c r="I2861" s="15" t="s">
        <v>463</v>
      </c>
      <c r="J2861" s="15" t="s">
        <v>22</v>
      </c>
      <c r="K2861" s="15" t="s">
        <v>941</v>
      </c>
      <c r="L2861" s="15" t="s">
        <v>24</v>
      </c>
      <c r="M2861" s="16">
        <v>0.0</v>
      </c>
      <c r="N2861" s="16">
        <v>0.5</v>
      </c>
      <c r="O2861" s="16">
        <v>0.5</v>
      </c>
      <c r="P2861" s="17">
        <v>45455.0</v>
      </c>
      <c r="Q2861" s="18">
        <v>2.1</v>
      </c>
      <c r="R2861" s="15" t="s">
        <v>70</v>
      </c>
      <c r="S2861" s="19">
        <f t="shared" si="1"/>
        <v>0</v>
      </c>
      <c r="T2861" s="19">
        <f t="shared" si="8"/>
        <v>90.44592936</v>
      </c>
      <c r="U2861" s="144"/>
    </row>
    <row r="2862">
      <c r="A2862" s="107"/>
      <c r="B2862" s="8" t="s">
        <v>4225</v>
      </c>
      <c r="C2862" s="8" t="s">
        <v>19</v>
      </c>
      <c r="D2862" s="8">
        <v>73.0</v>
      </c>
      <c r="E2862" s="8" t="s">
        <v>5328</v>
      </c>
      <c r="F2862" s="8" t="s">
        <v>1473</v>
      </c>
      <c r="G2862" s="8" t="s">
        <v>1480</v>
      </c>
      <c r="H2862" s="8">
        <v>0.0</v>
      </c>
      <c r="I2862" s="8" t="s">
        <v>463</v>
      </c>
      <c r="J2862" s="8" t="s">
        <v>22</v>
      </c>
      <c r="K2862" s="8" t="s">
        <v>892</v>
      </c>
      <c r="L2862" s="8" t="s">
        <v>24</v>
      </c>
      <c r="M2862" s="9">
        <v>0.0</v>
      </c>
      <c r="N2862" s="9">
        <v>0.55</v>
      </c>
      <c r="O2862" s="9">
        <v>0.55</v>
      </c>
      <c r="P2862" s="10">
        <v>45455.0</v>
      </c>
      <c r="Q2862" s="11">
        <v>1.7</v>
      </c>
      <c r="R2862" s="8" t="s">
        <v>70</v>
      </c>
      <c r="S2862" s="12">
        <f t="shared" si="1"/>
        <v>0</v>
      </c>
      <c r="T2862" s="12">
        <f t="shared" si="8"/>
        <v>90.44592936</v>
      </c>
      <c r="U2862" s="145"/>
    </row>
    <row r="2863">
      <c r="A2863" s="29"/>
      <c r="B2863" s="15" t="s">
        <v>18</v>
      </c>
      <c r="C2863" s="15" t="s">
        <v>19</v>
      </c>
      <c r="D2863" s="15">
        <v>34.0</v>
      </c>
      <c r="E2863" s="15" t="s">
        <v>5329</v>
      </c>
      <c r="F2863" s="15" t="s">
        <v>1473</v>
      </c>
      <c r="G2863" s="15" t="s">
        <v>1474</v>
      </c>
      <c r="H2863" s="15">
        <v>0.0</v>
      </c>
      <c r="I2863" s="15" t="s">
        <v>96</v>
      </c>
      <c r="J2863" s="15" t="s">
        <v>22</v>
      </c>
      <c r="K2863" s="15" t="s">
        <v>892</v>
      </c>
      <c r="L2863" s="15" t="s">
        <v>24</v>
      </c>
      <c r="M2863" s="16">
        <v>0.5</v>
      </c>
      <c r="N2863" s="16">
        <v>0.4</v>
      </c>
      <c r="O2863" s="16">
        <v>0.4</v>
      </c>
      <c r="P2863" s="17">
        <v>45456.0</v>
      </c>
      <c r="Q2863" s="18">
        <v>1.505</v>
      </c>
      <c r="R2863" s="15" t="s">
        <v>33</v>
      </c>
      <c r="S2863" s="19">
        <f t="shared" si="1"/>
        <v>0.202</v>
      </c>
      <c r="T2863" s="19">
        <f t="shared" si="8"/>
        <v>90.64792936</v>
      </c>
      <c r="U2863" s="144"/>
    </row>
    <row r="2864">
      <c r="A2864" s="107"/>
      <c r="B2864" s="8" t="s">
        <v>18</v>
      </c>
      <c r="C2864" s="8" t="s">
        <v>19</v>
      </c>
      <c r="D2864" s="8">
        <v>36.0</v>
      </c>
      <c r="E2864" s="8" t="s">
        <v>5330</v>
      </c>
      <c r="F2864" s="8" t="s">
        <v>1473</v>
      </c>
      <c r="G2864" s="8"/>
      <c r="H2864" s="8">
        <v>0.0</v>
      </c>
      <c r="I2864" s="8" t="s">
        <v>96</v>
      </c>
      <c r="J2864" s="8" t="s">
        <v>22</v>
      </c>
      <c r="K2864" s="8" t="s">
        <v>1165</v>
      </c>
      <c r="L2864" s="8" t="s">
        <v>24</v>
      </c>
      <c r="M2864" s="9"/>
      <c r="N2864" s="9">
        <v>0.1</v>
      </c>
      <c r="O2864" s="9">
        <v>0.1</v>
      </c>
      <c r="P2864" s="10">
        <v>45456.0</v>
      </c>
      <c r="Q2864" s="11">
        <v>4.0</v>
      </c>
      <c r="R2864" s="8" t="s">
        <v>33</v>
      </c>
      <c r="S2864" s="12">
        <f t="shared" si="1"/>
        <v>0.3</v>
      </c>
      <c r="T2864" s="12">
        <f t="shared" si="8"/>
        <v>90.94792936</v>
      </c>
      <c r="U2864" s="145"/>
    </row>
    <row r="2865">
      <c r="A2865" s="29"/>
      <c r="B2865" s="15" t="s">
        <v>4225</v>
      </c>
      <c r="C2865" s="15" t="s">
        <v>19</v>
      </c>
      <c r="D2865" s="15">
        <v>0.0</v>
      </c>
      <c r="E2865" s="15" t="s">
        <v>5331</v>
      </c>
      <c r="F2865" s="15" t="s">
        <v>1473</v>
      </c>
      <c r="G2865" s="15" t="s">
        <v>1474</v>
      </c>
      <c r="H2865" s="15">
        <v>0.0</v>
      </c>
      <c r="I2865" s="15" t="s">
        <v>5332</v>
      </c>
      <c r="J2865" s="15" t="s">
        <v>598</v>
      </c>
      <c r="K2865" s="15" t="s">
        <v>225</v>
      </c>
      <c r="L2865" s="15" t="s">
        <v>1851</v>
      </c>
      <c r="M2865" s="16">
        <v>1.5</v>
      </c>
      <c r="N2865" s="16">
        <v>0.1</v>
      </c>
      <c r="O2865" s="16">
        <v>0.1</v>
      </c>
      <c r="P2865" s="17">
        <v>45457.0</v>
      </c>
      <c r="Q2865" s="18">
        <v>2.0</v>
      </c>
      <c r="R2865" s="15" t="s">
        <v>25</v>
      </c>
      <c r="S2865" s="19">
        <f t="shared" si="1"/>
        <v>-0.1</v>
      </c>
      <c r="T2865" s="19">
        <f t="shared" si="8"/>
        <v>90.84792936</v>
      </c>
      <c r="U2865" s="144"/>
    </row>
    <row r="2866">
      <c r="A2866" s="107"/>
      <c r="B2866" s="8" t="s">
        <v>4225</v>
      </c>
      <c r="C2866" s="8" t="s">
        <v>19</v>
      </c>
      <c r="D2866" s="8">
        <v>6.0</v>
      </c>
      <c r="E2866" s="8" t="s">
        <v>5333</v>
      </c>
      <c r="F2866" s="8"/>
      <c r="G2866" s="8"/>
      <c r="H2866" s="8"/>
      <c r="I2866" s="8" t="s">
        <v>248</v>
      </c>
      <c r="J2866" s="8" t="s">
        <v>22</v>
      </c>
      <c r="K2866" s="8" t="s">
        <v>29</v>
      </c>
      <c r="L2866" s="8" t="s">
        <v>24</v>
      </c>
      <c r="M2866" s="9">
        <v>-2.0</v>
      </c>
      <c r="N2866" s="9">
        <v>0.5</v>
      </c>
      <c r="O2866" s="9">
        <v>0.155</v>
      </c>
      <c r="P2866" s="54">
        <v>45456.0</v>
      </c>
      <c r="Q2866" s="11">
        <v>1.775</v>
      </c>
      <c r="R2866" s="8" t="s">
        <v>25</v>
      </c>
      <c r="S2866" s="12">
        <f t="shared" si="1"/>
        <v>-0.155</v>
      </c>
      <c r="T2866" s="12">
        <f t="shared" si="8"/>
        <v>90.69292936</v>
      </c>
      <c r="U2866" s="145"/>
    </row>
    <row r="2867">
      <c r="A2867" s="29"/>
      <c r="B2867" s="15" t="s">
        <v>26</v>
      </c>
      <c r="C2867" s="15" t="s">
        <v>19</v>
      </c>
      <c r="D2867" s="15">
        <v>69.0</v>
      </c>
      <c r="E2867" s="15" t="s">
        <v>5334</v>
      </c>
      <c r="F2867" s="15" t="s">
        <v>1479</v>
      </c>
      <c r="G2867" s="15" t="s">
        <v>1480</v>
      </c>
      <c r="H2867" s="15">
        <v>0.0</v>
      </c>
      <c r="I2867" s="15" t="s">
        <v>78</v>
      </c>
      <c r="J2867" s="15" t="s">
        <v>22</v>
      </c>
      <c r="K2867" s="15" t="s">
        <v>892</v>
      </c>
      <c r="L2867" s="15" t="s">
        <v>24</v>
      </c>
      <c r="M2867" s="16">
        <v>0.0</v>
      </c>
      <c r="N2867" s="16">
        <v>0.5</v>
      </c>
      <c r="O2867" s="16">
        <v>0.5</v>
      </c>
      <c r="P2867" s="17">
        <v>45456.0</v>
      </c>
      <c r="Q2867" s="18">
        <v>1.7</v>
      </c>
      <c r="R2867" s="15" t="s">
        <v>33</v>
      </c>
      <c r="S2867" s="19">
        <f t="shared" si="1"/>
        <v>0.35</v>
      </c>
      <c r="T2867" s="19">
        <f t="shared" si="8"/>
        <v>91.04292936</v>
      </c>
      <c r="U2867" s="144"/>
    </row>
    <row r="2868">
      <c r="A2868" s="107"/>
      <c r="B2868" s="8" t="s">
        <v>1915</v>
      </c>
      <c r="C2868" s="8" t="s">
        <v>19</v>
      </c>
      <c r="D2868" s="8">
        <v>0.0</v>
      </c>
      <c r="E2868" s="8" t="s">
        <v>5335</v>
      </c>
      <c r="F2868" s="8"/>
      <c r="G2868" s="8"/>
      <c r="H2868" s="8"/>
      <c r="I2868" s="8" t="s">
        <v>82</v>
      </c>
      <c r="J2868" s="8" t="s">
        <v>598</v>
      </c>
      <c r="K2868" s="8" t="s">
        <v>29</v>
      </c>
      <c r="L2868" s="8" t="s">
        <v>1522</v>
      </c>
      <c r="M2868" s="9">
        <v>-2.5</v>
      </c>
      <c r="N2868" s="9">
        <v>0.5</v>
      </c>
      <c r="O2868" s="9">
        <v>0.5</v>
      </c>
      <c r="P2868" s="10">
        <v>45456.0</v>
      </c>
      <c r="Q2868" s="11">
        <f>(176/120*0.2+2*0.2+127.28/70*0.1)/0.5</f>
        <v>1.75032381</v>
      </c>
      <c r="R2868" s="8" t="s">
        <v>33</v>
      </c>
      <c r="S2868" s="12">
        <f t="shared" si="1"/>
        <v>0.3751619048</v>
      </c>
      <c r="T2868" s="12">
        <f t="shared" si="8"/>
        <v>91.41809126</v>
      </c>
      <c r="U2868" s="145"/>
    </row>
    <row r="2869">
      <c r="A2869" s="29"/>
      <c r="B2869" s="15" t="s">
        <v>26</v>
      </c>
      <c r="C2869" s="15" t="s">
        <v>19</v>
      </c>
      <c r="D2869" s="15">
        <v>86.0</v>
      </c>
      <c r="E2869" s="15" t="s">
        <v>5336</v>
      </c>
      <c r="F2869" s="15" t="s">
        <v>1479</v>
      </c>
      <c r="G2869" s="15" t="s">
        <v>1480</v>
      </c>
      <c r="H2869" s="15">
        <v>-2.0</v>
      </c>
      <c r="I2869" s="15" t="s">
        <v>463</v>
      </c>
      <c r="J2869" s="15" t="s">
        <v>22</v>
      </c>
      <c r="K2869" s="15" t="s">
        <v>892</v>
      </c>
      <c r="L2869" s="15" t="s">
        <v>24</v>
      </c>
      <c r="M2869" s="16">
        <v>0.0</v>
      </c>
      <c r="N2869" s="16">
        <v>0.2</v>
      </c>
      <c r="O2869" s="16">
        <v>0.2</v>
      </c>
      <c r="P2869" s="55">
        <v>45456.0</v>
      </c>
      <c r="Q2869" s="18">
        <v>2.25</v>
      </c>
      <c r="R2869" s="15" t="s">
        <v>70</v>
      </c>
      <c r="S2869" s="19">
        <f t="shared" si="1"/>
        <v>0</v>
      </c>
      <c r="T2869" s="19">
        <f t="shared" si="8"/>
        <v>91.41809126</v>
      </c>
      <c r="U2869" s="144"/>
    </row>
    <row r="2870">
      <c r="A2870" s="107"/>
      <c r="B2870" s="8" t="s">
        <v>131</v>
      </c>
      <c r="C2870" s="8" t="s">
        <v>40</v>
      </c>
      <c r="D2870" s="8">
        <v>86.0</v>
      </c>
      <c r="E2870" s="8" t="s">
        <v>5337</v>
      </c>
      <c r="F2870" s="8"/>
      <c r="G2870" s="8"/>
      <c r="H2870" s="8"/>
      <c r="I2870" s="8" t="s">
        <v>877</v>
      </c>
      <c r="J2870" s="8" t="s">
        <v>22</v>
      </c>
      <c r="K2870" s="8" t="s">
        <v>29</v>
      </c>
      <c r="L2870" s="8" t="s">
        <v>24</v>
      </c>
      <c r="M2870" s="9">
        <v>-3.5</v>
      </c>
      <c r="N2870" s="9">
        <v>0.2</v>
      </c>
      <c r="O2870" s="9">
        <v>0.2</v>
      </c>
      <c r="P2870" s="10">
        <v>45457.0</v>
      </c>
      <c r="Q2870" s="11">
        <v>1.289</v>
      </c>
      <c r="R2870" s="8" t="s">
        <v>33</v>
      </c>
      <c r="S2870" s="12">
        <f t="shared" si="1"/>
        <v>0.0578</v>
      </c>
      <c r="T2870" s="12">
        <f t="shared" si="8"/>
        <v>91.47589126</v>
      </c>
      <c r="U2870" s="145"/>
    </row>
    <row r="2871">
      <c r="A2871" s="29"/>
      <c r="B2871" s="15" t="s">
        <v>131</v>
      </c>
      <c r="C2871" s="15" t="s">
        <v>19</v>
      </c>
      <c r="D2871" s="15">
        <v>36.0</v>
      </c>
      <c r="E2871" s="15" t="s">
        <v>5338</v>
      </c>
      <c r="F2871" s="15" t="s">
        <v>1479</v>
      </c>
      <c r="G2871" s="15" t="s">
        <v>1477</v>
      </c>
      <c r="H2871" s="15">
        <v>0.0</v>
      </c>
      <c r="I2871" s="15" t="s">
        <v>940</v>
      </c>
      <c r="J2871" s="15" t="s">
        <v>22</v>
      </c>
      <c r="K2871" s="15" t="s">
        <v>894</v>
      </c>
      <c r="L2871" s="15" t="s">
        <v>1803</v>
      </c>
      <c r="M2871" s="16">
        <v>-0.25</v>
      </c>
      <c r="N2871" s="16">
        <v>0.4</v>
      </c>
      <c r="O2871" s="16">
        <v>0.4</v>
      </c>
      <c r="P2871" s="17">
        <v>45457.0</v>
      </c>
      <c r="Q2871" s="18">
        <v>1.778</v>
      </c>
      <c r="R2871" s="15" t="s">
        <v>33</v>
      </c>
      <c r="S2871" s="19">
        <f t="shared" si="1"/>
        <v>0.3112</v>
      </c>
      <c r="T2871" s="19">
        <f t="shared" si="8"/>
        <v>91.78709126</v>
      </c>
      <c r="U2871" s="144"/>
    </row>
    <row r="2872">
      <c r="A2872" s="107"/>
      <c r="B2872" s="8" t="s">
        <v>4225</v>
      </c>
      <c r="C2872" s="8" t="s">
        <v>40</v>
      </c>
      <c r="D2872" s="8">
        <v>85.0</v>
      </c>
      <c r="E2872" s="8" t="s">
        <v>5339</v>
      </c>
      <c r="F2872" s="8"/>
      <c r="G2872" s="8"/>
      <c r="H2872" s="8"/>
      <c r="I2872" s="8" t="s">
        <v>877</v>
      </c>
      <c r="J2872" s="8" t="s">
        <v>22</v>
      </c>
      <c r="K2872" s="8" t="s">
        <v>29</v>
      </c>
      <c r="L2872" s="8" t="s">
        <v>24</v>
      </c>
      <c r="M2872" s="9">
        <v>-0.5</v>
      </c>
      <c r="N2872" s="9">
        <v>0.2</v>
      </c>
      <c r="O2872" s="9">
        <v>0.2</v>
      </c>
      <c r="P2872" s="10">
        <v>45457.0</v>
      </c>
      <c r="Q2872" s="11">
        <v>1.063</v>
      </c>
      <c r="R2872" s="8" t="s">
        <v>33</v>
      </c>
      <c r="S2872" s="12">
        <f t="shared" si="1"/>
        <v>0.0126</v>
      </c>
      <c r="T2872" s="12">
        <f t="shared" si="8"/>
        <v>91.79969126</v>
      </c>
      <c r="U2872" s="145"/>
    </row>
    <row r="2873">
      <c r="A2873" s="29"/>
      <c r="B2873" s="15" t="s">
        <v>4225</v>
      </c>
      <c r="C2873" s="15" t="s">
        <v>19</v>
      </c>
      <c r="D2873" s="15">
        <v>10.0</v>
      </c>
      <c r="E2873" s="15" t="s">
        <v>5340</v>
      </c>
      <c r="F2873" s="15" t="s">
        <v>1479</v>
      </c>
      <c r="G2873" s="15" t="s">
        <v>1477</v>
      </c>
      <c r="H2873" s="15">
        <v>0.0</v>
      </c>
      <c r="I2873" s="15" t="s">
        <v>5332</v>
      </c>
      <c r="J2873" s="15" t="s">
        <v>22</v>
      </c>
      <c r="K2873" s="15" t="s">
        <v>894</v>
      </c>
      <c r="L2873" s="15" t="s">
        <v>39</v>
      </c>
      <c r="M2873" s="16">
        <v>-1.5</v>
      </c>
      <c r="N2873" s="16">
        <v>0.1</v>
      </c>
      <c r="O2873" s="16">
        <v>0.1</v>
      </c>
      <c r="P2873" s="17">
        <v>45457.0</v>
      </c>
      <c r="Q2873" s="18">
        <v>2.0</v>
      </c>
      <c r="R2873" s="15" t="s">
        <v>33</v>
      </c>
      <c r="S2873" s="19">
        <f t="shared" si="1"/>
        <v>0.1</v>
      </c>
      <c r="T2873" s="19">
        <f t="shared" si="8"/>
        <v>91.89969126</v>
      </c>
      <c r="U2873" s="144"/>
    </row>
    <row r="2874">
      <c r="A2874" s="107"/>
      <c r="B2874" s="8" t="s">
        <v>4225</v>
      </c>
      <c r="C2874" s="8" t="s">
        <v>19</v>
      </c>
      <c r="D2874" s="8">
        <v>0.0</v>
      </c>
      <c r="E2874" s="8" t="s">
        <v>5341</v>
      </c>
      <c r="F2874" s="8" t="s">
        <v>1473</v>
      </c>
      <c r="G2874" s="8" t="s">
        <v>1474</v>
      </c>
      <c r="H2874" s="8">
        <v>0.0</v>
      </c>
      <c r="I2874" s="8" t="s">
        <v>463</v>
      </c>
      <c r="J2874" s="8" t="s">
        <v>598</v>
      </c>
      <c r="K2874" s="8" t="s">
        <v>225</v>
      </c>
      <c r="L2874" s="8" t="s">
        <v>1851</v>
      </c>
      <c r="M2874" s="9">
        <v>0.25</v>
      </c>
      <c r="N2874" s="9">
        <v>0.1</v>
      </c>
      <c r="O2874" s="9">
        <v>0.1</v>
      </c>
      <c r="P2874" s="10">
        <v>45458.0</v>
      </c>
      <c r="Q2874" s="11">
        <v>1.8</v>
      </c>
      <c r="R2874" s="8" t="s">
        <v>70</v>
      </c>
      <c r="S2874" s="12">
        <f t="shared" si="1"/>
        <v>0</v>
      </c>
      <c r="T2874" s="12">
        <f t="shared" si="8"/>
        <v>91.89969126</v>
      </c>
      <c r="U2874" s="145"/>
    </row>
    <row r="2875">
      <c r="A2875" s="29"/>
      <c r="B2875" s="15" t="s">
        <v>4225</v>
      </c>
      <c r="C2875" s="15" t="s">
        <v>19</v>
      </c>
      <c r="D2875" s="15">
        <v>63.0</v>
      </c>
      <c r="E2875" s="15" t="s">
        <v>5342</v>
      </c>
      <c r="F2875" s="15" t="s">
        <v>1479</v>
      </c>
      <c r="G2875" s="15" t="s">
        <v>1477</v>
      </c>
      <c r="H2875" s="15">
        <v>1.0</v>
      </c>
      <c r="I2875" s="15" t="s">
        <v>908</v>
      </c>
      <c r="J2875" s="15" t="s">
        <v>22</v>
      </c>
      <c r="K2875" s="15" t="s">
        <v>894</v>
      </c>
      <c r="L2875" s="15" t="s">
        <v>24</v>
      </c>
      <c r="M2875" s="16">
        <v>-0.75</v>
      </c>
      <c r="N2875" s="16">
        <v>0.25</v>
      </c>
      <c r="O2875" s="16">
        <v>0.25</v>
      </c>
      <c r="P2875" s="17">
        <v>45458.0</v>
      </c>
      <c r="Q2875" s="18">
        <v>1.9</v>
      </c>
      <c r="R2875" s="15" t="s">
        <v>33</v>
      </c>
      <c r="S2875" s="19">
        <f t="shared" si="1"/>
        <v>0.225</v>
      </c>
      <c r="T2875" s="19">
        <f t="shared" si="8"/>
        <v>92.12469126</v>
      </c>
      <c r="U2875" s="144"/>
    </row>
    <row r="2876">
      <c r="A2876" s="107"/>
      <c r="B2876" s="8" t="s">
        <v>4225</v>
      </c>
      <c r="C2876" s="8" t="s">
        <v>19</v>
      </c>
      <c r="D2876" s="8">
        <v>67.0</v>
      </c>
      <c r="E2876" s="8" t="s">
        <v>5343</v>
      </c>
      <c r="F2876" s="8" t="s">
        <v>1473</v>
      </c>
      <c r="G2876" s="8" t="s">
        <v>1480</v>
      </c>
      <c r="H2876" s="8">
        <v>1.0</v>
      </c>
      <c r="I2876" s="8" t="s">
        <v>908</v>
      </c>
      <c r="J2876" s="8" t="s">
        <v>22</v>
      </c>
      <c r="K2876" s="8" t="s">
        <v>892</v>
      </c>
      <c r="L2876" s="8" t="s">
        <v>24</v>
      </c>
      <c r="M2876" s="9">
        <v>0.0</v>
      </c>
      <c r="N2876" s="9">
        <v>0.6</v>
      </c>
      <c r="O2876" s="9">
        <v>0.6</v>
      </c>
      <c r="P2876" s="10">
        <v>45458.0</v>
      </c>
      <c r="Q2876" s="11">
        <v>1.8</v>
      </c>
      <c r="R2876" s="8" t="s">
        <v>70</v>
      </c>
      <c r="S2876" s="12">
        <f t="shared" si="1"/>
        <v>0</v>
      </c>
      <c r="T2876" s="12">
        <f t="shared" si="8"/>
        <v>92.12469126</v>
      </c>
      <c r="U2876" s="145"/>
    </row>
    <row r="2877">
      <c r="A2877" s="29"/>
      <c r="B2877" s="15" t="s">
        <v>26</v>
      </c>
      <c r="C2877" s="15" t="s">
        <v>19</v>
      </c>
      <c r="D2877" s="15">
        <v>70.0</v>
      </c>
      <c r="E2877" s="15" t="s">
        <v>5344</v>
      </c>
      <c r="F2877" s="15" t="s">
        <v>1473</v>
      </c>
      <c r="G2877" s="15" t="s">
        <v>1474</v>
      </c>
      <c r="H2877" s="15">
        <v>1.0</v>
      </c>
      <c r="I2877" s="15" t="s">
        <v>513</v>
      </c>
      <c r="J2877" s="15" t="s">
        <v>22</v>
      </c>
      <c r="K2877" s="15" t="s">
        <v>225</v>
      </c>
      <c r="L2877" s="15" t="s">
        <v>1851</v>
      </c>
      <c r="M2877" s="16">
        <v>0.25</v>
      </c>
      <c r="N2877" s="16">
        <v>0.2</v>
      </c>
      <c r="O2877" s="16">
        <v>0.2</v>
      </c>
      <c r="P2877" s="17">
        <v>45458.0</v>
      </c>
      <c r="Q2877" s="18">
        <v>2.025</v>
      </c>
      <c r="R2877" s="15" t="s">
        <v>33</v>
      </c>
      <c r="S2877" s="19">
        <f t="shared" si="1"/>
        <v>0.205</v>
      </c>
      <c r="T2877" s="19">
        <f t="shared" si="8"/>
        <v>92.32969126</v>
      </c>
      <c r="U2877" s="144"/>
    </row>
    <row r="2878">
      <c r="A2878" s="107"/>
      <c r="B2878" s="8" t="s">
        <v>4225</v>
      </c>
      <c r="C2878" s="8" t="s">
        <v>19</v>
      </c>
      <c r="D2878" s="8">
        <v>0.0</v>
      </c>
      <c r="E2878" s="8" t="s">
        <v>5345</v>
      </c>
      <c r="F2878" s="8"/>
      <c r="G2878" s="8"/>
      <c r="H2878" s="8"/>
      <c r="I2878" s="8" t="s">
        <v>224</v>
      </c>
      <c r="J2878" s="8" t="s">
        <v>22</v>
      </c>
      <c r="K2878" s="8" t="s">
        <v>29</v>
      </c>
      <c r="L2878" s="8" t="s">
        <v>24</v>
      </c>
      <c r="M2878" s="9">
        <v>-2.0</v>
      </c>
      <c r="N2878" s="9">
        <v>0.5</v>
      </c>
      <c r="O2878" s="9">
        <v>0.5</v>
      </c>
      <c r="P2878" s="10">
        <v>45458.0</v>
      </c>
      <c r="Q2878" s="11">
        <v>1.925</v>
      </c>
      <c r="R2878" s="8" t="s">
        <v>33</v>
      </c>
      <c r="S2878" s="12">
        <f t="shared" si="1"/>
        <v>0.4625</v>
      </c>
      <c r="T2878" s="12">
        <f t="shared" si="8"/>
        <v>92.79219126</v>
      </c>
      <c r="U2878" s="145"/>
    </row>
    <row r="2879">
      <c r="A2879" s="29"/>
      <c r="B2879" s="15" t="s">
        <v>18</v>
      </c>
      <c r="C2879" s="15" t="s">
        <v>19</v>
      </c>
      <c r="D2879" s="15">
        <v>68.0</v>
      </c>
      <c r="E2879" s="15" t="s">
        <v>5346</v>
      </c>
      <c r="F2879" s="15" t="s">
        <v>1479</v>
      </c>
      <c r="G2879" s="15" t="s">
        <v>1480</v>
      </c>
      <c r="H2879" s="15">
        <v>0.0</v>
      </c>
      <c r="I2879" s="15" t="s">
        <v>231</v>
      </c>
      <c r="J2879" s="15" t="s">
        <v>22</v>
      </c>
      <c r="K2879" s="15" t="s">
        <v>892</v>
      </c>
      <c r="L2879" s="15" t="s">
        <v>24</v>
      </c>
      <c r="M2879" s="16">
        <v>0.0</v>
      </c>
      <c r="N2879" s="16">
        <v>0.1</v>
      </c>
      <c r="O2879" s="16">
        <v>0.1</v>
      </c>
      <c r="P2879" s="17">
        <v>45458.0</v>
      </c>
      <c r="Q2879" s="18">
        <v>1.625</v>
      </c>
      <c r="R2879" s="15" t="s">
        <v>70</v>
      </c>
      <c r="S2879" s="19">
        <f t="shared" si="1"/>
        <v>0</v>
      </c>
      <c r="T2879" s="19">
        <f t="shared" si="8"/>
        <v>92.79219126</v>
      </c>
      <c r="U2879" s="144"/>
    </row>
    <row r="2880">
      <c r="A2880" s="107"/>
      <c r="B2880" s="8" t="s">
        <v>18</v>
      </c>
      <c r="C2880" s="8" t="s">
        <v>19</v>
      </c>
      <c r="D2880" s="8">
        <v>19.0</v>
      </c>
      <c r="E2880" s="8" t="s">
        <v>5347</v>
      </c>
      <c r="F2880" s="8" t="s">
        <v>1479</v>
      </c>
      <c r="G2880" s="8" t="s">
        <v>1474</v>
      </c>
      <c r="H2880" s="8">
        <v>0.0</v>
      </c>
      <c r="I2880" s="8" t="s">
        <v>82</v>
      </c>
      <c r="J2880" s="8" t="s">
        <v>22</v>
      </c>
      <c r="K2880" s="8" t="s">
        <v>225</v>
      </c>
      <c r="L2880" s="8" t="s">
        <v>24</v>
      </c>
      <c r="M2880" s="9">
        <v>0.25</v>
      </c>
      <c r="N2880" s="9">
        <v>0.5</v>
      </c>
      <c r="O2880" s="9">
        <v>0.5</v>
      </c>
      <c r="P2880" s="10">
        <v>45458.0</v>
      </c>
      <c r="Q2880" s="11">
        <v>1.13</v>
      </c>
      <c r="R2880" s="8" t="s">
        <v>33</v>
      </c>
      <c r="S2880" s="12">
        <f t="shared" si="1"/>
        <v>0.065</v>
      </c>
      <c r="T2880" s="12">
        <f t="shared" si="8"/>
        <v>92.85719126</v>
      </c>
      <c r="U2880" s="145"/>
    </row>
    <row r="2881">
      <c r="A2881" s="29"/>
      <c r="B2881" s="15" t="s">
        <v>26</v>
      </c>
      <c r="C2881" s="15" t="s">
        <v>19</v>
      </c>
      <c r="D2881" s="15">
        <v>33.0</v>
      </c>
      <c r="E2881" s="15" t="s">
        <v>5348</v>
      </c>
      <c r="F2881" s="15" t="s">
        <v>1473</v>
      </c>
      <c r="G2881" s="15" t="s">
        <v>1477</v>
      </c>
      <c r="H2881" s="15">
        <v>0.0</v>
      </c>
      <c r="I2881" s="15" t="s">
        <v>2898</v>
      </c>
      <c r="J2881" s="15" t="s">
        <v>22</v>
      </c>
      <c r="K2881" s="15" t="s">
        <v>894</v>
      </c>
      <c r="L2881" s="15" t="s">
        <v>39</v>
      </c>
      <c r="M2881" s="16">
        <v>-0.5</v>
      </c>
      <c r="N2881" s="16">
        <v>0.2</v>
      </c>
      <c r="O2881" s="16">
        <f>0.2*59/62</f>
        <v>0.1903225806</v>
      </c>
      <c r="P2881" s="17">
        <v>45459.0</v>
      </c>
      <c r="Q2881" s="18">
        <v>1.8</v>
      </c>
      <c r="R2881" s="15" t="s">
        <v>33</v>
      </c>
      <c r="S2881" s="19">
        <f t="shared" si="1"/>
        <v>0.1522580645</v>
      </c>
      <c r="T2881" s="19">
        <f t="shared" si="8"/>
        <v>93.00944932</v>
      </c>
      <c r="U2881" s="144"/>
    </row>
    <row r="2882">
      <c r="A2882" s="107"/>
      <c r="B2882" s="8" t="s">
        <v>18</v>
      </c>
      <c r="C2882" s="8" t="s">
        <v>19</v>
      </c>
      <c r="D2882" s="8">
        <v>70.0</v>
      </c>
      <c r="E2882" s="8" t="s">
        <v>5349</v>
      </c>
      <c r="F2882" s="8" t="s">
        <v>1479</v>
      </c>
      <c r="G2882" s="8" t="s">
        <v>1474</v>
      </c>
      <c r="H2882" s="8">
        <v>0.0</v>
      </c>
      <c r="I2882" s="8" t="s">
        <v>683</v>
      </c>
      <c r="J2882" s="8" t="s">
        <v>22</v>
      </c>
      <c r="K2882" s="8" t="s">
        <v>225</v>
      </c>
      <c r="L2882" s="8" t="s">
        <v>24</v>
      </c>
      <c r="M2882" s="9">
        <v>0.25</v>
      </c>
      <c r="N2882" s="9">
        <v>0.5</v>
      </c>
      <c r="O2882" s="9">
        <v>0.5</v>
      </c>
      <c r="P2882" s="54">
        <v>45459.0</v>
      </c>
      <c r="Q2882" s="11">
        <v>1.7905</v>
      </c>
      <c r="R2882" s="8" t="s">
        <v>30</v>
      </c>
      <c r="S2882" s="12">
        <f t="shared" si="1"/>
        <v>0.197625</v>
      </c>
      <c r="T2882" s="12">
        <f t="shared" si="8"/>
        <v>93.20707432</v>
      </c>
      <c r="U2882" s="145"/>
    </row>
    <row r="2883">
      <c r="A2883" s="29"/>
      <c r="B2883" s="15" t="s">
        <v>129</v>
      </c>
      <c r="C2883" s="15" t="s">
        <v>19</v>
      </c>
      <c r="D2883" s="15">
        <v>15.0</v>
      </c>
      <c r="E2883" s="15" t="s">
        <v>5350</v>
      </c>
      <c r="F2883" s="15" t="s">
        <v>1473</v>
      </c>
      <c r="G2883" s="15" t="s">
        <v>1480</v>
      </c>
      <c r="H2883" s="15">
        <v>0.0</v>
      </c>
      <c r="I2883" s="15" t="s">
        <v>316</v>
      </c>
      <c r="J2883" s="15" t="s">
        <v>22</v>
      </c>
      <c r="K2883" s="15" t="s">
        <v>892</v>
      </c>
      <c r="L2883" s="15" t="s">
        <v>24</v>
      </c>
      <c r="M2883" s="16">
        <v>0.4</v>
      </c>
      <c r="N2883" s="16">
        <v>0.4</v>
      </c>
      <c r="O2883" s="16">
        <v>0.4</v>
      </c>
      <c r="P2883" s="55">
        <v>45459.0</v>
      </c>
      <c r="Q2883" s="18">
        <v>1.95</v>
      </c>
      <c r="R2883" s="15" t="s">
        <v>25</v>
      </c>
      <c r="S2883" s="19">
        <f t="shared" si="1"/>
        <v>-0.4</v>
      </c>
      <c r="T2883" s="19">
        <f t="shared" si="8"/>
        <v>92.80707432</v>
      </c>
      <c r="U2883" s="144"/>
    </row>
    <row r="2884">
      <c r="A2884" s="107"/>
      <c r="B2884" s="8" t="s">
        <v>129</v>
      </c>
      <c r="C2884" s="8" t="s">
        <v>19</v>
      </c>
      <c r="D2884" s="8">
        <v>80.0</v>
      </c>
      <c r="E2884" s="8" t="s">
        <v>5351</v>
      </c>
      <c r="F2884" s="8" t="s">
        <v>1479</v>
      </c>
      <c r="G2884" s="8" t="s">
        <v>1480</v>
      </c>
      <c r="H2884" s="8">
        <v>-1.0</v>
      </c>
      <c r="I2884" s="8" t="s">
        <v>908</v>
      </c>
      <c r="J2884" s="8" t="s">
        <v>22</v>
      </c>
      <c r="K2884" s="8" t="s">
        <v>892</v>
      </c>
      <c r="L2884" s="8" t="s">
        <v>24</v>
      </c>
      <c r="M2884" s="9">
        <v>0.0</v>
      </c>
      <c r="N2884" s="9">
        <v>0.2</v>
      </c>
      <c r="O2884" s="9">
        <v>0.2</v>
      </c>
      <c r="P2884" s="54">
        <v>45459.0</v>
      </c>
      <c r="Q2884" s="11">
        <v>1.8</v>
      </c>
      <c r="R2884" s="8" t="s">
        <v>70</v>
      </c>
      <c r="S2884" s="12">
        <f t="shared" si="1"/>
        <v>0</v>
      </c>
      <c r="T2884" s="12">
        <f t="shared" si="8"/>
        <v>92.80707432</v>
      </c>
      <c r="U2884" s="145"/>
    </row>
    <row r="2885">
      <c r="A2885" s="29"/>
      <c r="B2885" s="15" t="s">
        <v>131</v>
      </c>
      <c r="C2885" s="15" t="s">
        <v>19</v>
      </c>
      <c r="D2885" s="15">
        <v>80.0</v>
      </c>
      <c r="E2885" s="15" t="s">
        <v>5352</v>
      </c>
      <c r="F2885" s="15" t="s">
        <v>1479</v>
      </c>
      <c r="G2885" s="15" t="s">
        <v>1474</v>
      </c>
      <c r="H2885" s="15">
        <v>-1.0</v>
      </c>
      <c r="I2885" s="15" t="s">
        <v>1085</v>
      </c>
      <c r="J2885" s="15" t="s">
        <v>22</v>
      </c>
      <c r="K2885" s="15" t="s">
        <v>225</v>
      </c>
      <c r="L2885" s="15" t="s">
        <v>24</v>
      </c>
      <c r="M2885" s="16">
        <v>0.25</v>
      </c>
      <c r="N2885" s="16">
        <v>0.2</v>
      </c>
      <c r="O2885" s="16">
        <v>0.2</v>
      </c>
      <c r="P2885" s="55">
        <v>45459.0</v>
      </c>
      <c r="Q2885" s="18">
        <v>1.675</v>
      </c>
      <c r="R2885" s="15" t="s">
        <v>30</v>
      </c>
      <c r="S2885" s="19">
        <f t="shared" si="1"/>
        <v>0.0675</v>
      </c>
      <c r="T2885" s="19">
        <f t="shared" si="8"/>
        <v>92.87457432</v>
      </c>
      <c r="U2885" s="144"/>
    </row>
    <row r="2886">
      <c r="A2886" s="107"/>
      <c r="B2886" s="8" t="s">
        <v>26</v>
      </c>
      <c r="C2886" s="8" t="s">
        <v>19</v>
      </c>
      <c r="D2886" s="8">
        <v>65.0</v>
      </c>
      <c r="E2886" s="8" t="s">
        <v>5353</v>
      </c>
      <c r="F2886" s="8"/>
      <c r="G2886" s="8"/>
      <c r="H2886" s="8"/>
      <c r="I2886" s="8" t="s">
        <v>82</v>
      </c>
      <c r="J2886" s="8" t="s">
        <v>22</v>
      </c>
      <c r="K2886" s="8" t="s">
        <v>440</v>
      </c>
      <c r="L2886" s="8" t="s">
        <v>39</v>
      </c>
      <c r="M2886" s="9">
        <v>2.5</v>
      </c>
      <c r="N2886" s="9">
        <v>0.1</v>
      </c>
      <c r="O2886" s="9">
        <v>0.1</v>
      </c>
      <c r="P2886" s="10">
        <v>45459.0</v>
      </c>
      <c r="Q2886" s="11">
        <v>1.625</v>
      </c>
      <c r="R2886" s="8" t="s">
        <v>25</v>
      </c>
      <c r="S2886" s="12">
        <f t="shared" si="1"/>
        <v>-0.1</v>
      </c>
      <c r="T2886" s="12">
        <f t="shared" si="8"/>
        <v>92.77457432</v>
      </c>
      <c r="U2886" s="145"/>
    </row>
    <row r="2887">
      <c r="A2887" s="29"/>
      <c r="B2887" s="15" t="s">
        <v>4225</v>
      </c>
      <c r="C2887" s="15" t="s">
        <v>40</v>
      </c>
      <c r="D2887" s="15">
        <v>18.0</v>
      </c>
      <c r="E2887" s="15" t="s">
        <v>5354</v>
      </c>
      <c r="F2887" s="15" t="s">
        <v>1473</v>
      </c>
      <c r="G2887" s="15" t="s">
        <v>1477</v>
      </c>
      <c r="H2887" s="15">
        <v>1.0</v>
      </c>
      <c r="I2887" s="15" t="s">
        <v>193</v>
      </c>
      <c r="J2887" s="15" t="s">
        <v>22</v>
      </c>
      <c r="K2887" s="15" t="s">
        <v>894</v>
      </c>
      <c r="L2887" s="15" t="s">
        <v>24</v>
      </c>
      <c r="M2887" s="16">
        <v>-0.25</v>
      </c>
      <c r="N2887" s="16">
        <v>0.5</v>
      </c>
      <c r="O2887" s="16">
        <v>0.5</v>
      </c>
      <c r="P2887" s="17">
        <v>45461.0</v>
      </c>
      <c r="Q2887" s="18">
        <v>1.975</v>
      </c>
      <c r="R2887" s="15" t="s">
        <v>70</v>
      </c>
      <c r="S2887" s="19">
        <f t="shared" si="1"/>
        <v>0</v>
      </c>
      <c r="T2887" s="19">
        <f t="shared" si="8"/>
        <v>92.77457432</v>
      </c>
      <c r="U2887" s="144"/>
    </row>
    <row r="2888">
      <c r="A2888" s="107"/>
      <c r="B2888" s="8" t="s">
        <v>4225</v>
      </c>
      <c r="C2888" s="8" t="s">
        <v>19</v>
      </c>
      <c r="D2888" s="8">
        <v>2.0</v>
      </c>
      <c r="E2888" s="8" t="s">
        <v>5355</v>
      </c>
      <c r="F2888" s="8"/>
      <c r="G2888" s="8"/>
      <c r="H2888" s="8"/>
      <c r="I2888" s="8" t="s">
        <v>174</v>
      </c>
      <c r="J2888" s="8" t="s">
        <v>22</v>
      </c>
      <c r="K2888" s="8" t="s">
        <v>29</v>
      </c>
      <c r="L2888" s="8" t="s">
        <v>24</v>
      </c>
      <c r="M2888" s="9">
        <v>-2.0</v>
      </c>
      <c r="N2888" s="9">
        <v>0.5</v>
      </c>
      <c r="O2888" s="9">
        <v>0.5</v>
      </c>
      <c r="P2888" s="54">
        <v>45461.0</v>
      </c>
      <c r="Q2888" s="11">
        <v>1.7</v>
      </c>
      <c r="R2888" s="8" t="s">
        <v>33</v>
      </c>
      <c r="S2888" s="12">
        <f t="shared" si="1"/>
        <v>0.35</v>
      </c>
      <c r="T2888" s="12">
        <f t="shared" si="8"/>
        <v>93.12457432</v>
      </c>
      <c r="U2888" s="145"/>
    </row>
    <row r="2889">
      <c r="A2889" s="29"/>
      <c r="B2889" s="15" t="s">
        <v>26</v>
      </c>
      <c r="C2889" s="15" t="s">
        <v>19</v>
      </c>
      <c r="D2889" s="15">
        <v>45.0</v>
      </c>
      <c r="E2889" s="15" t="s">
        <v>5356</v>
      </c>
      <c r="F2889" s="15" t="s">
        <v>1479</v>
      </c>
      <c r="G2889" s="15" t="s">
        <v>1477</v>
      </c>
      <c r="H2889" s="15">
        <v>0.0</v>
      </c>
      <c r="I2889" s="15" t="s">
        <v>5332</v>
      </c>
      <c r="J2889" s="15" t="s">
        <v>22</v>
      </c>
      <c r="K2889" s="15" t="s">
        <v>894</v>
      </c>
      <c r="L2889" s="15" t="s">
        <v>39</v>
      </c>
      <c r="M2889" s="16">
        <v>-0.75</v>
      </c>
      <c r="N2889" s="16">
        <v>0.1</v>
      </c>
      <c r="O2889" s="16">
        <v>0.1</v>
      </c>
      <c r="P2889" s="17">
        <v>45461.0</v>
      </c>
      <c r="Q2889" s="18">
        <v>1.875</v>
      </c>
      <c r="R2889" s="15" t="s">
        <v>30</v>
      </c>
      <c r="S2889" s="19">
        <f t="shared" si="1"/>
        <v>0.04375</v>
      </c>
      <c r="T2889" s="19">
        <f t="shared" si="8"/>
        <v>93.16832432</v>
      </c>
      <c r="U2889" s="144"/>
    </row>
    <row r="2890">
      <c r="A2890" s="107"/>
      <c r="B2890" s="8" t="s">
        <v>26</v>
      </c>
      <c r="C2890" s="8" t="s">
        <v>40</v>
      </c>
      <c r="D2890" s="8">
        <v>0.0</v>
      </c>
      <c r="E2890" s="8" t="s">
        <v>5357</v>
      </c>
      <c r="F2890" s="8"/>
      <c r="G2890" s="8"/>
      <c r="H2890" s="8"/>
      <c r="I2890" s="8" t="s">
        <v>193</v>
      </c>
      <c r="J2890" s="8" t="s">
        <v>22</v>
      </c>
      <c r="K2890" s="8" t="s">
        <v>29</v>
      </c>
      <c r="L2890" s="8" t="s">
        <v>24</v>
      </c>
      <c r="M2890" s="9">
        <v>-2.5</v>
      </c>
      <c r="N2890" s="9">
        <v>0.4</v>
      </c>
      <c r="O2890" s="9">
        <v>0.4</v>
      </c>
      <c r="P2890" s="10">
        <v>45462.0</v>
      </c>
      <c r="Q2890" s="11">
        <v>1.74</v>
      </c>
      <c r="R2890" s="8" t="s">
        <v>33</v>
      </c>
      <c r="S2890" s="12">
        <f t="shared" si="1"/>
        <v>0.296</v>
      </c>
      <c r="T2890" s="12">
        <f t="shared" si="8"/>
        <v>93.46432432</v>
      </c>
      <c r="U2890" s="145"/>
    </row>
    <row r="2891">
      <c r="A2891" s="29"/>
      <c r="B2891" s="15" t="s">
        <v>26</v>
      </c>
      <c r="C2891" s="15" t="s">
        <v>40</v>
      </c>
      <c r="D2891" s="15">
        <v>0.0</v>
      </c>
      <c r="E2891" s="15" t="s">
        <v>5358</v>
      </c>
      <c r="F2891" s="15"/>
      <c r="G2891" s="15"/>
      <c r="H2891" s="15"/>
      <c r="I2891" s="15" t="s">
        <v>193</v>
      </c>
      <c r="J2891" s="15" t="s">
        <v>22</v>
      </c>
      <c r="K2891" s="15" t="s">
        <v>29</v>
      </c>
      <c r="L2891" s="15" t="s">
        <v>24</v>
      </c>
      <c r="M2891" s="16">
        <v>-2.5</v>
      </c>
      <c r="N2891" s="16">
        <v>0.1</v>
      </c>
      <c r="O2891" s="16">
        <v>0.1</v>
      </c>
      <c r="P2891" s="17">
        <v>45462.0</v>
      </c>
      <c r="Q2891" s="18">
        <v>1.95</v>
      </c>
      <c r="R2891" s="15" t="s">
        <v>25</v>
      </c>
      <c r="S2891" s="19">
        <f t="shared" si="1"/>
        <v>-0.1</v>
      </c>
      <c r="T2891" s="19">
        <f t="shared" si="8"/>
        <v>93.36432432</v>
      </c>
      <c r="U2891" s="144"/>
    </row>
    <row r="2892">
      <c r="A2892" s="107"/>
      <c r="B2892" s="8" t="s">
        <v>4225</v>
      </c>
      <c r="C2892" s="8" t="s">
        <v>19</v>
      </c>
      <c r="D2892" s="8">
        <v>4.0</v>
      </c>
      <c r="E2892" s="8" t="s">
        <v>5359</v>
      </c>
      <c r="F2892" s="8"/>
      <c r="G2892" s="8"/>
      <c r="H2892" s="8"/>
      <c r="I2892" s="8" t="s">
        <v>174</v>
      </c>
      <c r="J2892" s="8" t="s">
        <v>22</v>
      </c>
      <c r="K2892" s="8" t="s">
        <v>29</v>
      </c>
      <c r="L2892" s="8" t="s">
        <v>24</v>
      </c>
      <c r="M2892" s="9">
        <v>-2.0</v>
      </c>
      <c r="N2892" s="9">
        <v>0.5</v>
      </c>
      <c r="O2892" s="9">
        <v>0.5</v>
      </c>
      <c r="P2892" s="10">
        <v>45462.0</v>
      </c>
      <c r="Q2892" s="11">
        <v>1.214</v>
      </c>
      <c r="R2892" s="8" t="s">
        <v>33</v>
      </c>
      <c r="S2892" s="12">
        <f t="shared" si="1"/>
        <v>0.107</v>
      </c>
      <c r="T2892" s="12">
        <f t="shared" si="8"/>
        <v>93.47132432</v>
      </c>
      <c r="U2892" s="145"/>
    </row>
    <row r="2893">
      <c r="A2893" s="29"/>
      <c r="B2893" s="15" t="s">
        <v>26</v>
      </c>
      <c r="C2893" s="15" t="s">
        <v>19</v>
      </c>
      <c r="D2893" s="15">
        <v>0.0</v>
      </c>
      <c r="E2893" s="15" t="s">
        <v>5360</v>
      </c>
      <c r="F2893" s="15"/>
      <c r="G2893" s="15"/>
      <c r="H2893" s="15"/>
      <c r="I2893" s="15" t="s">
        <v>82</v>
      </c>
      <c r="J2893" s="15" t="s">
        <v>598</v>
      </c>
      <c r="K2893" s="15" t="s">
        <v>2415</v>
      </c>
      <c r="L2893" s="15" t="s">
        <v>39</v>
      </c>
      <c r="M2893" s="16">
        <v>9.5</v>
      </c>
      <c r="N2893" s="16">
        <v>0.1</v>
      </c>
      <c r="O2893" s="16">
        <v>0.1</v>
      </c>
      <c r="P2893" s="17">
        <v>45462.0</v>
      </c>
      <c r="Q2893" s="18">
        <v>1.875</v>
      </c>
      <c r="R2893" s="15" t="s">
        <v>33</v>
      </c>
      <c r="S2893" s="19">
        <f t="shared" si="1"/>
        <v>0.0875</v>
      </c>
      <c r="T2893" s="19">
        <f t="shared" si="8"/>
        <v>93.55882432</v>
      </c>
      <c r="U2893" s="144"/>
    </row>
    <row r="2894">
      <c r="A2894" s="107"/>
      <c r="B2894" s="8" t="s">
        <v>4225</v>
      </c>
      <c r="C2894" s="8" t="s">
        <v>19</v>
      </c>
      <c r="D2894" s="8">
        <v>44.0</v>
      </c>
      <c r="E2894" s="8" t="s">
        <v>5361</v>
      </c>
      <c r="F2894" s="8" t="s">
        <v>1479</v>
      </c>
      <c r="G2894" s="8" t="s">
        <v>1474</v>
      </c>
      <c r="H2894" s="8">
        <v>0.0</v>
      </c>
      <c r="I2894" s="8" t="s">
        <v>174</v>
      </c>
      <c r="J2894" s="8" t="s">
        <v>22</v>
      </c>
      <c r="K2894" s="8" t="s">
        <v>225</v>
      </c>
      <c r="L2894" s="8" t="s">
        <v>24</v>
      </c>
      <c r="M2894" s="9">
        <v>0.5</v>
      </c>
      <c r="N2894" s="9">
        <v>0.2</v>
      </c>
      <c r="O2894" s="9">
        <v>0.08</v>
      </c>
      <c r="P2894" s="10">
        <v>45462.0</v>
      </c>
      <c r="Q2894" s="11">
        <v>1.725</v>
      </c>
      <c r="R2894" s="8" t="s">
        <v>33</v>
      </c>
      <c r="S2894" s="12">
        <f t="shared" si="1"/>
        <v>0.058</v>
      </c>
      <c r="T2894" s="12">
        <f t="shared" si="8"/>
        <v>93.61682432</v>
      </c>
      <c r="U2894" s="145"/>
    </row>
    <row r="2895">
      <c r="A2895" s="29"/>
      <c r="B2895" s="15" t="s">
        <v>137</v>
      </c>
      <c r="C2895" s="15" t="s">
        <v>19</v>
      </c>
      <c r="D2895" s="15">
        <v>0.0</v>
      </c>
      <c r="E2895" s="15" t="s">
        <v>5362</v>
      </c>
      <c r="F2895" s="15"/>
      <c r="G2895" s="15"/>
      <c r="H2895" s="15"/>
      <c r="I2895" s="15" t="s">
        <v>82</v>
      </c>
      <c r="J2895" s="15" t="s">
        <v>598</v>
      </c>
      <c r="K2895" s="15" t="s">
        <v>23</v>
      </c>
      <c r="L2895" s="15" t="s">
        <v>39</v>
      </c>
      <c r="M2895" s="16">
        <v>-10.0</v>
      </c>
      <c r="N2895" s="16">
        <v>0.1</v>
      </c>
      <c r="O2895" s="16">
        <v>0.1</v>
      </c>
      <c r="P2895" s="55">
        <v>45462.0</v>
      </c>
      <c r="Q2895" s="18">
        <v>2.0</v>
      </c>
      <c r="R2895" s="15" t="s">
        <v>33</v>
      </c>
      <c r="S2895" s="19">
        <f t="shared" si="1"/>
        <v>0.1</v>
      </c>
      <c r="T2895" s="19">
        <f t="shared" si="8"/>
        <v>93.71682432</v>
      </c>
      <c r="U2895" s="144"/>
    </row>
    <row r="2896">
      <c r="A2896" s="107"/>
      <c r="B2896" s="8" t="s">
        <v>26</v>
      </c>
      <c r="C2896" s="8" t="s">
        <v>19</v>
      </c>
      <c r="D2896" s="8">
        <v>0.0</v>
      </c>
      <c r="E2896" s="8" t="s">
        <v>5363</v>
      </c>
      <c r="F2896" s="8"/>
      <c r="G2896" s="8"/>
      <c r="H2896" s="8"/>
      <c r="I2896" s="8" t="s">
        <v>5364</v>
      </c>
      <c r="J2896" s="8" t="s">
        <v>598</v>
      </c>
      <c r="K2896" s="8" t="s">
        <v>29</v>
      </c>
      <c r="L2896" s="8" t="s">
        <v>24</v>
      </c>
      <c r="M2896" s="9">
        <v>-2.25</v>
      </c>
      <c r="N2896" s="9">
        <v>0.2</v>
      </c>
      <c r="O2896" s="9">
        <v>0.2</v>
      </c>
      <c r="P2896" s="10">
        <v>45462.0</v>
      </c>
      <c r="Q2896" s="11">
        <v>1.925</v>
      </c>
      <c r="R2896" s="8" t="s">
        <v>30</v>
      </c>
      <c r="S2896" s="12">
        <f t="shared" si="1"/>
        <v>0.0925</v>
      </c>
      <c r="T2896" s="12">
        <f t="shared" si="8"/>
        <v>93.80932432</v>
      </c>
      <c r="U2896" s="145"/>
    </row>
    <row r="2897">
      <c r="A2897" s="29"/>
      <c r="B2897" s="15" t="s">
        <v>137</v>
      </c>
      <c r="C2897" s="15" t="s">
        <v>19</v>
      </c>
      <c r="D2897" s="15">
        <v>0.0</v>
      </c>
      <c r="E2897" s="15" t="s">
        <v>5365</v>
      </c>
      <c r="F2897" s="15"/>
      <c r="G2897" s="15"/>
      <c r="H2897" s="15"/>
      <c r="I2897" s="15" t="s">
        <v>82</v>
      </c>
      <c r="J2897" s="15" t="s">
        <v>598</v>
      </c>
      <c r="K2897" s="15" t="s">
        <v>2415</v>
      </c>
      <c r="L2897" s="15" t="s">
        <v>39</v>
      </c>
      <c r="M2897" s="16">
        <v>10.5</v>
      </c>
      <c r="N2897" s="16">
        <v>0.1</v>
      </c>
      <c r="O2897" s="16">
        <v>0.1</v>
      </c>
      <c r="P2897" s="17">
        <v>45463.0</v>
      </c>
      <c r="Q2897" s="18">
        <v>1.8</v>
      </c>
      <c r="R2897" s="15" t="s">
        <v>33</v>
      </c>
      <c r="S2897" s="19">
        <f t="shared" si="1"/>
        <v>0.08</v>
      </c>
      <c r="T2897" s="19">
        <f t="shared" si="8"/>
        <v>93.88932432</v>
      </c>
      <c r="U2897" s="144"/>
    </row>
    <row r="2898">
      <c r="A2898" s="107"/>
      <c r="B2898" s="8" t="s">
        <v>18</v>
      </c>
      <c r="C2898" s="8" t="s">
        <v>19</v>
      </c>
      <c r="D2898" s="8">
        <v>36.0</v>
      </c>
      <c r="E2898" s="8" t="s">
        <v>5366</v>
      </c>
      <c r="F2898" s="8" t="s">
        <v>1479</v>
      </c>
      <c r="G2898" s="8" t="s">
        <v>1474</v>
      </c>
      <c r="H2898" s="8">
        <v>-1.0</v>
      </c>
      <c r="I2898" s="8" t="s">
        <v>714</v>
      </c>
      <c r="J2898" s="8" t="s">
        <v>22</v>
      </c>
      <c r="K2898" s="8" t="s">
        <v>225</v>
      </c>
      <c r="L2898" s="8" t="s">
        <v>24</v>
      </c>
      <c r="M2898" s="9">
        <v>0.25</v>
      </c>
      <c r="N2898" s="9">
        <v>0.5</v>
      </c>
      <c r="O2898" s="9">
        <v>0.5</v>
      </c>
      <c r="P2898" s="10">
        <v>45463.0</v>
      </c>
      <c r="Q2898" s="11">
        <v>1.7</v>
      </c>
      <c r="R2898" s="8" t="s">
        <v>30</v>
      </c>
      <c r="S2898" s="12">
        <f t="shared" si="1"/>
        <v>0.175</v>
      </c>
      <c r="T2898" s="12">
        <f t="shared" si="8"/>
        <v>94.06432432</v>
      </c>
      <c r="U2898" s="145"/>
    </row>
    <row r="2899">
      <c r="A2899" s="29"/>
      <c r="B2899" s="15" t="s">
        <v>4225</v>
      </c>
      <c r="C2899" s="15" t="s">
        <v>19</v>
      </c>
      <c r="D2899" s="15">
        <v>0.0</v>
      </c>
      <c r="E2899" s="15" t="s">
        <v>5367</v>
      </c>
      <c r="F2899" s="15" t="s">
        <v>5368</v>
      </c>
      <c r="G2899" s="15" t="s">
        <v>1474</v>
      </c>
      <c r="H2899" s="15">
        <v>0.0</v>
      </c>
      <c r="I2899" s="15" t="s">
        <v>5332</v>
      </c>
      <c r="J2899" s="15" t="s">
        <v>22</v>
      </c>
      <c r="K2899" s="15" t="s">
        <v>225</v>
      </c>
      <c r="L2899" s="15" t="s">
        <v>2201</v>
      </c>
      <c r="M2899" s="16">
        <v>0.25</v>
      </c>
      <c r="N2899" s="16">
        <v>0.1</v>
      </c>
      <c r="O2899" s="16">
        <v>0.1</v>
      </c>
      <c r="P2899" s="55">
        <v>45464.0</v>
      </c>
      <c r="Q2899" s="18">
        <v>1.89</v>
      </c>
      <c r="R2899" s="15" t="s">
        <v>70</v>
      </c>
      <c r="S2899" s="19">
        <f t="shared" si="1"/>
        <v>0</v>
      </c>
      <c r="T2899" s="19">
        <f t="shared" si="8"/>
        <v>94.06432432</v>
      </c>
      <c r="U2899" s="144"/>
    </row>
    <row r="2900">
      <c r="A2900" s="107"/>
      <c r="B2900" s="8" t="s">
        <v>18</v>
      </c>
      <c r="C2900" s="8" t="s">
        <v>19</v>
      </c>
      <c r="D2900" s="8">
        <v>69.0</v>
      </c>
      <c r="E2900" s="8" t="s">
        <v>5369</v>
      </c>
      <c r="F2900" s="8" t="s">
        <v>1479</v>
      </c>
      <c r="G2900" s="8" t="s">
        <v>1480</v>
      </c>
      <c r="H2900" s="8">
        <v>-1.0</v>
      </c>
      <c r="I2900" s="8" t="s">
        <v>616</v>
      </c>
      <c r="J2900" s="8" t="s">
        <v>22</v>
      </c>
      <c r="K2900" s="8" t="s">
        <v>892</v>
      </c>
      <c r="L2900" s="8" t="s">
        <v>24</v>
      </c>
      <c r="M2900" s="9">
        <v>0.0</v>
      </c>
      <c r="N2900" s="9">
        <v>0.6</v>
      </c>
      <c r="O2900" s="9">
        <v>0.6</v>
      </c>
      <c r="P2900" s="10">
        <v>45464.0</v>
      </c>
      <c r="Q2900" s="11">
        <v>1.9</v>
      </c>
      <c r="R2900" s="8" t="s">
        <v>70</v>
      </c>
      <c r="S2900" s="12">
        <f t="shared" si="1"/>
        <v>0</v>
      </c>
      <c r="T2900" s="12">
        <f t="shared" si="8"/>
        <v>94.06432432</v>
      </c>
      <c r="U2900" s="145"/>
    </row>
    <row r="2901">
      <c r="A2901" s="29"/>
      <c r="B2901" s="15" t="s">
        <v>18</v>
      </c>
      <c r="C2901" s="15" t="s">
        <v>19</v>
      </c>
      <c r="D2901" s="15">
        <v>80.0</v>
      </c>
      <c r="E2901" s="15" t="s">
        <v>5370</v>
      </c>
      <c r="F2901" s="15" t="s">
        <v>1473</v>
      </c>
      <c r="G2901" s="15" t="s">
        <v>1480</v>
      </c>
      <c r="H2901" s="15">
        <v>1.0</v>
      </c>
      <c r="I2901" s="15" t="s">
        <v>616</v>
      </c>
      <c r="J2901" s="15" t="s">
        <v>22</v>
      </c>
      <c r="K2901" s="15" t="s">
        <v>892</v>
      </c>
      <c r="L2901" s="15" t="s">
        <v>24</v>
      </c>
      <c r="M2901" s="16">
        <v>0.0</v>
      </c>
      <c r="N2901" s="16">
        <v>0.25</v>
      </c>
      <c r="O2901" s="16">
        <v>0.25</v>
      </c>
      <c r="P2901" s="17">
        <v>45464.0</v>
      </c>
      <c r="Q2901" s="18">
        <v>1.9</v>
      </c>
      <c r="R2901" s="15" t="s">
        <v>70</v>
      </c>
      <c r="S2901" s="19">
        <f t="shared" si="1"/>
        <v>0</v>
      </c>
      <c r="T2901" s="19">
        <f t="shared" si="8"/>
        <v>94.06432432</v>
      </c>
      <c r="U2901" s="144"/>
    </row>
    <row r="2902">
      <c r="A2902" s="107"/>
      <c r="B2902" s="8" t="s">
        <v>26</v>
      </c>
      <c r="C2902" s="8" t="s">
        <v>19</v>
      </c>
      <c r="D2902" s="8">
        <v>81.0</v>
      </c>
      <c r="E2902" s="8" t="s">
        <v>5371</v>
      </c>
      <c r="F2902" s="8" t="s">
        <v>1479</v>
      </c>
      <c r="G2902" s="8" t="s">
        <v>1480</v>
      </c>
      <c r="H2902" s="8">
        <v>-2.0</v>
      </c>
      <c r="I2902" s="8" t="s">
        <v>82</v>
      </c>
      <c r="J2902" s="8" t="s">
        <v>22</v>
      </c>
      <c r="K2902" s="8" t="s">
        <v>892</v>
      </c>
      <c r="L2902" s="8" t="s">
        <v>24</v>
      </c>
      <c r="M2902" s="9">
        <v>0.0</v>
      </c>
      <c r="N2902" s="9">
        <v>0.2</v>
      </c>
      <c r="O2902" s="9">
        <v>0.2</v>
      </c>
      <c r="P2902" s="10">
        <v>45464.0</v>
      </c>
      <c r="Q2902" s="11">
        <v>1.7</v>
      </c>
      <c r="R2902" s="8" t="s">
        <v>70</v>
      </c>
      <c r="S2902" s="12">
        <f t="shared" si="1"/>
        <v>0</v>
      </c>
      <c r="T2902" s="12">
        <f t="shared" si="8"/>
        <v>94.06432432</v>
      </c>
      <c r="U2902" s="145"/>
    </row>
    <row r="2903">
      <c r="A2903" s="29"/>
      <c r="B2903" s="15" t="s">
        <v>4225</v>
      </c>
      <c r="C2903" s="15" t="s">
        <v>19</v>
      </c>
      <c r="D2903" s="15">
        <v>54.0</v>
      </c>
      <c r="E2903" s="15" t="s">
        <v>5372</v>
      </c>
      <c r="F2903" s="15" t="s">
        <v>1473</v>
      </c>
      <c r="G2903" s="15" t="s">
        <v>1477</v>
      </c>
      <c r="H2903" s="15">
        <v>0.0</v>
      </c>
      <c r="I2903" s="15" t="s">
        <v>463</v>
      </c>
      <c r="J2903" s="15" t="s">
        <v>22</v>
      </c>
      <c r="K2903" s="15" t="s">
        <v>894</v>
      </c>
      <c r="L2903" s="15" t="s">
        <v>39</v>
      </c>
      <c r="M2903" s="16">
        <v>-0.75</v>
      </c>
      <c r="N2903" s="16">
        <v>0.25</v>
      </c>
      <c r="O2903" s="16">
        <f>0.25*11/30</f>
        <v>0.09166666667</v>
      </c>
      <c r="P2903" s="17">
        <v>45465.0</v>
      </c>
      <c r="Q2903" s="18">
        <v>1.925</v>
      </c>
      <c r="R2903" s="15" t="s">
        <v>25</v>
      </c>
      <c r="S2903" s="19">
        <f t="shared" si="1"/>
        <v>-0.09166666667</v>
      </c>
      <c r="T2903" s="19">
        <f t="shared" si="8"/>
        <v>93.97265766</v>
      </c>
      <c r="U2903" s="144"/>
    </row>
    <row r="2904">
      <c r="A2904" s="107"/>
      <c r="B2904" s="8" t="s">
        <v>4225</v>
      </c>
      <c r="C2904" s="8" t="s">
        <v>40</v>
      </c>
      <c r="D2904" s="8">
        <v>85.0</v>
      </c>
      <c r="E2904" s="8" t="s">
        <v>5373</v>
      </c>
      <c r="F2904" s="8"/>
      <c r="G2904" s="8"/>
      <c r="H2904" s="8">
        <v>0.0</v>
      </c>
      <c r="I2904" s="8" t="s">
        <v>683</v>
      </c>
      <c r="J2904" s="8" t="s">
        <v>22</v>
      </c>
      <c r="K2904" s="8" t="s">
        <v>1165</v>
      </c>
      <c r="L2904" s="8" t="s">
        <v>24</v>
      </c>
      <c r="M2904" s="9">
        <v>-0.5</v>
      </c>
      <c r="N2904" s="9">
        <v>0.25</v>
      </c>
      <c r="O2904" s="9">
        <v>0.25</v>
      </c>
      <c r="P2904" s="10">
        <v>45465.0</v>
      </c>
      <c r="Q2904" s="11">
        <v>1.5</v>
      </c>
      <c r="R2904" s="8" t="s">
        <v>33</v>
      </c>
      <c r="S2904" s="12">
        <f t="shared" si="1"/>
        <v>0.125</v>
      </c>
      <c r="T2904" s="12">
        <f t="shared" si="8"/>
        <v>94.09765766</v>
      </c>
      <c r="U2904" s="145"/>
    </row>
    <row r="2905">
      <c r="A2905" s="29"/>
      <c r="B2905" s="15" t="s">
        <v>26</v>
      </c>
      <c r="C2905" s="15" t="s">
        <v>19</v>
      </c>
      <c r="D2905" s="15">
        <v>16.0</v>
      </c>
      <c r="E2905" s="15" t="s">
        <v>5374</v>
      </c>
      <c r="F2905" s="15" t="s">
        <v>1473</v>
      </c>
      <c r="G2905" s="15" t="s">
        <v>1477</v>
      </c>
      <c r="H2905" s="15">
        <v>0.0</v>
      </c>
      <c r="I2905" s="15" t="s">
        <v>5332</v>
      </c>
      <c r="J2905" s="15" t="s">
        <v>22</v>
      </c>
      <c r="K2905" s="15" t="s">
        <v>894</v>
      </c>
      <c r="L2905" s="15" t="s">
        <v>39</v>
      </c>
      <c r="M2905" s="16">
        <v>-0.75</v>
      </c>
      <c r="N2905" s="16">
        <v>0.1</v>
      </c>
      <c r="O2905" s="16">
        <v>0.1</v>
      </c>
      <c r="P2905" s="17">
        <v>45465.0</v>
      </c>
      <c r="Q2905" s="18">
        <v>1.875</v>
      </c>
      <c r="R2905" s="15" t="s">
        <v>25</v>
      </c>
      <c r="S2905" s="19">
        <f t="shared" si="1"/>
        <v>-0.1</v>
      </c>
      <c r="T2905" s="19">
        <f t="shared" si="8"/>
        <v>93.99765766</v>
      </c>
      <c r="U2905" s="144"/>
    </row>
    <row r="2906">
      <c r="A2906" s="107"/>
      <c r="B2906" s="8" t="s">
        <v>18</v>
      </c>
      <c r="C2906" s="8" t="s">
        <v>19</v>
      </c>
      <c r="D2906" s="8">
        <v>40.0</v>
      </c>
      <c r="E2906" s="8" t="s">
        <v>5375</v>
      </c>
      <c r="F2906" s="8" t="s">
        <v>1473</v>
      </c>
      <c r="G2906" s="8" t="s">
        <v>1480</v>
      </c>
      <c r="H2906" s="8">
        <v>0.0</v>
      </c>
      <c r="I2906" s="8" t="s">
        <v>3476</v>
      </c>
      <c r="J2906" s="8" t="s">
        <v>22</v>
      </c>
      <c r="K2906" s="8" t="s">
        <v>892</v>
      </c>
      <c r="L2906" s="8" t="s">
        <v>24</v>
      </c>
      <c r="M2906" s="9">
        <v>0.0</v>
      </c>
      <c r="N2906" s="9">
        <v>0.5</v>
      </c>
      <c r="O2906" s="9">
        <v>0.5</v>
      </c>
      <c r="P2906" s="54">
        <v>45465.0</v>
      </c>
      <c r="Q2906" s="11">
        <v>1.86</v>
      </c>
      <c r="R2906" s="8" t="s">
        <v>33</v>
      </c>
      <c r="S2906" s="12">
        <f t="shared" si="1"/>
        <v>0.43</v>
      </c>
      <c r="T2906" s="12">
        <f t="shared" si="8"/>
        <v>94.42765766</v>
      </c>
      <c r="U2906" s="145"/>
    </row>
    <row r="2907">
      <c r="A2907" s="29"/>
      <c r="B2907" s="15" t="s">
        <v>131</v>
      </c>
      <c r="C2907" s="15" t="s">
        <v>19</v>
      </c>
      <c r="D2907" s="15">
        <v>25.0</v>
      </c>
      <c r="E2907" s="15" t="s">
        <v>5376</v>
      </c>
      <c r="F2907" s="15" t="s">
        <v>1473</v>
      </c>
      <c r="G2907" s="15" t="s">
        <v>1474</v>
      </c>
      <c r="H2907" s="15">
        <v>0.0</v>
      </c>
      <c r="I2907" s="15" t="s">
        <v>93</v>
      </c>
      <c r="J2907" s="15" t="s">
        <v>22</v>
      </c>
      <c r="K2907" s="15" t="s">
        <v>225</v>
      </c>
      <c r="L2907" s="15" t="s">
        <v>24</v>
      </c>
      <c r="M2907" s="16">
        <v>0.5</v>
      </c>
      <c r="N2907" s="16">
        <v>0.8</v>
      </c>
      <c r="O2907" s="16">
        <v>0.8</v>
      </c>
      <c r="P2907" s="55">
        <v>45465.0</v>
      </c>
      <c r="Q2907" s="18">
        <f>(248.5+223.65+220.1+247.06)/(700*0.8)</f>
        <v>1.677339286</v>
      </c>
      <c r="R2907" s="15" t="s">
        <v>33</v>
      </c>
      <c r="S2907" s="19">
        <f t="shared" si="1"/>
        <v>0.5418714286</v>
      </c>
      <c r="T2907" s="19">
        <f t="shared" si="8"/>
        <v>94.96952909</v>
      </c>
      <c r="U2907" s="144"/>
    </row>
    <row r="2908">
      <c r="A2908" s="107"/>
      <c r="B2908" s="8" t="s">
        <v>26</v>
      </c>
      <c r="C2908" s="8" t="s">
        <v>40</v>
      </c>
      <c r="D2908" s="8"/>
      <c r="E2908" s="8" t="s">
        <v>5377</v>
      </c>
      <c r="F2908" s="8" t="s">
        <v>1479</v>
      </c>
      <c r="G2908" s="8" t="s">
        <v>1477</v>
      </c>
      <c r="H2908" s="8">
        <v>0.0</v>
      </c>
      <c r="I2908" s="8" t="s">
        <v>245</v>
      </c>
      <c r="J2908" s="8" t="s">
        <v>22</v>
      </c>
      <c r="K2908" s="8" t="s">
        <v>894</v>
      </c>
      <c r="L2908" s="8" t="s">
        <v>24</v>
      </c>
      <c r="M2908" s="9">
        <v>-0.5</v>
      </c>
      <c r="N2908" s="9">
        <v>0.2</v>
      </c>
      <c r="O2908" s="9">
        <v>0.2</v>
      </c>
      <c r="P2908" s="10">
        <v>45465.0</v>
      </c>
      <c r="Q2908" s="11">
        <v>1.825</v>
      </c>
      <c r="R2908" s="8" t="s">
        <v>25</v>
      </c>
      <c r="S2908" s="12">
        <f t="shared" si="1"/>
        <v>-0.2</v>
      </c>
      <c r="T2908" s="12">
        <f t="shared" si="8"/>
        <v>94.76952909</v>
      </c>
      <c r="U2908" s="145"/>
    </row>
    <row r="2909">
      <c r="A2909" s="29"/>
      <c r="B2909" s="15" t="s">
        <v>137</v>
      </c>
      <c r="C2909" s="15" t="s">
        <v>19</v>
      </c>
      <c r="D2909" s="15">
        <v>0.0</v>
      </c>
      <c r="E2909" s="15" t="s">
        <v>5378</v>
      </c>
      <c r="F2909" s="15"/>
      <c r="G2909" s="15"/>
      <c r="H2909" s="15"/>
      <c r="I2909" s="15" t="s">
        <v>82</v>
      </c>
      <c r="J2909" s="15" t="s">
        <v>598</v>
      </c>
      <c r="K2909" s="15" t="s">
        <v>23</v>
      </c>
      <c r="L2909" s="15" t="s">
        <v>39</v>
      </c>
      <c r="M2909" s="16">
        <v>-10.0</v>
      </c>
      <c r="N2909" s="16">
        <v>0.1</v>
      </c>
      <c r="O2909" s="16">
        <v>0.1</v>
      </c>
      <c r="P2909" s="17">
        <v>45465.0</v>
      </c>
      <c r="Q2909" s="18">
        <v>1.95</v>
      </c>
      <c r="R2909" s="15" t="s">
        <v>70</v>
      </c>
      <c r="S2909" s="19">
        <f t="shared" si="1"/>
        <v>0</v>
      </c>
      <c r="T2909" s="19">
        <f t="shared" si="8"/>
        <v>94.76952909</v>
      </c>
      <c r="U2909" s="144"/>
    </row>
    <row r="2910">
      <c r="A2910" s="107"/>
      <c r="B2910" s="8" t="s">
        <v>26</v>
      </c>
      <c r="C2910" s="8" t="s">
        <v>19</v>
      </c>
      <c r="D2910" s="8">
        <v>18.0</v>
      </c>
      <c r="E2910" s="8" t="s">
        <v>5379</v>
      </c>
      <c r="F2910" s="8" t="s">
        <v>1479</v>
      </c>
      <c r="G2910" s="8" t="s">
        <v>1480</v>
      </c>
      <c r="H2910" s="8">
        <v>0.0</v>
      </c>
      <c r="I2910" s="8" t="s">
        <v>82</v>
      </c>
      <c r="J2910" s="8" t="s">
        <v>22</v>
      </c>
      <c r="K2910" s="8" t="s">
        <v>892</v>
      </c>
      <c r="L2910" s="8" t="s">
        <v>1851</v>
      </c>
      <c r="M2910" s="9">
        <v>0.0</v>
      </c>
      <c r="N2910" s="9">
        <v>0.2</v>
      </c>
      <c r="O2910" s="9">
        <v>0.2</v>
      </c>
      <c r="P2910" s="10">
        <v>45465.0</v>
      </c>
      <c r="Q2910" s="11">
        <v>1.725</v>
      </c>
      <c r="R2910" s="8" t="s">
        <v>70</v>
      </c>
      <c r="S2910" s="12">
        <f t="shared" si="1"/>
        <v>0</v>
      </c>
      <c r="T2910" s="12">
        <f t="shared" si="8"/>
        <v>94.76952909</v>
      </c>
      <c r="U2910" s="145"/>
    </row>
    <row r="2911">
      <c r="A2911" s="29"/>
      <c r="B2911" s="15" t="s">
        <v>4225</v>
      </c>
      <c r="C2911" s="15" t="s">
        <v>19</v>
      </c>
      <c r="D2911" s="15">
        <v>5.0</v>
      </c>
      <c r="E2911" s="15" t="s">
        <v>5380</v>
      </c>
      <c r="F2911" s="15"/>
      <c r="G2911" s="15"/>
      <c r="H2911" s="15">
        <v>0.0</v>
      </c>
      <c r="I2911" s="15" t="s">
        <v>3476</v>
      </c>
      <c r="J2911" s="15" t="s">
        <v>22</v>
      </c>
      <c r="K2911" s="15" t="s">
        <v>440</v>
      </c>
      <c r="L2911" s="15" t="s">
        <v>24</v>
      </c>
      <c r="M2911" s="16">
        <v>1.5</v>
      </c>
      <c r="N2911" s="16">
        <v>0.25</v>
      </c>
      <c r="O2911" s="16">
        <v>0.25</v>
      </c>
      <c r="P2911" s="17">
        <v>45466.0</v>
      </c>
      <c r="Q2911" s="18">
        <v>1.72</v>
      </c>
      <c r="R2911" s="15" t="s">
        <v>33</v>
      </c>
      <c r="S2911" s="19">
        <f t="shared" si="1"/>
        <v>0.18</v>
      </c>
      <c r="T2911" s="19">
        <f t="shared" si="8"/>
        <v>94.94952909</v>
      </c>
      <c r="U2911" s="144"/>
    </row>
    <row r="2912">
      <c r="A2912" s="107"/>
      <c r="B2912" s="8" t="s">
        <v>129</v>
      </c>
      <c r="C2912" s="8" t="s">
        <v>40</v>
      </c>
      <c r="D2912" s="8"/>
      <c r="E2912" s="8" t="s">
        <v>5381</v>
      </c>
      <c r="F2912" s="8" t="s">
        <v>1473</v>
      </c>
      <c r="G2912" s="8" t="s">
        <v>1480</v>
      </c>
      <c r="H2912" s="8">
        <v>0.0</v>
      </c>
      <c r="I2912" s="8" t="s">
        <v>1031</v>
      </c>
      <c r="J2912" s="8" t="s">
        <v>22</v>
      </c>
      <c r="K2912" s="8" t="s">
        <v>892</v>
      </c>
      <c r="L2912" s="8" t="s">
        <v>24</v>
      </c>
      <c r="M2912" s="9">
        <v>0.0</v>
      </c>
      <c r="N2912" s="9">
        <v>0.4</v>
      </c>
      <c r="O2912" s="9">
        <v>0.4</v>
      </c>
      <c r="P2912" s="10">
        <v>45466.0</v>
      </c>
      <c r="Q2912" s="11">
        <v>1.7</v>
      </c>
      <c r="R2912" s="8" t="s">
        <v>70</v>
      </c>
      <c r="S2912" s="12">
        <f t="shared" si="1"/>
        <v>0</v>
      </c>
      <c r="T2912" s="12">
        <f t="shared" si="8"/>
        <v>94.94952909</v>
      </c>
      <c r="U2912" s="145"/>
    </row>
    <row r="2913">
      <c r="A2913" s="29"/>
      <c r="B2913" s="15" t="s">
        <v>137</v>
      </c>
      <c r="C2913" s="15" t="s">
        <v>19</v>
      </c>
      <c r="D2913" s="15">
        <v>0.0</v>
      </c>
      <c r="E2913" s="15" t="s">
        <v>5382</v>
      </c>
      <c r="F2913" s="15"/>
      <c r="G2913" s="15"/>
      <c r="H2913" s="15"/>
      <c r="I2913" s="15" t="s">
        <v>82</v>
      </c>
      <c r="J2913" s="15" t="s">
        <v>22</v>
      </c>
      <c r="K2913" s="15" t="s">
        <v>23</v>
      </c>
      <c r="L2913" s="15" t="s">
        <v>39</v>
      </c>
      <c r="M2913" s="16">
        <v>-10.5</v>
      </c>
      <c r="N2913" s="16">
        <v>0.1</v>
      </c>
      <c r="O2913" s="16">
        <v>0.1</v>
      </c>
      <c r="P2913" s="17">
        <v>45466.0</v>
      </c>
      <c r="Q2913" s="18">
        <v>1.72</v>
      </c>
      <c r="R2913" s="15" t="s">
        <v>25</v>
      </c>
      <c r="S2913" s="19">
        <f t="shared" si="1"/>
        <v>-0.1</v>
      </c>
      <c r="T2913" s="19">
        <f t="shared" si="8"/>
        <v>94.84952909</v>
      </c>
      <c r="U2913" s="144"/>
    </row>
    <row r="2914">
      <c r="A2914" s="107"/>
      <c r="B2914" s="8" t="s">
        <v>18</v>
      </c>
      <c r="C2914" s="8" t="s">
        <v>19</v>
      </c>
      <c r="D2914" s="8"/>
      <c r="E2914" s="8" t="s">
        <v>5383</v>
      </c>
      <c r="F2914" s="8" t="s">
        <v>1479</v>
      </c>
      <c r="G2914" s="8" t="s">
        <v>1474</v>
      </c>
      <c r="H2914" s="8">
        <v>0.0</v>
      </c>
      <c r="I2914" s="8" t="s">
        <v>78</v>
      </c>
      <c r="J2914" s="8" t="s">
        <v>22</v>
      </c>
      <c r="K2914" s="8" t="s">
        <v>225</v>
      </c>
      <c r="L2914" s="8" t="s">
        <v>24</v>
      </c>
      <c r="M2914" s="9">
        <v>0.25</v>
      </c>
      <c r="N2914" s="9">
        <v>0.5</v>
      </c>
      <c r="O2914" s="9">
        <v>0.5</v>
      </c>
      <c r="P2914" s="10">
        <v>45468.0</v>
      </c>
      <c r="Q2914" s="11">
        <v>1.75</v>
      </c>
      <c r="R2914" s="8" t="s">
        <v>25</v>
      </c>
      <c r="S2914" s="12">
        <f t="shared" si="1"/>
        <v>-0.5</v>
      </c>
      <c r="T2914" s="12">
        <f t="shared" si="8"/>
        <v>94.34952909</v>
      </c>
      <c r="U2914" s="145"/>
    </row>
    <row r="2915">
      <c r="A2915" s="29"/>
      <c r="B2915" s="15" t="s">
        <v>4225</v>
      </c>
      <c r="C2915" s="15" t="s">
        <v>19</v>
      </c>
      <c r="D2915" s="15">
        <v>0.0</v>
      </c>
      <c r="E2915" s="15" t="s">
        <v>5384</v>
      </c>
      <c r="F2915" s="15"/>
      <c r="G2915" s="15"/>
      <c r="H2915" s="15"/>
      <c r="I2915" s="15" t="s">
        <v>248</v>
      </c>
      <c r="J2915" s="15" t="s">
        <v>22</v>
      </c>
      <c r="K2915" s="15" t="s">
        <v>29</v>
      </c>
      <c r="L2915" s="15" t="s">
        <v>24</v>
      </c>
      <c r="M2915" s="16">
        <v>-2.0</v>
      </c>
      <c r="N2915" s="16">
        <v>0.5</v>
      </c>
      <c r="O2915" s="16">
        <v>0.5</v>
      </c>
      <c r="P2915" s="17">
        <v>45468.0</v>
      </c>
      <c r="Q2915" s="18">
        <v>1.8</v>
      </c>
      <c r="R2915" s="15" t="s">
        <v>33</v>
      </c>
      <c r="S2915" s="19">
        <f t="shared" si="1"/>
        <v>0.4</v>
      </c>
      <c r="T2915" s="19">
        <f t="shared" si="8"/>
        <v>94.74952909</v>
      </c>
      <c r="U2915" s="144"/>
    </row>
    <row r="2916">
      <c r="A2916" s="107"/>
      <c r="B2916" s="8" t="s">
        <v>26</v>
      </c>
      <c r="C2916" s="8" t="s">
        <v>19</v>
      </c>
      <c r="D2916" s="8"/>
      <c r="E2916" s="8" t="s">
        <v>5385</v>
      </c>
      <c r="F2916" s="8" t="s">
        <v>1473</v>
      </c>
      <c r="G2916" s="8" t="s">
        <v>1480</v>
      </c>
      <c r="H2916" s="8">
        <v>0.0</v>
      </c>
      <c r="I2916" s="8" t="s">
        <v>78</v>
      </c>
      <c r="J2916" s="8" t="s">
        <v>22</v>
      </c>
      <c r="K2916" s="8" t="s">
        <v>892</v>
      </c>
      <c r="L2916" s="8" t="s">
        <v>24</v>
      </c>
      <c r="M2916" s="9">
        <v>0.0</v>
      </c>
      <c r="N2916" s="9">
        <v>0.7</v>
      </c>
      <c r="O2916" s="9">
        <v>0.7</v>
      </c>
      <c r="P2916" s="10">
        <v>45468.0</v>
      </c>
      <c r="Q2916" s="11">
        <v>1.725</v>
      </c>
      <c r="R2916" s="8" t="s">
        <v>25</v>
      </c>
      <c r="S2916" s="12">
        <f t="shared" si="1"/>
        <v>-0.7</v>
      </c>
      <c r="T2916" s="12">
        <f t="shared" si="8"/>
        <v>94.04952909</v>
      </c>
      <c r="U2916" s="145"/>
    </row>
    <row r="2917">
      <c r="A2917" s="29"/>
      <c r="B2917" s="15" t="s">
        <v>137</v>
      </c>
      <c r="C2917" s="15" t="s">
        <v>19</v>
      </c>
      <c r="D2917" s="15"/>
      <c r="E2917" s="15" t="s">
        <v>5386</v>
      </c>
      <c r="F2917" s="15"/>
      <c r="G2917" s="15"/>
      <c r="H2917" s="15"/>
      <c r="I2917" s="15" t="s">
        <v>82</v>
      </c>
      <c r="J2917" s="15" t="s">
        <v>598</v>
      </c>
      <c r="K2917" s="15" t="s">
        <v>23</v>
      </c>
      <c r="L2917" s="15" t="s">
        <v>39</v>
      </c>
      <c r="M2917" s="16">
        <v>-10.0</v>
      </c>
      <c r="N2917" s="16">
        <v>0.2</v>
      </c>
      <c r="O2917" s="16">
        <v>0.2</v>
      </c>
      <c r="P2917" s="17">
        <v>45468.0</v>
      </c>
      <c r="Q2917" s="18">
        <v>1.8</v>
      </c>
      <c r="R2917" s="15" t="s">
        <v>25</v>
      </c>
      <c r="S2917" s="19">
        <f t="shared" si="1"/>
        <v>-0.2</v>
      </c>
      <c r="T2917" s="19">
        <f t="shared" si="8"/>
        <v>93.84952909</v>
      </c>
      <c r="U2917" s="144"/>
    </row>
    <row r="2918">
      <c r="A2918" s="107"/>
      <c r="B2918" s="8" t="s">
        <v>18</v>
      </c>
      <c r="C2918" s="8" t="s">
        <v>19</v>
      </c>
      <c r="D2918" s="8">
        <v>10.0</v>
      </c>
      <c r="E2918" s="8" t="s">
        <v>5387</v>
      </c>
      <c r="F2918" s="8" t="s">
        <v>1473</v>
      </c>
      <c r="G2918" s="8" t="s">
        <v>1474</v>
      </c>
      <c r="H2918" s="8">
        <v>0.0</v>
      </c>
      <c r="I2918" s="8" t="s">
        <v>1175</v>
      </c>
      <c r="J2918" s="8" t="s">
        <v>22</v>
      </c>
      <c r="K2918" s="8" t="s">
        <v>225</v>
      </c>
      <c r="L2918" s="8" t="s">
        <v>24</v>
      </c>
      <c r="M2918" s="9">
        <v>0.5</v>
      </c>
      <c r="N2918" s="9">
        <v>1.0</v>
      </c>
      <c r="O2918" s="9">
        <v>1.0</v>
      </c>
      <c r="P2918" s="10">
        <v>45469.0</v>
      </c>
      <c r="Q2918" s="11">
        <v>1.875</v>
      </c>
      <c r="R2918" s="8" t="s">
        <v>33</v>
      </c>
      <c r="S2918" s="12">
        <f t="shared" si="1"/>
        <v>0.875</v>
      </c>
      <c r="T2918" s="12">
        <f t="shared" si="8"/>
        <v>94.72452909</v>
      </c>
      <c r="U2918" s="145"/>
    </row>
    <row r="2919">
      <c r="A2919" s="29"/>
      <c r="B2919" s="15" t="s">
        <v>18</v>
      </c>
      <c r="C2919" s="15" t="s">
        <v>40</v>
      </c>
      <c r="D2919" s="15"/>
      <c r="E2919" s="15" t="s">
        <v>5388</v>
      </c>
      <c r="F2919" s="15" t="s">
        <v>1479</v>
      </c>
      <c r="G2919" s="15" t="s">
        <v>1477</v>
      </c>
      <c r="H2919" s="15">
        <v>0.0</v>
      </c>
      <c r="I2919" s="15" t="s">
        <v>463</v>
      </c>
      <c r="J2919" s="15" t="s">
        <v>22</v>
      </c>
      <c r="K2919" s="15" t="s">
        <v>894</v>
      </c>
      <c r="L2919" s="15" t="s">
        <v>24</v>
      </c>
      <c r="M2919" s="16">
        <v>-0.5</v>
      </c>
      <c r="N2919" s="16">
        <v>0.25</v>
      </c>
      <c r="O2919" s="16">
        <v>0.25</v>
      </c>
      <c r="P2919" s="17">
        <v>45469.0</v>
      </c>
      <c r="Q2919" s="18">
        <v>1.8</v>
      </c>
      <c r="R2919" s="15" t="s">
        <v>25</v>
      </c>
      <c r="S2919" s="19">
        <f t="shared" si="1"/>
        <v>-0.25</v>
      </c>
      <c r="T2919" s="19">
        <f t="shared" si="8"/>
        <v>94.47452909</v>
      </c>
      <c r="U2919" s="144"/>
    </row>
    <row r="2920">
      <c r="A2920" s="107"/>
      <c r="B2920" s="8" t="s">
        <v>26</v>
      </c>
      <c r="C2920" s="8" t="s">
        <v>19</v>
      </c>
      <c r="D2920" s="8">
        <v>10.0</v>
      </c>
      <c r="E2920" s="8" t="s">
        <v>5389</v>
      </c>
      <c r="F2920" s="8" t="s">
        <v>1473</v>
      </c>
      <c r="G2920" s="8" t="s">
        <v>1474</v>
      </c>
      <c r="H2920" s="8">
        <v>1.0</v>
      </c>
      <c r="I2920" s="8" t="s">
        <v>768</v>
      </c>
      <c r="J2920" s="8" t="s">
        <v>22</v>
      </c>
      <c r="K2920" s="8" t="s">
        <v>225</v>
      </c>
      <c r="L2920" s="8" t="s">
        <v>24</v>
      </c>
      <c r="M2920" s="9">
        <v>1.0</v>
      </c>
      <c r="N2920" s="9">
        <v>0.25</v>
      </c>
      <c r="O2920" s="9">
        <v>0.05</v>
      </c>
      <c r="P2920" s="10">
        <v>45469.0</v>
      </c>
      <c r="Q2920" s="11">
        <v>1.167</v>
      </c>
      <c r="R2920" s="8" t="s">
        <v>33</v>
      </c>
      <c r="S2920" s="12">
        <f t="shared" si="1"/>
        <v>0.00835</v>
      </c>
      <c r="T2920" s="12">
        <f t="shared" si="8"/>
        <v>94.48287909</v>
      </c>
      <c r="U2920" s="145"/>
    </row>
    <row r="2921">
      <c r="A2921" s="29"/>
      <c r="B2921" s="15" t="s">
        <v>137</v>
      </c>
      <c r="C2921" s="15" t="s">
        <v>19</v>
      </c>
      <c r="D2921" s="15">
        <v>0.0</v>
      </c>
      <c r="E2921" s="15" t="s">
        <v>5390</v>
      </c>
      <c r="F2921" s="15"/>
      <c r="G2921" s="15"/>
      <c r="H2921" s="15"/>
      <c r="I2921" s="15" t="s">
        <v>82</v>
      </c>
      <c r="J2921" s="15" t="s">
        <v>598</v>
      </c>
      <c r="K2921" s="15" t="s">
        <v>2415</v>
      </c>
      <c r="L2921" s="15" t="s">
        <v>39</v>
      </c>
      <c r="M2921" s="16">
        <v>10.5</v>
      </c>
      <c r="N2921" s="16">
        <v>0.15</v>
      </c>
      <c r="O2921" s="16">
        <v>0.15</v>
      </c>
      <c r="P2921" s="17">
        <v>45469.0</v>
      </c>
      <c r="Q2921" s="18">
        <v>1.9</v>
      </c>
      <c r="R2921" s="15" t="s">
        <v>33</v>
      </c>
      <c r="S2921" s="19">
        <f t="shared" si="1"/>
        <v>0.135</v>
      </c>
      <c r="T2921" s="19">
        <f t="shared" si="8"/>
        <v>94.61787909</v>
      </c>
      <c r="U2921" s="144"/>
    </row>
    <row r="2922">
      <c r="A2922" s="107"/>
      <c r="B2922" s="8" t="s">
        <v>137</v>
      </c>
      <c r="C2922" s="8" t="s">
        <v>19</v>
      </c>
      <c r="D2922" s="8">
        <v>0.0</v>
      </c>
      <c r="E2922" s="8" t="s">
        <v>5391</v>
      </c>
      <c r="F2922" s="8"/>
      <c r="G2922" s="8"/>
      <c r="H2922" s="8"/>
      <c r="I2922" s="8" t="s">
        <v>82</v>
      </c>
      <c r="J2922" s="8" t="s">
        <v>598</v>
      </c>
      <c r="K2922" s="8" t="s">
        <v>23</v>
      </c>
      <c r="L2922" s="8" t="s">
        <v>39</v>
      </c>
      <c r="M2922" s="9">
        <v>-11.0</v>
      </c>
      <c r="N2922" s="9">
        <v>0.15</v>
      </c>
      <c r="O2922" s="9">
        <v>0.15</v>
      </c>
      <c r="P2922" s="10">
        <v>45469.0</v>
      </c>
      <c r="Q2922" s="11">
        <v>1.725</v>
      </c>
      <c r="R2922" s="8" t="s">
        <v>25</v>
      </c>
      <c r="S2922" s="12">
        <f t="shared" si="1"/>
        <v>-0.15</v>
      </c>
      <c r="T2922" s="12">
        <f t="shared" si="8"/>
        <v>94.46787909</v>
      </c>
      <c r="U2922" s="145"/>
    </row>
    <row r="2923">
      <c r="A2923" s="29"/>
      <c r="B2923" s="15" t="s">
        <v>26</v>
      </c>
      <c r="C2923" s="15" t="s">
        <v>40</v>
      </c>
      <c r="D2923" s="15">
        <v>71.0</v>
      </c>
      <c r="E2923" s="15" t="s">
        <v>5392</v>
      </c>
      <c r="F2923" s="15" t="s">
        <v>1473</v>
      </c>
      <c r="G2923" s="15" t="s">
        <v>1474</v>
      </c>
      <c r="H2923" s="15">
        <v>-2.0</v>
      </c>
      <c r="I2923" s="15" t="s">
        <v>169</v>
      </c>
      <c r="J2923" s="15" t="s">
        <v>22</v>
      </c>
      <c r="K2923" s="15" t="s">
        <v>225</v>
      </c>
      <c r="L2923" s="15" t="s">
        <v>24</v>
      </c>
      <c r="M2923" s="16">
        <v>0.25</v>
      </c>
      <c r="N2923" s="16">
        <v>0.2</v>
      </c>
      <c r="O2923" s="16">
        <v>0.2</v>
      </c>
      <c r="P2923" s="17">
        <v>45469.0</v>
      </c>
      <c r="Q2923" s="18">
        <v>2.075</v>
      </c>
      <c r="R2923" s="15" t="s">
        <v>30</v>
      </c>
      <c r="S2923" s="19">
        <f t="shared" si="1"/>
        <v>0.1075</v>
      </c>
      <c r="T2923" s="19">
        <f t="shared" si="8"/>
        <v>94.57537909</v>
      </c>
      <c r="U2923" s="144"/>
    </row>
    <row r="2924">
      <c r="A2924" s="107"/>
      <c r="B2924" s="8" t="s">
        <v>26</v>
      </c>
      <c r="C2924" s="8" t="s">
        <v>40</v>
      </c>
      <c r="D2924" s="8">
        <v>0.0</v>
      </c>
      <c r="E2924" s="8" t="s">
        <v>5393</v>
      </c>
      <c r="F2924" s="8"/>
      <c r="G2924" s="8"/>
      <c r="H2924" s="8"/>
      <c r="I2924" s="8" t="s">
        <v>193</v>
      </c>
      <c r="J2924" s="8" t="s">
        <v>598</v>
      </c>
      <c r="K2924" s="8" t="s">
        <v>29</v>
      </c>
      <c r="L2924" s="8" t="s">
        <v>24</v>
      </c>
      <c r="M2924" s="9">
        <v>-2.5</v>
      </c>
      <c r="N2924" s="9">
        <v>0.5</v>
      </c>
      <c r="O2924" s="9">
        <v>0.5</v>
      </c>
      <c r="P2924" s="10">
        <v>45470.0</v>
      </c>
      <c r="Q2924" s="11">
        <v>2.0</v>
      </c>
      <c r="R2924" s="8" t="s">
        <v>25</v>
      </c>
      <c r="S2924" s="12">
        <f t="shared" si="1"/>
        <v>-0.5</v>
      </c>
      <c r="T2924" s="12">
        <f t="shared" si="8"/>
        <v>94.07537909</v>
      </c>
      <c r="U2924" s="145"/>
    </row>
    <row r="2925">
      <c r="A2925" s="29"/>
      <c r="B2925" s="15" t="s">
        <v>4225</v>
      </c>
      <c r="C2925" s="15" t="s">
        <v>40</v>
      </c>
      <c r="D2925" s="15">
        <v>0.0</v>
      </c>
      <c r="E2925" s="15" t="s">
        <v>5394</v>
      </c>
      <c r="F2925" s="15" t="s">
        <v>1473</v>
      </c>
      <c r="G2925" s="15" t="s">
        <v>1480</v>
      </c>
      <c r="H2925" s="15">
        <v>0.0</v>
      </c>
      <c r="I2925" s="15" t="s">
        <v>82</v>
      </c>
      <c r="J2925" s="15" t="s">
        <v>598</v>
      </c>
      <c r="K2925" s="15" t="s">
        <v>892</v>
      </c>
      <c r="L2925" s="15" t="s">
        <v>39</v>
      </c>
      <c r="M2925" s="16">
        <v>0.0</v>
      </c>
      <c r="N2925" s="16">
        <v>0.5</v>
      </c>
      <c r="O2925" s="16">
        <v>0.5</v>
      </c>
      <c r="P2925" s="55">
        <v>45470.0</v>
      </c>
      <c r="Q2925" s="18">
        <v>1.8</v>
      </c>
      <c r="R2925" s="15" t="s">
        <v>70</v>
      </c>
      <c r="S2925" s="19">
        <f t="shared" si="1"/>
        <v>0</v>
      </c>
      <c r="T2925" s="19">
        <f t="shared" si="8"/>
        <v>94.07537909</v>
      </c>
      <c r="U2925" s="144"/>
    </row>
    <row r="2926">
      <c r="A2926" s="107"/>
      <c r="B2926" s="8" t="s">
        <v>26</v>
      </c>
      <c r="C2926" s="8" t="s">
        <v>19</v>
      </c>
      <c r="D2926" s="8">
        <v>26.0</v>
      </c>
      <c r="E2926" s="8" t="s">
        <v>5395</v>
      </c>
      <c r="F2926" s="8" t="s">
        <v>1473</v>
      </c>
      <c r="G2926" s="8" t="s">
        <v>1480</v>
      </c>
      <c r="H2926" s="8">
        <v>2.0</v>
      </c>
      <c r="I2926" s="8" t="s">
        <v>82</v>
      </c>
      <c r="J2926" s="8" t="s">
        <v>22</v>
      </c>
      <c r="K2926" s="8" t="s">
        <v>1847</v>
      </c>
      <c r="L2926" s="8" t="s">
        <v>24</v>
      </c>
      <c r="M2926" s="9">
        <v>-0.5</v>
      </c>
      <c r="N2926" s="9">
        <v>0.75</v>
      </c>
      <c r="O2926" s="9">
        <v>0.75</v>
      </c>
      <c r="P2926" s="10">
        <v>45470.0</v>
      </c>
      <c r="Q2926" s="11">
        <v>1.578</v>
      </c>
      <c r="R2926" s="8" t="s">
        <v>33</v>
      </c>
      <c r="S2926" s="12">
        <f t="shared" si="1"/>
        <v>0.4335</v>
      </c>
      <c r="T2926" s="12">
        <f t="shared" si="8"/>
        <v>94.50887909</v>
      </c>
      <c r="U2926" s="145"/>
    </row>
    <row r="2927">
      <c r="A2927" s="29"/>
      <c r="B2927" s="15" t="s">
        <v>4225</v>
      </c>
      <c r="C2927" s="15" t="s">
        <v>19</v>
      </c>
      <c r="D2927" s="15">
        <v>0.0</v>
      </c>
      <c r="E2927" s="15" t="s">
        <v>5396</v>
      </c>
      <c r="F2927" s="15" t="s">
        <v>1473</v>
      </c>
      <c r="G2927" s="15" t="s">
        <v>1474</v>
      </c>
      <c r="H2927" s="15">
        <v>0.0</v>
      </c>
      <c r="I2927" s="15" t="s">
        <v>463</v>
      </c>
      <c r="J2927" s="15" t="s">
        <v>598</v>
      </c>
      <c r="K2927" s="15" t="s">
        <v>225</v>
      </c>
      <c r="L2927" s="15" t="s">
        <v>1851</v>
      </c>
      <c r="M2927" s="16">
        <v>0.5</v>
      </c>
      <c r="N2927" s="16">
        <v>0.1</v>
      </c>
      <c r="O2927" s="16">
        <v>0.1</v>
      </c>
      <c r="P2927" s="17">
        <v>45470.0</v>
      </c>
      <c r="Q2927" s="18">
        <v>1.825</v>
      </c>
      <c r="R2927" s="15" t="s">
        <v>25</v>
      </c>
      <c r="S2927" s="19">
        <f t="shared" si="1"/>
        <v>-0.1</v>
      </c>
      <c r="T2927" s="19">
        <f t="shared" si="8"/>
        <v>94.40887909</v>
      </c>
      <c r="U2927" s="144"/>
    </row>
    <row r="2928">
      <c r="A2928" s="107"/>
      <c r="B2928" s="8" t="s">
        <v>4225</v>
      </c>
      <c r="C2928" s="8" t="s">
        <v>40</v>
      </c>
      <c r="D2928" s="8">
        <v>80.0</v>
      </c>
      <c r="E2928" s="8" t="s">
        <v>5397</v>
      </c>
      <c r="F2928" s="8" t="s">
        <v>1479</v>
      </c>
      <c r="G2928" s="8" t="s">
        <v>1480</v>
      </c>
      <c r="H2928" s="8">
        <v>0.0</v>
      </c>
      <c r="I2928" s="8" t="s">
        <v>82</v>
      </c>
      <c r="J2928" s="8" t="s">
        <v>22</v>
      </c>
      <c r="K2928" s="8" t="s">
        <v>892</v>
      </c>
      <c r="L2928" s="8" t="s">
        <v>39</v>
      </c>
      <c r="M2928" s="9">
        <v>0.0</v>
      </c>
      <c r="N2928" s="9">
        <v>0.5</v>
      </c>
      <c r="O2928" s="9">
        <v>0.5</v>
      </c>
      <c r="P2928" s="54">
        <v>45470.0</v>
      </c>
      <c r="Q2928" s="11">
        <v>1.8</v>
      </c>
      <c r="R2928" s="8" t="s">
        <v>70</v>
      </c>
      <c r="S2928" s="12">
        <f t="shared" si="1"/>
        <v>0</v>
      </c>
      <c r="T2928" s="12">
        <f t="shared" si="8"/>
        <v>94.40887909</v>
      </c>
      <c r="U2928" s="145"/>
    </row>
    <row r="2929">
      <c r="A2929" s="29"/>
      <c r="B2929" s="15" t="s">
        <v>1915</v>
      </c>
      <c r="C2929" s="15" t="s">
        <v>19</v>
      </c>
      <c r="D2929" s="15">
        <v>0.0</v>
      </c>
      <c r="E2929" s="15" t="s">
        <v>5398</v>
      </c>
      <c r="F2929" s="15"/>
      <c r="G2929" s="15"/>
      <c r="H2929" s="15"/>
      <c r="I2929" s="15" t="s">
        <v>952</v>
      </c>
      <c r="J2929" s="15" t="s">
        <v>598</v>
      </c>
      <c r="K2929" s="15" t="s">
        <v>29</v>
      </c>
      <c r="L2929" s="15" t="s">
        <v>1522</v>
      </c>
      <c r="M2929" s="16">
        <v>-2.5</v>
      </c>
      <c r="N2929" s="16">
        <v>0.2</v>
      </c>
      <c r="O2929" s="16">
        <v>0.2</v>
      </c>
      <c r="P2929" s="17">
        <v>45471.0</v>
      </c>
      <c r="Q2929" s="18">
        <v>1.725</v>
      </c>
      <c r="R2929" s="15" t="s">
        <v>25</v>
      </c>
      <c r="S2929" s="19">
        <f t="shared" si="1"/>
        <v>-0.2</v>
      </c>
      <c r="T2929" s="19">
        <f t="shared" si="8"/>
        <v>94.20887909</v>
      </c>
      <c r="U2929" s="144"/>
    </row>
    <row r="2930">
      <c r="A2930" s="107"/>
      <c r="B2930" s="8" t="s">
        <v>1915</v>
      </c>
      <c r="C2930" s="8" t="s">
        <v>19</v>
      </c>
      <c r="D2930" s="8">
        <v>0.0</v>
      </c>
      <c r="E2930" s="8" t="s">
        <v>5399</v>
      </c>
      <c r="F2930" s="8"/>
      <c r="G2930" s="8"/>
      <c r="H2930" s="8"/>
      <c r="I2930" s="8" t="s">
        <v>28</v>
      </c>
      <c r="J2930" s="8" t="s">
        <v>598</v>
      </c>
      <c r="K2930" s="8" t="s">
        <v>29</v>
      </c>
      <c r="L2930" s="8" t="s">
        <v>39</v>
      </c>
      <c r="M2930" s="9">
        <v>-2.75</v>
      </c>
      <c r="N2930" s="9">
        <v>0.25</v>
      </c>
      <c r="O2930" s="9">
        <v>0.25</v>
      </c>
      <c r="P2930" s="10">
        <v>45471.0</v>
      </c>
      <c r="Q2930" s="11">
        <v>1.85</v>
      </c>
      <c r="R2930" s="8" t="s">
        <v>33</v>
      </c>
      <c r="S2930" s="12">
        <f t="shared" si="1"/>
        <v>0.2125</v>
      </c>
      <c r="T2930" s="12">
        <f t="shared" si="8"/>
        <v>94.42137909</v>
      </c>
      <c r="U2930" s="145"/>
    </row>
    <row r="2931">
      <c r="A2931" s="29"/>
      <c r="B2931" s="15" t="s">
        <v>26</v>
      </c>
      <c r="C2931" s="15" t="s">
        <v>19</v>
      </c>
      <c r="D2931" s="15">
        <v>70.0</v>
      </c>
      <c r="E2931" s="15" t="s">
        <v>5400</v>
      </c>
      <c r="F2931" s="15" t="s">
        <v>1473</v>
      </c>
      <c r="G2931" s="15" t="s">
        <v>1477</v>
      </c>
      <c r="H2931" s="15">
        <v>-1.0</v>
      </c>
      <c r="I2931" s="15" t="s">
        <v>2667</v>
      </c>
      <c r="J2931" s="15" t="s">
        <v>22</v>
      </c>
      <c r="K2931" s="15" t="s">
        <v>894</v>
      </c>
      <c r="L2931" s="15" t="s">
        <v>39</v>
      </c>
      <c r="M2931" s="16">
        <v>-0.75</v>
      </c>
      <c r="N2931" s="16">
        <v>0.1</v>
      </c>
      <c r="O2931" s="16">
        <v>0.1</v>
      </c>
      <c r="P2931" s="17">
        <v>45471.0</v>
      </c>
      <c r="Q2931" s="18">
        <v>1.6</v>
      </c>
      <c r="R2931" s="15" t="s">
        <v>25</v>
      </c>
      <c r="S2931" s="19">
        <f t="shared" si="1"/>
        <v>-0.1</v>
      </c>
      <c r="T2931" s="19">
        <f t="shared" si="8"/>
        <v>94.32137909</v>
      </c>
      <c r="U2931" s="144"/>
    </row>
    <row r="2932">
      <c r="A2932" s="107"/>
      <c r="B2932" s="8" t="s">
        <v>26</v>
      </c>
      <c r="C2932" s="8" t="s">
        <v>19</v>
      </c>
      <c r="D2932" s="8">
        <v>49.0</v>
      </c>
      <c r="E2932" s="8" t="s">
        <v>5401</v>
      </c>
      <c r="F2932" s="8" t="s">
        <v>1479</v>
      </c>
      <c r="G2932" s="8" t="s">
        <v>1480</v>
      </c>
      <c r="H2932" s="8">
        <v>0.0</v>
      </c>
      <c r="I2932" s="8" t="s">
        <v>82</v>
      </c>
      <c r="J2932" s="8" t="s">
        <v>22</v>
      </c>
      <c r="K2932" s="8" t="s">
        <v>892</v>
      </c>
      <c r="L2932" s="8" t="s">
        <v>1522</v>
      </c>
      <c r="M2932" s="9">
        <v>0.0</v>
      </c>
      <c r="N2932" s="9">
        <v>0.5</v>
      </c>
      <c r="O2932" s="9">
        <v>0.5</v>
      </c>
      <c r="P2932" s="10">
        <v>45471.0</v>
      </c>
      <c r="Q2932" s="11">
        <v>1.73</v>
      </c>
      <c r="R2932" s="8" t="s">
        <v>33</v>
      </c>
      <c r="S2932" s="12">
        <f t="shared" si="1"/>
        <v>0.365</v>
      </c>
      <c r="T2932" s="12">
        <f t="shared" si="8"/>
        <v>94.68637909</v>
      </c>
      <c r="U2932" s="145"/>
    </row>
    <row r="2933">
      <c r="A2933" s="29"/>
      <c r="B2933" s="15" t="s">
        <v>129</v>
      </c>
      <c r="C2933" s="15" t="s">
        <v>19</v>
      </c>
      <c r="D2933" s="15">
        <v>25.0</v>
      </c>
      <c r="E2933" s="15" t="s">
        <v>5402</v>
      </c>
      <c r="F2933" s="15"/>
      <c r="G2933" s="15"/>
      <c r="H2933" s="15"/>
      <c r="I2933" s="15" t="s">
        <v>463</v>
      </c>
      <c r="J2933" s="15" t="s">
        <v>22</v>
      </c>
      <c r="K2933" s="15" t="s">
        <v>5403</v>
      </c>
      <c r="L2933" s="15" t="s">
        <v>24</v>
      </c>
      <c r="M2933" s="16">
        <v>0.25</v>
      </c>
      <c r="N2933" s="16">
        <v>0.5</v>
      </c>
      <c r="O2933" s="16">
        <v>0.5</v>
      </c>
      <c r="P2933" s="17">
        <v>45472.0</v>
      </c>
      <c r="Q2933" s="18">
        <v>1.825</v>
      </c>
      <c r="R2933" s="15" t="s">
        <v>70</v>
      </c>
      <c r="S2933" s="19">
        <f t="shared" si="1"/>
        <v>0</v>
      </c>
      <c r="T2933" s="19">
        <f t="shared" si="8"/>
        <v>94.68637909</v>
      </c>
      <c r="U2933" s="144"/>
    </row>
    <row r="2934">
      <c r="A2934" s="107"/>
      <c r="B2934" s="8" t="s">
        <v>4225</v>
      </c>
      <c r="C2934" s="8" t="s">
        <v>19</v>
      </c>
      <c r="D2934" s="8">
        <v>0.0</v>
      </c>
      <c r="E2934" s="8" t="s">
        <v>5404</v>
      </c>
      <c r="F2934" s="8"/>
      <c r="G2934" s="8"/>
      <c r="H2934" s="8"/>
      <c r="I2934" s="8" t="s">
        <v>1470</v>
      </c>
      <c r="J2934" s="8" t="s">
        <v>598</v>
      </c>
      <c r="K2934" s="8" t="s">
        <v>29</v>
      </c>
      <c r="L2934" s="8" t="s">
        <v>24</v>
      </c>
      <c r="M2934" s="9">
        <v>-2.0</v>
      </c>
      <c r="N2934" s="9">
        <v>0.5</v>
      </c>
      <c r="O2934" s="9">
        <v>0.5</v>
      </c>
      <c r="P2934" s="10">
        <v>45472.0</v>
      </c>
      <c r="Q2934" s="11">
        <v>1.825</v>
      </c>
      <c r="R2934" s="8" t="s">
        <v>70</v>
      </c>
      <c r="S2934" s="12">
        <f t="shared" si="1"/>
        <v>0</v>
      </c>
      <c r="T2934" s="12">
        <f t="shared" si="8"/>
        <v>94.68637909</v>
      </c>
      <c r="U2934" s="145"/>
    </row>
    <row r="2935">
      <c r="A2935" s="29"/>
      <c r="B2935" s="15" t="s">
        <v>129</v>
      </c>
      <c r="C2935" s="15" t="s">
        <v>19</v>
      </c>
      <c r="D2935" s="15">
        <v>20.0</v>
      </c>
      <c r="E2935" s="15" t="s">
        <v>5405</v>
      </c>
      <c r="F2935" s="15" t="s">
        <v>1473</v>
      </c>
      <c r="G2935" s="15" t="s">
        <v>1480</v>
      </c>
      <c r="H2935" s="15">
        <v>0.0</v>
      </c>
      <c r="I2935" s="15" t="s">
        <v>3476</v>
      </c>
      <c r="J2935" s="15" t="s">
        <v>22</v>
      </c>
      <c r="K2935" s="15" t="s">
        <v>892</v>
      </c>
      <c r="L2935" s="15" t="s">
        <v>24</v>
      </c>
      <c r="M2935" s="16">
        <v>0.0</v>
      </c>
      <c r="N2935" s="16">
        <v>0.5</v>
      </c>
      <c r="O2935" s="16">
        <v>0.5</v>
      </c>
      <c r="P2935" s="17">
        <v>45472.0</v>
      </c>
      <c r="Q2935" s="18">
        <v>1.95</v>
      </c>
      <c r="R2935" s="15" t="s">
        <v>25</v>
      </c>
      <c r="S2935" s="19">
        <f t="shared" si="1"/>
        <v>-0.5</v>
      </c>
      <c r="T2935" s="19">
        <f t="shared" si="8"/>
        <v>94.18637909</v>
      </c>
      <c r="U2935" s="144"/>
    </row>
    <row r="2936">
      <c r="A2936" s="107"/>
      <c r="B2936" s="8" t="s">
        <v>129</v>
      </c>
      <c r="C2936" s="8" t="s">
        <v>40</v>
      </c>
      <c r="D2936" s="8">
        <v>25.0</v>
      </c>
      <c r="E2936" s="8" t="s">
        <v>5406</v>
      </c>
      <c r="F2936" s="8" t="s">
        <v>1473</v>
      </c>
      <c r="G2936" s="8" t="s">
        <v>1480</v>
      </c>
      <c r="H2936" s="8">
        <v>0.0</v>
      </c>
      <c r="I2936" s="8" t="s">
        <v>463</v>
      </c>
      <c r="J2936" s="8" t="s">
        <v>22</v>
      </c>
      <c r="K2936" s="8" t="s">
        <v>892</v>
      </c>
      <c r="L2936" s="8" t="s">
        <v>24</v>
      </c>
      <c r="M2936" s="9">
        <v>0.0</v>
      </c>
      <c r="N2936" s="9">
        <v>0.5</v>
      </c>
      <c r="O2936" s="9">
        <v>0.5</v>
      </c>
      <c r="P2936" s="10">
        <v>45472.0</v>
      </c>
      <c r="Q2936" s="11">
        <v>1.75</v>
      </c>
      <c r="R2936" s="8" t="s">
        <v>70</v>
      </c>
      <c r="S2936" s="12">
        <f t="shared" si="1"/>
        <v>0</v>
      </c>
      <c r="T2936" s="12">
        <f t="shared" si="8"/>
        <v>94.18637909</v>
      </c>
      <c r="U2936" s="145"/>
    </row>
    <row r="2937">
      <c r="A2937" s="29"/>
      <c r="B2937" s="15" t="s">
        <v>129</v>
      </c>
      <c r="C2937" s="15" t="s">
        <v>19</v>
      </c>
      <c r="D2937" s="15">
        <v>70.0</v>
      </c>
      <c r="E2937" s="15" t="s">
        <v>5407</v>
      </c>
      <c r="F2937" s="15" t="s">
        <v>1479</v>
      </c>
      <c r="G2937" s="15" t="s">
        <v>1480</v>
      </c>
      <c r="H2937" s="15">
        <v>1.0</v>
      </c>
      <c r="I2937" s="15" t="s">
        <v>28</v>
      </c>
      <c r="J2937" s="15" t="s">
        <v>22</v>
      </c>
      <c r="K2937" s="15" t="s">
        <v>892</v>
      </c>
      <c r="L2937" s="15" t="s">
        <v>24</v>
      </c>
      <c r="M2937" s="16">
        <v>0.0</v>
      </c>
      <c r="N2937" s="16">
        <v>0.25</v>
      </c>
      <c r="O2937" s="16">
        <v>0.25</v>
      </c>
      <c r="P2937" s="17">
        <v>45472.0</v>
      </c>
      <c r="Q2937" s="18">
        <v>1.625</v>
      </c>
      <c r="R2937" s="15" t="s">
        <v>70</v>
      </c>
      <c r="S2937" s="19">
        <f t="shared" si="1"/>
        <v>0</v>
      </c>
      <c r="T2937" s="19">
        <f t="shared" si="8"/>
        <v>94.18637909</v>
      </c>
      <c r="U2937" s="144"/>
    </row>
    <row r="2938">
      <c r="A2938" s="107"/>
      <c r="B2938" s="8" t="s">
        <v>26</v>
      </c>
      <c r="C2938" s="8" t="s">
        <v>19</v>
      </c>
      <c r="D2938" s="8">
        <v>88.0</v>
      </c>
      <c r="E2938" s="8" t="s">
        <v>5408</v>
      </c>
      <c r="F2938" s="8" t="s">
        <v>1479</v>
      </c>
      <c r="G2938" s="8" t="s">
        <v>1480</v>
      </c>
      <c r="H2938" s="8">
        <v>1.0</v>
      </c>
      <c r="I2938" s="8" t="s">
        <v>28</v>
      </c>
      <c r="J2938" s="8" t="s">
        <v>22</v>
      </c>
      <c r="K2938" s="8" t="s">
        <v>23</v>
      </c>
      <c r="L2938" s="8" t="s">
        <v>24</v>
      </c>
      <c r="M2938" s="9">
        <v>-10.5</v>
      </c>
      <c r="N2938" s="9">
        <v>0.1</v>
      </c>
      <c r="O2938" s="9">
        <v>0.1</v>
      </c>
      <c r="P2938" s="10">
        <v>45472.0</v>
      </c>
      <c r="Q2938" s="11">
        <v>1.7</v>
      </c>
      <c r="R2938" s="8" t="s">
        <v>33</v>
      </c>
      <c r="S2938" s="12">
        <f t="shared" si="1"/>
        <v>0.07</v>
      </c>
      <c r="T2938" s="12">
        <f t="shared" si="8"/>
        <v>94.25637909</v>
      </c>
      <c r="U2938" s="145"/>
    </row>
    <row r="2939">
      <c r="A2939" s="29"/>
      <c r="B2939" s="15" t="s">
        <v>129</v>
      </c>
      <c r="C2939" s="15" t="s">
        <v>19</v>
      </c>
      <c r="D2939" s="15">
        <v>30.0</v>
      </c>
      <c r="E2939" s="15" t="s">
        <v>5409</v>
      </c>
      <c r="F2939" s="15" t="s">
        <v>1479</v>
      </c>
      <c r="G2939" s="15" t="s">
        <v>1480</v>
      </c>
      <c r="H2939" s="15">
        <v>0.0</v>
      </c>
      <c r="I2939" s="15" t="s">
        <v>5410</v>
      </c>
      <c r="J2939" s="15" t="s">
        <v>22</v>
      </c>
      <c r="K2939" s="15" t="s">
        <v>892</v>
      </c>
      <c r="L2939" s="15" t="s">
        <v>39</v>
      </c>
      <c r="M2939" s="16">
        <v>0.0</v>
      </c>
      <c r="N2939" s="16">
        <v>0.05</v>
      </c>
      <c r="O2939" s="16">
        <v>0.05</v>
      </c>
      <c r="P2939" s="17">
        <v>45472.0</v>
      </c>
      <c r="Q2939" s="18">
        <v>1.9</v>
      </c>
      <c r="R2939" s="15" t="s">
        <v>33</v>
      </c>
      <c r="S2939" s="19">
        <f t="shared" si="1"/>
        <v>0.045</v>
      </c>
      <c r="T2939" s="19">
        <f t="shared" si="8"/>
        <v>94.30137909</v>
      </c>
      <c r="U2939" s="144"/>
    </row>
    <row r="2940">
      <c r="A2940" s="107"/>
      <c r="B2940" s="8" t="s">
        <v>1915</v>
      </c>
      <c r="C2940" s="8" t="s">
        <v>19</v>
      </c>
      <c r="D2940" s="8">
        <v>0.0</v>
      </c>
      <c r="E2940" s="8" t="s">
        <v>5411</v>
      </c>
      <c r="F2940" s="8"/>
      <c r="G2940" s="8"/>
      <c r="H2940" s="8"/>
      <c r="I2940" s="8" t="s">
        <v>82</v>
      </c>
      <c r="J2940" s="8" t="s">
        <v>22</v>
      </c>
      <c r="K2940" s="8" t="s">
        <v>29</v>
      </c>
      <c r="L2940" s="8" t="s">
        <v>24</v>
      </c>
      <c r="M2940" s="9">
        <v>-2.25</v>
      </c>
      <c r="N2940" s="9">
        <v>0.5</v>
      </c>
      <c r="O2940" s="9">
        <v>0.5</v>
      </c>
      <c r="P2940" s="10">
        <v>45472.0</v>
      </c>
      <c r="Q2940" s="11">
        <v>1.37</v>
      </c>
      <c r="R2940" s="8" t="s">
        <v>33</v>
      </c>
      <c r="S2940" s="12">
        <f t="shared" si="1"/>
        <v>0.185</v>
      </c>
      <c r="T2940" s="12">
        <f t="shared" si="8"/>
        <v>94.48637909</v>
      </c>
      <c r="U2940" s="145"/>
    </row>
    <row r="2941">
      <c r="A2941" s="29"/>
      <c r="B2941" s="15" t="s">
        <v>1915</v>
      </c>
      <c r="C2941" s="15" t="s">
        <v>19</v>
      </c>
      <c r="D2941" s="15">
        <v>0.0</v>
      </c>
      <c r="E2941" s="15" t="s">
        <v>5412</v>
      </c>
      <c r="F2941" s="15"/>
      <c r="G2941" s="15"/>
      <c r="H2941" s="15"/>
      <c r="I2941" s="15" t="s">
        <v>768</v>
      </c>
      <c r="J2941" s="15" t="s">
        <v>22</v>
      </c>
      <c r="K2941" s="15" t="s">
        <v>29</v>
      </c>
      <c r="L2941" s="15" t="s">
        <v>39</v>
      </c>
      <c r="M2941" s="16">
        <v>-2.5</v>
      </c>
      <c r="N2941" s="16">
        <v>0.25</v>
      </c>
      <c r="O2941" s="16">
        <v>0.25</v>
      </c>
      <c r="P2941" s="55">
        <v>45472.0</v>
      </c>
      <c r="Q2941" s="18">
        <v>1.9</v>
      </c>
      <c r="R2941" s="15" t="s">
        <v>25</v>
      </c>
      <c r="S2941" s="19">
        <f t="shared" si="1"/>
        <v>-0.25</v>
      </c>
      <c r="T2941" s="19">
        <f t="shared" si="8"/>
        <v>94.23637909</v>
      </c>
      <c r="U2941" s="144"/>
    </row>
    <row r="2942">
      <c r="A2942" s="107"/>
      <c r="B2942" s="8" t="s">
        <v>26</v>
      </c>
      <c r="C2942" s="8" t="s">
        <v>19</v>
      </c>
      <c r="D2942" s="8">
        <v>75.0</v>
      </c>
      <c r="E2942" s="8" t="s">
        <v>5413</v>
      </c>
      <c r="F2942" s="8" t="s">
        <v>1479</v>
      </c>
      <c r="G2942" s="8" t="s">
        <v>1480</v>
      </c>
      <c r="H2942" s="8">
        <v>1.0</v>
      </c>
      <c r="I2942" s="8" t="s">
        <v>117</v>
      </c>
      <c r="J2942" s="8" t="s">
        <v>22</v>
      </c>
      <c r="K2942" s="8" t="s">
        <v>892</v>
      </c>
      <c r="L2942" s="8" t="s">
        <v>24</v>
      </c>
      <c r="M2942" s="9">
        <v>0.0</v>
      </c>
      <c r="N2942" s="9">
        <v>0.25</v>
      </c>
      <c r="O2942" s="9">
        <v>0.25</v>
      </c>
      <c r="P2942" s="10">
        <v>45472.0</v>
      </c>
      <c r="Q2942" s="11">
        <v>1.725</v>
      </c>
      <c r="R2942" s="8" t="s">
        <v>70</v>
      </c>
      <c r="S2942" s="12">
        <f t="shared" si="1"/>
        <v>0</v>
      </c>
      <c r="T2942" s="12">
        <f t="shared" si="8"/>
        <v>94.23637909</v>
      </c>
      <c r="U2942" s="145"/>
    </row>
    <row r="2943">
      <c r="A2943" s="29"/>
      <c r="B2943" s="15" t="s">
        <v>131</v>
      </c>
      <c r="C2943" s="15" t="s">
        <v>19</v>
      </c>
      <c r="D2943" s="15">
        <v>25.0</v>
      </c>
      <c r="E2943" s="15" t="s">
        <v>5414</v>
      </c>
      <c r="F2943" s="15" t="s">
        <v>1479</v>
      </c>
      <c r="G2943" s="15" t="s">
        <v>1474</v>
      </c>
      <c r="H2943" s="15">
        <v>0.0</v>
      </c>
      <c r="I2943" s="15" t="s">
        <v>82</v>
      </c>
      <c r="J2943" s="15" t="s">
        <v>22</v>
      </c>
      <c r="K2943" s="15" t="s">
        <v>225</v>
      </c>
      <c r="L2943" s="15" t="s">
        <v>24</v>
      </c>
      <c r="M2943" s="16">
        <v>0.75</v>
      </c>
      <c r="N2943" s="16">
        <v>0.25</v>
      </c>
      <c r="O2943" s="16">
        <v>0.25</v>
      </c>
      <c r="P2943" s="17">
        <v>45472.0</v>
      </c>
      <c r="Q2943" s="18">
        <v>1.85</v>
      </c>
      <c r="R2943" s="15" t="s">
        <v>79</v>
      </c>
      <c r="S2943" s="19">
        <f t="shared" si="1"/>
        <v>-0.125</v>
      </c>
      <c r="T2943" s="19">
        <f t="shared" si="8"/>
        <v>94.11137909</v>
      </c>
      <c r="U2943" s="144"/>
    </row>
    <row r="2944">
      <c r="A2944" s="107"/>
      <c r="B2944" s="8" t="s">
        <v>137</v>
      </c>
      <c r="C2944" s="8" t="s">
        <v>19</v>
      </c>
      <c r="D2944" s="8">
        <v>0.0</v>
      </c>
      <c r="E2944" s="8" t="s">
        <v>5415</v>
      </c>
      <c r="F2944" s="8"/>
      <c r="G2944" s="8"/>
      <c r="H2944" s="8"/>
      <c r="I2944" s="8" t="s">
        <v>82</v>
      </c>
      <c r="J2944" s="8" t="s">
        <v>598</v>
      </c>
      <c r="K2944" s="8" t="s">
        <v>2415</v>
      </c>
      <c r="L2944" s="8" t="s">
        <v>39</v>
      </c>
      <c r="M2944" s="9">
        <v>10.0</v>
      </c>
      <c r="N2944" s="9">
        <v>0.1</v>
      </c>
      <c r="O2944" s="9">
        <v>0.1</v>
      </c>
      <c r="P2944" s="10">
        <v>45472.0</v>
      </c>
      <c r="Q2944" s="11">
        <v>1.95</v>
      </c>
      <c r="R2944" s="8" t="s">
        <v>33</v>
      </c>
      <c r="S2944" s="12">
        <f t="shared" si="1"/>
        <v>0.095</v>
      </c>
      <c r="T2944" s="12">
        <f t="shared" si="8"/>
        <v>94.20637909</v>
      </c>
      <c r="U2944" s="145"/>
    </row>
    <row r="2945">
      <c r="A2945" s="29"/>
      <c r="B2945" s="15" t="s">
        <v>18</v>
      </c>
      <c r="C2945" s="15" t="s">
        <v>19</v>
      </c>
      <c r="D2945" s="15">
        <v>10.0</v>
      </c>
      <c r="E2945" s="15" t="s">
        <v>5416</v>
      </c>
      <c r="F2945" s="15"/>
      <c r="G2945" s="15"/>
      <c r="H2945" s="15"/>
      <c r="I2945" s="15" t="s">
        <v>1470</v>
      </c>
      <c r="J2945" s="15" t="s">
        <v>22</v>
      </c>
      <c r="K2945" s="15" t="s">
        <v>440</v>
      </c>
      <c r="L2945" s="15" t="s">
        <v>24</v>
      </c>
      <c r="M2945" s="16">
        <v>1.75</v>
      </c>
      <c r="N2945" s="16">
        <v>0.25</v>
      </c>
      <c r="O2945" s="16">
        <v>0.25</v>
      </c>
      <c r="P2945" s="17">
        <v>45473.0</v>
      </c>
      <c r="Q2945" s="18">
        <v>1.775</v>
      </c>
      <c r="R2945" s="15" t="s">
        <v>30</v>
      </c>
      <c r="S2945" s="19">
        <f t="shared" si="1"/>
        <v>0.096875</v>
      </c>
      <c r="T2945" s="19">
        <f t="shared" si="8"/>
        <v>94.30325409</v>
      </c>
      <c r="U2945" s="144"/>
    </row>
    <row r="2946">
      <c r="A2946" s="107"/>
      <c r="B2946" s="8" t="s">
        <v>131</v>
      </c>
      <c r="C2946" s="8" t="s">
        <v>19</v>
      </c>
      <c r="D2946" s="8">
        <v>32.0</v>
      </c>
      <c r="E2946" s="8" t="s">
        <v>5417</v>
      </c>
      <c r="F2946" s="8" t="s">
        <v>1473</v>
      </c>
      <c r="G2946" s="8" t="s">
        <v>1477</v>
      </c>
      <c r="H2946" s="8">
        <v>1.0</v>
      </c>
      <c r="I2946" s="8" t="s">
        <v>82</v>
      </c>
      <c r="J2946" s="8" t="s">
        <v>22</v>
      </c>
      <c r="K2946" s="8" t="s">
        <v>894</v>
      </c>
      <c r="L2946" s="8" t="s">
        <v>1522</v>
      </c>
      <c r="M2946" s="9">
        <v>-0.75</v>
      </c>
      <c r="N2946" s="9">
        <v>0.5</v>
      </c>
      <c r="O2946" s="9">
        <v>0.5</v>
      </c>
      <c r="P2946" s="10">
        <v>45473.0</v>
      </c>
      <c r="Q2946" s="11">
        <v>1.8</v>
      </c>
      <c r="R2946" s="8" t="s">
        <v>30</v>
      </c>
      <c r="S2946" s="12">
        <f t="shared" si="1"/>
        <v>0.2</v>
      </c>
      <c r="T2946" s="12">
        <f t="shared" si="8"/>
        <v>94.50325409</v>
      </c>
      <c r="U2946" s="145"/>
    </row>
    <row r="2947">
      <c r="A2947" s="29"/>
      <c r="B2947" s="15" t="s">
        <v>129</v>
      </c>
      <c r="C2947" s="15" t="s">
        <v>19</v>
      </c>
      <c r="D2947" s="15">
        <v>45.0</v>
      </c>
      <c r="E2947" s="15" t="s">
        <v>5418</v>
      </c>
      <c r="F2947" s="15" t="s">
        <v>1473</v>
      </c>
      <c r="G2947" s="15" t="s">
        <v>1474</v>
      </c>
      <c r="H2947" s="15">
        <v>-1.0</v>
      </c>
      <c r="I2947" s="15" t="s">
        <v>1470</v>
      </c>
      <c r="J2947" s="15" t="s">
        <v>22</v>
      </c>
      <c r="K2947" s="15" t="s">
        <v>225</v>
      </c>
      <c r="L2947" s="15" t="s">
        <v>24</v>
      </c>
      <c r="M2947" s="16">
        <v>0.5</v>
      </c>
      <c r="N2947" s="16">
        <v>0.5</v>
      </c>
      <c r="O2947" s="16">
        <v>0.44</v>
      </c>
      <c r="P2947" s="17">
        <v>45473.0</v>
      </c>
      <c r="Q2947" s="18">
        <v>1.09</v>
      </c>
      <c r="R2947" s="15" t="s">
        <v>33</v>
      </c>
      <c r="S2947" s="19">
        <f t="shared" si="1"/>
        <v>0.0396</v>
      </c>
      <c r="T2947" s="19">
        <f t="shared" si="8"/>
        <v>94.54285409</v>
      </c>
      <c r="U2947" s="144"/>
    </row>
    <row r="2948">
      <c r="A2948" s="107"/>
      <c r="B2948" s="8" t="s">
        <v>129</v>
      </c>
      <c r="C2948" s="114" t="s">
        <v>19</v>
      </c>
      <c r="D2948" s="114">
        <v>60.0</v>
      </c>
      <c r="E2948" s="8" t="s">
        <v>5419</v>
      </c>
      <c r="F2948" s="8" t="s">
        <v>1479</v>
      </c>
      <c r="G2948" s="8" t="s">
        <v>1480</v>
      </c>
      <c r="H2948" s="8">
        <v>-1.0</v>
      </c>
      <c r="I2948" s="8" t="s">
        <v>174</v>
      </c>
      <c r="J2948" s="8" t="s">
        <v>22</v>
      </c>
      <c r="K2948" s="8" t="s">
        <v>892</v>
      </c>
      <c r="L2948" s="8"/>
      <c r="M2948" s="9">
        <v>0.0</v>
      </c>
      <c r="N2948" s="9">
        <v>0.2</v>
      </c>
      <c r="O2948" s="9">
        <v>0.2</v>
      </c>
      <c r="P2948" s="10">
        <v>45473.0</v>
      </c>
      <c r="Q2948" s="11">
        <v>1.75</v>
      </c>
      <c r="R2948" s="8" t="s">
        <v>33</v>
      </c>
      <c r="S2948" s="12">
        <f t="shared" si="1"/>
        <v>0.15</v>
      </c>
      <c r="T2948" s="12">
        <f t="shared" si="8"/>
        <v>94.69285409</v>
      </c>
      <c r="U2948" s="145"/>
    </row>
    <row r="2949">
      <c r="A2949" s="29"/>
      <c r="B2949" s="15" t="s">
        <v>26</v>
      </c>
      <c r="C2949" s="15" t="s">
        <v>19</v>
      </c>
      <c r="D2949" s="15">
        <v>75.0</v>
      </c>
      <c r="E2949" s="15" t="s">
        <v>5420</v>
      </c>
      <c r="F2949" s="15" t="s">
        <v>1479</v>
      </c>
      <c r="G2949" s="15" t="s">
        <v>1480</v>
      </c>
      <c r="H2949" s="15">
        <v>-1.0</v>
      </c>
      <c r="I2949" s="15" t="s">
        <v>5421</v>
      </c>
      <c r="J2949" s="15" t="s">
        <v>22</v>
      </c>
      <c r="K2949" s="15" t="s">
        <v>892</v>
      </c>
      <c r="L2949" s="15" t="s">
        <v>24</v>
      </c>
      <c r="M2949" s="16">
        <v>0.0</v>
      </c>
      <c r="N2949" s="16">
        <v>0.5</v>
      </c>
      <c r="O2949" s="16">
        <v>0.5</v>
      </c>
      <c r="P2949" s="17">
        <v>45475.0</v>
      </c>
      <c r="Q2949" s="18">
        <v>1.675</v>
      </c>
      <c r="R2949" s="15" t="s">
        <v>33</v>
      </c>
      <c r="S2949" s="19">
        <f t="shared" si="1"/>
        <v>0.3375</v>
      </c>
      <c r="T2949" s="19">
        <f t="shared" si="8"/>
        <v>95.03035409</v>
      </c>
      <c r="U2949" s="144"/>
    </row>
    <row r="2950">
      <c r="A2950" s="107"/>
      <c r="B2950" s="8" t="s">
        <v>129</v>
      </c>
      <c r="C2950" s="8" t="s">
        <v>19</v>
      </c>
      <c r="D2950" s="8">
        <v>60.0</v>
      </c>
      <c r="E2950" s="8" t="s">
        <v>5422</v>
      </c>
      <c r="F2950" s="8" t="s">
        <v>1473</v>
      </c>
      <c r="G2950" s="8" t="s">
        <v>1480</v>
      </c>
      <c r="H2950" s="8">
        <v>-1.0</v>
      </c>
      <c r="I2950" s="8" t="s">
        <v>1003</v>
      </c>
      <c r="J2950" s="8" t="s">
        <v>22</v>
      </c>
      <c r="K2950" s="8" t="s">
        <v>892</v>
      </c>
      <c r="L2950" s="8" t="s">
        <v>1522</v>
      </c>
      <c r="M2950" s="9">
        <v>0.0</v>
      </c>
      <c r="N2950" s="9">
        <v>0.25</v>
      </c>
      <c r="O2950" s="9">
        <v>0.25</v>
      </c>
      <c r="P2950" s="10">
        <v>45475.0</v>
      </c>
      <c r="Q2950" s="11">
        <v>1.975</v>
      </c>
      <c r="R2950" s="8" t="s">
        <v>33</v>
      </c>
      <c r="S2950" s="12">
        <f t="shared" si="1"/>
        <v>0.24375</v>
      </c>
      <c r="T2950" s="12">
        <f t="shared" si="8"/>
        <v>95.27410409</v>
      </c>
      <c r="U2950" s="145"/>
    </row>
    <row r="2951">
      <c r="A2951" s="29"/>
      <c r="B2951" s="15" t="s">
        <v>18</v>
      </c>
      <c r="C2951" s="15" t="s">
        <v>19</v>
      </c>
      <c r="D2951" s="15">
        <v>0.0</v>
      </c>
      <c r="E2951" s="15" t="s">
        <v>5423</v>
      </c>
      <c r="F2951" s="15" t="s">
        <v>1473</v>
      </c>
      <c r="G2951" s="15" t="s">
        <v>1474</v>
      </c>
      <c r="H2951" s="15">
        <v>0.0</v>
      </c>
      <c r="I2951" s="15" t="s">
        <v>117</v>
      </c>
      <c r="J2951" s="15" t="s">
        <v>598</v>
      </c>
      <c r="K2951" s="15" t="s">
        <v>1847</v>
      </c>
      <c r="L2951" s="15" t="s">
        <v>24</v>
      </c>
      <c r="M2951" s="16">
        <v>-0.5</v>
      </c>
      <c r="N2951" s="16">
        <v>0.25</v>
      </c>
      <c r="O2951" s="16">
        <v>0.24</v>
      </c>
      <c r="P2951" s="17">
        <v>45476.0</v>
      </c>
      <c r="Q2951" s="18">
        <v>1.675</v>
      </c>
      <c r="R2951" s="15" t="s">
        <v>25</v>
      </c>
      <c r="S2951" s="19">
        <f t="shared" si="1"/>
        <v>-0.24</v>
      </c>
      <c r="T2951" s="19">
        <f t="shared" si="8"/>
        <v>95.03410409</v>
      </c>
      <c r="U2951" s="144"/>
    </row>
    <row r="2952">
      <c r="A2952" s="107"/>
      <c r="B2952" s="8" t="s">
        <v>4225</v>
      </c>
      <c r="C2952" s="8" t="s">
        <v>40</v>
      </c>
      <c r="D2952" s="8">
        <v>75.0</v>
      </c>
      <c r="E2952" s="8" t="s">
        <v>5424</v>
      </c>
      <c r="F2952" s="8" t="s">
        <v>1479</v>
      </c>
      <c r="G2952" s="8" t="s">
        <v>1480</v>
      </c>
      <c r="H2952" s="8">
        <v>0.0</v>
      </c>
      <c r="I2952" s="8" t="s">
        <v>218</v>
      </c>
      <c r="J2952" s="8" t="s">
        <v>22</v>
      </c>
      <c r="K2952" s="8" t="s">
        <v>892</v>
      </c>
      <c r="L2952" s="8" t="s">
        <v>24</v>
      </c>
      <c r="M2952" s="9">
        <v>0.0</v>
      </c>
      <c r="N2952" s="9">
        <v>0.5</v>
      </c>
      <c r="O2952" s="9">
        <v>0.49</v>
      </c>
      <c r="P2952" s="10">
        <v>45476.0</v>
      </c>
      <c r="Q2952" s="11">
        <v>1.85</v>
      </c>
      <c r="R2952" s="8" t="s">
        <v>70</v>
      </c>
      <c r="S2952" s="12">
        <f t="shared" si="1"/>
        <v>0</v>
      </c>
      <c r="T2952" s="12">
        <f t="shared" si="8"/>
        <v>95.03410409</v>
      </c>
      <c r="U2952" s="145"/>
    </row>
    <row r="2953">
      <c r="A2953" s="29"/>
      <c r="B2953" s="15" t="s">
        <v>4225</v>
      </c>
      <c r="C2953" s="15" t="s">
        <v>19</v>
      </c>
      <c r="D2953" s="15">
        <v>0.0</v>
      </c>
      <c r="E2953" s="15" t="s">
        <v>5425</v>
      </c>
      <c r="F2953" s="15"/>
      <c r="G2953" s="15"/>
      <c r="H2953" s="15"/>
      <c r="I2953" s="15" t="s">
        <v>463</v>
      </c>
      <c r="J2953" s="15" t="s">
        <v>598</v>
      </c>
      <c r="K2953" s="15" t="s">
        <v>2415</v>
      </c>
      <c r="L2953" s="15" t="s">
        <v>39</v>
      </c>
      <c r="M2953" s="16">
        <v>10.0</v>
      </c>
      <c r="N2953" s="16">
        <v>0.25</v>
      </c>
      <c r="O2953" s="16">
        <v>0.25</v>
      </c>
      <c r="P2953" s="17">
        <v>45476.0</v>
      </c>
      <c r="Q2953" s="18">
        <v>1.975</v>
      </c>
      <c r="R2953" s="15" t="s">
        <v>25</v>
      </c>
      <c r="S2953" s="19">
        <f t="shared" si="1"/>
        <v>-0.25</v>
      </c>
      <c r="T2953" s="19">
        <f t="shared" si="8"/>
        <v>94.78410409</v>
      </c>
      <c r="U2953" s="144"/>
    </row>
    <row r="2954">
      <c r="A2954" s="107"/>
      <c r="B2954" s="8" t="s">
        <v>129</v>
      </c>
      <c r="C2954" s="8" t="s">
        <v>19</v>
      </c>
      <c r="D2954" s="8">
        <v>70.0</v>
      </c>
      <c r="E2954" s="8" t="s">
        <v>5426</v>
      </c>
      <c r="F2954" s="8" t="s">
        <v>1473</v>
      </c>
      <c r="G2954" s="8" t="s">
        <v>1480</v>
      </c>
      <c r="H2954" s="8">
        <v>-1.0</v>
      </c>
      <c r="I2954" s="8" t="s">
        <v>768</v>
      </c>
      <c r="J2954" s="8" t="s">
        <v>22</v>
      </c>
      <c r="K2954" s="8" t="s">
        <v>892</v>
      </c>
      <c r="L2954" s="8" t="s">
        <v>1522</v>
      </c>
      <c r="M2954" s="9">
        <v>0.0</v>
      </c>
      <c r="N2954" s="9">
        <v>1.0</v>
      </c>
      <c r="O2954" s="9">
        <v>0.45</v>
      </c>
      <c r="P2954" s="10">
        <v>45476.0</v>
      </c>
      <c r="Q2954" s="11">
        <v>2.05</v>
      </c>
      <c r="R2954" s="8" t="s">
        <v>25</v>
      </c>
      <c r="S2954" s="12">
        <f t="shared" si="1"/>
        <v>-0.45</v>
      </c>
      <c r="T2954" s="12">
        <f t="shared" si="8"/>
        <v>94.33410409</v>
      </c>
      <c r="U2954" s="145"/>
    </row>
    <row r="2955">
      <c r="A2955" s="29"/>
      <c r="B2955" s="15" t="s">
        <v>4225</v>
      </c>
      <c r="C2955" s="15" t="s">
        <v>40</v>
      </c>
      <c r="D2955" s="15">
        <v>0.0</v>
      </c>
      <c r="E2955" s="15" t="s">
        <v>5427</v>
      </c>
      <c r="F2955" s="15"/>
      <c r="G2955" s="15"/>
      <c r="H2955" s="15"/>
      <c r="I2955" s="15" t="s">
        <v>193</v>
      </c>
      <c r="J2955" s="15" t="s">
        <v>598</v>
      </c>
      <c r="K2955" s="15" t="s">
        <v>29</v>
      </c>
      <c r="L2955" s="15" t="s">
        <v>24</v>
      </c>
      <c r="M2955" s="16">
        <v>-2.75</v>
      </c>
      <c r="N2955" s="16">
        <v>0.5</v>
      </c>
      <c r="O2955" s="16">
        <v>0.5</v>
      </c>
      <c r="P2955" s="17">
        <v>45477.0</v>
      </c>
      <c r="Q2955" s="18">
        <v>1.9</v>
      </c>
      <c r="R2955" s="15" t="s">
        <v>33</v>
      </c>
      <c r="S2955" s="19">
        <f t="shared" si="1"/>
        <v>0.45</v>
      </c>
      <c r="T2955" s="19">
        <f t="shared" si="8"/>
        <v>94.78410409</v>
      </c>
      <c r="U2955" s="144"/>
    </row>
    <row r="2956">
      <c r="A2956" s="107"/>
      <c r="B2956" s="8" t="s">
        <v>4225</v>
      </c>
      <c r="C2956" s="8" t="s">
        <v>19</v>
      </c>
      <c r="D2956" s="8">
        <v>0.0</v>
      </c>
      <c r="E2956" s="8" t="s">
        <v>5428</v>
      </c>
      <c r="F2956" s="8"/>
      <c r="G2956" s="8"/>
      <c r="H2956" s="8"/>
      <c r="I2956" s="8" t="s">
        <v>82</v>
      </c>
      <c r="J2956" s="8" t="s">
        <v>598</v>
      </c>
      <c r="K2956" s="8" t="s">
        <v>440</v>
      </c>
      <c r="L2956" s="8" t="s">
        <v>39</v>
      </c>
      <c r="M2956" s="9">
        <v>2.0</v>
      </c>
      <c r="N2956" s="9">
        <v>0.25</v>
      </c>
      <c r="O2956" s="9">
        <v>0.25</v>
      </c>
      <c r="P2956" s="10">
        <v>45477.0</v>
      </c>
      <c r="Q2956" s="11">
        <v>1.775</v>
      </c>
      <c r="R2956" s="8" t="s">
        <v>25</v>
      </c>
      <c r="S2956" s="12">
        <f t="shared" si="1"/>
        <v>-0.25</v>
      </c>
      <c r="T2956" s="12">
        <f t="shared" si="8"/>
        <v>94.53410409</v>
      </c>
      <c r="U2956" s="145"/>
    </row>
    <row r="2957">
      <c r="A2957" s="29"/>
      <c r="B2957" s="15" t="s">
        <v>26</v>
      </c>
      <c r="C2957" s="15" t="s">
        <v>19</v>
      </c>
      <c r="D2957" s="15">
        <v>41.0</v>
      </c>
      <c r="E2957" s="15" t="s">
        <v>5429</v>
      </c>
      <c r="F2957" s="15" t="s">
        <v>1479</v>
      </c>
      <c r="G2957" s="15" t="s">
        <v>1480</v>
      </c>
      <c r="H2957" s="15">
        <v>0.0</v>
      </c>
      <c r="I2957" s="15" t="s">
        <v>78</v>
      </c>
      <c r="J2957" s="15" t="s">
        <v>22</v>
      </c>
      <c r="K2957" s="15" t="s">
        <v>892</v>
      </c>
      <c r="L2957" s="15" t="s">
        <v>39</v>
      </c>
      <c r="M2957" s="16">
        <v>0.0</v>
      </c>
      <c r="N2957" s="16">
        <v>0.5</v>
      </c>
      <c r="O2957" s="16">
        <v>0.5</v>
      </c>
      <c r="P2957" s="17">
        <v>45477.0</v>
      </c>
      <c r="Q2957" s="18">
        <v>1.8</v>
      </c>
      <c r="R2957" s="15" t="s">
        <v>33</v>
      </c>
      <c r="S2957" s="19">
        <f t="shared" si="1"/>
        <v>0.4</v>
      </c>
      <c r="T2957" s="19">
        <f t="shared" si="8"/>
        <v>94.93410409</v>
      </c>
      <c r="U2957" s="144"/>
    </row>
    <row r="2958">
      <c r="A2958" s="107"/>
      <c r="B2958" s="8" t="s">
        <v>4225</v>
      </c>
      <c r="C2958" s="8" t="s">
        <v>19</v>
      </c>
      <c r="D2958" s="8">
        <v>70.0</v>
      </c>
      <c r="E2958" s="8" t="s">
        <v>5430</v>
      </c>
      <c r="F2958" s="8" t="s">
        <v>1479</v>
      </c>
      <c r="G2958" s="8" t="s">
        <v>1477</v>
      </c>
      <c r="H2958" s="8">
        <v>0.0</v>
      </c>
      <c r="I2958" s="8" t="s">
        <v>82</v>
      </c>
      <c r="J2958" s="8" t="s">
        <v>22</v>
      </c>
      <c r="K2958" s="8" t="s">
        <v>894</v>
      </c>
      <c r="L2958" s="8" t="s">
        <v>39</v>
      </c>
      <c r="M2958" s="9">
        <v>-0.75</v>
      </c>
      <c r="N2958" s="9">
        <v>0.1</v>
      </c>
      <c r="O2958" s="9">
        <v>0.1</v>
      </c>
      <c r="P2958" s="10">
        <v>45477.0</v>
      </c>
      <c r="Q2958" s="11">
        <v>1.825</v>
      </c>
      <c r="R2958" s="8" t="s">
        <v>30</v>
      </c>
      <c r="S2958" s="12">
        <f t="shared" si="1"/>
        <v>0.04125</v>
      </c>
      <c r="T2958" s="12">
        <f t="shared" si="8"/>
        <v>94.97535409</v>
      </c>
      <c r="U2958" s="145"/>
    </row>
    <row r="2959">
      <c r="A2959" s="29"/>
      <c r="B2959" s="15" t="s">
        <v>18</v>
      </c>
      <c r="C2959" s="15" t="s">
        <v>19</v>
      </c>
      <c r="D2959" s="15">
        <v>66.0</v>
      </c>
      <c r="E2959" s="15" t="s">
        <v>5431</v>
      </c>
      <c r="F2959" s="15" t="s">
        <v>1479</v>
      </c>
      <c r="G2959" s="15" t="s">
        <v>1477</v>
      </c>
      <c r="H2959" s="15">
        <v>-1.0</v>
      </c>
      <c r="I2959" s="15" t="s">
        <v>28</v>
      </c>
      <c r="J2959" s="15" t="s">
        <v>22</v>
      </c>
      <c r="K2959" s="15" t="s">
        <v>894</v>
      </c>
      <c r="L2959" s="15" t="s">
        <v>39</v>
      </c>
      <c r="M2959" s="16">
        <v>-0.5</v>
      </c>
      <c r="N2959" s="16">
        <v>0.1</v>
      </c>
      <c r="O2959" s="16">
        <v>0.1</v>
      </c>
      <c r="P2959" s="17">
        <v>45478.0</v>
      </c>
      <c r="Q2959" s="18">
        <v>1.875</v>
      </c>
      <c r="R2959" s="15" t="s">
        <v>25</v>
      </c>
      <c r="S2959" s="19">
        <f t="shared" si="1"/>
        <v>-0.1</v>
      </c>
      <c r="T2959" s="19">
        <f t="shared" si="8"/>
        <v>94.87535409</v>
      </c>
      <c r="U2959" s="144"/>
    </row>
    <row r="2960">
      <c r="A2960" s="107"/>
      <c r="B2960" s="8" t="s">
        <v>4225</v>
      </c>
      <c r="C2960" s="8" t="s">
        <v>19</v>
      </c>
      <c r="D2960" s="8">
        <v>0.0</v>
      </c>
      <c r="E2960" s="8" t="s">
        <v>5432</v>
      </c>
      <c r="F2960" s="8"/>
      <c r="G2960" s="8"/>
      <c r="H2960" s="8"/>
      <c r="I2960" s="8" t="s">
        <v>513</v>
      </c>
      <c r="J2960" s="8" t="s">
        <v>22</v>
      </c>
      <c r="K2960" s="8" t="s">
        <v>2415</v>
      </c>
      <c r="L2960" s="8" t="s">
        <v>39</v>
      </c>
      <c r="M2960" s="9">
        <v>10.5</v>
      </c>
      <c r="N2960" s="9">
        <v>0.1</v>
      </c>
      <c r="O2960" s="9">
        <v>0.1</v>
      </c>
      <c r="P2960" s="10">
        <v>45478.0</v>
      </c>
      <c r="Q2960" s="11">
        <v>1.825</v>
      </c>
      <c r="R2960" s="8" t="s">
        <v>33</v>
      </c>
      <c r="S2960" s="12">
        <f t="shared" si="1"/>
        <v>0.0825</v>
      </c>
      <c r="T2960" s="12">
        <f t="shared" si="8"/>
        <v>94.95785409</v>
      </c>
      <c r="U2960" s="145"/>
    </row>
    <row r="2961">
      <c r="A2961" s="29"/>
      <c r="B2961" s="15" t="s">
        <v>26</v>
      </c>
      <c r="C2961" s="15" t="s">
        <v>19</v>
      </c>
      <c r="D2961" s="15">
        <v>65.0</v>
      </c>
      <c r="E2961" s="15" t="s">
        <v>5433</v>
      </c>
      <c r="F2961" s="15" t="s">
        <v>1473</v>
      </c>
      <c r="G2961" s="15" t="s">
        <v>1480</v>
      </c>
      <c r="H2961" s="15">
        <v>-2.0</v>
      </c>
      <c r="I2961" s="15" t="s">
        <v>28</v>
      </c>
      <c r="J2961" s="15" t="s">
        <v>22</v>
      </c>
      <c r="K2961" s="15" t="s">
        <v>892</v>
      </c>
      <c r="L2961" s="15" t="s">
        <v>1851</v>
      </c>
      <c r="M2961" s="16">
        <v>0.0</v>
      </c>
      <c r="N2961" s="16">
        <v>0.2</v>
      </c>
      <c r="O2961" s="16">
        <v>0.2</v>
      </c>
      <c r="P2961" s="17">
        <v>45478.0</v>
      </c>
      <c r="Q2961" s="18">
        <v>1.95</v>
      </c>
      <c r="R2961" s="15" t="s">
        <v>33</v>
      </c>
      <c r="S2961" s="19">
        <f t="shared" si="1"/>
        <v>0.19</v>
      </c>
      <c r="T2961" s="19">
        <f t="shared" si="8"/>
        <v>95.14785409</v>
      </c>
      <c r="U2961" s="144"/>
    </row>
    <row r="2962">
      <c r="A2962" s="107"/>
      <c r="B2962" s="8" t="s">
        <v>26</v>
      </c>
      <c r="C2962" s="8" t="s">
        <v>19</v>
      </c>
      <c r="D2962" s="8">
        <v>61.0</v>
      </c>
      <c r="E2962" s="8" t="s">
        <v>5434</v>
      </c>
      <c r="F2962" s="8"/>
      <c r="G2962" s="8"/>
      <c r="H2962" s="8"/>
      <c r="I2962" s="8" t="s">
        <v>794</v>
      </c>
      <c r="J2962" s="8" t="s">
        <v>22</v>
      </c>
      <c r="K2962" s="8" t="s">
        <v>440</v>
      </c>
      <c r="L2962" s="8" t="s">
        <v>1803</v>
      </c>
      <c r="M2962" s="9">
        <v>0.75</v>
      </c>
      <c r="N2962" s="9">
        <v>0.25</v>
      </c>
      <c r="O2962" s="9">
        <v>0.25</v>
      </c>
      <c r="P2962" s="10">
        <v>45478.0</v>
      </c>
      <c r="Q2962" s="11">
        <v>2.0</v>
      </c>
      <c r="R2962" s="8" t="s">
        <v>30</v>
      </c>
      <c r="S2962" s="12">
        <f t="shared" si="1"/>
        <v>0.125</v>
      </c>
      <c r="T2962" s="12">
        <f t="shared" si="8"/>
        <v>95.27285409</v>
      </c>
      <c r="U2962" s="145"/>
    </row>
    <row r="2963">
      <c r="A2963" s="29"/>
      <c r="B2963" s="15" t="s">
        <v>4225</v>
      </c>
      <c r="C2963" s="15" t="s">
        <v>19</v>
      </c>
      <c r="D2963" s="15">
        <v>70.0</v>
      </c>
      <c r="E2963" s="15" t="s">
        <v>5435</v>
      </c>
      <c r="F2963" s="15" t="s">
        <v>1473</v>
      </c>
      <c r="G2963" s="15" t="s">
        <v>1477</v>
      </c>
      <c r="H2963" s="15">
        <v>0.0</v>
      </c>
      <c r="I2963" s="15" t="s">
        <v>174</v>
      </c>
      <c r="J2963" s="15" t="s">
        <v>22</v>
      </c>
      <c r="K2963" s="15" t="s">
        <v>894</v>
      </c>
      <c r="L2963" s="15" t="s">
        <v>39</v>
      </c>
      <c r="M2963" s="16">
        <v>-0.25</v>
      </c>
      <c r="N2963" s="16">
        <v>0.1</v>
      </c>
      <c r="O2963" s="16">
        <v>0.1</v>
      </c>
      <c r="P2963" s="17">
        <v>45478.0</v>
      </c>
      <c r="Q2963" s="18">
        <v>2.02</v>
      </c>
      <c r="R2963" s="15" t="s">
        <v>79</v>
      </c>
      <c r="S2963" s="19">
        <f t="shared" si="1"/>
        <v>-0.05</v>
      </c>
      <c r="T2963" s="19">
        <f t="shared" si="8"/>
        <v>95.22285409</v>
      </c>
      <c r="U2963" s="144"/>
    </row>
    <row r="2964">
      <c r="A2964" s="107"/>
      <c r="B2964" s="8" t="s">
        <v>137</v>
      </c>
      <c r="C2964" s="8" t="s">
        <v>19</v>
      </c>
      <c r="D2964" s="8">
        <v>75.0</v>
      </c>
      <c r="E2964" s="8" t="s">
        <v>5436</v>
      </c>
      <c r="F2964" s="8" t="s">
        <v>1473</v>
      </c>
      <c r="G2964" s="8" t="s">
        <v>1480</v>
      </c>
      <c r="H2964" s="8">
        <v>-1.0</v>
      </c>
      <c r="I2964" s="8" t="s">
        <v>463</v>
      </c>
      <c r="J2964" s="8" t="s">
        <v>22</v>
      </c>
      <c r="K2964" s="8" t="s">
        <v>892</v>
      </c>
      <c r="L2964" s="8" t="s">
        <v>1803</v>
      </c>
      <c r="M2964" s="9">
        <v>0.0</v>
      </c>
      <c r="N2964" s="9">
        <v>0.75</v>
      </c>
      <c r="O2964" s="9">
        <v>0.75</v>
      </c>
      <c r="P2964" s="10">
        <v>45478.0</v>
      </c>
      <c r="Q2964" s="11">
        <v>1.675</v>
      </c>
      <c r="R2964" s="8" t="s">
        <v>33</v>
      </c>
      <c r="S2964" s="12">
        <f t="shared" si="1"/>
        <v>0.50625</v>
      </c>
      <c r="T2964" s="12">
        <f t="shared" si="8"/>
        <v>95.72910409</v>
      </c>
      <c r="U2964" s="145"/>
    </row>
    <row r="2965">
      <c r="A2965" s="29"/>
      <c r="B2965" s="15" t="s">
        <v>129</v>
      </c>
      <c r="C2965" s="15" t="s">
        <v>40</v>
      </c>
      <c r="D2965" s="15">
        <v>59.0</v>
      </c>
      <c r="E2965" s="15" t="s">
        <v>5437</v>
      </c>
      <c r="F2965" s="15" t="s">
        <v>1473</v>
      </c>
      <c r="G2965" s="15" t="s">
        <v>1474</v>
      </c>
      <c r="H2965" s="15">
        <v>1.0</v>
      </c>
      <c r="I2965" s="15" t="s">
        <v>513</v>
      </c>
      <c r="J2965" s="15" t="s">
        <v>22</v>
      </c>
      <c r="K2965" s="15" t="s">
        <v>1847</v>
      </c>
      <c r="L2965" s="15" t="s">
        <v>24</v>
      </c>
      <c r="M2965" s="16">
        <v>-0.5</v>
      </c>
      <c r="N2965" s="16">
        <v>0.25</v>
      </c>
      <c r="O2965" s="16">
        <v>0.15</v>
      </c>
      <c r="P2965" s="17">
        <v>45479.0</v>
      </c>
      <c r="Q2965" s="18">
        <v>1.727</v>
      </c>
      <c r="R2965" s="15" t="s">
        <v>33</v>
      </c>
      <c r="S2965" s="19">
        <f t="shared" si="1"/>
        <v>0.10905</v>
      </c>
      <c r="T2965" s="19">
        <f t="shared" si="8"/>
        <v>95.83815409</v>
      </c>
      <c r="U2965" s="144"/>
    </row>
    <row r="2966">
      <c r="A2966" s="107"/>
      <c r="B2966" s="8" t="s">
        <v>26</v>
      </c>
      <c r="C2966" s="8" t="s">
        <v>19</v>
      </c>
      <c r="D2966" s="8">
        <v>62.0</v>
      </c>
      <c r="E2966" s="8" t="s">
        <v>5438</v>
      </c>
      <c r="F2966" s="8" t="s">
        <v>1479</v>
      </c>
      <c r="G2966" s="8" t="s">
        <v>1477</v>
      </c>
      <c r="H2966" s="8">
        <v>0.0</v>
      </c>
      <c r="I2966" s="8" t="s">
        <v>28</v>
      </c>
      <c r="J2966" s="8" t="s">
        <v>22</v>
      </c>
      <c r="K2966" s="8" t="s">
        <v>894</v>
      </c>
      <c r="L2966" s="8" t="s">
        <v>39</v>
      </c>
      <c r="M2966" s="9">
        <v>-0.5</v>
      </c>
      <c r="N2966" s="9">
        <v>0.1</v>
      </c>
      <c r="O2966" s="9">
        <v>0.1</v>
      </c>
      <c r="P2966" s="10">
        <v>45479.0</v>
      </c>
      <c r="Q2966" s="11">
        <v>1.775</v>
      </c>
      <c r="R2966" s="8" t="s">
        <v>25</v>
      </c>
      <c r="S2966" s="12">
        <f t="shared" si="1"/>
        <v>-0.1</v>
      </c>
      <c r="T2966" s="12">
        <f t="shared" si="8"/>
        <v>95.73815409</v>
      </c>
      <c r="U2966" s="145"/>
    </row>
    <row r="2967">
      <c r="A2967" s="29"/>
      <c r="B2967" s="15" t="s">
        <v>26</v>
      </c>
      <c r="C2967" s="15" t="s">
        <v>19</v>
      </c>
      <c r="D2967" s="15">
        <v>35.0</v>
      </c>
      <c r="E2967" s="15" t="s">
        <v>5439</v>
      </c>
      <c r="F2967" s="15" t="s">
        <v>1473</v>
      </c>
      <c r="G2967" s="15" t="s">
        <v>1480</v>
      </c>
      <c r="H2967" s="15">
        <v>0.0</v>
      </c>
      <c r="I2967" s="15" t="s">
        <v>463</v>
      </c>
      <c r="J2967" s="15" t="s">
        <v>22</v>
      </c>
      <c r="K2967" s="15" t="s">
        <v>1150</v>
      </c>
      <c r="L2967" s="15" t="s">
        <v>24</v>
      </c>
      <c r="M2967" s="16">
        <v>0.0</v>
      </c>
      <c r="N2967" s="16">
        <v>0.5</v>
      </c>
      <c r="O2967" s="16">
        <v>0.5</v>
      </c>
      <c r="P2967" s="55">
        <v>45479.0</v>
      </c>
      <c r="Q2967" s="18">
        <v>1.7</v>
      </c>
      <c r="R2967" s="15" t="s">
        <v>70</v>
      </c>
      <c r="S2967" s="19">
        <f t="shared" si="1"/>
        <v>0</v>
      </c>
      <c r="T2967" s="19">
        <f t="shared" si="8"/>
        <v>95.73815409</v>
      </c>
      <c r="U2967" s="144"/>
    </row>
    <row r="2968">
      <c r="A2968" s="107"/>
      <c r="B2968" s="8" t="s">
        <v>129</v>
      </c>
      <c r="C2968" s="8" t="s">
        <v>19</v>
      </c>
      <c r="D2968" s="8">
        <v>38.0</v>
      </c>
      <c r="E2968" s="8" t="s">
        <v>5440</v>
      </c>
      <c r="F2968" s="8" t="s">
        <v>1473</v>
      </c>
      <c r="G2968" s="8" t="s">
        <v>1474</v>
      </c>
      <c r="H2968" s="8">
        <v>0.0</v>
      </c>
      <c r="I2968" s="8" t="s">
        <v>513</v>
      </c>
      <c r="J2968" s="8" t="s">
        <v>22</v>
      </c>
      <c r="K2968" s="8" t="s">
        <v>225</v>
      </c>
      <c r="L2968" s="8" t="s">
        <v>24</v>
      </c>
      <c r="M2968" s="9">
        <v>0.25</v>
      </c>
      <c r="N2968" s="9">
        <v>0.5</v>
      </c>
      <c r="O2968" s="9">
        <v>0.5</v>
      </c>
      <c r="P2968" s="10">
        <v>45479.0</v>
      </c>
      <c r="Q2968" s="11">
        <v>1.194</v>
      </c>
      <c r="R2968" s="8" t="s">
        <v>33</v>
      </c>
      <c r="S2968" s="12">
        <f t="shared" si="1"/>
        <v>0.097</v>
      </c>
      <c r="T2968" s="12">
        <f t="shared" si="8"/>
        <v>95.83515409</v>
      </c>
      <c r="U2968" s="145"/>
    </row>
    <row r="2969">
      <c r="A2969" s="29"/>
      <c r="B2969" s="15" t="s">
        <v>26</v>
      </c>
      <c r="C2969" s="15" t="s">
        <v>19</v>
      </c>
      <c r="D2969" s="15">
        <v>80.0</v>
      </c>
      <c r="E2969" s="15" t="s">
        <v>5441</v>
      </c>
      <c r="F2969" s="15" t="s">
        <v>1479</v>
      </c>
      <c r="G2969" s="15" t="s">
        <v>1480</v>
      </c>
      <c r="H2969" s="15">
        <v>0.0</v>
      </c>
      <c r="I2969" s="15" t="s">
        <v>28</v>
      </c>
      <c r="J2969" s="15" t="s">
        <v>22</v>
      </c>
      <c r="K2969" s="15" t="s">
        <v>892</v>
      </c>
      <c r="L2969" s="15" t="s">
        <v>1851</v>
      </c>
      <c r="M2969" s="16">
        <v>0.0</v>
      </c>
      <c r="N2969" s="16">
        <v>0.25</v>
      </c>
      <c r="O2969" s="16">
        <v>0.25</v>
      </c>
      <c r="P2969" s="17">
        <v>45479.0</v>
      </c>
      <c r="Q2969" s="18">
        <v>1.7</v>
      </c>
      <c r="R2969" s="15" t="s">
        <v>70</v>
      </c>
      <c r="S2969" s="19">
        <f t="shared" si="1"/>
        <v>0</v>
      </c>
      <c r="T2969" s="19">
        <f t="shared" si="8"/>
        <v>95.83515409</v>
      </c>
      <c r="U2969" s="144"/>
    </row>
    <row r="2970">
      <c r="A2970" s="107"/>
      <c r="B2970" s="8" t="s">
        <v>129</v>
      </c>
      <c r="C2970" s="8" t="s">
        <v>19</v>
      </c>
      <c r="D2970" s="8">
        <v>80.0</v>
      </c>
      <c r="E2970" s="8" t="s">
        <v>5442</v>
      </c>
      <c r="F2970" s="8" t="s">
        <v>1479</v>
      </c>
      <c r="G2970" s="8" t="s">
        <v>1480</v>
      </c>
      <c r="H2970" s="8">
        <v>0.0</v>
      </c>
      <c r="I2970" s="8" t="s">
        <v>513</v>
      </c>
      <c r="J2970" s="8" t="s">
        <v>22</v>
      </c>
      <c r="K2970" s="8" t="s">
        <v>892</v>
      </c>
      <c r="L2970" s="8" t="s">
        <v>24</v>
      </c>
      <c r="M2970" s="9">
        <v>0.0</v>
      </c>
      <c r="N2970" s="9">
        <v>0.25</v>
      </c>
      <c r="O2970" s="9">
        <v>0.25</v>
      </c>
      <c r="P2970" s="10">
        <v>45479.0</v>
      </c>
      <c r="Q2970" s="11">
        <v>2.08</v>
      </c>
      <c r="R2970" s="8" t="s">
        <v>70</v>
      </c>
      <c r="S2970" s="12">
        <f t="shared" si="1"/>
        <v>0</v>
      </c>
      <c r="T2970" s="12">
        <f t="shared" si="8"/>
        <v>95.83515409</v>
      </c>
      <c r="U2970" s="145"/>
    </row>
    <row r="2971">
      <c r="A2971" s="29"/>
      <c r="B2971" s="15" t="s">
        <v>137</v>
      </c>
      <c r="C2971" s="15" t="s">
        <v>19</v>
      </c>
      <c r="D2971" s="15">
        <v>71.0</v>
      </c>
      <c r="E2971" s="15" t="s">
        <v>5443</v>
      </c>
      <c r="F2971" s="15" t="s">
        <v>1473</v>
      </c>
      <c r="G2971" s="15" t="s">
        <v>1474</v>
      </c>
      <c r="H2971" s="15">
        <v>-1.0</v>
      </c>
      <c r="I2971" s="15" t="s">
        <v>1175</v>
      </c>
      <c r="J2971" s="15" t="s">
        <v>22</v>
      </c>
      <c r="K2971" s="15" t="s">
        <v>225</v>
      </c>
      <c r="L2971" s="15" t="s">
        <v>24</v>
      </c>
      <c r="M2971" s="16">
        <v>0.25</v>
      </c>
      <c r="N2971" s="23">
        <v>0.25</v>
      </c>
      <c r="O2971" s="24">
        <v>0.25</v>
      </c>
      <c r="P2971" s="17">
        <v>45479.0</v>
      </c>
      <c r="Q2971" s="18">
        <v>1.725</v>
      </c>
      <c r="R2971" s="15" t="s">
        <v>25</v>
      </c>
      <c r="S2971" s="19">
        <f t="shared" si="1"/>
        <v>-0.25</v>
      </c>
      <c r="T2971" s="19">
        <f t="shared" si="8"/>
        <v>95.58515409</v>
      </c>
      <c r="U2971" s="144"/>
    </row>
    <row r="2972">
      <c r="A2972" s="107"/>
      <c r="B2972" s="8" t="s">
        <v>26</v>
      </c>
      <c r="C2972" s="8" t="s">
        <v>40</v>
      </c>
      <c r="D2972" s="8">
        <v>63.0</v>
      </c>
      <c r="E2972" s="8" t="s">
        <v>5444</v>
      </c>
      <c r="F2972" s="8" t="s">
        <v>1473</v>
      </c>
      <c r="G2972" s="8" t="s">
        <v>1480</v>
      </c>
      <c r="H2972" s="8">
        <v>-1.0</v>
      </c>
      <c r="I2972" s="8" t="s">
        <v>940</v>
      </c>
      <c r="J2972" s="8" t="s">
        <v>22</v>
      </c>
      <c r="K2972" s="8" t="s">
        <v>892</v>
      </c>
      <c r="L2972" s="8" t="s">
        <v>24</v>
      </c>
      <c r="M2972" s="9">
        <v>0.0</v>
      </c>
      <c r="N2972" s="25">
        <v>0.25</v>
      </c>
      <c r="O2972" s="26">
        <v>0.25</v>
      </c>
      <c r="P2972" s="10">
        <v>45479.0</v>
      </c>
      <c r="Q2972" s="11">
        <v>2.2</v>
      </c>
      <c r="R2972" s="8" t="s">
        <v>70</v>
      </c>
      <c r="S2972" s="12">
        <f t="shared" si="1"/>
        <v>0</v>
      </c>
      <c r="T2972" s="12">
        <f t="shared" si="8"/>
        <v>95.58515409</v>
      </c>
      <c r="U2972" s="145"/>
    </row>
    <row r="2973">
      <c r="A2973" s="29"/>
      <c r="B2973" s="15" t="s">
        <v>4225</v>
      </c>
      <c r="C2973" s="15" t="s">
        <v>40</v>
      </c>
      <c r="D2973" s="15">
        <v>25.0</v>
      </c>
      <c r="E2973" s="15" t="s">
        <v>5445</v>
      </c>
      <c r="F2973" s="15" t="s">
        <v>1473</v>
      </c>
      <c r="G2973" s="15" t="s">
        <v>1480</v>
      </c>
      <c r="H2973" s="15">
        <v>0.0</v>
      </c>
      <c r="I2973" s="15" t="s">
        <v>4644</v>
      </c>
      <c r="J2973" s="15" t="s">
        <v>22</v>
      </c>
      <c r="K2973" s="15" t="s">
        <v>892</v>
      </c>
      <c r="L2973" s="15" t="s">
        <v>24</v>
      </c>
      <c r="M2973" s="16">
        <v>0.0</v>
      </c>
      <c r="N2973" s="16">
        <v>0.25</v>
      </c>
      <c r="O2973" s="16">
        <v>0.25</v>
      </c>
      <c r="P2973" s="17">
        <v>45479.0</v>
      </c>
      <c r="Q2973" s="18">
        <v>1.75</v>
      </c>
      <c r="R2973" s="15" t="s">
        <v>70</v>
      </c>
      <c r="S2973" s="19">
        <f t="shared" si="1"/>
        <v>0</v>
      </c>
      <c r="T2973" s="19">
        <f t="shared" si="8"/>
        <v>95.58515409</v>
      </c>
      <c r="U2973" s="144"/>
    </row>
    <row r="2974">
      <c r="A2974" s="107"/>
      <c r="B2974" s="8" t="s">
        <v>4225</v>
      </c>
      <c r="C2974" s="8" t="s">
        <v>40</v>
      </c>
      <c r="D2974" s="8">
        <v>76.0</v>
      </c>
      <c r="E2974" s="8" t="s">
        <v>5446</v>
      </c>
      <c r="F2974" s="8" t="s">
        <v>1479</v>
      </c>
      <c r="G2974" s="8" t="s">
        <v>1480</v>
      </c>
      <c r="H2974" s="8">
        <v>-1.0</v>
      </c>
      <c r="I2974" s="8" t="s">
        <v>4644</v>
      </c>
      <c r="J2974" s="8" t="s">
        <v>22</v>
      </c>
      <c r="K2974" s="8" t="s">
        <v>892</v>
      </c>
      <c r="L2974" s="8" t="s">
        <v>24</v>
      </c>
      <c r="M2974" s="9">
        <v>0.0</v>
      </c>
      <c r="N2974" s="9">
        <v>0.5</v>
      </c>
      <c r="O2974" s="9">
        <v>0.5</v>
      </c>
      <c r="P2974" s="10">
        <v>45479.0</v>
      </c>
      <c r="Q2974" s="11">
        <v>1.675</v>
      </c>
      <c r="R2974" s="8" t="s">
        <v>70</v>
      </c>
      <c r="S2974" s="12">
        <f t="shared" si="1"/>
        <v>0</v>
      </c>
      <c r="T2974" s="12">
        <f t="shared" si="8"/>
        <v>95.58515409</v>
      </c>
      <c r="U2974" s="145"/>
    </row>
    <row r="2975">
      <c r="A2975" s="29"/>
      <c r="B2975" s="15" t="s">
        <v>1915</v>
      </c>
      <c r="C2975" s="15" t="s">
        <v>19</v>
      </c>
      <c r="D2975" s="15">
        <v>0.0</v>
      </c>
      <c r="E2975" s="15" t="s">
        <v>5447</v>
      </c>
      <c r="F2975" s="15"/>
      <c r="G2975" s="15"/>
      <c r="H2975" s="15"/>
      <c r="I2975" s="15" t="s">
        <v>372</v>
      </c>
      <c r="J2975" s="15" t="s">
        <v>598</v>
      </c>
      <c r="K2975" s="15" t="s">
        <v>29</v>
      </c>
      <c r="L2975" s="15" t="s">
        <v>39</v>
      </c>
      <c r="M2975" s="16">
        <v>-2.5</v>
      </c>
      <c r="N2975" s="16">
        <v>0.5</v>
      </c>
      <c r="O2975" s="16">
        <v>0.5</v>
      </c>
      <c r="P2975" s="17">
        <v>45479.0</v>
      </c>
      <c r="Q2975" s="18">
        <v>1.8</v>
      </c>
      <c r="R2975" s="15" t="s">
        <v>25</v>
      </c>
      <c r="S2975" s="19">
        <f t="shared" si="1"/>
        <v>-0.5</v>
      </c>
      <c r="T2975" s="19">
        <f t="shared" si="8"/>
        <v>95.08515409</v>
      </c>
      <c r="U2975" s="144"/>
    </row>
    <row r="2976">
      <c r="A2976" s="107"/>
      <c r="B2976" s="8" t="s">
        <v>26</v>
      </c>
      <c r="C2976" s="8" t="s">
        <v>40</v>
      </c>
      <c r="D2976" s="8">
        <v>72.0</v>
      </c>
      <c r="E2976" s="8" t="s">
        <v>5448</v>
      </c>
      <c r="F2976" s="8" t="s">
        <v>1473</v>
      </c>
      <c r="G2976" s="8" t="s">
        <v>1480</v>
      </c>
      <c r="H2976" s="8">
        <v>-1.0</v>
      </c>
      <c r="I2976" s="8" t="s">
        <v>768</v>
      </c>
      <c r="J2976" s="8" t="s">
        <v>22</v>
      </c>
      <c r="K2976" s="8" t="s">
        <v>892</v>
      </c>
      <c r="L2976" s="8" t="s">
        <v>24</v>
      </c>
      <c r="M2976" s="9">
        <v>0.0</v>
      </c>
      <c r="N2976" s="9">
        <v>0.5</v>
      </c>
      <c r="O2976" s="9">
        <v>0.5</v>
      </c>
      <c r="P2976" s="54">
        <v>45479.0</v>
      </c>
      <c r="Q2976" s="11">
        <v>1.95</v>
      </c>
      <c r="R2976" s="8" t="s">
        <v>70</v>
      </c>
      <c r="S2976" s="12">
        <f t="shared" si="1"/>
        <v>0</v>
      </c>
      <c r="T2976" s="12">
        <f t="shared" si="8"/>
        <v>95.08515409</v>
      </c>
      <c r="U2976" s="145"/>
    </row>
    <row r="2977">
      <c r="A2977" s="29"/>
      <c r="B2977" s="15" t="s">
        <v>1915</v>
      </c>
      <c r="C2977" s="15" t="s">
        <v>19</v>
      </c>
      <c r="D2977" s="15">
        <v>0.0</v>
      </c>
      <c r="E2977" s="15" t="s">
        <v>5449</v>
      </c>
      <c r="F2977" s="15"/>
      <c r="G2977" s="15"/>
      <c r="H2977" s="15"/>
      <c r="I2977" s="15" t="s">
        <v>372</v>
      </c>
      <c r="J2977" s="15" t="s">
        <v>598</v>
      </c>
      <c r="K2977" s="15" t="s">
        <v>29</v>
      </c>
      <c r="L2977" s="15" t="s">
        <v>24</v>
      </c>
      <c r="M2977" s="16">
        <v>-2.5</v>
      </c>
      <c r="N2977" s="16">
        <v>0.25</v>
      </c>
      <c r="O2977" s="16">
        <v>0.25</v>
      </c>
      <c r="P2977" s="17">
        <v>45479.0</v>
      </c>
      <c r="Q2977" s="18">
        <v>1.8</v>
      </c>
      <c r="R2977" s="15" t="s">
        <v>25</v>
      </c>
      <c r="S2977" s="19">
        <f t="shared" si="1"/>
        <v>-0.25</v>
      </c>
      <c r="T2977" s="19">
        <f t="shared" si="8"/>
        <v>94.83515409</v>
      </c>
      <c r="U2977" s="144"/>
    </row>
    <row r="2978">
      <c r="A2978" s="107"/>
      <c r="B2978" s="8" t="s">
        <v>26</v>
      </c>
      <c r="C2978" s="8" t="s">
        <v>40</v>
      </c>
      <c r="D2978" s="8">
        <v>70.0</v>
      </c>
      <c r="E2978" s="8" t="s">
        <v>5450</v>
      </c>
      <c r="F2978" s="8" t="s">
        <v>1473</v>
      </c>
      <c r="G2978" s="8" t="s">
        <v>1477</v>
      </c>
      <c r="H2978" s="8">
        <v>-1.0</v>
      </c>
      <c r="I2978" s="8" t="s">
        <v>463</v>
      </c>
      <c r="J2978" s="8" t="s">
        <v>22</v>
      </c>
      <c r="K2978" s="8" t="s">
        <v>894</v>
      </c>
      <c r="L2978" s="8" t="s">
        <v>24</v>
      </c>
      <c r="M2978" s="9">
        <v>-0.25</v>
      </c>
      <c r="N2978" s="9">
        <v>0.25</v>
      </c>
      <c r="O2978" s="9">
        <v>0.25</v>
      </c>
      <c r="P2978" s="10">
        <v>45480.0</v>
      </c>
      <c r="Q2978" s="11">
        <v>2.05</v>
      </c>
      <c r="R2978" s="8" t="s">
        <v>79</v>
      </c>
      <c r="S2978" s="12">
        <f t="shared" si="1"/>
        <v>-0.125</v>
      </c>
      <c r="T2978" s="12">
        <f t="shared" si="8"/>
        <v>94.71015409</v>
      </c>
      <c r="U2978" s="145"/>
    </row>
    <row r="2979">
      <c r="A2979" s="29"/>
      <c r="B2979" s="15" t="s">
        <v>4225</v>
      </c>
      <c r="C2979" s="15" t="s">
        <v>19</v>
      </c>
      <c r="D2979" s="15">
        <v>0.0</v>
      </c>
      <c r="E2979" s="15" t="s">
        <v>5451</v>
      </c>
      <c r="F2979" s="15" t="s">
        <v>1479</v>
      </c>
      <c r="G2979" s="15" t="s">
        <v>1474</v>
      </c>
      <c r="H2979" s="15">
        <v>0.0</v>
      </c>
      <c r="I2979" s="15" t="s">
        <v>82</v>
      </c>
      <c r="J2979" s="15" t="s">
        <v>598</v>
      </c>
      <c r="K2979" s="15" t="s">
        <v>1847</v>
      </c>
      <c r="L2979" s="15" t="s">
        <v>1851</v>
      </c>
      <c r="M2979" s="16">
        <v>-0.5</v>
      </c>
      <c r="N2979" s="16">
        <v>0.1</v>
      </c>
      <c r="O2979" s="16">
        <v>0.1</v>
      </c>
      <c r="P2979" s="17">
        <v>45480.0</v>
      </c>
      <c r="Q2979" s="18">
        <v>1.7</v>
      </c>
      <c r="R2979" s="15" t="s">
        <v>25</v>
      </c>
      <c r="S2979" s="19">
        <f t="shared" si="1"/>
        <v>-0.1</v>
      </c>
      <c r="T2979" s="19">
        <f t="shared" si="8"/>
        <v>94.61015409</v>
      </c>
      <c r="U2979" s="144"/>
    </row>
    <row r="2980">
      <c r="A2980" s="107"/>
      <c r="B2980" s="8" t="s">
        <v>4225</v>
      </c>
      <c r="C2980" s="8" t="s">
        <v>19</v>
      </c>
      <c r="D2980" s="8">
        <v>74.0</v>
      </c>
      <c r="E2980" s="8" t="s">
        <v>5452</v>
      </c>
      <c r="F2980" s="8" t="s">
        <v>1473</v>
      </c>
      <c r="G2980" s="8" t="s">
        <v>1480</v>
      </c>
      <c r="H2980" s="8">
        <v>1.0</v>
      </c>
      <c r="I2980" s="8" t="s">
        <v>1175</v>
      </c>
      <c r="J2980" s="8" t="s">
        <v>22</v>
      </c>
      <c r="K2980" s="8" t="s">
        <v>892</v>
      </c>
      <c r="L2980" s="8" t="s">
        <v>24</v>
      </c>
      <c r="M2980" s="9">
        <v>0.0</v>
      </c>
      <c r="N2980" s="9">
        <v>0.75</v>
      </c>
      <c r="O2980" s="9">
        <v>0.75</v>
      </c>
      <c r="P2980" s="10">
        <v>45480.0</v>
      </c>
      <c r="Q2980" s="11">
        <v>1.6</v>
      </c>
      <c r="R2980" s="8" t="s">
        <v>70</v>
      </c>
      <c r="S2980" s="12">
        <f t="shared" si="1"/>
        <v>0</v>
      </c>
      <c r="T2980" s="12">
        <f t="shared" si="8"/>
        <v>94.61015409</v>
      </c>
      <c r="U2980" s="145"/>
    </row>
    <row r="2981">
      <c r="A2981" s="29"/>
      <c r="B2981" s="15" t="s">
        <v>131</v>
      </c>
      <c r="C2981" s="15" t="s">
        <v>19</v>
      </c>
      <c r="D2981" s="15"/>
      <c r="E2981" s="15" t="s">
        <v>5453</v>
      </c>
      <c r="F2981" s="15" t="s">
        <v>1473</v>
      </c>
      <c r="G2981" s="15" t="s">
        <v>1480</v>
      </c>
      <c r="H2981" s="15">
        <v>0.0</v>
      </c>
      <c r="I2981" s="15" t="s">
        <v>319</v>
      </c>
      <c r="J2981" s="15" t="s">
        <v>22</v>
      </c>
      <c r="K2981" s="15" t="s">
        <v>892</v>
      </c>
      <c r="L2981" s="15" t="s">
        <v>5454</v>
      </c>
      <c r="M2981" s="16">
        <v>0.0</v>
      </c>
      <c r="N2981" s="16">
        <v>0.5</v>
      </c>
      <c r="O2981" s="16">
        <v>0.5</v>
      </c>
      <c r="P2981" s="17">
        <v>45480.0</v>
      </c>
      <c r="Q2981" s="18">
        <v>1.8</v>
      </c>
      <c r="R2981" s="15" t="s">
        <v>33</v>
      </c>
      <c r="S2981" s="19">
        <f t="shared" si="1"/>
        <v>0.4</v>
      </c>
      <c r="T2981" s="19">
        <f t="shared" si="8"/>
        <v>95.01015409</v>
      </c>
      <c r="U2981" s="144"/>
    </row>
    <row r="2982">
      <c r="A2982" s="107"/>
      <c r="B2982" s="8" t="s">
        <v>26</v>
      </c>
      <c r="C2982" s="8" t="s">
        <v>19</v>
      </c>
      <c r="D2982" s="8"/>
      <c r="E2982" s="8" t="s">
        <v>5455</v>
      </c>
      <c r="F2982" s="8" t="s">
        <v>1479</v>
      </c>
      <c r="G2982" s="8" t="s">
        <v>1480</v>
      </c>
      <c r="H2982" s="8">
        <v>-1.0</v>
      </c>
      <c r="I2982" s="8" t="s">
        <v>84</v>
      </c>
      <c r="J2982" s="8" t="s">
        <v>22</v>
      </c>
      <c r="K2982" s="8" t="s">
        <v>892</v>
      </c>
      <c r="L2982" s="8" t="s">
        <v>24</v>
      </c>
      <c r="M2982" s="9">
        <v>0.0</v>
      </c>
      <c r="N2982" s="9">
        <v>0.5</v>
      </c>
      <c r="O2982" s="9">
        <v>0.4</v>
      </c>
      <c r="P2982" s="10">
        <v>45480.0</v>
      </c>
      <c r="Q2982" s="11">
        <v>1.6</v>
      </c>
      <c r="R2982" s="8" t="s">
        <v>25</v>
      </c>
      <c r="S2982" s="12">
        <f t="shared" si="1"/>
        <v>-0.4</v>
      </c>
      <c r="T2982" s="12">
        <f t="shared" si="8"/>
        <v>94.61015409</v>
      </c>
      <c r="U2982" s="145"/>
    </row>
    <row r="2983">
      <c r="A2983" s="29"/>
      <c r="B2983" s="15" t="s">
        <v>131</v>
      </c>
      <c r="C2983" s="15" t="s">
        <v>19</v>
      </c>
      <c r="D2983" s="15">
        <v>74.0</v>
      </c>
      <c r="E2983" s="15" t="s">
        <v>5456</v>
      </c>
      <c r="F2983" s="15" t="s">
        <v>1479</v>
      </c>
      <c r="G2983" s="15" t="s">
        <v>1480</v>
      </c>
      <c r="H2983" s="15">
        <v>1.0</v>
      </c>
      <c r="I2983" s="15" t="s">
        <v>2380</v>
      </c>
      <c r="J2983" s="15" t="s">
        <v>22</v>
      </c>
      <c r="K2983" s="15" t="s">
        <v>892</v>
      </c>
      <c r="L2983" s="15" t="s">
        <v>24</v>
      </c>
      <c r="M2983" s="16">
        <v>0.0</v>
      </c>
      <c r="N2983" s="16">
        <v>0.5</v>
      </c>
      <c r="O2983" s="16">
        <v>0.5</v>
      </c>
      <c r="P2983" s="17">
        <v>45480.0</v>
      </c>
      <c r="Q2983" s="18">
        <v>2.2</v>
      </c>
      <c r="R2983" s="15" t="s">
        <v>70</v>
      </c>
      <c r="S2983" s="19">
        <f t="shared" si="1"/>
        <v>0</v>
      </c>
      <c r="T2983" s="19">
        <f t="shared" si="8"/>
        <v>94.61015409</v>
      </c>
      <c r="U2983" s="144"/>
    </row>
    <row r="2984">
      <c r="A2984" s="107"/>
      <c r="B2984" s="8" t="s">
        <v>26</v>
      </c>
      <c r="C2984" s="8" t="s">
        <v>19</v>
      </c>
      <c r="D2984" s="8"/>
      <c r="E2984" s="8" t="s">
        <v>5457</v>
      </c>
      <c r="F2984" s="8" t="s">
        <v>1479</v>
      </c>
      <c r="G2984" s="8" t="s">
        <v>1477</v>
      </c>
      <c r="H2984" s="8">
        <v>0.0</v>
      </c>
      <c r="I2984" s="8" t="s">
        <v>174</v>
      </c>
      <c r="J2984" s="8" t="s">
        <v>22</v>
      </c>
      <c r="K2984" s="8" t="s">
        <v>894</v>
      </c>
      <c r="L2984" s="8" t="s">
        <v>1803</v>
      </c>
      <c r="M2984" s="9">
        <v>-0.5</v>
      </c>
      <c r="N2984" s="9">
        <v>0.25</v>
      </c>
      <c r="O2984" s="9">
        <v>0.25</v>
      </c>
      <c r="P2984" s="10">
        <v>45480.0</v>
      </c>
      <c r="Q2984" s="11">
        <v>1.925</v>
      </c>
      <c r="R2984" s="8" t="s">
        <v>33</v>
      </c>
      <c r="S2984" s="12">
        <f t="shared" si="1"/>
        <v>0.23125</v>
      </c>
      <c r="T2984" s="12">
        <f t="shared" si="8"/>
        <v>94.84140409</v>
      </c>
      <c r="U2984" s="145"/>
    </row>
    <row r="2985">
      <c r="A2985" s="29"/>
      <c r="B2985" s="15" t="s">
        <v>4225</v>
      </c>
      <c r="C2985" s="15" t="s">
        <v>40</v>
      </c>
      <c r="D2985" s="15">
        <v>81.0</v>
      </c>
      <c r="E2985" s="15" t="s">
        <v>5458</v>
      </c>
      <c r="F2985" s="15" t="s">
        <v>1479</v>
      </c>
      <c r="G2985" s="15" t="s">
        <v>1474</v>
      </c>
      <c r="H2985" s="15">
        <v>0.0</v>
      </c>
      <c r="I2985" s="15" t="s">
        <v>78</v>
      </c>
      <c r="J2985" s="15" t="s">
        <v>22</v>
      </c>
      <c r="K2985" s="15" t="s">
        <v>225</v>
      </c>
      <c r="L2985" s="15" t="s">
        <v>24</v>
      </c>
      <c r="M2985" s="16">
        <v>0.25</v>
      </c>
      <c r="N2985" s="16">
        <v>0.5</v>
      </c>
      <c r="O2985" s="16">
        <v>0.5</v>
      </c>
      <c r="P2985" s="17">
        <v>45480.0</v>
      </c>
      <c r="Q2985" s="18">
        <v>1.825</v>
      </c>
      <c r="R2985" s="15" t="s">
        <v>30</v>
      </c>
      <c r="S2985" s="19">
        <f t="shared" si="1"/>
        <v>0.20625</v>
      </c>
      <c r="T2985" s="19">
        <f t="shared" si="8"/>
        <v>95.04765409</v>
      </c>
      <c r="U2985" s="144"/>
    </row>
    <row r="2986">
      <c r="A2986" s="107"/>
      <c r="B2986" s="8" t="s">
        <v>129</v>
      </c>
      <c r="C2986" s="8" t="s">
        <v>40</v>
      </c>
      <c r="D2986" s="8">
        <v>43.0</v>
      </c>
      <c r="E2986" s="8" t="s">
        <v>5459</v>
      </c>
      <c r="F2986" s="8" t="s">
        <v>1473</v>
      </c>
      <c r="G2986" s="8" t="s">
        <v>1480</v>
      </c>
      <c r="H2986" s="8">
        <v>0.0</v>
      </c>
      <c r="I2986" s="8" t="s">
        <v>84</v>
      </c>
      <c r="J2986" s="8" t="s">
        <v>22</v>
      </c>
      <c r="K2986" s="8" t="s">
        <v>892</v>
      </c>
      <c r="L2986" s="8" t="s">
        <v>24</v>
      </c>
      <c r="M2986" s="9">
        <v>0.0</v>
      </c>
      <c r="N2986" s="9">
        <v>0.25</v>
      </c>
      <c r="O2986" s="9">
        <v>0.25</v>
      </c>
      <c r="P2986" s="10">
        <v>45480.0</v>
      </c>
      <c r="Q2986" s="11">
        <v>1.725</v>
      </c>
      <c r="R2986" s="8" t="s">
        <v>33</v>
      </c>
      <c r="S2986" s="12">
        <f t="shared" si="1"/>
        <v>0.18125</v>
      </c>
      <c r="T2986" s="12">
        <f t="shared" si="8"/>
        <v>95.22890409</v>
      </c>
      <c r="U2986" s="145"/>
    </row>
    <row r="2987">
      <c r="A2987" s="29"/>
      <c r="B2987" s="15" t="s">
        <v>129</v>
      </c>
      <c r="C2987" s="15" t="s">
        <v>40</v>
      </c>
      <c r="D2987" s="15">
        <v>65.0</v>
      </c>
      <c r="E2987" s="15" t="s">
        <v>5459</v>
      </c>
      <c r="F2987" s="15" t="s">
        <v>1479</v>
      </c>
      <c r="G2987" s="15" t="s">
        <v>1480</v>
      </c>
      <c r="H2987" s="15">
        <v>0.0</v>
      </c>
      <c r="I2987" s="15" t="s">
        <v>84</v>
      </c>
      <c r="J2987" s="15" t="s">
        <v>22</v>
      </c>
      <c r="K2987" s="15" t="s">
        <v>892</v>
      </c>
      <c r="L2987" s="15" t="s">
        <v>24</v>
      </c>
      <c r="M2987" s="16">
        <v>0.0</v>
      </c>
      <c r="N2987" s="16">
        <v>0.24</v>
      </c>
      <c r="O2987" s="16">
        <v>0.24</v>
      </c>
      <c r="P2987" s="17">
        <v>45480.0</v>
      </c>
      <c r="Q2987" s="18">
        <v>2.075</v>
      </c>
      <c r="R2987" s="15" t="s">
        <v>25</v>
      </c>
      <c r="S2987" s="19">
        <f t="shared" si="1"/>
        <v>-0.24</v>
      </c>
      <c r="T2987" s="19">
        <f t="shared" si="8"/>
        <v>94.98890409</v>
      </c>
      <c r="U2987" s="144"/>
    </row>
    <row r="2988">
      <c r="A2988" s="107"/>
      <c r="B2988" s="8" t="s">
        <v>129</v>
      </c>
      <c r="C2988" s="8" t="s">
        <v>40</v>
      </c>
      <c r="D2988" s="8">
        <v>85.0</v>
      </c>
      <c r="E2988" s="8" t="s">
        <v>5460</v>
      </c>
      <c r="F2988" s="8" t="s">
        <v>1473</v>
      </c>
      <c r="G2988" s="8" t="s">
        <v>1474</v>
      </c>
      <c r="H2988" s="8">
        <v>-2.0</v>
      </c>
      <c r="I2988" s="8" t="s">
        <v>84</v>
      </c>
      <c r="J2988" s="8" t="s">
        <v>22</v>
      </c>
      <c r="K2988" s="8" t="s">
        <v>225</v>
      </c>
      <c r="L2988" s="8" t="s">
        <v>24</v>
      </c>
      <c r="M2988" s="9">
        <v>0.5</v>
      </c>
      <c r="N2988" s="9">
        <v>0.25</v>
      </c>
      <c r="O2988" s="9">
        <v>0.25</v>
      </c>
      <c r="P2988" s="10">
        <v>45480.0</v>
      </c>
      <c r="Q2988" s="11">
        <v>1.725</v>
      </c>
      <c r="R2988" s="8" t="s">
        <v>33</v>
      </c>
      <c r="S2988" s="12">
        <f t="shared" si="1"/>
        <v>0.18125</v>
      </c>
      <c r="T2988" s="12">
        <f t="shared" si="8"/>
        <v>95.17015409</v>
      </c>
      <c r="U2988" s="145"/>
    </row>
    <row r="2989">
      <c r="A2989" s="29"/>
      <c r="B2989" s="149" t="s">
        <v>129</v>
      </c>
      <c r="C2989" s="150" t="s">
        <v>40</v>
      </c>
      <c r="D2989" s="150">
        <v>85.0</v>
      </c>
      <c r="E2989" s="37" t="s">
        <v>5461</v>
      </c>
      <c r="F2989" s="150" t="s">
        <v>1473</v>
      </c>
      <c r="G2989" s="37" t="s">
        <v>1474</v>
      </c>
      <c r="H2989" s="150">
        <v>-2.0</v>
      </c>
      <c r="I2989" s="150" t="s">
        <v>84</v>
      </c>
      <c r="J2989" s="150" t="s">
        <v>22</v>
      </c>
      <c r="K2989" s="150" t="s">
        <v>225</v>
      </c>
      <c r="L2989" s="150" t="s">
        <v>24</v>
      </c>
      <c r="M2989" s="24">
        <v>0.25</v>
      </c>
      <c r="N2989" s="151">
        <v>0.25</v>
      </c>
      <c r="O2989" s="151">
        <v>0.25</v>
      </c>
      <c r="P2989" s="167">
        <v>45480.0</v>
      </c>
      <c r="Q2989" s="39">
        <v>2.1</v>
      </c>
      <c r="R2989" s="15" t="s">
        <v>30</v>
      </c>
      <c r="S2989" s="19">
        <f t="shared" si="1"/>
        <v>0.1375</v>
      </c>
      <c r="T2989" s="19">
        <f t="shared" si="8"/>
        <v>95.30765409</v>
      </c>
      <c r="U2989" s="144"/>
    </row>
    <row r="2990">
      <c r="A2990" s="107"/>
      <c r="B2990" s="8" t="s">
        <v>4225</v>
      </c>
      <c r="C2990" s="8" t="s">
        <v>19</v>
      </c>
      <c r="D2990" s="8">
        <v>63.0</v>
      </c>
      <c r="E2990" s="8" t="s">
        <v>5462</v>
      </c>
      <c r="F2990" s="8" t="s">
        <v>1479</v>
      </c>
      <c r="G2990" s="8" t="s">
        <v>1477</v>
      </c>
      <c r="H2990" s="8">
        <v>0.0</v>
      </c>
      <c r="I2990" s="8" t="s">
        <v>5463</v>
      </c>
      <c r="J2990" s="8" t="s">
        <v>22</v>
      </c>
      <c r="K2990" s="8" t="s">
        <v>894</v>
      </c>
      <c r="L2990" s="8" t="s">
        <v>39</v>
      </c>
      <c r="M2990" s="9">
        <v>-0.5</v>
      </c>
      <c r="N2990" s="9">
        <v>0.2</v>
      </c>
      <c r="O2990" s="9">
        <v>0.2</v>
      </c>
      <c r="P2990" s="10">
        <v>45482.0</v>
      </c>
      <c r="Q2990" s="11">
        <v>1.835</v>
      </c>
      <c r="R2990" s="8" t="s">
        <v>25</v>
      </c>
      <c r="S2990" s="12">
        <f t="shared" si="1"/>
        <v>-0.2</v>
      </c>
      <c r="T2990" s="12">
        <f t="shared" si="8"/>
        <v>95.10765409</v>
      </c>
      <c r="U2990" s="145"/>
    </row>
    <row r="2991">
      <c r="A2991" s="29"/>
      <c r="B2991" s="15" t="s">
        <v>1915</v>
      </c>
      <c r="C2991" s="15" t="s">
        <v>19</v>
      </c>
      <c r="D2991" s="15">
        <v>0.0</v>
      </c>
      <c r="E2991" s="15" t="s">
        <v>5464</v>
      </c>
      <c r="F2991" s="15" t="s">
        <v>1479</v>
      </c>
      <c r="G2991" s="15" t="s">
        <v>1474</v>
      </c>
      <c r="H2991" s="15">
        <v>0.0</v>
      </c>
      <c r="I2991" s="15" t="s">
        <v>28</v>
      </c>
      <c r="J2991" s="15" t="s">
        <v>598</v>
      </c>
      <c r="K2991" s="15" t="s">
        <v>225</v>
      </c>
      <c r="L2991" s="15" t="s">
        <v>39</v>
      </c>
      <c r="M2991" s="16">
        <v>1.0</v>
      </c>
      <c r="N2991" s="16">
        <v>0.25</v>
      </c>
      <c r="O2991" s="16">
        <v>0.25</v>
      </c>
      <c r="P2991" s="17">
        <v>45482.0</v>
      </c>
      <c r="Q2991" s="18">
        <v>1.775</v>
      </c>
      <c r="R2991" s="15" t="s">
        <v>33</v>
      </c>
      <c r="S2991" s="19">
        <f t="shared" si="1"/>
        <v>0.19375</v>
      </c>
      <c r="T2991" s="19">
        <f t="shared" si="8"/>
        <v>95.30140409</v>
      </c>
      <c r="U2991" s="144"/>
    </row>
    <row r="2992">
      <c r="A2992" s="107"/>
      <c r="B2992" s="8" t="s">
        <v>1915</v>
      </c>
      <c r="C2992" s="8" t="s">
        <v>19</v>
      </c>
      <c r="D2992" s="8">
        <v>0.0</v>
      </c>
      <c r="E2992" s="8" t="s">
        <v>5465</v>
      </c>
      <c r="F2992" s="8" t="s">
        <v>1479</v>
      </c>
      <c r="G2992" s="8" t="s">
        <v>1474</v>
      </c>
      <c r="H2992" s="8">
        <v>0.0</v>
      </c>
      <c r="I2992" s="8" t="s">
        <v>28</v>
      </c>
      <c r="J2992" s="8" t="s">
        <v>598</v>
      </c>
      <c r="K2992" s="8" t="s">
        <v>225</v>
      </c>
      <c r="L2992" s="8" t="s">
        <v>39</v>
      </c>
      <c r="M2992" s="9">
        <v>4.0</v>
      </c>
      <c r="N2992" s="9">
        <v>0.25</v>
      </c>
      <c r="O2992" s="9">
        <v>0.25</v>
      </c>
      <c r="P2992" s="10">
        <v>45482.0</v>
      </c>
      <c r="Q2992" s="11">
        <v>1.85</v>
      </c>
      <c r="R2992" s="8" t="s">
        <v>25</v>
      </c>
      <c r="S2992" s="12">
        <f t="shared" si="1"/>
        <v>-0.25</v>
      </c>
      <c r="T2992" s="12">
        <f t="shared" si="8"/>
        <v>95.05140409</v>
      </c>
      <c r="U2992" s="145"/>
    </row>
    <row r="2993">
      <c r="A2993" s="29"/>
      <c r="B2993" s="15" t="s">
        <v>1915</v>
      </c>
      <c r="C2993" s="15" t="s">
        <v>19</v>
      </c>
      <c r="D2993" s="15">
        <v>0.0</v>
      </c>
      <c r="E2993" s="15" t="s">
        <v>5466</v>
      </c>
      <c r="F2993" s="15" t="s">
        <v>1479</v>
      </c>
      <c r="G2993" s="15" t="s">
        <v>1474</v>
      </c>
      <c r="H2993" s="15">
        <v>0.0</v>
      </c>
      <c r="I2993" s="15" t="s">
        <v>28</v>
      </c>
      <c r="J2993" s="15" t="s">
        <v>598</v>
      </c>
      <c r="K2993" s="15" t="s">
        <v>225</v>
      </c>
      <c r="L2993" s="15" t="s">
        <v>39</v>
      </c>
      <c r="M2993" s="16">
        <v>1.0</v>
      </c>
      <c r="N2993" s="16">
        <v>0.25</v>
      </c>
      <c r="O2993" s="16">
        <v>0.25</v>
      </c>
      <c r="P2993" s="17">
        <v>45482.0</v>
      </c>
      <c r="Q2993" s="18">
        <v>1.8</v>
      </c>
      <c r="R2993" s="15" t="s">
        <v>25</v>
      </c>
      <c r="S2993" s="19">
        <f t="shared" si="1"/>
        <v>-0.25</v>
      </c>
      <c r="T2993" s="19">
        <f t="shared" si="8"/>
        <v>94.80140409</v>
      </c>
      <c r="U2993" s="144"/>
    </row>
    <row r="2994">
      <c r="A2994" s="107"/>
      <c r="B2994" s="8" t="s">
        <v>18</v>
      </c>
      <c r="C2994" s="8" t="s">
        <v>40</v>
      </c>
      <c r="D2994" s="8">
        <v>65.0</v>
      </c>
      <c r="E2994" s="8" t="s">
        <v>5467</v>
      </c>
      <c r="F2994" s="8" t="s">
        <v>1479</v>
      </c>
      <c r="G2994" s="8" t="s">
        <v>1477</v>
      </c>
      <c r="H2994" s="8">
        <v>2.0</v>
      </c>
      <c r="I2994" s="8" t="s">
        <v>115</v>
      </c>
      <c r="J2994" s="8" t="s">
        <v>22</v>
      </c>
      <c r="K2994" s="8" t="s">
        <v>894</v>
      </c>
      <c r="L2994" s="8" t="s">
        <v>24</v>
      </c>
      <c r="M2994" s="9">
        <v>-0.25</v>
      </c>
      <c r="N2994" s="9">
        <v>0.25</v>
      </c>
      <c r="O2994" s="9">
        <v>0.25</v>
      </c>
      <c r="P2994" s="10">
        <v>45483.0</v>
      </c>
      <c r="Q2994" s="11">
        <v>1.8</v>
      </c>
      <c r="R2994" s="8" t="s">
        <v>25</v>
      </c>
      <c r="S2994" s="12">
        <f t="shared" si="1"/>
        <v>-0.25</v>
      </c>
      <c r="T2994" s="12">
        <f t="shared" si="8"/>
        <v>94.55140409</v>
      </c>
      <c r="U2994" s="145"/>
    </row>
    <row r="2995">
      <c r="A2995" s="29"/>
      <c r="B2995" s="15" t="s">
        <v>18</v>
      </c>
      <c r="C2995" s="15" t="s">
        <v>19</v>
      </c>
      <c r="D2995" s="15">
        <v>69.0</v>
      </c>
      <c r="E2995" s="15" t="s">
        <v>5468</v>
      </c>
      <c r="F2995" s="15" t="s">
        <v>1473</v>
      </c>
      <c r="G2995" s="15" t="s">
        <v>1480</v>
      </c>
      <c r="H2995" s="15">
        <v>0.0</v>
      </c>
      <c r="I2995" s="15" t="s">
        <v>5463</v>
      </c>
      <c r="J2995" s="15" t="s">
        <v>22</v>
      </c>
      <c r="K2995" s="15" t="s">
        <v>892</v>
      </c>
      <c r="L2995" s="15" t="s">
        <v>1522</v>
      </c>
      <c r="M2995" s="16">
        <v>0.0</v>
      </c>
      <c r="N2995" s="16">
        <v>0.25</v>
      </c>
      <c r="O2995" s="16">
        <v>0.25</v>
      </c>
      <c r="P2995" s="17">
        <v>45483.0</v>
      </c>
      <c r="Q2995" s="18">
        <v>1.9</v>
      </c>
      <c r="R2995" s="15" t="s">
        <v>33</v>
      </c>
      <c r="S2995" s="19">
        <f t="shared" si="1"/>
        <v>0.225</v>
      </c>
      <c r="T2995" s="19">
        <f t="shared" si="8"/>
        <v>94.77640409</v>
      </c>
      <c r="U2995" s="144"/>
    </row>
    <row r="2996">
      <c r="A2996" s="107"/>
      <c r="B2996" s="8" t="s">
        <v>4225</v>
      </c>
      <c r="C2996" s="8" t="s">
        <v>19</v>
      </c>
      <c r="D2996" s="8">
        <v>56.0</v>
      </c>
      <c r="E2996" s="95" t="s">
        <v>5469</v>
      </c>
      <c r="F2996" s="8" t="s">
        <v>1473</v>
      </c>
      <c r="G2996" s="8" t="s">
        <v>1477</v>
      </c>
      <c r="H2996" s="8">
        <v>-1.0</v>
      </c>
      <c r="I2996" s="8" t="s">
        <v>463</v>
      </c>
      <c r="J2996" s="8" t="s">
        <v>22</v>
      </c>
      <c r="K2996" s="8" t="s">
        <v>894</v>
      </c>
      <c r="L2996" s="8" t="s">
        <v>24</v>
      </c>
      <c r="M2996" s="9">
        <v>-0.75</v>
      </c>
      <c r="N2996" s="9">
        <v>0.1</v>
      </c>
      <c r="O2996" s="9">
        <v>0.1</v>
      </c>
      <c r="P2996" s="10">
        <v>45484.0</v>
      </c>
      <c r="Q2996" s="11">
        <v>1.825</v>
      </c>
      <c r="R2996" s="8" t="s">
        <v>25</v>
      </c>
      <c r="S2996" s="12">
        <f t="shared" si="1"/>
        <v>-0.1</v>
      </c>
      <c r="T2996" s="12">
        <f t="shared" si="8"/>
        <v>94.67640409</v>
      </c>
      <c r="U2996" s="145"/>
    </row>
    <row r="2997">
      <c r="A2997" s="29"/>
      <c r="B2997" s="15" t="s">
        <v>4225</v>
      </c>
      <c r="C2997" s="15" t="s">
        <v>19</v>
      </c>
      <c r="D2997" s="15">
        <v>0.0</v>
      </c>
      <c r="E2997" s="15" t="s">
        <v>5470</v>
      </c>
      <c r="F2997" s="15" t="s">
        <v>1473</v>
      </c>
      <c r="G2997" s="15" t="s">
        <v>1474</v>
      </c>
      <c r="H2997" s="15">
        <v>0.0</v>
      </c>
      <c r="I2997" s="15" t="s">
        <v>463</v>
      </c>
      <c r="J2997" s="15" t="s">
        <v>598</v>
      </c>
      <c r="K2997" s="15" t="s">
        <v>225</v>
      </c>
      <c r="L2997" s="15" t="s">
        <v>1851</v>
      </c>
      <c r="M2997" s="16">
        <v>0.25</v>
      </c>
      <c r="N2997" s="16">
        <v>0.1</v>
      </c>
      <c r="O2997" s="16">
        <v>0.1</v>
      </c>
      <c r="P2997" s="17">
        <v>45485.0</v>
      </c>
      <c r="Q2997" s="18">
        <v>1.82</v>
      </c>
      <c r="R2997" s="15" t="s">
        <v>25</v>
      </c>
      <c r="S2997" s="19">
        <f t="shared" si="1"/>
        <v>-0.1</v>
      </c>
      <c r="T2997" s="19">
        <f t="shared" si="8"/>
        <v>94.57640409</v>
      </c>
      <c r="U2997" s="144"/>
    </row>
    <row r="2998">
      <c r="A2998" s="107"/>
      <c r="B2998" s="8" t="s">
        <v>18</v>
      </c>
      <c r="C2998" s="8" t="s">
        <v>19</v>
      </c>
      <c r="D2998" s="8">
        <v>58.0</v>
      </c>
      <c r="E2998" s="8" t="s">
        <v>5471</v>
      </c>
      <c r="F2998" s="8" t="s">
        <v>1473</v>
      </c>
      <c r="G2998" s="8" t="s">
        <v>1477</v>
      </c>
      <c r="H2998" s="8">
        <v>-1.0</v>
      </c>
      <c r="I2998" s="8" t="s">
        <v>1006</v>
      </c>
      <c r="J2998" s="8" t="s">
        <v>22</v>
      </c>
      <c r="K2998" s="8" t="s">
        <v>894</v>
      </c>
      <c r="L2998" s="8" t="s">
        <v>24</v>
      </c>
      <c r="M2998" s="9">
        <v>-0.25</v>
      </c>
      <c r="N2998" s="9">
        <v>0.25</v>
      </c>
      <c r="O2998" s="9">
        <v>0.25</v>
      </c>
      <c r="P2998" s="10">
        <v>45485.0</v>
      </c>
      <c r="Q2998" s="11">
        <v>2.05</v>
      </c>
      <c r="R2998" s="8" t="s">
        <v>4104</v>
      </c>
      <c r="S2998" s="12">
        <f t="shared" si="1"/>
        <v>-0.125</v>
      </c>
      <c r="T2998" s="12">
        <f t="shared" si="8"/>
        <v>94.45140409</v>
      </c>
      <c r="U2998" s="145"/>
    </row>
    <row r="2999">
      <c r="A2999" s="29"/>
      <c r="B2999" s="15" t="s">
        <v>18</v>
      </c>
      <c r="C2999" s="15" t="s">
        <v>19</v>
      </c>
      <c r="D2999" s="15">
        <v>60.0</v>
      </c>
      <c r="E2999" s="15" t="s">
        <v>5472</v>
      </c>
      <c r="F2999" s="15" t="s">
        <v>1479</v>
      </c>
      <c r="G2999" s="15" t="s">
        <v>1474</v>
      </c>
      <c r="H2999" s="15">
        <v>0.0</v>
      </c>
      <c r="I2999" s="15" t="s">
        <v>28</v>
      </c>
      <c r="J2999" s="15" t="s">
        <v>22</v>
      </c>
      <c r="K2999" s="15" t="s">
        <v>225</v>
      </c>
      <c r="L2999" s="15" t="s">
        <v>24</v>
      </c>
      <c r="M2999" s="16">
        <v>0.5</v>
      </c>
      <c r="N2999" s="16">
        <v>0.5</v>
      </c>
      <c r="O2999" s="16">
        <v>0.2</v>
      </c>
      <c r="P2999" s="17">
        <v>45486.0</v>
      </c>
      <c r="Q2999" s="18">
        <v>1.7</v>
      </c>
      <c r="R2999" s="15" t="s">
        <v>70</v>
      </c>
      <c r="S2999" s="19">
        <f t="shared" si="1"/>
        <v>0</v>
      </c>
      <c r="T2999" s="19">
        <f t="shared" si="8"/>
        <v>94.45140409</v>
      </c>
      <c r="U2999" s="144"/>
    </row>
    <row r="3000">
      <c r="A3000" s="107"/>
      <c r="B3000" s="31" t="s">
        <v>4225</v>
      </c>
      <c r="C3000" s="32" t="s">
        <v>19</v>
      </c>
      <c r="D3000" s="8">
        <v>65.0</v>
      </c>
      <c r="E3000" s="32" t="s">
        <v>5473</v>
      </c>
      <c r="F3000" s="8" t="s">
        <v>1473</v>
      </c>
      <c r="G3000" s="8" t="s">
        <v>1477</v>
      </c>
      <c r="H3000" s="8">
        <v>-1.0</v>
      </c>
      <c r="I3000" s="8" t="s">
        <v>78</v>
      </c>
      <c r="J3000" s="8" t="s">
        <v>22</v>
      </c>
      <c r="K3000" s="8" t="s">
        <v>894</v>
      </c>
      <c r="L3000" s="8" t="s">
        <v>39</v>
      </c>
      <c r="M3000" s="9">
        <v>-0.25</v>
      </c>
      <c r="N3000" s="9">
        <v>0.2</v>
      </c>
      <c r="O3000" s="9">
        <v>0.2</v>
      </c>
      <c r="P3000" s="10">
        <v>45486.0</v>
      </c>
      <c r="Q3000" s="11">
        <v>1.875</v>
      </c>
      <c r="R3000" s="32" t="s">
        <v>33</v>
      </c>
      <c r="S3000" s="12">
        <f t="shared" si="1"/>
        <v>0.175</v>
      </c>
      <c r="T3000" s="12">
        <f t="shared" si="8"/>
        <v>94.62640409</v>
      </c>
      <c r="U3000" s="145"/>
    </row>
    <row r="3001">
      <c r="A3001" s="29"/>
      <c r="B3001" s="15" t="s">
        <v>4225</v>
      </c>
      <c r="C3001" s="42" t="s">
        <v>19</v>
      </c>
      <c r="D3001" s="42">
        <v>66.0</v>
      </c>
      <c r="E3001" s="42" t="s">
        <v>5474</v>
      </c>
      <c r="F3001" s="42" t="s">
        <v>1479</v>
      </c>
      <c r="G3001" s="42" t="s">
        <v>1474</v>
      </c>
      <c r="H3001" s="42">
        <v>0.0</v>
      </c>
      <c r="I3001" s="42" t="s">
        <v>28</v>
      </c>
      <c r="J3001" s="42" t="s">
        <v>22</v>
      </c>
      <c r="K3001" s="42" t="s">
        <v>225</v>
      </c>
      <c r="L3001" s="15" t="s">
        <v>39</v>
      </c>
      <c r="M3001" s="43">
        <v>0.25</v>
      </c>
      <c r="N3001" s="43">
        <v>0.2</v>
      </c>
      <c r="O3001" s="43">
        <v>0.2</v>
      </c>
      <c r="P3001" s="165">
        <v>45486.0</v>
      </c>
      <c r="Q3001" s="44">
        <v>1.1</v>
      </c>
      <c r="R3001" s="42" t="s">
        <v>30</v>
      </c>
      <c r="S3001" s="19">
        <f t="shared" si="1"/>
        <v>0.01</v>
      </c>
      <c r="T3001" s="19">
        <f t="shared" si="8"/>
        <v>94.63640409</v>
      </c>
      <c r="U3001" s="144"/>
    </row>
    <row r="3002">
      <c r="A3002" s="107"/>
      <c r="B3002" s="8" t="s">
        <v>18</v>
      </c>
      <c r="C3002" s="8" t="s">
        <v>19</v>
      </c>
      <c r="D3002" s="8">
        <v>30.0</v>
      </c>
      <c r="E3002" s="8" t="s">
        <v>5475</v>
      </c>
      <c r="F3002" s="8" t="s">
        <v>1473</v>
      </c>
      <c r="G3002" s="8" t="s">
        <v>1480</v>
      </c>
      <c r="H3002" s="8">
        <v>0.0</v>
      </c>
      <c r="I3002" s="8" t="s">
        <v>635</v>
      </c>
      <c r="J3002" s="8" t="s">
        <v>22</v>
      </c>
      <c r="K3002" s="8" t="s">
        <v>892</v>
      </c>
      <c r="L3002" s="8" t="s">
        <v>24</v>
      </c>
      <c r="M3002" s="9">
        <v>0.0</v>
      </c>
      <c r="N3002" s="9">
        <v>0.5</v>
      </c>
      <c r="O3002" s="9">
        <v>0.2</v>
      </c>
      <c r="P3002" s="54">
        <v>45486.0</v>
      </c>
      <c r="Q3002" s="11">
        <v>1.8</v>
      </c>
      <c r="R3002" s="8" t="s">
        <v>33</v>
      </c>
      <c r="S3002" s="12">
        <f t="shared" si="1"/>
        <v>0.16</v>
      </c>
      <c r="T3002" s="12">
        <f t="shared" si="8"/>
        <v>94.79640409</v>
      </c>
      <c r="U3002" s="145"/>
    </row>
    <row r="3003">
      <c r="A3003" s="29"/>
      <c r="B3003" s="15" t="s">
        <v>18</v>
      </c>
      <c r="C3003" s="15" t="s">
        <v>40</v>
      </c>
      <c r="D3003" s="15">
        <v>35.0</v>
      </c>
      <c r="E3003" s="95" t="s">
        <v>5476</v>
      </c>
      <c r="F3003" s="15" t="s">
        <v>1473</v>
      </c>
      <c r="G3003" s="15" t="s">
        <v>1480</v>
      </c>
      <c r="H3003" s="15">
        <v>0.0</v>
      </c>
      <c r="I3003" s="15" t="s">
        <v>1085</v>
      </c>
      <c r="J3003" s="15" t="s">
        <v>22</v>
      </c>
      <c r="K3003" s="15" t="s">
        <v>892</v>
      </c>
      <c r="L3003" s="15" t="s">
        <v>24</v>
      </c>
      <c r="M3003" s="16">
        <v>0.0</v>
      </c>
      <c r="N3003" s="16">
        <v>0.25</v>
      </c>
      <c r="O3003" s="16">
        <v>0.25</v>
      </c>
      <c r="P3003" s="55">
        <v>45486.0</v>
      </c>
      <c r="Q3003" s="18">
        <v>1.95</v>
      </c>
      <c r="R3003" s="15" t="s">
        <v>70</v>
      </c>
      <c r="S3003" s="19">
        <f t="shared" si="1"/>
        <v>0</v>
      </c>
      <c r="T3003" s="19">
        <f t="shared" si="8"/>
        <v>94.79640409</v>
      </c>
      <c r="U3003" s="144"/>
    </row>
    <row r="3004">
      <c r="A3004" s="107"/>
      <c r="B3004" s="8" t="s">
        <v>18</v>
      </c>
      <c r="C3004" s="8" t="s">
        <v>40</v>
      </c>
      <c r="D3004" s="8">
        <v>63.0</v>
      </c>
      <c r="E3004" s="8" t="s">
        <v>5477</v>
      </c>
      <c r="F3004" s="8" t="s">
        <v>1473</v>
      </c>
      <c r="G3004" s="8" t="s">
        <v>1480</v>
      </c>
      <c r="H3004" s="8">
        <v>0.0</v>
      </c>
      <c r="I3004" s="8" t="s">
        <v>28</v>
      </c>
      <c r="J3004" s="8" t="s">
        <v>22</v>
      </c>
      <c r="K3004" s="8" t="s">
        <v>894</v>
      </c>
      <c r="L3004" s="8" t="s">
        <v>24</v>
      </c>
      <c r="M3004" s="9">
        <v>-0.25</v>
      </c>
      <c r="N3004" s="9">
        <v>0.5</v>
      </c>
      <c r="O3004" s="9">
        <v>0.5</v>
      </c>
      <c r="P3004" s="10">
        <v>45486.0</v>
      </c>
      <c r="Q3004" s="11">
        <v>1.865</v>
      </c>
      <c r="R3004" s="8" t="s">
        <v>4104</v>
      </c>
      <c r="S3004" s="12">
        <f t="shared" si="1"/>
        <v>-0.25</v>
      </c>
      <c r="T3004" s="12">
        <f t="shared" si="8"/>
        <v>94.54640409</v>
      </c>
      <c r="U3004" s="145"/>
    </row>
    <row r="3005">
      <c r="A3005" s="29"/>
      <c r="B3005" s="15" t="s">
        <v>4225</v>
      </c>
      <c r="C3005" s="15" t="s">
        <v>19</v>
      </c>
      <c r="D3005" s="15">
        <v>62.0</v>
      </c>
      <c r="E3005" s="15" t="s">
        <v>5478</v>
      </c>
      <c r="F3005" s="15" t="s">
        <v>1479</v>
      </c>
      <c r="G3005" s="15" t="s">
        <v>1477</v>
      </c>
      <c r="H3005" s="15">
        <v>-1.0</v>
      </c>
      <c r="I3005" s="15" t="s">
        <v>1006</v>
      </c>
      <c r="J3005" s="15" t="s">
        <v>22</v>
      </c>
      <c r="K3005" s="15" t="s">
        <v>894</v>
      </c>
      <c r="L3005" s="15" t="s">
        <v>24</v>
      </c>
      <c r="M3005" s="16">
        <v>-0.25</v>
      </c>
      <c r="N3005" s="16">
        <v>0.2</v>
      </c>
      <c r="O3005" s="16">
        <v>0.2</v>
      </c>
      <c r="P3005" s="17">
        <v>45486.0</v>
      </c>
      <c r="Q3005" s="18">
        <v>1.69</v>
      </c>
      <c r="R3005" s="15" t="s">
        <v>33</v>
      </c>
      <c r="S3005" s="19">
        <f t="shared" si="1"/>
        <v>0.138</v>
      </c>
      <c r="T3005" s="19">
        <f t="shared" si="8"/>
        <v>94.68440409</v>
      </c>
      <c r="U3005" s="144"/>
    </row>
    <row r="3006">
      <c r="A3006" s="107"/>
      <c r="B3006" s="8" t="s">
        <v>18</v>
      </c>
      <c r="C3006" s="8" t="s">
        <v>19</v>
      </c>
      <c r="D3006" s="8">
        <v>55.0</v>
      </c>
      <c r="E3006" s="8" t="s">
        <v>5479</v>
      </c>
      <c r="F3006" s="8" t="s">
        <v>1473</v>
      </c>
      <c r="G3006" s="8" t="s">
        <v>1477</v>
      </c>
      <c r="H3006" s="8">
        <v>-1.0</v>
      </c>
      <c r="I3006" s="8" t="s">
        <v>82</v>
      </c>
      <c r="J3006" s="8" t="s">
        <v>22</v>
      </c>
      <c r="K3006" s="8" t="s">
        <v>894</v>
      </c>
      <c r="L3006" s="8" t="s">
        <v>24</v>
      </c>
      <c r="M3006" s="9">
        <v>-0.5</v>
      </c>
      <c r="N3006" s="9">
        <v>0.1</v>
      </c>
      <c r="O3006" s="9">
        <v>0.1</v>
      </c>
      <c r="P3006" s="10">
        <v>45486.0</v>
      </c>
      <c r="Q3006" s="11">
        <v>2.075</v>
      </c>
      <c r="R3006" s="8" t="s">
        <v>33</v>
      </c>
      <c r="S3006" s="12">
        <f t="shared" si="1"/>
        <v>0.1075</v>
      </c>
      <c r="T3006" s="12">
        <f t="shared" si="8"/>
        <v>94.79190409</v>
      </c>
      <c r="U3006" s="145"/>
    </row>
    <row r="3007">
      <c r="A3007" s="29"/>
      <c r="B3007" s="15" t="s">
        <v>18</v>
      </c>
      <c r="C3007" s="15" t="s">
        <v>19</v>
      </c>
      <c r="D3007" s="15">
        <v>60.0</v>
      </c>
      <c r="E3007" s="15" t="s">
        <v>5480</v>
      </c>
      <c r="F3007" s="15" t="s">
        <v>1473</v>
      </c>
      <c r="G3007" s="15" t="s">
        <v>1477</v>
      </c>
      <c r="H3007" s="15">
        <v>-1.0</v>
      </c>
      <c r="I3007" s="15" t="s">
        <v>82</v>
      </c>
      <c r="J3007" s="15" t="s">
        <v>22</v>
      </c>
      <c r="K3007" s="15" t="s">
        <v>894</v>
      </c>
      <c r="L3007" s="15" t="s">
        <v>24</v>
      </c>
      <c r="M3007" s="16">
        <v>0.25</v>
      </c>
      <c r="N3007" s="16">
        <v>0.2</v>
      </c>
      <c r="O3007" s="16">
        <v>0.2</v>
      </c>
      <c r="P3007" s="17">
        <v>45486.0</v>
      </c>
      <c r="Q3007" s="18">
        <v>1.725</v>
      </c>
      <c r="R3007" s="15" t="s">
        <v>33</v>
      </c>
      <c r="S3007" s="19">
        <f t="shared" si="1"/>
        <v>0.145</v>
      </c>
      <c r="T3007" s="19">
        <f t="shared" si="8"/>
        <v>94.93690409</v>
      </c>
      <c r="U3007" s="144"/>
    </row>
    <row r="3008">
      <c r="A3008" s="107"/>
      <c r="B3008" s="8" t="s">
        <v>129</v>
      </c>
      <c r="C3008" s="8" t="s">
        <v>40</v>
      </c>
      <c r="D3008" s="8">
        <v>60.0</v>
      </c>
      <c r="E3008" s="8" t="s">
        <v>5481</v>
      </c>
      <c r="F3008" s="8" t="s">
        <v>1473</v>
      </c>
      <c r="G3008" s="8" t="s">
        <v>1480</v>
      </c>
      <c r="H3008" s="8">
        <v>0.0</v>
      </c>
      <c r="I3008" s="8" t="s">
        <v>768</v>
      </c>
      <c r="J3008" s="8" t="s">
        <v>22</v>
      </c>
      <c r="K3008" s="8" t="s">
        <v>941</v>
      </c>
      <c r="L3008" s="8" t="s">
        <v>24</v>
      </c>
      <c r="M3008" s="9">
        <v>0.0</v>
      </c>
      <c r="N3008" s="9">
        <v>0.25</v>
      </c>
      <c r="O3008" s="9">
        <v>0.25</v>
      </c>
      <c r="P3008" s="10">
        <v>45486.0</v>
      </c>
      <c r="Q3008" s="11">
        <v>2.25</v>
      </c>
      <c r="R3008" s="8" t="s">
        <v>33</v>
      </c>
      <c r="S3008" s="12">
        <f t="shared" si="1"/>
        <v>0.3125</v>
      </c>
      <c r="T3008" s="12">
        <f t="shared" si="8"/>
        <v>95.24940409</v>
      </c>
      <c r="U3008" s="145"/>
    </row>
    <row r="3009">
      <c r="A3009" s="29"/>
      <c r="B3009" s="15" t="s">
        <v>18</v>
      </c>
      <c r="C3009" s="15" t="s">
        <v>19</v>
      </c>
      <c r="D3009" s="15">
        <v>73.0</v>
      </c>
      <c r="E3009" s="15" t="s">
        <v>5482</v>
      </c>
      <c r="F3009" s="15" t="s">
        <v>1473</v>
      </c>
      <c r="G3009" s="15" t="s">
        <v>1474</v>
      </c>
      <c r="H3009" s="15">
        <v>-1.0</v>
      </c>
      <c r="I3009" s="15" t="s">
        <v>1368</v>
      </c>
      <c r="J3009" s="15" t="s">
        <v>22</v>
      </c>
      <c r="K3009" s="42" t="s">
        <v>225</v>
      </c>
      <c r="L3009" s="15" t="s">
        <v>24</v>
      </c>
      <c r="M3009" s="16">
        <f>0.5</f>
        <v>0.5</v>
      </c>
      <c r="N3009" s="16">
        <v>0.2</v>
      </c>
      <c r="O3009" s="16">
        <v>0.2</v>
      </c>
      <c r="P3009" s="17">
        <v>45487.0</v>
      </c>
      <c r="Q3009" s="18">
        <v>1.1</v>
      </c>
      <c r="R3009" s="15" t="s">
        <v>33</v>
      </c>
      <c r="S3009" s="19">
        <f t="shared" si="1"/>
        <v>0.02</v>
      </c>
      <c r="T3009" s="19">
        <f t="shared" si="8"/>
        <v>95.26940409</v>
      </c>
      <c r="U3009" s="144"/>
    </row>
    <row r="3010">
      <c r="A3010" s="107"/>
      <c r="B3010" s="8" t="s">
        <v>129</v>
      </c>
      <c r="C3010" s="8" t="s">
        <v>19</v>
      </c>
      <c r="D3010" s="8">
        <v>65.0</v>
      </c>
      <c r="E3010" s="8" t="s">
        <v>5483</v>
      </c>
      <c r="F3010" s="8" t="s">
        <v>1479</v>
      </c>
      <c r="G3010" s="8" t="s">
        <v>1474</v>
      </c>
      <c r="H3010" s="8">
        <v>-3.0</v>
      </c>
      <c r="I3010" s="8" t="s">
        <v>2873</v>
      </c>
      <c r="J3010" s="8" t="s">
        <v>22</v>
      </c>
      <c r="K3010" s="8" t="s">
        <v>892</v>
      </c>
      <c r="L3010" s="8" t="s">
        <v>24</v>
      </c>
      <c r="M3010" s="9">
        <v>0.0</v>
      </c>
      <c r="N3010" s="9">
        <v>0.4</v>
      </c>
      <c r="O3010" s="9">
        <v>0.36</v>
      </c>
      <c r="P3010" s="10">
        <v>45487.0</v>
      </c>
      <c r="Q3010" s="11">
        <v>2.25</v>
      </c>
      <c r="R3010" s="8" t="s">
        <v>70</v>
      </c>
      <c r="S3010" s="12">
        <f t="shared" si="1"/>
        <v>0</v>
      </c>
      <c r="T3010" s="12">
        <f t="shared" si="8"/>
        <v>95.26940409</v>
      </c>
      <c r="U3010" s="145"/>
    </row>
    <row r="3011">
      <c r="A3011" s="29"/>
      <c r="B3011" s="15" t="s">
        <v>18</v>
      </c>
      <c r="C3011" s="15" t="s">
        <v>19</v>
      </c>
      <c r="D3011" s="15">
        <v>40.0</v>
      </c>
      <c r="E3011" s="15" t="s">
        <v>5484</v>
      </c>
      <c r="F3011" s="15" t="s">
        <v>1479</v>
      </c>
      <c r="G3011" s="15" t="s">
        <v>1477</v>
      </c>
      <c r="H3011" s="15">
        <v>0.0</v>
      </c>
      <c r="I3011" s="15" t="s">
        <v>174</v>
      </c>
      <c r="J3011" s="15" t="s">
        <v>22</v>
      </c>
      <c r="K3011" s="15" t="s">
        <v>892</v>
      </c>
      <c r="L3011" s="15" t="s">
        <v>24</v>
      </c>
      <c r="M3011" s="16">
        <v>0.0</v>
      </c>
      <c r="N3011" s="16">
        <v>0.25</v>
      </c>
      <c r="O3011" s="16">
        <v>0.025</v>
      </c>
      <c r="P3011" s="17">
        <v>45487.0</v>
      </c>
      <c r="Q3011" s="18">
        <v>1.8</v>
      </c>
      <c r="R3011" s="15" t="s">
        <v>33</v>
      </c>
      <c r="S3011" s="19">
        <f t="shared" si="1"/>
        <v>0.02</v>
      </c>
      <c r="T3011" s="19">
        <f t="shared" si="8"/>
        <v>95.28940409</v>
      </c>
      <c r="U3011" s="144"/>
    </row>
    <row r="3012">
      <c r="A3012" s="107"/>
      <c r="B3012" s="8" t="s">
        <v>18</v>
      </c>
      <c r="C3012" s="8" t="s">
        <v>19</v>
      </c>
      <c r="D3012" s="8">
        <v>65.0</v>
      </c>
      <c r="E3012" s="8" t="s">
        <v>5485</v>
      </c>
      <c r="F3012" s="8" t="s">
        <v>1473</v>
      </c>
      <c r="G3012" s="8" t="s">
        <v>1477</v>
      </c>
      <c r="H3012" s="8">
        <v>-1.0</v>
      </c>
      <c r="I3012" s="8" t="s">
        <v>74</v>
      </c>
      <c r="J3012" s="8" t="s">
        <v>22</v>
      </c>
      <c r="K3012" s="8" t="s">
        <v>892</v>
      </c>
      <c r="L3012" s="8" t="s">
        <v>24</v>
      </c>
      <c r="M3012" s="9">
        <v>0.0</v>
      </c>
      <c r="N3012" s="9">
        <v>0.4</v>
      </c>
      <c r="O3012" s="9">
        <v>0.4</v>
      </c>
      <c r="P3012" s="10">
        <v>45487.0</v>
      </c>
      <c r="Q3012" s="11">
        <v>2.025</v>
      </c>
      <c r="R3012" s="8" t="s">
        <v>33</v>
      </c>
      <c r="S3012" s="12">
        <f t="shared" si="1"/>
        <v>0.41</v>
      </c>
      <c r="T3012" s="12">
        <f t="shared" si="8"/>
        <v>95.69940409</v>
      </c>
      <c r="U3012" s="145"/>
    </row>
    <row r="3013">
      <c r="A3013" s="29"/>
      <c r="B3013" s="15" t="s">
        <v>4225</v>
      </c>
      <c r="C3013" s="15" t="s">
        <v>19</v>
      </c>
      <c r="D3013" s="15">
        <v>0.0</v>
      </c>
      <c r="E3013" s="15" t="s">
        <v>5486</v>
      </c>
      <c r="F3013" s="15"/>
      <c r="G3013" s="15"/>
      <c r="H3013" s="15"/>
      <c r="I3013" s="15" t="s">
        <v>5487</v>
      </c>
      <c r="J3013" s="15" t="s">
        <v>598</v>
      </c>
      <c r="K3013" s="15" t="s">
        <v>29</v>
      </c>
      <c r="L3013" s="15" t="s">
        <v>24</v>
      </c>
      <c r="M3013" s="16">
        <v>-2.25</v>
      </c>
      <c r="N3013" s="16">
        <v>0.5</v>
      </c>
      <c r="O3013" s="16">
        <v>0.25</v>
      </c>
      <c r="P3013" s="17">
        <v>45489.0</v>
      </c>
      <c r="Q3013" s="18">
        <v>1.7</v>
      </c>
      <c r="R3013" s="15" t="s">
        <v>33</v>
      </c>
      <c r="S3013" s="19">
        <f t="shared" si="1"/>
        <v>0.175</v>
      </c>
      <c r="T3013" s="19">
        <f t="shared" si="8"/>
        <v>95.87440409</v>
      </c>
      <c r="U3013" s="144"/>
    </row>
    <row r="3014">
      <c r="A3014" s="107"/>
      <c r="B3014" s="8" t="s">
        <v>4225</v>
      </c>
      <c r="C3014" s="8" t="s">
        <v>19</v>
      </c>
      <c r="D3014" s="8">
        <v>0.0</v>
      </c>
      <c r="E3014" s="8" t="s">
        <v>5488</v>
      </c>
      <c r="F3014" s="8"/>
      <c r="G3014" s="8"/>
      <c r="H3014" s="8"/>
      <c r="I3014" s="8" t="s">
        <v>5487</v>
      </c>
      <c r="J3014" s="8" t="s">
        <v>598</v>
      </c>
      <c r="K3014" s="8" t="s">
        <v>29</v>
      </c>
      <c r="L3014" s="8" t="s">
        <v>24</v>
      </c>
      <c r="M3014" s="9">
        <v>-2.0</v>
      </c>
      <c r="N3014" s="9">
        <v>0.25</v>
      </c>
      <c r="O3014" s="9">
        <v>0.25</v>
      </c>
      <c r="P3014" s="10">
        <v>45489.0</v>
      </c>
      <c r="Q3014" s="11">
        <v>2.0</v>
      </c>
      <c r="R3014" s="8" t="s">
        <v>33</v>
      </c>
      <c r="S3014" s="12">
        <f t="shared" si="1"/>
        <v>0.25</v>
      </c>
      <c r="T3014" s="12">
        <f t="shared" si="8"/>
        <v>96.12440409</v>
      </c>
      <c r="U3014" s="145"/>
    </row>
    <row r="3015">
      <c r="A3015" s="29"/>
      <c r="B3015" s="15" t="s">
        <v>137</v>
      </c>
      <c r="C3015" s="15" t="s">
        <v>19</v>
      </c>
      <c r="D3015" s="15">
        <v>65.0</v>
      </c>
      <c r="E3015" s="15" t="s">
        <v>5489</v>
      </c>
      <c r="F3015" s="15" t="s">
        <v>1479</v>
      </c>
      <c r="G3015" s="15" t="s">
        <v>1480</v>
      </c>
      <c r="H3015" s="15">
        <v>4.0</v>
      </c>
      <c r="I3015" s="15" t="s">
        <v>28</v>
      </c>
      <c r="J3015" s="15" t="s">
        <v>22</v>
      </c>
      <c r="K3015" s="15" t="s">
        <v>892</v>
      </c>
      <c r="L3015" s="15" t="s">
        <v>24</v>
      </c>
      <c r="M3015" s="16">
        <v>0.0</v>
      </c>
      <c r="N3015" s="16">
        <v>0.5</v>
      </c>
      <c r="O3015" s="16">
        <v>0.5</v>
      </c>
      <c r="P3015" s="17">
        <v>45489.0</v>
      </c>
      <c r="Q3015" s="18">
        <v>1.82</v>
      </c>
      <c r="R3015" s="15" t="s">
        <v>25</v>
      </c>
      <c r="S3015" s="19">
        <f t="shared" si="1"/>
        <v>-0.5</v>
      </c>
      <c r="T3015" s="19">
        <f t="shared" si="8"/>
        <v>95.62440409</v>
      </c>
      <c r="U3015" s="144"/>
    </row>
    <row r="3016">
      <c r="A3016" s="107"/>
      <c r="B3016" s="161" t="s">
        <v>4225</v>
      </c>
      <c r="C3016" s="148" t="s">
        <v>19</v>
      </c>
      <c r="D3016" s="148">
        <v>0.0</v>
      </c>
      <c r="E3016" s="32" t="s">
        <v>5490</v>
      </c>
      <c r="F3016" s="8" t="s">
        <v>1473</v>
      </c>
      <c r="G3016" s="8" t="s">
        <v>1477</v>
      </c>
      <c r="H3016" s="8">
        <v>0.0</v>
      </c>
      <c r="I3016" s="32" t="s">
        <v>187</v>
      </c>
      <c r="J3016" s="32" t="s">
        <v>22</v>
      </c>
      <c r="K3016" s="32" t="s">
        <v>894</v>
      </c>
      <c r="L3016" s="148" t="s">
        <v>39</v>
      </c>
      <c r="M3016" s="33">
        <v>-0.5</v>
      </c>
      <c r="N3016" s="33">
        <v>0.25</v>
      </c>
      <c r="O3016" s="33">
        <v>0.25</v>
      </c>
      <c r="P3016" s="106">
        <v>45489.0</v>
      </c>
      <c r="Q3016" s="35">
        <v>1.725</v>
      </c>
      <c r="R3016" s="8" t="s">
        <v>33</v>
      </c>
      <c r="S3016" s="12">
        <f t="shared" si="1"/>
        <v>0.18125</v>
      </c>
      <c r="T3016" s="12">
        <f t="shared" si="8"/>
        <v>95.80565409</v>
      </c>
      <c r="U3016" s="145"/>
    </row>
    <row r="3017">
      <c r="A3017" s="29"/>
      <c r="B3017" s="149" t="s">
        <v>4225</v>
      </c>
      <c r="C3017" s="150" t="s">
        <v>19</v>
      </c>
      <c r="D3017" s="150">
        <v>0.0</v>
      </c>
      <c r="E3017" s="150" t="s">
        <v>5491</v>
      </c>
      <c r="F3017" s="15"/>
      <c r="G3017" s="15"/>
      <c r="H3017" s="15"/>
      <c r="I3017" s="150" t="s">
        <v>82</v>
      </c>
      <c r="J3017" s="150" t="s">
        <v>598</v>
      </c>
      <c r="K3017" s="150" t="s">
        <v>29</v>
      </c>
      <c r="L3017" s="150" t="s">
        <v>39</v>
      </c>
      <c r="M3017" s="151">
        <v>-2.0</v>
      </c>
      <c r="N3017" s="151">
        <v>0.1</v>
      </c>
      <c r="O3017" s="151">
        <v>0.1</v>
      </c>
      <c r="P3017" s="168">
        <v>45490.0</v>
      </c>
      <c r="Q3017" s="169">
        <v>1.8</v>
      </c>
      <c r="R3017" s="15" t="s">
        <v>70</v>
      </c>
      <c r="S3017" s="19">
        <f t="shared" si="1"/>
        <v>0</v>
      </c>
      <c r="T3017" s="19">
        <f t="shared" si="8"/>
        <v>95.80565409</v>
      </c>
      <c r="U3017" s="144"/>
    </row>
    <row r="3018">
      <c r="A3018" s="107"/>
      <c r="B3018" s="8" t="s">
        <v>18</v>
      </c>
      <c r="C3018" s="8" t="s">
        <v>19</v>
      </c>
      <c r="D3018" s="8">
        <v>20.0</v>
      </c>
      <c r="E3018" s="8" t="s">
        <v>5492</v>
      </c>
      <c r="F3018" s="8" t="s">
        <v>1479</v>
      </c>
      <c r="G3018" s="8" t="s">
        <v>1477</v>
      </c>
      <c r="H3018" s="8">
        <v>0.0</v>
      </c>
      <c r="I3018" s="8" t="s">
        <v>5487</v>
      </c>
      <c r="J3018" s="8" t="s">
        <v>22</v>
      </c>
      <c r="K3018" s="8" t="s">
        <v>894</v>
      </c>
      <c r="L3018" s="8" t="s">
        <v>24</v>
      </c>
      <c r="M3018" s="9">
        <v>-0.5</v>
      </c>
      <c r="N3018" s="9">
        <v>0.25</v>
      </c>
      <c r="O3018" s="9">
        <v>0.25</v>
      </c>
      <c r="P3018" s="10">
        <v>45490.0</v>
      </c>
      <c r="Q3018" s="11">
        <v>1.775</v>
      </c>
      <c r="R3018" s="8" t="s">
        <v>33</v>
      </c>
      <c r="S3018" s="12">
        <f t="shared" si="1"/>
        <v>0.19375</v>
      </c>
      <c r="T3018" s="12">
        <f t="shared" si="8"/>
        <v>95.99940409</v>
      </c>
      <c r="U3018" s="145"/>
    </row>
    <row r="3019">
      <c r="A3019" s="29"/>
      <c r="B3019" s="15" t="s">
        <v>4225</v>
      </c>
      <c r="C3019" s="15" t="s">
        <v>40</v>
      </c>
      <c r="D3019" s="15">
        <v>28.0</v>
      </c>
      <c r="E3019" s="15" t="s">
        <v>5493</v>
      </c>
      <c r="F3019" s="15" t="s">
        <v>1479</v>
      </c>
      <c r="G3019" s="15" t="s">
        <v>1480</v>
      </c>
      <c r="H3019" s="15">
        <v>0.0</v>
      </c>
      <c r="I3019" s="15" t="s">
        <v>233</v>
      </c>
      <c r="J3019" s="15" t="s">
        <v>22</v>
      </c>
      <c r="K3019" s="15" t="s">
        <v>892</v>
      </c>
      <c r="L3019" s="15" t="s">
        <v>24</v>
      </c>
      <c r="M3019" s="16">
        <v>0.0</v>
      </c>
      <c r="N3019" s="16">
        <v>0.5</v>
      </c>
      <c r="O3019" s="16">
        <v>0.5</v>
      </c>
      <c r="P3019" s="17">
        <v>45490.0</v>
      </c>
      <c r="Q3019" s="18">
        <v>1.8</v>
      </c>
      <c r="R3019" s="15" t="s">
        <v>25</v>
      </c>
      <c r="S3019" s="19">
        <f t="shared" si="1"/>
        <v>-0.5</v>
      </c>
      <c r="T3019" s="19">
        <f t="shared" si="8"/>
        <v>95.49940409</v>
      </c>
      <c r="U3019" s="144"/>
    </row>
    <row r="3020">
      <c r="A3020" s="107"/>
      <c r="B3020" s="8" t="s">
        <v>4225</v>
      </c>
      <c r="C3020" s="8" t="s">
        <v>19</v>
      </c>
      <c r="D3020" s="8">
        <v>22.0</v>
      </c>
      <c r="E3020" s="8" t="s">
        <v>5494</v>
      </c>
      <c r="F3020" s="8"/>
      <c r="G3020" s="8"/>
      <c r="H3020" s="8"/>
      <c r="I3020" s="8" t="s">
        <v>248</v>
      </c>
      <c r="J3020" s="8" t="s">
        <v>22</v>
      </c>
      <c r="K3020" s="8" t="s">
        <v>29</v>
      </c>
      <c r="L3020" s="8" t="s">
        <v>24</v>
      </c>
      <c r="M3020" s="9">
        <v>-2.25</v>
      </c>
      <c r="N3020" s="9">
        <v>0.25</v>
      </c>
      <c r="O3020" s="9">
        <v>0.25</v>
      </c>
      <c r="P3020" s="10">
        <v>45490.0</v>
      </c>
      <c r="Q3020" s="11">
        <v>2.0</v>
      </c>
      <c r="R3020" s="8" t="s">
        <v>25</v>
      </c>
      <c r="S3020" s="12">
        <f t="shared" si="1"/>
        <v>-0.25</v>
      </c>
      <c r="T3020" s="12">
        <f t="shared" si="8"/>
        <v>95.24940409</v>
      </c>
      <c r="U3020" s="145"/>
    </row>
    <row r="3021">
      <c r="A3021" s="29"/>
      <c r="B3021" s="15" t="s">
        <v>137</v>
      </c>
      <c r="C3021" s="15" t="s">
        <v>19</v>
      </c>
      <c r="D3021" s="15">
        <v>30.0</v>
      </c>
      <c r="E3021" s="15" t="s">
        <v>5495</v>
      </c>
      <c r="F3021" s="15" t="s">
        <v>1479</v>
      </c>
      <c r="G3021" s="15" t="s">
        <v>1477</v>
      </c>
      <c r="H3021" s="15">
        <v>0.0</v>
      </c>
      <c r="I3021" s="15" t="s">
        <v>319</v>
      </c>
      <c r="J3021" s="15" t="s">
        <v>22</v>
      </c>
      <c r="K3021" s="15" t="s">
        <v>894</v>
      </c>
      <c r="L3021" s="15" t="s">
        <v>24</v>
      </c>
      <c r="M3021" s="16">
        <v>-0.5</v>
      </c>
      <c r="N3021" s="16">
        <v>0.25</v>
      </c>
      <c r="O3021" s="16">
        <v>0.25</v>
      </c>
      <c r="P3021" s="17">
        <v>45490.0</v>
      </c>
      <c r="Q3021" s="18">
        <v>1.9</v>
      </c>
      <c r="R3021" s="15" t="s">
        <v>33</v>
      </c>
      <c r="S3021" s="19">
        <f t="shared" si="1"/>
        <v>0.225</v>
      </c>
      <c r="T3021" s="19">
        <f t="shared" si="8"/>
        <v>95.47440409</v>
      </c>
      <c r="U3021" s="144"/>
    </row>
    <row r="3022">
      <c r="A3022" s="107"/>
      <c r="B3022" s="8" t="s">
        <v>137</v>
      </c>
      <c r="C3022" s="8" t="s">
        <v>19</v>
      </c>
      <c r="D3022" s="8">
        <v>25.0</v>
      </c>
      <c r="E3022" s="8" t="s">
        <v>5496</v>
      </c>
      <c r="F3022" s="8" t="s">
        <v>1479</v>
      </c>
      <c r="G3022" s="8" t="s">
        <v>1477</v>
      </c>
      <c r="H3022" s="8">
        <v>0.0</v>
      </c>
      <c r="I3022" s="8" t="s">
        <v>84</v>
      </c>
      <c r="J3022" s="8" t="s">
        <v>22</v>
      </c>
      <c r="K3022" s="8" t="s">
        <v>894</v>
      </c>
      <c r="L3022" s="8" t="s">
        <v>24</v>
      </c>
      <c r="M3022" s="9">
        <v>-0.25</v>
      </c>
      <c r="N3022" s="9">
        <v>0.75</v>
      </c>
      <c r="O3022" s="9">
        <v>0.75</v>
      </c>
      <c r="P3022" s="10">
        <v>45492.0</v>
      </c>
      <c r="Q3022" s="11">
        <v>1.775</v>
      </c>
      <c r="R3022" s="8" t="s">
        <v>33</v>
      </c>
      <c r="S3022" s="12">
        <f t="shared" si="1"/>
        <v>0.58125</v>
      </c>
      <c r="T3022" s="12">
        <f t="shared" si="8"/>
        <v>96.05565409</v>
      </c>
      <c r="U3022" s="145"/>
    </row>
    <row r="3023">
      <c r="A3023" s="29"/>
      <c r="B3023" s="15" t="s">
        <v>4225</v>
      </c>
      <c r="C3023" s="15" t="s">
        <v>19</v>
      </c>
      <c r="D3023" s="15">
        <v>35.0</v>
      </c>
      <c r="E3023" s="15" t="s">
        <v>5497</v>
      </c>
      <c r="F3023" s="15" t="s">
        <v>1473</v>
      </c>
      <c r="G3023" s="15" t="s">
        <v>1477</v>
      </c>
      <c r="H3023" s="15">
        <v>1.0</v>
      </c>
      <c r="I3023" s="15" t="s">
        <v>642</v>
      </c>
      <c r="J3023" s="15" t="s">
        <v>22</v>
      </c>
      <c r="K3023" s="15" t="s">
        <v>894</v>
      </c>
      <c r="L3023" s="15" t="s">
        <v>39</v>
      </c>
      <c r="M3023" s="16">
        <v>-0.5</v>
      </c>
      <c r="N3023" s="16">
        <v>0.25</v>
      </c>
      <c r="O3023" s="16">
        <v>0.25</v>
      </c>
      <c r="P3023" s="17">
        <v>45492.0</v>
      </c>
      <c r="Q3023" s="18">
        <v>1.85</v>
      </c>
      <c r="R3023" s="15" t="s">
        <v>25</v>
      </c>
      <c r="S3023" s="19">
        <f t="shared" si="1"/>
        <v>-0.25</v>
      </c>
      <c r="T3023" s="19">
        <f t="shared" si="8"/>
        <v>95.80565409</v>
      </c>
      <c r="U3023" s="144"/>
    </row>
    <row r="3024">
      <c r="A3024" s="107"/>
      <c r="B3024" s="8" t="s">
        <v>4225</v>
      </c>
      <c r="C3024" s="8" t="s">
        <v>19</v>
      </c>
      <c r="D3024" s="8">
        <v>65.0</v>
      </c>
      <c r="E3024" s="8" t="s">
        <v>5498</v>
      </c>
      <c r="F3024" s="8" t="s">
        <v>1473</v>
      </c>
      <c r="G3024" s="8" t="s">
        <v>1477</v>
      </c>
      <c r="H3024" s="8">
        <v>0.0</v>
      </c>
      <c r="I3024" s="8" t="s">
        <v>187</v>
      </c>
      <c r="J3024" s="8" t="s">
        <v>22</v>
      </c>
      <c r="K3024" s="8" t="s">
        <v>894</v>
      </c>
      <c r="L3024" s="8" t="s">
        <v>39</v>
      </c>
      <c r="M3024" s="9">
        <v>-0.5</v>
      </c>
      <c r="N3024" s="9">
        <v>0.25</v>
      </c>
      <c r="O3024" s="9">
        <v>0.25</v>
      </c>
      <c r="P3024" s="10">
        <v>45492.0</v>
      </c>
      <c r="Q3024" s="11">
        <v>1.85</v>
      </c>
      <c r="R3024" s="8" t="s">
        <v>33</v>
      </c>
      <c r="S3024" s="12">
        <f t="shared" si="1"/>
        <v>0.2125</v>
      </c>
      <c r="T3024" s="12">
        <f t="shared" si="8"/>
        <v>96.01815409</v>
      </c>
      <c r="U3024" s="145"/>
    </row>
    <row r="3025">
      <c r="A3025" s="29"/>
      <c r="B3025" s="15" t="s">
        <v>129</v>
      </c>
      <c r="C3025" s="15" t="s">
        <v>40</v>
      </c>
      <c r="D3025" s="15">
        <v>70.0</v>
      </c>
      <c r="E3025" s="15" t="s">
        <v>5499</v>
      </c>
      <c r="F3025" s="15"/>
      <c r="G3025" s="15"/>
      <c r="H3025" s="15"/>
      <c r="I3025" s="15" t="s">
        <v>28</v>
      </c>
      <c r="J3025" s="15" t="s">
        <v>22</v>
      </c>
      <c r="K3025" s="15" t="s">
        <v>892</v>
      </c>
      <c r="L3025" s="15" t="s">
        <v>24</v>
      </c>
      <c r="M3025" s="16">
        <v>0.0</v>
      </c>
      <c r="N3025" s="16">
        <v>0.5</v>
      </c>
      <c r="O3025" s="16">
        <v>0.5</v>
      </c>
      <c r="P3025" s="17">
        <v>45493.0</v>
      </c>
      <c r="Q3025" s="18">
        <v>1.82</v>
      </c>
      <c r="R3025" s="15" t="s">
        <v>70</v>
      </c>
      <c r="S3025" s="19">
        <f t="shared" si="1"/>
        <v>0</v>
      </c>
      <c r="T3025" s="19">
        <f t="shared" si="8"/>
        <v>96.01815409</v>
      </c>
      <c r="U3025" s="144"/>
    </row>
    <row r="3026">
      <c r="A3026" s="107"/>
      <c r="B3026" s="8" t="s">
        <v>18</v>
      </c>
      <c r="C3026" s="8" t="s">
        <v>19</v>
      </c>
      <c r="D3026" s="8">
        <v>76.0</v>
      </c>
      <c r="E3026" s="8" t="s">
        <v>5500</v>
      </c>
      <c r="F3026" s="8"/>
      <c r="G3026" s="8"/>
      <c r="H3026" s="8"/>
      <c r="I3026" s="8" t="s">
        <v>463</v>
      </c>
      <c r="J3026" s="8" t="s">
        <v>22</v>
      </c>
      <c r="K3026" s="8" t="s">
        <v>29</v>
      </c>
      <c r="L3026" s="8" t="s">
        <v>24</v>
      </c>
      <c r="M3026" s="9">
        <v>-3.0</v>
      </c>
      <c r="N3026" s="9">
        <v>0.25</v>
      </c>
      <c r="O3026" s="9">
        <v>0.25</v>
      </c>
      <c r="P3026" s="10">
        <v>45493.0</v>
      </c>
      <c r="Q3026" s="11">
        <v>1.98</v>
      </c>
      <c r="R3026" s="8" t="s">
        <v>70</v>
      </c>
      <c r="S3026" s="12">
        <f t="shared" si="1"/>
        <v>0</v>
      </c>
      <c r="T3026" s="12">
        <f t="shared" si="8"/>
        <v>96.01815409</v>
      </c>
      <c r="U3026" s="145"/>
    </row>
    <row r="3027">
      <c r="A3027" s="29"/>
      <c r="B3027" s="15" t="s">
        <v>18</v>
      </c>
      <c r="C3027" s="15" t="s">
        <v>19</v>
      </c>
      <c r="D3027" s="15">
        <v>68.0</v>
      </c>
      <c r="E3027" s="15" t="s">
        <v>5501</v>
      </c>
      <c r="F3027" s="15" t="s">
        <v>1473</v>
      </c>
      <c r="G3027" s="15" t="s">
        <v>1480</v>
      </c>
      <c r="H3027" s="15">
        <v>1.0</v>
      </c>
      <c r="I3027" s="15" t="s">
        <v>2116</v>
      </c>
      <c r="J3027" s="15" t="s">
        <v>22</v>
      </c>
      <c r="K3027" s="15" t="s">
        <v>892</v>
      </c>
      <c r="L3027" s="15" t="s">
        <v>24</v>
      </c>
      <c r="M3027" s="16">
        <v>0.0</v>
      </c>
      <c r="N3027" s="16">
        <v>0.5</v>
      </c>
      <c r="O3027" s="16">
        <v>0.5</v>
      </c>
      <c r="P3027" s="17">
        <v>45493.0</v>
      </c>
      <c r="Q3027" s="18">
        <v>1.9</v>
      </c>
      <c r="R3027" s="15" t="s">
        <v>70</v>
      </c>
      <c r="S3027" s="19">
        <f t="shared" si="1"/>
        <v>0</v>
      </c>
      <c r="T3027" s="19">
        <f t="shared" si="8"/>
        <v>96.01815409</v>
      </c>
      <c r="U3027" s="144"/>
    </row>
    <row r="3028">
      <c r="A3028" s="107"/>
      <c r="B3028" s="8" t="s">
        <v>4225</v>
      </c>
      <c r="C3028" s="8" t="s">
        <v>19</v>
      </c>
      <c r="D3028" s="8">
        <v>64.0</v>
      </c>
      <c r="E3028" s="8" t="s">
        <v>5502</v>
      </c>
      <c r="F3028" s="8" t="s">
        <v>1479</v>
      </c>
      <c r="G3028" s="8" t="s">
        <v>1480</v>
      </c>
      <c r="H3028" s="8">
        <v>-1.0</v>
      </c>
      <c r="I3028" s="8" t="s">
        <v>82</v>
      </c>
      <c r="J3028" s="8" t="s">
        <v>22</v>
      </c>
      <c r="K3028" s="8" t="s">
        <v>892</v>
      </c>
      <c r="L3028" s="8" t="s">
        <v>39</v>
      </c>
      <c r="M3028" s="9">
        <v>0.0</v>
      </c>
      <c r="N3028" s="9">
        <v>0.5</v>
      </c>
      <c r="O3028" s="9">
        <v>0.5</v>
      </c>
      <c r="P3028" s="54">
        <v>45493.0</v>
      </c>
      <c r="Q3028" s="11">
        <v>1.85</v>
      </c>
      <c r="R3028" s="8" t="s">
        <v>70</v>
      </c>
      <c r="S3028" s="12">
        <f t="shared" si="1"/>
        <v>0</v>
      </c>
      <c r="T3028" s="12">
        <f t="shared" si="8"/>
        <v>96.01815409</v>
      </c>
      <c r="U3028" s="145"/>
    </row>
    <row r="3029">
      <c r="A3029" s="29"/>
      <c r="B3029" s="15" t="s">
        <v>18</v>
      </c>
      <c r="C3029" s="15" t="s">
        <v>19</v>
      </c>
      <c r="D3029" s="15">
        <v>69.0</v>
      </c>
      <c r="E3029" s="15" t="s">
        <v>5503</v>
      </c>
      <c r="F3029" s="15" t="s">
        <v>1473</v>
      </c>
      <c r="G3029" s="15" t="s">
        <v>1477</v>
      </c>
      <c r="H3029" s="15">
        <v>0.0</v>
      </c>
      <c r="I3029" s="15" t="s">
        <v>82</v>
      </c>
      <c r="J3029" s="15" t="s">
        <v>22</v>
      </c>
      <c r="K3029" s="15" t="s">
        <v>894</v>
      </c>
      <c r="L3029" s="15" t="s">
        <v>39</v>
      </c>
      <c r="M3029" s="16">
        <v>-0.25</v>
      </c>
      <c r="N3029" s="16">
        <v>0.25</v>
      </c>
      <c r="O3029" s="16">
        <v>0.25</v>
      </c>
      <c r="P3029" s="55">
        <v>45493.0</v>
      </c>
      <c r="Q3029" s="18">
        <v>1.9</v>
      </c>
      <c r="R3029" s="15" t="s">
        <v>4104</v>
      </c>
      <c r="S3029" s="19">
        <f t="shared" si="1"/>
        <v>-0.125</v>
      </c>
      <c r="T3029" s="19">
        <f t="shared" si="8"/>
        <v>95.89315409</v>
      </c>
      <c r="U3029" s="144"/>
    </row>
    <row r="3030">
      <c r="A3030" s="107"/>
      <c r="B3030" s="8" t="s">
        <v>18</v>
      </c>
      <c r="C3030" s="8" t="s">
        <v>40</v>
      </c>
      <c r="D3030" s="8">
        <v>67.0</v>
      </c>
      <c r="E3030" s="8" t="s">
        <v>5504</v>
      </c>
      <c r="F3030" s="8" t="s">
        <v>1473</v>
      </c>
      <c r="G3030" s="8" t="s">
        <v>1477</v>
      </c>
      <c r="H3030" s="8">
        <v>-1.0</v>
      </c>
      <c r="I3030" s="8" t="s">
        <v>635</v>
      </c>
      <c r="J3030" s="8" t="s">
        <v>22</v>
      </c>
      <c r="K3030" s="8" t="s">
        <v>894</v>
      </c>
      <c r="L3030" s="8" t="s">
        <v>24</v>
      </c>
      <c r="M3030" s="9">
        <v>-0.25</v>
      </c>
      <c r="N3030" s="9">
        <v>0.4</v>
      </c>
      <c r="O3030" s="9">
        <v>0.4</v>
      </c>
      <c r="P3030" s="54">
        <v>45493.0</v>
      </c>
      <c r="Q3030" s="11">
        <v>2.1</v>
      </c>
      <c r="R3030" s="8" t="s">
        <v>4104</v>
      </c>
      <c r="S3030" s="12">
        <f t="shared" si="1"/>
        <v>-0.2</v>
      </c>
      <c r="T3030" s="12">
        <f t="shared" si="8"/>
        <v>95.69315409</v>
      </c>
      <c r="U3030" s="145"/>
    </row>
    <row r="3031">
      <c r="A3031" s="29"/>
      <c r="B3031" s="15" t="s">
        <v>4225</v>
      </c>
      <c r="C3031" s="15" t="s">
        <v>19</v>
      </c>
      <c r="D3031" s="15">
        <v>45.0</v>
      </c>
      <c r="E3031" s="15" t="s">
        <v>5505</v>
      </c>
      <c r="F3031" s="15" t="s">
        <v>1473</v>
      </c>
      <c r="G3031" s="15" t="s">
        <v>1477</v>
      </c>
      <c r="H3031" s="15">
        <v>0.0</v>
      </c>
      <c r="I3031" s="15" t="s">
        <v>82</v>
      </c>
      <c r="J3031" s="15" t="s">
        <v>22</v>
      </c>
      <c r="K3031" s="15" t="s">
        <v>892</v>
      </c>
      <c r="L3031" s="15" t="s">
        <v>24</v>
      </c>
      <c r="M3031" s="16">
        <v>0.0</v>
      </c>
      <c r="N3031" s="16">
        <v>0.5</v>
      </c>
      <c r="O3031" s="16">
        <v>0.5</v>
      </c>
      <c r="P3031" s="55">
        <v>45493.0</v>
      </c>
      <c r="Q3031" s="18">
        <v>1.675</v>
      </c>
      <c r="R3031" s="15" t="s">
        <v>33</v>
      </c>
      <c r="S3031" s="19">
        <f t="shared" si="1"/>
        <v>0.3375</v>
      </c>
      <c r="T3031" s="19">
        <f t="shared" si="8"/>
        <v>96.03065409</v>
      </c>
      <c r="U3031" s="144"/>
    </row>
    <row r="3032">
      <c r="A3032" s="107"/>
      <c r="B3032" s="8" t="s">
        <v>4225</v>
      </c>
      <c r="C3032" s="8" t="s">
        <v>19</v>
      </c>
      <c r="D3032" s="8">
        <v>55.0</v>
      </c>
      <c r="E3032" s="8" t="s">
        <v>5505</v>
      </c>
      <c r="F3032" s="8" t="s">
        <v>1473</v>
      </c>
      <c r="G3032" s="8" t="s">
        <v>1477</v>
      </c>
      <c r="H3032" s="8">
        <v>0.0</v>
      </c>
      <c r="I3032" s="8" t="s">
        <v>82</v>
      </c>
      <c r="J3032" s="8" t="s">
        <v>22</v>
      </c>
      <c r="K3032" s="8" t="s">
        <v>892</v>
      </c>
      <c r="L3032" s="8" t="s">
        <v>24</v>
      </c>
      <c r="M3032" s="9">
        <v>0.0</v>
      </c>
      <c r="N3032" s="9">
        <v>0.25</v>
      </c>
      <c r="O3032" s="9">
        <v>0.25</v>
      </c>
      <c r="P3032" s="54">
        <v>45493.0</v>
      </c>
      <c r="Q3032" s="11">
        <v>1.7</v>
      </c>
      <c r="R3032" s="8" t="s">
        <v>33</v>
      </c>
      <c r="S3032" s="12">
        <f t="shared" si="1"/>
        <v>0.175</v>
      </c>
      <c r="T3032" s="12">
        <f t="shared" si="8"/>
        <v>96.20565409</v>
      </c>
      <c r="U3032" s="145"/>
    </row>
    <row r="3033">
      <c r="A3033" s="29"/>
      <c r="B3033" s="15" t="s">
        <v>18</v>
      </c>
      <c r="C3033" s="15" t="s">
        <v>19</v>
      </c>
      <c r="D3033" s="15">
        <v>80.0</v>
      </c>
      <c r="E3033" s="15" t="s">
        <v>5506</v>
      </c>
      <c r="F3033" s="15" t="s">
        <v>1479</v>
      </c>
      <c r="G3033" s="15" t="s">
        <v>1480</v>
      </c>
      <c r="H3033" s="15">
        <v>-1.0</v>
      </c>
      <c r="I3033" s="15" t="s">
        <v>82</v>
      </c>
      <c r="J3033" s="15" t="s">
        <v>22</v>
      </c>
      <c r="K3033" s="15" t="s">
        <v>892</v>
      </c>
      <c r="L3033" s="15" t="s">
        <v>1803</v>
      </c>
      <c r="M3033" s="16">
        <v>0.0</v>
      </c>
      <c r="N3033" s="16">
        <v>0.5</v>
      </c>
      <c r="O3033" s="16">
        <v>0.5</v>
      </c>
      <c r="P3033" s="17">
        <v>45493.0</v>
      </c>
      <c r="Q3033" s="18">
        <v>1.85</v>
      </c>
      <c r="R3033" s="15" t="s">
        <v>70</v>
      </c>
      <c r="S3033" s="19">
        <f t="shared" si="1"/>
        <v>0</v>
      </c>
      <c r="T3033" s="19">
        <f t="shared" si="8"/>
        <v>96.20565409</v>
      </c>
      <c r="U3033" s="144"/>
    </row>
    <row r="3034">
      <c r="A3034" s="107"/>
      <c r="B3034" s="8" t="s">
        <v>4225</v>
      </c>
      <c r="C3034" s="8" t="s">
        <v>19</v>
      </c>
      <c r="D3034" s="8">
        <v>45.0</v>
      </c>
      <c r="E3034" s="8" t="s">
        <v>5507</v>
      </c>
      <c r="F3034" s="8" t="s">
        <v>1473</v>
      </c>
      <c r="G3034" s="8" t="s">
        <v>1477</v>
      </c>
      <c r="H3034" s="8">
        <v>0.0</v>
      </c>
      <c r="I3034" s="8" t="s">
        <v>513</v>
      </c>
      <c r="J3034" s="8" t="s">
        <v>22</v>
      </c>
      <c r="K3034" s="8" t="s">
        <v>894</v>
      </c>
      <c r="L3034" s="8" t="s">
        <v>39</v>
      </c>
      <c r="M3034" s="9">
        <v>-0.5</v>
      </c>
      <c r="N3034" s="9">
        <v>0.1</v>
      </c>
      <c r="O3034" s="9">
        <v>0.06</v>
      </c>
      <c r="P3034" s="54">
        <v>45494.0</v>
      </c>
      <c r="Q3034" s="11">
        <v>2.1</v>
      </c>
      <c r="R3034" s="8" t="s">
        <v>33</v>
      </c>
      <c r="S3034" s="12">
        <f t="shared" si="1"/>
        <v>0.066</v>
      </c>
      <c r="T3034" s="12">
        <f t="shared" si="8"/>
        <v>96.27165409</v>
      </c>
      <c r="U3034" s="145"/>
    </row>
    <row r="3035">
      <c r="A3035" s="29"/>
      <c r="B3035" s="15" t="s">
        <v>129</v>
      </c>
      <c r="C3035" s="15" t="s">
        <v>19</v>
      </c>
      <c r="D3035" s="15">
        <v>33.0</v>
      </c>
      <c r="E3035" s="15" t="s">
        <v>5508</v>
      </c>
      <c r="F3035" s="15" t="s">
        <v>1473</v>
      </c>
      <c r="G3035" s="15" t="s">
        <v>1480</v>
      </c>
      <c r="H3035" s="15">
        <v>0.0</v>
      </c>
      <c r="I3035" s="15" t="s">
        <v>5487</v>
      </c>
      <c r="J3035" s="15" t="s">
        <v>22</v>
      </c>
      <c r="K3035" s="15" t="s">
        <v>892</v>
      </c>
      <c r="L3035" s="15" t="s">
        <v>24</v>
      </c>
      <c r="M3035" s="16">
        <v>0.0</v>
      </c>
      <c r="N3035" s="16">
        <v>0.5</v>
      </c>
      <c r="O3035" s="16">
        <v>0.5</v>
      </c>
      <c r="P3035" s="17">
        <v>45494.0</v>
      </c>
      <c r="Q3035" s="18">
        <v>1.741</v>
      </c>
      <c r="R3035" s="15" t="s">
        <v>70</v>
      </c>
      <c r="S3035" s="19">
        <f t="shared" si="1"/>
        <v>0</v>
      </c>
      <c r="T3035" s="19">
        <f t="shared" si="8"/>
        <v>96.27165409</v>
      </c>
      <c r="U3035" s="144"/>
    </row>
    <row r="3036">
      <c r="A3036" s="107"/>
      <c r="B3036" s="8" t="s">
        <v>4225</v>
      </c>
      <c r="C3036" s="8" t="s">
        <v>19</v>
      </c>
      <c r="D3036" s="8">
        <v>33.0</v>
      </c>
      <c r="E3036" s="8" t="s">
        <v>5509</v>
      </c>
      <c r="F3036" s="8" t="s">
        <v>1473</v>
      </c>
      <c r="G3036" s="8" t="s">
        <v>1480</v>
      </c>
      <c r="H3036" s="8">
        <v>0.0</v>
      </c>
      <c r="I3036" s="8" t="s">
        <v>5487</v>
      </c>
      <c r="J3036" s="8" t="s">
        <v>22</v>
      </c>
      <c r="K3036" s="8" t="s">
        <v>440</v>
      </c>
      <c r="L3036" s="8" t="s">
        <v>24</v>
      </c>
      <c r="M3036" s="9">
        <v>0.5</v>
      </c>
      <c r="N3036" s="9">
        <v>0.25</v>
      </c>
      <c r="O3036" s="9">
        <v>0.25</v>
      </c>
      <c r="P3036" s="10">
        <v>45494.0</v>
      </c>
      <c r="Q3036" s="11">
        <v>1.825</v>
      </c>
      <c r="R3036" s="8" t="s">
        <v>25</v>
      </c>
      <c r="S3036" s="12">
        <f t="shared" si="1"/>
        <v>-0.25</v>
      </c>
      <c r="T3036" s="12">
        <f t="shared" si="8"/>
        <v>96.02165409</v>
      </c>
      <c r="U3036" s="145"/>
    </row>
    <row r="3037">
      <c r="A3037" s="29"/>
      <c r="B3037" s="15" t="s">
        <v>4225</v>
      </c>
      <c r="C3037" s="15" t="s">
        <v>19</v>
      </c>
      <c r="D3037" s="15">
        <v>30.0</v>
      </c>
      <c r="E3037" s="15" t="s">
        <v>5510</v>
      </c>
      <c r="F3037" s="15" t="s">
        <v>1479</v>
      </c>
      <c r="G3037" s="15" t="s">
        <v>1480</v>
      </c>
      <c r="H3037" s="15">
        <v>0.0</v>
      </c>
      <c r="I3037" s="15" t="s">
        <v>2116</v>
      </c>
      <c r="J3037" s="15" t="s">
        <v>22</v>
      </c>
      <c r="K3037" s="15" t="s">
        <v>892</v>
      </c>
      <c r="L3037" s="15" t="s">
        <v>24</v>
      </c>
      <c r="M3037" s="16">
        <v>0.0</v>
      </c>
      <c r="N3037" s="16">
        <v>0.25</v>
      </c>
      <c r="O3037" s="16">
        <v>0.25</v>
      </c>
      <c r="P3037" s="17">
        <v>45494.0</v>
      </c>
      <c r="Q3037" s="18">
        <v>1.825</v>
      </c>
      <c r="R3037" s="15" t="s">
        <v>25</v>
      </c>
      <c r="S3037" s="19">
        <f t="shared" si="1"/>
        <v>-0.25</v>
      </c>
      <c r="T3037" s="19">
        <f t="shared" si="8"/>
        <v>95.77165409</v>
      </c>
      <c r="U3037" s="144"/>
    </row>
    <row r="3038">
      <c r="A3038" s="107"/>
      <c r="B3038" s="8" t="s">
        <v>4225</v>
      </c>
      <c r="C3038" s="8" t="s">
        <v>19</v>
      </c>
      <c r="D3038" s="8">
        <v>67.0</v>
      </c>
      <c r="E3038" s="8" t="s">
        <v>5511</v>
      </c>
      <c r="F3038" s="8" t="s">
        <v>1479</v>
      </c>
      <c r="G3038" s="8" t="s">
        <v>1477</v>
      </c>
      <c r="H3038" s="8">
        <v>0.0</v>
      </c>
      <c r="I3038" s="8" t="s">
        <v>5487</v>
      </c>
      <c r="J3038" s="8" t="s">
        <v>22</v>
      </c>
      <c r="K3038" s="8" t="s">
        <v>894</v>
      </c>
      <c r="L3038" s="8" t="s">
        <v>24</v>
      </c>
      <c r="M3038" s="9">
        <v>-0.5</v>
      </c>
      <c r="N3038" s="9">
        <v>0.25</v>
      </c>
      <c r="O3038" s="9">
        <v>0.25</v>
      </c>
      <c r="P3038" s="10">
        <v>45494.0</v>
      </c>
      <c r="Q3038" s="11">
        <v>1.825</v>
      </c>
      <c r="R3038" s="8" t="s">
        <v>33</v>
      </c>
      <c r="S3038" s="12">
        <f t="shared" si="1"/>
        <v>0.20625</v>
      </c>
      <c r="T3038" s="12">
        <f t="shared" si="8"/>
        <v>95.97790409</v>
      </c>
      <c r="U3038" s="145"/>
    </row>
    <row r="3039">
      <c r="A3039" s="29"/>
      <c r="B3039" s="15" t="s">
        <v>4225</v>
      </c>
      <c r="C3039" s="15" t="s">
        <v>19</v>
      </c>
      <c r="D3039" s="15">
        <v>0.0</v>
      </c>
      <c r="E3039" s="15" t="s">
        <v>5512</v>
      </c>
      <c r="F3039" s="15" t="s">
        <v>1479</v>
      </c>
      <c r="G3039" s="15" t="s">
        <v>1480</v>
      </c>
      <c r="H3039" s="15">
        <v>0.0</v>
      </c>
      <c r="I3039" s="15" t="s">
        <v>463</v>
      </c>
      <c r="J3039" s="15" t="s">
        <v>598</v>
      </c>
      <c r="K3039" s="15" t="s">
        <v>892</v>
      </c>
      <c r="L3039" s="15" t="s">
        <v>1851</v>
      </c>
      <c r="M3039" s="16">
        <v>0.0</v>
      </c>
      <c r="N3039" s="16">
        <v>0.1</v>
      </c>
      <c r="O3039" s="16">
        <v>0.1</v>
      </c>
      <c r="P3039" s="17">
        <v>45494.0</v>
      </c>
      <c r="Q3039" s="18">
        <v>1.89</v>
      </c>
      <c r="R3039" s="15" t="s">
        <v>25</v>
      </c>
      <c r="S3039" s="19">
        <f t="shared" si="1"/>
        <v>-0.1</v>
      </c>
      <c r="T3039" s="19">
        <f t="shared" si="8"/>
        <v>95.87790409</v>
      </c>
      <c r="U3039" s="144"/>
    </row>
    <row r="3040">
      <c r="A3040" s="107"/>
      <c r="B3040" s="8" t="s">
        <v>129</v>
      </c>
      <c r="C3040" s="8" t="s">
        <v>19</v>
      </c>
      <c r="D3040" s="8">
        <v>45.0</v>
      </c>
      <c r="E3040" s="8" t="s">
        <v>5513</v>
      </c>
      <c r="F3040" s="8" t="s">
        <v>1473</v>
      </c>
      <c r="G3040" s="8" t="s">
        <v>1480</v>
      </c>
      <c r="H3040" s="8">
        <v>0.0</v>
      </c>
      <c r="I3040" s="8" t="s">
        <v>84</v>
      </c>
      <c r="J3040" s="8" t="s">
        <v>22</v>
      </c>
      <c r="K3040" s="8" t="s">
        <v>892</v>
      </c>
      <c r="L3040" s="8" t="s">
        <v>24</v>
      </c>
      <c r="M3040" s="9">
        <v>0.0</v>
      </c>
      <c r="N3040" s="9">
        <v>0.25</v>
      </c>
      <c r="O3040" s="9">
        <v>0.25</v>
      </c>
      <c r="P3040" s="10">
        <v>45494.0</v>
      </c>
      <c r="Q3040" s="11">
        <v>1.85</v>
      </c>
      <c r="R3040" s="8" t="s">
        <v>33</v>
      </c>
      <c r="S3040" s="12">
        <f t="shared" si="1"/>
        <v>0.2125</v>
      </c>
      <c r="T3040" s="12">
        <f t="shared" si="8"/>
        <v>96.09040409</v>
      </c>
      <c r="U3040" s="145"/>
    </row>
    <row r="3041">
      <c r="A3041" s="29"/>
      <c r="B3041" s="15" t="s">
        <v>18</v>
      </c>
      <c r="C3041" s="15" t="s">
        <v>19</v>
      </c>
      <c r="D3041" s="15">
        <v>70.0</v>
      </c>
      <c r="E3041" s="15" t="s">
        <v>5514</v>
      </c>
      <c r="F3041" s="15" t="s">
        <v>1479</v>
      </c>
      <c r="G3041" s="15" t="s">
        <v>1480</v>
      </c>
      <c r="H3041" s="15">
        <v>0.0</v>
      </c>
      <c r="I3041" s="15" t="s">
        <v>74</v>
      </c>
      <c r="J3041" s="15" t="s">
        <v>22</v>
      </c>
      <c r="K3041" s="15" t="s">
        <v>892</v>
      </c>
      <c r="L3041" s="15" t="s">
        <v>24</v>
      </c>
      <c r="M3041" s="16">
        <v>0.0</v>
      </c>
      <c r="N3041" s="16">
        <v>0.25</v>
      </c>
      <c r="O3041" s="16">
        <v>0.25</v>
      </c>
      <c r="P3041" s="55">
        <v>45494.0</v>
      </c>
      <c r="Q3041" s="18">
        <v>1.775</v>
      </c>
      <c r="R3041" s="15" t="s">
        <v>70</v>
      </c>
      <c r="S3041" s="19">
        <f t="shared" si="1"/>
        <v>0</v>
      </c>
      <c r="T3041" s="19">
        <f t="shared" si="8"/>
        <v>96.09040409</v>
      </c>
      <c r="U3041" s="144"/>
    </row>
    <row r="3042">
      <c r="A3042" s="107"/>
      <c r="B3042" s="8" t="s">
        <v>4225</v>
      </c>
      <c r="C3042" s="8" t="s">
        <v>40</v>
      </c>
      <c r="D3042" s="8">
        <v>45.0</v>
      </c>
      <c r="E3042" s="8" t="s">
        <v>5515</v>
      </c>
      <c r="F3042" s="8" t="s">
        <v>1479</v>
      </c>
      <c r="G3042" s="8" t="s">
        <v>1474</v>
      </c>
      <c r="H3042" s="8">
        <v>0.0</v>
      </c>
      <c r="I3042" s="8" t="s">
        <v>1085</v>
      </c>
      <c r="J3042" s="8" t="s">
        <v>22</v>
      </c>
      <c r="K3042" s="8" t="s">
        <v>225</v>
      </c>
      <c r="L3042" s="8" t="s">
        <v>24</v>
      </c>
      <c r="M3042" s="9">
        <v>0.5</v>
      </c>
      <c r="N3042" s="9">
        <v>0.25</v>
      </c>
      <c r="O3042" s="9">
        <v>0.25</v>
      </c>
      <c r="P3042" s="10">
        <v>45494.0</v>
      </c>
      <c r="Q3042" s="11">
        <v>1.85</v>
      </c>
      <c r="R3042" s="8" t="s">
        <v>33</v>
      </c>
      <c r="S3042" s="12">
        <f t="shared" si="1"/>
        <v>0.2125</v>
      </c>
      <c r="T3042" s="12">
        <f t="shared" si="8"/>
        <v>96.30290409</v>
      </c>
      <c r="U3042" s="145"/>
    </row>
    <row r="3043">
      <c r="A3043" s="29"/>
      <c r="B3043" s="15" t="s">
        <v>137</v>
      </c>
      <c r="C3043" s="15" t="s">
        <v>19</v>
      </c>
      <c r="D3043" s="15">
        <v>20.0</v>
      </c>
      <c r="E3043" s="15" t="s">
        <v>5516</v>
      </c>
      <c r="F3043" s="15" t="s">
        <v>1479</v>
      </c>
      <c r="G3043" s="15" t="s">
        <v>1480</v>
      </c>
      <c r="H3043" s="15">
        <v>0.0</v>
      </c>
      <c r="I3043" s="15" t="s">
        <v>82</v>
      </c>
      <c r="J3043" s="15" t="s">
        <v>22</v>
      </c>
      <c r="K3043" s="15" t="s">
        <v>892</v>
      </c>
      <c r="L3043" s="15" t="s">
        <v>39</v>
      </c>
      <c r="M3043" s="16">
        <v>0.0</v>
      </c>
      <c r="N3043" s="16">
        <v>0.5</v>
      </c>
      <c r="O3043" s="16">
        <v>0.48</v>
      </c>
      <c r="P3043" s="17">
        <v>45494.0</v>
      </c>
      <c r="Q3043" s="18">
        <v>1.725</v>
      </c>
      <c r="R3043" s="15" t="s">
        <v>70</v>
      </c>
      <c r="S3043" s="19">
        <f t="shared" si="1"/>
        <v>0</v>
      </c>
      <c r="T3043" s="19">
        <f t="shared" si="8"/>
        <v>96.30290409</v>
      </c>
      <c r="U3043" s="144"/>
    </row>
    <row r="3044">
      <c r="A3044" s="107"/>
      <c r="B3044" s="8" t="s">
        <v>4225</v>
      </c>
      <c r="C3044" s="8" t="s">
        <v>19</v>
      </c>
      <c r="D3044" s="8">
        <v>60.0</v>
      </c>
      <c r="E3044" s="8" t="s">
        <v>5517</v>
      </c>
      <c r="F3044" s="8" t="s">
        <v>1479</v>
      </c>
      <c r="G3044" s="8" t="s">
        <v>1477</v>
      </c>
      <c r="H3044" s="8">
        <v>0.0</v>
      </c>
      <c r="I3044" s="8" t="s">
        <v>82</v>
      </c>
      <c r="J3044" s="8" t="s">
        <v>22</v>
      </c>
      <c r="K3044" s="8" t="s">
        <v>941</v>
      </c>
      <c r="L3044" s="8" t="s">
        <v>24</v>
      </c>
      <c r="M3044" s="9">
        <v>0.0</v>
      </c>
      <c r="N3044" s="9">
        <v>0.25</v>
      </c>
      <c r="O3044" s="9">
        <v>0.25</v>
      </c>
      <c r="P3044" s="10">
        <v>45494.0</v>
      </c>
      <c r="Q3044" s="11">
        <v>1.67</v>
      </c>
      <c r="R3044" s="8" t="s">
        <v>33</v>
      </c>
      <c r="S3044" s="12">
        <f t="shared" si="1"/>
        <v>0.1675</v>
      </c>
      <c r="T3044" s="12">
        <f t="shared" si="8"/>
        <v>96.47040409</v>
      </c>
      <c r="U3044" s="145"/>
    </row>
    <row r="3045">
      <c r="A3045" s="29"/>
      <c r="B3045" s="15" t="s">
        <v>4225</v>
      </c>
      <c r="C3045" s="15" t="s">
        <v>19</v>
      </c>
      <c r="D3045" s="15">
        <v>0.0</v>
      </c>
      <c r="E3045" s="15" t="s">
        <v>5518</v>
      </c>
      <c r="F3045" s="15" t="s">
        <v>1479</v>
      </c>
      <c r="G3045" s="15" t="s">
        <v>1477</v>
      </c>
      <c r="H3045" s="15">
        <v>0.0</v>
      </c>
      <c r="I3045" s="15" t="s">
        <v>82</v>
      </c>
      <c r="J3045" s="15" t="s">
        <v>598</v>
      </c>
      <c r="K3045" s="15" t="s">
        <v>1847</v>
      </c>
      <c r="L3045" s="15" t="s">
        <v>39</v>
      </c>
      <c r="M3045" s="16">
        <v>-0.5</v>
      </c>
      <c r="N3045" s="16">
        <v>0.1</v>
      </c>
      <c r="O3045" s="16">
        <v>0.1</v>
      </c>
      <c r="P3045" s="55">
        <v>45494.0</v>
      </c>
      <c r="Q3045" s="18">
        <v>1.72</v>
      </c>
      <c r="R3045" s="15" t="s">
        <v>33</v>
      </c>
      <c r="S3045" s="19">
        <f t="shared" si="1"/>
        <v>0.072</v>
      </c>
      <c r="T3045" s="19">
        <f t="shared" si="8"/>
        <v>96.54240409</v>
      </c>
      <c r="U3045" s="144"/>
    </row>
    <row r="3046">
      <c r="A3046" s="107"/>
      <c r="B3046" s="8" t="s">
        <v>18</v>
      </c>
      <c r="C3046" s="8" t="s">
        <v>19</v>
      </c>
      <c r="D3046" s="8">
        <v>7.0</v>
      </c>
      <c r="E3046" s="8" t="s">
        <v>5519</v>
      </c>
      <c r="F3046" s="8"/>
      <c r="G3046" s="8"/>
      <c r="H3046" s="8">
        <v>0.0</v>
      </c>
      <c r="I3046" s="8" t="s">
        <v>5487</v>
      </c>
      <c r="J3046" s="8" t="s">
        <v>22</v>
      </c>
      <c r="K3046" s="8" t="s">
        <v>29</v>
      </c>
      <c r="L3046" s="8" t="s">
        <v>24</v>
      </c>
      <c r="M3046" s="9">
        <v>-2.0</v>
      </c>
      <c r="N3046" s="9">
        <v>0.25</v>
      </c>
      <c r="O3046" s="9">
        <v>0.25</v>
      </c>
      <c r="P3046" s="10">
        <v>45497.0</v>
      </c>
      <c r="Q3046" s="11">
        <v>1.675</v>
      </c>
      <c r="R3046" s="8" t="s">
        <v>70</v>
      </c>
      <c r="S3046" s="12">
        <f t="shared" si="1"/>
        <v>0</v>
      </c>
      <c r="T3046" s="12">
        <f t="shared" si="8"/>
        <v>96.54240409</v>
      </c>
      <c r="U3046" s="145"/>
    </row>
    <row r="3047">
      <c r="A3047" s="29"/>
      <c r="B3047" s="15" t="s">
        <v>26</v>
      </c>
      <c r="C3047" s="15" t="s">
        <v>19</v>
      </c>
      <c r="D3047" s="15">
        <v>80.0</v>
      </c>
      <c r="E3047" s="15" t="s">
        <v>5520</v>
      </c>
      <c r="F3047" s="15" t="s">
        <v>1473</v>
      </c>
      <c r="G3047" s="15" t="s">
        <v>1480</v>
      </c>
      <c r="H3047" s="15">
        <v>1.0</v>
      </c>
      <c r="I3047" s="15" t="s">
        <v>5521</v>
      </c>
      <c r="J3047" s="15" t="s">
        <v>22</v>
      </c>
      <c r="K3047" s="15" t="s">
        <v>892</v>
      </c>
      <c r="L3047" s="15" t="s">
        <v>1851</v>
      </c>
      <c r="M3047" s="16">
        <v>0.0</v>
      </c>
      <c r="N3047" s="16">
        <v>0.25</v>
      </c>
      <c r="O3047" s="16">
        <v>0.25</v>
      </c>
      <c r="P3047" s="17">
        <v>45498.0</v>
      </c>
      <c r="Q3047" s="18">
        <v>1.6</v>
      </c>
      <c r="R3047" s="15" t="s">
        <v>70</v>
      </c>
      <c r="S3047" s="19">
        <f t="shared" si="1"/>
        <v>0</v>
      </c>
      <c r="T3047" s="19">
        <f t="shared" si="8"/>
        <v>96.54240409</v>
      </c>
      <c r="U3047" s="144"/>
    </row>
    <row r="3048">
      <c r="A3048" s="107"/>
      <c r="B3048" s="8" t="s">
        <v>26</v>
      </c>
      <c r="C3048" s="8" t="s">
        <v>19</v>
      </c>
      <c r="D3048" s="8">
        <v>30.0</v>
      </c>
      <c r="E3048" s="8" t="s">
        <v>5522</v>
      </c>
      <c r="F3048" s="8" t="s">
        <v>1479</v>
      </c>
      <c r="G3048" s="8" t="s">
        <v>1480</v>
      </c>
      <c r="H3048" s="8">
        <v>0.0</v>
      </c>
      <c r="I3048" s="8" t="s">
        <v>82</v>
      </c>
      <c r="J3048" s="8" t="s">
        <v>22</v>
      </c>
      <c r="K3048" s="8" t="s">
        <v>892</v>
      </c>
      <c r="L3048" s="8" t="s">
        <v>24</v>
      </c>
      <c r="M3048" s="9">
        <v>0.0</v>
      </c>
      <c r="N3048" s="9">
        <v>0.75</v>
      </c>
      <c r="O3048" s="9">
        <v>0.75</v>
      </c>
      <c r="P3048" s="10">
        <v>45498.0</v>
      </c>
      <c r="Q3048" s="11">
        <v>1.9</v>
      </c>
      <c r="R3048" s="8" t="s">
        <v>33</v>
      </c>
      <c r="S3048" s="12">
        <f t="shared" si="1"/>
        <v>0.675</v>
      </c>
      <c r="T3048" s="12">
        <f t="shared" si="8"/>
        <v>97.21740409</v>
      </c>
      <c r="U3048" s="145"/>
    </row>
    <row r="3049">
      <c r="A3049" s="29"/>
      <c r="B3049" s="15" t="s">
        <v>129</v>
      </c>
      <c r="C3049" s="15" t="s">
        <v>19</v>
      </c>
      <c r="D3049" s="15">
        <v>82.0</v>
      </c>
      <c r="E3049" s="15" t="s">
        <v>5523</v>
      </c>
      <c r="F3049" s="15" t="s">
        <v>1479</v>
      </c>
      <c r="G3049" s="15" t="s">
        <v>1474</v>
      </c>
      <c r="H3049" s="15">
        <v>1.0</v>
      </c>
      <c r="I3049" s="15" t="s">
        <v>5524</v>
      </c>
      <c r="J3049" s="15" t="s">
        <v>22</v>
      </c>
      <c r="K3049" s="15" t="s">
        <v>225</v>
      </c>
      <c r="L3049" s="15" t="s">
        <v>24</v>
      </c>
      <c r="M3049" s="16">
        <v>0.25</v>
      </c>
      <c r="N3049" s="16">
        <v>0.25</v>
      </c>
      <c r="O3049" s="16">
        <f>0.25*25/52</f>
        <v>0.1201923077</v>
      </c>
      <c r="P3049" s="17">
        <v>45498.0</v>
      </c>
      <c r="Q3049" s="18">
        <v>1.95</v>
      </c>
      <c r="R3049" s="15" t="s">
        <v>30</v>
      </c>
      <c r="S3049" s="19">
        <f t="shared" si="1"/>
        <v>0.05709134615</v>
      </c>
      <c r="T3049" s="19">
        <f t="shared" si="8"/>
        <v>97.27449543</v>
      </c>
      <c r="U3049" s="144"/>
    </row>
    <row r="3050">
      <c r="A3050" s="107"/>
      <c r="B3050" s="8" t="s">
        <v>26</v>
      </c>
      <c r="C3050" s="8" t="s">
        <v>19</v>
      </c>
      <c r="D3050" s="8">
        <v>84.0</v>
      </c>
      <c r="E3050" s="8" t="s">
        <v>5525</v>
      </c>
      <c r="F3050" s="8" t="s">
        <v>1479</v>
      </c>
      <c r="G3050" s="8" t="s">
        <v>1480</v>
      </c>
      <c r="H3050" s="8">
        <v>0.0</v>
      </c>
      <c r="I3050" s="8" t="s">
        <v>28</v>
      </c>
      <c r="J3050" s="8" t="s">
        <v>22</v>
      </c>
      <c r="K3050" s="8" t="s">
        <v>892</v>
      </c>
      <c r="L3050" s="8" t="s">
        <v>24</v>
      </c>
      <c r="M3050" s="9">
        <v>0.0</v>
      </c>
      <c r="N3050" s="9">
        <v>0.25</v>
      </c>
      <c r="O3050" s="9">
        <v>0.25</v>
      </c>
      <c r="P3050" s="10">
        <v>45499.0</v>
      </c>
      <c r="Q3050" s="11">
        <v>2.0</v>
      </c>
      <c r="R3050" s="8" t="s">
        <v>70</v>
      </c>
      <c r="S3050" s="12">
        <f t="shared" si="1"/>
        <v>0</v>
      </c>
      <c r="T3050" s="12">
        <f t="shared" si="8"/>
        <v>97.27449543</v>
      </c>
      <c r="U3050" s="145"/>
    </row>
    <row r="3051">
      <c r="A3051" s="29"/>
      <c r="B3051" s="15" t="s">
        <v>26</v>
      </c>
      <c r="C3051" s="15" t="s">
        <v>19</v>
      </c>
      <c r="D3051" s="15">
        <v>81.0</v>
      </c>
      <c r="E3051" s="15" t="s">
        <v>5526</v>
      </c>
      <c r="F3051" s="15" t="s">
        <v>1473</v>
      </c>
      <c r="G3051" s="15" t="s">
        <v>1474</v>
      </c>
      <c r="H3051" s="15">
        <v>0.0</v>
      </c>
      <c r="I3051" s="15" t="s">
        <v>44</v>
      </c>
      <c r="J3051" s="15" t="s">
        <v>22</v>
      </c>
      <c r="K3051" s="15" t="s">
        <v>225</v>
      </c>
      <c r="L3051" s="15" t="s">
        <v>24</v>
      </c>
      <c r="M3051" s="16">
        <v>0.25</v>
      </c>
      <c r="N3051" s="16">
        <v>0.25</v>
      </c>
      <c r="O3051" s="16">
        <v>0.25</v>
      </c>
      <c r="P3051" s="17">
        <v>45499.0</v>
      </c>
      <c r="Q3051" s="18">
        <v>1.8</v>
      </c>
      <c r="R3051" s="15" t="s">
        <v>30</v>
      </c>
      <c r="S3051" s="19">
        <f t="shared" si="1"/>
        <v>0.1</v>
      </c>
      <c r="T3051" s="19">
        <f t="shared" si="8"/>
        <v>97.37449543</v>
      </c>
      <c r="U3051" s="144"/>
    </row>
    <row r="3052">
      <c r="A3052" s="107"/>
      <c r="B3052" s="8" t="s">
        <v>26</v>
      </c>
      <c r="C3052" s="8" t="s">
        <v>19</v>
      </c>
      <c r="D3052" s="8">
        <v>71.0</v>
      </c>
      <c r="E3052" s="8" t="s">
        <v>5527</v>
      </c>
      <c r="F3052" s="8" t="s">
        <v>1479</v>
      </c>
      <c r="G3052" s="8" t="s">
        <v>1474</v>
      </c>
      <c r="H3052" s="8">
        <v>-1.0</v>
      </c>
      <c r="I3052" s="8" t="s">
        <v>28</v>
      </c>
      <c r="J3052" s="8" t="s">
        <v>22</v>
      </c>
      <c r="K3052" s="8" t="s">
        <v>225</v>
      </c>
      <c r="L3052" s="8" t="s">
        <v>24</v>
      </c>
      <c r="M3052" s="9">
        <v>0.25</v>
      </c>
      <c r="N3052" s="9">
        <v>0.25</v>
      </c>
      <c r="O3052" s="9">
        <v>0.11</v>
      </c>
      <c r="P3052" s="54">
        <v>45500.0</v>
      </c>
      <c r="Q3052" s="11">
        <v>1.95</v>
      </c>
      <c r="R3052" s="8" t="s">
        <v>30</v>
      </c>
      <c r="S3052" s="12">
        <f t="shared" si="1"/>
        <v>0.05225</v>
      </c>
      <c r="T3052" s="12">
        <f t="shared" si="8"/>
        <v>97.42674543</v>
      </c>
      <c r="U3052" s="145"/>
    </row>
    <row r="3053">
      <c r="A3053" s="29"/>
      <c r="B3053" s="15" t="s">
        <v>137</v>
      </c>
      <c r="C3053" s="15" t="s">
        <v>40</v>
      </c>
      <c r="D3053" s="15">
        <v>29.0</v>
      </c>
      <c r="E3053" s="15" t="s">
        <v>5528</v>
      </c>
      <c r="F3053" s="15" t="s">
        <v>1473</v>
      </c>
      <c r="G3053" s="15" t="s">
        <v>1474</v>
      </c>
      <c r="H3053" s="15">
        <v>0.0</v>
      </c>
      <c r="I3053" s="15" t="s">
        <v>172</v>
      </c>
      <c r="J3053" s="15" t="s">
        <v>22</v>
      </c>
      <c r="K3053" s="15" t="s">
        <v>225</v>
      </c>
      <c r="L3053" s="15" t="s">
        <v>24</v>
      </c>
      <c r="M3053" s="16">
        <v>0.5</v>
      </c>
      <c r="N3053" s="16">
        <v>0.5</v>
      </c>
      <c r="O3053" s="16">
        <v>0.5</v>
      </c>
      <c r="P3053" s="55">
        <v>45500.0</v>
      </c>
      <c r="Q3053" s="18">
        <v>1.95</v>
      </c>
      <c r="R3053" s="15" t="s">
        <v>25</v>
      </c>
      <c r="S3053" s="19">
        <f t="shared" si="1"/>
        <v>-0.5</v>
      </c>
      <c r="T3053" s="19">
        <f t="shared" si="8"/>
        <v>96.92674543</v>
      </c>
      <c r="U3053" s="144"/>
    </row>
    <row r="3054">
      <c r="A3054" s="107"/>
      <c r="B3054" s="8" t="s">
        <v>129</v>
      </c>
      <c r="C3054" s="8" t="s">
        <v>19</v>
      </c>
      <c r="D3054" s="8">
        <v>77.0</v>
      </c>
      <c r="E3054" s="8" t="s">
        <v>5529</v>
      </c>
      <c r="F3054" s="8" t="s">
        <v>1479</v>
      </c>
      <c r="G3054" s="8" t="s">
        <v>1480</v>
      </c>
      <c r="H3054" s="8">
        <v>0.0</v>
      </c>
      <c r="I3054" s="8" t="s">
        <v>204</v>
      </c>
      <c r="J3054" s="8" t="s">
        <v>22</v>
      </c>
      <c r="K3054" s="8" t="s">
        <v>892</v>
      </c>
      <c r="L3054" s="8" t="s">
        <v>24</v>
      </c>
      <c r="M3054" s="9">
        <v>0.0</v>
      </c>
      <c r="N3054" s="9">
        <v>0.25</v>
      </c>
      <c r="O3054" s="9">
        <v>0.15</v>
      </c>
      <c r="P3054" s="10">
        <v>45500.0</v>
      </c>
      <c r="Q3054" s="11">
        <v>1.95</v>
      </c>
      <c r="R3054" s="8" t="s">
        <v>70</v>
      </c>
      <c r="S3054" s="12">
        <f t="shared" si="1"/>
        <v>0</v>
      </c>
      <c r="T3054" s="12">
        <f t="shared" si="8"/>
        <v>96.92674543</v>
      </c>
      <c r="U3054" s="145"/>
    </row>
    <row r="3055">
      <c r="A3055" s="29"/>
      <c r="B3055" s="15" t="s">
        <v>26</v>
      </c>
      <c r="C3055" s="15" t="s">
        <v>19</v>
      </c>
      <c r="D3055" s="15">
        <v>79.0</v>
      </c>
      <c r="E3055" s="15" t="s">
        <v>5530</v>
      </c>
      <c r="F3055" s="15" t="s">
        <v>1473</v>
      </c>
      <c r="G3055" s="15" t="s">
        <v>1480</v>
      </c>
      <c r="H3055" s="15">
        <v>0.0</v>
      </c>
      <c r="I3055" s="15" t="s">
        <v>28</v>
      </c>
      <c r="J3055" s="15" t="s">
        <v>22</v>
      </c>
      <c r="K3055" s="15" t="s">
        <v>892</v>
      </c>
      <c r="L3055" s="15" t="s">
        <v>24</v>
      </c>
      <c r="M3055" s="16">
        <v>0.0</v>
      </c>
      <c r="N3055" s="16">
        <v>0.5</v>
      </c>
      <c r="O3055" s="16">
        <v>0.5</v>
      </c>
      <c r="P3055" s="17">
        <v>45500.0</v>
      </c>
      <c r="Q3055" s="18">
        <v>1.75</v>
      </c>
      <c r="R3055" s="15" t="s">
        <v>70</v>
      </c>
      <c r="S3055" s="19">
        <f t="shared" si="1"/>
        <v>0</v>
      </c>
      <c r="T3055" s="19">
        <f t="shared" si="8"/>
        <v>96.92674543</v>
      </c>
      <c r="U3055" s="144"/>
    </row>
    <row r="3056">
      <c r="A3056" s="107"/>
      <c r="B3056" s="8" t="s">
        <v>129</v>
      </c>
      <c r="C3056" s="8" t="s">
        <v>19</v>
      </c>
      <c r="D3056" s="8">
        <v>81.0</v>
      </c>
      <c r="E3056" s="8" t="s">
        <v>5531</v>
      </c>
      <c r="F3056" s="8" t="s">
        <v>1479</v>
      </c>
      <c r="G3056" s="8" t="s">
        <v>1480</v>
      </c>
      <c r="H3056" s="8">
        <v>1.0</v>
      </c>
      <c r="I3056" s="8" t="s">
        <v>28</v>
      </c>
      <c r="J3056" s="8" t="s">
        <v>22</v>
      </c>
      <c r="K3056" s="8" t="s">
        <v>892</v>
      </c>
      <c r="L3056" s="8" t="s">
        <v>24</v>
      </c>
      <c r="M3056" s="9">
        <v>0.0</v>
      </c>
      <c r="N3056" s="9">
        <v>0.5</v>
      </c>
      <c r="O3056" s="9">
        <v>0.5</v>
      </c>
      <c r="P3056" s="10">
        <v>45500.0</v>
      </c>
      <c r="Q3056" s="11">
        <v>1.95</v>
      </c>
      <c r="R3056" s="8" t="s">
        <v>70</v>
      </c>
      <c r="S3056" s="12">
        <f t="shared" si="1"/>
        <v>0</v>
      </c>
      <c r="T3056" s="12">
        <f t="shared" si="8"/>
        <v>96.92674543</v>
      </c>
      <c r="U3056" s="145"/>
    </row>
    <row r="3057">
      <c r="A3057" s="29"/>
      <c r="B3057" s="15" t="s">
        <v>18</v>
      </c>
      <c r="C3057" s="15" t="s">
        <v>19</v>
      </c>
      <c r="D3057" s="15">
        <v>72.0</v>
      </c>
      <c r="E3057" s="15" t="s">
        <v>5532</v>
      </c>
      <c r="F3057" s="15" t="s">
        <v>1479</v>
      </c>
      <c r="G3057" s="15" t="s">
        <v>1474</v>
      </c>
      <c r="H3057" s="15">
        <v>2.0</v>
      </c>
      <c r="I3057" s="15" t="s">
        <v>448</v>
      </c>
      <c r="J3057" s="15" t="s">
        <v>22</v>
      </c>
      <c r="K3057" s="15" t="s">
        <v>225</v>
      </c>
      <c r="L3057" s="15" t="s">
        <v>24</v>
      </c>
      <c r="M3057" s="16">
        <v>0.5</v>
      </c>
      <c r="N3057" s="16">
        <v>0.25</v>
      </c>
      <c r="O3057" s="16">
        <v>0.25</v>
      </c>
      <c r="P3057" s="17">
        <v>45500.0</v>
      </c>
      <c r="Q3057" s="18">
        <v>1.7</v>
      </c>
      <c r="R3057" s="15" t="s">
        <v>33</v>
      </c>
      <c r="S3057" s="19">
        <f t="shared" si="1"/>
        <v>0.175</v>
      </c>
      <c r="T3057" s="19">
        <f t="shared" si="8"/>
        <v>97.10174543</v>
      </c>
      <c r="U3057" s="144"/>
    </row>
    <row r="3058">
      <c r="A3058" s="107"/>
      <c r="B3058" s="8" t="s">
        <v>129</v>
      </c>
      <c r="C3058" s="8" t="s">
        <v>19</v>
      </c>
      <c r="D3058" s="8">
        <v>85.0</v>
      </c>
      <c r="E3058" s="8" t="s">
        <v>5533</v>
      </c>
      <c r="F3058" s="8" t="s">
        <v>1479</v>
      </c>
      <c r="G3058" s="8" t="s">
        <v>1474</v>
      </c>
      <c r="H3058" s="8">
        <v>-2.0</v>
      </c>
      <c r="I3058" s="8" t="s">
        <v>463</v>
      </c>
      <c r="J3058" s="8" t="s">
        <v>22</v>
      </c>
      <c r="K3058" s="8" t="s">
        <v>225</v>
      </c>
      <c r="L3058" s="8" t="s">
        <v>24</v>
      </c>
      <c r="M3058" s="9">
        <v>0.5</v>
      </c>
      <c r="N3058" s="9">
        <v>0.25</v>
      </c>
      <c r="O3058" s="9">
        <v>0.25</v>
      </c>
      <c r="P3058" s="10">
        <v>45500.0</v>
      </c>
      <c r="Q3058" s="11">
        <v>1.7</v>
      </c>
      <c r="R3058" s="8" t="s">
        <v>33</v>
      </c>
      <c r="S3058" s="12">
        <f t="shared" si="1"/>
        <v>0.175</v>
      </c>
      <c r="T3058" s="12">
        <f t="shared" si="8"/>
        <v>97.27674543</v>
      </c>
      <c r="U3058" s="145"/>
    </row>
    <row r="3059">
      <c r="A3059" s="29"/>
      <c r="B3059" s="15" t="s">
        <v>129</v>
      </c>
      <c r="C3059" s="15" t="s">
        <v>19</v>
      </c>
      <c r="D3059" s="15">
        <v>86.0</v>
      </c>
      <c r="E3059" s="15" t="s">
        <v>5534</v>
      </c>
      <c r="F3059" s="15"/>
      <c r="G3059" s="15"/>
      <c r="H3059" s="15"/>
      <c r="I3059" s="15" t="s">
        <v>463</v>
      </c>
      <c r="J3059" s="15" t="s">
        <v>22</v>
      </c>
      <c r="K3059" s="15" t="s">
        <v>29</v>
      </c>
      <c r="L3059" s="15" t="s">
        <v>24</v>
      </c>
      <c r="M3059" s="16">
        <v>-6.5</v>
      </c>
      <c r="N3059" s="16">
        <v>0.25</v>
      </c>
      <c r="O3059" s="16">
        <v>0.25</v>
      </c>
      <c r="P3059" s="17">
        <v>45500.0</v>
      </c>
      <c r="Q3059" s="18">
        <v>1.625</v>
      </c>
      <c r="R3059" s="15" t="s">
        <v>33</v>
      </c>
      <c r="S3059" s="19">
        <f t="shared" si="1"/>
        <v>0.15625</v>
      </c>
      <c r="T3059" s="19">
        <f t="shared" si="8"/>
        <v>97.43299543</v>
      </c>
      <c r="U3059" s="144"/>
    </row>
    <row r="3060">
      <c r="A3060" s="107"/>
      <c r="B3060" s="8" t="s">
        <v>18</v>
      </c>
      <c r="C3060" s="8" t="s">
        <v>19</v>
      </c>
      <c r="D3060" s="8">
        <v>28.0</v>
      </c>
      <c r="E3060" s="8" t="s">
        <v>5535</v>
      </c>
      <c r="F3060" s="8" t="s">
        <v>1479</v>
      </c>
      <c r="G3060" s="8" t="s">
        <v>1474</v>
      </c>
      <c r="H3060" s="8">
        <v>0.0</v>
      </c>
      <c r="I3060" s="8" t="s">
        <v>5536</v>
      </c>
      <c r="J3060" s="8" t="s">
        <v>22</v>
      </c>
      <c r="K3060" s="8" t="s">
        <v>225</v>
      </c>
      <c r="L3060" s="8" t="s">
        <v>24</v>
      </c>
      <c r="M3060" s="9">
        <v>0.5</v>
      </c>
      <c r="N3060" s="9">
        <v>0.25</v>
      </c>
      <c r="O3060" s="9">
        <v>0.25</v>
      </c>
      <c r="P3060" s="10">
        <v>45500.0</v>
      </c>
      <c r="Q3060" s="11">
        <v>1.8</v>
      </c>
      <c r="R3060" s="8" t="s">
        <v>33</v>
      </c>
      <c r="S3060" s="12">
        <f t="shared" si="1"/>
        <v>0.2</v>
      </c>
      <c r="T3060" s="12">
        <f t="shared" si="8"/>
        <v>97.63299543</v>
      </c>
      <c r="U3060" s="145"/>
    </row>
    <row r="3061">
      <c r="A3061" s="29"/>
      <c r="B3061" s="15" t="s">
        <v>129</v>
      </c>
      <c r="C3061" s="15" t="s">
        <v>19</v>
      </c>
      <c r="D3061" s="15">
        <v>29.0</v>
      </c>
      <c r="E3061" s="15" t="s">
        <v>5537</v>
      </c>
      <c r="F3061" s="15" t="s">
        <v>1473</v>
      </c>
      <c r="G3061" s="15" t="s">
        <v>1480</v>
      </c>
      <c r="H3061" s="15">
        <v>0.0</v>
      </c>
      <c r="I3061" s="15" t="s">
        <v>372</v>
      </c>
      <c r="J3061" s="15" t="s">
        <v>22</v>
      </c>
      <c r="K3061" s="15" t="s">
        <v>892</v>
      </c>
      <c r="L3061" s="15" t="s">
        <v>24</v>
      </c>
      <c r="M3061" s="16">
        <v>0.0</v>
      </c>
      <c r="N3061" s="16">
        <v>0.75</v>
      </c>
      <c r="O3061" s="16">
        <v>0.75</v>
      </c>
      <c r="P3061" s="17">
        <v>45500.0</v>
      </c>
      <c r="Q3061" s="18">
        <v>1.9</v>
      </c>
      <c r="R3061" s="15" t="s">
        <v>70</v>
      </c>
      <c r="S3061" s="19">
        <f t="shared" si="1"/>
        <v>0</v>
      </c>
      <c r="T3061" s="19">
        <f t="shared" si="8"/>
        <v>97.63299543</v>
      </c>
      <c r="U3061" s="144"/>
    </row>
    <row r="3062">
      <c r="A3062" s="107"/>
      <c r="B3062" s="8" t="s">
        <v>26</v>
      </c>
      <c r="C3062" s="8" t="s">
        <v>19</v>
      </c>
      <c r="D3062" s="8">
        <v>65.0</v>
      </c>
      <c r="E3062" s="8" t="s">
        <v>5538</v>
      </c>
      <c r="F3062" s="8" t="s">
        <v>1479</v>
      </c>
      <c r="G3062" s="8" t="s">
        <v>1480</v>
      </c>
      <c r="H3062" s="8">
        <v>-1.0</v>
      </c>
      <c r="I3062" s="8" t="s">
        <v>28</v>
      </c>
      <c r="J3062" s="8" t="s">
        <v>22</v>
      </c>
      <c r="K3062" s="8" t="s">
        <v>892</v>
      </c>
      <c r="L3062" s="8" t="s">
        <v>1851</v>
      </c>
      <c r="M3062" s="9">
        <v>0.0</v>
      </c>
      <c r="N3062" s="9">
        <v>0.25</v>
      </c>
      <c r="O3062" s="9">
        <v>0.15</v>
      </c>
      <c r="P3062" s="10">
        <v>45500.0</v>
      </c>
      <c r="Q3062" s="11">
        <v>1.85</v>
      </c>
      <c r="R3062" s="8" t="s">
        <v>70</v>
      </c>
      <c r="S3062" s="12">
        <f t="shared" si="1"/>
        <v>0</v>
      </c>
      <c r="T3062" s="12">
        <f t="shared" si="8"/>
        <v>97.63299543</v>
      </c>
      <c r="U3062" s="145"/>
    </row>
    <row r="3063">
      <c r="A3063" s="29"/>
      <c r="B3063" s="15" t="s">
        <v>129</v>
      </c>
      <c r="C3063" s="15" t="s">
        <v>19</v>
      </c>
      <c r="D3063" s="15">
        <v>65.0</v>
      </c>
      <c r="E3063" s="15" t="s">
        <v>5539</v>
      </c>
      <c r="F3063" s="15" t="s">
        <v>1473</v>
      </c>
      <c r="G3063" s="15" t="s">
        <v>1480</v>
      </c>
      <c r="H3063" s="15">
        <v>0.0</v>
      </c>
      <c r="I3063" s="15" t="s">
        <v>768</v>
      </c>
      <c r="J3063" s="15" t="s">
        <v>22</v>
      </c>
      <c r="K3063" s="15" t="s">
        <v>892</v>
      </c>
      <c r="L3063" s="15" t="s">
        <v>24</v>
      </c>
      <c r="M3063" s="16">
        <v>0.0</v>
      </c>
      <c r="N3063" s="16">
        <v>0.25</v>
      </c>
      <c r="O3063" s="16">
        <v>0.24</v>
      </c>
      <c r="P3063" s="17">
        <v>45500.0</v>
      </c>
      <c r="Q3063" s="18">
        <v>1.725</v>
      </c>
      <c r="R3063" s="15" t="s">
        <v>33</v>
      </c>
      <c r="S3063" s="19">
        <f t="shared" si="1"/>
        <v>0.174</v>
      </c>
      <c r="T3063" s="19">
        <f t="shared" si="8"/>
        <v>97.80699543</v>
      </c>
      <c r="U3063" s="144"/>
    </row>
    <row r="3064">
      <c r="A3064" s="107"/>
      <c r="B3064" s="8" t="s">
        <v>26</v>
      </c>
      <c r="C3064" s="8" t="s">
        <v>19</v>
      </c>
      <c r="D3064" s="8">
        <v>20.0</v>
      </c>
      <c r="E3064" s="8" t="s">
        <v>5540</v>
      </c>
      <c r="F3064" s="8"/>
      <c r="G3064" s="8"/>
      <c r="H3064" s="8"/>
      <c r="I3064" s="8" t="s">
        <v>5487</v>
      </c>
      <c r="J3064" s="8" t="s">
        <v>22</v>
      </c>
      <c r="K3064" s="8" t="s">
        <v>29</v>
      </c>
      <c r="L3064" s="8" t="s">
        <v>24</v>
      </c>
      <c r="M3064" s="9">
        <v>-3.0</v>
      </c>
      <c r="N3064" s="9">
        <v>0.25</v>
      </c>
      <c r="O3064" s="9">
        <v>0.22</v>
      </c>
      <c r="P3064" s="10">
        <v>45501.0</v>
      </c>
      <c r="Q3064" s="11">
        <v>1.725</v>
      </c>
      <c r="R3064" s="8" t="s">
        <v>70</v>
      </c>
      <c r="S3064" s="12">
        <f t="shared" si="1"/>
        <v>0</v>
      </c>
      <c r="T3064" s="12">
        <f t="shared" si="8"/>
        <v>97.80699543</v>
      </c>
      <c r="U3064" s="145"/>
    </row>
    <row r="3065">
      <c r="A3065" s="29"/>
      <c r="B3065" s="15" t="s">
        <v>18</v>
      </c>
      <c r="C3065" s="15" t="s">
        <v>19</v>
      </c>
      <c r="D3065" s="15">
        <v>70.0</v>
      </c>
      <c r="E3065" s="15" t="s">
        <v>5541</v>
      </c>
      <c r="F3065" s="15" t="s">
        <v>1479</v>
      </c>
      <c r="G3065" s="15" t="s">
        <v>1480</v>
      </c>
      <c r="H3065" s="15">
        <v>-1.0</v>
      </c>
      <c r="I3065" s="15" t="s">
        <v>44</v>
      </c>
      <c r="J3065" s="15" t="s">
        <v>22</v>
      </c>
      <c r="K3065" s="15" t="s">
        <v>892</v>
      </c>
      <c r="L3065" s="15" t="s">
        <v>1803</v>
      </c>
      <c r="M3065" s="16">
        <v>0.0</v>
      </c>
      <c r="N3065" s="16">
        <v>0.5</v>
      </c>
      <c r="O3065" s="16">
        <v>0.5</v>
      </c>
      <c r="P3065" s="17">
        <v>45501.0</v>
      </c>
      <c r="Q3065" s="18">
        <f>(1.825+1.925)/2</f>
        <v>1.875</v>
      </c>
      <c r="R3065" s="15" t="s">
        <v>33</v>
      </c>
      <c r="S3065" s="19">
        <f t="shared" si="1"/>
        <v>0.4375</v>
      </c>
      <c r="T3065" s="19">
        <f t="shared" si="8"/>
        <v>98.24449543</v>
      </c>
      <c r="U3065" s="144"/>
    </row>
    <row r="3066">
      <c r="A3066" s="107"/>
      <c r="B3066" s="8" t="s">
        <v>26</v>
      </c>
      <c r="C3066" s="8" t="s">
        <v>19</v>
      </c>
      <c r="D3066" s="8">
        <v>25.0</v>
      </c>
      <c r="E3066" s="8" t="s">
        <v>5542</v>
      </c>
      <c r="F3066" s="8" t="s">
        <v>1479</v>
      </c>
      <c r="G3066" s="8" t="s">
        <v>1474</v>
      </c>
      <c r="H3066" s="8">
        <v>1.0</v>
      </c>
      <c r="I3066" s="8" t="s">
        <v>448</v>
      </c>
      <c r="J3066" s="8" t="s">
        <v>22</v>
      </c>
      <c r="K3066" s="8" t="s">
        <v>225</v>
      </c>
      <c r="L3066" s="8" t="s">
        <v>24</v>
      </c>
      <c r="M3066" s="9">
        <v>0.0</v>
      </c>
      <c r="N3066" s="9">
        <v>0.25</v>
      </c>
      <c r="O3066" s="9">
        <f>0.25*30/52</f>
        <v>0.1442307692</v>
      </c>
      <c r="P3066" s="10">
        <v>45501.0</v>
      </c>
      <c r="Q3066" s="11">
        <v>2.025</v>
      </c>
      <c r="R3066" s="8" t="s">
        <v>25</v>
      </c>
      <c r="S3066" s="12">
        <f t="shared" si="1"/>
        <v>-0.1442307692</v>
      </c>
      <c r="T3066" s="12">
        <f t="shared" si="8"/>
        <v>98.10026466</v>
      </c>
      <c r="U3066" s="145"/>
    </row>
    <row r="3067">
      <c r="A3067" s="29"/>
      <c r="B3067" s="15" t="s">
        <v>26</v>
      </c>
      <c r="C3067" s="15" t="s">
        <v>19</v>
      </c>
      <c r="D3067" s="15">
        <v>26.0</v>
      </c>
      <c r="E3067" s="15" t="s">
        <v>5543</v>
      </c>
      <c r="F3067" s="15" t="s">
        <v>1479</v>
      </c>
      <c r="G3067" s="15" t="s">
        <v>1474</v>
      </c>
      <c r="H3067" s="15">
        <v>1.0</v>
      </c>
      <c r="I3067" s="15" t="s">
        <v>448</v>
      </c>
      <c r="J3067" s="15" t="s">
        <v>22</v>
      </c>
      <c r="K3067" s="15" t="s">
        <v>225</v>
      </c>
      <c r="L3067" s="15" t="s">
        <v>24</v>
      </c>
      <c r="M3067" s="16">
        <v>0.0</v>
      </c>
      <c r="N3067" s="16">
        <v>0.25</v>
      </c>
      <c r="O3067" s="16">
        <f>0.25*0.5</f>
        <v>0.125</v>
      </c>
      <c r="P3067" s="17">
        <v>45501.0</v>
      </c>
      <c r="Q3067" s="18">
        <v>1.9</v>
      </c>
      <c r="R3067" s="15" t="s">
        <v>25</v>
      </c>
      <c r="S3067" s="19">
        <f t="shared" si="1"/>
        <v>-0.125</v>
      </c>
      <c r="T3067" s="19">
        <f t="shared" si="8"/>
        <v>97.97526466</v>
      </c>
      <c r="U3067" s="144"/>
    </row>
    <row r="3068">
      <c r="A3068" s="107"/>
      <c r="B3068" s="8" t="s">
        <v>26</v>
      </c>
      <c r="C3068" s="8" t="s">
        <v>19</v>
      </c>
      <c r="D3068" s="8">
        <v>70.0</v>
      </c>
      <c r="E3068" s="8" t="s">
        <v>5544</v>
      </c>
      <c r="F3068" s="8" t="s">
        <v>1473</v>
      </c>
      <c r="G3068" s="8" t="s">
        <v>1480</v>
      </c>
      <c r="H3068" s="8">
        <v>-1.0</v>
      </c>
      <c r="I3068" s="8" t="s">
        <v>448</v>
      </c>
      <c r="J3068" s="8" t="s">
        <v>22</v>
      </c>
      <c r="K3068" s="8" t="s">
        <v>1023</v>
      </c>
      <c r="L3068" s="8" t="s">
        <v>24</v>
      </c>
      <c r="M3068" s="9">
        <v>-0.5</v>
      </c>
      <c r="N3068" s="9">
        <v>0.15</v>
      </c>
      <c r="O3068" s="9">
        <f>0.15*44/48</f>
        <v>0.1375</v>
      </c>
      <c r="P3068" s="10">
        <v>45501.0</v>
      </c>
      <c r="Q3068" s="11">
        <v>3.0</v>
      </c>
      <c r="R3068" s="8" t="s">
        <v>33</v>
      </c>
      <c r="S3068" s="12">
        <f t="shared" si="1"/>
        <v>0.275</v>
      </c>
      <c r="T3068" s="12">
        <f t="shared" si="8"/>
        <v>98.25026466</v>
      </c>
      <c r="U3068" s="145"/>
    </row>
    <row r="3069">
      <c r="A3069" s="29"/>
      <c r="B3069" s="15" t="s">
        <v>26</v>
      </c>
      <c r="C3069" s="15" t="s">
        <v>19</v>
      </c>
      <c r="D3069" s="15">
        <v>80.0</v>
      </c>
      <c r="E3069" s="15" t="s">
        <v>5545</v>
      </c>
      <c r="F3069" s="15" t="s">
        <v>1473</v>
      </c>
      <c r="G3069" s="15" t="s">
        <v>1480</v>
      </c>
      <c r="H3069" s="15">
        <v>0.0</v>
      </c>
      <c r="I3069" s="15" t="s">
        <v>448</v>
      </c>
      <c r="J3069" s="15" t="s">
        <v>22</v>
      </c>
      <c r="K3069" s="15" t="s">
        <v>892</v>
      </c>
      <c r="L3069" s="15" t="s">
        <v>24</v>
      </c>
      <c r="M3069" s="16">
        <v>0.0</v>
      </c>
      <c r="N3069" s="16">
        <v>0.25</v>
      </c>
      <c r="O3069" s="16">
        <f t="shared" ref="O3069:O3070" si="63">45/48*0.25</f>
        <v>0.234375</v>
      </c>
      <c r="P3069" s="17">
        <v>45501.0</v>
      </c>
      <c r="Q3069" s="18">
        <v>1.975</v>
      </c>
      <c r="R3069" s="15" t="s">
        <v>33</v>
      </c>
      <c r="S3069" s="19">
        <f t="shared" si="1"/>
        <v>0.228515625</v>
      </c>
      <c r="T3069" s="19">
        <f t="shared" si="8"/>
        <v>98.47878029</v>
      </c>
      <c r="U3069" s="144"/>
    </row>
    <row r="3070">
      <c r="A3070" s="107"/>
      <c r="B3070" s="8" t="s">
        <v>129</v>
      </c>
      <c r="C3070" s="8" t="s">
        <v>19</v>
      </c>
      <c r="D3070" s="8">
        <v>80.0</v>
      </c>
      <c r="E3070" s="8" t="s">
        <v>5545</v>
      </c>
      <c r="F3070" s="8" t="s">
        <v>1473</v>
      </c>
      <c r="G3070" s="8" t="s">
        <v>1480</v>
      </c>
      <c r="H3070" s="8">
        <v>0.0</v>
      </c>
      <c r="I3070" s="8" t="s">
        <v>448</v>
      </c>
      <c r="J3070" s="8" t="s">
        <v>22</v>
      </c>
      <c r="K3070" s="8" t="s">
        <v>892</v>
      </c>
      <c r="L3070" s="8" t="s">
        <v>24</v>
      </c>
      <c r="M3070" s="9">
        <v>0.0</v>
      </c>
      <c r="N3070" s="9">
        <v>0.25</v>
      </c>
      <c r="O3070" s="9">
        <f t="shared" si="63"/>
        <v>0.234375</v>
      </c>
      <c r="P3070" s="10">
        <v>45501.0</v>
      </c>
      <c r="Q3070" s="11">
        <v>1.975</v>
      </c>
      <c r="R3070" s="8" t="s">
        <v>33</v>
      </c>
      <c r="S3070" s="12">
        <f t="shared" si="1"/>
        <v>0.228515625</v>
      </c>
      <c r="T3070" s="12">
        <f t="shared" si="8"/>
        <v>98.70729591</v>
      </c>
      <c r="U3070" s="145"/>
    </row>
    <row r="3071">
      <c r="A3071" s="29"/>
      <c r="B3071" s="15" t="s">
        <v>129</v>
      </c>
      <c r="C3071" s="15" t="s">
        <v>19</v>
      </c>
      <c r="D3071" s="15">
        <v>70.0</v>
      </c>
      <c r="E3071" s="15" t="s">
        <v>5546</v>
      </c>
      <c r="F3071" s="15" t="s">
        <v>1473</v>
      </c>
      <c r="G3071" s="15" t="s">
        <v>1480</v>
      </c>
      <c r="H3071" s="15">
        <v>0.0</v>
      </c>
      <c r="I3071" s="15" t="s">
        <v>99</v>
      </c>
      <c r="J3071" s="15" t="s">
        <v>22</v>
      </c>
      <c r="K3071" s="15" t="s">
        <v>892</v>
      </c>
      <c r="L3071" s="15" t="s">
        <v>24</v>
      </c>
      <c r="M3071" s="16">
        <v>0.0</v>
      </c>
      <c r="N3071" s="16">
        <v>0.5</v>
      </c>
      <c r="O3071" s="16">
        <v>0.5</v>
      </c>
      <c r="P3071" s="17">
        <v>45501.0</v>
      </c>
      <c r="Q3071" s="18">
        <v>1.7</v>
      </c>
      <c r="R3071" s="15" t="s">
        <v>33</v>
      </c>
      <c r="S3071" s="19">
        <f t="shared" si="1"/>
        <v>0.35</v>
      </c>
      <c r="T3071" s="19">
        <f t="shared" si="8"/>
        <v>99.05729591</v>
      </c>
      <c r="U3071" s="144"/>
    </row>
    <row r="3072">
      <c r="A3072" s="107"/>
      <c r="B3072" s="8" t="s">
        <v>129</v>
      </c>
      <c r="C3072" s="8" t="s">
        <v>40</v>
      </c>
      <c r="D3072" s="8">
        <v>70.0</v>
      </c>
      <c r="E3072" s="8" t="s">
        <v>5547</v>
      </c>
      <c r="F3072" s="8" t="s">
        <v>1473</v>
      </c>
      <c r="G3072" s="8" t="s">
        <v>1480</v>
      </c>
      <c r="H3072" s="8">
        <v>-1.0</v>
      </c>
      <c r="I3072" s="8" t="s">
        <v>172</v>
      </c>
      <c r="J3072" s="8" t="s">
        <v>22</v>
      </c>
      <c r="K3072" s="8" t="s">
        <v>892</v>
      </c>
      <c r="L3072" s="8" t="s">
        <v>24</v>
      </c>
      <c r="M3072" s="9">
        <v>0.0</v>
      </c>
      <c r="N3072" s="9">
        <v>0.25</v>
      </c>
      <c r="O3072" s="9">
        <v>0.25</v>
      </c>
      <c r="P3072" s="10">
        <v>45501.0</v>
      </c>
      <c r="Q3072" s="11">
        <v>2.15</v>
      </c>
      <c r="R3072" s="8" t="s">
        <v>70</v>
      </c>
      <c r="S3072" s="12">
        <f t="shared" si="1"/>
        <v>0</v>
      </c>
      <c r="T3072" s="12">
        <f t="shared" si="8"/>
        <v>99.05729591</v>
      </c>
      <c r="U3072" s="145"/>
    </row>
    <row r="3073">
      <c r="A3073" s="29"/>
      <c r="B3073" s="15" t="s">
        <v>26</v>
      </c>
      <c r="C3073" s="15" t="s">
        <v>40</v>
      </c>
      <c r="D3073" s="15">
        <v>85.0</v>
      </c>
      <c r="E3073" s="15" t="s">
        <v>5548</v>
      </c>
      <c r="F3073" s="15" t="s">
        <v>1479</v>
      </c>
      <c r="G3073" s="15" t="s">
        <v>1480</v>
      </c>
      <c r="H3073" s="15">
        <v>2.0</v>
      </c>
      <c r="I3073" s="15" t="s">
        <v>487</v>
      </c>
      <c r="J3073" s="15" t="s">
        <v>22</v>
      </c>
      <c r="K3073" s="15" t="s">
        <v>892</v>
      </c>
      <c r="L3073" s="15" t="s">
        <v>24</v>
      </c>
      <c r="M3073" s="16">
        <v>0.0</v>
      </c>
      <c r="N3073" s="16">
        <v>0.25</v>
      </c>
      <c r="O3073" s="16">
        <v>0.24</v>
      </c>
      <c r="P3073" s="17">
        <v>45504.0</v>
      </c>
      <c r="Q3073" s="18">
        <v>1.9</v>
      </c>
      <c r="R3073" s="15" t="s">
        <v>70</v>
      </c>
      <c r="S3073" s="19">
        <f t="shared" si="1"/>
        <v>0</v>
      </c>
      <c r="T3073" s="19">
        <f t="shared" si="8"/>
        <v>99.05729591</v>
      </c>
      <c r="U3073" s="144"/>
    </row>
    <row r="3074">
      <c r="A3074" s="107"/>
      <c r="B3074" s="8" t="s">
        <v>26</v>
      </c>
      <c r="C3074" s="8" t="s">
        <v>19</v>
      </c>
      <c r="D3074" s="8">
        <v>70.0</v>
      </c>
      <c r="E3074" s="8" t="s">
        <v>5549</v>
      </c>
      <c r="F3074" s="8" t="s">
        <v>1473</v>
      </c>
      <c r="G3074" s="8" t="s">
        <v>1474</v>
      </c>
      <c r="H3074" s="8">
        <v>1.0</v>
      </c>
      <c r="I3074" s="8" t="s">
        <v>583</v>
      </c>
      <c r="J3074" s="8" t="s">
        <v>22</v>
      </c>
      <c r="K3074" s="8" t="s">
        <v>225</v>
      </c>
      <c r="L3074" s="8" t="s">
        <v>24</v>
      </c>
      <c r="M3074" s="9">
        <v>0.75</v>
      </c>
      <c r="N3074" s="9">
        <v>0.25</v>
      </c>
      <c r="O3074" s="9">
        <v>0.09</v>
      </c>
      <c r="P3074" s="54">
        <v>45504.0</v>
      </c>
      <c r="Q3074" s="11">
        <v>1.775</v>
      </c>
      <c r="R3074" s="8" t="s">
        <v>33</v>
      </c>
      <c r="S3074" s="12">
        <f t="shared" si="1"/>
        <v>0.06975</v>
      </c>
      <c r="T3074" s="12">
        <f t="shared" si="8"/>
        <v>99.12704591</v>
      </c>
      <c r="U3074" s="145"/>
    </row>
    <row r="3075">
      <c r="A3075" s="29"/>
      <c r="B3075" s="15" t="s">
        <v>26</v>
      </c>
      <c r="C3075" s="15" t="s">
        <v>19</v>
      </c>
      <c r="D3075" s="15">
        <v>70.0</v>
      </c>
      <c r="E3075" s="15" t="s">
        <v>5550</v>
      </c>
      <c r="F3075" s="15" t="s">
        <v>1473</v>
      </c>
      <c r="G3075" s="15" t="s">
        <v>1474</v>
      </c>
      <c r="H3075" s="15">
        <v>1.0</v>
      </c>
      <c r="I3075" s="15" t="s">
        <v>583</v>
      </c>
      <c r="J3075" s="15" t="s">
        <v>22</v>
      </c>
      <c r="K3075" s="15" t="s">
        <v>1847</v>
      </c>
      <c r="L3075" s="15" t="s">
        <v>24</v>
      </c>
      <c r="M3075" s="16">
        <v>-0.5</v>
      </c>
      <c r="N3075" s="16">
        <v>0.25</v>
      </c>
      <c r="O3075" s="16">
        <v>0.14</v>
      </c>
      <c r="P3075" s="17">
        <v>45504.0</v>
      </c>
      <c r="Q3075" s="18">
        <v>1.825</v>
      </c>
      <c r="R3075" s="15" t="s">
        <v>33</v>
      </c>
      <c r="S3075" s="19">
        <f t="shared" si="1"/>
        <v>0.1155</v>
      </c>
      <c r="T3075" s="19">
        <f t="shared" si="8"/>
        <v>99.24254591</v>
      </c>
      <c r="U3075" s="144"/>
    </row>
    <row r="3076">
      <c r="A3076" s="107"/>
      <c r="B3076" s="8" t="s">
        <v>26</v>
      </c>
      <c r="C3076" s="8" t="s">
        <v>19</v>
      </c>
      <c r="D3076" s="8">
        <v>75.0</v>
      </c>
      <c r="E3076" s="8" t="s">
        <v>2175</v>
      </c>
      <c r="F3076" s="8"/>
      <c r="G3076" s="8"/>
      <c r="H3076" s="8"/>
      <c r="I3076" s="8" t="s">
        <v>44</v>
      </c>
      <c r="J3076" s="8" t="s">
        <v>22</v>
      </c>
      <c r="K3076" s="8" t="s">
        <v>29</v>
      </c>
      <c r="L3076" s="8" t="s">
        <v>24</v>
      </c>
      <c r="M3076" s="9">
        <v>-4.5</v>
      </c>
      <c r="N3076" s="9">
        <v>0.2</v>
      </c>
      <c r="O3076" s="9">
        <v>0.05</v>
      </c>
      <c r="P3076" s="10">
        <v>45529.0</v>
      </c>
      <c r="Q3076" s="11">
        <v>1.625</v>
      </c>
      <c r="R3076" s="8" t="s">
        <v>25</v>
      </c>
      <c r="S3076" s="12">
        <f t="shared" si="1"/>
        <v>-0.05</v>
      </c>
      <c r="T3076" s="12">
        <f t="shared" si="8"/>
        <v>99.19254591</v>
      </c>
      <c r="U3076" s="145"/>
    </row>
    <row r="3077">
      <c r="A3077" s="29"/>
      <c r="B3077" s="15" t="s">
        <v>129</v>
      </c>
      <c r="C3077" s="15" t="s">
        <v>19</v>
      </c>
      <c r="D3077" s="15">
        <v>60.0</v>
      </c>
      <c r="E3077" s="15" t="s">
        <v>2176</v>
      </c>
      <c r="F3077" s="15" t="s">
        <v>1479</v>
      </c>
      <c r="G3077" s="15" t="s">
        <v>1480</v>
      </c>
      <c r="H3077" s="15">
        <v>-1.0</v>
      </c>
      <c r="I3077" s="15" t="s">
        <v>93</v>
      </c>
      <c r="J3077" s="15" t="s">
        <v>22</v>
      </c>
      <c r="K3077" s="15" t="s">
        <v>892</v>
      </c>
      <c r="L3077" s="15" t="s">
        <v>24</v>
      </c>
      <c r="M3077" s="16">
        <v>0.0</v>
      </c>
      <c r="N3077" s="16">
        <v>0.25</v>
      </c>
      <c r="O3077" s="16">
        <v>0.06</v>
      </c>
      <c r="P3077" s="17">
        <v>45529.0</v>
      </c>
      <c r="Q3077" s="18">
        <v>1.625</v>
      </c>
      <c r="R3077" s="15" t="s">
        <v>33</v>
      </c>
      <c r="S3077" s="19">
        <f t="shared" si="1"/>
        <v>0.0375</v>
      </c>
      <c r="T3077" s="19">
        <f t="shared" si="8"/>
        <v>99.23004591</v>
      </c>
      <c r="U3077" s="144"/>
    </row>
    <row r="3078">
      <c r="A3078" s="107"/>
      <c r="B3078" s="8" t="s">
        <v>18</v>
      </c>
      <c r="C3078" s="8" t="s">
        <v>19</v>
      </c>
      <c r="D3078" s="8">
        <v>0.0</v>
      </c>
      <c r="E3078" s="8" t="s">
        <v>2177</v>
      </c>
      <c r="F3078" s="8" t="s">
        <v>1479</v>
      </c>
      <c r="G3078" s="8" t="s">
        <v>1480</v>
      </c>
      <c r="H3078" s="8">
        <v>-1.0</v>
      </c>
      <c r="I3078" s="8" t="s">
        <v>44</v>
      </c>
      <c r="J3078" s="8" t="s">
        <v>22</v>
      </c>
      <c r="K3078" s="8" t="s">
        <v>892</v>
      </c>
      <c r="L3078" s="8" t="s">
        <v>24</v>
      </c>
      <c r="M3078" s="9">
        <v>0.0</v>
      </c>
      <c r="N3078" s="9">
        <v>0.25</v>
      </c>
      <c r="O3078" s="9">
        <v>0.25</v>
      </c>
      <c r="P3078" s="10">
        <v>45529.0</v>
      </c>
      <c r="Q3078" s="11">
        <v>1.8</v>
      </c>
      <c r="R3078" s="8" t="s">
        <v>33</v>
      </c>
      <c r="S3078" s="12">
        <f t="shared" si="1"/>
        <v>0.2</v>
      </c>
      <c r="T3078" s="12">
        <f t="shared" si="8"/>
        <v>99.43004591</v>
      </c>
      <c r="U3078" s="145"/>
    </row>
    <row r="3079">
      <c r="A3079" s="29"/>
      <c r="B3079" s="15" t="s">
        <v>4225</v>
      </c>
      <c r="C3079" s="15" t="s">
        <v>40</v>
      </c>
      <c r="D3079" s="15">
        <v>75.0</v>
      </c>
      <c r="E3079" s="15" t="s">
        <v>2178</v>
      </c>
      <c r="F3079" s="15" t="s">
        <v>1473</v>
      </c>
      <c r="G3079" s="15" t="s">
        <v>1480</v>
      </c>
      <c r="H3079" s="15">
        <v>0.0</v>
      </c>
      <c r="I3079" s="15" t="s">
        <v>908</v>
      </c>
      <c r="J3079" s="15" t="s">
        <v>22</v>
      </c>
      <c r="K3079" s="15" t="s">
        <v>892</v>
      </c>
      <c r="L3079" s="15" t="s">
        <v>24</v>
      </c>
      <c r="M3079" s="16">
        <v>0.0</v>
      </c>
      <c r="N3079" s="16">
        <v>0.5</v>
      </c>
      <c r="O3079" s="16">
        <v>0.5</v>
      </c>
      <c r="P3079" s="17">
        <v>45529.0</v>
      </c>
      <c r="Q3079" s="18">
        <v>1.775</v>
      </c>
      <c r="R3079" s="15" t="s">
        <v>25</v>
      </c>
      <c r="S3079" s="19">
        <f t="shared" si="1"/>
        <v>-0.5</v>
      </c>
      <c r="T3079" s="19">
        <f t="shared" si="8"/>
        <v>98.93004591</v>
      </c>
      <c r="U3079" s="144"/>
    </row>
    <row r="3080">
      <c r="A3080" s="107"/>
      <c r="B3080" s="8" t="s">
        <v>4225</v>
      </c>
      <c r="C3080" s="8" t="s">
        <v>19</v>
      </c>
      <c r="D3080" s="8">
        <v>0.0</v>
      </c>
      <c r="E3080" s="8" t="s">
        <v>2180</v>
      </c>
      <c r="F3080" s="8"/>
      <c r="G3080" s="8"/>
      <c r="H3080" s="8"/>
      <c r="I3080" s="8" t="s">
        <v>908</v>
      </c>
      <c r="J3080" s="8" t="s">
        <v>22</v>
      </c>
      <c r="K3080" s="8" t="s">
        <v>440</v>
      </c>
      <c r="L3080" s="8" t="s">
        <v>24</v>
      </c>
      <c r="M3080" s="9">
        <v>0.5</v>
      </c>
      <c r="N3080" s="9">
        <v>0.2</v>
      </c>
      <c r="O3080" s="9">
        <v>0.2</v>
      </c>
      <c r="P3080" s="10">
        <v>45529.0</v>
      </c>
      <c r="Q3080" s="11">
        <v>1.95</v>
      </c>
      <c r="R3080" s="8" t="s">
        <v>33</v>
      </c>
      <c r="S3080" s="12">
        <f t="shared" si="1"/>
        <v>0.19</v>
      </c>
      <c r="T3080" s="12">
        <f t="shared" si="8"/>
        <v>99.12004591</v>
      </c>
      <c r="U3080" s="145"/>
    </row>
    <row r="3081">
      <c r="A3081" s="29"/>
      <c r="B3081" s="15" t="s">
        <v>129</v>
      </c>
      <c r="C3081" s="15" t="s">
        <v>19</v>
      </c>
      <c r="D3081" s="15">
        <v>70.0</v>
      </c>
      <c r="E3081" s="15" t="s">
        <v>2181</v>
      </c>
      <c r="F3081" s="15" t="s">
        <v>1479</v>
      </c>
      <c r="G3081" s="15" t="s">
        <v>1480</v>
      </c>
      <c r="H3081" s="15">
        <v>0.0</v>
      </c>
      <c r="I3081" s="15" t="s">
        <v>44</v>
      </c>
      <c r="J3081" s="15" t="s">
        <v>22</v>
      </c>
      <c r="K3081" s="15" t="s">
        <v>892</v>
      </c>
      <c r="L3081" s="15" t="s">
        <v>24</v>
      </c>
      <c r="M3081" s="16">
        <v>0.0</v>
      </c>
      <c r="N3081" s="16">
        <v>0.25</v>
      </c>
      <c r="O3081" s="16">
        <v>0.15</v>
      </c>
      <c r="P3081" s="17">
        <v>45529.0</v>
      </c>
      <c r="Q3081" s="18">
        <v>1.7</v>
      </c>
      <c r="R3081" s="15" t="s">
        <v>33</v>
      </c>
      <c r="S3081" s="19">
        <f t="shared" si="1"/>
        <v>0.105</v>
      </c>
      <c r="T3081" s="19">
        <f t="shared" si="8"/>
        <v>99.22504591</v>
      </c>
      <c r="U3081" s="144"/>
    </row>
    <row r="3082">
      <c r="A3082" s="107"/>
      <c r="B3082" s="8" t="s">
        <v>4225</v>
      </c>
      <c r="C3082" s="8" t="s">
        <v>40</v>
      </c>
      <c r="D3082" s="8">
        <v>0.0</v>
      </c>
      <c r="E3082" s="8" t="s">
        <v>2182</v>
      </c>
      <c r="F3082" s="8" t="s">
        <v>1479</v>
      </c>
      <c r="G3082" s="8" t="s">
        <v>1474</v>
      </c>
      <c r="H3082" s="8">
        <v>0.0</v>
      </c>
      <c r="I3082" s="8" t="s">
        <v>101</v>
      </c>
      <c r="J3082" s="8" t="s">
        <v>22</v>
      </c>
      <c r="K3082" s="8" t="s">
        <v>225</v>
      </c>
      <c r="L3082" s="8" t="s">
        <v>24</v>
      </c>
      <c r="M3082" s="9">
        <v>0.5</v>
      </c>
      <c r="N3082" s="9">
        <v>0.25</v>
      </c>
      <c r="O3082" s="9">
        <f>0.25*54/60</f>
        <v>0.225</v>
      </c>
      <c r="P3082" s="10">
        <v>45529.0</v>
      </c>
      <c r="Q3082" s="11">
        <v>1.975</v>
      </c>
      <c r="R3082" s="8" t="s">
        <v>33</v>
      </c>
      <c r="S3082" s="12">
        <f t="shared" si="1"/>
        <v>0.219375</v>
      </c>
      <c r="T3082" s="12">
        <f t="shared" si="8"/>
        <v>99.44442091</v>
      </c>
      <c r="U3082" s="145"/>
    </row>
    <row r="3083">
      <c r="A3083" s="29"/>
      <c r="B3083" s="15" t="s">
        <v>4225</v>
      </c>
      <c r="C3083" s="15" t="s">
        <v>19</v>
      </c>
      <c r="D3083" s="15">
        <v>0.0</v>
      </c>
      <c r="E3083" s="15" t="s">
        <v>2183</v>
      </c>
      <c r="F3083" s="15" t="s">
        <v>1479</v>
      </c>
      <c r="G3083" s="15" t="s">
        <v>1480</v>
      </c>
      <c r="H3083" s="15">
        <v>1.0</v>
      </c>
      <c r="I3083" s="15" t="s">
        <v>172</v>
      </c>
      <c r="J3083" s="15" t="s">
        <v>22</v>
      </c>
      <c r="K3083" s="15" t="s">
        <v>892</v>
      </c>
      <c r="L3083" s="15" t="s">
        <v>24</v>
      </c>
      <c r="M3083" s="16">
        <v>0.0</v>
      </c>
      <c r="N3083" s="16">
        <v>0.5</v>
      </c>
      <c r="O3083" s="16">
        <v>0.5</v>
      </c>
      <c r="P3083" s="17">
        <v>45529.0</v>
      </c>
      <c r="Q3083" s="18">
        <v>1.675</v>
      </c>
      <c r="R3083" s="15" t="s">
        <v>70</v>
      </c>
      <c r="S3083" s="19">
        <f t="shared" si="1"/>
        <v>0</v>
      </c>
      <c r="T3083" s="19">
        <f t="shared" si="8"/>
        <v>99.44442091</v>
      </c>
      <c r="U3083" s="144"/>
    </row>
    <row r="3084">
      <c r="A3084" s="107"/>
      <c r="B3084" s="8" t="s">
        <v>26</v>
      </c>
      <c r="C3084" s="8" t="s">
        <v>19</v>
      </c>
      <c r="D3084" s="8">
        <v>41.0</v>
      </c>
      <c r="E3084" s="8" t="s">
        <v>2184</v>
      </c>
      <c r="F3084" s="8" t="s">
        <v>1473</v>
      </c>
      <c r="G3084" s="8" t="s">
        <v>1480</v>
      </c>
      <c r="H3084" s="8">
        <v>-1.0</v>
      </c>
      <c r="I3084" s="8" t="s">
        <v>172</v>
      </c>
      <c r="J3084" s="8" t="s">
        <v>22</v>
      </c>
      <c r="K3084" s="8" t="s">
        <v>892</v>
      </c>
      <c r="L3084" s="8" t="s">
        <v>24</v>
      </c>
      <c r="M3084" s="9">
        <v>0.0</v>
      </c>
      <c r="N3084" s="9">
        <v>0.5</v>
      </c>
      <c r="O3084" s="9">
        <v>0.5</v>
      </c>
      <c r="P3084" s="10">
        <v>45529.0</v>
      </c>
      <c r="Q3084" s="11">
        <v>2.0</v>
      </c>
      <c r="R3084" s="8" t="s">
        <v>70</v>
      </c>
      <c r="S3084" s="12">
        <f t="shared" si="1"/>
        <v>0</v>
      </c>
      <c r="T3084" s="12">
        <f t="shared" si="8"/>
        <v>99.44442091</v>
      </c>
      <c r="U3084" s="145"/>
    </row>
    <row r="3085">
      <c r="A3085" s="29"/>
      <c r="B3085" s="15" t="s">
        <v>4225</v>
      </c>
      <c r="C3085" s="15" t="s">
        <v>19</v>
      </c>
      <c r="D3085" s="15">
        <v>70.0</v>
      </c>
      <c r="E3085" s="15" t="s">
        <v>2185</v>
      </c>
      <c r="F3085" s="15" t="s">
        <v>1473</v>
      </c>
      <c r="G3085" s="15" t="s">
        <v>1474</v>
      </c>
      <c r="H3085" s="15">
        <v>0.0</v>
      </c>
      <c r="I3085" s="15" t="s">
        <v>93</v>
      </c>
      <c r="J3085" s="15" t="s">
        <v>22</v>
      </c>
      <c r="K3085" s="15" t="s">
        <v>225</v>
      </c>
      <c r="L3085" s="15" t="s">
        <v>24</v>
      </c>
      <c r="M3085" s="16">
        <v>0.25</v>
      </c>
      <c r="N3085" s="16">
        <v>0.5</v>
      </c>
      <c r="O3085" s="16">
        <v>0.5</v>
      </c>
      <c r="P3085" s="17">
        <v>45529.0</v>
      </c>
      <c r="Q3085" s="18">
        <f>259/250</f>
        <v>1.036</v>
      </c>
      <c r="R3085" s="15" t="s">
        <v>33</v>
      </c>
      <c r="S3085" s="19">
        <f t="shared" si="1"/>
        <v>0.018</v>
      </c>
      <c r="T3085" s="19">
        <f t="shared" si="8"/>
        <v>99.46242091</v>
      </c>
      <c r="U3085" s="144"/>
    </row>
    <row r="3086">
      <c r="A3086" s="107"/>
      <c r="B3086" s="8" t="s">
        <v>18</v>
      </c>
      <c r="C3086" s="8" t="s">
        <v>19</v>
      </c>
      <c r="D3086" s="8">
        <v>66.0</v>
      </c>
      <c r="E3086" s="8" t="s">
        <v>2186</v>
      </c>
      <c r="F3086" s="8" t="s">
        <v>1473</v>
      </c>
      <c r="G3086" s="8" t="s">
        <v>1477</v>
      </c>
      <c r="H3086" s="8">
        <v>0.0</v>
      </c>
      <c r="I3086" s="8" t="s">
        <v>167</v>
      </c>
      <c r="J3086" s="8" t="s">
        <v>22</v>
      </c>
      <c r="K3086" s="8" t="s">
        <v>894</v>
      </c>
      <c r="L3086" s="8" t="s">
        <v>1522</v>
      </c>
      <c r="M3086" s="9">
        <v>-0.5</v>
      </c>
      <c r="N3086" s="9">
        <v>0.3</v>
      </c>
      <c r="O3086" s="9">
        <v>0.3</v>
      </c>
      <c r="P3086" s="10">
        <v>45530.0</v>
      </c>
      <c r="Q3086" s="11">
        <v>1.7</v>
      </c>
      <c r="R3086" s="8" t="s">
        <v>33</v>
      </c>
      <c r="S3086" s="12">
        <f t="shared" si="1"/>
        <v>0.21</v>
      </c>
      <c r="T3086" s="12">
        <f t="shared" si="8"/>
        <v>99.67242091</v>
      </c>
      <c r="U3086" s="145"/>
    </row>
    <row r="3087">
      <c r="A3087" s="29"/>
      <c r="B3087" s="15" t="s">
        <v>4225</v>
      </c>
      <c r="C3087" s="15" t="s">
        <v>19</v>
      </c>
      <c r="D3087" s="15">
        <v>0.0</v>
      </c>
      <c r="E3087" s="15" t="s">
        <v>2187</v>
      </c>
      <c r="F3087" s="15" t="s">
        <v>1473</v>
      </c>
      <c r="G3087" s="15" t="s">
        <v>1480</v>
      </c>
      <c r="H3087" s="15">
        <v>0.0</v>
      </c>
      <c r="I3087" s="15" t="s">
        <v>78</v>
      </c>
      <c r="J3087" s="15" t="s">
        <v>22</v>
      </c>
      <c r="K3087" s="15" t="s">
        <v>892</v>
      </c>
      <c r="L3087" s="15" t="s">
        <v>39</v>
      </c>
      <c r="M3087" s="16">
        <v>0.0</v>
      </c>
      <c r="N3087" s="16">
        <v>0.1</v>
      </c>
      <c r="O3087" s="16">
        <f>0.1*18/60</f>
        <v>0.03</v>
      </c>
      <c r="P3087" s="17">
        <v>45531.0</v>
      </c>
      <c r="Q3087" s="18">
        <v>1.9</v>
      </c>
      <c r="R3087" s="15" t="s">
        <v>33</v>
      </c>
      <c r="S3087" s="19">
        <f t="shared" si="1"/>
        <v>0.027</v>
      </c>
      <c r="T3087" s="19">
        <f t="shared" si="8"/>
        <v>99.69942091</v>
      </c>
      <c r="U3087" s="144"/>
    </row>
    <row r="3088">
      <c r="A3088" s="107"/>
      <c r="B3088" s="8" t="s">
        <v>26</v>
      </c>
      <c r="C3088" s="8" t="s">
        <v>19</v>
      </c>
      <c r="D3088" s="8">
        <v>65.0</v>
      </c>
      <c r="E3088" s="8" t="s">
        <v>2188</v>
      </c>
      <c r="F3088" s="8" t="s">
        <v>1473</v>
      </c>
      <c r="G3088" s="8" t="s">
        <v>1480</v>
      </c>
      <c r="H3088" s="8">
        <v>0.0</v>
      </c>
      <c r="I3088" s="8" t="s">
        <v>432</v>
      </c>
      <c r="J3088" s="8" t="s">
        <v>22</v>
      </c>
      <c r="K3088" s="8" t="s">
        <v>894</v>
      </c>
      <c r="L3088" s="8" t="s">
        <v>39</v>
      </c>
      <c r="M3088" s="9">
        <v>-0.25</v>
      </c>
      <c r="N3088" s="9">
        <v>0.1</v>
      </c>
      <c r="O3088" s="9">
        <v>0.1</v>
      </c>
      <c r="P3088" s="10">
        <v>45531.0</v>
      </c>
      <c r="Q3088" s="11">
        <f>138.21/100</f>
        <v>1.3821</v>
      </c>
      <c r="R3088" s="8" t="s">
        <v>33</v>
      </c>
      <c r="S3088" s="12">
        <f t="shared" si="1"/>
        <v>0.03821</v>
      </c>
      <c r="T3088" s="12">
        <f t="shared" si="8"/>
        <v>99.73763091</v>
      </c>
      <c r="U3088" s="145"/>
    </row>
    <row r="3089">
      <c r="A3089" s="29"/>
      <c r="B3089" s="15" t="s">
        <v>26</v>
      </c>
      <c r="C3089" s="15" t="s">
        <v>19</v>
      </c>
      <c r="D3089" s="15">
        <v>61.0</v>
      </c>
      <c r="E3089" s="15" t="s">
        <v>2189</v>
      </c>
      <c r="F3089" s="15" t="s">
        <v>1473</v>
      </c>
      <c r="G3089" s="15" t="s">
        <v>1480</v>
      </c>
      <c r="H3089" s="15">
        <v>0.0</v>
      </c>
      <c r="I3089" s="15" t="s">
        <v>162</v>
      </c>
      <c r="J3089" s="15" t="s">
        <v>22</v>
      </c>
      <c r="K3089" s="15" t="s">
        <v>892</v>
      </c>
      <c r="L3089" s="15" t="s">
        <v>39</v>
      </c>
      <c r="M3089" s="16">
        <v>0.0</v>
      </c>
      <c r="N3089" s="16">
        <v>0.1</v>
      </c>
      <c r="O3089" s="16">
        <v>0.1</v>
      </c>
      <c r="P3089" s="17">
        <v>45531.0</v>
      </c>
      <c r="Q3089" s="18">
        <v>1.7</v>
      </c>
      <c r="R3089" s="15" t="s">
        <v>25</v>
      </c>
      <c r="S3089" s="19">
        <f t="shared" si="1"/>
        <v>-0.1</v>
      </c>
      <c r="T3089" s="19">
        <f t="shared" si="8"/>
        <v>99.63763091</v>
      </c>
      <c r="U3089" s="144"/>
    </row>
    <row r="3090">
      <c r="A3090" s="107"/>
      <c r="B3090" s="8" t="s">
        <v>4225</v>
      </c>
      <c r="C3090" s="8" t="s">
        <v>19</v>
      </c>
      <c r="D3090" s="8">
        <v>70.0</v>
      </c>
      <c r="E3090" s="8" t="s">
        <v>2190</v>
      </c>
      <c r="F3090" s="8" t="s">
        <v>1473</v>
      </c>
      <c r="G3090" s="8" t="s">
        <v>1480</v>
      </c>
      <c r="H3090" s="8">
        <v>-1.0</v>
      </c>
      <c r="I3090" s="8" t="s">
        <v>84</v>
      </c>
      <c r="J3090" s="8" t="s">
        <v>22</v>
      </c>
      <c r="K3090" s="8" t="s">
        <v>892</v>
      </c>
      <c r="L3090" s="8" t="s">
        <v>24</v>
      </c>
      <c r="M3090" s="9">
        <v>0.0</v>
      </c>
      <c r="N3090" s="9">
        <v>0.25</v>
      </c>
      <c r="O3090" s="9">
        <v>0.25</v>
      </c>
      <c r="P3090" s="10">
        <v>45532.0</v>
      </c>
      <c r="Q3090" s="11">
        <v>1.925</v>
      </c>
      <c r="R3090" s="8" t="s">
        <v>33</v>
      </c>
      <c r="S3090" s="12">
        <f t="shared" si="1"/>
        <v>0.23125</v>
      </c>
      <c r="T3090" s="12">
        <f t="shared" si="8"/>
        <v>99.86888091</v>
      </c>
      <c r="U3090" s="145"/>
    </row>
    <row r="3091">
      <c r="A3091" s="29"/>
      <c r="B3091" s="15" t="s">
        <v>137</v>
      </c>
      <c r="C3091" s="15" t="s">
        <v>19</v>
      </c>
      <c r="D3091" s="15">
        <v>75.0</v>
      </c>
      <c r="E3091" s="15" t="s">
        <v>2191</v>
      </c>
      <c r="F3091" s="15" t="s">
        <v>1473</v>
      </c>
      <c r="G3091" s="15" t="s">
        <v>1480</v>
      </c>
      <c r="H3091" s="15">
        <v>0.0</v>
      </c>
      <c r="I3091" s="15" t="s">
        <v>99</v>
      </c>
      <c r="J3091" s="15" t="s">
        <v>22</v>
      </c>
      <c r="K3091" s="15" t="s">
        <v>892</v>
      </c>
      <c r="L3091" s="15" t="s">
        <v>24</v>
      </c>
      <c r="M3091" s="16">
        <v>0.0</v>
      </c>
      <c r="N3091" s="16">
        <v>1.0</v>
      </c>
      <c r="O3091" s="16">
        <v>1.0</v>
      </c>
      <c r="P3091" s="17">
        <v>45532.0</v>
      </c>
      <c r="Q3091" s="18">
        <v>1.925</v>
      </c>
      <c r="R3091" s="15" t="s">
        <v>33</v>
      </c>
      <c r="S3091" s="19">
        <f t="shared" si="1"/>
        <v>0.925</v>
      </c>
      <c r="T3091" s="19">
        <f t="shared" si="8"/>
        <v>100.7938809</v>
      </c>
      <c r="U3091" s="144"/>
    </row>
    <row r="3092">
      <c r="A3092" s="107"/>
      <c r="B3092" s="8" t="s">
        <v>129</v>
      </c>
      <c r="C3092" s="8" t="s">
        <v>40</v>
      </c>
      <c r="D3092" s="8">
        <v>59.0</v>
      </c>
      <c r="E3092" s="8" t="s">
        <v>2192</v>
      </c>
      <c r="F3092" s="8" t="s">
        <v>1473</v>
      </c>
      <c r="G3092" s="8" t="s">
        <v>1477</v>
      </c>
      <c r="H3092" s="8">
        <v>0.0</v>
      </c>
      <c r="I3092" s="8" t="s">
        <v>463</v>
      </c>
      <c r="J3092" s="8" t="s">
        <v>22</v>
      </c>
      <c r="K3092" s="8" t="s">
        <v>894</v>
      </c>
      <c r="L3092" s="8" t="s">
        <v>39</v>
      </c>
      <c r="M3092" s="9">
        <v>-0.5</v>
      </c>
      <c r="N3092" s="9">
        <v>0.1</v>
      </c>
      <c r="O3092" s="9">
        <v>0.09</v>
      </c>
      <c r="P3092" s="10">
        <v>45532.0</v>
      </c>
      <c r="Q3092" s="11">
        <v>1.75</v>
      </c>
      <c r="R3092" s="8" t="s">
        <v>33</v>
      </c>
      <c r="S3092" s="12">
        <f t="shared" si="1"/>
        <v>0.0675</v>
      </c>
      <c r="T3092" s="12">
        <f t="shared" si="8"/>
        <v>100.8613809</v>
      </c>
      <c r="U3092" s="145"/>
    </row>
    <row r="3093">
      <c r="A3093" s="29"/>
      <c r="B3093" s="15" t="s">
        <v>26</v>
      </c>
      <c r="C3093" s="15" t="s">
        <v>19</v>
      </c>
      <c r="D3093" s="15">
        <v>62.0</v>
      </c>
      <c r="E3093" s="15" t="s">
        <v>2193</v>
      </c>
      <c r="F3093" s="15" t="s">
        <v>1473</v>
      </c>
      <c r="G3093" s="15" t="s">
        <v>1474</v>
      </c>
      <c r="H3093" s="15">
        <v>0.0</v>
      </c>
      <c r="I3093" s="15" t="s">
        <v>60</v>
      </c>
      <c r="J3093" s="15" t="s">
        <v>22</v>
      </c>
      <c r="K3093" s="15" t="s">
        <v>225</v>
      </c>
      <c r="L3093" s="15" t="s">
        <v>24</v>
      </c>
      <c r="M3093" s="16">
        <v>0.75</v>
      </c>
      <c r="N3093" s="16">
        <v>0.75</v>
      </c>
      <c r="O3093" s="16">
        <v>0.68</v>
      </c>
      <c r="P3093" s="55">
        <v>45532.0</v>
      </c>
      <c r="Q3093" s="18">
        <v>1.04</v>
      </c>
      <c r="R3093" s="15" t="s">
        <v>33</v>
      </c>
      <c r="S3093" s="19">
        <f t="shared" si="1"/>
        <v>0.0272</v>
      </c>
      <c r="T3093" s="19">
        <f t="shared" si="8"/>
        <v>100.8885809</v>
      </c>
      <c r="U3093" s="144"/>
    </row>
    <row r="3094">
      <c r="A3094" s="107"/>
      <c r="B3094" s="8" t="s">
        <v>26</v>
      </c>
      <c r="C3094" s="8" t="s">
        <v>19</v>
      </c>
      <c r="D3094" s="8">
        <v>35.0</v>
      </c>
      <c r="E3094" s="8" t="s">
        <v>2194</v>
      </c>
      <c r="F3094" s="8" t="s">
        <v>1473</v>
      </c>
      <c r="G3094" s="8" t="s">
        <v>1474</v>
      </c>
      <c r="H3094" s="8">
        <v>0.0</v>
      </c>
      <c r="I3094" s="8" t="s">
        <v>38</v>
      </c>
      <c r="J3094" s="8" t="s">
        <v>22</v>
      </c>
      <c r="K3094" s="8" t="s">
        <v>225</v>
      </c>
      <c r="L3094" s="8" t="s">
        <v>39</v>
      </c>
      <c r="M3094" s="9">
        <v>0.25</v>
      </c>
      <c r="N3094" s="9">
        <v>0.1</v>
      </c>
      <c r="O3094" s="9">
        <v>0.1</v>
      </c>
      <c r="P3094" s="10">
        <v>45532.0</v>
      </c>
      <c r="Q3094" s="11">
        <v>1.75</v>
      </c>
      <c r="R3094" s="8" t="s">
        <v>70</v>
      </c>
      <c r="S3094" s="12">
        <f t="shared" si="1"/>
        <v>0</v>
      </c>
      <c r="T3094" s="12">
        <f t="shared" si="8"/>
        <v>100.8885809</v>
      </c>
      <c r="U3094" s="145"/>
    </row>
    <row r="3095">
      <c r="A3095" s="29"/>
      <c r="B3095" s="15" t="s">
        <v>129</v>
      </c>
      <c r="C3095" s="15" t="s">
        <v>19</v>
      </c>
      <c r="D3095" s="15">
        <v>38.0</v>
      </c>
      <c r="E3095" s="15" t="s">
        <v>2195</v>
      </c>
      <c r="F3095" s="15"/>
      <c r="G3095" s="15"/>
      <c r="H3095" s="15"/>
      <c r="I3095" s="15" t="s">
        <v>1470</v>
      </c>
      <c r="J3095" s="15" t="s">
        <v>22</v>
      </c>
      <c r="K3095" s="15" t="s">
        <v>440</v>
      </c>
      <c r="L3095" s="15" t="s">
        <v>24</v>
      </c>
      <c r="M3095" s="16">
        <v>2.0</v>
      </c>
      <c r="N3095" s="16">
        <v>0.25</v>
      </c>
      <c r="O3095" s="16">
        <v>0.25</v>
      </c>
      <c r="P3095" s="17">
        <v>45533.0</v>
      </c>
      <c r="Q3095" s="18">
        <v>1.75</v>
      </c>
      <c r="R3095" s="15" t="s">
        <v>70</v>
      </c>
      <c r="S3095" s="19">
        <f t="shared" si="1"/>
        <v>0</v>
      </c>
      <c r="T3095" s="19">
        <f t="shared" si="8"/>
        <v>100.8885809</v>
      </c>
      <c r="U3095" s="144"/>
    </row>
    <row r="3096">
      <c r="A3096" s="107"/>
      <c r="B3096" s="8" t="s">
        <v>26</v>
      </c>
      <c r="C3096" s="8" t="s">
        <v>19</v>
      </c>
      <c r="D3096" s="8">
        <v>80.0</v>
      </c>
      <c r="E3096" s="8" t="s">
        <v>2196</v>
      </c>
      <c r="F3096" s="8" t="s">
        <v>1479</v>
      </c>
      <c r="G3096" s="8" t="s">
        <v>1480</v>
      </c>
      <c r="H3096" s="8">
        <v>0.0</v>
      </c>
      <c r="I3096" s="8" t="s">
        <v>82</v>
      </c>
      <c r="J3096" s="8" t="s">
        <v>598</v>
      </c>
      <c r="K3096" s="8" t="s">
        <v>892</v>
      </c>
      <c r="L3096" s="8" t="s">
        <v>39</v>
      </c>
      <c r="M3096" s="9">
        <v>0.0</v>
      </c>
      <c r="N3096" s="9">
        <v>0.2</v>
      </c>
      <c r="O3096" s="9">
        <v>0.2</v>
      </c>
      <c r="P3096" s="10">
        <v>45533.0</v>
      </c>
      <c r="Q3096" s="11">
        <v>2.1</v>
      </c>
      <c r="R3096" s="8" t="s">
        <v>33</v>
      </c>
      <c r="S3096" s="12">
        <f t="shared" si="1"/>
        <v>0.22</v>
      </c>
      <c r="T3096" s="12">
        <f t="shared" si="8"/>
        <v>101.1085809</v>
      </c>
      <c r="U3096" s="145"/>
    </row>
    <row r="3097">
      <c r="A3097" s="29"/>
      <c r="B3097" s="15" t="s">
        <v>129</v>
      </c>
      <c r="C3097" s="15" t="s">
        <v>19</v>
      </c>
      <c r="D3097" s="15">
        <v>80.0</v>
      </c>
      <c r="E3097" s="15" t="s">
        <v>2198</v>
      </c>
      <c r="F3097" s="15" t="s">
        <v>1479</v>
      </c>
      <c r="G3097" s="15" t="s">
        <v>1480</v>
      </c>
      <c r="H3097" s="15">
        <v>0.0</v>
      </c>
      <c r="I3097" s="15" t="s">
        <v>78</v>
      </c>
      <c r="J3097" s="15" t="s">
        <v>22</v>
      </c>
      <c r="K3097" s="15" t="s">
        <v>892</v>
      </c>
      <c r="L3097" s="15" t="s">
        <v>39</v>
      </c>
      <c r="M3097" s="16">
        <v>0.0</v>
      </c>
      <c r="N3097" s="16">
        <v>0.25</v>
      </c>
      <c r="O3097" s="16">
        <v>0.25</v>
      </c>
      <c r="P3097" s="17">
        <v>45533.0</v>
      </c>
      <c r="Q3097" s="18">
        <v>1.725</v>
      </c>
      <c r="R3097" s="15" t="s">
        <v>25</v>
      </c>
      <c r="S3097" s="19">
        <f t="shared" si="1"/>
        <v>-0.25</v>
      </c>
      <c r="T3097" s="19">
        <f t="shared" si="8"/>
        <v>100.8585809</v>
      </c>
      <c r="U3097" s="144"/>
    </row>
    <row r="3098">
      <c r="A3098" s="107"/>
      <c r="B3098" s="8" t="s">
        <v>137</v>
      </c>
      <c r="C3098" s="8" t="s">
        <v>19</v>
      </c>
      <c r="D3098" s="8">
        <v>71.0</v>
      </c>
      <c r="E3098" s="8" t="s">
        <v>2199</v>
      </c>
      <c r="F3098" s="8" t="s">
        <v>1479</v>
      </c>
      <c r="G3098" s="8" t="s">
        <v>1480</v>
      </c>
      <c r="H3098" s="8">
        <v>0.0</v>
      </c>
      <c r="I3098" s="8" t="s">
        <v>38</v>
      </c>
      <c r="J3098" s="8" t="s">
        <v>22</v>
      </c>
      <c r="K3098" s="8" t="s">
        <v>892</v>
      </c>
      <c r="L3098" s="8" t="s">
        <v>24</v>
      </c>
      <c r="M3098" s="9">
        <v>0.0</v>
      </c>
      <c r="N3098" s="9">
        <v>0.5</v>
      </c>
      <c r="O3098" s="9">
        <v>0.45</v>
      </c>
      <c r="P3098" s="10">
        <v>45533.0</v>
      </c>
      <c r="Q3098" s="11">
        <f>153.68/150</f>
        <v>1.024533333</v>
      </c>
      <c r="R3098" s="8" t="s">
        <v>33</v>
      </c>
      <c r="S3098" s="12">
        <f t="shared" si="1"/>
        <v>0.01104</v>
      </c>
      <c r="T3098" s="12">
        <f t="shared" si="8"/>
        <v>100.8696209</v>
      </c>
      <c r="U3098" s="145"/>
    </row>
    <row r="3099">
      <c r="A3099" s="29"/>
      <c r="B3099" s="15" t="s">
        <v>26</v>
      </c>
      <c r="C3099" s="15" t="s">
        <v>40</v>
      </c>
      <c r="D3099" s="15">
        <v>63.0</v>
      </c>
      <c r="E3099" s="15" t="s">
        <v>2200</v>
      </c>
      <c r="F3099" s="15" t="s">
        <v>1473</v>
      </c>
      <c r="G3099" s="15" t="s">
        <v>1480</v>
      </c>
      <c r="H3099" s="15">
        <v>1.0</v>
      </c>
      <c r="I3099" s="15" t="s">
        <v>82</v>
      </c>
      <c r="J3099" s="15" t="s">
        <v>22</v>
      </c>
      <c r="K3099" s="15" t="s">
        <v>892</v>
      </c>
      <c r="L3099" s="15" t="s">
        <v>24</v>
      </c>
      <c r="M3099" s="16">
        <v>0.0</v>
      </c>
      <c r="N3099" s="16">
        <v>0.5</v>
      </c>
      <c r="O3099" s="16">
        <v>0.5</v>
      </c>
      <c r="P3099" s="17">
        <v>45533.0</v>
      </c>
      <c r="Q3099" s="18">
        <v>2.15</v>
      </c>
      <c r="R3099" s="15" t="s">
        <v>70</v>
      </c>
      <c r="S3099" s="19">
        <f t="shared" si="1"/>
        <v>0</v>
      </c>
      <c r="T3099" s="19">
        <f t="shared" si="8"/>
        <v>100.8696209</v>
      </c>
      <c r="U3099" s="144"/>
    </row>
    <row r="3100">
      <c r="A3100" s="107"/>
      <c r="B3100" s="8" t="s">
        <v>4225</v>
      </c>
      <c r="C3100" s="8" t="s">
        <v>40</v>
      </c>
      <c r="D3100" s="8">
        <v>25.0</v>
      </c>
      <c r="E3100" s="8" t="s">
        <v>2202</v>
      </c>
      <c r="F3100" s="8" t="s">
        <v>1479</v>
      </c>
      <c r="G3100" s="8" t="s">
        <v>1474</v>
      </c>
      <c r="H3100" s="8">
        <v>-1.0</v>
      </c>
      <c r="I3100" s="8" t="s">
        <v>263</v>
      </c>
      <c r="J3100" s="8" t="s">
        <v>22</v>
      </c>
      <c r="K3100" s="8" t="s">
        <v>225</v>
      </c>
      <c r="L3100" s="8" t="s">
        <v>24</v>
      </c>
      <c r="M3100" s="9">
        <v>0.25</v>
      </c>
      <c r="N3100" s="9">
        <v>0.5</v>
      </c>
      <c r="O3100" s="9">
        <v>0.5</v>
      </c>
      <c r="P3100" s="10">
        <v>45534.0</v>
      </c>
      <c r="Q3100" s="11">
        <v>1.56216</v>
      </c>
      <c r="R3100" s="8" t="s">
        <v>30</v>
      </c>
      <c r="S3100" s="12">
        <f t="shared" si="1"/>
        <v>0.14054</v>
      </c>
      <c r="T3100" s="12">
        <f t="shared" si="8"/>
        <v>101.0101609</v>
      </c>
      <c r="U3100" s="145"/>
    </row>
    <row r="3101">
      <c r="A3101" s="29"/>
      <c r="B3101" s="15" t="s">
        <v>4225</v>
      </c>
      <c r="C3101" s="15" t="s">
        <v>40</v>
      </c>
      <c r="D3101" s="15">
        <v>76.0</v>
      </c>
      <c r="E3101" s="15" t="s">
        <v>2203</v>
      </c>
      <c r="F3101" s="15" t="s">
        <v>1479</v>
      </c>
      <c r="G3101" s="15" t="s">
        <v>1480</v>
      </c>
      <c r="H3101" s="15">
        <v>-2.0</v>
      </c>
      <c r="I3101" s="15" t="s">
        <v>44</v>
      </c>
      <c r="J3101" s="15" t="s">
        <v>22</v>
      </c>
      <c r="K3101" s="15" t="s">
        <v>892</v>
      </c>
      <c r="L3101" s="15" t="s">
        <v>24</v>
      </c>
      <c r="M3101" s="16">
        <v>0.0</v>
      </c>
      <c r="N3101" s="16">
        <v>0.5</v>
      </c>
      <c r="O3101" s="16">
        <v>0.5</v>
      </c>
      <c r="P3101" s="17">
        <v>45534.0</v>
      </c>
      <c r="Q3101" s="18">
        <v>1.75</v>
      </c>
      <c r="R3101" s="15" t="s">
        <v>70</v>
      </c>
      <c r="S3101" s="19">
        <f t="shared" si="1"/>
        <v>0</v>
      </c>
      <c r="T3101" s="19">
        <f t="shared" si="8"/>
        <v>101.0101609</v>
      </c>
      <c r="U3101" s="144"/>
    </row>
    <row r="3102">
      <c r="A3102" s="107"/>
      <c r="B3102" s="8" t="s">
        <v>1915</v>
      </c>
      <c r="C3102" s="8" t="s">
        <v>19</v>
      </c>
      <c r="D3102" s="8">
        <v>0.0</v>
      </c>
      <c r="E3102" s="8" t="s">
        <v>2204</v>
      </c>
      <c r="F3102" s="8" t="s">
        <v>1473</v>
      </c>
      <c r="G3102" s="8" t="s">
        <v>1474</v>
      </c>
      <c r="H3102" s="8">
        <v>0.0</v>
      </c>
      <c r="I3102" s="8" t="s">
        <v>463</v>
      </c>
      <c r="J3102" s="8" t="s">
        <v>22</v>
      </c>
      <c r="K3102" s="8" t="s">
        <v>225</v>
      </c>
      <c r="L3102" s="8" t="s">
        <v>24</v>
      </c>
      <c r="M3102" s="9">
        <v>0.25</v>
      </c>
      <c r="N3102" s="9">
        <v>0.7</v>
      </c>
      <c r="O3102" s="9">
        <v>0.7</v>
      </c>
      <c r="P3102" s="10">
        <v>45534.0</v>
      </c>
      <c r="Q3102" s="11">
        <v>1.9</v>
      </c>
      <c r="R3102" s="8" t="s">
        <v>25</v>
      </c>
      <c r="S3102" s="12">
        <f t="shared" si="1"/>
        <v>-0.7</v>
      </c>
      <c r="T3102" s="12">
        <f t="shared" si="8"/>
        <v>100.3101609</v>
      </c>
      <c r="U3102" s="145"/>
    </row>
    <row r="3103">
      <c r="A3103" s="29"/>
      <c r="B3103" s="15" t="s">
        <v>26</v>
      </c>
      <c r="C3103" s="15" t="s">
        <v>40</v>
      </c>
      <c r="D3103" s="15">
        <v>72.0</v>
      </c>
      <c r="E3103" s="15" t="s">
        <v>2205</v>
      </c>
      <c r="F3103" s="15" t="s">
        <v>1473</v>
      </c>
      <c r="G3103" s="15" t="s">
        <v>1480</v>
      </c>
      <c r="H3103" s="15">
        <v>-2.0</v>
      </c>
      <c r="I3103" s="15" t="s">
        <v>463</v>
      </c>
      <c r="J3103" s="15" t="s">
        <v>22</v>
      </c>
      <c r="K3103" s="15" t="s">
        <v>892</v>
      </c>
      <c r="L3103" s="15" t="s">
        <v>24</v>
      </c>
      <c r="M3103" s="16">
        <v>0.0</v>
      </c>
      <c r="N3103" s="16">
        <v>0.3</v>
      </c>
      <c r="O3103" s="16">
        <v>0.3</v>
      </c>
      <c r="P3103" s="17">
        <v>45534.0</v>
      </c>
      <c r="Q3103" s="18">
        <v>2.25</v>
      </c>
      <c r="R3103" s="15" t="s">
        <v>70</v>
      </c>
      <c r="S3103" s="19">
        <f t="shared" si="1"/>
        <v>0</v>
      </c>
      <c r="T3103" s="19">
        <f t="shared" si="8"/>
        <v>100.3101609</v>
      </c>
      <c r="U3103" s="144"/>
    </row>
    <row r="3104">
      <c r="A3104" s="107"/>
      <c r="B3104" s="8" t="s">
        <v>1915</v>
      </c>
      <c r="C3104" s="8" t="s">
        <v>19</v>
      </c>
      <c r="D3104" s="8">
        <v>0.0</v>
      </c>
      <c r="E3104" s="8" t="s">
        <v>2206</v>
      </c>
      <c r="F3104" s="8" t="s">
        <v>1473</v>
      </c>
      <c r="G3104" s="8" t="s">
        <v>1480</v>
      </c>
      <c r="H3104" s="8">
        <v>1.0</v>
      </c>
      <c r="I3104" s="8" t="s">
        <v>908</v>
      </c>
      <c r="J3104" s="8" t="s">
        <v>22</v>
      </c>
      <c r="K3104" s="8" t="s">
        <v>892</v>
      </c>
      <c r="L3104" s="8" t="s">
        <v>24</v>
      </c>
      <c r="M3104" s="9">
        <v>0.0</v>
      </c>
      <c r="N3104" s="9">
        <v>0.5</v>
      </c>
      <c r="O3104" s="9">
        <v>0.45</v>
      </c>
      <c r="P3104" s="10">
        <v>45535.0</v>
      </c>
      <c r="Q3104" s="11">
        <v>1.75</v>
      </c>
      <c r="R3104" s="8" t="s">
        <v>33</v>
      </c>
      <c r="S3104" s="12">
        <f t="shared" si="1"/>
        <v>0.3375</v>
      </c>
      <c r="T3104" s="12">
        <f t="shared" si="8"/>
        <v>100.6476609</v>
      </c>
      <c r="U3104" s="145"/>
    </row>
    <row r="3105">
      <c r="A3105" s="29"/>
      <c r="B3105" s="15" t="s">
        <v>26</v>
      </c>
      <c r="C3105" s="15" t="s">
        <v>40</v>
      </c>
      <c r="D3105" s="15">
        <v>70.0</v>
      </c>
      <c r="E3105" s="15" t="s">
        <v>2207</v>
      </c>
      <c r="F3105" s="15" t="s">
        <v>1473</v>
      </c>
      <c r="G3105" s="15" t="s">
        <v>1474</v>
      </c>
      <c r="H3105" s="15">
        <v>-1.0</v>
      </c>
      <c r="I3105" s="15" t="s">
        <v>178</v>
      </c>
      <c r="J3105" s="15" t="s">
        <v>22</v>
      </c>
      <c r="K3105" s="15" t="s">
        <v>225</v>
      </c>
      <c r="L3105" s="15" t="s">
        <v>24</v>
      </c>
      <c r="M3105" s="16">
        <v>0.25</v>
      </c>
      <c r="N3105" s="16">
        <v>0.5</v>
      </c>
      <c r="O3105" s="16">
        <v>0.47</v>
      </c>
      <c r="P3105" s="17">
        <v>45535.0</v>
      </c>
      <c r="Q3105" s="18">
        <v>1.775</v>
      </c>
      <c r="R3105" s="15" t="s">
        <v>33</v>
      </c>
      <c r="S3105" s="19">
        <f t="shared" si="1"/>
        <v>0.36425</v>
      </c>
      <c r="T3105" s="19">
        <f t="shared" si="8"/>
        <v>101.0119109</v>
      </c>
      <c r="U3105" s="144"/>
    </row>
    <row r="3106">
      <c r="A3106" s="107"/>
      <c r="B3106" s="8" t="s">
        <v>4225</v>
      </c>
      <c r="C3106" s="8" t="s">
        <v>19</v>
      </c>
      <c r="D3106" s="8">
        <v>0.0</v>
      </c>
      <c r="E3106" s="8" t="s">
        <v>2208</v>
      </c>
      <c r="F3106" s="8" t="s">
        <v>1473</v>
      </c>
      <c r="G3106" s="8" t="s">
        <v>1474</v>
      </c>
      <c r="H3106" s="8">
        <v>0.0</v>
      </c>
      <c r="I3106" s="8" t="s">
        <v>93</v>
      </c>
      <c r="J3106" s="8" t="s">
        <v>22</v>
      </c>
      <c r="K3106" s="8" t="s">
        <v>225</v>
      </c>
      <c r="L3106" s="8" t="s">
        <v>24</v>
      </c>
      <c r="M3106" s="9">
        <v>0.25</v>
      </c>
      <c r="N3106" s="9">
        <v>0.25</v>
      </c>
      <c r="O3106" s="9">
        <v>0.25</v>
      </c>
      <c r="P3106" s="10">
        <v>45535.0</v>
      </c>
      <c r="Q3106" s="11">
        <v>1.75</v>
      </c>
      <c r="R3106" s="8" t="s">
        <v>33</v>
      </c>
      <c r="S3106" s="12">
        <f t="shared" si="1"/>
        <v>0.1875</v>
      </c>
      <c r="T3106" s="12">
        <f t="shared" si="8"/>
        <v>101.1994109</v>
      </c>
      <c r="U3106" s="145"/>
    </row>
    <row r="3107">
      <c r="A3107" s="29"/>
      <c r="B3107" s="15" t="s">
        <v>4225</v>
      </c>
      <c r="C3107" s="15" t="s">
        <v>19</v>
      </c>
      <c r="D3107" s="15">
        <v>74.0</v>
      </c>
      <c r="E3107" s="15" t="s">
        <v>2209</v>
      </c>
      <c r="F3107" s="15" t="s">
        <v>1473</v>
      </c>
      <c r="G3107" s="15" t="s">
        <v>1480</v>
      </c>
      <c r="H3107" s="15">
        <v>0.0</v>
      </c>
      <c r="I3107" s="15" t="s">
        <v>93</v>
      </c>
      <c r="J3107" s="15" t="s">
        <v>22</v>
      </c>
      <c r="K3107" s="15" t="s">
        <v>941</v>
      </c>
      <c r="L3107" s="15" t="s">
        <v>24</v>
      </c>
      <c r="M3107" s="16">
        <v>0.0</v>
      </c>
      <c r="N3107" s="16">
        <v>0.25</v>
      </c>
      <c r="O3107" s="16">
        <v>0.25</v>
      </c>
      <c r="P3107" s="17">
        <v>45535.0</v>
      </c>
      <c r="Q3107" s="18">
        <v>3.0</v>
      </c>
      <c r="R3107" s="15" t="s">
        <v>33</v>
      </c>
      <c r="S3107" s="19">
        <f t="shared" si="1"/>
        <v>0.5</v>
      </c>
      <c r="T3107" s="19">
        <f t="shared" si="8"/>
        <v>101.6994109</v>
      </c>
      <c r="U3107" s="144"/>
    </row>
    <row r="3108">
      <c r="A3108" s="107"/>
      <c r="B3108" s="8" t="s">
        <v>131</v>
      </c>
      <c r="C3108" s="8" t="s">
        <v>19</v>
      </c>
      <c r="D3108" s="8"/>
      <c r="E3108" s="8" t="s">
        <v>2210</v>
      </c>
      <c r="F3108" s="8" t="s">
        <v>1479</v>
      </c>
      <c r="G3108" s="8" t="s">
        <v>1474</v>
      </c>
      <c r="H3108" s="8">
        <v>2.0</v>
      </c>
      <c r="I3108" s="8" t="s">
        <v>82</v>
      </c>
      <c r="J3108" s="8" t="s">
        <v>22</v>
      </c>
      <c r="K3108" s="8" t="s">
        <v>225</v>
      </c>
      <c r="L3108" s="8" t="s">
        <v>24</v>
      </c>
      <c r="M3108" s="9">
        <v>0.25</v>
      </c>
      <c r="N3108" s="9">
        <v>0.22</v>
      </c>
      <c r="O3108" s="9">
        <v>0.22</v>
      </c>
      <c r="P3108" s="54">
        <v>45535.0</v>
      </c>
      <c r="Q3108" s="11">
        <v>1.213</v>
      </c>
      <c r="R3108" s="8" t="s">
        <v>33</v>
      </c>
      <c r="S3108" s="12">
        <f t="shared" si="1"/>
        <v>0.04686</v>
      </c>
      <c r="T3108" s="12">
        <f t="shared" si="8"/>
        <v>101.7462709</v>
      </c>
      <c r="U3108" s="145"/>
    </row>
    <row r="3109">
      <c r="A3109" s="29"/>
      <c r="B3109" s="15" t="s">
        <v>26</v>
      </c>
      <c r="C3109" s="15" t="s">
        <v>19</v>
      </c>
      <c r="D3109" s="15"/>
      <c r="E3109" s="15" t="s">
        <v>2211</v>
      </c>
      <c r="F3109" s="15" t="s">
        <v>1479</v>
      </c>
      <c r="G3109" s="15" t="s">
        <v>1477</v>
      </c>
      <c r="H3109" s="15">
        <v>0.0</v>
      </c>
      <c r="I3109" s="15" t="s">
        <v>1031</v>
      </c>
      <c r="J3109" s="15" t="s">
        <v>22</v>
      </c>
      <c r="K3109" s="15" t="s">
        <v>1847</v>
      </c>
      <c r="L3109" s="15" t="s">
        <v>24</v>
      </c>
      <c r="M3109" s="16">
        <v>-0.5</v>
      </c>
      <c r="N3109" s="16">
        <v>0.6</v>
      </c>
      <c r="O3109" s="16">
        <v>0.58</v>
      </c>
      <c r="P3109" s="17">
        <v>45511.0</v>
      </c>
      <c r="Q3109" s="18">
        <v>1.727</v>
      </c>
      <c r="R3109" s="15" t="s">
        <v>33</v>
      </c>
      <c r="S3109" s="19">
        <f t="shared" si="1"/>
        <v>0.42166</v>
      </c>
      <c r="T3109" s="19">
        <f t="shared" si="8"/>
        <v>102.1679309</v>
      </c>
      <c r="U3109" s="144"/>
    </row>
    <row r="3110">
      <c r="A3110" s="107"/>
      <c r="B3110" s="8" t="s">
        <v>131</v>
      </c>
      <c r="C3110" s="8" t="s">
        <v>19</v>
      </c>
      <c r="D3110" s="8">
        <v>74.0</v>
      </c>
      <c r="E3110" s="8" t="s">
        <v>2212</v>
      </c>
      <c r="F3110" s="8" t="s">
        <v>1479</v>
      </c>
      <c r="G3110" s="8" t="s">
        <v>1480</v>
      </c>
      <c r="H3110" s="8">
        <v>0.0</v>
      </c>
      <c r="I3110" s="8" t="s">
        <v>99</v>
      </c>
      <c r="J3110" s="8" t="s">
        <v>22</v>
      </c>
      <c r="K3110" s="8" t="s">
        <v>1150</v>
      </c>
      <c r="L3110" s="8" t="s">
        <v>24</v>
      </c>
      <c r="M3110" s="9">
        <v>0.0</v>
      </c>
      <c r="N3110" s="9">
        <v>0.75</v>
      </c>
      <c r="O3110" s="9">
        <v>0.53</v>
      </c>
      <c r="P3110" s="10">
        <v>45511.0</v>
      </c>
      <c r="Q3110" s="11">
        <v>1.675</v>
      </c>
      <c r="R3110" s="8" t="s">
        <v>70</v>
      </c>
      <c r="S3110" s="12">
        <f t="shared" si="1"/>
        <v>0</v>
      </c>
      <c r="T3110" s="12">
        <f t="shared" si="8"/>
        <v>102.1679309</v>
      </c>
      <c r="U3110" s="145"/>
    </row>
    <row r="3111">
      <c r="A3111" s="29"/>
      <c r="B3111" s="15" t="s">
        <v>26</v>
      </c>
      <c r="C3111" s="15" t="s">
        <v>19</v>
      </c>
      <c r="D3111" s="15"/>
      <c r="E3111" s="15" t="s">
        <v>2213</v>
      </c>
      <c r="F3111" s="15" t="s">
        <v>1473</v>
      </c>
      <c r="G3111" s="15" t="s">
        <v>1477</v>
      </c>
      <c r="H3111" s="15">
        <v>0.0</v>
      </c>
      <c r="I3111" s="15" t="s">
        <v>448</v>
      </c>
      <c r="J3111" s="15" t="s">
        <v>22</v>
      </c>
      <c r="K3111" s="15" t="s">
        <v>894</v>
      </c>
      <c r="L3111" s="15" t="s">
        <v>24</v>
      </c>
      <c r="M3111" s="16">
        <v>-0.25</v>
      </c>
      <c r="N3111" s="16">
        <v>0.6</v>
      </c>
      <c r="O3111" s="16">
        <v>0.32</v>
      </c>
      <c r="P3111" s="17">
        <v>45511.0</v>
      </c>
      <c r="Q3111" s="18">
        <v>1.9</v>
      </c>
      <c r="R3111" s="15" t="s">
        <v>33</v>
      </c>
      <c r="S3111" s="19">
        <f t="shared" si="1"/>
        <v>0.288</v>
      </c>
      <c r="T3111" s="19">
        <f t="shared" si="8"/>
        <v>102.4559309</v>
      </c>
      <c r="U3111" s="144"/>
    </row>
    <row r="3112">
      <c r="A3112" s="107"/>
      <c r="B3112" s="8" t="s">
        <v>4225</v>
      </c>
      <c r="C3112" s="8" t="s">
        <v>40</v>
      </c>
      <c r="D3112" s="8">
        <v>81.0</v>
      </c>
      <c r="E3112" s="8" t="s">
        <v>2214</v>
      </c>
      <c r="F3112" s="8" t="s">
        <v>1479</v>
      </c>
      <c r="G3112" s="8" t="s">
        <v>1477</v>
      </c>
      <c r="H3112" s="8">
        <v>0.0</v>
      </c>
      <c r="I3112" s="8" t="s">
        <v>99</v>
      </c>
      <c r="J3112" s="8" t="s">
        <v>22</v>
      </c>
      <c r="K3112" s="8" t="s">
        <v>894</v>
      </c>
      <c r="L3112" s="8" t="s">
        <v>24</v>
      </c>
      <c r="M3112" s="9">
        <v>-0.25</v>
      </c>
      <c r="N3112" s="9">
        <v>0.5</v>
      </c>
      <c r="O3112" s="9">
        <v>0.44</v>
      </c>
      <c r="P3112" s="10">
        <v>45511.0</v>
      </c>
      <c r="Q3112" s="11">
        <v>2.075</v>
      </c>
      <c r="R3112" s="8" t="s">
        <v>33</v>
      </c>
      <c r="S3112" s="12">
        <f t="shared" si="1"/>
        <v>0.473</v>
      </c>
      <c r="T3112" s="12">
        <f t="shared" si="8"/>
        <v>102.9289309</v>
      </c>
      <c r="U3112" s="145"/>
    </row>
    <row r="3113">
      <c r="A3113" s="29"/>
      <c r="B3113" s="15" t="s">
        <v>129</v>
      </c>
      <c r="C3113" s="15" t="s">
        <v>40</v>
      </c>
      <c r="D3113" s="15">
        <v>43.0</v>
      </c>
      <c r="E3113" s="15" t="s">
        <v>2215</v>
      </c>
      <c r="F3113" s="15" t="s">
        <v>1479</v>
      </c>
      <c r="G3113" s="15" t="s">
        <v>1480</v>
      </c>
      <c r="H3113" s="15">
        <v>-1.0</v>
      </c>
      <c r="I3113" s="15" t="s">
        <v>124</v>
      </c>
      <c r="J3113" s="15" t="s">
        <v>22</v>
      </c>
      <c r="K3113" s="15" t="s">
        <v>2216</v>
      </c>
      <c r="L3113" s="15" t="s">
        <v>24</v>
      </c>
      <c r="M3113" s="16">
        <v>0.0</v>
      </c>
      <c r="N3113" s="16">
        <v>0.6</v>
      </c>
      <c r="O3113" s="16">
        <f>0.3+0.3*10/51</f>
        <v>0.3588235294</v>
      </c>
      <c r="P3113" s="17">
        <v>45512.0</v>
      </c>
      <c r="Q3113" s="18">
        <f>198/180</f>
        <v>1.1</v>
      </c>
      <c r="R3113" s="15" t="s">
        <v>33</v>
      </c>
      <c r="S3113" s="19">
        <f t="shared" si="1"/>
        <v>0.03588235294</v>
      </c>
      <c r="T3113" s="19">
        <f t="shared" si="8"/>
        <v>102.9648133</v>
      </c>
      <c r="U3113" s="144"/>
    </row>
    <row r="3114">
      <c r="A3114" s="107"/>
      <c r="B3114" s="8" t="s">
        <v>129</v>
      </c>
      <c r="C3114" s="8" t="s">
        <v>40</v>
      </c>
      <c r="D3114" s="8">
        <v>65.0</v>
      </c>
      <c r="E3114" s="8" t="s">
        <v>2217</v>
      </c>
      <c r="F3114" s="8" t="s">
        <v>1473</v>
      </c>
      <c r="G3114" s="8" t="s">
        <v>1480</v>
      </c>
      <c r="H3114" s="8">
        <v>-1.0</v>
      </c>
      <c r="I3114" s="8" t="s">
        <v>1025</v>
      </c>
      <c r="J3114" s="8" t="s">
        <v>22</v>
      </c>
      <c r="K3114" s="8" t="s">
        <v>892</v>
      </c>
      <c r="L3114" s="8" t="s">
        <v>24</v>
      </c>
      <c r="M3114" s="9">
        <v>0.0</v>
      </c>
      <c r="N3114" s="9">
        <v>0.3</v>
      </c>
      <c r="O3114" s="9">
        <v>0.11</v>
      </c>
      <c r="P3114" s="10">
        <v>45512.0</v>
      </c>
      <c r="Q3114" s="11">
        <v>1.85</v>
      </c>
      <c r="R3114" s="8" t="s">
        <v>70</v>
      </c>
      <c r="S3114" s="12">
        <f t="shared" si="1"/>
        <v>0</v>
      </c>
      <c r="T3114" s="12">
        <f t="shared" si="8"/>
        <v>102.9648133</v>
      </c>
      <c r="U3114" s="145"/>
    </row>
    <row r="3115">
      <c r="A3115" s="29"/>
      <c r="B3115" s="15" t="s">
        <v>129</v>
      </c>
      <c r="C3115" s="15" t="s">
        <v>40</v>
      </c>
      <c r="D3115" s="15">
        <v>85.0</v>
      </c>
      <c r="E3115" s="15" t="s">
        <v>2218</v>
      </c>
      <c r="F3115" s="15" t="s">
        <v>1473</v>
      </c>
      <c r="G3115" s="15" t="s">
        <v>1474</v>
      </c>
      <c r="H3115" s="15">
        <v>-1.0</v>
      </c>
      <c r="I3115" s="15" t="s">
        <v>853</v>
      </c>
      <c r="J3115" s="15" t="s">
        <v>22</v>
      </c>
      <c r="K3115" s="15" t="s">
        <v>225</v>
      </c>
      <c r="L3115" s="15" t="s">
        <v>24</v>
      </c>
      <c r="M3115" s="16">
        <v>0.25</v>
      </c>
      <c r="N3115" s="16">
        <v>0.3</v>
      </c>
      <c r="O3115" s="16">
        <v>0.3</v>
      </c>
      <c r="P3115" s="17">
        <v>45512.0</v>
      </c>
      <c r="Q3115" s="18">
        <v>1.7</v>
      </c>
      <c r="R3115" s="15" t="s">
        <v>30</v>
      </c>
      <c r="S3115" s="19">
        <f t="shared" si="1"/>
        <v>0.105</v>
      </c>
      <c r="T3115" s="19">
        <f t="shared" si="8"/>
        <v>103.0698133</v>
      </c>
      <c r="U3115" s="144"/>
    </row>
    <row r="3116">
      <c r="A3116" s="107"/>
      <c r="B3116" s="161" t="s">
        <v>129</v>
      </c>
      <c r="C3116" s="148" t="s">
        <v>40</v>
      </c>
      <c r="D3116" s="148">
        <v>85.0</v>
      </c>
      <c r="E3116" s="32" t="s">
        <v>2219</v>
      </c>
      <c r="F3116" s="32" t="s">
        <v>1473</v>
      </c>
      <c r="G3116" s="32" t="s">
        <v>1480</v>
      </c>
      <c r="H3116" s="32">
        <v>-1.0</v>
      </c>
      <c r="I3116" s="32" t="s">
        <v>93</v>
      </c>
      <c r="J3116" s="32" t="s">
        <v>22</v>
      </c>
      <c r="K3116" s="32" t="s">
        <v>892</v>
      </c>
      <c r="L3116" s="8" t="s">
        <v>24</v>
      </c>
      <c r="M3116" s="33">
        <v>0.0</v>
      </c>
      <c r="N3116" s="33">
        <v>0.6</v>
      </c>
      <c r="O3116" s="33">
        <v>0.6</v>
      </c>
      <c r="P3116" s="34">
        <v>45512.0</v>
      </c>
      <c r="Q3116" s="35">
        <v>1.725</v>
      </c>
      <c r="R3116" s="8" t="s">
        <v>33</v>
      </c>
      <c r="S3116" s="12">
        <f t="shared" si="1"/>
        <v>0.435</v>
      </c>
      <c r="T3116" s="12">
        <f t="shared" si="8"/>
        <v>103.5048133</v>
      </c>
      <c r="U3116" s="145"/>
    </row>
    <row r="3117">
      <c r="A3117" s="29"/>
      <c r="B3117" s="15" t="s">
        <v>4225</v>
      </c>
      <c r="C3117" s="15" t="s">
        <v>19</v>
      </c>
      <c r="D3117" s="15">
        <v>63.0</v>
      </c>
      <c r="E3117" s="15" t="s">
        <v>2220</v>
      </c>
      <c r="F3117" s="15"/>
      <c r="G3117" s="15"/>
      <c r="H3117" s="15"/>
      <c r="I3117" s="15" t="s">
        <v>1175</v>
      </c>
      <c r="J3117" s="15" t="s">
        <v>598</v>
      </c>
      <c r="K3117" s="15" t="s">
        <v>29</v>
      </c>
      <c r="L3117" s="15" t="s">
        <v>24</v>
      </c>
      <c r="M3117" s="16">
        <v>-2.25</v>
      </c>
      <c r="N3117" s="16">
        <v>0.6</v>
      </c>
      <c r="O3117" s="16">
        <v>0.6</v>
      </c>
      <c r="P3117" s="17">
        <v>45513.0</v>
      </c>
      <c r="Q3117" s="18">
        <v>1.75</v>
      </c>
      <c r="R3117" s="15" t="s">
        <v>25</v>
      </c>
      <c r="S3117" s="19">
        <f t="shared" si="1"/>
        <v>-0.6</v>
      </c>
      <c r="T3117" s="19">
        <f t="shared" si="8"/>
        <v>102.9048133</v>
      </c>
      <c r="U3117" s="144"/>
    </row>
    <row r="3118">
      <c r="A3118" s="107"/>
      <c r="B3118" s="8" t="s">
        <v>1915</v>
      </c>
      <c r="C3118" s="8" t="s">
        <v>19</v>
      </c>
      <c r="D3118" s="8">
        <v>0.0</v>
      </c>
      <c r="E3118" s="8" t="s">
        <v>2221</v>
      </c>
      <c r="F3118" s="8" t="s">
        <v>1473</v>
      </c>
      <c r="G3118" s="8" t="s">
        <v>1474</v>
      </c>
      <c r="H3118" s="8">
        <v>0.0</v>
      </c>
      <c r="I3118" s="8" t="s">
        <v>101</v>
      </c>
      <c r="J3118" s="8" t="s">
        <v>22</v>
      </c>
      <c r="K3118" s="8" t="s">
        <v>225</v>
      </c>
      <c r="L3118" s="8" t="s">
        <v>24</v>
      </c>
      <c r="M3118" s="9">
        <v>1.25</v>
      </c>
      <c r="N3118" s="9">
        <v>0.3</v>
      </c>
      <c r="O3118" s="9">
        <v>0.23</v>
      </c>
      <c r="P3118" s="10">
        <v>45513.0</v>
      </c>
      <c r="Q3118" s="11">
        <v>1.21</v>
      </c>
      <c r="R3118" s="8" t="s">
        <v>33</v>
      </c>
      <c r="S3118" s="12">
        <f t="shared" si="1"/>
        <v>0.0483</v>
      </c>
      <c r="T3118" s="12">
        <f t="shared" si="8"/>
        <v>102.9531133</v>
      </c>
      <c r="U3118" s="145"/>
    </row>
    <row r="3119">
      <c r="A3119" s="29"/>
      <c r="B3119" s="15" t="s">
        <v>1915</v>
      </c>
      <c r="C3119" s="15" t="s">
        <v>19</v>
      </c>
      <c r="D3119" s="15">
        <v>0.0</v>
      </c>
      <c r="E3119" s="15" t="s">
        <v>2222</v>
      </c>
      <c r="F3119" s="15" t="s">
        <v>1479</v>
      </c>
      <c r="G3119" s="15" t="s">
        <v>1474</v>
      </c>
      <c r="H3119" s="15">
        <v>0.0</v>
      </c>
      <c r="I3119" s="15" t="s">
        <v>44</v>
      </c>
      <c r="J3119" s="15" t="s">
        <v>22</v>
      </c>
      <c r="K3119" s="15" t="s">
        <v>225</v>
      </c>
      <c r="L3119" s="15" t="s">
        <v>24</v>
      </c>
      <c r="M3119" s="16">
        <v>0.25</v>
      </c>
      <c r="N3119" s="16">
        <v>0.3</v>
      </c>
      <c r="O3119" s="16">
        <f>12/51*0.3</f>
        <v>0.07058823529</v>
      </c>
      <c r="P3119" s="17">
        <v>45513.0</v>
      </c>
      <c r="Q3119" s="18">
        <v>1.9</v>
      </c>
      <c r="R3119" s="15" t="s">
        <v>30</v>
      </c>
      <c r="S3119" s="19">
        <f t="shared" si="1"/>
        <v>0.03176470588</v>
      </c>
      <c r="T3119" s="19">
        <f t="shared" si="8"/>
        <v>102.984878</v>
      </c>
      <c r="U3119" s="144"/>
    </row>
    <row r="3120">
      <c r="A3120" s="107"/>
      <c r="B3120" s="8" t="s">
        <v>1915</v>
      </c>
      <c r="C3120" s="8" t="s">
        <v>19</v>
      </c>
      <c r="D3120" s="8">
        <v>0.0</v>
      </c>
      <c r="E3120" s="8" t="s">
        <v>2223</v>
      </c>
      <c r="F3120" s="8" t="s">
        <v>1479</v>
      </c>
      <c r="G3120" s="8" t="s">
        <v>1477</v>
      </c>
      <c r="H3120" s="8">
        <v>0.0</v>
      </c>
      <c r="I3120" s="8" t="s">
        <v>101</v>
      </c>
      <c r="J3120" s="8" t="s">
        <v>22</v>
      </c>
      <c r="K3120" s="8" t="s">
        <v>894</v>
      </c>
      <c r="L3120" s="8" t="s">
        <v>24</v>
      </c>
      <c r="M3120" s="9">
        <v>-0.25</v>
      </c>
      <c r="N3120" s="9">
        <v>0.9</v>
      </c>
      <c r="O3120" s="9">
        <v>0.9</v>
      </c>
      <c r="P3120" s="10">
        <v>45513.0</v>
      </c>
      <c r="Q3120" s="11">
        <v>1.75</v>
      </c>
      <c r="R3120" s="8" t="s">
        <v>33</v>
      </c>
      <c r="S3120" s="12">
        <f t="shared" si="1"/>
        <v>0.675</v>
      </c>
      <c r="T3120" s="12">
        <f t="shared" si="8"/>
        <v>103.659878</v>
      </c>
      <c r="U3120" s="145"/>
    </row>
    <row r="3121">
      <c r="A3121" s="29"/>
      <c r="B3121" s="15" t="s">
        <v>18</v>
      </c>
      <c r="C3121" s="15" t="s">
        <v>40</v>
      </c>
      <c r="D3121" s="15">
        <v>65.0</v>
      </c>
      <c r="E3121" s="15" t="s">
        <v>2224</v>
      </c>
      <c r="F3121" s="15" t="s">
        <v>1479</v>
      </c>
      <c r="G3121" s="15" t="s">
        <v>1474</v>
      </c>
      <c r="H3121" s="15">
        <v>0.0</v>
      </c>
      <c r="I3121" s="15" t="s">
        <v>316</v>
      </c>
      <c r="J3121" s="15" t="s">
        <v>22</v>
      </c>
      <c r="K3121" s="15" t="s">
        <v>225</v>
      </c>
      <c r="L3121" s="15" t="s">
        <v>24</v>
      </c>
      <c r="M3121" s="16">
        <v>1.0</v>
      </c>
      <c r="N3121" s="16">
        <v>0.3</v>
      </c>
      <c r="O3121" s="16">
        <v>0.04</v>
      </c>
      <c r="P3121" s="17">
        <v>45513.0</v>
      </c>
      <c r="Q3121" s="18">
        <v>1.8</v>
      </c>
      <c r="R3121" s="15" t="s">
        <v>70</v>
      </c>
      <c r="S3121" s="19">
        <f t="shared" si="1"/>
        <v>0</v>
      </c>
      <c r="T3121" s="19">
        <f t="shared" si="8"/>
        <v>103.659878</v>
      </c>
      <c r="U3121" s="144"/>
    </row>
    <row r="3122">
      <c r="A3122" s="107"/>
      <c r="B3122" s="8" t="s">
        <v>18</v>
      </c>
      <c r="C3122" s="8" t="s">
        <v>19</v>
      </c>
      <c r="D3122" s="8">
        <v>69.0</v>
      </c>
      <c r="E3122" s="8" t="s">
        <v>2225</v>
      </c>
      <c r="F3122" s="8" t="s">
        <v>1479</v>
      </c>
      <c r="G3122" s="8" t="s">
        <v>1474</v>
      </c>
      <c r="H3122" s="8">
        <v>0.0</v>
      </c>
      <c r="I3122" s="8" t="s">
        <v>316</v>
      </c>
      <c r="J3122" s="8" t="s">
        <v>22</v>
      </c>
      <c r="K3122" s="8" t="s">
        <v>225</v>
      </c>
      <c r="L3122" s="8" t="s">
        <v>24</v>
      </c>
      <c r="M3122" s="9">
        <v>0.75</v>
      </c>
      <c r="N3122" s="9">
        <v>0.3</v>
      </c>
      <c r="O3122" s="9">
        <f>11/51*0.3</f>
        <v>0.06470588235</v>
      </c>
      <c r="P3122" s="10">
        <v>45513.0</v>
      </c>
      <c r="Q3122" s="11">
        <v>1.725</v>
      </c>
      <c r="R3122" s="8" t="s">
        <v>79</v>
      </c>
      <c r="S3122" s="12">
        <f t="shared" si="1"/>
        <v>-0.03235294118</v>
      </c>
      <c r="T3122" s="12">
        <f t="shared" si="8"/>
        <v>103.627525</v>
      </c>
      <c r="U3122" s="145"/>
    </row>
    <row r="3123">
      <c r="A3123" s="29"/>
      <c r="B3123" s="15" t="s">
        <v>4225</v>
      </c>
      <c r="C3123" s="15" t="s">
        <v>19</v>
      </c>
      <c r="D3123" s="15">
        <v>56.0</v>
      </c>
      <c r="E3123" s="95" t="s">
        <v>2226</v>
      </c>
      <c r="F3123" s="15" t="s">
        <v>1473</v>
      </c>
      <c r="G3123" s="15" t="s">
        <v>1480</v>
      </c>
      <c r="H3123" s="15">
        <v>-1.0</v>
      </c>
      <c r="I3123" s="15" t="s">
        <v>316</v>
      </c>
      <c r="J3123" s="15" t="s">
        <v>22</v>
      </c>
      <c r="K3123" s="15" t="s">
        <v>892</v>
      </c>
      <c r="L3123" s="15" t="s">
        <v>1851</v>
      </c>
      <c r="M3123" s="16">
        <v>0.0</v>
      </c>
      <c r="N3123" s="16">
        <v>0.6</v>
      </c>
      <c r="O3123" s="16">
        <v>0.6</v>
      </c>
      <c r="P3123" s="17">
        <v>45513.0</v>
      </c>
      <c r="Q3123" s="18">
        <v>1.675</v>
      </c>
      <c r="R3123" s="15" t="s">
        <v>70</v>
      </c>
      <c r="S3123" s="19">
        <f t="shared" si="1"/>
        <v>0</v>
      </c>
      <c r="T3123" s="19">
        <f t="shared" si="8"/>
        <v>103.627525</v>
      </c>
      <c r="U3123" s="144"/>
    </row>
    <row r="3124">
      <c r="A3124" s="107"/>
      <c r="B3124" s="8" t="s">
        <v>4225</v>
      </c>
      <c r="C3124" s="8" t="s">
        <v>19</v>
      </c>
      <c r="D3124" s="8">
        <v>0.0</v>
      </c>
      <c r="E3124" s="8" t="s">
        <v>2227</v>
      </c>
      <c r="F3124" s="8" t="s">
        <v>1473</v>
      </c>
      <c r="G3124" s="8" t="s">
        <v>1480</v>
      </c>
      <c r="H3124" s="8">
        <v>0.0</v>
      </c>
      <c r="I3124" s="8" t="s">
        <v>316</v>
      </c>
      <c r="J3124" s="8" t="s">
        <v>22</v>
      </c>
      <c r="K3124" s="8" t="s">
        <v>892</v>
      </c>
      <c r="L3124" s="8" t="s">
        <v>24</v>
      </c>
      <c r="M3124" s="9">
        <v>0.0</v>
      </c>
      <c r="N3124" s="9">
        <v>0.6</v>
      </c>
      <c r="O3124" s="9">
        <v>0.6</v>
      </c>
      <c r="P3124" s="10">
        <v>45513.0</v>
      </c>
      <c r="Q3124" s="11">
        <v>1.65</v>
      </c>
      <c r="R3124" s="8" t="s">
        <v>33</v>
      </c>
      <c r="S3124" s="12">
        <f t="shared" si="1"/>
        <v>0.39</v>
      </c>
      <c r="T3124" s="12">
        <f t="shared" si="8"/>
        <v>104.017525</v>
      </c>
      <c r="U3124" s="145"/>
    </row>
    <row r="3125">
      <c r="A3125" s="29"/>
      <c r="B3125" s="15" t="s">
        <v>18</v>
      </c>
      <c r="C3125" s="15" t="s">
        <v>19</v>
      </c>
      <c r="D3125" s="15">
        <v>58.0</v>
      </c>
      <c r="E3125" s="15" t="s">
        <v>2228</v>
      </c>
      <c r="F3125" s="15" t="s">
        <v>1479</v>
      </c>
      <c r="G3125" s="15" t="s">
        <v>1480</v>
      </c>
      <c r="H3125" s="15">
        <v>0.0</v>
      </c>
      <c r="I3125" s="15" t="s">
        <v>463</v>
      </c>
      <c r="J3125" s="15" t="s">
        <v>22</v>
      </c>
      <c r="K3125" s="15" t="s">
        <v>892</v>
      </c>
      <c r="L3125" s="15" t="s">
        <v>24</v>
      </c>
      <c r="M3125" s="16">
        <v>0.0</v>
      </c>
      <c r="N3125" s="16">
        <v>0.3</v>
      </c>
      <c r="O3125" s="16">
        <f>41/52*0.3</f>
        <v>0.2365384615</v>
      </c>
      <c r="P3125" s="17">
        <v>45514.0</v>
      </c>
      <c r="Q3125" s="18">
        <v>1.9</v>
      </c>
      <c r="R3125" s="15" t="s">
        <v>33</v>
      </c>
      <c r="S3125" s="19">
        <f t="shared" si="1"/>
        <v>0.2128846154</v>
      </c>
      <c r="T3125" s="19">
        <f t="shared" si="8"/>
        <v>104.2304096</v>
      </c>
      <c r="U3125" s="144"/>
    </row>
    <row r="3126">
      <c r="A3126" s="107"/>
      <c r="B3126" s="8" t="s">
        <v>18</v>
      </c>
      <c r="C3126" s="8" t="s">
        <v>19</v>
      </c>
      <c r="D3126" s="8">
        <v>60.0</v>
      </c>
      <c r="E3126" s="8" t="s">
        <v>2229</v>
      </c>
      <c r="F3126" s="8" t="s">
        <v>1479</v>
      </c>
      <c r="G3126" s="8" t="s">
        <v>1480</v>
      </c>
      <c r="H3126" s="8">
        <v>0.0</v>
      </c>
      <c r="I3126" s="8" t="s">
        <v>908</v>
      </c>
      <c r="J3126" s="8" t="s">
        <v>22</v>
      </c>
      <c r="K3126" s="8" t="s">
        <v>225</v>
      </c>
      <c r="L3126" s="8" t="s">
        <v>24</v>
      </c>
      <c r="M3126" s="9">
        <v>0.25</v>
      </c>
      <c r="N3126" s="9">
        <v>0.6</v>
      </c>
      <c r="O3126" s="9">
        <f>0.3+0.3*41/52</f>
        <v>0.5365384615</v>
      </c>
      <c r="P3126" s="10">
        <v>45514.0</v>
      </c>
      <c r="Q3126" s="11">
        <v>1.25</v>
      </c>
      <c r="R3126" s="8" t="s">
        <v>30</v>
      </c>
      <c r="S3126" s="12">
        <f t="shared" si="1"/>
        <v>0.06706730769</v>
      </c>
      <c r="T3126" s="12">
        <f t="shared" si="8"/>
        <v>104.297477</v>
      </c>
      <c r="U3126" s="145"/>
    </row>
    <row r="3127">
      <c r="A3127" s="29"/>
      <c r="B3127" s="36" t="s">
        <v>4225</v>
      </c>
      <c r="C3127" s="37" t="s">
        <v>19</v>
      </c>
      <c r="D3127" s="15">
        <v>65.0</v>
      </c>
      <c r="E3127" s="42" t="s">
        <v>2230</v>
      </c>
      <c r="F3127" s="42" t="s">
        <v>1473</v>
      </c>
      <c r="G3127" s="42" t="s">
        <v>1474</v>
      </c>
      <c r="H3127" s="42">
        <v>1.0</v>
      </c>
      <c r="I3127" s="15" t="s">
        <v>908</v>
      </c>
      <c r="J3127" s="15" t="s">
        <v>22</v>
      </c>
      <c r="K3127" s="15" t="s">
        <v>225</v>
      </c>
      <c r="L3127" s="15" t="s">
        <v>24</v>
      </c>
      <c r="M3127" s="43">
        <v>0.25</v>
      </c>
      <c r="N3127" s="43">
        <v>0.6</v>
      </c>
      <c r="O3127" s="43">
        <f>0.6*72/104</f>
        <v>0.4153846154</v>
      </c>
      <c r="P3127" s="17">
        <v>45514.0</v>
      </c>
      <c r="Q3127" s="44">
        <v>1.7</v>
      </c>
      <c r="R3127" s="15" t="s">
        <v>33</v>
      </c>
      <c r="S3127" s="19">
        <f t="shared" si="1"/>
        <v>0.2907692308</v>
      </c>
      <c r="T3127" s="19">
        <f t="shared" si="8"/>
        <v>104.5882462</v>
      </c>
      <c r="U3127" s="144"/>
    </row>
    <row r="3128">
      <c r="A3128" s="107"/>
      <c r="B3128" s="8" t="s">
        <v>4225</v>
      </c>
      <c r="C3128" s="47" t="s">
        <v>19</v>
      </c>
      <c r="D3128" s="47">
        <v>66.0</v>
      </c>
      <c r="E3128" s="47" t="s">
        <v>2231</v>
      </c>
      <c r="F3128" s="8" t="s">
        <v>1473</v>
      </c>
      <c r="G3128" s="8" t="s">
        <v>1480</v>
      </c>
      <c r="H3128" s="8">
        <v>1.0</v>
      </c>
      <c r="I3128" s="8" t="s">
        <v>908</v>
      </c>
      <c r="J3128" s="8" t="s">
        <v>22</v>
      </c>
      <c r="K3128" s="8" t="s">
        <v>892</v>
      </c>
      <c r="L3128" s="8" t="s">
        <v>24</v>
      </c>
      <c r="M3128" s="26">
        <v>0.0</v>
      </c>
      <c r="N3128" s="26">
        <v>0.3</v>
      </c>
      <c r="O3128" s="26">
        <f>0.3*24/53</f>
        <v>0.1358490566</v>
      </c>
      <c r="P3128" s="10">
        <v>45514.0</v>
      </c>
      <c r="Q3128" s="11">
        <v>2.075</v>
      </c>
      <c r="R3128" s="8" t="s">
        <v>33</v>
      </c>
      <c r="S3128" s="12">
        <f t="shared" si="1"/>
        <v>0.1460377358</v>
      </c>
      <c r="T3128" s="12">
        <f t="shared" si="8"/>
        <v>104.7342839</v>
      </c>
      <c r="U3128" s="145"/>
    </row>
    <row r="3129">
      <c r="A3129" s="29"/>
      <c r="B3129" s="15" t="s">
        <v>18</v>
      </c>
      <c r="C3129" s="15" t="s">
        <v>19</v>
      </c>
      <c r="D3129" s="15">
        <v>30.0</v>
      </c>
      <c r="E3129" s="42" t="s">
        <v>2232</v>
      </c>
      <c r="F3129" s="15" t="s">
        <v>1473</v>
      </c>
      <c r="G3129" s="15" t="s">
        <v>1480</v>
      </c>
      <c r="H3129" s="15">
        <v>-2.0</v>
      </c>
      <c r="I3129" s="15" t="s">
        <v>44</v>
      </c>
      <c r="J3129" s="15" t="s">
        <v>22</v>
      </c>
      <c r="K3129" s="15" t="s">
        <v>892</v>
      </c>
      <c r="L3129" s="15" t="s">
        <v>24</v>
      </c>
      <c r="M3129" s="16">
        <v>0.0</v>
      </c>
      <c r="N3129" s="16">
        <v>0.5</v>
      </c>
      <c r="O3129" s="16">
        <v>0.5</v>
      </c>
      <c r="P3129" s="55">
        <v>45514.0</v>
      </c>
      <c r="Q3129" s="18">
        <v>2.35</v>
      </c>
      <c r="R3129" s="15" t="s">
        <v>70</v>
      </c>
      <c r="S3129" s="19">
        <f t="shared" si="1"/>
        <v>0</v>
      </c>
      <c r="T3129" s="19">
        <f t="shared" si="8"/>
        <v>104.7342839</v>
      </c>
      <c r="U3129" s="144"/>
    </row>
    <row r="3130">
      <c r="A3130" s="107"/>
      <c r="B3130" s="8" t="s">
        <v>18</v>
      </c>
      <c r="C3130" s="8" t="s">
        <v>40</v>
      </c>
      <c r="D3130" s="8">
        <v>35.0</v>
      </c>
      <c r="E3130" s="8" t="s">
        <v>2233</v>
      </c>
      <c r="F3130" s="8" t="s">
        <v>1479</v>
      </c>
      <c r="G3130" s="8" t="s">
        <v>1480</v>
      </c>
      <c r="H3130" s="8">
        <v>0.0</v>
      </c>
      <c r="I3130" s="8" t="s">
        <v>432</v>
      </c>
      <c r="J3130" s="8" t="s">
        <v>22</v>
      </c>
      <c r="K3130" s="8" t="s">
        <v>892</v>
      </c>
      <c r="L3130" s="8" t="s">
        <v>1803</v>
      </c>
      <c r="M3130" s="9">
        <v>0.0</v>
      </c>
      <c r="N3130" s="9">
        <v>0.6</v>
      </c>
      <c r="O3130" s="9">
        <v>0.6</v>
      </c>
      <c r="P3130" s="54">
        <v>45514.0</v>
      </c>
      <c r="Q3130" s="11">
        <v>1.775</v>
      </c>
      <c r="R3130" s="8" t="s">
        <v>33</v>
      </c>
      <c r="S3130" s="12">
        <f t="shared" si="1"/>
        <v>0.465</v>
      </c>
      <c r="T3130" s="12">
        <f t="shared" si="8"/>
        <v>105.1992839</v>
      </c>
      <c r="U3130" s="145"/>
    </row>
    <row r="3131">
      <c r="A3131" s="29"/>
      <c r="B3131" s="15" t="s">
        <v>18</v>
      </c>
      <c r="C3131" s="15" t="s">
        <v>40</v>
      </c>
      <c r="D3131" s="15">
        <v>63.0</v>
      </c>
      <c r="E3131" s="15" t="s">
        <v>2234</v>
      </c>
      <c r="F3131" s="15" t="s">
        <v>1479</v>
      </c>
      <c r="G3131" s="15" t="s">
        <v>1480</v>
      </c>
      <c r="H3131" s="15">
        <v>-1.0</v>
      </c>
      <c r="I3131" s="15" t="s">
        <v>101</v>
      </c>
      <c r="J3131" s="15" t="s">
        <v>22</v>
      </c>
      <c r="K3131" s="15" t="s">
        <v>892</v>
      </c>
      <c r="L3131" s="15" t="s">
        <v>24</v>
      </c>
      <c r="M3131" s="16">
        <v>0.0</v>
      </c>
      <c r="N3131" s="16">
        <v>0.3</v>
      </c>
      <c r="O3131" s="16">
        <f>0.3*15/53</f>
        <v>0.08490566038</v>
      </c>
      <c r="P3131" s="55">
        <v>45514.0</v>
      </c>
      <c r="Q3131" s="18">
        <v>1.95</v>
      </c>
      <c r="R3131" s="15" t="s">
        <v>25</v>
      </c>
      <c r="S3131" s="19">
        <f t="shared" si="1"/>
        <v>-0.08490566038</v>
      </c>
      <c r="T3131" s="19">
        <f t="shared" si="8"/>
        <v>105.1143783</v>
      </c>
      <c r="U3131" s="144"/>
    </row>
    <row r="3132">
      <c r="A3132" s="107"/>
      <c r="B3132" s="8" t="s">
        <v>4225</v>
      </c>
      <c r="C3132" s="8" t="s">
        <v>19</v>
      </c>
      <c r="D3132" s="8">
        <v>62.0</v>
      </c>
      <c r="E3132" s="8" t="s">
        <v>2235</v>
      </c>
      <c r="F3132" s="8" t="s">
        <v>1479</v>
      </c>
      <c r="G3132" s="8" t="s">
        <v>1480</v>
      </c>
      <c r="H3132" s="8">
        <v>0.0</v>
      </c>
      <c r="I3132" s="8" t="s">
        <v>908</v>
      </c>
      <c r="J3132" s="8" t="s">
        <v>22</v>
      </c>
      <c r="K3132" s="8" t="s">
        <v>892</v>
      </c>
      <c r="L3132" s="8" t="s">
        <v>24</v>
      </c>
      <c r="M3132" s="9">
        <v>0.0</v>
      </c>
      <c r="N3132" s="9">
        <v>0.6</v>
      </c>
      <c r="O3132" s="9">
        <v>0.6</v>
      </c>
      <c r="P3132" s="54">
        <v>45514.0</v>
      </c>
      <c r="Q3132" s="11">
        <v>1.63</v>
      </c>
      <c r="R3132" s="8" t="s">
        <v>70</v>
      </c>
      <c r="S3132" s="12">
        <f t="shared" si="1"/>
        <v>0</v>
      </c>
      <c r="T3132" s="12">
        <f t="shared" si="8"/>
        <v>105.1143783</v>
      </c>
      <c r="U3132" s="145"/>
    </row>
    <row r="3133">
      <c r="A3133" s="29"/>
      <c r="B3133" s="15" t="s">
        <v>18</v>
      </c>
      <c r="C3133" s="15" t="s">
        <v>19</v>
      </c>
      <c r="D3133" s="15">
        <v>55.0</v>
      </c>
      <c r="E3133" s="42" t="s">
        <v>2236</v>
      </c>
      <c r="F3133" s="15" t="s">
        <v>1479</v>
      </c>
      <c r="G3133" s="15" t="s">
        <v>1480</v>
      </c>
      <c r="H3133" s="15">
        <v>0.0</v>
      </c>
      <c r="I3133" s="15" t="s">
        <v>463</v>
      </c>
      <c r="J3133" s="15" t="s">
        <v>22</v>
      </c>
      <c r="K3133" s="15" t="s">
        <v>892</v>
      </c>
      <c r="L3133" s="15" t="s">
        <v>24</v>
      </c>
      <c r="M3133" s="16">
        <v>0.0</v>
      </c>
      <c r="N3133" s="16">
        <v>0.3</v>
      </c>
      <c r="O3133" s="16">
        <f>0.3*40/53</f>
        <v>0.2264150943</v>
      </c>
      <c r="P3133" s="17">
        <v>45514.0</v>
      </c>
      <c r="Q3133" s="18">
        <v>1.8</v>
      </c>
      <c r="R3133" s="15" t="s">
        <v>25</v>
      </c>
      <c r="S3133" s="19">
        <f t="shared" si="1"/>
        <v>-0.2264150943</v>
      </c>
      <c r="T3133" s="19">
        <f t="shared" si="8"/>
        <v>104.8879632</v>
      </c>
      <c r="U3133" s="144"/>
    </row>
    <row r="3134">
      <c r="A3134" s="107"/>
      <c r="B3134" s="8" t="s">
        <v>18</v>
      </c>
      <c r="C3134" s="8" t="s">
        <v>19</v>
      </c>
      <c r="D3134" s="8">
        <v>60.0</v>
      </c>
      <c r="E3134" s="47" t="s">
        <v>2237</v>
      </c>
      <c r="F3134" s="8" t="s">
        <v>1479</v>
      </c>
      <c r="G3134" s="8" t="s">
        <v>1480</v>
      </c>
      <c r="H3134" s="8">
        <v>0.0</v>
      </c>
      <c r="I3134" s="8" t="s">
        <v>940</v>
      </c>
      <c r="J3134" s="8" t="s">
        <v>22</v>
      </c>
      <c r="K3134" s="8" t="s">
        <v>892</v>
      </c>
      <c r="L3134" s="8" t="s">
        <v>24</v>
      </c>
      <c r="M3134" s="9">
        <v>0.0</v>
      </c>
      <c r="N3134" s="9">
        <v>0.3</v>
      </c>
      <c r="O3134" s="9">
        <f>0.3*33/53</f>
        <v>0.1867924528</v>
      </c>
      <c r="P3134" s="10">
        <v>45514.0</v>
      </c>
      <c r="Q3134" s="11">
        <v>1.725</v>
      </c>
      <c r="R3134" s="8" t="s">
        <v>33</v>
      </c>
      <c r="S3134" s="12">
        <f t="shared" si="1"/>
        <v>0.1354245283</v>
      </c>
      <c r="T3134" s="12">
        <f t="shared" si="8"/>
        <v>105.0233877</v>
      </c>
      <c r="U3134" s="145"/>
    </row>
    <row r="3135">
      <c r="A3135" s="29"/>
      <c r="B3135" s="15" t="s">
        <v>129</v>
      </c>
      <c r="C3135" s="15" t="s">
        <v>40</v>
      </c>
      <c r="D3135" s="15">
        <v>60.0</v>
      </c>
      <c r="E3135" s="42" t="s">
        <v>2238</v>
      </c>
      <c r="F3135" s="15" t="s">
        <v>1479</v>
      </c>
      <c r="G3135" s="15" t="s">
        <v>1480</v>
      </c>
      <c r="H3135" s="15">
        <v>0.0</v>
      </c>
      <c r="I3135" s="15" t="s">
        <v>341</v>
      </c>
      <c r="J3135" s="15" t="s">
        <v>22</v>
      </c>
      <c r="K3135" s="15" t="s">
        <v>892</v>
      </c>
      <c r="L3135" s="15" t="s">
        <v>24</v>
      </c>
      <c r="M3135" s="16">
        <v>0.0</v>
      </c>
      <c r="N3135" s="16">
        <v>0.25</v>
      </c>
      <c r="O3135" s="16">
        <f>0.25*48/53</f>
        <v>0.2264150943</v>
      </c>
      <c r="P3135" s="17">
        <v>45514.0</v>
      </c>
      <c r="Q3135" s="18">
        <v>1.85</v>
      </c>
      <c r="R3135" s="15" t="s">
        <v>25</v>
      </c>
      <c r="S3135" s="19">
        <f t="shared" si="1"/>
        <v>-0.2264150943</v>
      </c>
      <c r="T3135" s="19">
        <f t="shared" si="8"/>
        <v>104.7969726</v>
      </c>
      <c r="U3135" s="144"/>
    </row>
    <row r="3136">
      <c r="A3136" s="107"/>
      <c r="B3136" s="8" t="s">
        <v>18</v>
      </c>
      <c r="C3136" s="8" t="s">
        <v>19</v>
      </c>
      <c r="D3136" s="8">
        <v>73.0</v>
      </c>
      <c r="E3136" s="47" t="s">
        <v>2239</v>
      </c>
      <c r="F3136" s="8" t="s">
        <v>1473</v>
      </c>
      <c r="G3136" s="8" t="s">
        <v>1480</v>
      </c>
      <c r="H3136" s="8">
        <v>-1.0</v>
      </c>
      <c r="I3136" s="8" t="s">
        <v>84</v>
      </c>
      <c r="J3136" s="8" t="s">
        <v>22</v>
      </c>
      <c r="K3136" s="8" t="s">
        <v>892</v>
      </c>
      <c r="L3136" s="8" t="s">
        <v>24</v>
      </c>
      <c r="M3136" s="26">
        <v>0.0</v>
      </c>
      <c r="N3136" s="9">
        <v>0.25</v>
      </c>
      <c r="O3136" s="9">
        <v>0.25</v>
      </c>
      <c r="P3136" s="10">
        <v>45514.0</v>
      </c>
      <c r="Q3136" s="11">
        <v>1.975</v>
      </c>
      <c r="R3136" s="8" t="s">
        <v>33</v>
      </c>
      <c r="S3136" s="12">
        <f t="shared" si="1"/>
        <v>0.24375</v>
      </c>
      <c r="T3136" s="12">
        <f t="shared" si="8"/>
        <v>105.0407226</v>
      </c>
      <c r="U3136" s="145"/>
    </row>
    <row r="3137">
      <c r="A3137" s="29"/>
      <c r="B3137" s="15" t="s">
        <v>129</v>
      </c>
      <c r="C3137" s="15" t="s">
        <v>19</v>
      </c>
      <c r="D3137" s="15">
        <v>65.0</v>
      </c>
      <c r="E3137" s="42" t="s">
        <v>2240</v>
      </c>
      <c r="F3137" s="15" t="s">
        <v>1479</v>
      </c>
      <c r="G3137" s="15" t="s">
        <v>1480</v>
      </c>
      <c r="H3137" s="15">
        <v>1.0</v>
      </c>
      <c r="I3137" s="15" t="s">
        <v>341</v>
      </c>
      <c r="J3137" s="15" t="s">
        <v>22</v>
      </c>
      <c r="K3137" s="15" t="s">
        <v>892</v>
      </c>
      <c r="L3137" s="15" t="s">
        <v>24</v>
      </c>
      <c r="M3137" s="43">
        <v>0.0</v>
      </c>
      <c r="N3137" s="16">
        <v>0.25</v>
      </c>
      <c r="O3137" s="16">
        <f>0.25*29/50</f>
        <v>0.145</v>
      </c>
      <c r="P3137" s="17">
        <v>45514.0</v>
      </c>
      <c r="Q3137" s="18">
        <v>1.975</v>
      </c>
      <c r="R3137" s="15" t="s">
        <v>25</v>
      </c>
      <c r="S3137" s="19">
        <f t="shared" si="1"/>
        <v>-0.145</v>
      </c>
      <c r="T3137" s="19">
        <f t="shared" si="8"/>
        <v>104.8957226</v>
      </c>
      <c r="U3137" s="144"/>
    </row>
    <row r="3138">
      <c r="A3138" s="107"/>
      <c r="B3138" s="8" t="s">
        <v>18</v>
      </c>
      <c r="C3138" s="8" t="s">
        <v>19</v>
      </c>
      <c r="D3138" s="8">
        <v>40.0</v>
      </c>
      <c r="E3138" s="47" t="s">
        <v>2241</v>
      </c>
      <c r="F3138" s="8"/>
      <c r="G3138" s="8"/>
      <c r="H3138" s="8"/>
      <c r="I3138" s="8" t="s">
        <v>794</v>
      </c>
      <c r="J3138" s="8" t="s">
        <v>22</v>
      </c>
      <c r="K3138" s="8" t="s">
        <v>440</v>
      </c>
      <c r="L3138" s="8" t="s">
        <v>39</v>
      </c>
      <c r="M3138" s="26">
        <v>1.75</v>
      </c>
      <c r="N3138" s="9">
        <v>0.05</v>
      </c>
      <c r="O3138" s="9">
        <v>0.05</v>
      </c>
      <c r="P3138" s="10">
        <v>45514.0</v>
      </c>
      <c r="Q3138" s="11">
        <v>1.825</v>
      </c>
      <c r="R3138" s="8" t="s">
        <v>25</v>
      </c>
      <c r="S3138" s="12">
        <f t="shared" si="1"/>
        <v>-0.05</v>
      </c>
      <c r="T3138" s="12">
        <f t="shared" si="8"/>
        <v>104.8457226</v>
      </c>
      <c r="U3138" s="145"/>
    </row>
    <row r="3139">
      <c r="A3139" s="29"/>
      <c r="B3139" s="15" t="s">
        <v>18</v>
      </c>
      <c r="C3139" s="15" t="s">
        <v>19</v>
      </c>
      <c r="D3139" s="15">
        <v>65.0</v>
      </c>
      <c r="E3139" s="42" t="s">
        <v>2242</v>
      </c>
      <c r="F3139" s="15" t="s">
        <v>1479</v>
      </c>
      <c r="G3139" s="15" t="s">
        <v>1480</v>
      </c>
      <c r="H3139" s="15">
        <v>0.0</v>
      </c>
      <c r="I3139" s="15" t="s">
        <v>74</v>
      </c>
      <c r="J3139" s="15" t="s">
        <v>22</v>
      </c>
      <c r="K3139" s="15" t="s">
        <v>225</v>
      </c>
      <c r="L3139" s="15" t="s">
        <v>24</v>
      </c>
      <c r="M3139" s="43">
        <v>0.25</v>
      </c>
      <c r="N3139" s="16">
        <v>0.5</v>
      </c>
      <c r="O3139" s="16">
        <v>0.5</v>
      </c>
      <c r="P3139" s="17">
        <v>45514.0</v>
      </c>
      <c r="Q3139" s="18">
        <v>1.775</v>
      </c>
      <c r="R3139" s="15" t="s">
        <v>70</v>
      </c>
      <c r="S3139" s="19">
        <f t="shared" si="1"/>
        <v>0</v>
      </c>
      <c r="T3139" s="19">
        <f t="shared" si="8"/>
        <v>104.8457226</v>
      </c>
      <c r="U3139" s="144"/>
    </row>
    <row r="3140">
      <c r="A3140" s="107"/>
      <c r="B3140" s="8" t="s">
        <v>4225</v>
      </c>
      <c r="C3140" s="8" t="s">
        <v>19</v>
      </c>
      <c r="D3140" s="8">
        <v>0.0</v>
      </c>
      <c r="E3140" s="47" t="s">
        <v>2243</v>
      </c>
      <c r="F3140" s="8" t="s">
        <v>1479</v>
      </c>
      <c r="G3140" s="8" t="s">
        <v>1480</v>
      </c>
      <c r="H3140" s="8">
        <v>0.0</v>
      </c>
      <c r="I3140" s="8" t="s">
        <v>1085</v>
      </c>
      <c r="J3140" s="8" t="s">
        <v>22</v>
      </c>
      <c r="K3140" s="8" t="s">
        <v>892</v>
      </c>
      <c r="L3140" s="8" t="s">
        <v>24</v>
      </c>
      <c r="M3140" s="9">
        <v>0.0</v>
      </c>
      <c r="N3140" s="9">
        <v>0.3</v>
      </c>
      <c r="O3140" s="9">
        <v>0.3</v>
      </c>
      <c r="P3140" s="10">
        <v>45514.0</v>
      </c>
      <c r="Q3140" s="11">
        <v>1.85</v>
      </c>
      <c r="R3140" s="8" t="s">
        <v>70</v>
      </c>
      <c r="S3140" s="12">
        <f t="shared" si="1"/>
        <v>0</v>
      </c>
      <c r="T3140" s="12">
        <f t="shared" si="8"/>
        <v>104.8457226</v>
      </c>
      <c r="U3140" s="145"/>
    </row>
    <row r="3141">
      <c r="A3141" s="29"/>
      <c r="B3141" s="15" t="s">
        <v>4225</v>
      </c>
      <c r="C3141" s="15" t="s">
        <v>19</v>
      </c>
      <c r="D3141" s="15">
        <v>0.0</v>
      </c>
      <c r="E3141" s="42" t="s">
        <v>2244</v>
      </c>
      <c r="F3141" s="15" t="s">
        <v>1473</v>
      </c>
      <c r="G3141" s="15" t="s">
        <v>1480</v>
      </c>
      <c r="H3141" s="15">
        <v>0.0</v>
      </c>
      <c r="I3141" s="15" t="s">
        <v>1031</v>
      </c>
      <c r="J3141" s="15" t="s">
        <v>22</v>
      </c>
      <c r="K3141" s="15" t="s">
        <v>892</v>
      </c>
      <c r="L3141" s="15" t="s">
        <v>24</v>
      </c>
      <c r="M3141" s="16">
        <v>0.0</v>
      </c>
      <c r="N3141" s="16">
        <v>0.5</v>
      </c>
      <c r="O3141" s="16">
        <v>0.5</v>
      </c>
      <c r="P3141" s="17">
        <v>45514.0</v>
      </c>
      <c r="Q3141" s="18">
        <v>1.72</v>
      </c>
      <c r="R3141" s="15" t="s">
        <v>33</v>
      </c>
      <c r="S3141" s="19">
        <f t="shared" si="1"/>
        <v>0.36</v>
      </c>
      <c r="T3141" s="19">
        <f t="shared" si="8"/>
        <v>105.2057226</v>
      </c>
      <c r="U3141" s="144"/>
    </row>
    <row r="3142">
      <c r="A3142" s="107"/>
      <c r="B3142" s="8" t="s">
        <v>137</v>
      </c>
      <c r="C3142" s="8" t="s">
        <v>19</v>
      </c>
      <c r="D3142" s="8">
        <v>65.0</v>
      </c>
      <c r="E3142" s="47" t="s">
        <v>2246</v>
      </c>
      <c r="F3142" s="8" t="s">
        <v>1479</v>
      </c>
      <c r="G3142" s="8" t="s">
        <v>1480</v>
      </c>
      <c r="H3142" s="8">
        <v>0.0</v>
      </c>
      <c r="I3142" s="8" t="s">
        <v>93</v>
      </c>
      <c r="J3142" s="8" t="s">
        <v>22</v>
      </c>
      <c r="K3142" s="8" t="s">
        <v>941</v>
      </c>
      <c r="L3142" s="8" t="s">
        <v>24</v>
      </c>
      <c r="M3142" s="9">
        <v>0.0</v>
      </c>
      <c r="N3142" s="9">
        <v>1.0</v>
      </c>
      <c r="O3142" s="9">
        <f>0.75+0.25*23/51</f>
        <v>0.862745098</v>
      </c>
      <c r="P3142" s="10">
        <v>45514.0</v>
      </c>
      <c r="Q3142" s="11">
        <v>1.72</v>
      </c>
      <c r="R3142" s="8" t="s">
        <v>25</v>
      </c>
      <c r="S3142" s="12">
        <f t="shared" si="1"/>
        <v>-0.862745098</v>
      </c>
      <c r="T3142" s="12">
        <f t="shared" si="8"/>
        <v>104.3429775</v>
      </c>
      <c r="U3142" s="145"/>
    </row>
    <row r="3143">
      <c r="A3143" s="29"/>
      <c r="B3143" s="149" t="s">
        <v>4225</v>
      </c>
      <c r="C3143" s="150" t="s">
        <v>19</v>
      </c>
      <c r="D3143" s="150">
        <v>0.0</v>
      </c>
      <c r="E3143" s="42" t="s">
        <v>2247</v>
      </c>
      <c r="F3143" s="15" t="s">
        <v>1479</v>
      </c>
      <c r="G3143" s="15" t="s">
        <v>1480</v>
      </c>
      <c r="H3143" s="15">
        <v>-1.0</v>
      </c>
      <c r="I3143" s="15" t="s">
        <v>84</v>
      </c>
      <c r="J3143" s="15" t="s">
        <v>22</v>
      </c>
      <c r="K3143" s="15" t="s">
        <v>892</v>
      </c>
      <c r="L3143" s="15" t="s">
        <v>24</v>
      </c>
      <c r="M3143" s="24">
        <v>0.0</v>
      </c>
      <c r="N3143" s="16">
        <v>0.75</v>
      </c>
      <c r="O3143" s="16">
        <v>0.75</v>
      </c>
      <c r="P3143" s="17">
        <v>45514.0</v>
      </c>
      <c r="Q3143" s="18">
        <v>1.725</v>
      </c>
      <c r="R3143" s="15" t="s">
        <v>33</v>
      </c>
      <c r="S3143" s="19">
        <f t="shared" si="1"/>
        <v>0.54375</v>
      </c>
      <c r="T3143" s="19">
        <f t="shared" si="8"/>
        <v>104.8867275</v>
      </c>
      <c r="U3143" s="144"/>
    </row>
    <row r="3144">
      <c r="A3144" s="107"/>
      <c r="B3144" s="161" t="s">
        <v>4225</v>
      </c>
      <c r="C3144" s="148" t="s">
        <v>19</v>
      </c>
      <c r="D3144" s="148">
        <v>0.0</v>
      </c>
      <c r="E3144" s="47" t="s">
        <v>2248</v>
      </c>
      <c r="F3144" s="8" t="s">
        <v>1479</v>
      </c>
      <c r="G3144" s="8" t="s">
        <v>1480</v>
      </c>
      <c r="H3144" s="8">
        <v>0.0</v>
      </c>
      <c r="I3144" s="32" t="s">
        <v>372</v>
      </c>
      <c r="J3144" s="8" t="s">
        <v>22</v>
      </c>
      <c r="K3144" s="8" t="s">
        <v>892</v>
      </c>
      <c r="L3144" s="8" t="s">
        <v>1522</v>
      </c>
      <c r="M3144" s="33">
        <v>0.0</v>
      </c>
      <c r="N3144" s="9">
        <v>0.3</v>
      </c>
      <c r="O3144" s="9">
        <v>0.3</v>
      </c>
      <c r="P3144" s="10">
        <v>45514.0</v>
      </c>
      <c r="Q3144" s="11">
        <v>1.6</v>
      </c>
      <c r="R3144" s="8" t="s">
        <v>25</v>
      </c>
      <c r="S3144" s="12">
        <f t="shared" si="1"/>
        <v>-0.3</v>
      </c>
      <c r="T3144" s="12">
        <f t="shared" si="8"/>
        <v>104.5867275</v>
      </c>
      <c r="U3144" s="145"/>
    </row>
    <row r="3145">
      <c r="A3145" s="29"/>
      <c r="B3145" s="15" t="s">
        <v>18</v>
      </c>
      <c r="C3145" s="15" t="s">
        <v>19</v>
      </c>
      <c r="D3145" s="15">
        <v>20.0</v>
      </c>
      <c r="E3145" s="42" t="s">
        <v>2249</v>
      </c>
      <c r="F3145" s="15" t="s">
        <v>1479</v>
      </c>
      <c r="G3145" s="15" t="s">
        <v>1480</v>
      </c>
      <c r="H3145" s="15">
        <v>-1.0</v>
      </c>
      <c r="I3145" s="37" t="s">
        <v>513</v>
      </c>
      <c r="J3145" s="37" t="s">
        <v>22</v>
      </c>
      <c r="K3145" s="37" t="s">
        <v>892</v>
      </c>
      <c r="L3145" s="37" t="s">
        <v>24</v>
      </c>
      <c r="M3145" s="24">
        <v>0.0</v>
      </c>
      <c r="N3145" s="24">
        <v>0.55</v>
      </c>
      <c r="O3145" s="24">
        <f>0.3+0.25*18/44</f>
        <v>0.4022727273</v>
      </c>
      <c r="P3145" s="105">
        <v>45515.0</v>
      </c>
      <c r="Q3145" s="39">
        <v>1.8</v>
      </c>
      <c r="R3145" s="15" t="s">
        <v>33</v>
      </c>
      <c r="S3145" s="19">
        <f t="shared" si="1"/>
        <v>0.3218181818</v>
      </c>
      <c r="T3145" s="19">
        <f t="shared" si="8"/>
        <v>104.9085457</v>
      </c>
      <c r="U3145" s="144"/>
    </row>
    <row r="3146">
      <c r="A3146" s="107"/>
      <c r="B3146" s="8" t="s">
        <v>4225</v>
      </c>
      <c r="C3146" s="8" t="s">
        <v>40</v>
      </c>
      <c r="D3146" s="8">
        <v>28.0</v>
      </c>
      <c r="E3146" s="47" t="s">
        <v>2250</v>
      </c>
      <c r="F3146" s="8" t="s">
        <v>1473</v>
      </c>
      <c r="G3146" s="8" t="s">
        <v>1477</v>
      </c>
      <c r="H3146" s="8">
        <v>0.0</v>
      </c>
      <c r="I3146" s="32" t="s">
        <v>44</v>
      </c>
      <c r="J3146" s="32" t="s">
        <v>22</v>
      </c>
      <c r="K3146" s="32" t="s">
        <v>1847</v>
      </c>
      <c r="L3146" s="32" t="s">
        <v>1803</v>
      </c>
      <c r="M3146" s="33">
        <v>-0.5</v>
      </c>
      <c r="N3146" s="33">
        <v>0.25</v>
      </c>
      <c r="O3146" s="33">
        <v>0.25</v>
      </c>
      <c r="P3146" s="106">
        <v>45515.0</v>
      </c>
      <c r="Q3146" s="137">
        <f>1.49</f>
        <v>1.49</v>
      </c>
      <c r="R3146" s="8" t="s">
        <v>33</v>
      </c>
      <c r="S3146" s="12">
        <f t="shared" si="1"/>
        <v>0.1225</v>
      </c>
      <c r="T3146" s="12">
        <f t="shared" si="8"/>
        <v>105.0310457</v>
      </c>
      <c r="U3146" s="145"/>
    </row>
    <row r="3147">
      <c r="A3147" s="29"/>
      <c r="B3147" s="15" t="s">
        <v>4225</v>
      </c>
      <c r="C3147" s="15" t="s">
        <v>19</v>
      </c>
      <c r="D3147" s="15">
        <v>22.0</v>
      </c>
      <c r="E3147" s="42" t="s">
        <v>2251</v>
      </c>
      <c r="F3147" s="15" t="s">
        <v>1473</v>
      </c>
      <c r="G3147" s="15" t="s">
        <v>1480</v>
      </c>
      <c r="H3147" s="15">
        <v>0.0</v>
      </c>
      <c r="I3147" s="37" t="s">
        <v>44</v>
      </c>
      <c r="J3147" s="37" t="s">
        <v>22</v>
      </c>
      <c r="K3147" s="15" t="s">
        <v>892</v>
      </c>
      <c r="L3147" s="15" t="s">
        <v>39</v>
      </c>
      <c r="M3147" s="16">
        <v>0.0</v>
      </c>
      <c r="N3147" s="16">
        <v>0.25</v>
      </c>
      <c r="O3147" s="16">
        <v>0.25</v>
      </c>
      <c r="P3147" s="105">
        <v>45515.0</v>
      </c>
      <c r="Q3147" s="18">
        <v>1.6</v>
      </c>
      <c r="R3147" s="15" t="s">
        <v>70</v>
      </c>
      <c r="S3147" s="19">
        <f t="shared" si="1"/>
        <v>0</v>
      </c>
      <c r="T3147" s="19">
        <f t="shared" si="8"/>
        <v>105.0310457</v>
      </c>
      <c r="U3147" s="144"/>
    </row>
    <row r="3148">
      <c r="A3148" s="107"/>
      <c r="B3148" s="8" t="s">
        <v>137</v>
      </c>
      <c r="C3148" s="8" t="s">
        <v>19</v>
      </c>
      <c r="D3148" s="8">
        <v>30.0</v>
      </c>
      <c r="E3148" s="47" t="s">
        <v>2252</v>
      </c>
      <c r="F3148" s="8" t="s">
        <v>1473</v>
      </c>
      <c r="G3148" s="8" t="s">
        <v>1474</v>
      </c>
      <c r="H3148" s="8">
        <v>-1.0</v>
      </c>
      <c r="I3148" s="8" t="s">
        <v>99</v>
      </c>
      <c r="J3148" s="8" t="s">
        <v>22</v>
      </c>
      <c r="K3148" s="8" t="s">
        <v>225</v>
      </c>
      <c r="L3148" s="8" t="s">
        <v>24</v>
      </c>
      <c r="M3148" s="9">
        <v>0.5</v>
      </c>
      <c r="N3148" s="9">
        <v>0.5</v>
      </c>
      <c r="O3148" s="9">
        <v>0.5</v>
      </c>
      <c r="P3148" s="10">
        <v>45515.0</v>
      </c>
      <c r="Q3148" s="11">
        <v>1.925</v>
      </c>
      <c r="R3148" s="8" t="s">
        <v>33</v>
      </c>
      <c r="S3148" s="12">
        <f t="shared" si="1"/>
        <v>0.4625</v>
      </c>
      <c r="T3148" s="12">
        <f t="shared" si="8"/>
        <v>105.4935457</v>
      </c>
      <c r="U3148" s="145"/>
    </row>
    <row r="3149">
      <c r="A3149" s="29"/>
      <c r="B3149" s="15" t="s">
        <v>137</v>
      </c>
      <c r="C3149" s="15" t="s">
        <v>19</v>
      </c>
      <c r="D3149" s="15">
        <v>25.0</v>
      </c>
      <c r="E3149" s="15" t="s">
        <v>2253</v>
      </c>
      <c r="F3149" s="15" t="s">
        <v>1473</v>
      </c>
      <c r="G3149" s="15" t="s">
        <v>1480</v>
      </c>
      <c r="H3149" s="15">
        <v>0.0</v>
      </c>
      <c r="I3149" s="15" t="s">
        <v>703</v>
      </c>
      <c r="J3149" s="15" t="s">
        <v>22</v>
      </c>
      <c r="K3149" s="15" t="s">
        <v>892</v>
      </c>
      <c r="L3149" s="15" t="s">
        <v>1522</v>
      </c>
      <c r="M3149" s="16">
        <v>0.0</v>
      </c>
      <c r="N3149" s="16">
        <v>0.25</v>
      </c>
      <c r="O3149" s="16">
        <v>0.25</v>
      </c>
      <c r="P3149" s="17">
        <v>45517.0</v>
      </c>
      <c r="Q3149" s="18">
        <v>1.95</v>
      </c>
      <c r="R3149" s="15" t="s">
        <v>33</v>
      </c>
      <c r="S3149" s="19">
        <f t="shared" si="1"/>
        <v>0.2375</v>
      </c>
      <c r="T3149" s="19">
        <f t="shared" si="8"/>
        <v>105.7310457</v>
      </c>
      <c r="U3149" s="144"/>
    </row>
    <row r="3150">
      <c r="A3150" s="107"/>
      <c r="B3150" s="8" t="s">
        <v>4225</v>
      </c>
      <c r="C3150" s="8" t="s">
        <v>19</v>
      </c>
      <c r="D3150" s="8">
        <v>35.0</v>
      </c>
      <c r="E3150" s="8" t="s">
        <v>2254</v>
      </c>
      <c r="F3150" s="8" t="s">
        <v>1479</v>
      </c>
      <c r="G3150" s="8" t="s">
        <v>1480</v>
      </c>
      <c r="H3150" s="8">
        <v>0.0</v>
      </c>
      <c r="I3150" s="8" t="s">
        <v>703</v>
      </c>
      <c r="J3150" s="8" t="s">
        <v>22</v>
      </c>
      <c r="K3150" s="8" t="s">
        <v>892</v>
      </c>
      <c r="L3150" s="8" t="s">
        <v>39</v>
      </c>
      <c r="M3150" s="9">
        <v>0.0</v>
      </c>
      <c r="N3150" s="9">
        <v>0.26</v>
      </c>
      <c r="O3150" s="9">
        <v>0.26</v>
      </c>
      <c r="P3150" s="10">
        <v>45517.0</v>
      </c>
      <c r="Q3150" s="11">
        <v>1.85</v>
      </c>
      <c r="R3150" s="8" t="s">
        <v>25</v>
      </c>
      <c r="S3150" s="12">
        <f t="shared" si="1"/>
        <v>-0.26</v>
      </c>
      <c r="T3150" s="12">
        <f t="shared" si="8"/>
        <v>105.4710457</v>
      </c>
      <c r="U3150" s="145"/>
    </row>
    <row r="3151">
      <c r="A3151" s="29"/>
      <c r="B3151" s="15" t="s">
        <v>4225</v>
      </c>
      <c r="C3151" s="15" t="s">
        <v>19</v>
      </c>
      <c r="D3151" s="15">
        <v>65.0</v>
      </c>
      <c r="E3151" s="15" t="s">
        <v>2255</v>
      </c>
      <c r="F3151" s="15" t="s">
        <v>1473</v>
      </c>
      <c r="G3151" s="15" t="s">
        <v>1477</v>
      </c>
      <c r="H3151" s="15">
        <v>-1.0</v>
      </c>
      <c r="I3151" s="15" t="s">
        <v>316</v>
      </c>
      <c r="J3151" s="15" t="s">
        <v>22</v>
      </c>
      <c r="K3151" s="15" t="s">
        <v>894</v>
      </c>
      <c r="L3151" s="15" t="s">
        <v>24</v>
      </c>
      <c r="M3151" s="16">
        <v>-0.5</v>
      </c>
      <c r="N3151" s="16">
        <v>0.5</v>
      </c>
      <c r="O3151" s="16">
        <v>0.5</v>
      </c>
      <c r="P3151" s="17">
        <v>45517.0</v>
      </c>
      <c r="Q3151" s="18">
        <v>1.8</v>
      </c>
      <c r="R3151" s="15" t="s">
        <v>33</v>
      </c>
      <c r="S3151" s="19">
        <f t="shared" si="1"/>
        <v>0.4</v>
      </c>
      <c r="T3151" s="19">
        <f t="shared" si="8"/>
        <v>105.8710457</v>
      </c>
      <c r="U3151" s="144"/>
    </row>
    <row r="3152">
      <c r="A3152" s="107"/>
      <c r="B3152" s="8" t="s">
        <v>129</v>
      </c>
      <c r="C3152" s="8" t="s">
        <v>40</v>
      </c>
      <c r="D3152" s="8">
        <v>70.0</v>
      </c>
      <c r="E3152" s="8" t="s">
        <v>2256</v>
      </c>
      <c r="F3152" s="8" t="s">
        <v>1479</v>
      </c>
      <c r="G3152" s="8"/>
      <c r="H3152" s="8"/>
      <c r="I3152" s="8" t="s">
        <v>316</v>
      </c>
      <c r="J3152" s="8" t="s">
        <v>22</v>
      </c>
      <c r="K3152" s="8" t="s">
        <v>1847</v>
      </c>
      <c r="L3152" s="8" t="s">
        <v>24</v>
      </c>
      <c r="M3152" s="9">
        <v>-0.5</v>
      </c>
      <c r="N3152" s="9">
        <v>0.08</v>
      </c>
      <c r="O3152" s="9">
        <v>0.05</v>
      </c>
      <c r="P3152" s="10">
        <v>45517.0</v>
      </c>
      <c r="Q3152" s="11">
        <v>7.5</v>
      </c>
      <c r="R3152" s="8" t="s">
        <v>25</v>
      </c>
      <c r="S3152" s="12">
        <f t="shared" si="1"/>
        <v>-0.05</v>
      </c>
      <c r="T3152" s="12">
        <f t="shared" si="8"/>
        <v>105.8210457</v>
      </c>
      <c r="U3152" s="145"/>
    </row>
    <row r="3153">
      <c r="A3153" s="29"/>
      <c r="B3153" s="15" t="s">
        <v>18</v>
      </c>
      <c r="C3153" s="15" t="s">
        <v>19</v>
      </c>
      <c r="D3153" s="15">
        <v>76.0</v>
      </c>
      <c r="E3153" s="15" t="s">
        <v>2257</v>
      </c>
      <c r="F3153" s="15"/>
      <c r="G3153" s="15"/>
      <c r="H3153" s="15"/>
      <c r="I3153" s="15" t="s">
        <v>82</v>
      </c>
      <c r="J3153" s="15" t="s">
        <v>598</v>
      </c>
      <c r="K3153" s="15" t="s">
        <v>440</v>
      </c>
      <c r="L3153" s="15" t="s">
        <v>39</v>
      </c>
      <c r="M3153" s="16">
        <v>2.75</v>
      </c>
      <c r="N3153" s="16">
        <v>0.1</v>
      </c>
      <c r="O3153" s="16">
        <v>0.1</v>
      </c>
      <c r="P3153" s="17">
        <v>45518.0</v>
      </c>
      <c r="Q3153" s="18">
        <v>1.8</v>
      </c>
      <c r="R3153" s="15" t="s">
        <v>33</v>
      </c>
      <c r="S3153" s="19">
        <f t="shared" si="1"/>
        <v>0.08</v>
      </c>
      <c r="T3153" s="19">
        <f t="shared" si="8"/>
        <v>105.9010457</v>
      </c>
      <c r="U3153" s="144"/>
    </row>
    <row r="3154">
      <c r="A3154" s="107"/>
      <c r="B3154" s="8" t="s">
        <v>18</v>
      </c>
      <c r="C3154" s="8" t="s">
        <v>19</v>
      </c>
      <c r="D3154" s="8">
        <v>68.0</v>
      </c>
      <c r="E3154" s="8" t="s">
        <v>2258</v>
      </c>
      <c r="F3154" s="8" t="s">
        <v>1479</v>
      </c>
      <c r="G3154" s="8" t="s">
        <v>1480</v>
      </c>
      <c r="H3154" s="8">
        <v>0.0</v>
      </c>
      <c r="I3154" s="8" t="s">
        <v>78</v>
      </c>
      <c r="J3154" s="8" t="s">
        <v>22</v>
      </c>
      <c r="K3154" s="8" t="s">
        <v>892</v>
      </c>
      <c r="L3154" s="8" t="s">
        <v>24</v>
      </c>
      <c r="M3154" s="9">
        <v>0.0</v>
      </c>
      <c r="N3154" s="9">
        <v>0.25</v>
      </c>
      <c r="O3154" s="9">
        <v>0.25</v>
      </c>
      <c r="P3154" s="10">
        <v>45518.0</v>
      </c>
      <c r="Q3154" s="11">
        <v>1.7</v>
      </c>
      <c r="R3154" s="8" t="s">
        <v>70</v>
      </c>
      <c r="S3154" s="12">
        <f t="shared" si="1"/>
        <v>0</v>
      </c>
      <c r="T3154" s="12">
        <f t="shared" si="8"/>
        <v>105.9010457</v>
      </c>
      <c r="U3154" s="145"/>
    </row>
    <row r="3155">
      <c r="A3155" s="29"/>
      <c r="B3155" s="15" t="s">
        <v>4225</v>
      </c>
      <c r="C3155" s="15" t="s">
        <v>19</v>
      </c>
      <c r="D3155" s="15">
        <v>64.0</v>
      </c>
      <c r="E3155" s="15" t="s">
        <v>2259</v>
      </c>
      <c r="F3155" s="15" t="s">
        <v>1473</v>
      </c>
      <c r="G3155" s="15" t="s">
        <v>1480</v>
      </c>
      <c r="H3155" s="15">
        <v>1.0</v>
      </c>
      <c r="I3155" s="15" t="s">
        <v>316</v>
      </c>
      <c r="J3155" s="15" t="s">
        <v>22</v>
      </c>
      <c r="K3155" s="15" t="s">
        <v>892</v>
      </c>
      <c r="L3155" s="15" t="s">
        <v>24</v>
      </c>
      <c r="M3155" s="16">
        <v>0.0</v>
      </c>
      <c r="N3155" s="16">
        <v>0.25</v>
      </c>
      <c r="O3155" s="16">
        <v>0.25</v>
      </c>
      <c r="P3155" s="17">
        <v>45518.0</v>
      </c>
      <c r="Q3155" s="18">
        <v>2.05</v>
      </c>
      <c r="R3155" s="15" t="s">
        <v>33</v>
      </c>
      <c r="S3155" s="19">
        <f t="shared" si="1"/>
        <v>0.2625</v>
      </c>
      <c r="T3155" s="19">
        <f t="shared" si="8"/>
        <v>106.1635457</v>
      </c>
      <c r="U3155" s="144"/>
    </row>
    <row r="3156">
      <c r="A3156" s="107"/>
      <c r="B3156" s="8" t="s">
        <v>18</v>
      </c>
      <c r="C3156" s="8" t="s">
        <v>19</v>
      </c>
      <c r="D3156" s="8">
        <v>69.0</v>
      </c>
      <c r="E3156" s="8" t="s">
        <v>2260</v>
      </c>
      <c r="F3156" s="8" t="s">
        <v>1479</v>
      </c>
      <c r="G3156" s="8" t="s">
        <v>1477</v>
      </c>
      <c r="H3156" s="8">
        <v>0.0</v>
      </c>
      <c r="I3156" s="8" t="s">
        <v>231</v>
      </c>
      <c r="J3156" s="8" t="s">
        <v>22</v>
      </c>
      <c r="K3156" s="8" t="s">
        <v>894</v>
      </c>
      <c r="L3156" s="8" t="s">
        <v>1803</v>
      </c>
      <c r="M3156" s="9">
        <v>-0.5</v>
      </c>
      <c r="N3156" s="9">
        <v>0.25</v>
      </c>
      <c r="O3156" s="9">
        <v>0.25</v>
      </c>
      <c r="P3156" s="10">
        <v>45519.0</v>
      </c>
      <c r="Q3156" s="11">
        <v>1.975</v>
      </c>
      <c r="R3156" s="8" t="s">
        <v>25</v>
      </c>
      <c r="S3156" s="12">
        <f t="shared" si="1"/>
        <v>-0.25</v>
      </c>
      <c r="T3156" s="12">
        <f t="shared" si="8"/>
        <v>105.9135457</v>
      </c>
      <c r="U3156" s="145"/>
    </row>
    <row r="3157">
      <c r="A3157" s="29"/>
      <c r="B3157" s="15" t="s">
        <v>18</v>
      </c>
      <c r="C3157" s="15" t="s">
        <v>40</v>
      </c>
      <c r="D3157" s="15">
        <v>67.0</v>
      </c>
      <c r="E3157" s="15" t="s">
        <v>2261</v>
      </c>
      <c r="F3157" s="15" t="s">
        <v>1473</v>
      </c>
      <c r="G3157" s="15" t="s">
        <v>1477</v>
      </c>
      <c r="H3157" s="15">
        <v>0.0</v>
      </c>
      <c r="I3157" s="15" t="s">
        <v>82</v>
      </c>
      <c r="J3157" s="15" t="s">
        <v>22</v>
      </c>
      <c r="K3157" s="15" t="s">
        <v>894</v>
      </c>
      <c r="L3157" s="15" t="s">
        <v>24</v>
      </c>
      <c r="M3157" s="16">
        <v>-0.25</v>
      </c>
      <c r="N3157" s="16">
        <v>0.25</v>
      </c>
      <c r="O3157" s="16">
        <v>0.25</v>
      </c>
      <c r="P3157" s="55">
        <v>45519.0</v>
      </c>
      <c r="Q3157" s="18">
        <v>2.0</v>
      </c>
      <c r="R3157" s="15" t="s">
        <v>79</v>
      </c>
      <c r="S3157" s="19">
        <f t="shared" si="1"/>
        <v>-0.125</v>
      </c>
      <c r="T3157" s="19">
        <f t="shared" si="8"/>
        <v>105.7885457</v>
      </c>
      <c r="U3157" s="144"/>
    </row>
    <row r="3158">
      <c r="A3158" s="107"/>
      <c r="B3158" s="8" t="s">
        <v>4225</v>
      </c>
      <c r="C3158" s="8" t="s">
        <v>19</v>
      </c>
      <c r="D3158" s="8">
        <v>45.0</v>
      </c>
      <c r="E3158" s="8" t="s">
        <v>2262</v>
      </c>
      <c r="F3158" s="8" t="s">
        <v>1479</v>
      </c>
      <c r="G3158" s="8" t="s">
        <v>1480</v>
      </c>
      <c r="H3158" s="8">
        <v>0.0</v>
      </c>
      <c r="I3158" s="8" t="s">
        <v>82</v>
      </c>
      <c r="J3158" s="8" t="s">
        <v>22</v>
      </c>
      <c r="K3158" s="8" t="s">
        <v>892</v>
      </c>
      <c r="L3158" s="8" t="s">
        <v>1851</v>
      </c>
      <c r="M3158" s="9">
        <v>0.0</v>
      </c>
      <c r="N3158" s="9">
        <v>0.25</v>
      </c>
      <c r="O3158" s="9">
        <v>0.12</v>
      </c>
      <c r="P3158" s="54">
        <v>45519.0</v>
      </c>
      <c r="Q3158" s="11">
        <v>1.975</v>
      </c>
      <c r="R3158" s="8" t="s">
        <v>25</v>
      </c>
      <c r="S3158" s="12">
        <f t="shared" si="1"/>
        <v>-0.12</v>
      </c>
      <c r="T3158" s="12">
        <f t="shared" si="8"/>
        <v>105.6685457</v>
      </c>
      <c r="U3158" s="145"/>
    </row>
    <row r="3159">
      <c r="A3159" s="29"/>
      <c r="B3159" s="15" t="s">
        <v>4225</v>
      </c>
      <c r="C3159" s="15" t="s">
        <v>19</v>
      </c>
      <c r="D3159" s="15">
        <v>55.0</v>
      </c>
      <c r="E3159" s="15" t="s">
        <v>2263</v>
      </c>
      <c r="F3159" s="15" t="s">
        <v>1479</v>
      </c>
      <c r="G3159" s="15" t="s">
        <v>1480</v>
      </c>
      <c r="H3159" s="15">
        <v>0.0</v>
      </c>
      <c r="I3159" s="15" t="s">
        <v>82</v>
      </c>
      <c r="J3159" s="15" t="s">
        <v>22</v>
      </c>
      <c r="K3159" s="15" t="s">
        <v>892</v>
      </c>
      <c r="L3159" s="15" t="s">
        <v>24</v>
      </c>
      <c r="M3159" s="16">
        <v>0.0</v>
      </c>
      <c r="N3159" s="16">
        <v>0.25</v>
      </c>
      <c r="O3159" s="16">
        <v>0.25</v>
      </c>
      <c r="P3159" s="55">
        <v>45519.0</v>
      </c>
      <c r="Q3159" s="18">
        <v>2.0</v>
      </c>
      <c r="R3159" s="15" t="s">
        <v>70</v>
      </c>
      <c r="S3159" s="19">
        <f t="shared" si="1"/>
        <v>0</v>
      </c>
      <c r="T3159" s="19">
        <f t="shared" si="8"/>
        <v>105.6685457</v>
      </c>
      <c r="U3159" s="144"/>
    </row>
    <row r="3160">
      <c r="A3160" s="107"/>
      <c r="B3160" s="8" t="s">
        <v>18</v>
      </c>
      <c r="C3160" s="8" t="s">
        <v>19</v>
      </c>
      <c r="D3160" s="8">
        <v>80.0</v>
      </c>
      <c r="E3160" s="8" t="s">
        <v>2264</v>
      </c>
      <c r="F3160" s="8" t="s">
        <v>1473</v>
      </c>
      <c r="G3160" s="8" t="s">
        <v>1480</v>
      </c>
      <c r="H3160" s="8">
        <v>0.0</v>
      </c>
      <c r="I3160" s="8" t="s">
        <v>319</v>
      </c>
      <c r="J3160" s="8" t="s">
        <v>22</v>
      </c>
      <c r="K3160" s="8" t="s">
        <v>892</v>
      </c>
      <c r="L3160" s="8" t="s">
        <v>39</v>
      </c>
      <c r="M3160" s="9">
        <v>0.0</v>
      </c>
      <c r="N3160" s="9">
        <v>0.5</v>
      </c>
      <c r="O3160" s="9">
        <v>0.49</v>
      </c>
      <c r="P3160" s="54">
        <v>45519.0</v>
      </c>
      <c r="Q3160" s="11">
        <v>1.675</v>
      </c>
      <c r="R3160" s="8" t="s">
        <v>33</v>
      </c>
      <c r="S3160" s="12">
        <f t="shared" si="1"/>
        <v>0.33075</v>
      </c>
      <c r="T3160" s="12">
        <f t="shared" si="8"/>
        <v>105.9992957</v>
      </c>
      <c r="U3160" s="145"/>
    </row>
    <row r="3161">
      <c r="A3161" s="29"/>
      <c r="B3161" s="15" t="s">
        <v>4225</v>
      </c>
      <c r="C3161" s="15" t="s">
        <v>19</v>
      </c>
      <c r="D3161" s="15">
        <v>45.0</v>
      </c>
      <c r="E3161" s="15" t="s">
        <v>2265</v>
      </c>
      <c r="F3161" s="15" t="s">
        <v>1473</v>
      </c>
      <c r="G3161" s="15" t="s">
        <v>1480</v>
      </c>
      <c r="H3161" s="15">
        <v>-2.0</v>
      </c>
      <c r="I3161" s="15" t="s">
        <v>101</v>
      </c>
      <c r="J3161" s="15" t="s">
        <v>22</v>
      </c>
      <c r="K3161" s="15" t="s">
        <v>892</v>
      </c>
      <c r="L3161" s="15" t="s">
        <v>39</v>
      </c>
      <c r="M3161" s="16">
        <v>0.0</v>
      </c>
      <c r="N3161" s="16">
        <v>0.25</v>
      </c>
      <c r="O3161" s="16">
        <v>0.25</v>
      </c>
      <c r="P3161" s="55">
        <v>45520.0</v>
      </c>
      <c r="Q3161" s="18">
        <v>1.6</v>
      </c>
      <c r="R3161" s="15" t="s">
        <v>25</v>
      </c>
      <c r="S3161" s="19">
        <f t="shared" si="1"/>
        <v>-0.25</v>
      </c>
      <c r="T3161" s="19">
        <f t="shared" si="8"/>
        <v>105.7492957</v>
      </c>
      <c r="U3161" s="144"/>
    </row>
    <row r="3162">
      <c r="A3162" s="107"/>
      <c r="B3162" s="8" t="s">
        <v>129</v>
      </c>
      <c r="C3162" s="8" t="s">
        <v>19</v>
      </c>
      <c r="D3162" s="8">
        <v>33.0</v>
      </c>
      <c r="E3162" s="8" t="s">
        <v>2266</v>
      </c>
      <c r="F3162" s="8" t="s">
        <v>1473</v>
      </c>
      <c r="G3162" s="8" t="s">
        <v>1480</v>
      </c>
      <c r="H3162" s="8">
        <v>0.0</v>
      </c>
      <c r="I3162" s="8" t="s">
        <v>74</v>
      </c>
      <c r="J3162" s="8" t="s">
        <v>22</v>
      </c>
      <c r="K3162" s="8" t="s">
        <v>892</v>
      </c>
      <c r="L3162" s="8" t="s">
        <v>24</v>
      </c>
      <c r="M3162" s="9">
        <v>0.0</v>
      </c>
      <c r="N3162" s="9">
        <v>0.75</v>
      </c>
      <c r="O3162" s="9">
        <v>0.6</v>
      </c>
      <c r="P3162" s="10">
        <v>45520.0</v>
      </c>
      <c r="Q3162" s="11">
        <v>1.775</v>
      </c>
      <c r="R3162" s="8" t="s">
        <v>33</v>
      </c>
      <c r="S3162" s="12">
        <f t="shared" si="1"/>
        <v>0.465</v>
      </c>
      <c r="T3162" s="12">
        <f t="shared" si="8"/>
        <v>106.2142957</v>
      </c>
      <c r="U3162" s="145"/>
    </row>
    <row r="3163">
      <c r="A3163" s="29"/>
      <c r="B3163" s="15" t="s">
        <v>4225</v>
      </c>
      <c r="C3163" s="15" t="s">
        <v>19</v>
      </c>
      <c r="D3163" s="15">
        <v>33.0</v>
      </c>
      <c r="E3163" s="15" t="s">
        <v>2267</v>
      </c>
      <c r="F3163" s="15" t="s">
        <v>1473</v>
      </c>
      <c r="G3163" s="15" t="s">
        <v>1474</v>
      </c>
      <c r="H3163" s="15">
        <v>-1.0</v>
      </c>
      <c r="I3163" s="15" t="s">
        <v>101</v>
      </c>
      <c r="J3163" s="15" t="s">
        <v>22</v>
      </c>
      <c r="K3163" s="15" t="s">
        <v>225</v>
      </c>
      <c r="L3163" s="15" t="s">
        <v>24</v>
      </c>
      <c r="M3163" s="16">
        <v>0.25</v>
      </c>
      <c r="N3163" s="16">
        <v>0.75</v>
      </c>
      <c r="O3163" s="16">
        <v>0.75</v>
      </c>
      <c r="P3163" s="55">
        <v>45520.0</v>
      </c>
      <c r="Q3163" s="18">
        <v>1.8</v>
      </c>
      <c r="R3163" s="15" t="s">
        <v>33</v>
      </c>
      <c r="S3163" s="19">
        <f t="shared" si="1"/>
        <v>0.6</v>
      </c>
      <c r="T3163" s="19">
        <f t="shared" si="8"/>
        <v>106.8142957</v>
      </c>
      <c r="U3163" s="144"/>
    </row>
    <row r="3164">
      <c r="A3164" s="107"/>
      <c r="B3164" s="8" t="s">
        <v>4225</v>
      </c>
      <c r="C3164" s="8" t="s">
        <v>19</v>
      </c>
      <c r="D3164" s="8">
        <v>30.0</v>
      </c>
      <c r="E3164" s="8" t="s">
        <v>2268</v>
      </c>
      <c r="F3164" s="8" t="s">
        <v>1473</v>
      </c>
      <c r="G3164" s="8" t="s">
        <v>1474</v>
      </c>
      <c r="H3164" s="8">
        <v>1.0</v>
      </c>
      <c r="I3164" s="8" t="s">
        <v>44</v>
      </c>
      <c r="J3164" s="8" t="s">
        <v>22</v>
      </c>
      <c r="K3164" s="8" t="s">
        <v>225</v>
      </c>
      <c r="L3164" s="8" t="s">
        <v>24</v>
      </c>
      <c r="M3164" s="9">
        <v>0.5</v>
      </c>
      <c r="N3164" s="9">
        <v>0.25</v>
      </c>
      <c r="O3164" s="9">
        <v>0.25</v>
      </c>
      <c r="P3164" s="10">
        <v>45520.0</v>
      </c>
      <c r="Q3164" s="11">
        <v>1.775</v>
      </c>
      <c r="R3164" s="8" t="s">
        <v>25</v>
      </c>
      <c r="S3164" s="12">
        <f t="shared" si="1"/>
        <v>-0.25</v>
      </c>
      <c r="T3164" s="12">
        <f t="shared" si="8"/>
        <v>106.5642957</v>
      </c>
      <c r="U3164" s="145"/>
    </row>
    <row r="3165">
      <c r="A3165" s="29"/>
      <c r="B3165" s="15" t="s">
        <v>4225</v>
      </c>
      <c r="C3165" s="15" t="s">
        <v>19</v>
      </c>
      <c r="D3165" s="15">
        <v>67.0</v>
      </c>
      <c r="E3165" s="15" t="s">
        <v>2269</v>
      </c>
      <c r="F3165" s="15" t="s">
        <v>1473</v>
      </c>
      <c r="G3165" s="15"/>
      <c r="H3165" s="15">
        <v>1.0</v>
      </c>
      <c r="I3165" s="15" t="s">
        <v>44</v>
      </c>
      <c r="J3165" s="15" t="s">
        <v>22</v>
      </c>
      <c r="K3165" s="15" t="s">
        <v>1847</v>
      </c>
      <c r="L3165" s="15" t="s">
        <v>24</v>
      </c>
      <c r="M3165" s="16">
        <v>-0.5</v>
      </c>
      <c r="N3165" s="16">
        <v>0.25</v>
      </c>
      <c r="O3165" s="16">
        <v>0.25</v>
      </c>
      <c r="P3165" s="17">
        <v>45520.0</v>
      </c>
      <c r="Q3165" s="18">
        <v>1.8</v>
      </c>
      <c r="R3165" s="15" t="s">
        <v>25</v>
      </c>
      <c r="S3165" s="19">
        <f t="shared" si="1"/>
        <v>-0.25</v>
      </c>
      <c r="T3165" s="19">
        <f t="shared" si="8"/>
        <v>106.3142957</v>
      </c>
      <c r="U3165" s="144"/>
    </row>
    <row r="3166">
      <c r="A3166" s="107"/>
      <c r="B3166" s="8" t="s">
        <v>4225</v>
      </c>
      <c r="C3166" s="8" t="s">
        <v>19</v>
      </c>
      <c r="D3166" s="8">
        <v>0.0</v>
      </c>
      <c r="E3166" s="8" t="s">
        <v>2270</v>
      </c>
      <c r="F3166" s="8" t="s">
        <v>1473</v>
      </c>
      <c r="G3166" s="8" t="s">
        <v>1480</v>
      </c>
      <c r="H3166" s="8">
        <v>0.0</v>
      </c>
      <c r="I3166" s="8" t="s">
        <v>93</v>
      </c>
      <c r="J3166" s="8" t="s">
        <v>22</v>
      </c>
      <c r="K3166" s="8" t="s">
        <v>892</v>
      </c>
      <c r="L3166" s="8" t="s">
        <v>24</v>
      </c>
      <c r="M3166" s="9">
        <v>0.0</v>
      </c>
      <c r="N3166" s="9">
        <v>0.5</v>
      </c>
      <c r="O3166" s="9">
        <v>0.39</v>
      </c>
      <c r="P3166" s="10">
        <v>45520.0</v>
      </c>
      <c r="Q3166" s="11">
        <v>1.8</v>
      </c>
      <c r="R3166" s="8" t="s">
        <v>70</v>
      </c>
      <c r="S3166" s="12">
        <f t="shared" si="1"/>
        <v>0</v>
      </c>
      <c r="T3166" s="12">
        <f t="shared" si="8"/>
        <v>106.3142957</v>
      </c>
      <c r="U3166" s="145"/>
    </row>
    <row r="3167">
      <c r="A3167" s="29"/>
      <c r="B3167" s="15" t="s">
        <v>129</v>
      </c>
      <c r="C3167" s="15" t="s">
        <v>19</v>
      </c>
      <c r="D3167" s="15">
        <v>45.0</v>
      </c>
      <c r="E3167" s="15" t="s">
        <v>2271</v>
      </c>
      <c r="F3167" s="15" t="s">
        <v>1479</v>
      </c>
      <c r="G3167" s="15" t="s">
        <v>1477</v>
      </c>
      <c r="H3167" s="15">
        <v>1.0</v>
      </c>
      <c r="I3167" s="15" t="s">
        <v>101</v>
      </c>
      <c r="J3167" s="15" t="s">
        <v>22</v>
      </c>
      <c r="K3167" s="15" t="s">
        <v>894</v>
      </c>
      <c r="L3167" s="15" t="s">
        <v>24</v>
      </c>
      <c r="M3167" s="16">
        <v>-1.0</v>
      </c>
      <c r="N3167" s="16">
        <v>0.1</v>
      </c>
      <c r="O3167" s="16">
        <v>0.09</v>
      </c>
      <c r="P3167" s="17">
        <v>45520.0</v>
      </c>
      <c r="Q3167" s="18">
        <v>6.0</v>
      </c>
      <c r="R3167" s="15" t="s">
        <v>25</v>
      </c>
      <c r="S3167" s="19">
        <f t="shared" si="1"/>
        <v>-0.09</v>
      </c>
      <c r="T3167" s="19">
        <f t="shared" si="8"/>
        <v>106.2242957</v>
      </c>
      <c r="U3167" s="144"/>
    </row>
    <row r="3168">
      <c r="A3168" s="107"/>
      <c r="B3168" s="8" t="s">
        <v>18</v>
      </c>
      <c r="C3168" s="8" t="s">
        <v>19</v>
      </c>
      <c r="D3168" s="8">
        <v>70.0</v>
      </c>
      <c r="E3168" s="8" t="s">
        <v>2272</v>
      </c>
      <c r="F3168" s="8" t="s">
        <v>1479</v>
      </c>
      <c r="G3168" s="8"/>
      <c r="H3168" s="8">
        <v>-1.0</v>
      </c>
      <c r="I3168" s="8" t="s">
        <v>44</v>
      </c>
      <c r="J3168" s="8" t="s">
        <v>22</v>
      </c>
      <c r="K3168" s="8" t="s">
        <v>1023</v>
      </c>
      <c r="L3168" s="8" t="s">
        <v>24</v>
      </c>
      <c r="M3168" s="9"/>
      <c r="N3168" s="9">
        <v>0.35</v>
      </c>
      <c r="O3168" s="9">
        <v>0.35</v>
      </c>
      <c r="P3168" s="10">
        <v>45520.0</v>
      </c>
      <c r="Q3168" s="11">
        <v>2.625</v>
      </c>
      <c r="R3168" s="8" t="s">
        <v>33</v>
      </c>
      <c r="S3168" s="12">
        <f t="shared" si="1"/>
        <v>0.56875</v>
      </c>
      <c r="T3168" s="12">
        <f t="shared" si="8"/>
        <v>106.7930457</v>
      </c>
      <c r="U3168" s="145"/>
    </row>
    <row r="3169">
      <c r="A3169" s="29"/>
      <c r="B3169" s="15" t="s">
        <v>4225</v>
      </c>
      <c r="C3169" s="15" t="s">
        <v>40</v>
      </c>
      <c r="D3169" s="15">
        <v>45.0</v>
      </c>
      <c r="E3169" s="15" t="s">
        <v>2273</v>
      </c>
      <c r="F3169" s="15" t="s">
        <v>1479</v>
      </c>
      <c r="G3169" s="15" t="s">
        <v>1480</v>
      </c>
      <c r="H3169" s="15">
        <v>0.0</v>
      </c>
      <c r="I3169" s="15" t="s">
        <v>93</v>
      </c>
      <c r="J3169" s="15" t="s">
        <v>22</v>
      </c>
      <c r="K3169" s="15" t="s">
        <v>892</v>
      </c>
      <c r="L3169" s="15" t="s">
        <v>24</v>
      </c>
      <c r="M3169" s="16">
        <v>0.0</v>
      </c>
      <c r="N3169" s="16">
        <v>0.3</v>
      </c>
      <c r="O3169" s="16">
        <v>0.3</v>
      </c>
      <c r="P3169" s="17">
        <v>45520.0</v>
      </c>
      <c r="Q3169" s="18">
        <v>2.3</v>
      </c>
      <c r="R3169" s="15" t="s">
        <v>70</v>
      </c>
      <c r="S3169" s="19">
        <f t="shared" si="1"/>
        <v>0</v>
      </c>
      <c r="T3169" s="19">
        <f t="shared" si="8"/>
        <v>106.7930457</v>
      </c>
      <c r="U3169" s="144"/>
    </row>
    <row r="3170">
      <c r="A3170" s="107"/>
      <c r="B3170" s="8" t="s">
        <v>137</v>
      </c>
      <c r="C3170" s="8" t="s">
        <v>19</v>
      </c>
      <c r="D3170" s="8">
        <v>20.0</v>
      </c>
      <c r="E3170" s="8" t="s">
        <v>2274</v>
      </c>
      <c r="F3170" s="8" t="s">
        <v>1473</v>
      </c>
      <c r="G3170" s="8" t="s">
        <v>1480</v>
      </c>
      <c r="H3170" s="8">
        <v>-1.0</v>
      </c>
      <c r="I3170" s="8" t="s">
        <v>316</v>
      </c>
      <c r="J3170" s="8" t="s">
        <v>22</v>
      </c>
      <c r="K3170" s="8" t="s">
        <v>892</v>
      </c>
      <c r="L3170" s="8" t="s">
        <v>24</v>
      </c>
      <c r="M3170" s="9">
        <v>0.0</v>
      </c>
      <c r="N3170" s="9">
        <v>0.25</v>
      </c>
      <c r="O3170" s="9">
        <v>0.25</v>
      </c>
      <c r="P3170" s="54">
        <v>45520.0</v>
      </c>
      <c r="Q3170" s="11">
        <v>2.1</v>
      </c>
      <c r="R3170" s="8" t="s">
        <v>70</v>
      </c>
      <c r="S3170" s="12">
        <f t="shared" si="1"/>
        <v>0</v>
      </c>
      <c r="T3170" s="12">
        <f t="shared" si="8"/>
        <v>106.7930457</v>
      </c>
      <c r="U3170" s="145"/>
    </row>
    <row r="3171">
      <c r="A3171" s="29"/>
      <c r="B3171" s="15" t="s">
        <v>4225</v>
      </c>
      <c r="C3171" s="15" t="s">
        <v>19</v>
      </c>
      <c r="D3171" s="15">
        <v>60.0</v>
      </c>
      <c r="E3171" s="15" t="s">
        <v>2275</v>
      </c>
      <c r="F3171" s="15" t="s">
        <v>1479</v>
      </c>
      <c r="G3171" s="15" t="s">
        <v>1480</v>
      </c>
      <c r="H3171" s="15">
        <v>-1.0</v>
      </c>
      <c r="I3171" s="15" t="s">
        <v>487</v>
      </c>
      <c r="J3171" s="15" t="s">
        <v>22</v>
      </c>
      <c r="K3171" s="15" t="s">
        <v>892</v>
      </c>
      <c r="L3171" s="15" t="s">
        <v>24</v>
      </c>
      <c r="M3171" s="16">
        <v>0.0</v>
      </c>
      <c r="N3171" s="16">
        <v>0.25</v>
      </c>
      <c r="O3171" s="16">
        <v>0.23</v>
      </c>
      <c r="P3171" s="17">
        <v>45521.0</v>
      </c>
      <c r="Q3171" s="18">
        <v>1.65</v>
      </c>
      <c r="R3171" s="15" t="s">
        <v>70</v>
      </c>
      <c r="S3171" s="19">
        <f t="shared" si="1"/>
        <v>0</v>
      </c>
      <c r="T3171" s="19">
        <f t="shared" si="8"/>
        <v>106.7930457</v>
      </c>
      <c r="U3171" s="144"/>
    </row>
    <row r="3172">
      <c r="A3172" s="107"/>
      <c r="B3172" s="8" t="s">
        <v>4225</v>
      </c>
      <c r="C3172" s="8" t="s">
        <v>19</v>
      </c>
      <c r="D3172" s="8">
        <v>0.0</v>
      </c>
      <c r="E3172" s="8" t="s">
        <v>2276</v>
      </c>
      <c r="F3172" s="8" t="s">
        <v>1479</v>
      </c>
      <c r="G3172" s="8" t="s">
        <v>1480</v>
      </c>
      <c r="H3172" s="8">
        <v>-1.0</v>
      </c>
      <c r="I3172" s="8" t="s">
        <v>44</v>
      </c>
      <c r="J3172" s="8" t="s">
        <v>22</v>
      </c>
      <c r="K3172" s="8" t="s">
        <v>892</v>
      </c>
      <c r="L3172" s="8" t="s">
        <v>24</v>
      </c>
      <c r="M3172" s="9">
        <v>0.0</v>
      </c>
      <c r="N3172" s="9">
        <v>0.25</v>
      </c>
      <c r="O3172" s="9">
        <v>0.11</v>
      </c>
      <c r="P3172" s="10">
        <v>45521.0</v>
      </c>
      <c r="Q3172" s="11">
        <v>1.975</v>
      </c>
      <c r="R3172" s="8" t="s">
        <v>33</v>
      </c>
      <c r="S3172" s="12">
        <f t="shared" si="1"/>
        <v>0.10725</v>
      </c>
      <c r="T3172" s="12">
        <f t="shared" si="8"/>
        <v>106.9002957</v>
      </c>
      <c r="U3172" s="145"/>
    </row>
    <row r="3173">
      <c r="A3173" s="29"/>
      <c r="B3173" s="15" t="s">
        <v>18</v>
      </c>
      <c r="C3173" s="15" t="s">
        <v>19</v>
      </c>
      <c r="D3173" s="15">
        <v>7.0</v>
      </c>
      <c r="E3173" s="15" t="s">
        <v>2277</v>
      </c>
      <c r="F3173" s="15" t="s">
        <v>1479</v>
      </c>
      <c r="G3173" s="15" t="s">
        <v>1480</v>
      </c>
      <c r="H3173" s="15">
        <v>-1.0</v>
      </c>
      <c r="I3173" s="15" t="s">
        <v>44</v>
      </c>
      <c r="J3173" s="15" t="s">
        <v>22</v>
      </c>
      <c r="K3173" s="15" t="s">
        <v>1150</v>
      </c>
      <c r="L3173" s="15" t="s">
        <v>24</v>
      </c>
      <c r="M3173" s="16">
        <v>0.0</v>
      </c>
      <c r="N3173" s="16">
        <v>0.25</v>
      </c>
      <c r="O3173" s="16">
        <v>0.25</v>
      </c>
      <c r="P3173" s="17">
        <v>45521.0</v>
      </c>
      <c r="Q3173" s="18">
        <v>1.75</v>
      </c>
      <c r="R3173" s="15" t="s">
        <v>70</v>
      </c>
      <c r="S3173" s="19">
        <f t="shared" si="1"/>
        <v>0</v>
      </c>
      <c r="T3173" s="19">
        <f t="shared" si="8"/>
        <v>106.9002957</v>
      </c>
      <c r="U3173" s="144"/>
    </row>
    <row r="3174">
      <c r="A3174" s="107"/>
      <c r="B3174" s="8" t="s">
        <v>26</v>
      </c>
      <c r="C3174" s="8" t="s">
        <v>19</v>
      </c>
      <c r="D3174" s="8">
        <v>80.0</v>
      </c>
      <c r="E3174" s="8" t="s">
        <v>2278</v>
      </c>
      <c r="F3174" s="8" t="s">
        <v>1473</v>
      </c>
      <c r="G3174" s="8" t="s">
        <v>1474</v>
      </c>
      <c r="H3174" s="8">
        <v>-1.0</v>
      </c>
      <c r="I3174" s="8" t="s">
        <v>44</v>
      </c>
      <c r="J3174" s="8" t="s">
        <v>22</v>
      </c>
      <c r="K3174" s="8" t="s">
        <v>225</v>
      </c>
      <c r="L3174" s="8" t="s">
        <v>24</v>
      </c>
      <c r="M3174" s="9">
        <v>0.5</v>
      </c>
      <c r="N3174" s="9">
        <v>1.0</v>
      </c>
      <c r="O3174" s="9">
        <v>0.82</v>
      </c>
      <c r="P3174" s="54">
        <v>45521.0</v>
      </c>
      <c r="Q3174" s="11">
        <v>1.8</v>
      </c>
      <c r="R3174" s="8" t="s">
        <v>33</v>
      </c>
      <c r="S3174" s="12">
        <f t="shared" si="1"/>
        <v>0.656</v>
      </c>
      <c r="T3174" s="12">
        <f t="shared" si="8"/>
        <v>107.5562957</v>
      </c>
      <c r="U3174" s="145"/>
    </row>
    <row r="3175">
      <c r="A3175" s="29"/>
      <c r="B3175" s="15" t="s">
        <v>26</v>
      </c>
      <c r="C3175" s="15" t="s">
        <v>19</v>
      </c>
      <c r="D3175" s="15">
        <v>30.0</v>
      </c>
      <c r="E3175" s="15" t="s">
        <v>2279</v>
      </c>
      <c r="F3175" s="15" t="s">
        <v>1479</v>
      </c>
      <c r="G3175" s="15" t="s">
        <v>1480</v>
      </c>
      <c r="H3175" s="15">
        <v>-1.0</v>
      </c>
      <c r="I3175" s="15" t="s">
        <v>432</v>
      </c>
      <c r="J3175" s="15" t="s">
        <v>22</v>
      </c>
      <c r="K3175" s="15" t="s">
        <v>892</v>
      </c>
      <c r="L3175" s="15" t="s">
        <v>24</v>
      </c>
      <c r="M3175" s="16">
        <v>0.0</v>
      </c>
      <c r="N3175" s="16">
        <v>0.55</v>
      </c>
      <c r="O3175" s="16">
        <v>0.51</v>
      </c>
      <c r="P3175" s="17">
        <v>45521.0</v>
      </c>
      <c r="Q3175" s="18">
        <v>2.05</v>
      </c>
      <c r="R3175" s="15" t="s">
        <v>70</v>
      </c>
      <c r="S3175" s="19">
        <f t="shared" si="1"/>
        <v>0</v>
      </c>
      <c r="T3175" s="19">
        <f t="shared" si="8"/>
        <v>107.5562957</v>
      </c>
      <c r="U3175" s="144"/>
    </row>
    <row r="3176">
      <c r="A3176" s="107"/>
      <c r="B3176" s="8" t="s">
        <v>129</v>
      </c>
      <c r="C3176" s="8" t="s">
        <v>19</v>
      </c>
      <c r="D3176" s="8">
        <v>82.0</v>
      </c>
      <c r="E3176" s="8" t="s">
        <v>2280</v>
      </c>
      <c r="F3176" s="8"/>
      <c r="G3176" s="8"/>
      <c r="H3176" s="8"/>
      <c r="I3176" s="8" t="s">
        <v>44</v>
      </c>
      <c r="J3176" s="8" t="s">
        <v>22</v>
      </c>
      <c r="K3176" s="8" t="s">
        <v>1165</v>
      </c>
      <c r="L3176" s="8" t="s">
        <v>24</v>
      </c>
      <c r="M3176" s="9"/>
      <c r="N3176" s="9">
        <v>0.1</v>
      </c>
      <c r="O3176" s="9">
        <v>0.03</v>
      </c>
      <c r="P3176" s="10">
        <v>45521.0</v>
      </c>
      <c r="Q3176" s="11">
        <v>10.0</v>
      </c>
      <c r="R3176" s="8" t="s">
        <v>25</v>
      </c>
      <c r="S3176" s="12">
        <f t="shared" si="1"/>
        <v>-0.03</v>
      </c>
      <c r="T3176" s="12">
        <f t="shared" si="8"/>
        <v>107.5262957</v>
      </c>
      <c r="U3176" s="145"/>
    </row>
    <row r="3177">
      <c r="A3177" s="29"/>
      <c r="B3177" s="15" t="s">
        <v>26</v>
      </c>
      <c r="C3177" s="15" t="s">
        <v>19</v>
      </c>
      <c r="D3177" s="15">
        <v>84.0</v>
      </c>
      <c r="E3177" s="15" t="s">
        <v>2281</v>
      </c>
      <c r="F3177" s="15" t="s">
        <v>1479</v>
      </c>
      <c r="G3177" s="15" t="s">
        <v>1480</v>
      </c>
      <c r="H3177" s="15">
        <v>-2.0</v>
      </c>
      <c r="I3177" s="15" t="s">
        <v>50</v>
      </c>
      <c r="J3177" s="15" t="s">
        <v>22</v>
      </c>
      <c r="K3177" s="15" t="s">
        <v>892</v>
      </c>
      <c r="L3177" s="15" t="s">
        <v>24</v>
      </c>
      <c r="M3177" s="16">
        <v>0.0</v>
      </c>
      <c r="N3177" s="16">
        <v>0.25</v>
      </c>
      <c r="O3177" s="16">
        <v>0.2</v>
      </c>
      <c r="P3177" s="17">
        <v>45521.0</v>
      </c>
      <c r="Q3177" s="18">
        <v>1.8</v>
      </c>
      <c r="R3177" s="15" t="s">
        <v>70</v>
      </c>
      <c r="S3177" s="19">
        <f t="shared" si="1"/>
        <v>0</v>
      </c>
      <c r="T3177" s="19">
        <f t="shared" si="8"/>
        <v>107.5262957</v>
      </c>
      <c r="U3177" s="144"/>
    </row>
    <row r="3178">
      <c r="A3178" s="107"/>
      <c r="B3178" s="8" t="s">
        <v>26</v>
      </c>
      <c r="C3178" s="8" t="s">
        <v>19</v>
      </c>
      <c r="D3178" s="8">
        <v>81.0</v>
      </c>
      <c r="E3178" s="8" t="s">
        <v>2282</v>
      </c>
      <c r="F3178" s="8" t="s">
        <v>1479</v>
      </c>
      <c r="G3178" s="8" t="s">
        <v>1480</v>
      </c>
      <c r="H3178" s="8">
        <v>0.0</v>
      </c>
      <c r="I3178" s="8" t="s">
        <v>82</v>
      </c>
      <c r="J3178" s="8" t="s">
        <v>22</v>
      </c>
      <c r="K3178" s="8" t="s">
        <v>892</v>
      </c>
      <c r="L3178" s="8" t="s">
        <v>24</v>
      </c>
      <c r="M3178" s="9">
        <v>0.0</v>
      </c>
      <c r="N3178" s="9">
        <v>0.25</v>
      </c>
      <c r="O3178" s="9">
        <v>0.25</v>
      </c>
      <c r="P3178" s="10">
        <v>45521.0</v>
      </c>
      <c r="Q3178" s="11">
        <v>1.675</v>
      </c>
      <c r="R3178" s="8" t="s">
        <v>70</v>
      </c>
      <c r="S3178" s="12">
        <f t="shared" si="1"/>
        <v>0</v>
      </c>
      <c r="T3178" s="12">
        <f t="shared" si="8"/>
        <v>107.5262957</v>
      </c>
      <c r="U3178" s="145"/>
    </row>
    <row r="3179">
      <c r="A3179" s="29"/>
      <c r="B3179" s="15" t="s">
        <v>26</v>
      </c>
      <c r="C3179" s="15" t="s">
        <v>19</v>
      </c>
      <c r="D3179" s="15">
        <v>71.0</v>
      </c>
      <c r="E3179" s="15" t="s">
        <v>2283</v>
      </c>
      <c r="F3179" s="15" t="s">
        <v>1479</v>
      </c>
      <c r="G3179" s="15" t="s">
        <v>1480</v>
      </c>
      <c r="H3179" s="15">
        <v>0.0</v>
      </c>
      <c r="I3179" s="15" t="s">
        <v>316</v>
      </c>
      <c r="J3179" s="15" t="s">
        <v>22</v>
      </c>
      <c r="K3179" s="15" t="s">
        <v>1150</v>
      </c>
      <c r="L3179" s="15" t="s">
        <v>24</v>
      </c>
      <c r="M3179" s="16">
        <v>0.0</v>
      </c>
      <c r="N3179" s="16">
        <v>0.25</v>
      </c>
      <c r="O3179" s="16">
        <v>0.23</v>
      </c>
      <c r="P3179" s="17">
        <v>45522.0</v>
      </c>
      <c r="Q3179" s="18">
        <v>1.775</v>
      </c>
      <c r="R3179" s="15" t="s">
        <v>70</v>
      </c>
      <c r="S3179" s="19">
        <f t="shared" si="1"/>
        <v>0</v>
      </c>
      <c r="T3179" s="19">
        <f t="shared" si="8"/>
        <v>107.5262957</v>
      </c>
      <c r="U3179" s="144"/>
    </row>
    <row r="3180">
      <c r="A3180" s="107"/>
      <c r="B3180" s="8" t="s">
        <v>137</v>
      </c>
      <c r="C3180" s="8" t="s">
        <v>40</v>
      </c>
      <c r="D3180" s="8">
        <v>29.0</v>
      </c>
      <c r="E3180" s="8" t="s">
        <v>2284</v>
      </c>
      <c r="F3180" s="8" t="s">
        <v>1479</v>
      </c>
      <c r="G3180" s="8" t="s">
        <v>1474</v>
      </c>
      <c r="H3180" s="8">
        <v>0.0</v>
      </c>
      <c r="I3180" s="8" t="s">
        <v>513</v>
      </c>
      <c r="J3180" s="8" t="s">
        <v>22</v>
      </c>
      <c r="K3180" s="8" t="s">
        <v>225</v>
      </c>
      <c r="L3180" s="8" t="s">
        <v>24</v>
      </c>
      <c r="M3180" s="9">
        <v>0.25</v>
      </c>
      <c r="N3180" s="9">
        <v>0.25</v>
      </c>
      <c r="O3180" s="9">
        <v>0.11</v>
      </c>
      <c r="P3180" s="10">
        <v>45522.0</v>
      </c>
      <c r="Q3180" s="11">
        <v>1.8</v>
      </c>
      <c r="R3180" s="8" t="s">
        <v>30</v>
      </c>
      <c r="S3180" s="12">
        <f t="shared" si="1"/>
        <v>0.044</v>
      </c>
      <c r="T3180" s="12">
        <f t="shared" si="8"/>
        <v>107.5702957</v>
      </c>
      <c r="U3180" s="145"/>
    </row>
    <row r="3181">
      <c r="A3181" s="29"/>
      <c r="B3181" s="15" t="s">
        <v>129</v>
      </c>
      <c r="C3181" s="15" t="s">
        <v>19</v>
      </c>
      <c r="D3181" s="15">
        <v>77.0</v>
      </c>
      <c r="E3181" s="15" t="s">
        <v>2285</v>
      </c>
      <c r="F3181" s="15" t="s">
        <v>1479</v>
      </c>
      <c r="G3181" s="15" t="s">
        <v>1480</v>
      </c>
      <c r="H3181" s="15">
        <v>0.0</v>
      </c>
      <c r="I3181" s="15" t="s">
        <v>513</v>
      </c>
      <c r="J3181" s="15" t="s">
        <v>22</v>
      </c>
      <c r="K3181" s="15" t="s">
        <v>892</v>
      </c>
      <c r="L3181" s="15" t="s">
        <v>24</v>
      </c>
      <c r="M3181" s="16">
        <v>0.0</v>
      </c>
      <c r="N3181" s="16">
        <v>0.75</v>
      </c>
      <c r="O3181" s="16">
        <v>0.75</v>
      </c>
      <c r="P3181" s="17">
        <v>45522.0</v>
      </c>
      <c r="Q3181" s="18">
        <v>1.7</v>
      </c>
      <c r="R3181" s="15" t="s">
        <v>70</v>
      </c>
      <c r="S3181" s="19">
        <f t="shared" si="1"/>
        <v>0</v>
      </c>
      <c r="T3181" s="19">
        <f t="shared" si="8"/>
        <v>107.5702957</v>
      </c>
      <c r="U3181" s="144"/>
    </row>
    <row r="3182">
      <c r="A3182" s="107"/>
      <c r="B3182" s="8" t="s">
        <v>26</v>
      </c>
      <c r="C3182" s="8" t="s">
        <v>19</v>
      </c>
      <c r="D3182" s="8">
        <v>79.0</v>
      </c>
      <c r="E3182" s="8" t="s">
        <v>2286</v>
      </c>
      <c r="F3182" s="8" t="s">
        <v>1479</v>
      </c>
      <c r="G3182" s="8" t="s">
        <v>1480</v>
      </c>
      <c r="H3182" s="8">
        <v>-1.0</v>
      </c>
      <c r="I3182" s="8" t="s">
        <v>84</v>
      </c>
      <c r="J3182" s="8" t="s">
        <v>22</v>
      </c>
      <c r="K3182" s="8" t="s">
        <v>892</v>
      </c>
      <c r="L3182" s="8" t="s">
        <v>24</v>
      </c>
      <c r="M3182" s="9">
        <v>0.0</v>
      </c>
      <c r="N3182" s="9">
        <v>0.25</v>
      </c>
      <c r="O3182" s="9">
        <v>0.08</v>
      </c>
      <c r="P3182" s="10">
        <v>45522.0</v>
      </c>
      <c r="Q3182" s="11">
        <v>1.75</v>
      </c>
      <c r="R3182" s="8" t="s">
        <v>70</v>
      </c>
      <c r="S3182" s="12">
        <f t="shared" si="1"/>
        <v>0</v>
      </c>
      <c r="T3182" s="12">
        <f t="shared" si="8"/>
        <v>107.5702957</v>
      </c>
      <c r="U3182" s="145"/>
    </row>
    <row r="3183">
      <c r="A3183" s="29"/>
      <c r="B3183" s="15" t="s">
        <v>129</v>
      </c>
      <c r="C3183" s="15" t="s">
        <v>19</v>
      </c>
      <c r="D3183" s="15">
        <v>81.0</v>
      </c>
      <c r="E3183" s="15" t="s">
        <v>2287</v>
      </c>
      <c r="F3183" s="15" t="s">
        <v>1479</v>
      </c>
      <c r="G3183" s="15" t="s">
        <v>1480</v>
      </c>
      <c r="H3183" s="15">
        <v>-1.0</v>
      </c>
      <c r="I3183" s="15" t="s">
        <v>84</v>
      </c>
      <c r="J3183" s="15" t="s">
        <v>22</v>
      </c>
      <c r="K3183" s="15" t="s">
        <v>1150</v>
      </c>
      <c r="L3183" s="15" t="s">
        <v>24</v>
      </c>
      <c r="M3183" s="16">
        <v>0.0</v>
      </c>
      <c r="N3183" s="16">
        <v>0.25</v>
      </c>
      <c r="O3183" s="16">
        <v>0.25</v>
      </c>
      <c r="P3183" s="17">
        <v>45522.0</v>
      </c>
      <c r="Q3183" s="18">
        <v>1.7</v>
      </c>
      <c r="R3183" s="15" t="s">
        <v>70</v>
      </c>
      <c r="S3183" s="19">
        <f t="shared" si="1"/>
        <v>0</v>
      </c>
      <c r="T3183" s="19">
        <f t="shared" si="8"/>
        <v>107.5702957</v>
      </c>
      <c r="U3183" s="144"/>
    </row>
    <row r="3184">
      <c r="A3184" s="107"/>
      <c r="B3184" s="8" t="s">
        <v>18</v>
      </c>
      <c r="C3184" s="8" t="s">
        <v>19</v>
      </c>
      <c r="D3184" s="8">
        <v>72.0</v>
      </c>
      <c r="E3184" s="8" t="s">
        <v>2288</v>
      </c>
      <c r="F3184" s="8" t="s">
        <v>1479</v>
      </c>
      <c r="G3184" s="8" t="s">
        <v>1477</v>
      </c>
      <c r="H3184" s="8">
        <v>0.0</v>
      </c>
      <c r="I3184" s="8" t="s">
        <v>84</v>
      </c>
      <c r="J3184" s="8" t="s">
        <v>22</v>
      </c>
      <c r="K3184" s="8" t="s">
        <v>894</v>
      </c>
      <c r="L3184" s="8" t="s">
        <v>24</v>
      </c>
      <c r="M3184" s="9">
        <v>-0.5</v>
      </c>
      <c r="N3184" s="9">
        <v>0.5</v>
      </c>
      <c r="O3184" s="9">
        <v>0.5</v>
      </c>
      <c r="P3184" s="10">
        <v>45522.0</v>
      </c>
      <c r="Q3184" s="11">
        <v>1.75</v>
      </c>
      <c r="R3184" s="8" t="s">
        <v>33</v>
      </c>
      <c r="S3184" s="12">
        <f t="shared" si="1"/>
        <v>0.375</v>
      </c>
      <c r="T3184" s="12">
        <f t="shared" si="8"/>
        <v>107.9452957</v>
      </c>
      <c r="U3184" s="145"/>
    </row>
    <row r="3185">
      <c r="A3185" s="29"/>
      <c r="B3185" s="15" t="s">
        <v>129</v>
      </c>
      <c r="C3185" s="15" t="s">
        <v>19</v>
      </c>
      <c r="D3185" s="15">
        <v>85.0</v>
      </c>
      <c r="E3185" s="15" t="s">
        <v>2289</v>
      </c>
      <c r="F3185" s="15" t="s">
        <v>1479</v>
      </c>
      <c r="G3185" s="15" t="s">
        <v>1480</v>
      </c>
      <c r="H3185" s="15">
        <v>0.0</v>
      </c>
      <c r="I3185" s="15" t="s">
        <v>44</v>
      </c>
      <c r="J3185" s="15" t="s">
        <v>22</v>
      </c>
      <c r="K3185" s="15" t="s">
        <v>892</v>
      </c>
      <c r="L3185" s="15" t="s">
        <v>24</v>
      </c>
      <c r="M3185" s="16">
        <v>0.0</v>
      </c>
      <c r="N3185" s="16">
        <v>0.5</v>
      </c>
      <c r="O3185" s="16">
        <v>0.5</v>
      </c>
      <c r="P3185" s="17">
        <v>45522.0</v>
      </c>
      <c r="Q3185" s="18">
        <v>2.05</v>
      </c>
      <c r="R3185" s="15" t="s">
        <v>70</v>
      </c>
      <c r="S3185" s="19">
        <f t="shared" si="1"/>
        <v>0</v>
      </c>
      <c r="T3185" s="19">
        <f t="shared" si="8"/>
        <v>107.9452957</v>
      </c>
      <c r="U3185" s="144"/>
    </row>
    <row r="3186">
      <c r="A3186" s="107"/>
      <c r="B3186" s="8" t="s">
        <v>129</v>
      </c>
      <c r="C3186" s="8" t="s">
        <v>19</v>
      </c>
      <c r="D3186" s="8">
        <v>86.0</v>
      </c>
      <c r="E3186" s="8" t="s">
        <v>2290</v>
      </c>
      <c r="F3186" s="8" t="s">
        <v>1479</v>
      </c>
      <c r="G3186" s="8" t="s">
        <v>1480</v>
      </c>
      <c r="H3186" s="8">
        <v>0.0</v>
      </c>
      <c r="I3186" s="8" t="s">
        <v>316</v>
      </c>
      <c r="J3186" s="8" t="s">
        <v>22</v>
      </c>
      <c r="K3186" s="8" t="s">
        <v>892</v>
      </c>
      <c r="L3186" s="8" t="s">
        <v>24</v>
      </c>
      <c r="M3186" s="9">
        <v>0.0</v>
      </c>
      <c r="N3186" s="9">
        <v>0.25</v>
      </c>
      <c r="O3186" s="9">
        <v>0.25</v>
      </c>
      <c r="P3186" s="10">
        <v>45522.0</v>
      </c>
      <c r="Q3186" s="11">
        <v>1.55</v>
      </c>
      <c r="R3186" s="8" t="s">
        <v>33</v>
      </c>
      <c r="S3186" s="12">
        <f t="shared" si="1"/>
        <v>0.1375</v>
      </c>
      <c r="T3186" s="12">
        <f t="shared" si="8"/>
        <v>108.0827957</v>
      </c>
      <c r="U3186" s="145"/>
    </row>
    <row r="3187">
      <c r="A3187" s="29"/>
      <c r="B3187" s="15" t="s">
        <v>18</v>
      </c>
      <c r="C3187" s="15" t="s">
        <v>19</v>
      </c>
      <c r="D3187" s="15">
        <v>28.0</v>
      </c>
      <c r="E3187" s="15" t="s">
        <v>2291</v>
      </c>
      <c r="F3187" s="15" t="s">
        <v>1479</v>
      </c>
      <c r="G3187" s="15" t="s">
        <v>1477</v>
      </c>
      <c r="H3187" s="15">
        <v>1.0</v>
      </c>
      <c r="I3187" s="15" t="s">
        <v>99</v>
      </c>
      <c r="J3187" s="15" t="s">
        <v>22</v>
      </c>
      <c r="K3187" s="15" t="s">
        <v>894</v>
      </c>
      <c r="L3187" s="15" t="s">
        <v>24</v>
      </c>
      <c r="M3187" s="16">
        <v>-0.5</v>
      </c>
      <c r="N3187" s="16">
        <v>0.3</v>
      </c>
      <c r="O3187" s="16">
        <v>0.3</v>
      </c>
      <c r="P3187" s="17">
        <v>45522.0</v>
      </c>
      <c r="Q3187" s="18">
        <v>1.8</v>
      </c>
      <c r="R3187" s="15" t="s">
        <v>25</v>
      </c>
      <c r="S3187" s="19">
        <f t="shared" si="1"/>
        <v>-0.3</v>
      </c>
      <c r="T3187" s="19">
        <f t="shared" si="8"/>
        <v>107.7827957</v>
      </c>
      <c r="U3187" s="144"/>
    </row>
    <row r="3188">
      <c r="A3188" s="107"/>
      <c r="B3188" s="8" t="s">
        <v>129</v>
      </c>
      <c r="C3188" s="8" t="s">
        <v>19</v>
      </c>
      <c r="D3188" s="8">
        <v>29.0</v>
      </c>
      <c r="E3188" s="8" t="s">
        <v>2292</v>
      </c>
      <c r="F3188" s="8" t="s">
        <v>1473</v>
      </c>
      <c r="G3188" s="8" t="s">
        <v>1474</v>
      </c>
      <c r="H3188" s="8">
        <v>-1.0</v>
      </c>
      <c r="I3188" s="8" t="s">
        <v>448</v>
      </c>
      <c r="J3188" s="8" t="s">
        <v>22</v>
      </c>
      <c r="K3188" s="8" t="s">
        <v>225</v>
      </c>
      <c r="L3188" s="8" t="s">
        <v>24</v>
      </c>
      <c r="M3188" s="9">
        <v>0.25</v>
      </c>
      <c r="N3188" s="9">
        <v>0.25</v>
      </c>
      <c r="O3188" s="9">
        <v>0.25</v>
      </c>
      <c r="P3188" s="10">
        <v>45522.0</v>
      </c>
      <c r="Q3188" s="11">
        <v>1.7</v>
      </c>
      <c r="R3188" s="8" t="s">
        <v>25</v>
      </c>
      <c r="S3188" s="12">
        <f t="shared" si="1"/>
        <v>-0.25</v>
      </c>
      <c r="T3188" s="12">
        <f t="shared" si="8"/>
        <v>107.5327957</v>
      </c>
      <c r="U3188" s="145"/>
    </row>
    <row r="3189">
      <c r="A3189" s="29"/>
      <c r="B3189" s="15" t="s">
        <v>26</v>
      </c>
      <c r="C3189" s="15" t="s">
        <v>19</v>
      </c>
      <c r="D3189" s="15">
        <v>65.0</v>
      </c>
      <c r="E3189" s="15" t="s">
        <v>2293</v>
      </c>
      <c r="F3189" s="15" t="s">
        <v>1479</v>
      </c>
      <c r="G3189" s="15" t="s">
        <v>1480</v>
      </c>
      <c r="H3189" s="15">
        <v>-2.0</v>
      </c>
      <c r="I3189" s="15" t="s">
        <v>99</v>
      </c>
      <c r="J3189" s="15" t="s">
        <v>22</v>
      </c>
      <c r="K3189" s="15" t="s">
        <v>892</v>
      </c>
      <c r="L3189" s="15" t="s">
        <v>24</v>
      </c>
      <c r="M3189" s="16">
        <v>0.0</v>
      </c>
      <c r="N3189" s="16">
        <v>0.5</v>
      </c>
      <c r="O3189" s="16">
        <v>0.5</v>
      </c>
      <c r="P3189" s="17">
        <v>45522.0</v>
      </c>
      <c r="Q3189" s="18">
        <v>1.75</v>
      </c>
      <c r="R3189" s="15" t="s">
        <v>70</v>
      </c>
      <c r="S3189" s="19">
        <f t="shared" si="1"/>
        <v>0</v>
      </c>
      <c r="T3189" s="19">
        <f t="shared" si="8"/>
        <v>107.5327957</v>
      </c>
      <c r="U3189" s="144"/>
    </row>
    <row r="3190">
      <c r="A3190" s="107"/>
      <c r="B3190" s="8" t="s">
        <v>129</v>
      </c>
      <c r="C3190" s="8" t="s">
        <v>19</v>
      </c>
      <c r="D3190" s="8">
        <v>65.0</v>
      </c>
      <c r="E3190" s="8" t="s">
        <v>2294</v>
      </c>
      <c r="F3190" s="8" t="s">
        <v>1473</v>
      </c>
      <c r="G3190" s="8" t="s">
        <v>1477</v>
      </c>
      <c r="H3190" s="8">
        <v>0.0</v>
      </c>
      <c r="I3190" s="8" t="s">
        <v>66</v>
      </c>
      <c r="J3190" s="8" t="s">
        <v>22</v>
      </c>
      <c r="K3190" s="8" t="s">
        <v>894</v>
      </c>
      <c r="L3190" s="8" t="s">
        <v>24</v>
      </c>
      <c r="M3190" s="9">
        <v>-0.25</v>
      </c>
      <c r="N3190" s="9">
        <v>0.25</v>
      </c>
      <c r="O3190" s="9">
        <v>0.05</v>
      </c>
      <c r="P3190" s="10">
        <v>45522.0</v>
      </c>
      <c r="Q3190" s="11">
        <v>2.025</v>
      </c>
      <c r="R3190" s="8" t="s">
        <v>33</v>
      </c>
      <c r="S3190" s="12">
        <f t="shared" si="1"/>
        <v>0.05125</v>
      </c>
      <c r="T3190" s="12">
        <f t="shared" si="8"/>
        <v>107.5840457</v>
      </c>
      <c r="U3190" s="145"/>
    </row>
    <row r="3191">
      <c r="A3191" s="29"/>
      <c r="B3191" s="15" t="s">
        <v>26</v>
      </c>
      <c r="C3191" s="15" t="s">
        <v>19</v>
      </c>
      <c r="D3191" s="15">
        <v>20.0</v>
      </c>
      <c r="E3191" s="15" t="s">
        <v>2295</v>
      </c>
      <c r="F3191" s="15" t="s">
        <v>1479</v>
      </c>
      <c r="G3191" s="15" t="s">
        <v>1480</v>
      </c>
      <c r="H3191" s="15">
        <v>-3.0</v>
      </c>
      <c r="I3191" s="15" t="s">
        <v>66</v>
      </c>
      <c r="J3191" s="15" t="s">
        <v>22</v>
      </c>
      <c r="K3191" s="15" t="s">
        <v>892</v>
      </c>
      <c r="L3191" s="15" t="s">
        <v>24</v>
      </c>
      <c r="M3191" s="16">
        <v>0.0</v>
      </c>
      <c r="N3191" s="16">
        <v>0.5</v>
      </c>
      <c r="O3191" s="16">
        <v>0.5</v>
      </c>
      <c r="P3191" s="17">
        <v>45522.0</v>
      </c>
      <c r="Q3191" s="18">
        <v>2.08</v>
      </c>
      <c r="R3191" s="15" t="s">
        <v>70</v>
      </c>
      <c r="S3191" s="19">
        <f t="shared" si="1"/>
        <v>0</v>
      </c>
      <c r="T3191" s="19">
        <f t="shared" si="8"/>
        <v>107.5840457</v>
      </c>
      <c r="U3191" s="144"/>
    </row>
    <row r="3192">
      <c r="A3192" s="107"/>
      <c r="B3192" s="8" t="s">
        <v>18</v>
      </c>
      <c r="C3192" s="8" t="s">
        <v>19</v>
      </c>
      <c r="D3192" s="8">
        <v>70.0</v>
      </c>
      <c r="E3192" s="8" t="s">
        <v>2296</v>
      </c>
      <c r="F3192" s="8" t="s">
        <v>1479</v>
      </c>
      <c r="G3192" s="8" t="s">
        <v>1480</v>
      </c>
      <c r="H3192" s="8">
        <v>0.0</v>
      </c>
      <c r="I3192" s="8" t="s">
        <v>99</v>
      </c>
      <c r="J3192" s="8" t="s">
        <v>22</v>
      </c>
      <c r="K3192" s="8" t="s">
        <v>892</v>
      </c>
      <c r="L3192" s="8" t="s">
        <v>24</v>
      </c>
      <c r="M3192" s="9">
        <v>0.0</v>
      </c>
      <c r="N3192" s="9">
        <v>0.5</v>
      </c>
      <c r="O3192" s="9">
        <v>0.5</v>
      </c>
      <c r="P3192" s="10">
        <v>45522.0</v>
      </c>
      <c r="Q3192" s="11">
        <v>1.775</v>
      </c>
      <c r="R3192" s="8" t="s">
        <v>25</v>
      </c>
      <c r="S3192" s="12">
        <f t="shared" si="1"/>
        <v>-0.5</v>
      </c>
      <c r="T3192" s="12">
        <f t="shared" si="8"/>
        <v>107.0840457</v>
      </c>
      <c r="U3192" s="145"/>
    </row>
    <row r="3193">
      <c r="A3193" s="29"/>
      <c r="B3193" s="15" t="s">
        <v>26</v>
      </c>
      <c r="C3193" s="15" t="s">
        <v>19</v>
      </c>
      <c r="D3193" s="15">
        <v>25.0</v>
      </c>
      <c r="E3193" s="15" t="s">
        <v>2297</v>
      </c>
      <c r="F3193" s="15" t="s">
        <v>1473</v>
      </c>
      <c r="G3193" s="15" t="s">
        <v>1480</v>
      </c>
      <c r="H3193" s="15">
        <v>0.0</v>
      </c>
      <c r="I3193" s="15" t="s">
        <v>84</v>
      </c>
      <c r="J3193" s="15" t="s">
        <v>22</v>
      </c>
      <c r="K3193" s="15" t="s">
        <v>1150</v>
      </c>
      <c r="L3193" s="15" t="s">
        <v>24</v>
      </c>
      <c r="M3193" s="16">
        <v>0.0</v>
      </c>
      <c r="N3193" s="16">
        <v>0.6</v>
      </c>
      <c r="O3193" s="16">
        <v>0.6</v>
      </c>
      <c r="P3193" s="17">
        <v>45523.0</v>
      </c>
      <c r="Q3193" s="18">
        <v>1.7</v>
      </c>
      <c r="R3193" s="15" t="s">
        <v>70</v>
      </c>
      <c r="S3193" s="19">
        <f t="shared" si="1"/>
        <v>0</v>
      </c>
      <c r="T3193" s="19">
        <f t="shared" si="8"/>
        <v>107.0840457</v>
      </c>
      <c r="U3193" s="144"/>
    </row>
    <row r="3194">
      <c r="A3194" s="107"/>
      <c r="B3194" s="8" t="s">
        <v>26</v>
      </c>
      <c r="C3194" s="8" t="s">
        <v>19</v>
      </c>
      <c r="D3194" s="8">
        <v>26.0</v>
      </c>
      <c r="E3194" s="8" t="s">
        <v>2298</v>
      </c>
      <c r="F3194" s="8" t="s">
        <v>1473</v>
      </c>
      <c r="G3194" s="8" t="s">
        <v>1480</v>
      </c>
      <c r="H3194" s="8">
        <v>0.0</v>
      </c>
      <c r="I3194" s="8" t="s">
        <v>84</v>
      </c>
      <c r="J3194" s="8" t="s">
        <v>22</v>
      </c>
      <c r="K3194" s="8" t="s">
        <v>892</v>
      </c>
      <c r="L3194" s="8" t="s">
        <v>24</v>
      </c>
      <c r="M3194" s="9">
        <v>0.0</v>
      </c>
      <c r="N3194" s="9">
        <v>1.0</v>
      </c>
      <c r="O3194" s="9">
        <v>1.0</v>
      </c>
      <c r="P3194" s="10">
        <v>45523.0</v>
      </c>
      <c r="Q3194" s="11">
        <v>1.675</v>
      </c>
      <c r="R3194" s="8" t="s">
        <v>70</v>
      </c>
      <c r="S3194" s="12">
        <f t="shared" si="1"/>
        <v>0</v>
      </c>
      <c r="T3194" s="12">
        <f t="shared" si="8"/>
        <v>107.0840457</v>
      </c>
      <c r="U3194" s="145"/>
    </row>
    <row r="3195">
      <c r="A3195" s="29"/>
      <c r="B3195" s="15" t="s">
        <v>26</v>
      </c>
      <c r="C3195" s="15" t="s">
        <v>19</v>
      </c>
      <c r="D3195" s="15">
        <v>70.0</v>
      </c>
      <c r="E3195" s="15" t="s">
        <v>2299</v>
      </c>
      <c r="F3195" s="15" t="s">
        <v>1473</v>
      </c>
      <c r="G3195" s="15" t="s">
        <v>1474</v>
      </c>
      <c r="H3195" s="15">
        <v>0.0</v>
      </c>
      <c r="I3195" s="15" t="s">
        <v>82</v>
      </c>
      <c r="J3195" s="15" t="s">
        <v>22</v>
      </c>
      <c r="K3195" s="15" t="s">
        <v>225</v>
      </c>
      <c r="L3195" s="15" t="s">
        <v>1522</v>
      </c>
      <c r="M3195" s="16">
        <v>1.25</v>
      </c>
      <c r="N3195" s="16">
        <v>0.1</v>
      </c>
      <c r="O3195" s="16">
        <v>0.1</v>
      </c>
      <c r="P3195" s="17">
        <v>45525.0</v>
      </c>
      <c r="Q3195" s="18">
        <v>1.33</v>
      </c>
      <c r="R3195" s="15" t="s">
        <v>33</v>
      </c>
      <c r="S3195" s="19">
        <f t="shared" si="1"/>
        <v>0.033</v>
      </c>
      <c r="T3195" s="19">
        <f t="shared" si="8"/>
        <v>107.1170457</v>
      </c>
      <c r="U3195" s="144"/>
    </row>
    <row r="3196">
      <c r="A3196" s="107"/>
      <c r="B3196" s="8" t="s">
        <v>26</v>
      </c>
      <c r="C3196" s="8" t="s">
        <v>19</v>
      </c>
      <c r="D3196" s="8">
        <v>80.0</v>
      </c>
      <c r="E3196" s="8" t="s">
        <v>2300</v>
      </c>
      <c r="F3196" s="8" t="s">
        <v>1479</v>
      </c>
      <c r="G3196" s="8" t="s">
        <v>1477</v>
      </c>
      <c r="H3196" s="8">
        <v>0.0</v>
      </c>
      <c r="I3196" s="8" t="s">
        <v>448</v>
      </c>
      <c r="J3196" s="8" t="s">
        <v>22</v>
      </c>
      <c r="K3196" s="8" t="s">
        <v>894</v>
      </c>
      <c r="L3196" s="8" t="s">
        <v>24</v>
      </c>
      <c r="M3196" s="9">
        <v>-0.25</v>
      </c>
      <c r="N3196" s="9">
        <v>0.25</v>
      </c>
      <c r="O3196" s="9">
        <v>0.25</v>
      </c>
      <c r="P3196" s="10">
        <v>45525.0</v>
      </c>
      <c r="Q3196" s="11">
        <v>1.975</v>
      </c>
      <c r="R3196" s="8" t="s">
        <v>33</v>
      </c>
      <c r="S3196" s="12">
        <f t="shared" si="1"/>
        <v>0.24375</v>
      </c>
      <c r="T3196" s="12">
        <f t="shared" si="8"/>
        <v>107.3607957</v>
      </c>
      <c r="U3196" s="145"/>
    </row>
    <row r="3197">
      <c r="A3197" s="29"/>
      <c r="B3197" s="15" t="s">
        <v>129</v>
      </c>
      <c r="C3197" s="15" t="s">
        <v>19</v>
      </c>
      <c r="D3197" s="15">
        <v>80.0</v>
      </c>
      <c r="E3197" s="15" t="s">
        <v>2301</v>
      </c>
      <c r="F3197" s="15" t="s">
        <v>1473</v>
      </c>
      <c r="G3197" s="15" t="s">
        <v>1480</v>
      </c>
      <c r="H3197" s="15">
        <v>1.0</v>
      </c>
      <c r="I3197" s="15" t="s">
        <v>432</v>
      </c>
      <c r="J3197" s="15" t="s">
        <v>22</v>
      </c>
      <c r="K3197" s="15" t="s">
        <v>892</v>
      </c>
      <c r="L3197" s="15" t="s">
        <v>24</v>
      </c>
      <c r="M3197" s="16">
        <v>0.0</v>
      </c>
      <c r="N3197" s="16">
        <v>0.25</v>
      </c>
      <c r="O3197" s="16">
        <v>0.14</v>
      </c>
      <c r="P3197" s="17">
        <v>45525.0</v>
      </c>
      <c r="Q3197" s="18">
        <v>2.08</v>
      </c>
      <c r="R3197" s="15" t="s">
        <v>70</v>
      </c>
      <c r="S3197" s="19">
        <f t="shared" si="1"/>
        <v>0</v>
      </c>
      <c r="T3197" s="19">
        <f t="shared" si="8"/>
        <v>107.3607957</v>
      </c>
      <c r="U3197" s="144"/>
    </row>
    <row r="3198">
      <c r="A3198" s="107"/>
      <c r="B3198" s="8" t="s">
        <v>129</v>
      </c>
      <c r="C3198" s="8" t="s">
        <v>19</v>
      </c>
      <c r="D3198" s="8">
        <v>70.0</v>
      </c>
      <c r="E3198" s="8" t="s">
        <v>2302</v>
      </c>
      <c r="F3198" s="8" t="s">
        <v>1479</v>
      </c>
      <c r="G3198" s="8" t="s">
        <v>1474</v>
      </c>
      <c r="H3198" s="8">
        <v>0.0</v>
      </c>
      <c r="I3198" s="8" t="s">
        <v>224</v>
      </c>
      <c r="J3198" s="8" t="s">
        <v>22</v>
      </c>
      <c r="K3198" s="8" t="s">
        <v>225</v>
      </c>
      <c r="L3198" s="8" t="s">
        <v>24</v>
      </c>
      <c r="M3198" s="9">
        <v>0.25</v>
      </c>
      <c r="N3198" s="9">
        <v>0.25</v>
      </c>
      <c r="O3198" s="9">
        <v>0.25</v>
      </c>
      <c r="P3198" s="10">
        <v>45525.0</v>
      </c>
      <c r="Q3198" s="11">
        <v>1.7</v>
      </c>
      <c r="R3198" s="8" t="s">
        <v>30</v>
      </c>
      <c r="S3198" s="12">
        <f t="shared" si="1"/>
        <v>0.0875</v>
      </c>
      <c r="T3198" s="12">
        <f t="shared" si="8"/>
        <v>107.4482957</v>
      </c>
      <c r="U3198" s="145"/>
    </row>
    <row r="3199">
      <c r="A3199" s="29"/>
      <c r="B3199" s="15" t="s">
        <v>129</v>
      </c>
      <c r="C3199" s="15" t="s">
        <v>40</v>
      </c>
      <c r="D3199" s="15">
        <v>70.0</v>
      </c>
      <c r="E3199" s="15" t="s">
        <v>2303</v>
      </c>
      <c r="F3199" s="15" t="s">
        <v>1479</v>
      </c>
      <c r="G3199" s="15" t="s">
        <v>1480</v>
      </c>
      <c r="H3199" s="15">
        <v>0.0</v>
      </c>
      <c r="I3199" s="15" t="s">
        <v>224</v>
      </c>
      <c r="J3199" s="15" t="s">
        <v>22</v>
      </c>
      <c r="K3199" s="15" t="s">
        <v>941</v>
      </c>
      <c r="L3199" s="15" t="s">
        <v>24</v>
      </c>
      <c r="M3199" s="16">
        <v>0.0</v>
      </c>
      <c r="N3199" s="16">
        <v>0.2</v>
      </c>
      <c r="O3199" s="16">
        <v>0.05</v>
      </c>
      <c r="P3199" s="17">
        <v>45525.0</v>
      </c>
      <c r="Q3199" s="18">
        <v>4.0</v>
      </c>
      <c r="R3199" s="15" t="s">
        <v>70</v>
      </c>
      <c r="S3199" s="19">
        <f t="shared" si="1"/>
        <v>0</v>
      </c>
      <c r="T3199" s="19">
        <f t="shared" si="8"/>
        <v>107.4482957</v>
      </c>
      <c r="U3199" s="144"/>
    </row>
    <row r="3200">
      <c r="A3200" s="107"/>
      <c r="B3200" s="8" t="s">
        <v>26</v>
      </c>
      <c r="C3200" s="8" t="s">
        <v>40</v>
      </c>
      <c r="D3200" s="8">
        <v>85.0</v>
      </c>
      <c r="E3200" s="8" t="s">
        <v>2304</v>
      </c>
      <c r="F3200" s="8" t="s">
        <v>1479</v>
      </c>
      <c r="G3200" s="8" t="s">
        <v>1477</v>
      </c>
      <c r="H3200" s="8">
        <v>0.0</v>
      </c>
      <c r="I3200" s="8" t="s">
        <v>82</v>
      </c>
      <c r="J3200" s="8" t="s">
        <v>22</v>
      </c>
      <c r="K3200" s="8" t="s">
        <v>894</v>
      </c>
      <c r="L3200" s="8" t="s">
        <v>39</v>
      </c>
      <c r="M3200" s="9">
        <v>-1.0</v>
      </c>
      <c r="N3200" s="9">
        <v>0.25</v>
      </c>
      <c r="O3200" s="9">
        <v>0.25</v>
      </c>
      <c r="P3200" s="10">
        <v>45525.0</v>
      </c>
      <c r="Q3200" s="11">
        <v>1.7</v>
      </c>
      <c r="R3200" s="8" t="s">
        <v>33</v>
      </c>
      <c r="S3200" s="12">
        <f t="shared" si="1"/>
        <v>0.175</v>
      </c>
      <c r="T3200" s="12">
        <f t="shared" si="8"/>
        <v>107.6232957</v>
      </c>
      <c r="U3200" s="145"/>
    </row>
    <row r="3201">
      <c r="A3201" s="29"/>
      <c r="B3201" s="15" t="s">
        <v>26</v>
      </c>
      <c r="C3201" s="15" t="s">
        <v>19</v>
      </c>
      <c r="D3201" s="15">
        <v>70.0</v>
      </c>
      <c r="E3201" s="15" t="s">
        <v>2305</v>
      </c>
      <c r="F3201" s="15"/>
      <c r="G3201" s="15"/>
      <c r="H3201" s="15"/>
      <c r="I3201" s="15" t="s">
        <v>1470</v>
      </c>
      <c r="J3201" s="15" t="s">
        <v>22</v>
      </c>
      <c r="K3201" s="15" t="s">
        <v>29</v>
      </c>
      <c r="L3201" s="15" t="s">
        <v>24</v>
      </c>
      <c r="M3201" s="16">
        <v>-2.25</v>
      </c>
      <c r="N3201" s="16">
        <v>0.5</v>
      </c>
      <c r="O3201" s="16">
        <v>0.5</v>
      </c>
      <c r="P3201" s="17">
        <v>45526.0</v>
      </c>
      <c r="Q3201" s="18">
        <v>1.53484</v>
      </c>
      <c r="R3201" s="15" t="s">
        <v>30</v>
      </c>
      <c r="S3201" s="19">
        <f t="shared" si="1"/>
        <v>0.13371</v>
      </c>
      <c r="T3201" s="19">
        <f t="shared" si="8"/>
        <v>107.7570057</v>
      </c>
      <c r="U3201" s="144"/>
    </row>
    <row r="3202">
      <c r="A3202" s="107"/>
      <c r="B3202" s="8" t="s">
        <v>26</v>
      </c>
      <c r="C3202" s="8" t="s">
        <v>19</v>
      </c>
      <c r="D3202" s="8">
        <v>70.0</v>
      </c>
      <c r="E3202" s="8" t="s">
        <v>2306</v>
      </c>
      <c r="F3202" s="8" t="s">
        <v>1479</v>
      </c>
      <c r="G3202" s="8" t="s">
        <v>1480</v>
      </c>
      <c r="H3202" s="8">
        <v>0.0</v>
      </c>
      <c r="I3202" s="8" t="s">
        <v>231</v>
      </c>
      <c r="J3202" s="8" t="s">
        <v>22</v>
      </c>
      <c r="K3202" s="8" t="s">
        <v>892</v>
      </c>
      <c r="L3202" s="8" t="s">
        <v>24</v>
      </c>
      <c r="M3202" s="9">
        <v>0.0</v>
      </c>
      <c r="N3202" s="9">
        <v>0.5</v>
      </c>
      <c r="O3202" s="9">
        <v>0.5</v>
      </c>
      <c r="P3202" s="10">
        <v>45526.0</v>
      </c>
      <c r="Q3202" s="11">
        <v>1.294</v>
      </c>
      <c r="R3202" s="8" t="s">
        <v>33</v>
      </c>
      <c r="S3202" s="12">
        <f t="shared" si="1"/>
        <v>0.147</v>
      </c>
      <c r="T3202" s="12">
        <f t="shared" si="8"/>
        <v>107.9040057</v>
      </c>
      <c r="U3202" s="145"/>
    </row>
    <row r="3203">
      <c r="A3203" s="29"/>
      <c r="B3203" s="15" t="s">
        <v>18</v>
      </c>
      <c r="C3203" s="15" t="s">
        <v>19</v>
      </c>
      <c r="D3203" s="15">
        <v>30.0</v>
      </c>
      <c r="E3203" s="15" t="s">
        <v>2307</v>
      </c>
      <c r="F3203" s="15" t="s">
        <v>1479</v>
      </c>
      <c r="G3203" s="15" t="s">
        <v>1480</v>
      </c>
      <c r="H3203" s="15">
        <v>1.0</v>
      </c>
      <c r="I3203" s="15" t="s">
        <v>683</v>
      </c>
      <c r="J3203" s="15" t="s">
        <v>22</v>
      </c>
      <c r="K3203" s="15" t="s">
        <v>892</v>
      </c>
      <c r="L3203" s="15" t="s">
        <v>24</v>
      </c>
      <c r="M3203" s="16">
        <v>0.0</v>
      </c>
      <c r="N3203" s="16">
        <v>1.0</v>
      </c>
      <c r="O3203" s="16">
        <v>0.09</v>
      </c>
      <c r="P3203" s="55">
        <v>45526.0</v>
      </c>
      <c r="Q3203" s="18">
        <v>1.775</v>
      </c>
      <c r="R3203" s="15" t="s">
        <v>25</v>
      </c>
      <c r="S3203" s="19">
        <f t="shared" si="1"/>
        <v>-0.09</v>
      </c>
      <c r="T3203" s="19">
        <f t="shared" si="8"/>
        <v>107.8140057</v>
      </c>
      <c r="U3203" s="144"/>
    </row>
    <row r="3204">
      <c r="A3204" s="107"/>
      <c r="B3204" s="8" t="s">
        <v>26</v>
      </c>
      <c r="C3204" s="8" t="s">
        <v>19</v>
      </c>
      <c r="D3204" s="8">
        <v>91.0</v>
      </c>
      <c r="E3204" s="8" t="s">
        <v>2308</v>
      </c>
      <c r="F3204" s="8" t="s">
        <v>1479</v>
      </c>
      <c r="G3204" s="8" t="s">
        <v>1480</v>
      </c>
      <c r="H3204" s="8">
        <v>-1.0</v>
      </c>
      <c r="I3204" s="8" t="s">
        <v>635</v>
      </c>
      <c r="J3204" s="8" t="s">
        <v>22</v>
      </c>
      <c r="K3204" s="8" t="s">
        <v>892</v>
      </c>
      <c r="L3204" s="8" t="s">
        <v>24</v>
      </c>
      <c r="M3204" s="9">
        <v>0.0</v>
      </c>
      <c r="N3204" s="9">
        <v>1.0</v>
      </c>
      <c r="O3204" s="9">
        <v>1.0</v>
      </c>
      <c r="P3204" s="10">
        <v>45526.0</v>
      </c>
      <c r="Q3204" s="11">
        <v>1.725</v>
      </c>
      <c r="R3204" s="8" t="s">
        <v>70</v>
      </c>
      <c r="S3204" s="12">
        <f t="shared" si="1"/>
        <v>0</v>
      </c>
      <c r="T3204" s="12">
        <f t="shared" si="8"/>
        <v>107.8140057</v>
      </c>
      <c r="U3204" s="145"/>
    </row>
    <row r="3205">
      <c r="A3205" s="29"/>
      <c r="B3205" s="15" t="s">
        <v>129</v>
      </c>
      <c r="C3205" s="15" t="s">
        <v>19</v>
      </c>
      <c r="D3205" s="15">
        <v>85.0</v>
      </c>
      <c r="E3205" s="15" t="s">
        <v>2309</v>
      </c>
      <c r="F3205" s="15" t="s">
        <v>1479</v>
      </c>
      <c r="G3205" s="15" t="s">
        <v>1474</v>
      </c>
      <c r="H3205" s="15">
        <v>2.0</v>
      </c>
      <c r="I3205" s="15" t="s">
        <v>463</v>
      </c>
      <c r="J3205" s="15" t="s">
        <v>22</v>
      </c>
      <c r="K3205" s="15" t="s">
        <v>225</v>
      </c>
      <c r="L3205" s="15" t="s">
        <v>24</v>
      </c>
      <c r="M3205" s="16">
        <v>0.5</v>
      </c>
      <c r="N3205" s="16">
        <v>0.5</v>
      </c>
      <c r="O3205" s="16">
        <v>0.32</v>
      </c>
      <c r="P3205" s="17">
        <v>45526.0</v>
      </c>
      <c r="Q3205" s="18">
        <v>1.75</v>
      </c>
      <c r="R3205" s="15" t="s">
        <v>25</v>
      </c>
      <c r="S3205" s="19">
        <f t="shared" si="1"/>
        <v>-0.32</v>
      </c>
      <c r="T3205" s="19">
        <f t="shared" si="8"/>
        <v>107.4940057</v>
      </c>
      <c r="U3205" s="144"/>
    </row>
    <row r="3206">
      <c r="A3206" s="107"/>
      <c r="B3206" s="8" t="s">
        <v>26</v>
      </c>
      <c r="C3206" s="8" t="s">
        <v>19</v>
      </c>
      <c r="D3206" s="8">
        <v>83.0</v>
      </c>
      <c r="E3206" s="8" t="s">
        <v>2310</v>
      </c>
      <c r="F3206" s="8"/>
      <c r="G3206" s="8"/>
      <c r="H3206" s="8"/>
      <c r="I3206" s="8" t="s">
        <v>463</v>
      </c>
      <c r="J3206" s="8" t="s">
        <v>22</v>
      </c>
      <c r="K3206" s="8" t="s">
        <v>29</v>
      </c>
      <c r="L3206" s="8" t="s">
        <v>24</v>
      </c>
      <c r="M3206" s="9">
        <v>-4.75</v>
      </c>
      <c r="N3206" s="9">
        <v>0.25</v>
      </c>
      <c r="O3206" s="9">
        <v>0.06</v>
      </c>
      <c r="P3206" s="10">
        <v>45526.0</v>
      </c>
      <c r="Q3206" s="11">
        <v>2.08</v>
      </c>
      <c r="R3206" s="8" t="s">
        <v>79</v>
      </c>
      <c r="S3206" s="12">
        <f t="shared" si="1"/>
        <v>-0.03</v>
      </c>
      <c r="T3206" s="12">
        <f t="shared" si="8"/>
        <v>107.4640057</v>
      </c>
      <c r="U3206" s="145"/>
    </row>
    <row r="3207">
      <c r="A3207" s="29"/>
      <c r="B3207" s="15" t="s">
        <v>26</v>
      </c>
      <c r="C3207" s="15" t="s">
        <v>19</v>
      </c>
      <c r="D3207" s="15">
        <v>86.0</v>
      </c>
      <c r="E3207" s="15" t="s">
        <v>2311</v>
      </c>
      <c r="F3207" s="15"/>
      <c r="G3207" s="15"/>
      <c r="H3207" s="15"/>
      <c r="I3207" s="15" t="s">
        <v>463</v>
      </c>
      <c r="J3207" s="15" t="s">
        <v>22</v>
      </c>
      <c r="K3207" s="15" t="s">
        <v>29</v>
      </c>
      <c r="L3207" s="15" t="s">
        <v>24</v>
      </c>
      <c r="M3207" s="16">
        <v>-5.5</v>
      </c>
      <c r="N3207" s="16">
        <v>0.25</v>
      </c>
      <c r="O3207" s="16">
        <v>0.25</v>
      </c>
      <c r="P3207" s="17">
        <v>45526.0</v>
      </c>
      <c r="Q3207" s="18">
        <f>200/150</f>
        <v>1.333333333</v>
      </c>
      <c r="R3207" s="15" t="s">
        <v>33</v>
      </c>
      <c r="S3207" s="19">
        <f t="shared" si="1"/>
        <v>0.08333333333</v>
      </c>
      <c r="T3207" s="19">
        <f t="shared" si="8"/>
        <v>107.547339</v>
      </c>
      <c r="U3207" s="144"/>
    </row>
    <row r="3208">
      <c r="A3208" s="107"/>
      <c r="B3208" s="8" t="s">
        <v>26</v>
      </c>
      <c r="C3208" s="8" t="s">
        <v>19</v>
      </c>
      <c r="D3208" s="8"/>
      <c r="E3208" s="8" t="s">
        <v>2312</v>
      </c>
      <c r="F3208" s="8" t="s">
        <v>1479</v>
      </c>
      <c r="G3208" s="8" t="s">
        <v>1480</v>
      </c>
      <c r="H3208" s="8">
        <v>0.0</v>
      </c>
      <c r="I3208" s="8" t="s">
        <v>44</v>
      </c>
      <c r="J3208" s="8" t="s">
        <v>22</v>
      </c>
      <c r="K3208" s="8" t="s">
        <v>892</v>
      </c>
      <c r="L3208" s="8" t="s">
        <v>1851</v>
      </c>
      <c r="M3208" s="9">
        <v>0.0</v>
      </c>
      <c r="N3208" s="9">
        <v>0.1</v>
      </c>
      <c r="O3208" s="9">
        <v>0.09</v>
      </c>
      <c r="P3208" s="10">
        <v>45527.0</v>
      </c>
      <c r="Q3208" s="11">
        <v>1.6</v>
      </c>
      <c r="R3208" s="8" t="s">
        <v>33</v>
      </c>
      <c r="S3208" s="12">
        <f t="shared" si="1"/>
        <v>0.054</v>
      </c>
      <c r="T3208" s="12">
        <f t="shared" si="8"/>
        <v>107.601339</v>
      </c>
      <c r="U3208" s="145"/>
    </row>
    <row r="3209">
      <c r="A3209" s="29"/>
      <c r="B3209" s="15" t="s">
        <v>26</v>
      </c>
      <c r="C3209" s="15" t="s">
        <v>19</v>
      </c>
      <c r="D3209" s="15"/>
      <c r="E3209" s="15" t="s">
        <v>2313</v>
      </c>
      <c r="F3209" s="15" t="s">
        <v>1479</v>
      </c>
      <c r="G3209" s="15" t="s">
        <v>1480</v>
      </c>
      <c r="H3209" s="15">
        <v>0.0</v>
      </c>
      <c r="I3209" s="15" t="s">
        <v>513</v>
      </c>
      <c r="J3209" s="15" t="s">
        <v>22</v>
      </c>
      <c r="K3209" s="15" t="s">
        <v>892</v>
      </c>
      <c r="L3209" s="15" t="s">
        <v>1851</v>
      </c>
      <c r="M3209" s="16">
        <v>0.0</v>
      </c>
      <c r="N3209" s="16">
        <v>0.1</v>
      </c>
      <c r="O3209" s="16">
        <v>0.1</v>
      </c>
      <c r="P3209" s="17">
        <v>45527.0</v>
      </c>
      <c r="Q3209" s="18">
        <v>1.58</v>
      </c>
      <c r="R3209" s="15" t="s">
        <v>33</v>
      </c>
      <c r="S3209" s="19">
        <f t="shared" si="1"/>
        <v>0.058</v>
      </c>
      <c r="T3209" s="19">
        <f t="shared" si="8"/>
        <v>107.659339</v>
      </c>
      <c r="U3209" s="144"/>
    </row>
    <row r="3210">
      <c r="A3210" s="107"/>
      <c r="B3210" s="8" t="s">
        <v>18</v>
      </c>
      <c r="C3210" s="8" t="s">
        <v>19</v>
      </c>
      <c r="D3210" s="8"/>
      <c r="E3210" s="8" t="s">
        <v>2314</v>
      </c>
      <c r="F3210" s="8" t="s">
        <v>1479</v>
      </c>
      <c r="G3210" s="8" t="s">
        <v>1477</v>
      </c>
      <c r="H3210" s="8">
        <v>0.0</v>
      </c>
      <c r="I3210" s="8" t="s">
        <v>231</v>
      </c>
      <c r="J3210" s="8" t="s">
        <v>22</v>
      </c>
      <c r="K3210" s="8" t="s">
        <v>894</v>
      </c>
      <c r="L3210" s="8" t="s">
        <v>24</v>
      </c>
      <c r="M3210" s="9">
        <v>-0.5</v>
      </c>
      <c r="N3210" s="9">
        <v>0.5</v>
      </c>
      <c r="O3210" s="9">
        <v>0.5</v>
      </c>
      <c r="P3210" s="10">
        <v>45527.0</v>
      </c>
      <c r="Q3210" s="11">
        <v>1.9</v>
      </c>
      <c r="R3210" s="8" t="s">
        <v>25</v>
      </c>
      <c r="S3210" s="12">
        <f t="shared" si="1"/>
        <v>-0.5</v>
      </c>
      <c r="T3210" s="12">
        <f t="shared" si="8"/>
        <v>107.159339</v>
      </c>
      <c r="U3210" s="145"/>
    </row>
    <row r="3211">
      <c r="A3211" s="29"/>
      <c r="B3211" s="15" t="s">
        <v>18</v>
      </c>
      <c r="C3211" s="15" t="s">
        <v>19</v>
      </c>
      <c r="D3211" s="15"/>
      <c r="E3211" s="15" t="s">
        <v>2315</v>
      </c>
      <c r="F3211" s="15" t="s">
        <v>1473</v>
      </c>
      <c r="G3211" s="15" t="s">
        <v>1480</v>
      </c>
      <c r="H3211" s="15">
        <v>0.0</v>
      </c>
      <c r="I3211" s="15" t="s">
        <v>316</v>
      </c>
      <c r="J3211" s="15" t="s">
        <v>22</v>
      </c>
      <c r="K3211" s="15" t="s">
        <v>941</v>
      </c>
      <c r="L3211" s="15" t="s">
        <v>24</v>
      </c>
      <c r="M3211" s="16">
        <v>0.0</v>
      </c>
      <c r="N3211" s="16">
        <v>0.5</v>
      </c>
      <c r="O3211" s="16">
        <v>0.5</v>
      </c>
      <c r="P3211" s="17">
        <v>45527.0</v>
      </c>
      <c r="Q3211" s="18">
        <v>1.725</v>
      </c>
      <c r="R3211" s="15" t="s">
        <v>70</v>
      </c>
      <c r="S3211" s="19">
        <f t="shared" si="1"/>
        <v>0</v>
      </c>
      <c r="T3211" s="19">
        <f t="shared" si="8"/>
        <v>107.159339</v>
      </c>
      <c r="U3211" s="144"/>
    </row>
    <row r="3212">
      <c r="A3212" s="107"/>
      <c r="B3212" s="8" t="s">
        <v>18</v>
      </c>
      <c r="C3212" s="8" t="s">
        <v>19</v>
      </c>
      <c r="D3212" s="8"/>
      <c r="E3212" s="8" t="s">
        <v>2316</v>
      </c>
      <c r="F3212" s="8" t="s">
        <v>1473</v>
      </c>
      <c r="G3212" s="8" t="s">
        <v>1480</v>
      </c>
      <c r="H3212" s="8">
        <v>0.0</v>
      </c>
      <c r="I3212" s="8" t="s">
        <v>44</v>
      </c>
      <c r="J3212" s="8" t="s">
        <v>22</v>
      </c>
      <c r="K3212" s="8" t="s">
        <v>892</v>
      </c>
      <c r="L3212" s="8" t="s">
        <v>24</v>
      </c>
      <c r="M3212" s="9">
        <v>0.0</v>
      </c>
      <c r="N3212" s="9">
        <v>0.25</v>
      </c>
      <c r="O3212" s="9">
        <v>0.25</v>
      </c>
      <c r="P3212" s="10">
        <v>45527.0</v>
      </c>
      <c r="Q3212" s="11">
        <v>2.25</v>
      </c>
      <c r="R3212" s="8" t="s">
        <v>70</v>
      </c>
      <c r="S3212" s="12">
        <f t="shared" si="1"/>
        <v>0</v>
      </c>
      <c r="T3212" s="12">
        <f t="shared" si="8"/>
        <v>107.159339</v>
      </c>
      <c r="U3212" s="145"/>
    </row>
    <row r="3213">
      <c r="A3213" s="29"/>
      <c r="B3213" s="15" t="s">
        <v>18</v>
      </c>
      <c r="C3213" s="15" t="s">
        <v>19</v>
      </c>
      <c r="D3213" s="15"/>
      <c r="E3213" s="15" t="s">
        <v>2317</v>
      </c>
      <c r="F3213" s="15" t="s">
        <v>1473</v>
      </c>
      <c r="G3213" s="15" t="s">
        <v>1474</v>
      </c>
      <c r="H3213" s="15">
        <v>1.0</v>
      </c>
      <c r="I3213" s="15" t="s">
        <v>316</v>
      </c>
      <c r="J3213" s="15" t="s">
        <v>22</v>
      </c>
      <c r="K3213" s="15" t="s">
        <v>225</v>
      </c>
      <c r="L3213" s="15" t="s">
        <v>24</v>
      </c>
      <c r="M3213" s="16">
        <v>0.25</v>
      </c>
      <c r="N3213" s="16">
        <v>0.75</v>
      </c>
      <c r="O3213" s="16">
        <v>0.55</v>
      </c>
      <c r="P3213" s="17">
        <v>45527.0</v>
      </c>
      <c r="Q3213" s="18">
        <v>1.725</v>
      </c>
      <c r="R3213" s="15" t="s">
        <v>70</v>
      </c>
      <c r="S3213" s="19">
        <f t="shared" si="1"/>
        <v>0</v>
      </c>
      <c r="T3213" s="19">
        <f t="shared" si="8"/>
        <v>107.159339</v>
      </c>
      <c r="U3213" s="144"/>
    </row>
    <row r="3214">
      <c r="A3214" s="107"/>
      <c r="B3214" s="8" t="s">
        <v>18</v>
      </c>
      <c r="C3214" s="8" t="s">
        <v>19</v>
      </c>
      <c r="D3214" s="8">
        <v>76.0</v>
      </c>
      <c r="E3214" s="8" t="s">
        <v>2318</v>
      </c>
      <c r="F3214" s="8" t="s">
        <v>1479</v>
      </c>
      <c r="G3214" s="8" t="s">
        <v>1480</v>
      </c>
      <c r="H3214" s="8">
        <v>0.0</v>
      </c>
      <c r="I3214" s="8" t="s">
        <v>316</v>
      </c>
      <c r="J3214" s="8" t="s">
        <v>22</v>
      </c>
      <c r="K3214" s="8" t="s">
        <v>892</v>
      </c>
      <c r="L3214" s="8" t="s">
        <v>24</v>
      </c>
      <c r="M3214" s="9">
        <v>0.0</v>
      </c>
      <c r="N3214" s="9">
        <v>0.5</v>
      </c>
      <c r="O3214" s="9">
        <v>0.5</v>
      </c>
      <c r="P3214" s="10">
        <v>45527.0</v>
      </c>
      <c r="Q3214" s="11">
        <v>1.725</v>
      </c>
      <c r="R3214" s="8" t="s">
        <v>70</v>
      </c>
      <c r="S3214" s="12">
        <f t="shared" si="1"/>
        <v>0</v>
      </c>
      <c r="T3214" s="12">
        <f t="shared" si="8"/>
        <v>107.159339</v>
      </c>
      <c r="U3214" s="145"/>
    </row>
    <row r="3215">
      <c r="A3215" s="29"/>
      <c r="B3215" s="15" t="s">
        <v>18</v>
      </c>
      <c r="C3215" s="15" t="s">
        <v>19</v>
      </c>
      <c r="D3215" s="15">
        <v>70.0</v>
      </c>
      <c r="E3215" s="15" t="s">
        <v>2319</v>
      </c>
      <c r="F3215" s="15" t="s">
        <v>1479</v>
      </c>
      <c r="G3215" s="15" t="s">
        <v>1480</v>
      </c>
      <c r="H3215" s="15">
        <v>0.0</v>
      </c>
      <c r="I3215" s="15" t="s">
        <v>316</v>
      </c>
      <c r="J3215" s="15" t="s">
        <v>22</v>
      </c>
      <c r="K3215" s="15" t="s">
        <v>892</v>
      </c>
      <c r="L3215" s="15" t="s">
        <v>24</v>
      </c>
      <c r="M3215" s="16">
        <v>0.0</v>
      </c>
      <c r="N3215" s="16">
        <v>1.0</v>
      </c>
      <c r="O3215" s="16">
        <v>1.0</v>
      </c>
      <c r="P3215" s="17">
        <v>45527.0</v>
      </c>
      <c r="Q3215" s="18">
        <v>1.975</v>
      </c>
      <c r="R3215" s="15" t="s">
        <v>70</v>
      </c>
      <c r="S3215" s="19">
        <f t="shared" si="1"/>
        <v>0</v>
      </c>
      <c r="T3215" s="19">
        <f t="shared" si="8"/>
        <v>107.159339</v>
      </c>
      <c r="U3215" s="144"/>
    </row>
    <row r="3216">
      <c r="A3216" s="107"/>
      <c r="B3216" s="8" t="s">
        <v>129</v>
      </c>
      <c r="C3216" s="8" t="s">
        <v>19</v>
      </c>
      <c r="D3216" s="8">
        <v>75.0</v>
      </c>
      <c r="E3216" s="8" t="s">
        <v>2320</v>
      </c>
      <c r="F3216" s="8" t="s">
        <v>1479</v>
      </c>
      <c r="G3216" s="8" t="s">
        <v>1480</v>
      </c>
      <c r="H3216" s="8">
        <v>-1.0</v>
      </c>
      <c r="I3216" s="8" t="s">
        <v>316</v>
      </c>
      <c r="J3216" s="8" t="s">
        <v>22</v>
      </c>
      <c r="K3216" s="8" t="s">
        <v>892</v>
      </c>
      <c r="L3216" s="8" t="s">
        <v>24</v>
      </c>
      <c r="M3216" s="9">
        <v>0.0</v>
      </c>
      <c r="N3216" s="9">
        <v>0.25</v>
      </c>
      <c r="O3216" s="9">
        <v>0.2</v>
      </c>
      <c r="P3216" s="54">
        <v>45527.0</v>
      </c>
      <c r="Q3216" s="11">
        <v>1.75</v>
      </c>
      <c r="R3216" s="8" t="s">
        <v>70</v>
      </c>
      <c r="S3216" s="12">
        <f t="shared" si="1"/>
        <v>0</v>
      </c>
      <c r="T3216" s="12">
        <f t="shared" si="8"/>
        <v>107.159339</v>
      </c>
      <c r="U3216" s="145"/>
    </row>
    <row r="3217">
      <c r="A3217" s="29"/>
      <c r="B3217" s="15" t="s">
        <v>18</v>
      </c>
      <c r="C3217" s="15" t="s">
        <v>40</v>
      </c>
      <c r="D3217" s="15">
        <v>35.0</v>
      </c>
      <c r="E3217" s="15" t="s">
        <v>2321</v>
      </c>
      <c r="F3217" s="15" t="s">
        <v>1473</v>
      </c>
      <c r="G3217" s="15" t="s">
        <v>1474</v>
      </c>
      <c r="H3217" s="15">
        <v>0.0</v>
      </c>
      <c r="I3217" s="15" t="s">
        <v>169</v>
      </c>
      <c r="J3217" s="15" t="s">
        <v>22</v>
      </c>
      <c r="K3217" s="15" t="s">
        <v>225</v>
      </c>
      <c r="L3217" s="15" t="s">
        <v>24</v>
      </c>
      <c r="M3217" s="16">
        <v>1.0</v>
      </c>
      <c r="N3217" s="16">
        <v>0.25</v>
      </c>
      <c r="O3217" s="16">
        <v>0.14</v>
      </c>
      <c r="P3217" s="17">
        <v>45527.0</v>
      </c>
      <c r="Q3217" s="18">
        <v>1.8</v>
      </c>
      <c r="R3217" s="15" t="s">
        <v>33</v>
      </c>
      <c r="S3217" s="19">
        <f t="shared" si="1"/>
        <v>0.112</v>
      </c>
      <c r="T3217" s="19">
        <f t="shared" si="8"/>
        <v>107.271339</v>
      </c>
      <c r="U3217" s="144"/>
    </row>
    <row r="3218">
      <c r="A3218" s="107"/>
      <c r="B3218" s="8" t="s">
        <v>18</v>
      </c>
      <c r="C3218" s="8" t="s">
        <v>19</v>
      </c>
      <c r="D3218" s="8">
        <v>28.0</v>
      </c>
      <c r="E3218" s="8" t="s">
        <v>2322</v>
      </c>
      <c r="F3218" s="8" t="s">
        <v>1479</v>
      </c>
      <c r="G3218" s="8" t="s">
        <v>1480</v>
      </c>
      <c r="H3218" s="8">
        <v>0.0</v>
      </c>
      <c r="I3218" s="8" t="s">
        <v>908</v>
      </c>
      <c r="J3218" s="8" t="s">
        <v>22</v>
      </c>
      <c r="K3218" s="8" t="s">
        <v>892</v>
      </c>
      <c r="L3218" s="8" t="s">
        <v>24</v>
      </c>
      <c r="M3218" s="9">
        <v>0.0</v>
      </c>
      <c r="N3218" s="9">
        <v>0.75</v>
      </c>
      <c r="O3218" s="9">
        <v>0.73</v>
      </c>
      <c r="P3218" s="10">
        <v>45528.0</v>
      </c>
      <c r="Q3218" s="11">
        <v>2.0</v>
      </c>
      <c r="R3218" s="8" t="s">
        <v>33</v>
      </c>
      <c r="S3218" s="12">
        <f t="shared" si="1"/>
        <v>0.73</v>
      </c>
      <c r="T3218" s="12">
        <f t="shared" si="8"/>
        <v>108.001339</v>
      </c>
      <c r="U3218" s="145"/>
    </row>
    <row r="3219">
      <c r="A3219" s="29"/>
      <c r="B3219" s="15" t="s">
        <v>18</v>
      </c>
      <c r="C3219" s="15" t="s">
        <v>19</v>
      </c>
      <c r="D3219" s="15">
        <v>33.0</v>
      </c>
      <c r="E3219" s="15" t="s">
        <v>2323</v>
      </c>
      <c r="F3219" s="15" t="s">
        <v>1479</v>
      </c>
      <c r="G3219" s="15" t="s">
        <v>1480</v>
      </c>
      <c r="H3219" s="15">
        <v>0.0</v>
      </c>
      <c r="I3219" s="15" t="s">
        <v>82</v>
      </c>
      <c r="J3219" s="15" t="s">
        <v>22</v>
      </c>
      <c r="K3219" s="15" t="s">
        <v>941</v>
      </c>
      <c r="L3219" s="15" t="s">
        <v>24</v>
      </c>
      <c r="M3219" s="16">
        <v>0.0</v>
      </c>
      <c r="N3219" s="16">
        <v>0.55</v>
      </c>
      <c r="O3219" s="16">
        <f>0.42*0.816</f>
        <v>0.34272</v>
      </c>
      <c r="P3219" s="17">
        <v>45528.0</v>
      </c>
      <c r="Q3219" s="18">
        <v>1.725</v>
      </c>
      <c r="R3219" s="15" t="s">
        <v>25</v>
      </c>
      <c r="S3219" s="19">
        <f t="shared" si="1"/>
        <v>-0.34272</v>
      </c>
      <c r="T3219" s="19">
        <f t="shared" si="8"/>
        <v>107.658619</v>
      </c>
      <c r="U3219" s="144"/>
    </row>
    <row r="3220">
      <c r="A3220" s="107"/>
      <c r="B3220" s="8" t="s">
        <v>26</v>
      </c>
      <c r="C3220" s="8" t="s">
        <v>40</v>
      </c>
      <c r="D3220" s="8">
        <v>73.0</v>
      </c>
      <c r="E3220" s="8" t="s">
        <v>2324</v>
      </c>
      <c r="F3220" s="8" t="s">
        <v>1473</v>
      </c>
      <c r="G3220" s="8" t="s">
        <v>1480</v>
      </c>
      <c r="H3220" s="8">
        <v>1.0</v>
      </c>
      <c r="I3220" s="8" t="s">
        <v>101</v>
      </c>
      <c r="J3220" s="8" t="s">
        <v>22</v>
      </c>
      <c r="K3220" s="8" t="s">
        <v>892</v>
      </c>
      <c r="L3220" s="8" t="s">
        <v>24</v>
      </c>
      <c r="M3220" s="9">
        <v>0.0</v>
      </c>
      <c r="N3220" s="9">
        <v>0.7</v>
      </c>
      <c r="O3220" s="9">
        <v>0.69</v>
      </c>
      <c r="P3220" s="10">
        <v>45528.0</v>
      </c>
      <c r="Q3220" s="11">
        <v>2.02</v>
      </c>
      <c r="R3220" s="8" t="s">
        <v>70</v>
      </c>
      <c r="S3220" s="12">
        <f t="shared" si="1"/>
        <v>0</v>
      </c>
      <c r="T3220" s="12">
        <f t="shared" si="8"/>
        <v>107.658619</v>
      </c>
      <c r="U3220" s="145"/>
    </row>
    <row r="3221">
      <c r="A3221" s="29"/>
      <c r="B3221" s="15" t="s">
        <v>18</v>
      </c>
      <c r="C3221" s="15" t="s">
        <v>19</v>
      </c>
      <c r="D3221" s="15">
        <v>59.0</v>
      </c>
      <c r="E3221" s="15" t="s">
        <v>2325</v>
      </c>
      <c r="F3221" s="15" t="s">
        <v>1479</v>
      </c>
      <c r="G3221" s="15" t="s">
        <v>1474</v>
      </c>
      <c r="H3221" s="15">
        <v>0.0</v>
      </c>
      <c r="I3221" s="15" t="s">
        <v>44</v>
      </c>
      <c r="J3221" s="15" t="s">
        <v>22</v>
      </c>
      <c r="K3221" s="15" t="s">
        <v>225</v>
      </c>
      <c r="L3221" s="15" t="s">
        <v>24</v>
      </c>
      <c r="M3221" s="16">
        <v>0.25</v>
      </c>
      <c r="N3221" s="16">
        <v>0.5</v>
      </c>
      <c r="O3221" s="16">
        <v>0.5</v>
      </c>
      <c r="P3221" s="17">
        <v>45528.0</v>
      </c>
      <c r="Q3221" s="18">
        <v>1.725</v>
      </c>
      <c r="R3221" s="15" t="s">
        <v>25</v>
      </c>
      <c r="S3221" s="19">
        <f t="shared" si="1"/>
        <v>-0.5</v>
      </c>
      <c r="T3221" s="19">
        <f t="shared" si="8"/>
        <v>107.158619</v>
      </c>
      <c r="U3221" s="144"/>
    </row>
    <row r="3222">
      <c r="A3222" s="107"/>
      <c r="B3222" s="8" t="s">
        <v>131</v>
      </c>
      <c r="C3222" s="8" t="s">
        <v>40</v>
      </c>
      <c r="D3222" s="8">
        <v>34.0</v>
      </c>
      <c r="E3222" s="8" t="s">
        <v>2326</v>
      </c>
      <c r="F3222" s="8" t="s">
        <v>1479</v>
      </c>
      <c r="G3222" s="8" t="s">
        <v>1477</v>
      </c>
      <c r="H3222" s="8">
        <v>0.0</v>
      </c>
      <c r="I3222" s="8" t="s">
        <v>463</v>
      </c>
      <c r="J3222" s="8" t="s">
        <v>22</v>
      </c>
      <c r="K3222" s="8" t="s">
        <v>894</v>
      </c>
      <c r="L3222" s="8" t="s">
        <v>24</v>
      </c>
      <c r="M3222" s="9">
        <v>-0.5</v>
      </c>
      <c r="N3222" s="9">
        <v>0.5</v>
      </c>
      <c r="O3222" s="9">
        <v>0.5</v>
      </c>
      <c r="P3222" s="10">
        <v>45528.0</v>
      </c>
      <c r="Q3222" s="11">
        <v>1.81</v>
      </c>
      <c r="R3222" s="8" t="s">
        <v>33</v>
      </c>
      <c r="S3222" s="12">
        <f t="shared" si="1"/>
        <v>0.405</v>
      </c>
      <c r="T3222" s="12">
        <f t="shared" si="8"/>
        <v>107.563619</v>
      </c>
      <c r="U3222" s="145"/>
    </row>
    <row r="3223">
      <c r="A3223" s="29"/>
      <c r="B3223" s="15" t="s">
        <v>131</v>
      </c>
      <c r="C3223" s="15" t="s">
        <v>19</v>
      </c>
      <c r="D3223" s="15">
        <v>81.0</v>
      </c>
      <c r="E3223" s="15" t="s">
        <v>2327</v>
      </c>
      <c r="F3223" s="15" t="s">
        <v>1479</v>
      </c>
      <c r="G3223" s="15" t="s">
        <v>1480</v>
      </c>
      <c r="H3223" s="15">
        <v>0.0</v>
      </c>
      <c r="I3223" s="15" t="s">
        <v>44</v>
      </c>
      <c r="J3223" s="15" t="s">
        <v>22</v>
      </c>
      <c r="K3223" s="15" t="s">
        <v>892</v>
      </c>
      <c r="L3223" s="15" t="s">
        <v>24</v>
      </c>
      <c r="M3223" s="16">
        <v>0.0</v>
      </c>
      <c r="N3223" s="16">
        <v>0.2</v>
      </c>
      <c r="O3223" s="16">
        <v>0.2</v>
      </c>
      <c r="P3223" s="17">
        <v>45528.0</v>
      </c>
      <c r="Q3223" s="18">
        <v>2.25</v>
      </c>
      <c r="R3223" s="15" t="s">
        <v>25</v>
      </c>
      <c r="S3223" s="19">
        <f t="shared" si="1"/>
        <v>-0.2</v>
      </c>
      <c r="T3223" s="19">
        <f t="shared" si="8"/>
        <v>107.363619</v>
      </c>
      <c r="U3223" s="144"/>
    </row>
    <row r="3224">
      <c r="A3224" s="107"/>
      <c r="B3224" s="8" t="s">
        <v>137</v>
      </c>
      <c r="C3224" s="8" t="s">
        <v>19</v>
      </c>
      <c r="D3224" s="8">
        <v>64.0</v>
      </c>
      <c r="E3224" s="8" t="s">
        <v>2328</v>
      </c>
      <c r="F3224" s="8" t="s">
        <v>1473</v>
      </c>
      <c r="G3224" s="8" t="s">
        <v>1480</v>
      </c>
      <c r="H3224" s="8">
        <v>1.0</v>
      </c>
      <c r="I3224" s="8" t="s">
        <v>913</v>
      </c>
      <c r="J3224" s="8" t="s">
        <v>22</v>
      </c>
      <c r="K3224" s="8" t="s">
        <v>892</v>
      </c>
      <c r="L3224" s="8" t="s">
        <v>24</v>
      </c>
      <c r="M3224" s="9">
        <v>0.0</v>
      </c>
      <c r="N3224" s="9">
        <v>1.0</v>
      </c>
      <c r="O3224" s="9">
        <v>0.98</v>
      </c>
      <c r="P3224" s="10">
        <v>45528.0</v>
      </c>
      <c r="Q3224" s="11">
        <v>1.9</v>
      </c>
      <c r="R3224" s="8" t="s">
        <v>70</v>
      </c>
      <c r="S3224" s="12">
        <f t="shared" si="1"/>
        <v>0</v>
      </c>
      <c r="T3224" s="12">
        <f t="shared" si="8"/>
        <v>107.363619</v>
      </c>
      <c r="U3224" s="145"/>
    </row>
    <row r="3225">
      <c r="A3225" s="29"/>
      <c r="B3225" s="15" t="s">
        <v>18</v>
      </c>
      <c r="C3225" s="15" t="s">
        <v>40</v>
      </c>
      <c r="D3225" s="15">
        <v>73.0</v>
      </c>
      <c r="E3225" s="15" t="s">
        <v>2329</v>
      </c>
      <c r="F3225" s="15" t="s">
        <v>1473</v>
      </c>
      <c r="G3225" s="15" t="s">
        <v>1480</v>
      </c>
      <c r="H3225" s="15">
        <v>0.0</v>
      </c>
      <c r="I3225" s="15" t="s">
        <v>683</v>
      </c>
      <c r="J3225" s="15" t="s">
        <v>22</v>
      </c>
      <c r="K3225" s="15" t="s">
        <v>892</v>
      </c>
      <c r="L3225" s="15" t="s">
        <v>24</v>
      </c>
      <c r="M3225" s="16">
        <v>0.0</v>
      </c>
      <c r="N3225" s="16">
        <v>0.75</v>
      </c>
      <c r="O3225" s="16">
        <v>0.75</v>
      </c>
      <c r="P3225" s="17">
        <v>45528.0</v>
      </c>
      <c r="Q3225" s="18">
        <v>1.925</v>
      </c>
      <c r="R3225" s="15" t="s">
        <v>70</v>
      </c>
      <c r="S3225" s="19">
        <f t="shared" si="1"/>
        <v>0</v>
      </c>
      <c r="T3225" s="19">
        <f t="shared" si="8"/>
        <v>107.363619</v>
      </c>
      <c r="U3225" s="144"/>
    </row>
    <row r="3226">
      <c r="A3226" s="107"/>
      <c r="B3226" s="8" t="s">
        <v>26</v>
      </c>
      <c r="C3226" s="8" t="s">
        <v>19</v>
      </c>
      <c r="D3226" s="8">
        <v>26.0</v>
      </c>
      <c r="E3226" s="8" t="s">
        <v>2330</v>
      </c>
      <c r="F3226" s="8" t="s">
        <v>1479</v>
      </c>
      <c r="G3226" s="8" t="s">
        <v>1480</v>
      </c>
      <c r="H3226" s="8">
        <v>0.0</v>
      </c>
      <c r="I3226" s="8" t="s">
        <v>448</v>
      </c>
      <c r="J3226" s="8" t="s">
        <v>22</v>
      </c>
      <c r="K3226" s="8" t="s">
        <v>1150</v>
      </c>
      <c r="L3226" s="8" t="s">
        <v>24</v>
      </c>
      <c r="M3226" s="9">
        <v>0.0</v>
      </c>
      <c r="N3226" s="9">
        <v>0.25</v>
      </c>
      <c r="O3226" s="9">
        <v>0.23</v>
      </c>
      <c r="P3226" s="10">
        <v>45528.0</v>
      </c>
      <c r="Q3226" s="11">
        <v>1.825</v>
      </c>
      <c r="R3226" s="8" t="s">
        <v>70</v>
      </c>
      <c r="S3226" s="12">
        <f t="shared" si="1"/>
        <v>0</v>
      </c>
      <c r="T3226" s="12">
        <f t="shared" si="8"/>
        <v>107.363619</v>
      </c>
      <c r="U3226" s="145"/>
    </row>
    <row r="3227">
      <c r="A3227" s="29"/>
      <c r="B3227" s="15" t="s">
        <v>26</v>
      </c>
      <c r="C3227" s="15" t="s">
        <v>19</v>
      </c>
      <c r="D3227" s="15">
        <v>25.0</v>
      </c>
      <c r="E3227" s="15" t="s">
        <v>2331</v>
      </c>
      <c r="F3227" s="15" t="s">
        <v>1479</v>
      </c>
      <c r="G3227" s="15" t="s">
        <v>1480</v>
      </c>
      <c r="H3227" s="15">
        <v>1.0</v>
      </c>
      <c r="I3227" s="15" t="s">
        <v>448</v>
      </c>
      <c r="J3227" s="15" t="s">
        <v>22</v>
      </c>
      <c r="K3227" s="15" t="s">
        <v>1150</v>
      </c>
      <c r="L3227" s="15" t="s">
        <v>24</v>
      </c>
      <c r="M3227" s="16">
        <v>0.0</v>
      </c>
      <c r="N3227" s="16">
        <v>0.25</v>
      </c>
      <c r="O3227" s="16">
        <v>0.2</v>
      </c>
      <c r="P3227" s="17">
        <v>45528.0</v>
      </c>
      <c r="Q3227" s="18">
        <v>1.825</v>
      </c>
      <c r="R3227" s="15" t="s">
        <v>33</v>
      </c>
      <c r="S3227" s="19">
        <f t="shared" si="1"/>
        <v>0.165</v>
      </c>
      <c r="T3227" s="19">
        <f t="shared" si="8"/>
        <v>107.528619</v>
      </c>
      <c r="U3227" s="144"/>
    </row>
    <row r="3228">
      <c r="A3228" s="107"/>
      <c r="B3228" s="8" t="s">
        <v>26</v>
      </c>
      <c r="C3228" s="8" t="s">
        <v>19</v>
      </c>
      <c r="D3228" s="8">
        <v>60.0</v>
      </c>
      <c r="E3228" s="8" t="s">
        <v>2332</v>
      </c>
      <c r="F3228" s="8" t="s">
        <v>1473</v>
      </c>
      <c r="G3228" s="8" t="s">
        <v>1480</v>
      </c>
      <c r="H3228" s="8">
        <v>-1.0</v>
      </c>
      <c r="I3228" s="8" t="s">
        <v>229</v>
      </c>
      <c r="J3228" s="8" t="s">
        <v>22</v>
      </c>
      <c r="K3228" s="8" t="s">
        <v>892</v>
      </c>
      <c r="L3228" s="8" t="s">
        <v>24</v>
      </c>
      <c r="M3228" s="9">
        <v>0.0</v>
      </c>
      <c r="N3228" s="9">
        <v>0.75</v>
      </c>
      <c r="O3228" s="9">
        <v>0.72</v>
      </c>
      <c r="P3228" s="10">
        <v>45528.0</v>
      </c>
      <c r="Q3228" s="11">
        <v>1.7</v>
      </c>
      <c r="R3228" s="8" t="s">
        <v>70</v>
      </c>
      <c r="S3228" s="12">
        <f t="shared" si="1"/>
        <v>0</v>
      </c>
      <c r="T3228" s="12">
        <f t="shared" si="8"/>
        <v>107.528619</v>
      </c>
      <c r="U3228" s="145"/>
    </row>
    <row r="3229">
      <c r="A3229" s="29"/>
      <c r="B3229" s="15" t="s">
        <v>137</v>
      </c>
      <c r="C3229" s="15" t="s">
        <v>19</v>
      </c>
      <c r="D3229" s="15">
        <v>60.0</v>
      </c>
      <c r="E3229" s="15" t="s">
        <v>2333</v>
      </c>
      <c r="F3229" s="15" t="s">
        <v>1473</v>
      </c>
      <c r="G3229" s="15" t="s">
        <v>1480</v>
      </c>
      <c r="H3229" s="15">
        <v>-2.0</v>
      </c>
      <c r="I3229" s="15" t="s">
        <v>44</v>
      </c>
      <c r="J3229" s="15" t="s">
        <v>22</v>
      </c>
      <c r="K3229" s="15" t="s">
        <v>892</v>
      </c>
      <c r="L3229" s="15" t="s">
        <v>24</v>
      </c>
      <c r="M3229" s="16">
        <v>0.0</v>
      </c>
      <c r="N3229" s="16">
        <v>0.5</v>
      </c>
      <c r="O3229" s="16">
        <v>0.48</v>
      </c>
      <c r="P3229" s="17">
        <v>45528.0</v>
      </c>
      <c r="Q3229" s="18">
        <v>1.725</v>
      </c>
      <c r="R3229" s="15" t="s">
        <v>33</v>
      </c>
      <c r="S3229" s="19">
        <f t="shared" si="1"/>
        <v>0.348</v>
      </c>
      <c r="T3229" s="19">
        <f t="shared" si="8"/>
        <v>107.876619</v>
      </c>
      <c r="U3229" s="144"/>
    </row>
    <row r="3230">
      <c r="A3230" s="107"/>
      <c r="B3230" s="8" t="s">
        <v>18</v>
      </c>
      <c r="C3230" s="8" t="s">
        <v>19</v>
      </c>
      <c r="D3230" s="8">
        <v>81.0</v>
      </c>
      <c r="E3230" s="8" t="s">
        <v>2334</v>
      </c>
      <c r="F3230" s="8" t="s">
        <v>1479</v>
      </c>
      <c r="G3230" s="8" t="s">
        <v>1474</v>
      </c>
      <c r="H3230" s="8">
        <v>-1.0</v>
      </c>
      <c r="I3230" s="8" t="s">
        <v>703</v>
      </c>
      <c r="J3230" s="8" t="s">
        <v>22</v>
      </c>
      <c r="K3230" s="8" t="s">
        <v>225</v>
      </c>
      <c r="L3230" s="8" t="s">
        <v>24</v>
      </c>
      <c r="M3230" s="9">
        <v>0.5</v>
      </c>
      <c r="N3230" s="9">
        <v>0.25</v>
      </c>
      <c r="O3230" s="9">
        <v>0.01</v>
      </c>
      <c r="P3230" s="10">
        <v>45528.0</v>
      </c>
      <c r="Q3230" s="11">
        <v>1.7</v>
      </c>
      <c r="R3230" s="8" t="s">
        <v>25</v>
      </c>
      <c r="S3230" s="12">
        <f t="shared" si="1"/>
        <v>-0.01</v>
      </c>
      <c r="T3230" s="12">
        <f t="shared" si="8"/>
        <v>107.866619</v>
      </c>
      <c r="U3230" s="145"/>
    </row>
    <row r="3231">
      <c r="A3231" s="29"/>
      <c r="B3231" s="15" t="s">
        <v>18</v>
      </c>
      <c r="C3231" s="15" t="s">
        <v>19</v>
      </c>
      <c r="D3231" s="15">
        <v>80.0</v>
      </c>
      <c r="E3231" s="15" t="s">
        <v>2335</v>
      </c>
      <c r="F3231" s="15" t="s">
        <v>1479</v>
      </c>
      <c r="G3231" s="15" t="s">
        <v>1474</v>
      </c>
      <c r="H3231" s="15">
        <v>-1.0</v>
      </c>
      <c r="I3231" s="15" t="s">
        <v>703</v>
      </c>
      <c r="J3231" s="15" t="s">
        <v>22</v>
      </c>
      <c r="K3231" s="15" t="s">
        <v>225</v>
      </c>
      <c r="L3231" s="15" t="s">
        <v>24</v>
      </c>
      <c r="M3231" s="16">
        <v>0.25</v>
      </c>
      <c r="N3231" s="16">
        <v>0.75</v>
      </c>
      <c r="O3231" s="16">
        <v>0.75</v>
      </c>
      <c r="P3231" s="17">
        <v>45528.0</v>
      </c>
      <c r="Q3231" s="18">
        <v>1.8</v>
      </c>
      <c r="R3231" s="15" t="s">
        <v>25</v>
      </c>
      <c r="S3231" s="19">
        <f t="shared" si="1"/>
        <v>-0.75</v>
      </c>
      <c r="T3231" s="19">
        <f t="shared" si="8"/>
        <v>107.116619</v>
      </c>
      <c r="U3231" s="144"/>
    </row>
    <row r="3232">
      <c r="A3232" s="107"/>
      <c r="B3232" s="8" t="s">
        <v>26</v>
      </c>
      <c r="C3232" s="8" t="s">
        <v>19</v>
      </c>
      <c r="D3232" s="8">
        <v>63.0</v>
      </c>
      <c r="E3232" s="8" t="s">
        <v>2336</v>
      </c>
      <c r="F3232" s="8" t="s">
        <v>1479</v>
      </c>
      <c r="G3232" s="8" t="s">
        <v>1474</v>
      </c>
      <c r="H3232" s="8">
        <v>0.0</v>
      </c>
      <c r="I3232" s="8" t="s">
        <v>50</v>
      </c>
      <c r="J3232" s="8" t="s">
        <v>22</v>
      </c>
      <c r="K3232" s="8" t="s">
        <v>225</v>
      </c>
      <c r="L3232" s="8" t="s">
        <v>24</v>
      </c>
      <c r="M3232" s="9">
        <v>0.25</v>
      </c>
      <c r="N3232" s="9">
        <v>0.25</v>
      </c>
      <c r="O3232" s="9">
        <v>0.25</v>
      </c>
      <c r="P3232" s="54">
        <v>45528.0</v>
      </c>
      <c r="Q3232" s="11">
        <v>1.7</v>
      </c>
      <c r="R3232" s="8" t="s">
        <v>33</v>
      </c>
      <c r="S3232" s="12">
        <f t="shared" si="1"/>
        <v>0.175</v>
      </c>
      <c r="T3232" s="12">
        <f t="shared" si="8"/>
        <v>107.291619</v>
      </c>
      <c r="U3232" s="145"/>
    </row>
    <row r="3233">
      <c r="A3233" s="29"/>
      <c r="B3233" s="15" t="s">
        <v>26</v>
      </c>
      <c r="C3233" s="15" t="s">
        <v>19</v>
      </c>
      <c r="D3233" s="15">
        <v>67.0</v>
      </c>
      <c r="E3233" s="15" t="s">
        <v>2337</v>
      </c>
      <c r="F3233" s="15" t="s">
        <v>1479</v>
      </c>
      <c r="G3233" s="15" t="s">
        <v>1480</v>
      </c>
      <c r="H3233" s="15">
        <v>0.0</v>
      </c>
      <c r="I3233" s="15" t="s">
        <v>50</v>
      </c>
      <c r="J3233" s="15" t="s">
        <v>22</v>
      </c>
      <c r="K3233" s="15" t="s">
        <v>941</v>
      </c>
      <c r="L3233" s="15" t="s">
        <v>24</v>
      </c>
      <c r="M3233" s="16">
        <v>0.0</v>
      </c>
      <c r="N3233" s="16">
        <v>0.5</v>
      </c>
      <c r="O3233" s="16">
        <v>0.5</v>
      </c>
      <c r="P3233" s="17">
        <v>45528.0</v>
      </c>
      <c r="Q3233" s="18">
        <f>(2.375*0.3+2*0.2)/0.5</f>
        <v>2.225</v>
      </c>
      <c r="R3233" s="15" t="s">
        <v>33</v>
      </c>
      <c r="S3233" s="19">
        <f t="shared" si="1"/>
        <v>0.6125</v>
      </c>
      <c r="T3233" s="19">
        <f t="shared" si="8"/>
        <v>107.904119</v>
      </c>
      <c r="U3233" s="144"/>
    </row>
    <row r="3234">
      <c r="A3234" s="107"/>
      <c r="B3234" s="8" t="s">
        <v>18</v>
      </c>
      <c r="C3234" s="8" t="s">
        <v>19</v>
      </c>
      <c r="D3234" s="8">
        <v>71.0</v>
      </c>
      <c r="E3234" s="8" t="s">
        <v>2338</v>
      </c>
      <c r="F3234" s="8" t="s">
        <v>1479</v>
      </c>
      <c r="G3234" s="8" t="s">
        <v>1477</v>
      </c>
      <c r="H3234" s="8">
        <v>0.0</v>
      </c>
      <c r="I3234" s="8" t="s">
        <v>93</v>
      </c>
      <c r="J3234" s="8" t="s">
        <v>22</v>
      </c>
      <c r="K3234" s="8" t="s">
        <v>894</v>
      </c>
      <c r="L3234" s="8" t="s">
        <v>24</v>
      </c>
      <c r="M3234" s="9">
        <v>-0.25</v>
      </c>
      <c r="N3234" s="9">
        <v>0.25</v>
      </c>
      <c r="O3234" s="9">
        <v>0.25</v>
      </c>
      <c r="P3234" s="10">
        <v>45528.0</v>
      </c>
      <c r="Q3234" s="11">
        <v>2.025</v>
      </c>
      <c r="R3234" s="8" t="s">
        <v>25</v>
      </c>
      <c r="S3234" s="12">
        <f t="shared" si="1"/>
        <v>-0.25</v>
      </c>
      <c r="T3234" s="12">
        <f t="shared" si="8"/>
        <v>107.654119</v>
      </c>
      <c r="U3234" s="145"/>
    </row>
    <row r="3235">
      <c r="A3235" s="29"/>
      <c r="B3235" s="15" t="s">
        <v>129</v>
      </c>
      <c r="C3235" s="15" t="s">
        <v>19</v>
      </c>
      <c r="D3235" s="15">
        <v>85.0</v>
      </c>
      <c r="E3235" s="15" t="s">
        <v>2339</v>
      </c>
      <c r="F3235" s="15"/>
      <c r="G3235" s="15"/>
      <c r="H3235" s="15"/>
      <c r="I3235" s="15" t="s">
        <v>44</v>
      </c>
      <c r="J3235" s="15" t="s">
        <v>22</v>
      </c>
      <c r="K3235" s="15" t="s">
        <v>29</v>
      </c>
      <c r="L3235" s="15" t="s">
        <v>24</v>
      </c>
      <c r="M3235" s="16">
        <v>-4.5</v>
      </c>
      <c r="N3235" s="16">
        <v>0.2</v>
      </c>
      <c r="O3235" s="16">
        <v>0.05</v>
      </c>
      <c r="P3235" s="17">
        <v>45529.0</v>
      </c>
      <c r="Q3235" s="18">
        <v>1.625</v>
      </c>
      <c r="R3235" s="15" t="s">
        <v>25</v>
      </c>
      <c r="S3235" s="19">
        <f t="shared" si="1"/>
        <v>-0.05</v>
      </c>
      <c r="T3235" s="19">
        <f t="shared" si="8"/>
        <v>107.604119</v>
      </c>
      <c r="U3235" s="144"/>
    </row>
    <row r="3236">
      <c r="A3236" s="107"/>
      <c r="B3236" s="8" t="s">
        <v>129</v>
      </c>
      <c r="C3236" s="8" t="s">
        <v>19</v>
      </c>
      <c r="D3236" s="8">
        <v>61.0</v>
      </c>
      <c r="E3236" s="8" t="s">
        <v>2340</v>
      </c>
      <c r="F3236" s="8" t="s">
        <v>1479</v>
      </c>
      <c r="G3236" s="8" t="s">
        <v>1480</v>
      </c>
      <c r="H3236" s="8">
        <v>-1.0</v>
      </c>
      <c r="I3236" s="8" t="s">
        <v>93</v>
      </c>
      <c r="J3236" s="8" t="s">
        <v>22</v>
      </c>
      <c r="K3236" s="8" t="s">
        <v>892</v>
      </c>
      <c r="L3236" s="8" t="s">
        <v>24</v>
      </c>
      <c r="M3236" s="9">
        <v>0.0</v>
      </c>
      <c r="N3236" s="9">
        <v>0.25</v>
      </c>
      <c r="O3236" s="9">
        <v>0.06</v>
      </c>
      <c r="P3236" s="10">
        <v>45529.0</v>
      </c>
      <c r="Q3236" s="11">
        <v>1.625</v>
      </c>
      <c r="R3236" s="8" t="s">
        <v>33</v>
      </c>
      <c r="S3236" s="12">
        <f t="shared" si="1"/>
        <v>0.0375</v>
      </c>
      <c r="T3236" s="12">
        <f t="shared" si="8"/>
        <v>107.641619</v>
      </c>
      <c r="U3236" s="145"/>
    </row>
    <row r="3237">
      <c r="A3237" s="29"/>
      <c r="B3237" s="15" t="s">
        <v>26</v>
      </c>
      <c r="C3237" s="15" t="s">
        <v>19</v>
      </c>
      <c r="D3237" s="15">
        <v>75.0</v>
      </c>
      <c r="E3237" s="15" t="s">
        <v>2341</v>
      </c>
      <c r="F3237" s="15" t="s">
        <v>1479</v>
      </c>
      <c r="G3237" s="15" t="s">
        <v>1480</v>
      </c>
      <c r="H3237" s="15">
        <v>-1.0</v>
      </c>
      <c r="I3237" s="15" t="s">
        <v>44</v>
      </c>
      <c r="J3237" s="15" t="s">
        <v>22</v>
      </c>
      <c r="K3237" s="15" t="s">
        <v>892</v>
      </c>
      <c r="L3237" s="15" t="s">
        <v>24</v>
      </c>
      <c r="M3237" s="16">
        <v>0.0</v>
      </c>
      <c r="N3237" s="16">
        <v>0.25</v>
      </c>
      <c r="O3237" s="16">
        <v>0.25</v>
      </c>
      <c r="P3237" s="17">
        <v>45529.0</v>
      </c>
      <c r="Q3237" s="18">
        <v>1.8</v>
      </c>
      <c r="R3237" s="15" t="s">
        <v>33</v>
      </c>
      <c r="S3237" s="19">
        <f t="shared" si="1"/>
        <v>0.2</v>
      </c>
      <c r="T3237" s="19">
        <f t="shared" si="8"/>
        <v>107.841619</v>
      </c>
      <c r="U3237" s="144"/>
    </row>
    <row r="3238">
      <c r="A3238" s="107"/>
      <c r="B3238" s="8" t="s">
        <v>129</v>
      </c>
      <c r="C3238" s="8" t="s">
        <v>40</v>
      </c>
      <c r="D3238" s="8">
        <v>60.0</v>
      </c>
      <c r="E3238" s="8" t="s">
        <v>2342</v>
      </c>
      <c r="F3238" s="8" t="s">
        <v>1473</v>
      </c>
      <c r="G3238" s="8" t="s">
        <v>1480</v>
      </c>
      <c r="H3238" s="8">
        <v>0.0</v>
      </c>
      <c r="I3238" s="8" t="s">
        <v>908</v>
      </c>
      <c r="J3238" s="8" t="s">
        <v>22</v>
      </c>
      <c r="K3238" s="8" t="s">
        <v>892</v>
      </c>
      <c r="L3238" s="8" t="s">
        <v>24</v>
      </c>
      <c r="M3238" s="9">
        <v>0.0</v>
      </c>
      <c r="N3238" s="9">
        <v>0.5</v>
      </c>
      <c r="O3238" s="9">
        <v>0.5</v>
      </c>
      <c r="P3238" s="10">
        <v>45529.0</v>
      </c>
      <c r="Q3238" s="11">
        <v>1.775</v>
      </c>
      <c r="R3238" s="8" t="s">
        <v>25</v>
      </c>
      <c r="S3238" s="12">
        <f t="shared" si="1"/>
        <v>-0.5</v>
      </c>
      <c r="T3238" s="12">
        <f t="shared" si="8"/>
        <v>107.341619</v>
      </c>
      <c r="U3238" s="145"/>
    </row>
    <row r="3239">
      <c r="A3239" s="29"/>
      <c r="B3239" s="15" t="s">
        <v>26</v>
      </c>
      <c r="C3239" s="15" t="s">
        <v>40</v>
      </c>
      <c r="D3239" s="15">
        <v>70.0</v>
      </c>
      <c r="E3239" s="15" t="s">
        <v>2343</v>
      </c>
      <c r="F3239" s="15"/>
      <c r="G3239" s="15"/>
      <c r="H3239" s="15"/>
      <c r="I3239" s="15" t="s">
        <v>908</v>
      </c>
      <c r="J3239" s="15" t="s">
        <v>22</v>
      </c>
      <c r="K3239" s="15" t="s">
        <v>440</v>
      </c>
      <c r="L3239" s="15" t="s">
        <v>24</v>
      </c>
      <c r="M3239" s="16">
        <v>0.5</v>
      </c>
      <c r="N3239" s="16">
        <v>0.2</v>
      </c>
      <c r="O3239" s="16">
        <v>0.2</v>
      </c>
      <c r="P3239" s="17">
        <v>45529.0</v>
      </c>
      <c r="Q3239" s="18">
        <v>1.95</v>
      </c>
      <c r="R3239" s="15" t="s">
        <v>33</v>
      </c>
      <c r="S3239" s="19">
        <f t="shared" si="1"/>
        <v>0.19</v>
      </c>
      <c r="T3239" s="19">
        <f t="shared" si="8"/>
        <v>107.531619</v>
      </c>
      <c r="U3239" s="144"/>
    </row>
    <row r="3240">
      <c r="A3240" s="107"/>
      <c r="B3240" s="8" t="s">
        <v>129</v>
      </c>
      <c r="C3240" s="8" t="s">
        <v>19</v>
      </c>
      <c r="D3240" s="8">
        <v>75.0</v>
      </c>
      <c r="E3240" s="8" t="s">
        <v>2344</v>
      </c>
      <c r="F3240" s="8" t="s">
        <v>1479</v>
      </c>
      <c r="G3240" s="8" t="s">
        <v>1480</v>
      </c>
      <c r="H3240" s="8">
        <v>0.0</v>
      </c>
      <c r="I3240" s="8" t="s">
        <v>44</v>
      </c>
      <c r="J3240" s="8" t="s">
        <v>22</v>
      </c>
      <c r="K3240" s="8" t="s">
        <v>892</v>
      </c>
      <c r="L3240" s="8" t="s">
        <v>24</v>
      </c>
      <c r="M3240" s="9">
        <v>0.0</v>
      </c>
      <c r="N3240" s="9">
        <v>0.25</v>
      </c>
      <c r="O3240" s="9">
        <v>0.15</v>
      </c>
      <c r="P3240" s="10">
        <v>45529.0</v>
      </c>
      <c r="Q3240" s="11">
        <v>1.7</v>
      </c>
      <c r="R3240" s="8" t="s">
        <v>33</v>
      </c>
      <c r="S3240" s="12">
        <f t="shared" si="1"/>
        <v>0.105</v>
      </c>
      <c r="T3240" s="12">
        <f t="shared" si="8"/>
        <v>107.636619</v>
      </c>
      <c r="U3240" s="145"/>
    </row>
    <row r="3241">
      <c r="A3241" s="29"/>
      <c r="B3241" s="15" t="s">
        <v>26</v>
      </c>
      <c r="C3241" s="15" t="s">
        <v>19</v>
      </c>
      <c r="D3241" s="15">
        <v>25.0</v>
      </c>
      <c r="E3241" s="15" t="s">
        <v>2345</v>
      </c>
      <c r="F3241" s="15" t="s">
        <v>1479</v>
      </c>
      <c r="G3241" s="15" t="s">
        <v>1474</v>
      </c>
      <c r="H3241" s="15">
        <v>0.0</v>
      </c>
      <c r="I3241" s="15" t="s">
        <v>101</v>
      </c>
      <c r="J3241" s="15" t="s">
        <v>22</v>
      </c>
      <c r="K3241" s="15" t="s">
        <v>225</v>
      </c>
      <c r="L3241" s="15" t="s">
        <v>24</v>
      </c>
      <c r="M3241" s="16">
        <v>0.5</v>
      </c>
      <c r="N3241" s="16">
        <v>0.25</v>
      </c>
      <c r="O3241" s="16">
        <f>0.25*54/60</f>
        <v>0.225</v>
      </c>
      <c r="P3241" s="17">
        <v>45529.0</v>
      </c>
      <c r="Q3241" s="18">
        <v>1.975</v>
      </c>
      <c r="R3241" s="15" t="s">
        <v>33</v>
      </c>
      <c r="S3241" s="19">
        <f t="shared" si="1"/>
        <v>0.219375</v>
      </c>
      <c r="T3241" s="19">
        <f t="shared" si="8"/>
        <v>107.855994</v>
      </c>
      <c r="U3241" s="144"/>
    </row>
    <row r="3242">
      <c r="A3242" s="107"/>
      <c r="B3242" s="8" t="s">
        <v>18</v>
      </c>
      <c r="C3242" s="8" t="s">
        <v>40</v>
      </c>
      <c r="D3242" s="8">
        <v>75.0</v>
      </c>
      <c r="E3242" s="8" t="s">
        <v>2346</v>
      </c>
      <c r="F3242" s="8" t="s">
        <v>1479</v>
      </c>
      <c r="G3242" s="8" t="s">
        <v>1480</v>
      </c>
      <c r="H3242" s="8">
        <v>1.0</v>
      </c>
      <c r="I3242" s="8" t="s">
        <v>172</v>
      </c>
      <c r="J3242" s="8" t="s">
        <v>22</v>
      </c>
      <c r="K3242" s="8" t="s">
        <v>892</v>
      </c>
      <c r="L3242" s="8" t="s">
        <v>24</v>
      </c>
      <c r="M3242" s="9">
        <v>0.0</v>
      </c>
      <c r="N3242" s="9">
        <v>0.5</v>
      </c>
      <c r="O3242" s="9">
        <v>0.5</v>
      </c>
      <c r="P3242" s="10">
        <v>45529.0</v>
      </c>
      <c r="Q3242" s="11">
        <v>1.675</v>
      </c>
      <c r="R3242" s="8" t="s">
        <v>70</v>
      </c>
      <c r="S3242" s="12">
        <f t="shared" si="1"/>
        <v>0</v>
      </c>
      <c r="T3242" s="12">
        <f t="shared" si="8"/>
        <v>107.855994</v>
      </c>
      <c r="U3242" s="145"/>
    </row>
    <row r="3243">
      <c r="A3243" s="29"/>
      <c r="B3243" s="15" t="s">
        <v>18</v>
      </c>
      <c r="C3243" s="15" t="s">
        <v>40</v>
      </c>
      <c r="D3243" s="15">
        <v>76.0</v>
      </c>
      <c r="E3243" s="15" t="s">
        <v>2347</v>
      </c>
      <c r="F3243" s="15" t="s">
        <v>1473</v>
      </c>
      <c r="G3243" s="15" t="s">
        <v>1480</v>
      </c>
      <c r="H3243" s="15">
        <v>-1.0</v>
      </c>
      <c r="I3243" s="15" t="s">
        <v>172</v>
      </c>
      <c r="J3243" s="15" t="s">
        <v>22</v>
      </c>
      <c r="K3243" s="15" t="s">
        <v>892</v>
      </c>
      <c r="L3243" s="15" t="s">
        <v>24</v>
      </c>
      <c r="M3243" s="16">
        <v>0.0</v>
      </c>
      <c r="N3243" s="16">
        <v>0.5</v>
      </c>
      <c r="O3243" s="16">
        <v>0.5</v>
      </c>
      <c r="P3243" s="17">
        <v>45529.0</v>
      </c>
      <c r="Q3243" s="18">
        <v>2.0</v>
      </c>
      <c r="R3243" s="15" t="s">
        <v>70</v>
      </c>
      <c r="S3243" s="19">
        <f t="shared" si="1"/>
        <v>0</v>
      </c>
      <c r="T3243" s="19">
        <f t="shared" si="8"/>
        <v>107.855994</v>
      </c>
      <c r="U3243" s="144"/>
    </row>
    <row r="3244">
      <c r="A3244" s="107"/>
      <c r="B3244" s="8" t="s">
        <v>18</v>
      </c>
      <c r="C3244" s="8" t="s">
        <v>19</v>
      </c>
      <c r="D3244" s="8">
        <v>20.0</v>
      </c>
      <c r="E3244" s="8" t="s">
        <v>2348</v>
      </c>
      <c r="F3244" s="8" t="s">
        <v>1473</v>
      </c>
      <c r="G3244" s="8" t="s">
        <v>1474</v>
      </c>
      <c r="H3244" s="8">
        <v>0.0</v>
      </c>
      <c r="I3244" s="8" t="s">
        <v>93</v>
      </c>
      <c r="J3244" s="8" t="s">
        <v>22</v>
      </c>
      <c r="K3244" s="8" t="s">
        <v>225</v>
      </c>
      <c r="L3244" s="8" t="s">
        <v>24</v>
      </c>
      <c r="M3244" s="9">
        <v>0.25</v>
      </c>
      <c r="N3244" s="9">
        <v>0.5</v>
      </c>
      <c r="O3244" s="9">
        <v>0.5</v>
      </c>
      <c r="P3244" s="10">
        <v>45529.0</v>
      </c>
      <c r="Q3244" s="11">
        <f>259/250</f>
        <v>1.036</v>
      </c>
      <c r="R3244" s="8" t="s">
        <v>33</v>
      </c>
      <c r="S3244" s="12">
        <f t="shared" si="1"/>
        <v>0.018</v>
      </c>
      <c r="T3244" s="12">
        <f t="shared" si="8"/>
        <v>107.873994</v>
      </c>
      <c r="U3244" s="145"/>
    </row>
    <row r="3245">
      <c r="A3245" s="29"/>
      <c r="B3245" s="15" t="s">
        <v>131</v>
      </c>
      <c r="C3245" s="15" t="s">
        <v>19</v>
      </c>
      <c r="D3245" s="15">
        <v>70.0</v>
      </c>
      <c r="E3245" s="15" t="s">
        <v>2349</v>
      </c>
      <c r="F3245" s="15" t="s">
        <v>1473</v>
      </c>
      <c r="G3245" s="15" t="s">
        <v>1477</v>
      </c>
      <c r="H3245" s="15">
        <v>0.0</v>
      </c>
      <c r="I3245" s="15" t="s">
        <v>167</v>
      </c>
      <c r="J3245" s="15" t="s">
        <v>22</v>
      </c>
      <c r="K3245" s="15" t="s">
        <v>894</v>
      </c>
      <c r="L3245" s="15" t="s">
        <v>1522</v>
      </c>
      <c r="M3245" s="16">
        <v>-0.5</v>
      </c>
      <c r="N3245" s="16">
        <v>0.3</v>
      </c>
      <c r="O3245" s="16">
        <v>0.3</v>
      </c>
      <c r="P3245" s="17">
        <v>45530.0</v>
      </c>
      <c r="Q3245" s="18">
        <v>1.7</v>
      </c>
      <c r="R3245" s="15" t="s">
        <v>33</v>
      </c>
      <c r="S3245" s="19">
        <f t="shared" si="1"/>
        <v>0.21</v>
      </c>
      <c r="T3245" s="19">
        <f t="shared" si="8"/>
        <v>108.083994</v>
      </c>
      <c r="U3245" s="144"/>
    </row>
    <row r="3246">
      <c r="A3246" s="107"/>
      <c r="B3246" s="8" t="s">
        <v>35</v>
      </c>
      <c r="C3246" s="8" t="s">
        <v>19</v>
      </c>
      <c r="D3246" s="8">
        <v>42.0</v>
      </c>
      <c r="E3246" s="8" t="s">
        <v>2350</v>
      </c>
      <c r="F3246" s="8" t="s">
        <v>1473</v>
      </c>
      <c r="G3246" s="8" t="s">
        <v>1480</v>
      </c>
      <c r="H3246" s="8">
        <v>0.0</v>
      </c>
      <c r="I3246" s="8" t="s">
        <v>78</v>
      </c>
      <c r="J3246" s="8" t="s">
        <v>22</v>
      </c>
      <c r="K3246" s="8" t="s">
        <v>892</v>
      </c>
      <c r="L3246" s="8" t="s">
        <v>39</v>
      </c>
      <c r="M3246" s="9">
        <v>0.0</v>
      </c>
      <c r="N3246" s="9">
        <v>0.1</v>
      </c>
      <c r="O3246" s="9">
        <f>0.1*18/60</f>
        <v>0.03</v>
      </c>
      <c r="P3246" s="10">
        <v>45531.0</v>
      </c>
      <c r="Q3246" s="11">
        <v>1.9</v>
      </c>
      <c r="R3246" s="8" t="s">
        <v>33</v>
      </c>
      <c r="S3246" s="12">
        <f t="shared" si="1"/>
        <v>0.027</v>
      </c>
      <c r="T3246" s="12">
        <f t="shared" si="8"/>
        <v>108.110994</v>
      </c>
      <c r="U3246" s="145"/>
    </row>
    <row r="3247">
      <c r="A3247" s="29"/>
      <c r="B3247" s="15" t="s">
        <v>129</v>
      </c>
      <c r="C3247" s="15" t="s">
        <v>19</v>
      </c>
      <c r="D3247" s="15">
        <v>40.0</v>
      </c>
      <c r="E3247" s="15" t="s">
        <v>2351</v>
      </c>
      <c r="F3247" s="15" t="s">
        <v>1473</v>
      </c>
      <c r="G3247" s="15" t="s">
        <v>1480</v>
      </c>
      <c r="H3247" s="15">
        <v>0.0</v>
      </c>
      <c r="I3247" s="15" t="s">
        <v>432</v>
      </c>
      <c r="J3247" s="15" t="s">
        <v>22</v>
      </c>
      <c r="K3247" s="15" t="s">
        <v>894</v>
      </c>
      <c r="L3247" s="15" t="s">
        <v>39</v>
      </c>
      <c r="M3247" s="16">
        <v>-0.25</v>
      </c>
      <c r="N3247" s="16">
        <v>0.1</v>
      </c>
      <c r="O3247" s="16">
        <v>0.1</v>
      </c>
      <c r="P3247" s="17">
        <v>45531.0</v>
      </c>
      <c r="Q3247" s="18">
        <f>138.21/100</f>
        <v>1.3821</v>
      </c>
      <c r="R3247" s="15" t="s">
        <v>33</v>
      </c>
      <c r="S3247" s="19">
        <f t="shared" si="1"/>
        <v>0.03821</v>
      </c>
      <c r="T3247" s="19">
        <f t="shared" si="8"/>
        <v>108.149204</v>
      </c>
      <c r="U3247" s="144"/>
    </row>
    <row r="3248">
      <c r="A3248" s="107"/>
      <c r="B3248" s="8" t="s">
        <v>35</v>
      </c>
      <c r="C3248" s="8" t="s">
        <v>19</v>
      </c>
      <c r="D3248" s="8">
        <v>40.0</v>
      </c>
      <c r="E3248" s="8" t="s">
        <v>2352</v>
      </c>
      <c r="F3248" s="8" t="s">
        <v>1473</v>
      </c>
      <c r="G3248" s="8" t="s">
        <v>1480</v>
      </c>
      <c r="H3248" s="8">
        <v>0.0</v>
      </c>
      <c r="I3248" s="8" t="s">
        <v>162</v>
      </c>
      <c r="J3248" s="8" t="s">
        <v>22</v>
      </c>
      <c r="K3248" s="8" t="s">
        <v>892</v>
      </c>
      <c r="L3248" s="8" t="s">
        <v>39</v>
      </c>
      <c r="M3248" s="9">
        <v>0.0</v>
      </c>
      <c r="N3248" s="9">
        <v>0.1</v>
      </c>
      <c r="O3248" s="9">
        <v>0.1</v>
      </c>
      <c r="P3248" s="10">
        <v>45531.0</v>
      </c>
      <c r="Q3248" s="11">
        <v>1.7</v>
      </c>
      <c r="R3248" s="8" t="s">
        <v>25</v>
      </c>
      <c r="S3248" s="12">
        <f t="shared" si="1"/>
        <v>-0.1</v>
      </c>
      <c r="T3248" s="12">
        <f t="shared" si="8"/>
        <v>108.049204</v>
      </c>
      <c r="U3248" s="145"/>
    </row>
    <row r="3249">
      <c r="A3249" s="29"/>
      <c r="B3249" s="15" t="s">
        <v>26</v>
      </c>
      <c r="C3249" s="15" t="s">
        <v>19</v>
      </c>
      <c r="D3249" s="15">
        <v>25.0</v>
      </c>
      <c r="E3249" s="15" t="s">
        <v>2353</v>
      </c>
      <c r="F3249" s="15" t="s">
        <v>1473</v>
      </c>
      <c r="G3249" s="15" t="s">
        <v>1480</v>
      </c>
      <c r="H3249" s="15">
        <v>-1.0</v>
      </c>
      <c r="I3249" s="15" t="s">
        <v>84</v>
      </c>
      <c r="J3249" s="15" t="s">
        <v>22</v>
      </c>
      <c r="K3249" s="15" t="s">
        <v>892</v>
      </c>
      <c r="L3249" s="15" t="s">
        <v>24</v>
      </c>
      <c r="M3249" s="16">
        <v>0.0</v>
      </c>
      <c r="N3249" s="16">
        <v>0.25</v>
      </c>
      <c r="O3249" s="16">
        <v>0.25</v>
      </c>
      <c r="P3249" s="17">
        <v>45532.0</v>
      </c>
      <c r="Q3249" s="18">
        <v>1.925</v>
      </c>
      <c r="R3249" s="15" t="s">
        <v>33</v>
      </c>
      <c r="S3249" s="19">
        <f t="shared" si="1"/>
        <v>0.23125</v>
      </c>
      <c r="T3249" s="19">
        <f t="shared" si="8"/>
        <v>108.280454</v>
      </c>
      <c r="U3249" s="144"/>
    </row>
    <row r="3250">
      <c r="A3250" s="107"/>
      <c r="B3250" s="8" t="s">
        <v>129</v>
      </c>
      <c r="C3250" s="8" t="s">
        <v>19</v>
      </c>
      <c r="D3250" s="8">
        <v>40.0</v>
      </c>
      <c r="E3250" s="8" t="s">
        <v>2354</v>
      </c>
      <c r="F3250" s="8" t="s">
        <v>1473</v>
      </c>
      <c r="G3250" s="8" t="s">
        <v>1480</v>
      </c>
      <c r="H3250" s="8">
        <v>0.0</v>
      </c>
      <c r="I3250" s="8" t="s">
        <v>99</v>
      </c>
      <c r="J3250" s="8" t="s">
        <v>22</v>
      </c>
      <c r="K3250" s="8" t="s">
        <v>892</v>
      </c>
      <c r="L3250" s="8" t="s">
        <v>24</v>
      </c>
      <c r="M3250" s="9">
        <v>0.0</v>
      </c>
      <c r="N3250" s="9">
        <v>1.0</v>
      </c>
      <c r="O3250" s="9">
        <v>1.0</v>
      </c>
      <c r="P3250" s="10">
        <v>45532.0</v>
      </c>
      <c r="Q3250" s="11">
        <v>1.925</v>
      </c>
      <c r="R3250" s="8" t="s">
        <v>33</v>
      </c>
      <c r="S3250" s="12">
        <f t="shared" si="1"/>
        <v>0.925</v>
      </c>
      <c r="T3250" s="12">
        <f t="shared" si="8"/>
        <v>109.205454</v>
      </c>
      <c r="U3250" s="145"/>
    </row>
    <row r="3251">
      <c r="A3251" s="29"/>
      <c r="B3251" s="15" t="s">
        <v>26</v>
      </c>
      <c r="C3251" s="15" t="s">
        <v>40</v>
      </c>
      <c r="D3251" s="15">
        <v>72.0</v>
      </c>
      <c r="E3251" s="15" t="s">
        <v>2355</v>
      </c>
      <c r="F3251" s="15" t="s">
        <v>1473</v>
      </c>
      <c r="G3251" s="15" t="s">
        <v>1477</v>
      </c>
      <c r="H3251" s="15">
        <v>0.0</v>
      </c>
      <c r="I3251" s="15" t="s">
        <v>463</v>
      </c>
      <c r="J3251" s="15" t="s">
        <v>22</v>
      </c>
      <c r="K3251" s="15" t="s">
        <v>894</v>
      </c>
      <c r="L3251" s="15" t="s">
        <v>39</v>
      </c>
      <c r="M3251" s="16">
        <v>-0.5</v>
      </c>
      <c r="N3251" s="16">
        <v>0.1</v>
      </c>
      <c r="O3251" s="16">
        <v>0.09</v>
      </c>
      <c r="P3251" s="17">
        <v>45532.0</v>
      </c>
      <c r="Q3251" s="18">
        <v>1.75</v>
      </c>
      <c r="R3251" s="15" t="s">
        <v>33</v>
      </c>
      <c r="S3251" s="19">
        <f t="shared" si="1"/>
        <v>0.0675</v>
      </c>
      <c r="T3251" s="19">
        <f t="shared" si="8"/>
        <v>109.272954</v>
      </c>
      <c r="U3251" s="144"/>
    </row>
    <row r="3252">
      <c r="A3252" s="107"/>
      <c r="B3252" s="8" t="s">
        <v>26</v>
      </c>
      <c r="C3252" s="8" t="s">
        <v>19</v>
      </c>
      <c r="D3252" s="8">
        <v>27.0</v>
      </c>
      <c r="E3252" s="8" t="s">
        <v>2356</v>
      </c>
      <c r="F3252" s="8" t="s">
        <v>1473</v>
      </c>
      <c r="G3252" s="8" t="s">
        <v>1474</v>
      </c>
      <c r="H3252" s="8">
        <v>0.0</v>
      </c>
      <c r="I3252" s="8" t="s">
        <v>60</v>
      </c>
      <c r="J3252" s="8" t="s">
        <v>22</v>
      </c>
      <c r="K3252" s="8" t="s">
        <v>225</v>
      </c>
      <c r="L3252" s="8" t="s">
        <v>24</v>
      </c>
      <c r="M3252" s="9">
        <v>0.75</v>
      </c>
      <c r="N3252" s="9">
        <v>0.75</v>
      </c>
      <c r="O3252" s="9">
        <v>0.68</v>
      </c>
      <c r="P3252" s="54">
        <v>45532.0</v>
      </c>
      <c r="Q3252" s="11">
        <v>1.04</v>
      </c>
      <c r="R3252" s="8" t="s">
        <v>33</v>
      </c>
      <c r="S3252" s="12">
        <f t="shared" si="1"/>
        <v>0.0272</v>
      </c>
      <c r="T3252" s="12">
        <f t="shared" si="8"/>
        <v>109.300154</v>
      </c>
      <c r="U3252" s="145"/>
    </row>
    <row r="3253">
      <c r="A3253" s="29"/>
      <c r="B3253" s="15" t="s">
        <v>35</v>
      </c>
      <c r="C3253" s="15" t="s">
        <v>19</v>
      </c>
      <c r="D3253" s="15">
        <v>33.0</v>
      </c>
      <c r="E3253" s="15" t="s">
        <v>2357</v>
      </c>
      <c r="F3253" s="15" t="s">
        <v>1473</v>
      </c>
      <c r="G3253" s="15" t="s">
        <v>1474</v>
      </c>
      <c r="H3253" s="15">
        <v>0.0</v>
      </c>
      <c r="I3253" s="15" t="s">
        <v>38</v>
      </c>
      <c r="J3253" s="15" t="s">
        <v>22</v>
      </c>
      <c r="K3253" s="15" t="s">
        <v>225</v>
      </c>
      <c r="L3253" s="15" t="s">
        <v>39</v>
      </c>
      <c r="M3253" s="16">
        <v>0.25</v>
      </c>
      <c r="N3253" s="16">
        <v>0.1</v>
      </c>
      <c r="O3253" s="16">
        <v>0.1</v>
      </c>
      <c r="P3253" s="17">
        <v>45532.0</v>
      </c>
      <c r="Q3253" s="18">
        <v>1.75</v>
      </c>
      <c r="R3253" s="15" t="s">
        <v>70</v>
      </c>
      <c r="S3253" s="19">
        <f t="shared" si="1"/>
        <v>0</v>
      </c>
      <c r="T3253" s="19">
        <f t="shared" si="8"/>
        <v>109.300154</v>
      </c>
      <c r="U3253" s="144"/>
    </row>
    <row r="3254">
      <c r="A3254" s="107"/>
      <c r="B3254" s="8" t="s">
        <v>26</v>
      </c>
      <c r="C3254" s="8" t="s">
        <v>19</v>
      </c>
      <c r="D3254" s="8">
        <v>46.0</v>
      </c>
      <c r="E3254" s="8" t="s">
        <v>2358</v>
      </c>
      <c r="F3254" s="8"/>
      <c r="G3254" s="8"/>
      <c r="H3254" s="8"/>
      <c r="I3254" s="8" t="s">
        <v>1470</v>
      </c>
      <c r="J3254" s="8" t="s">
        <v>22</v>
      </c>
      <c r="K3254" s="8" t="s">
        <v>440</v>
      </c>
      <c r="L3254" s="8" t="s">
        <v>24</v>
      </c>
      <c r="M3254" s="9">
        <v>2.0</v>
      </c>
      <c r="N3254" s="9">
        <v>0.25</v>
      </c>
      <c r="O3254" s="9">
        <v>0.25</v>
      </c>
      <c r="P3254" s="10">
        <v>45533.0</v>
      </c>
      <c r="Q3254" s="11">
        <v>1.75</v>
      </c>
      <c r="R3254" s="8" t="s">
        <v>70</v>
      </c>
      <c r="S3254" s="12">
        <f t="shared" si="1"/>
        <v>0</v>
      </c>
      <c r="T3254" s="12">
        <f t="shared" si="8"/>
        <v>109.300154</v>
      </c>
      <c r="U3254" s="145"/>
    </row>
    <row r="3255">
      <c r="A3255" s="29"/>
      <c r="B3255" s="15" t="s">
        <v>26</v>
      </c>
      <c r="C3255" s="15" t="s">
        <v>19</v>
      </c>
      <c r="D3255" s="15">
        <v>0.0</v>
      </c>
      <c r="E3255" s="15" t="s">
        <v>2359</v>
      </c>
      <c r="F3255" s="15" t="s">
        <v>1479</v>
      </c>
      <c r="G3255" s="15" t="s">
        <v>1480</v>
      </c>
      <c r="H3255" s="15">
        <v>0.0</v>
      </c>
      <c r="I3255" s="15" t="s">
        <v>82</v>
      </c>
      <c r="J3255" s="15" t="s">
        <v>598</v>
      </c>
      <c r="K3255" s="15" t="s">
        <v>892</v>
      </c>
      <c r="L3255" s="15" t="s">
        <v>39</v>
      </c>
      <c r="M3255" s="16">
        <v>0.0</v>
      </c>
      <c r="N3255" s="16">
        <v>0.2</v>
      </c>
      <c r="O3255" s="16">
        <v>0.2</v>
      </c>
      <c r="P3255" s="17">
        <v>45533.0</v>
      </c>
      <c r="Q3255" s="18">
        <v>2.1</v>
      </c>
      <c r="R3255" s="15" t="s">
        <v>33</v>
      </c>
      <c r="S3255" s="19">
        <f t="shared" si="1"/>
        <v>0.22</v>
      </c>
      <c r="T3255" s="19">
        <f t="shared" si="8"/>
        <v>109.520154</v>
      </c>
      <c r="U3255" s="144"/>
    </row>
    <row r="3256">
      <c r="A3256" s="107"/>
      <c r="B3256" s="8" t="s">
        <v>26</v>
      </c>
      <c r="C3256" s="8" t="s">
        <v>19</v>
      </c>
      <c r="D3256" s="8">
        <v>81.0</v>
      </c>
      <c r="E3256" s="8" t="s">
        <v>2360</v>
      </c>
      <c r="F3256" s="8" t="s">
        <v>1479</v>
      </c>
      <c r="G3256" s="8" t="s">
        <v>1480</v>
      </c>
      <c r="H3256" s="8">
        <v>0.0</v>
      </c>
      <c r="I3256" s="8" t="s">
        <v>78</v>
      </c>
      <c r="J3256" s="8" t="s">
        <v>22</v>
      </c>
      <c r="K3256" s="8" t="s">
        <v>892</v>
      </c>
      <c r="L3256" s="8" t="s">
        <v>39</v>
      </c>
      <c r="M3256" s="9">
        <v>0.0</v>
      </c>
      <c r="N3256" s="9">
        <v>0.25</v>
      </c>
      <c r="O3256" s="9">
        <v>0.25</v>
      </c>
      <c r="P3256" s="10">
        <v>45533.0</v>
      </c>
      <c r="Q3256" s="11">
        <v>1.725</v>
      </c>
      <c r="R3256" s="8" t="s">
        <v>25</v>
      </c>
      <c r="S3256" s="12">
        <f t="shared" si="1"/>
        <v>-0.25</v>
      </c>
      <c r="T3256" s="12">
        <f t="shared" si="8"/>
        <v>109.270154</v>
      </c>
      <c r="U3256" s="145"/>
    </row>
    <row r="3257">
      <c r="A3257" s="29"/>
      <c r="B3257" s="15" t="s">
        <v>26</v>
      </c>
      <c r="C3257" s="15" t="s">
        <v>40</v>
      </c>
      <c r="D3257" s="15">
        <v>22.0</v>
      </c>
      <c r="E3257" s="15" t="s">
        <v>2361</v>
      </c>
      <c r="F3257" s="15" t="s">
        <v>1479</v>
      </c>
      <c r="G3257" s="15" t="s">
        <v>1480</v>
      </c>
      <c r="H3257" s="15">
        <v>0.0</v>
      </c>
      <c r="I3257" s="15" t="s">
        <v>38</v>
      </c>
      <c r="J3257" s="15" t="s">
        <v>22</v>
      </c>
      <c r="K3257" s="15" t="s">
        <v>892</v>
      </c>
      <c r="L3257" s="15" t="s">
        <v>24</v>
      </c>
      <c r="M3257" s="16">
        <v>0.0</v>
      </c>
      <c r="N3257" s="16">
        <v>0.5</v>
      </c>
      <c r="O3257" s="16">
        <v>0.45</v>
      </c>
      <c r="P3257" s="17">
        <v>45533.0</v>
      </c>
      <c r="Q3257" s="18">
        <f>153.68/150</f>
        <v>1.024533333</v>
      </c>
      <c r="R3257" s="15" t="s">
        <v>33</v>
      </c>
      <c r="S3257" s="19">
        <f t="shared" si="1"/>
        <v>0.01104</v>
      </c>
      <c r="T3257" s="19">
        <f t="shared" si="8"/>
        <v>109.281194</v>
      </c>
      <c r="U3257" s="144"/>
    </row>
    <row r="3258">
      <c r="A3258" s="107"/>
      <c r="B3258" s="8" t="s">
        <v>137</v>
      </c>
      <c r="C3258" s="8" t="s">
        <v>19</v>
      </c>
      <c r="D3258" s="8">
        <v>73.0</v>
      </c>
      <c r="E3258" s="8" t="s">
        <v>2362</v>
      </c>
      <c r="F3258" s="8" t="s">
        <v>1473</v>
      </c>
      <c r="G3258" s="8" t="s">
        <v>1480</v>
      </c>
      <c r="H3258" s="8">
        <v>1.0</v>
      </c>
      <c r="I3258" s="8" t="s">
        <v>82</v>
      </c>
      <c r="J3258" s="8" t="s">
        <v>22</v>
      </c>
      <c r="K3258" s="8" t="s">
        <v>892</v>
      </c>
      <c r="L3258" s="8" t="s">
        <v>24</v>
      </c>
      <c r="M3258" s="9">
        <v>0.0</v>
      </c>
      <c r="N3258" s="9">
        <v>0.5</v>
      </c>
      <c r="O3258" s="9">
        <v>0.5</v>
      </c>
      <c r="P3258" s="10">
        <v>45533.0</v>
      </c>
      <c r="Q3258" s="11">
        <v>2.15</v>
      </c>
      <c r="R3258" s="8" t="s">
        <v>70</v>
      </c>
      <c r="S3258" s="12">
        <f t="shared" si="1"/>
        <v>0</v>
      </c>
      <c r="T3258" s="12">
        <f t="shared" si="8"/>
        <v>109.281194</v>
      </c>
      <c r="U3258" s="145"/>
    </row>
    <row r="3259">
      <c r="A3259" s="29"/>
      <c r="B3259" s="15" t="s">
        <v>26</v>
      </c>
      <c r="C3259" s="15" t="s">
        <v>19</v>
      </c>
      <c r="D3259" s="15">
        <v>70.0</v>
      </c>
      <c r="E3259" s="15" t="s">
        <v>2363</v>
      </c>
      <c r="F3259" s="15" t="s">
        <v>1479</v>
      </c>
      <c r="G3259" s="15" t="s">
        <v>1474</v>
      </c>
      <c r="H3259" s="15">
        <v>-1.0</v>
      </c>
      <c r="I3259" s="15" t="s">
        <v>263</v>
      </c>
      <c r="J3259" s="15" t="s">
        <v>22</v>
      </c>
      <c r="K3259" s="15" t="s">
        <v>225</v>
      </c>
      <c r="L3259" s="15" t="s">
        <v>24</v>
      </c>
      <c r="M3259" s="16">
        <v>0.25</v>
      </c>
      <c r="N3259" s="16">
        <v>0.5</v>
      </c>
      <c r="O3259" s="16">
        <v>0.5</v>
      </c>
      <c r="P3259" s="17">
        <v>45534.0</v>
      </c>
      <c r="Q3259" s="18">
        <v>1.56216</v>
      </c>
      <c r="R3259" s="15" t="s">
        <v>30</v>
      </c>
      <c r="S3259" s="19">
        <f t="shared" si="1"/>
        <v>0.14054</v>
      </c>
      <c r="T3259" s="19">
        <f t="shared" si="8"/>
        <v>109.421734</v>
      </c>
      <c r="U3259" s="144"/>
    </row>
    <row r="3260">
      <c r="A3260" s="107"/>
      <c r="B3260" s="8" t="s">
        <v>26</v>
      </c>
      <c r="C3260" s="8" t="s">
        <v>19</v>
      </c>
      <c r="D3260" s="8">
        <v>81.0</v>
      </c>
      <c r="E3260" s="8" t="s">
        <v>2364</v>
      </c>
      <c r="F3260" s="8" t="s">
        <v>1479</v>
      </c>
      <c r="G3260" s="8" t="s">
        <v>1480</v>
      </c>
      <c r="H3260" s="8">
        <v>-2.0</v>
      </c>
      <c r="I3260" s="8" t="s">
        <v>44</v>
      </c>
      <c r="J3260" s="8" t="s">
        <v>22</v>
      </c>
      <c r="K3260" s="8" t="s">
        <v>892</v>
      </c>
      <c r="L3260" s="8" t="s">
        <v>24</v>
      </c>
      <c r="M3260" s="9">
        <v>0.0</v>
      </c>
      <c r="N3260" s="9">
        <v>0.5</v>
      </c>
      <c r="O3260" s="9">
        <v>0.5</v>
      </c>
      <c r="P3260" s="10">
        <v>45534.0</v>
      </c>
      <c r="Q3260" s="11">
        <v>1.75</v>
      </c>
      <c r="R3260" s="8" t="s">
        <v>70</v>
      </c>
      <c r="S3260" s="12">
        <f t="shared" si="1"/>
        <v>0</v>
      </c>
      <c r="T3260" s="12">
        <f t="shared" si="8"/>
        <v>109.421734</v>
      </c>
      <c r="U3260" s="145"/>
    </row>
    <row r="3261">
      <c r="A3261" s="29"/>
      <c r="B3261" s="15" t="s">
        <v>26</v>
      </c>
      <c r="C3261" s="15" t="s">
        <v>19</v>
      </c>
      <c r="D3261" s="15">
        <v>31.0</v>
      </c>
      <c r="E3261" s="15" t="s">
        <v>2365</v>
      </c>
      <c r="F3261" s="15" t="s">
        <v>1473</v>
      </c>
      <c r="G3261" s="15" t="s">
        <v>1474</v>
      </c>
      <c r="H3261" s="15">
        <v>0.0</v>
      </c>
      <c r="I3261" s="15" t="s">
        <v>463</v>
      </c>
      <c r="J3261" s="15" t="s">
        <v>22</v>
      </c>
      <c r="K3261" s="15" t="s">
        <v>225</v>
      </c>
      <c r="L3261" s="15" t="s">
        <v>24</v>
      </c>
      <c r="M3261" s="16">
        <v>0.25</v>
      </c>
      <c r="N3261" s="16">
        <v>0.7</v>
      </c>
      <c r="O3261" s="16">
        <v>0.7</v>
      </c>
      <c r="P3261" s="17">
        <v>45534.0</v>
      </c>
      <c r="Q3261" s="18">
        <v>1.9</v>
      </c>
      <c r="R3261" s="15" t="s">
        <v>25</v>
      </c>
      <c r="S3261" s="19">
        <f t="shared" si="1"/>
        <v>-0.7</v>
      </c>
      <c r="T3261" s="19">
        <f t="shared" si="8"/>
        <v>108.721734</v>
      </c>
      <c r="U3261" s="144"/>
    </row>
    <row r="3262">
      <c r="A3262" s="107"/>
      <c r="B3262" s="8" t="s">
        <v>26</v>
      </c>
      <c r="C3262" s="8" t="s">
        <v>19</v>
      </c>
      <c r="D3262" s="8">
        <v>73.0</v>
      </c>
      <c r="E3262" s="8" t="s">
        <v>2366</v>
      </c>
      <c r="F3262" s="8" t="s">
        <v>1473</v>
      </c>
      <c r="G3262" s="8" t="s">
        <v>1480</v>
      </c>
      <c r="H3262" s="8">
        <v>-2.0</v>
      </c>
      <c r="I3262" s="8" t="s">
        <v>463</v>
      </c>
      <c r="J3262" s="8" t="s">
        <v>22</v>
      </c>
      <c r="K3262" s="8" t="s">
        <v>892</v>
      </c>
      <c r="L3262" s="8" t="s">
        <v>24</v>
      </c>
      <c r="M3262" s="9">
        <v>0.0</v>
      </c>
      <c r="N3262" s="9">
        <v>0.3</v>
      </c>
      <c r="O3262" s="9">
        <v>0.3</v>
      </c>
      <c r="P3262" s="10">
        <v>45534.0</v>
      </c>
      <c r="Q3262" s="11">
        <v>2.25</v>
      </c>
      <c r="R3262" s="8" t="s">
        <v>70</v>
      </c>
      <c r="S3262" s="12">
        <f t="shared" si="1"/>
        <v>0</v>
      </c>
      <c r="T3262" s="12">
        <f t="shared" si="8"/>
        <v>108.721734</v>
      </c>
      <c r="U3262" s="145"/>
    </row>
    <row r="3263">
      <c r="A3263" s="29"/>
      <c r="B3263" s="15" t="s">
        <v>137</v>
      </c>
      <c r="C3263" s="15" t="s">
        <v>19</v>
      </c>
      <c r="D3263" s="15">
        <v>24.0</v>
      </c>
      <c r="E3263" s="15" t="s">
        <v>2367</v>
      </c>
      <c r="F3263" s="15" t="s">
        <v>1473</v>
      </c>
      <c r="G3263" s="15" t="s">
        <v>1480</v>
      </c>
      <c r="H3263" s="15">
        <v>1.0</v>
      </c>
      <c r="I3263" s="15" t="s">
        <v>908</v>
      </c>
      <c r="J3263" s="15" t="s">
        <v>22</v>
      </c>
      <c r="K3263" s="15" t="s">
        <v>892</v>
      </c>
      <c r="L3263" s="15" t="s">
        <v>24</v>
      </c>
      <c r="M3263" s="16">
        <v>0.0</v>
      </c>
      <c r="N3263" s="16">
        <v>0.5</v>
      </c>
      <c r="O3263" s="16">
        <v>0.45</v>
      </c>
      <c r="P3263" s="17">
        <v>45535.0</v>
      </c>
      <c r="Q3263" s="18">
        <v>1.75</v>
      </c>
      <c r="R3263" s="15" t="s">
        <v>33</v>
      </c>
      <c r="S3263" s="19">
        <f t="shared" si="1"/>
        <v>0.3375</v>
      </c>
      <c r="T3263" s="19">
        <f t="shared" si="8"/>
        <v>109.059234</v>
      </c>
      <c r="U3263" s="144"/>
    </row>
    <row r="3264">
      <c r="A3264" s="107"/>
      <c r="B3264" s="8" t="s">
        <v>26</v>
      </c>
      <c r="C3264" s="8" t="s">
        <v>19</v>
      </c>
      <c r="D3264" s="8"/>
      <c r="E3264" s="8" t="s">
        <v>2368</v>
      </c>
      <c r="F3264" s="8" t="s">
        <v>1473</v>
      </c>
      <c r="G3264" s="8" t="s">
        <v>1474</v>
      </c>
      <c r="H3264" s="8">
        <v>-1.0</v>
      </c>
      <c r="I3264" s="8" t="s">
        <v>178</v>
      </c>
      <c r="J3264" s="8" t="s">
        <v>22</v>
      </c>
      <c r="K3264" s="8" t="s">
        <v>225</v>
      </c>
      <c r="L3264" s="8" t="s">
        <v>24</v>
      </c>
      <c r="M3264" s="9">
        <v>0.25</v>
      </c>
      <c r="N3264" s="9">
        <v>0.5</v>
      </c>
      <c r="O3264" s="9">
        <v>0.47</v>
      </c>
      <c r="P3264" s="10">
        <v>45535.0</v>
      </c>
      <c r="Q3264" s="11">
        <v>1.775</v>
      </c>
      <c r="R3264" s="8" t="s">
        <v>33</v>
      </c>
      <c r="S3264" s="12">
        <f t="shared" si="1"/>
        <v>0.36425</v>
      </c>
      <c r="T3264" s="12">
        <f t="shared" si="8"/>
        <v>109.423484</v>
      </c>
      <c r="U3264" s="145"/>
    </row>
    <row r="3265">
      <c r="A3265" s="29"/>
      <c r="B3265" s="15" t="s">
        <v>18</v>
      </c>
      <c r="C3265" s="15" t="s">
        <v>19</v>
      </c>
      <c r="D3265" s="15">
        <v>70.0</v>
      </c>
      <c r="E3265" s="15" t="s">
        <v>2369</v>
      </c>
      <c r="F3265" s="15" t="s">
        <v>1473</v>
      </c>
      <c r="G3265" s="15" t="s">
        <v>1474</v>
      </c>
      <c r="H3265" s="15">
        <v>0.0</v>
      </c>
      <c r="I3265" s="15" t="s">
        <v>93</v>
      </c>
      <c r="J3265" s="15" t="s">
        <v>22</v>
      </c>
      <c r="K3265" s="15" t="s">
        <v>225</v>
      </c>
      <c r="L3265" s="15" t="s">
        <v>24</v>
      </c>
      <c r="M3265" s="16">
        <v>0.25</v>
      </c>
      <c r="N3265" s="16">
        <v>0.25</v>
      </c>
      <c r="O3265" s="16">
        <v>0.25</v>
      </c>
      <c r="P3265" s="17">
        <v>45535.0</v>
      </c>
      <c r="Q3265" s="18">
        <v>1.75</v>
      </c>
      <c r="R3265" s="15" t="s">
        <v>33</v>
      </c>
      <c r="S3265" s="19">
        <f t="shared" si="1"/>
        <v>0.1875</v>
      </c>
      <c r="T3265" s="19">
        <f t="shared" si="8"/>
        <v>109.610984</v>
      </c>
      <c r="U3265" s="144"/>
    </row>
    <row r="3266">
      <c r="A3266" s="107"/>
      <c r="B3266" s="8" t="s">
        <v>18</v>
      </c>
      <c r="C3266" s="8" t="s">
        <v>19</v>
      </c>
      <c r="D3266" s="8">
        <v>73.0</v>
      </c>
      <c r="E3266" s="8" t="s">
        <v>2370</v>
      </c>
      <c r="F3266" s="8" t="s">
        <v>1473</v>
      </c>
      <c r="G3266" s="8" t="s">
        <v>1480</v>
      </c>
      <c r="H3266" s="8">
        <v>0.0</v>
      </c>
      <c r="I3266" s="8" t="s">
        <v>93</v>
      </c>
      <c r="J3266" s="8" t="s">
        <v>22</v>
      </c>
      <c r="K3266" s="8" t="s">
        <v>941</v>
      </c>
      <c r="L3266" s="8" t="s">
        <v>24</v>
      </c>
      <c r="M3266" s="9">
        <v>0.0</v>
      </c>
      <c r="N3266" s="9">
        <v>0.25</v>
      </c>
      <c r="O3266" s="9">
        <v>0.25</v>
      </c>
      <c r="P3266" s="10">
        <v>45535.0</v>
      </c>
      <c r="Q3266" s="11">
        <v>3.0</v>
      </c>
      <c r="R3266" s="8" t="s">
        <v>33</v>
      </c>
      <c r="S3266" s="12">
        <f t="shared" si="1"/>
        <v>0.5</v>
      </c>
      <c r="T3266" s="12">
        <f t="shared" si="8"/>
        <v>110.110984</v>
      </c>
      <c r="U3266" s="145"/>
    </row>
    <row r="3267">
      <c r="A3267" s="29"/>
      <c r="B3267" s="15" t="s">
        <v>129</v>
      </c>
      <c r="C3267" s="15" t="s">
        <v>19</v>
      </c>
      <c r="D3267" s="15">
        <v>58.0</v>
      </c>
      <c r="E3267" s="15" t="s">
        <v>2371</v>
      </c>
      <c r="F3267" s="15" t="s">
        <v>1479</v>
      </c>
      <c r="G3267" s="15" t="s">
        <v>1474</v>
      </c>
      <c r="H3267" s="15">
        <v>2.0</v>
      </c>
      <c r="I3267" s="15" t="s">
        <v>82</v>
      </c>
      <c r="J3267" s="15" t="s">
        <v>22</v>
      </c>
      <c r="K3267" s="15" t="s">
        <v>225</v>
      </c>
      <c r="L3267" s="15" t="s">
        <v>24</v>
      </c>
      <c r="M3267" s="16">
        <v>0.25</v>
      </c>
      <c r="N3267" s="16">
        <v>0.22</v>
      </c>
      <c r="O3267" s="16">
        <v>0.22</v>
      </c>
      <c r="P3267" s="55">
        <v>45535.0</v>
      </c>
      <c r="Q3267" s="18">
        <v>1.213</v>
      </c>
      <c r="R3267" s="15" t="s">
        <v>33</v>
      </c>
      <c r="S3267" s="19">
        <f t="shared" si="1"/>
        <v>0.04686</v>
      </c>
      <c r="T3267" s="19">
        <f t="shared" si="8"/>
        <v>110.157844</v>
      </c>
      <c r="U3267" s="144"/>
    </row>
    <row r="3268">
      <c r="A3268" s="107"/>
      <c r="B3268" s="8" t="s">
        <v>129</v>
      </c>
      <c r="C3268" s="8" t="s">
        <v>19</v>
      </c>
      <c r="D3268" s="8">
        <v>65.0</v>
      </c>
      <c r="E3268" s="8" t="s">
        <v>1790</v>
      </c>
      <c r="F3268" s="8" t="s">
        <v>1473</v>
      </c>
      <c r="G3268" s="8" t="s">
        <v>1480</v>
      </c>
      <c r="H3268" s="8">
        <v>-1.0</v>
      </c>
      <c r="I3268" s="8" t="s">
        <v>93</v>
      </c>
      <c r="J3268" s="8" t="s">
        <v>22</v>
      </c>
      <c r="K3268" s="8" t="s">
        <v>892</v>
      </c>
      <c r="L3268" s="8" t="s">
        <v>24</v>
      </c>
      <c r="M3268" s="9">
        <v>0.0</v>
      </c>
      <c r="N3268" s="9">
        <v>0.5</v>
      </c>
      <c r="O3268" s="9">
        <f>0.25+0.25*4/47</f>
        <v>0.2712765957</v>
      </c>
      <c r="P3268" s="10">
        <v>45536.0</v>
      </c>
      <c r="Q3268" s="11">
        <v>2.15</v>
      </c>
      <c r="R3268" s="8" t="s">
        <v>25</v>
      </c>
      <c r="S3268" s="12">
        <f t="shared" si="1"/>
        <v>-0.2712765957</v>
      </c>
      <c r="T3268" s="12">
        <f t="shared" si="8"/>
        <v>109.8865674</v>
      </c>
      <c r="U3268" s="145"/>
    </row>
    <row r="3269">
      <c r="A3269" s="29"/>
      <c r="B3269" s="15" t="s">
        <v>137</v>
      </c>
      <c r="C3269" s="15" t="s">
        <v>19</v>
      </c>
      <c r="D3269" s="15">
        <v>35.0</v>
      </c>
      <c r="E3269" s="15" t="s">
        <v>1791</v>
      </c>
      <c r="F3269" s="15" t="s">
        <v>1479</v>
      </c>
      <c r="G3269" s="15" t="s">
        <v>1480</v>
      </c>
      <c r="H3269" s="15">
        <v>-1.0</v>
      </c>
      <c r="I3269" s="15" t="s">
        <v>84</v>
      </c>
      <c r="J3269" s="15" t="s">
        <v>22</v>
      </c>
      <c r="K3269" s="15" t="s">
        <v>892</v>
      </c>
      <c r="L3269" s="15" t="s">
        <v>24</v>
      </c>
      <c r="M3269" s="16">
        <v>0.0</v>
      </c>
      <c r="N3269" s="16">
        <v>0.75</v>
      </c>
      <c r="O3269" s="16">
        <v>0.75</v>
      </c>
      <c r="P3269" s="17">
        <v>45536.0</v>
      </c>
      <c r="Q3269" s="18">
        <v>1.047</v>
      </c>
      <c r="R3269" s="15" t="s">
        <v>33</v>
      </c>
      <c r="S3269" s="19">
        <f t="shared" si="1"/>
        <v>0.03525</v>
      </c>
      <c r="T3269" s="19">
        <f t="shared" si="8"/>
        <v>109.9218174</v>
      </c>
      <c r="U3269" s="144"/>
    </row>
    <row r="3270">
      <c r="A3270" s="107"/>
      <c r="B3270" s="8" t="s">
        <v>18</v>
      </c>
      <c r="C3270" s="8" t="s">
        <v>19</v>
      </c>
      <c r="D3270" s="8">
        <v>80.0</v>
      </c>
      <c r="E3270" s="8" t="s">
        <v>1792</v>
      </c>
      <c r="F3270" s="8" t="s">
        <v>1479</v>
      </c>
      <c r="G3270" s="8" t="s">
        <v>1480</v>
      </c>
      <c r="H3270" s="8">
        <v>-1.0</v>
      </c>
      <c r="I3270" s="8" t="s">
        <v>908</v>
      </c>
      <c r="J3270" s="8" t="s">
        <v>22</v>
      </c>
      <c r="K3270" s="8" t="s">
        <v>892</v>
      </c>
      <c r="L3270" s="8" t="s">
        <v>24</v>
      </c>
      <c r="M3270" s="9">
        <v>0.0</v>
      </c>
      <c r="N3270" s="9">
        <v>0.25</v>
      </c>
      <c r="O3270" s="9">
        <v>0.25</v>
      </c>
      <c r="P3270" s="10">
        <v>45536.0</v>
      </c>
      <c r="Q3270" s="11">
        <v>1.975</v>
      </c>
      <c r="R3270" s="8" t="s">
        <v>70</v>
      </c>
      <c r="S3270" s="12">
        <f t="shared" si="1"/>
        <v>0</v>
      </c>
      <c r="T3270" s="12">
        <f t="shared" si="8"/>
        <v>109.9218174</v>
      </c>
      <c r="U3270" s="145"/>
    </row>
    <row r="3271">
      <c r="A3271" s="29"/>
      <c r="B3271" s="15" t="s">
        <v>129</v>
      </c>
      <c r="C3271" s="15" t="s">
        <v>19</v>
      </c>
      <c r="D3271" s="15">
        <v>40.0</v>
      </c>
      <c r="E3271" s="15" t="s">
        <v>1793</v>
      </c>
      <c r="F3271" s="15" t="s">
        <v>1479</v>
      </c>
      <c r="G3271" s="15" t="s">
        <v>1480</v>
      </c>
      <c r="H3271" s="15">
        <v>0.0</v>
      </c>
      <c r="I3271" s="15" t="s">
        <v>513</v>
      </c>
      <c r="J3271" s="15" t="s">
        <v>22</v>
      </c>
      <c r="K3271" s="15" t="s">
        <v>892</v>
      </c>
      <c r="L3271" s="15" t="s">
        <v>24</v>
      </c>
      <c r="M3271" s="16">
        <v>0.0</v>
      </c>
      <c r="N3271" s="16">
        <v>0.5</v>
      </c>
      <c r="O3271" s="16">
        <v>0.5</v>
      </c>
      <c r="P3271" s="17">
        <v>45536.0</v>
      </c>
      <c r="Q3271" s="18">
        <v>1.8</v>
      </c>
      <c r="R3271" s="15" t="s">
        <v>25</v>
      </c>
      <c r="S3271" s="19">
        <f t="shared" si="1"/>
        <v>-0.5</v>
      </c>
      <c r="T3271" s="19">
        <f t="shared" si="8"/>
        <v>109.4218174</v>
      </c>
      <c r="U3271" s="144"/>
    </row>
    <row r="3272">
      <c r="A3272" s="107"/>
      <c r="B3272" s="8" t="s">
        <v>26</v>
      </c>
      <c r="C3272" s="8" t="s">
        <v>19</v>
      </c>
      <c r="D3272" s="8">
        <v>55.0</v>
      </c>
      <c r="E3272" s="8" t="s">
        <v>1794</v>
      </c>
      <c r="F3272" s="8" t="s">
        <v>1473</v>
      </c>
      <c r="G3272" s="8" t="s">
        <v>1474</v>
      </c>
      <c r="H3272" s="8">
        <v>-2.0</v>
      </c>
      <c r="I3272" s="8" t="s">
        <v>101</v>
      </c>
      <c r="J3272" s="8" t="s">
        <v>22</v>
      </c>
      <c r="K3272" s="8" t="s">
        <v>225</v>
      </c>
      <c r="L3272" s="8" t="s">
        <v>24</v>
      </c>
      <c r="M3272" s="9">
        <v>0.25</v>
      </c>
      <c r="N3272" s="9">
        <v>0.25</v>
      </c>
      <c r="O3272" s="9">
        <f>0.25*35/47</f>
        <v>0.1861702128</v>
      </c>
      <c r="P3272" s="10">
        <v>45536.0</v>
      </c>
      <c r="Q3272" s="11">
        <v>1.75</v>
      </c>
      <c r="R3272" s="8" t="s">
        <v>30</v>
      </c>
      <c r="S3272" s="12">
        <f t="shared" si="1"/>
        <v>0.06981382979</v>
      </c>
      <c r="T3272" s="12">
        <f t="shared" si="8"/>
        <v>109.4916313</v>
      </c>
      <c r="U3272" s="145"/>
    </row>
    <row r="3273">
      <c r="A3273" s="29"/>
      <c r="B3273" s="15" t="s">
        <v>129</v>
      </c>
      <c r="C3273" s="15" t="s">
        <v>19</v>
      </c>
      <c r="D3273" s="15">
        <v>55.0</v>
      </c>
      <c r="E3273" s="15" t="s">
        <v>1795</v>
      </c>
      <c r="F3273" s="15" t="s">
        <v>1479</v>
      </c>
      <c r="G3273" s="15" t="s">
        <v>1480</v>
      </c>
      <c r="H3273" s="15">
        <v>-1.0</v>
      </c>
      <c r="I3273" s="15" t="s">
        <v>101</v>
      </c>
      <c r="J3273" s="15" t="s">
        <v>22</v>
      </c>
      <c r="K3273" s="15" t="s">
        <v>892</v>
      </c>
      <c r="L3273" s="15" t="s">
        <v>24</v>
      </c>
      <c r="M3273" s="16">
        <v>0.0</v>
      </c>
      <c r="N3273" s="16">
        <v>1.0</v>
      </c>
      <c r="O3273" s="16">
        <v>1.0</v>
      </c>
      <c r="P3273" s="17">
        <v>45536.0</v>
      </c>
      <c r="Q3273" s="18">
        <v>1.9</v>
      </c>
      <c r="R3273" s="15" t="s">
        <v>70</v>
      </c>
      <c r="S3273" s="19">
        <f t="shared" si="1"/>
        <v>0</v>
      </c>
      <c r="T3273" s="19">
        <f t="shared" si="8"/>
        <v>109.4916313</v>
      </c>
      <c r="U3273" s="144"/>
    </row>
    <row r="3274">
      <c r="A3274" s="107"/>
      <c r="B3274" s="8" t="s">
        <v>26</v>
      </c>
      <c r="C3274" s="8" t="s">
        <v>19</v>
      </c>
      <c r="D3274" s="8">
        <v>50.0</v>
      </c>
      <c r="E3274" s="8" t="s">
        <v>1796</v>
      </c>
      <c r="F3274" s="8" t="s">
        <v>1473</v>
      </c>
      <c r="G3274" s="8" t="s">
        <v>1474</v>
      </c>
      <c r="H3274" s="8">
        <v>0.0</v>
      </c>
      <c r="I3274" s="8" t="s">
        <v>703</v>
      </c>
      <c r="J3274" s="8" t="s">
        <v>22</v>
      </c>
      <c r="K3274" s="8" t="s">
        <v>941</v>
      </c>
      <c r="L3274" s="8" t="s">
        <v>24</v>
      </c>
      <c r="M3274" s="9">
        <v>0.0</v>
      </c>
      <c r="N3274" s="9">
        <v>0.4</v>
      </c>
      <c r="O3274" s="9">
        <v>0.4</v>
      </c>
      <c r="P3274" s="10">
        <v>45536.0</v>
      </c>
      <c r="Q3274" s="11">
        <f>(2*0.25+2.37*0.15)/0.4</f>
        <v>2.13875</v>
      </c>
      <c r="R3274" s="8" t="s">
        <v>33</v>
      </c>
      <c r="S3274" s="12">
        <f t="shared" si="1"/>
        <v>0.4555</v>
      </c>
      <c r="T3274" s="12">
        <f t="shared" si="8"/>
        <v>109.9471313</v>
      </c>
      <c r="U3274" s="145"/>
    </row>
    <row r="3275">
      <c r="A3275" s="29"/>
      <c r="B3275" s="15" t="s">
        <v>26</v>
      </c>
      <c r="C3275" s="15" t="s">
        <v>19</v>
      </c>
      <c r="D3275" s="15">
        <v>75.0</v>
      </c>
      <c r="E3275" s="15" t="s">
        <v>1797</v>
      </c>
      <c r="F3275" s="15" t="s">
        <v>1473</v>
      </c>
      <c r="G3275" s="15" t="s">
        <v>1480</v>
      </c>
      <c r="H3275" s="15">
        <v>-1.0</v>
      </c>
      <c r="I3275" s="15" t="s">
        <v>101</v>
      </c>
      <c r="J3275" s="15" t="s">
        <v>22</v>
      </c>
      <c r="K3275" s="15" t="s">
        <v>892</v>
      </c>
      <c r="L3275" s="15" t="s">
        <v>24</v>
      </c>
      <c r="M3275" s="16">
        <v>0.0</v>
      </c>
      <c r="N3275" s="16">
        <v>0.25</v>
      </c>
      <c r="O3275" s="16">
        <v>0.25</v>
      </c>
      <c r="P3275" s="17">
        <v>45536.0</v>
      </c>
      <c r="Q3275" s="18">
        <v>2.1</v>
      </c>
      <c r="R3275" s="15" t="s">
        <v>70</v>
      </c>
      <c r="S3275" s="19">
        <f t="shared" si="1"/>
        <v>0</v>
      </c>
      <c r="T3275" s="19">
        <f t="shared" si="8"/>
        <v>109.9471313</v>
      </c>
      <c r="U3275" s="144"/>
    </row>
    <row r="3276">
      <c r="A3276" s="107"/>
      <c r="B3276" s="8" t="s">
        <v>137</v>
      </c>
      <c r="C3276" s="8" t="s">
        <v>40</v>
      </c>
      <c r="D3276" s="8">
        <v>70.0</v>
      </c>
      <c r="E3276" s="8" t="s">
        <v>1798</v>
      </c>
      <c r="F3276" s="8" t="s">
        <v>1473</v>
      </c>
      <c r="G3276" s="8" t="s">
        <v>1480</v>
      </c>
      <c r="H3276" s="8">
        <v>-1.0</v>
      </c>
      <c r="I3276" s="8" t="s">
        <v>172</v>
      </c>
      <c r="J3276" s="8" t="s">
        <v>22</v>
      </c>
      <c r="K3276" s="8" t="s">
        <v>892</v>
      </c>
      <c r="L3276" s="8" t="s">
        <v>24</v>
      </c>
      <c r="M3276" s="9">
        <v>0.0</v>
      </c>
      <c r="N3276" s="9">
        <v>1.0</v>
      </c>
      <c r="O3276" s="9">
        <v>1.0</v>
      </c>
      <c r="P3276" s="10">
        <v>45536.0</v>
      </c>
      <c r="Q3276" s="11">
        <v>2.0</v>
      </c>
      <c r="R3276" s="8" t="s">
        <v>25</v>
      </c>
      <c r="S3276" s="12">
        <f t="shared" si="1"/>
        <v>-1</v>
      </c>
      <c r="T3276" s="12">
        <f t="shared" si="8"/>
        <v>108.9471313</v>
      </c>
      <c r="U3276" s="145"/>
    </row>
    <row r="3277">
      <c r="A3277" s="29"/>
      <c r="B3277" s="15" t="s">
        <v>26</v>
      </c>
      <c r="C3277" s="15" t="s">
        <v>19</v>
      </c>
      <c r="D3277" s="15">
        <v>59.0</v>
      </c>
      <c r="E3277" s="15" t="s">
        <v>1799</v>
      </c>
      <c r="F3277" s="15" t="s">
        <v>1479</v>
      </c>
      <c r="G3277" s="15" t="s">
        <v>1480</v>
      </c>
      <c r="H3277" s="15">
        <v>-1.0</v>
      </c>
      <c r="I3277" s="15" t="s">
        <v>84</v>
      </c>
      <c r="J3277" s="15" t="s">
        <v>22</v>
      </c>
      <c r="K3277" s="15" t="s">
        <v>892</v>
      </c>
      <c r="L3277" s="15" t="s">
        <v>24</v>
      </c>
      <c r="M3277" s="16">
        <v>0.0</v>
      </c>
      <c r="N3277" s="16">
        <v>0.5</v>
      </c>
      <c r="O3277" s="16">
        <v>0.5</v>
      </c>
      <c r="P3277" s="17">
        <v>45536.0</v>
      </c>
      <c r="Q3277" s="18">
        <v>2.02</v>
      </c>
      <c r="R3277" s="15" t="s">
        <v>70</v>
      </c>
      <c r="S3277" s="19">
        <f t="shared" si="1"/>
        <v>0</v>
      </c>
      <c r="T3277" s="19">
        <f t="shared" si="8"/>
        <v>108.9471313</v>
      </c>
      <c r="U3277" s="144"/>
    </row>
    <row r="3278">
      <c r="A3278" s="107"/>
      <c r="B3278" s="8" t="s">
        <v>26</v>
      </c>
      <c r="C3278" s="8" t="s">
        <v>19</v>
      </c>
      <c r="D3278" s="8">
        <v>0.0</v>
      </c>
      <c r="E3278" s="8" t="s">
        <v>1800</v>
      </c>
      <c r="F3278" s="8"/>
      <c r="G3278" s="8"/>
      <c r="H3278" s="8"/>
      <c r="I3278" s="8" t="s">
        <v>82</v>
      </c>
      <c r="J3278" s="8" t="s">
        <v>598</v>
      </c>
      <c r="K3278" s="8" t="s">
        <v>29</v>
      </c>
      <c r="L3278" s="8" t="s">
        <v>39</v>
      </c>
      <c r="M3278" s="9">
        <v>-2.25</v>
      </c>
      <c r="N3278" s="9">
        <v>0.25</v>
      </c>
      <c r="O3278" s="9">
        <v>0.25</v>
      </c>
      <c r="P3278" s="10">
        <v>45538.0</v>
      </c>
      <c r="Q3278" s="11">
        <f>269.13/250</f>
        <v>1.07652</v>
      </c>
      <c r="R3278" s="8" t="s">
        <v>33</v>
      </c>
      <c r="S3278" s="12">
        <f t="shared" si="1"/>
        <v>0.01913</v>
      </c>
      <c r="T3278" s="12">
        <f t="shared" si="8"/>
        <v>108.9662613</v>
      </c>
      <c r="U3278" s="145"/>
    </row>
    <row r="3279">
      <c r="A3279" s="29"/>
      <c r="B3279" s="15" t="s">
        <v>26</v>
      </c>
      <c r="C3279" s="15" t="s">
        <v>19</v>
      </c>
      <c r="D3279" s="15">
        <v>75.0</v>
      </c>
      <c r="E3279" s="15" t="s">
        <v>1801</v>
      </c>
      <c r="F3279" s="15" t="s">
        <v>1479</v>
      </c>
      <c r="G3279" s="15" t="s">
        <v>1480</v>
      </c>
      <c r="H3279" s="15">
        <v>-1.0</v>
      </c>
      <c r="I3279" s="15" t="s">
        <v>38</v>
      </c>
      <c r="J3279" s="15" t="s">
        <v>22</v>
      </c>
      <c r="K3279" s="15" t="s">
        <v>892</v>
      </c>
      <c r="L3279" s="15" t="s">
        <v>39</v>
      </c>
      <c r="M3279" s="16">
        <v>0.0</v>
      </c>
      <c r="N3279" s="16">
        <v>0.25</v>
      </c>
      <c r="O3279" s="16">
        <v>0.25</v>
      </c>
      <c r="P3279" s="17">
        <v>45538.0</v>
      </c>
      <c r="Q3279" s="18">
        <v>2.025</v>
      </c>
      <c r="R3279" s="15" t="s">
        <v>33</v>
      </c>
      <c r="S3279" s="19">
        <f t="shared" si="1"/>
        <v>0.25625</v>
      </c>
      <c r="T3279" s="19">
        <f t="shared" si="8"/>
        <v>109.2225113</v>
      </c>
      <c r="U3279" s="144"/>
    </row>
    <row r="3280">
      <c r="A3280" s="107"/>
      <c r="B3280" s="8" t="s">
        <v>18</v>
      </c>
      <c r="C3280" s="8" t="s">
        <v>19</v>
      </c>
      <c r="D3280" s="8">
        <v>56.0</v>
      </c>
      <c r="E3280" s="8" t="s">
        <v>1802</v>
      </c>
      <c r="F3280" s="8" t="s">
        <v>1473</v>
      </c>
      <c r="G3280" s="8" t="s">
        <v>1477</v>
      </c>
      <c r="H3280" s="8">
        <v>0.0</v>
      </c>
      <c r="I3280" s="8" t="s">
        <v>908</v>
      </c>
      <c r="J3280" s="8" t="s">
        <v>22</v>
      </c>
      <c r="K3280" s="8" t="s">
        <v>894</v>
      </c>
      <c r="L3280" s="8" t="s">
        <v>1803</v>
      </c>
      <c r="M3280" s="9">
        <v>-0.5</v>
      </c>
      <c r="N3280" s="9">
        <v>0.5</v>
      </c>
      <c r="O3280" s="9">
        <v>0.07</v>
      </c>
      <c r="P3280" s="10">
        <v>45538.0</v>
      </c>
      <c r="Q3280" s="11">
        <v>1.825</v>
      </c>
      <c r="R3280" s="8" t="s">
        <v>25</v>
      </c>
      <c r="S3280" s="12">
        <f t="shared" si="1"/>
        <v>-0.07</v>
      </c>
      <c r="T3280" s="12">
        <f t="shared" si="8"/>
        <v>109.1525113</v>
      </c>
      <c r="U3280" s="145"/>
    </row>
    <row r="3281">
      <c r="A3281" s="29"/>
      <c r="B3281" s="15" t="s">
        <v>26</v>
      </c>
      <c r="C3281" s="15" t="s">
        <v>19</v>
      </c>
      <c r="D3281" s="15">
        <v>0.0</v>
      </c>
      <c r="E3281" s="15" t="s">
        <v>1804</v>
      </c>
      <c r="F3281" s="15"/>
      <c r="G3281" s="15"/>
      <c r="H3281" s="15"/>
      <c r="I3281" s="15" t="s">
        <v>82</v>
      </c>
      <c r="J3281" s="15" t="s">
        <v>598</v>
      </c>
      <c r="K3281" s="15" t="s">
        <v>440</v>
      </c>
      <c r="L3281" s="15" t="s">
        <v>39</v>
      </c>
      <c r="M3281" s="16">
        <v>2.0</v>
      </c>
      <c r="N3281" s="16">
        <v>0.1</v>
      </c>
      <c r="O3281" s="16">
        <v>0.1</v>
      </c>
      <c r="P3281" s="17">
        <v>45539.0</v>
      </c>
      <c r="Q3281" s="18">
        <v>1.975</v>
      </c>
      <c r="R3281" s="15" t="s">
        <v>25</v>
      </c>
      <c r="S3281" s="19">
        <f t="shared" si="1"/>
        <v>-0.1</v>
      </c>
      <c r="T3281" s="19">
        <f t="shared" si="8"/>
        <v>109.0525113</v>
      </c>
      <c r="U3281" s="144"/>
    </row>
    <row r="3282">
      <c r="A3282" s="107"/>
      <c r="B3282" s="8" t="s">
        <v>26</v>
      </c>
      <c r="C3282" s="8" t="s">
        <v>19</v>
      </c>
      <c r="D3282" s="8">
        <v>15.0</v>
      </c>
      <c r="E3282" s="8" t="s">
        <v>1805</v>
      </c>
      <c r="F3282" s="8" t="s">
        <v>1479</v>
      </c>
      <c r="G3282" s="8" t="s">
        <v>1480</v>
      </c>
      <c r="H3282" s="8">
        <v>0.0</v>
      </c>
      <c r="I3282" s="8" t="s">
        <v>319</v>
      </c>
      <c r="J3282" s="8" t="s">
        <v>22</v>
      </c>
      <c r="K3282" s="8" t="s">
        <v>1150</v>
      </c>
      <c r="L3282" s="8" t="s">
        <v>24</v>
      </c>
      <c r="M3282" s="9">
        <v>0.0</v>
      </c>
      <c r="N3282" s="9">
        <v>0.25</v>
      </c>
      <c r="O3282" s="9">
        <v>0.2218</v>
      </c>
      <c r="P3282" s="10">
        <v>45539.0</v>
      </c>
      <c r="Q3282" s="11">
        <v>1.578</v>
      </c>
      <c r="R3282" s="8" t="s">
        <v>33</v>
      </c>
      <c r="S3282" s="12">
        <f t="shared" si="1"/>
        <v>0.1282004</v>
      </c>
      <c r="T3282" s="12">
        <f t="shared" si="8"/>
        <v>109.1807117</v>
      </c>
      <c r="U3282" s="145"/>
    </row>
    <row r="3283">
      <c r="A3283" s="29"/>
      <c r="B3283" s="15" t="s">
        <v>18</v>
      </c>
      <c r="C3283" s="15" t="s">
        <v>19</v>
      </c>
      <c r="D3283" s="15">
        <v>83.0</v>
      </c>
      <c r="E3283" s="15" t="s">
        <v>1806</v>
      </c>
      <c r="F3283" s="15" t="s">
        <v>1473</v>
      </c>
      <c r="G3283" s="15" t="s">
        <v>1474</v>
      </c>
      <c r="H3283" s="15">
        <v>-3.0</v>
      </c>
      <c r="I3283" s="15" t="s">
        <v>463</v>
      </c>
      <c r="J3283" s="15" t="s">
        <v>22</v>
      </c>
      <c r="K3283" s="15" t="s">
        <v>225</v>
      </c>
      <c r="L3283" s="15" t="s">
        <v>24</v>
      </c>
      <c r="M3283" s="16">
        <v>0.5</v>
      </c>
      <c r="N3283" s="16">
        <v>0.3</v>
      </c>
      <c r="O3283" s="16">
        <v>0.0435</v>
      </c>
      <c r="P3283" s="17">
        <v>45539.0</v>
      </c>
      <c r="Q3283" s="18">
        <v>1.725</v>
      </c>
      <c r="R3283" s="15" t="s">
        <v>25</v>
      </c>
      <c r="S3283" s="19">
        <f t="shared" si="1"/>
        <v>-0.0435</v>
      </c>
      <c r="T3283" s="19">
        <f t="shared" si="8"/>
        <v>109.1372117</v>
      </c>
      <c r="U3283" s="144"/>
    </row>
    <row r="3284">
      <c r="A3284" s="107"/>
      <c r="B3284" s="8" t="s">
        <v>18</v>
      </c>
      <c r="C3284" s="8" t="s">
        <v>19</v>
      </c>
      <c r="D3284" s="8">
        <v>43.0</v>
      </c>
      <c r="E3284" s="133" t="s">
        <v>5551</v>
      </c>
      <c r="F3284" s="8" t="s">
        <v>1473</v>
      </c>
      <c r="G3284" s="8" t="s">
        <v>1480</v>
      </c>
      <c r="H3284" s="8">
        <v>-1.0</v>
      </c>
      <c r="I3284" s="8" t="s">
        <v>84</v>
      </c>
      <c r="J3284" s="8" t="s">
        <v>22</v>
      </c>
      <c r="K3284" s="8" t="s">
        <v>892</v>
      </c>
      <c r="L3284" s="8" t="s">
        <v>24</v>
      </c>
      <c r="M3284" s="9">
        <v>0.0</v>
      </c>
      <c r="N3284" s="9">
        <v>0.5</v>
      </c>
      <c r="O3284" s="9">
        <v>0.5</v>
      </c>
      <c r="P3284" s="10">
        <v>45539.0</v>
      </c>
      <c r="Q3284" s="11">
        <v>2.025</v>
      </c>
      <c r="R3284" s="8" t="s">
        <v>25</v>
      </c>
      <c r="S3284" s="12">
        <f t="shared" si="1"/>
        <v>-0.5</v>
      </c>
      <c r="T3284" s="12">
        <f t="shared" si="8"/>
        <v>108.6372117</v>
      </c>
      <c r="U3284" s="145"/>
    </row>
    <row r="3285">
      <c r="A3285" s="29"/>
      <c r="B3285" s="15" t="s">
        <v>26</v>
      </c>
      <c r="C3285" s="15" t="s">
        <v>19</v>
      </c>
      <c r="D3285" s="15">
        <v>73.0</v>
      </c>
      <c r="E3285" s="15" t="s">
        <v>1808</v>
      </c>
      <c r="F3285" s="15" t="s">
        <v>1479</v>
      </c>
      <c r="G3285" s="15" t="s">
        <v>1480</v>
      </c>
      <c r="H3285" s="15">
        <v>-1.0</v>
      </c>
      <c r="I3285" s="15" t="s">
        <v>78</v>
      </c>
      <c r="J3285" s="15" t="s">
        <v>22</v>
      </c>
      <c r="K3285" s="15" t="s">
        <v>892</v>
      </c>
      <c r="L3285" s="15" t="s">
        <v>24</v>
      </c>
      <c r="M3285" s="16">
        <v>0.0</v>
      </c>
      <c r="N3285" s="16">
        <v>0.7</v>
      </c>
      <c r="O3285" s="16">
        <v>0.7</v>
      </c>
      <c r="P3285" s="17">
        <v>45540.0</v>
      </c>
      <c r="Q3285" s="18">
        <v>1.8</v>
      </c>
      <c r="R3285" s="15" t="s">
        <v>33</v>
      </c>
      <c r="S3285" s="19">
        <f t="shared" si="1"/>
        <v>0.56</v>
      </c>
      <c r="T3285" s="19">
        <f t="shared" si="8"/>
        <v>109.1972117</v>
      </c>
      <c r="U3285" s="144"/>
    </row>
    <row r="3286">
      <c r="A3286" s="107"/>
      <c r="B3286" s="8" t="s">
        <v>26</v>
      </c>
      <c r="C3286" s="8" t="s">
        <v>19</v>
      </c>
      <c r="D3286" s="8">
        <v>67.0</v>
      </c>
      <c r="E3286" s="8" t="s">
        <v>1809</v>
      </c>
      <c r="F3286" s="8" t="s">
        <v>1473</v>
      </c>
      <c r="G3286" s="8" t="s">
        <v>1474</v>
      </c>
      <c r="H3286" s="8">
        <v>-1.0</v>
      </c>
      <c r="I3286" s="8" t="s">
        <v>683</v>
      </c>
      <c r="J3286" s="8" t="s">
        <v>22</v>
      </c>
      <c r="K3286" s="8" t="s">
        <v>225</v>
      </c>
      <c r="L3286" s="8" t="s">
        <v>24</v>
      </c>
      <c r="M3286" s="9">
        <v>0.25</v>
      </c>
      <c r="N3286" s="9">
        <v>0.25</v>
      </c>
      <c r="O3286" s="9">
        <v>0.25</v>
      </c>
      <c r="P3286" s="54">
        <v>45540.0</v>
      </c>
      <c r="Q3286" s="11">
        <v>1.775</v>
      </c>
      <c r="R3286" s="8" t="s">
        <v>30</v>
      </c>
      <c r="S3286" s="12">
        <f t="shared" si="1"/>
        <v>0.096875</v>
      </c>
      <c r="T3286" s="12">
        <f t="shared" si="8"/>
        <v>109.2940867</v>
      </c>
      <c r="U3286" s="145"/>
    </row>
    <row r="3287">
      <c r="A3287" s="29"/>
      <c r="B3287" s="15" t="s">
        <v>26</v>
      </c>
      <c r="C3287" s="15" t="s">
        <v>19</v>
      </c>
      <c r="D3287" s="15">
        <v>68.0</v>
      </c>
      <c r="E3287" s="15" t="s">
        <v>1810</v>
      </c>
      <c r="F3287" s="15" t="s">
        <v>1473</v>
      </c>
      <c r="G3287" s="15" t="s">
        <v>1480</v>
      </c>
      <c r="H3287" s="15">
        <v>-1.0</v>
      </c>
      <c r="I3287" s="15" t="s">
        <v>683</v>
      </c>
      <c r="J3287" s="15" t="s">
        <v>22</v>
      </c>
      <c r="K3287" s="15" t="s">
        <v>892</v>
      </c>
      <c r="L3287" s="15" t="s">
        <v>24</v>
      </c>
      <c r="M3287" s="16">
        <v>0.0</v>
      </c>
      <c r="N3287" s="16">
        <v>0.2</v>
      </c>
      <c r="O3287" s="16">
        <v>0.2</v>
      </c>
      <c r="P3287" s="17">
        <v>45540.0</v>
      </c>
      <c r="Q3287" s="18">
        <v>2.55</v>
      </c>
      <c r="R3287" s="15" t="s">
        <v>70</v>
      </c>
      <c r="S3287" s="19">
        <f t="shared" si="1"/>
        <v>0</v>
      </c>
      <c r="T3287" s="19">
        <f t="shared" si="8"/>
        <v>109.2940867</v>
      </c>
      <c r="U3287" s="144"/>
    </row>
    <row r="3288">
      <c r="A3288" s="107"/>
      <c r="B3288" s="8" t="s">
        <v>26</v>
      </c>
      <c r="C3288" s="8" t="s">
        <v>19</v>
      </c>
      <c r="D3288" s="8">
        <v>93.0</v>
      </c>
      <c r="E3288" s="8" t="s">
        <v>1811</v>
      </c>
      <c r="F3288" s="8"/>
      <c r="G3288" s="8"/>
      <c r="H3288" s="8"/>
      <c r="I3288" s="8" t="s">
        <v>683</v>
      </c>
      <c r="J3288" s="8" t="s">
        <v>22</v>
      </c>
      <c r="K3288" s="8" t="s">
        <v>440</v>
      </c>
      <c r="L3288" s="8" t="s">
        <v>24</v>
      </c>
      <c r="M3288" s="9">
        <v>1.5</v>
      </c>
      <c r="N3288" s="9">
        <v>0.05</v>
      </c>
      <c r="O3288" s="9">
        <v>0.04</v>
      </c>
      <c r="P3288" s="10">
        <v>45540.0</v>
      </c>
      <c r="Q3288" s="11">
        <v>6.6</v>
      </c>
      <c r="R3288" s="8" t="s">
        <v>25</v>
      </c>
      <c r="S3288" s="12">
        <f t="shared" si="1"/>
        <v>-0.04</v>
      </c>
      <c r="T3288" s="12">
        <f t="shared" si="8"/>
        <v>109.2540867</v>
      </c>
      <c r="U3288" s="145"/>
    </row>
    <row r="3289">
      <c r="A3289" s="29"/>
      <c r="B3289" s="15" t="s">
        <v>137</v>
      </c>
      <c r="C3289" s="15" t="s">
        <v>19</v>
      </c>
      <c r="D3289" s="15">
        <v>63.0</v>
      </c>
      <c r="E3289" s="15" t="s">
        <v>1812</v>
      </c>
      <c r="F3289" s="15" t="s">
        <v>1479</v>
      </c>
      <c r="G3289" s="15" t="s">
        <v>1477</v>
      </c>
      <c r="H3289" s="15">
        <v>1.0</v>
      </c>
      <c r="I3289" s="15" t="s">
        <v>167</v>
      </c>
      <c r="J3289" s="15" t="s">
        <v>22</v>
      </c>
      <c r="K3289" s="15" t="s">
        <v>894</v>
      </c>
      <c r="L3289" s="15" t="s">
        <v>24</v>
      </c>
      <c r="M3289" s="16">
        <v>-0.5</v>
      </c>
      <c r="N3289" s="16">
        <v>0.25</v>
      </c>
      <c r="O3289" s="16">
        <v>0.25</v>
      </c>
      <c r="P3289" s="17">
        <v>45541.0</v>
      </c>
      <c r="Q3289" s="18">
        <v>1.95</v>
      </c>
      <c r="R3289" s="15" t="s">
        <v>25</v>
      </c>
      <c r="S3289" s="19">
        <f t="shared" si="1"/>
        <v>-0.25</v>
      </c>
      <c r="T3289" s="19">
        <f t="shared" si="8"/>
        <v>109.0040867</v>
      </c>
      <c r="U3289" s="144"/>
    </row>
    <row r="3290">
      <c r="A3290" s="107"/>
      <c r="B3290" s="8" t="s">
        <v>26</v>
      </c>
      <c r="C3290" s="8" t="s">
        <v>19</v>
      </c>
      <c r="D3290" s="8">
        <v>9.0</v>
      </c>
      <c r="E3290" s="8" t="s">
        <v>1813</v>
      </c>
      <c r="F3290" s="8" t="s">
        <v>1473</v>
      </c>
      <c r="G3290" s="8" t="s">
        <v>1480</v>
      </c>
      <c r="H3290" s="8">
        <v>0.0</v>
      </c>
      <c r="I3290" s="8" t="s">
        <v>794</v>
      </c>
      <c r="J3290" s="8" t="s">
        <v>22</v>
      </c>
      <c r="K3290" s="8" t="s">
        <v>892</v>
      </c>
      <c r="L3290" s="8" t="s">
        <v>24</v>
      </c>
      <c r="M3290" s="9">
        <v>0.0</v>
      </c>
      <c r="N3290" s="98">
        <v>0.1</v>
      </c>
      <c r="O3290" s="33">
        <v>0.1</v>
      </c>
      <c r="P3290" s="10">
        <v>45541.0</v>
      </c>
      <c r="Q3290" s="11">
        <v>2.025</v>
      </c>
      <c r="R3290" s="8" t="s">
        <v>70</v>
      </c>
      <c r="S3290" s="12">
        <f t="shared" si="1"/>
        <v>0</v>
      </c>
      <c r="T3290" s="12">
        <f t="shared" si="8"/>
        <v>109.0040867</v>
      </c>
      <c r="U3290" s="145"/>
    </row>
    <row r="3291">
      <c r="A3291" s="29"/>
      <c r="B3291" s="15" t="s">
        <v>35</v>
      </c>
      <c r="C3291" s="15" t="s">
        <v>19</v>
      </c>
      <c r="D3291" s="15"/>
      <c r="E3291" s="15" t="s">
        <v>1814</v>
      </c>
      <c r="F3291" s="15" t="s">
        <v>1473</v>
      </c>
      <c r="G3291" s="15" t="s">
        <v>1480</v>
      </c>
      <c r="H3291" s="15">
        <v>0.0</v>
      </c>
      <c r="I3291" s="15" t="s">
        <v>174</v>
      </c>
      <c r="J3291" s="15" t="s">
        <v>22</v>
      </c>
      <c r="K3291" s="15" t="s">
        <v>892</v>
      </c>
      <c r="L3291" s="15" t="s">
        <v>24</v>
      </c>
      <c r="M3291" s="16">
        <v>0.0</v>
      </c>
      <c r="N3291" s="99">
        <v>0.1</v>
      </c>
      <c r="O3291" s="43">
        <v>0.1</v>
      </c>
      <c r="P3291" s="17">
        <v>45541.0</v>
      </c>
      <c r="Q3291" s="18">
        <v>1.75</v>
      </c>
      <c r="R3291" s="15" t="s">
        <v>70</v>
      </c>
      <c r="S3291" s="19">
        <f t="shared" si="1"/>
        <v>0</v>
      </c>
      <c r="T3291" s="19">
        <f t="shared" si="8"/>
        <v>109.0040867</v>
      </c>
      <c r="U3291" s="144"/>
    </row>
    <row r="3292">
      <c r="A3292" s="107"/>
      <c r="B3292" s="8" t="s">
        <v>26</v>
      </c>
      <c r="C3292" s="8" t="s">
        <v>19</v>
      </c>
      <c r="D3292" s="8"/>
      <c r="E3292" s="8" t="s">
        <v>1815</v>
      </c>
      <c r="F3292" s="8" t="s">
        <v>1479</v>
      </c>
      <c r="G3292" s="8" t="s">
        <v>1474</v>
      </c>
      <c r="H3292" s="8"/>
      <c r="I3292" s="8" t="s">
        <v>794</v>
      </c>
      <c r="J3292" s="8" t="s">
        <v>22</v>
      </c>
      <c r="K3292" s="8" t="s">
        <v>941</v>
      </c>
      <c r="L3292" s="8" t="s">
        <v>24</v>
      </c>
      <c r="M3292" s="9">
        <v>0.0</v>
      </c>
      <c r="N3292" s="9">
        <v>0.03</v>
      </c>
      <c r="O3292" s="9">
        <v>0.03</v>
      </c>
      <c r="P3292" s="10">
        <v>45541.0</v>
      </c>
      <c r="Q3292" s="11">
        <v>5.5</v>
      </c>
      <c r="R3292" s="8" t="s">
        <v>70</v>
      </c>
      <c r="S3292" s="12">
        <f t="shared" si="1"/>
        <v>0</v>
      </c>
      <c r="T3292" s="12">
        <f t="shared" si="8"/>
        <v>109.0040867</v>
      </c>
      <c r="U3292" s="145"/>
    </row>
    <row r="3293">
      <c r="A3293" s="29"/>
      <c r="B3293" s="15" t="s">
        <v>26</v>
      </c>
      <c r="C3293" s="15" t="s">
        <v>19</v>
      </c>
      <c r="D3293" s="15">
        <v>8.0</v>
      </c>
      <c r="E3293" s="15" t="s">
        <v>1816</v>
      </c>
      <c r="F3293" s="15" t="s">
        <v>1479</v>
      </c>
      <c r="G3293" s="15" t="s">
        <v>1474</v>
      </c>
      <c r="H3293" s="15">
        <v>0.0</v>
      </c>
      <c r="I3293" s="15" t="s">
        <v>794</v>
      </c>
      <c r="J3293" s="15" t="s">
        <v>22</v>
      </c>
      <c r="K3293" s="15" t="s">
        <v>225</v>
      </c>
      <c r="L3293" s="15" t="s">
        <v>24</v>
      </c>
      <c r="M3293" s="16">
        <v>0.25</v>
      </c>
      <c r="N3293" s="16">
        <v>0.1</v>
      </c>
      <c r="O3293" s="16">
        <v>0.1</v>
      </c>
      <c r="P3293" s="17">
        <v>45541.0</v>
      </c>
      <c r="Q3293" s="18">
        <v>1.95</v>
      </c>
      <c r="R3293" s="15" t="s">
        <v>30</v>
      </c>
      <c r="S3293" s="19">
        <f t="shared" si="1"/>
        <v>0.0475</v>
      </c>
      <c r="T3293" s="19">
        <f t="shared" si="8"/>
        <v>109.0515867</v>
      </c>
      <c r="U3293" s="144"/>
    </row>
    <row r="3294">
      <c r="A3294" s="107"/>
      <c r="B3294" s="8" t="s">
        <v>18</v>
      </c>
      <c r="C3294" s="8" t="s">
        <v>19</v>
      </c>
      <c r="D3294" s="8">
        <v>68.0</v>
      </c>
      <c r="E3294" s="8" t="s">
        <v>1817</v>
      </c>
      <c r="F3294" s="8" t="s">
        <v>1473</v>
      </c>
      <c r="G3294" s="8" t="s">
        <v>1474</v>
      </c>
      <c r="H3294" s="8">
        <v>1.0</v>
      </c>
      <c r="I3294" s="8" t="s">
        <v>101</v>
      </c>
      <c r="J3294" s="8" t="s">
        <v>22</v>
      </c>
      <c r="K3294" s="8" t="s">
        <v>225</v>
      </c>
      <c r="L3294" s="8" t="s">
        <v>24</v>
      </c>
      <c r="M3294" s="9">
        <v>0.25</v>
      </c>
      <c r="N3294" s="9">
        <v>0.5</v>
      </c>
      <c r="O3294" s="9">
        <v>0.5</v>
      </c>
      <c r="P3294" s="10">
        <v>45541.0</v>
      </c>
      <c r="Q3294" s="11">
        <v>1.7</v>
      </c>
      <c r="R3294" s="8" t="s">
        <v>30</v>
      </c>
      <c r="S3294" s="12">
        <f t="shared" si="1"/>
        <v>0.175</v>
      </c>
      <c r="T3294" s="12">
        <f t="shared" si="8"/>
        <v>109.2265867</v>
      </c>
      <c r="U3294" s="145"/>
    </row>
    <row r="3295">
      <c r="A3295" s="29"/>
      <c r="B3295" s="15" t="s">
        <v>26</v>
      </c>
      <c r="C3295" s="15" t="s">
        <v>19</v>
      </c>
      <c r="D3295" s="15">
        <v>18.0</v>
      </c>
      <c r="E3295" s="15" t="s">
        <v>1818</v>
      </c>
      <c r="F3295" s="15" t="s">
        <v>1479</v>
      </c>
      <c r="G3295" s="15" t="s">
        <v>1477</v>
      </c>
      <c r="H3295" s="15">
        <v>0.0</v>
      </c>
      <c r="I3295" s="15" t="s">
        <v>182</v>
      </c>
      <c r="J3295" s="15" t="s">
        <v>22</v>
      </c>
      <c r="K3295" s="15" t="s">
        <v>894</v>
      </c>
      <c r="L3295" s="15" t="s">
        <v>24</v>
      </c>
      <c r="M3295" s="16">
        <v>-0.25</v>
      </c>
      <c r="N3295" s="16">
        <v>0.1</v>
      </c>
      <c r="O3295" s="16">
        <v>0.1</v>
      </c>
      <c r="P3295" s="55">
        <v>45541.0</v>
      </c>
      <c r="Q3295" s="18">
        <v>1.825</v>
      </c>
      <c r="R3295" s="15" t="s">
        <v>25</v>
      </c>
      <c r="S3295" s="19">
        <f t="shared" si="1"/>
        <v>-0.1</v>
      </c>
      <c r="T3295" s="19">
        <f t="shared" si="8"/>
        <v>109.1265867</v>
      </c>
      <c r="U3295" s="144"/>
    </row>
    <row r="3296">
      <c r="A3296" s="107"/>
      <c r="B3296" s="8" t="s">
        <v>18</v>
      </c>
      <c r="C3296" s="8" t="s">
        <v>19</v>
      </c>
      <c r="D3296" s="8">
        <v>77.0</v>
      </c>
      <c r="E3296" s="8" t="s">
        <v>1819</v>
      </c>
      <c r="F3296" s="8" t="s">
        <v>1473</v>
      </c>
      <c r="G3296" s="8" t="s">
        <v>1480</v>
      </c>
      <c r="H3296" s="8">
        <v>1.0</v>
      </c>
      <c r="I3296" s="8" t="s">
        <v>101</v>
      </c>
      <c r="J3296" s="8" t="s">
        <v>22</v>
      </c>
      <c r="K3296" s="8" t="s">
        <v>892</v>
      </c>
      <c r="L3296" s="8" t="s">
        <v>24</v>
      </c>
      <c r="M3296" s="9">
        <v>0.0</v>
      </c>
      <c r="N3296" s="9">
        <v>0.2</v>
      </c>
      <c r="O3296" s="9">
        <v>0.2</v>
      </c>
      <c r="P3296" s="10">
        <v>45541.0</v>
      </c>
      <c r="Q3296" s="11">
        <v>2.35</v>
      </c>
      <c r="R3296" s="8" t="s">
        <v>70</v>
      </c>
      <c r="S3296" s="12">
        <f t="shared" si="1"/>
        <v>0</v>
      </c>
      <c r="T3296" s="12">
        <f t="shared" si="8"/>
        <v>109.1265867</v>
      </c>
      <c r="U3296" s="145"/>
    </row>
    <row r="3297">
      <c r="A3297" s="29"/>
      <c r="B3297" s="15" t="s">
        <v>26</v>
      </c>
      <c r="C3297" s="15" t="s">
        <v>19</v>
      </c>
      <c r="D3297" s="15">
        <v>42.0</v>
      </c>
      <c r="E3297" s="15" t="s">
        <v>1820</v>
      </c>
      <c r="F3297" s="15" t="s">
        <v>1473</v>
      </c>
      <c r="G3297" s="15" t="s">
        <v>1474</v>
      </c>
      <c r="H3297" s="15">
        <v>0.0</v>
      </c>
      <c r="I3297" s="15" t="s">
        <v>316</v>
      </c>
      <c r="J3297" s="15" t="s">
        <v>22</v>
      </c>
      <c r="K3297" s="15" t="s">
        <v>225</v>
      </c>
      <c r="L3297" s="15" t="s">
        <v>24</v>
      </c>
      <c r="M3297" s="16">
        <v>0.25</v>
      </c>
      <c r="N3297" s="16">
        <v>0.25</v>
      </c>
      <c r="O3297" s="16">
        <v>0.25</v>
      </c>
      <c r="P3297" s="17">
        <v>45541.0</v>
      </c>
      <c r="Q3297" s="18">
        <v>1.75</v>
      </c>
      <c r="R3297" s="15" t="s">
        <v>30</v>
      </c>
      <c r="S3297" s="19">
        <f t="shared" si="1"/>
        <v>0.09375</v>
      </c>
      <c r="T3297" s="19">
        <f t="shared" si="8"/>
        <v>109.2203367</v>
      </c>
      <c r="U3297" s="144"/>
    </row>
    <row r="3298">
      <c r="A3298" s="107"/>
      <c r="B3298" s="8" t="s">
        <v>35</v>
      </c>
      <c r="C3298" s="8" t="s">
        <v>19</v>
      </c>
      <c r="D3298" s="8">
        <v>62.0</v>
      </c>
      <c r="E3298" s="8" t="s">
        <v>1821</v>
      </c>
      <c r="F3298" s="8" t="s">
        <v>1479</v>
      </c>
      <c r="G3298" s="8" t="s">
        <v>1480</v>
      </c>
      <c r="H3298" s="8">
        <v>0.0</v>
      </c>
      <c r="I3298" s="8" t="s">
        <v>50</v>
      </c>
      <c r="J3298" s="8" t="s">
        <v>22</v>
      </c>
      <c r="K3298" s="8" t="s">
        <v>892</v>
      </c>
      <c r="L3298" s="8" t="s">
        <v>24</v>
      </c>
      <c r="M3298" s="9">
        <v>0.0</v>
      </c>
      <c r="N3298" s="9">
        <v>0.1</v>
      </c>
      <c r="O3298" s="9">
        <v>0.1</v>
      </c>
      <c r="P3298" s="10">
        <v>45541.0</v>
      </c>
      <c r="Q3298" s="11">
        <v>1.75</v>
      </c>
      <c r="R3298" s="8" t="s">
        <v>70</v>
      </c>
      <c r="S3298" s="12">
        <f t="shared" si="1"/>
        <v>0</v>
      </c>
      <c r="T3298" s="12">
        <f t="shared" si="8"/>
        <v>109.2203367</v>
      </c>
      <c r="U3298" s="145"/>
    </row>
    <row r="3299">
      <c r="A3299" s="29"/>
      <c r="B3299" s="15" t="s">
        <v>26</v>
      </c>
      <c r="C3299" s="15" t="s">
        <v>19</v>
      </c>
      <c r="D3299" s="15">
        <v>22.0</v>
      </c>
      <c r="E3299" s="15" t="s">
        <v>1822</v>
      </c>
      <c r="F3299" s="15" t="s">
        <v>1479</v>
      </c>
      <c r="G3299" s="15" t="s">
        <v>1480</v>
      </c>
      <c r="H3299" s="15">
        <v>1.0</v>
      </c>
      <c r="I3299" s="15" t="s">
        <v>50</v>
      </c>
      <c r="J3299" s="15" t="s">
        <v>22</v>
      </c>
      <c r="K3299" s="15" t="s">
        <v>892</v>
      </c>
      <c r="L3299" s="15" t="s">
        <v>24</v>
      </c>
      <c r="M3299" s="16">
        <v>0.0</v>
      </c>
      <c r="N3299" s="16">
        <v>0.1</v>
      </c>
      <c r="O3299" s="16">
        <v>0.1</v>
      </c>
      <c r="P3299" s="17">
        <v>45541.0</v>
      </c>
      <c r="Q3299" s="18">
        <v>1.9</v>
      </c>
      <c r="R3299" s="15" t="s">
        <v>33</v>
      </c>
      <c r="S3299" s="19">
        <f t="shared" si="1"/>
        <v>0.09</v>
      </c>
      <c r="T3299" s="19">
        <f t="shared" si="8"/>
        <v>109.3103367</v>
      </c>
      <c r="U3299" s="144"/>
    </row>
    <row r="3300">
      <c r="A3300" s="107"/>
      <c r="B3300" s="8" t="s">
        <v>26</v>
      </c>
      <c r="C3300" s="8" t="s">
        <v>19</v>
      </c>
      <c r="D3300" s="8">
        <v>69.0</v>
      </c>
      <c r="E3300" s="8" t="s">
        <v>1823</v>
      </c>
      <c r="F3300" s="8" t="s">
        <v>1479</v>
      </c>
      <c r="G3300" s="8" t="s">
        <v>1477</v>
      </c>
      <c r="H3300" s="8">
        <v>0.0</v>
      </c>
      <c r="I3300" s="8" t="s">
        <v>316</v>
      </c>
      <c r="J3300" s="8" t="s">
        <v>22</v>
      </c>
      <c r="K3300" s="8" t="s">
        <v>894</v>
      </c>
      <c r="L3300" s="8" t="s">
        <v>24</v>
      </c>
      <c r="M3300" s="9">
        <v>-0.25</v>
      </c>
      <c r="N3300" s="9">
        <v>0.18</v>
      </c>
      <c r="O3300" s="9">
        <v>0.18</v>
      </c>
      <c r="P3300" s="54">
        <v>45541.0</v>
      </c>
      <c r="Q3300" s="11">
        <v>2.3</v>
      </c>
      <c r="R3300" s="8" t="s">
        <v>79</v>
      </c>
      <c r="S3300" s="12">
        <f t="shared" si="1"/>
        <v>-0.09</v>
      </c>
      <c r="T3300" s="12">
        <f t="shared" si="8"/>
        <v>109.2203367</v>
      </c>
      <c r="U3300" s="145"/>
    </row>
    <row r="3301">
      <c r="A3301" s="29"/>
      <c r="B3301" s="15" t="s">
        <v>26</v>
      </c>
      <c r="C3301" s="15" t="s">
        <v>19</v>
      </c>
      <c r="D3301" s="15">
        <v>60.0</v>
      </c>
      <c r="E3301" s="15" t="s">
        <v>1824</v>
      </c>
      <c r="F3301" s="15" t="s">
        <v>1473</v>
      </c>
      <c r="G3301" s="15" t="s">
        <v>1480</v>
      </c>
      <c r="H3301" s="15">
        <v>0.0</v>
      </c>
      <c r="I3301" s="15" t="s">
        <v>940</v>
      </c>
      <c r="J3301" s="15" t="s">
        <v>22</v>
      </c>
      <c r="K3301" s="15" t="s">
        <v>892</v>
      </c>
      <c r="L3301" s="15" t="s">
        <v>24</v>
      </c>
      <c r="M3301" s="16">
        <v>0.0</v>
      </c>
      <c r="N3301" s="16">
        <v>0.1</v>
      </c>
      <c r="O3301" s="16">
        <v>0.1</v>
      </c>
      <c r="P3301" s="17">
        <v>45541.0</v>
      </c>
      <c r="Q3301" s="18">
        <v>1.7</v>
      </c>
      <c r="R3301" s="15" t="s">
        <v>25</v>
      </c>
      <c r="S3301" s="19">
        <f t="shared" si="1"/>
        <v>-0.1</v>
      </c>
      <c r="T3301" s="19">
        <f t="shared" si="8"/>
        <v>109.1203367</v>
      </c>
      <c r="U3301" s="144"/>
    </row>
    <row r="3302">
      <c r="A3302" s="107"/>
      <c r="B3302" s="8" t="s">
        <v>26</v>
      </c>
      <c r="C3302" s="8" t="s">
        <v>19</v>
      </c>
      <c r="D3302" s="8">
        <v>63.0</v>
      </c>
      <c r="E3302" s="8" t="s">
        <v>1825</v>
      </c>
      <c r="F3302" s="8" t="s">
        <v>1479</v>
      </c>
      <c r="G3302" s="8" t="s">
        <v>1480</v>
      </c>
      <c r="H3302" s="8">
        <v>0.0</v>
      </c>
      <c r="I3302" s="8" t="s">
        <v>50</v>
      </c>
      <c r="J3302" s="8" t="s">
        <v>22</v>
      </c>
      <c r="K3302" s="8" t="s">
        <v>892</v>
      </c>
      <c r="L3302" s="8" t="s">
        <v>24</v>
      </c>
      <c r="M3302" s="9">
        <v>0.0</v>
      </c>
      <c r="N3302" s="9">
        <v>0.5</v>
      </c>
      <c r="O3302" s="9">
        <v>0.5</v>
      </c>
      <c r="P3302" s="10">
        <v>45541.0</v>
      </c>
      <c r="Q3302" s="11">
        <v>1.725</v>
      </c>
      <c r="R3302" s="8" t="s">
        <v>25</v>
      </c>
      <c r="S3302" s="12">
        <f t="shared" si="1"/>
        <v>-0.5</v>
      </c>
      <c r="T3302" s="12">
        <f t="shared" si="8"/>
        <v>108.6203367</v>
      </c>
      <c r="U3302" s="145"/>
    </row>
    <row r="3303">
      <c r="A3303" s="29"/>
      <c r="B3303" s="15" t="s">
        <v>26</v>
      </c>
      <c r="C3303" s="15" t="s">
        <v>19</v>
      </c>
      <c r="D3303" s="15">
        <v>78.0</v>
      </c>
      <c r="E3303" s="15" t="s">
        <v>1826</v>
      </c>
      <c r="F3303" s="15" t="s">
        <v>1473</v>
      </c>
      <c r="G3303" s="15" t="s">
        <v>1480</v>
      </c>
      <c r="H3303" s="15">
        <v>-1.0</v>
      </c>
      <c r="I3303" s="15" t="s">
        <v>316</v>
      </c>
      <c r="J3303" s="15" t="s">
        <v>22</v>
      </c>
      <c r="K3303" s="15" t="s">
        <v>892</v>
      </c>
      <c r="L3303" s="15" t="s">
        <v>24</v>
      </c>
      <c r="M3303" s="16">
        <v>0.0</v>
      </c>
      <c r="N3303" s="16">
        <v>0.5</v>
      </c>
      <c r="O3303" s="16">
        <v>0.5</v>
      </c>
      <c r="P3303" s="17">
        <v>45541.0</v>
      </c>
      <c r="Q3303" s="18">
        <v>1.6</v>
      </c>
      <c r="R3303" s="15" t="s">
        <v>70</v>
      </c>
      <c r="S3303" s="19">
        <f t="shared" si="1"/>
        <v>0</v>
      </c>
      <c r="T3303" s="19">
        <f t="shared" si="8"/>
        <v>108.6203367</v>
      </c>
      <c r="U3303" s="144"/>
    </row>
    <row r="3304">
      <c r="A3304" s="107"/>
      <c r="B3304" s="8" t="s">
        <v>26</v>
      </c>
      <c r="C3304" s="8" t="s">
        <v>19</v>
      </c>
      <c r="D3304" s="8">
        <v>69.0</v>
      </c>
      <c r="E3304" s="8" t="s">
        <v>1827</v>
      </c>
      <c r="F3304" s="8" t="s">
        <v>1479</v>
      </c>
      <c r="G3304" s="8" t="s">
        <v>1480</v>
      </c>
      <c r="H3304" s="8">
        <v>-2.0</v>
      </c>
      <c r="I3304" s="8" t="s">
        <v>432</v>
      </c>
      <c r="J3304" s="8" t="s">
        <v>22</v>
      </c>
      <c r="K3304" s="8" t="s">
        <v>892</v>
      </c>
      <c r="L3304" s="8" t="s">
        <v>24</v>
      </c>
      <c r="M3304" s="9">
        <v>0.0</v>
      </c>
      <c r="N3304" s="9">
        <v>0.1</v>
      </c>
      <c r="O3304" s="9">
        <v>0.1</v>
      </c>
      <c r="P3304" s="54">
        <v>45541.0</v>
      </c>
      <c r="Q3304" s="8">
        <v>1.775</v>
      </c>
      <c r="R3304" s="8" t="s">
        <v>25</v>
      </c>
      <c r="S3304" s="12">
        <f t="shared" si="1"/>
        <v>-0.1</v>
      </c>
      <c r="T3304" s="12">
        <f t="shared" si="8"/>
        <v>108.5203367</v>
      </c>
      <c r="U3304" s="145"/>
    </row>
    <row r="3305">
      <c r="A3305" s="29"/>
      <c r="B3305" s="15" t="s">
        <v>26</v>
      </c>
      <c r="C3305" s="15" t="s">
        <v>40</v>
      </c>
      <c r="D3305" s="15">
        <v>78.0</v>
      </c>
      <c r="E3305" s="15" t="s">
        <v>1828</v>
      </c>
      <c r="F3305" s="15" t="s">
        <v>1473</v>
      </c>
      <c r="G3305" s="15" t="s">
        <v>1480</v>
      </c>
      <c r="H3305" s="15">
        <v>0.0</v>
      </c>
      <c r="I3305" s="15" t="s">
        <v>93</v>
      </c>
      <c r="J3305" s="15" t="s">
        <v>22</v>
      </c>
      <c r="K3305" s="15" t="s">
        <v>892</v>
      </c>
      <c r="L3305" s="15" t="s">
        <v>24</v>
      </c>
      <c r="M3305" s="16">
        <v>0.0</v>
      </c>
      <c r="N3305" s="16">
        <v>0.5</v>
      </c>
      <c r="O3305" s="16">
        <v>0.5</v>
      </c>
      <c r="P3305" s="17">
        <v>45541.0</v>
      </c>
      <c r="Q3305" s="18">
        <v>2.25</v>
      </c>
      <c r="R3305" s="15" t="s">
        <v>70</v>
      </c>
      <c r="S3305" s="19">
        <f t="shared" si="1"/>
        <v>0</v>
      </c>
      <c r="T3305" s="19">
        <f t="shared" si="8"/>
        <v>108.5203367</v>
      </c>
      <c r="U3305" s="144"/>
    </row>
    <row r="3306">
      <c r="A3306" s="107"/>
      <c r="B3306" s="8" t="s">
        <v>26</v>
      </c>
      <c r="C3306" s="8" t="s">
        <v>40</v>
      </c>
      <c r="D3306" s="8">
        <v>60.0</v>
      </c>
      <c r="E3306" s="8" t="s">
        <v>1829</v>
      </c>
      <c r="F3306" s="8" t="s">
        <v>1479</v>
      </c>
      <c r="G3306" s="8" t="s">
        <v>1480</v>
      </c>
      <c r="H3306" s="8">
        <v>0.0</v>
      </c>
      <c r="I3306" s="8" t="s">
        <v>60</v>
      </c>
      <c r="J3306" s="8" t="s">
        <v>22</v>
      </c>
      <c r="K3306" s="8" t="s">
        <v>892</v>
      </c>
      <c r="L3306" s="8" t="s">
        <v>24</v>
      </c>
      <c r="M3306" s="9">
        <v>0.0</v>
      </c>
      <c r="N3306" s="9">
        <v>0.25</v>
      </c>
      <c r="O3306" s="9">
        <v>0.25</v>
      </c>
      <c r="P3306" s="10">
        <v>45541.0</v>
      </c>
      <c r="Q3306" s="11">
        <v>1.75</v>
      </c>
      <c r="R3306" s="8" t="s">
        <v>33</v>
      </c>
      <c r="S3306" s="12">
        <f t="shared" si="1"/>
        <v>0.1875</v>
      </c>
      <c r="T3306" s="12">
        <f t="shared" si="8"/>
        <v>108.7078367</v>
      </c>
      <c r="U3306" s="145"/>
    </row>
    <row r="3307">
      <c r="A3307" s="29"/>
      <c r="B3307" s="15" t="s">
        <v>26</v>
      </c>
      <c r="C3307" s="15" t="s">
        <v>40</v>
      </c>
      <c r="D3307" s="15">
        <v>75.0</v>
      </c>
      <c r="E3307" s="15" t="s">
        <v>1829</v>
      </c>
      <c r="F3307" s="15" t="s">
        <v>1479</v>
      </c>
      <c r="G3307" s="15" t="s">
        <v>1480</v>
      </c>
      <c r="H3307" s="15">
        <v>0.0</v>
      </c>
      <c r="I3307" s="15" t="s">
        <v>60</v>
      </c>
      <c r="J3307" s="15" t="s">
        <v>22</v>
      </c>
      <c r="K3307" s="15" t="s">
        <v>892</v>
      </c>
      <c r="L3307" s="15" t="s">
        <v>24</v>
      </c>
      <c r="M3307" s="16">
        <v>0.0</v>
      </c>
      <c r="N3307" s="16">
        <v>0.25</v>
      </c>
      <c r="O3307" s="16">
        <v>0.25</v>
      </c>
      <c r="P3307" s="17">
        <v>45541.0</v>
      </c>
      <c r="Q3307" s="18">
        <v>1.625</v>
      </c>
      <c r="R3307" s="15" t="s">
        <v>33</v>
      </c>
      <c r="S3307" s="19">
        <f t="shared" si="1"/>
        <v>0.15625</v>
      </c>
      <c r="T3307" s="19">
        <f t="shared" si="8"/>
        <v>108.8640867</v>
      </c>
      <c r="U3307" s="144"/>
    </row>
    <row r="3308">
      <c r="A3308" s="107"/>
      <c r="B3308" s="31" t="s">
        <v>18</v>
      </c>
      <c r="C3308" s="32" t="s">
        <v>19</v>
      </c>
      <c r="D3308" s="32">
        <v>64.0</v>
      </c>
      <c r="E3308" s="32" t="s">
        <v>1830</v>
      </c>
      <c r="F3308" s="32" t="s">
        <v>1479</v>
      </c>
      <c r="G3308" s="32" t="s">
        <v>1480</v>
      </c>
      <c r="H3308" s="32">
        <v>0.0</v>
      </c>
      <c r="I3308" s="32" t="s">
        <v>908</v>
      </c>
      <c r="J3308" s="32" t="s">
        <v>22</v>
      </c>
      <c r="K3308" s="32" t="s">
        <v>892</v>
      </c>
      <c r="L3308" s="8" t="s">
        <v>24</v>
      </c>
      <c r="M3308" s="33">
        <v>0.0</v>
      </c>
      <c r="N3308" s="33">
        <v>0.25</v>
      </c>
      <c r="O3308" s="33">
        <v>0.25</v>
      </c>
      <c r="P3308" s="34">
        <v>45542.0</v>
      </c>
      <c r="Q3308" s="35">
        <v>1.675</v>
      </c>
      <c r="R3308" s="8" t="s">
        <v>70</v>
      </c>
      <c r="S3308" s="12">
        <f t="shared" si="1"/>
        <v>0</v>
      </c>
      <c r="T3308" s="12">
        <f t="shared" si="8"/>
        <v>108.8640867</v>
      </c>
      <c r="U3308" s="145"/>
    </row>
    <row r="3309">
      <c r="A3309" s="29"/>
      <c r="B3309" s="15" t="s">
        <v>18</v>
      </c>
      <c r="C3309" s="15" t="s">
        <v>19</v>
      </c>
      <c r="D3309" s="15">
        <v>27.0</v>
      </c>
      <c r="E3309" s="15" t="s">
        <v>1831</v>
      </c>
      <c r="F3309" s="15" t="s">
        <v>1473</v>
      </c>
      <c r="G3309" s="15" t="s">
        <v>1474</v>
      </c>
      <c r="H3309" s="15">
        <v>0.0</v>
      </c>
      <c r="I3309" s="15" t="s">
        <v>229</v>
      </c>
      <c r="J3309" s="15" t="s">
        <v>22</v>
      </c>
      <c r="K3309" s="15" t="s">
        <v>225</v>
      </c>
      <c r="L3309" s="15" t="s">
        <v>24</v>
      </c>
      <c r="M3309" s="16">
        <v>0.25</v>
      </c>
      <c r="N3309" s="16">
        <v>0.25</v>
      </c>
      <c r="O3309" s="16">
        <v>0.06</v>
      </c>
      <c r="P3309" s="17">
        <v>45542.0</v>
      </c>
      <c r="Q3309" s="18">
        <v>1.75</v>
      </c>
      <c r="R3309" s="15" t="s">
        <v>25</v>
      </c>
      <c r="S3309" s="19">
        <f t="shared" si="1"/>
        <v>-0.06</v>
      </c>
      <c r="T3309" s="19">
        <f t="shared" si="8"/>
        <v>108.8040867</v>
      </c>
      <c r="U3309" s="144"/>
    </row>
    <row r="3310">
      <c r="A3310" s="107"/>
      <c r="B3310" s="8" t="s">
        <v>18</v>
      </c>
      <c r="C3310" s="8" t="s">
        <v>19</v>
      </c>
      <c r="D3310" s="8">
        <v>79.0</v>
      </c>
      <c r="E3310" s="8" t="s">
        <v>1832</v>
      </c>
      <c r="F3310" s="8" t="s">
        <v>1479</v>
      </c>
      <c r="G3310" s="8" t="s">
        <v>1480</v>
      </c>
      <c r="H3310" s="8">
        <v>-1.0</v>
      </c>
      <c r="I3310" s="8" t="s">
        <v>44</v>
      </c>
      <c r="J3310" s="8" t="s">
        <v>22</v>
      </c>
      <c r="K3310" s="8" t="s">
        <v>892</v>
      </c>
      <c r="L3310" s="8" t="s">
        <v>24</v>
      </c>
      <c r="M3310" s="9">
        <v>0.0</v>
      </c>
      <c r="N3310" s="9">
        <v>0.75</v>
      </c>
      <c r="O3310" s="9">
        <v>0.75</v>
      </c>
      <c r="P3310" s="10">
        <v>45542.0</v>
      </c>
      <c r="Q3310" s="11">
        <v>1.8</v>
      </c>
      <c r="R3310" s="8" t="s">
        <v>70</v>
      </c>
      <c r="S3310" s="12">
        <f t="shared" si="1"/>
        <v>0</v>
      </c>
      <c r="T3310" s="12">
        <f t="shared" si="8"/>
        <v>108.8040867</v>
      </c>
      <c r="U3310" s="145"/>
    </row>
    <row r="3311">
      <c r="A3311" s="29"/>
      <c r="B3311" s="15" t="s">
        <v>18</v>
      </c>
      <c r="C3311" s="15" t="s">
        <v>19</v>
      </c>
      <c r="D3311" s="15">
        <v>84.0</v>
      </c>
      <c r="E3311" s="15" t="s">
        <v>1833</v>
      </c>
      <c r="F3311" s="15" t="s">
        <v>1479</v>
      </c>
      <c r="G3311" s="15" t="s">
        <v>1480</v>
      </c>
      <c r="H3311" s="15">
        <v>0.0</v>
      </c>
      <c r="I3311" s="15" t="s">
        <v>908</v>
      </c>
      <c r="J3311" s="15" t="s">
        <v>22</v>
      </c>
      <c r="K3311" s="15" t="s">
        <v>892</v>
      </c>
      <c r="L3311" s="15" t="s">
        <v>24</v>
      </c>
      <c r="M3311" s="16">
        <v>0.0</v>
      </c>
      <c r="N3311" s="16">
        <v>0.5</v>
      </c>
      <c r="O3311" s="16">
        <v>0.5</v>
      </c>
      <c r="P3311" s="17">
        <v>45542.0</v>
      </c>
      <c r="Q3311" s="18">
        <v>1.6</v>
      </c>
      <c r="R3311" s="15" t="s">
        <v>70</v>
      </c>
      <c r="S3311" s="19">
        <f t="shared" si="1"/>
        <v>0</v>
      </c>
      <c r="T3311" s="19">
        <f t="shared" si="8"/>
        <v>108.8040867</v>
      </c>
      <c r="U3311" s="144"/>
    </row>
    <row r="3312">
      <c r="A3312" s="107"/>
      <c r="B3312" s="8" t="s">
        <v>26</v>
      </c>
      <c r="C3312" s="8" t="s">
        <v>19</v>
      </c>
      <c r="D3312" s="8">
        <v>60.0</v>
      </c>
      <c r="E3312" s="8" t="s">
        <v>1834</v>
      </c>
      <c r="F3312" s="8" t="s">
        <v>1473</v>
      </c>
      <c r="G3312" s="8" t="s">
        <v>1480</v>
      </c>
      <c r="H3312" s="8">
        <v>-1.0</v>
      </c>
      <c r="I3312" s="8" t="s">
        <v>229</v>
      </c>
      <c r="J3312" s="8" t="s">
        <v>22</v>
      </c>
      <c r="K3312" s="8" t="s">
        <v>892</v>
      </c>
      <c r="L3312" s="8" t="s">
        <v>24</v>
      </c>
      <c r="M3312" s="9">
        <v>0.0</v>
      </c>
      <c r="N3312" s="9">
        <v>0.5</v>
      </c>
      <c r="O3312" s="9">
        <v>0.5</v>
      </c>
      <c r="P3312" s="10">
        <v>45542.0</v>
      </c>
      <c r="Q3312" s="11">
        <v>2.15</v>
      </c>
      <c r="R3312" s="8" t="s">
        <v>25</v>
      </c>
      <c r="S3312" s="12">
        <f t="shared" si="1"/>
        <v>-0.5</v>
      </c>
      <c r="T3312" s="12">
        <f t="shared" si="8"/>
        <v>108.3040867</v>
      </c>
      <c r="U3312" s="145"/>
    </row>
    <row r="3313">
      <c r="A3313" s="29"/>
      <c r="B3313" s="15" t="s">
        <v>18</v>
      </c>
      <c r="C3313" s="15" t="s">
        <v>19</v>
      </c>
      <c r="D3313" s="15">
        <v>27.0</v>
      </c>
      <c r="E3313" s="15" t="s">
        <v>1835</v>
      </c>
      <c r="F3313" s="15" t="s">
        <v>1479</v>
      </c>
      <c r="G3313" s="15" t="s">
        <v>1474</v>
      </c>
      <c r="H3313" s="15">
        <v>0.0</v>
      </c>
      <c r="I3313" s="15" t="s">
        <v>101</v>
      </c>
      <c r="J3313" s="15" t="s">
        <v>22</v>
      </c>
      <c r="K3313" s="15" t="s">
        <v>225</v>
      </c>
      <c r="L3313" s="15" t="s">
        <v>24</v>
      </c>
      <c r="M3313" s="16">
        <v>0.5</v>
      </c>
      <c r="N3313" s="16">
        <v>0.25</v>
      </c>
      <c r="O3313" s="16">
        <v>0.11</v>
      </c>
      <c r="P3313" s="17">
        <v>45542.0</v>
      </c>
      <c r="Q3313" s="18">
        <v>1.9</v>
      </c>
      <c r="R3313" s="15" t="s">
        <v>33</v>
      </c>
      <c r="S3313" s="19">
        <f t="shared" si="1"/>
        <v>0.099</v>
      </c>
      <c r="T3313" s="19">
        <f t="shared" si="8"/>
        <v>108.4030867</v>
      </c>
      <c r="U3313" s="144"/>
    </row>
    <row r="3314">
      <c r="A3314" s="107"/>
      <c r="B3314" s="8" t="s">
        <v>26</v>
      </c>
      <c r="C3314" s="8" t="s">
        <v>19</v>
      </c>
      <c r="D3314" s="8">
        <v>35.0</v>
      </c>
      <c r="E3314" s="8" t="s">
        <v>1836</v>
      </c>
      <c r="F3314" s="8" t="s">
        <v>1479</v>
      </c>
      <c r="G3314" s="8" t="s">
        <v>1474</v>
      </c>
      <c r="H3314" s="8">
        <v>2.0</v>
      </c>
      <c r="I3314" s="8" t="s">
        <v>583</v>
      </c>
      <c r="J3314" s="8" t="s">
        <v>22</v>
      </c>
      <c r="K3314" s="8" t="s">
        <v>225</v>
      </c>
      <c r="L3314" s="8" t="s">
        <v>24</v>
      </c>
      <c r="M3314" s="9">
        <v>0.5</v>
      </c>
      <c r="N3314" s="9">
        <v>0.25</v>
      </c>
      <c r="O3314" s="9">
        <v>0.25</v>
      </c>
      <c r="P3314" s="10">
        <v>45542.0</v>
      </c>
      <c r="Q3314" s="11">
        <v>1.95</v>
      </c>
      <c r="R3314" s="8" t="s">
        <v>33</v>
      </c>
      <c r="S3314" s="12">
        <f t="shared" si="1"/>
        <v>0.2375</v>
      </c>
      <c r="T3314" s="12">
        <f t="shared" si="8"/>
        <v>108.6405867</v>
      </c>
      <c r="U3314" s="145"/>
    </row>
    <row r="3315">
      <c r="A3315" s="29"/>
      <c r="B3315" s="15" t="s">
        <v>26</v>
      </c>
      <c r="C3315" s="15" t="s">
        <v>19</v>
      </c>
      <c r="D3315" s="15">
        <v>83.0</v>
      </c>
      <c r="E3315" s="95" t="s">
        <v>1837</v>
      </c>
      <c r="F3315" s="15" t="s">
        <v>1479</v>
      </c>
      <c r="G3315" s="15" t="s">
        <v>1480</v>
      </c>
      <c r="H3315" s="15">
        <v>0.0</v>
      </c>
      <c r="I3315" s="15" t="s">
        <v>463</v>
      </c>
      <c r="J3315" s="15" t="s">
        <v>22</v>
      </c>
      <c r="K3315" s="15" t="s">
        <v>892</v>
      </c>
      <c r="L3315" s="15" t="s">
        <v>24</v>
      </c>
      <c r="M3315" s="16">
        <v>0.0</v>
      </c>
      <c r="N3315" s="16">
        <v>0.5</v>
      </c>
      <c r="O3315" s="16">
        <v>0.5</v>
      </c>
      <c r="P3315" s="17">
        <v>45542.0</v>
      </c>
      <c r="Q3315" s="18">
        <v>1.7</v>
      </c>
      <c r="R3315" s="15" t="s">
        <v>33</v>
      </c>
      <c r="S3315" s="19">
        <f t="shared" si="1"/>
        <v>0.35</v>
      </c>
      <c r="T3315" s="19">
        <f t="shared" si="8"/>
        <v>108.9905867</v>
      </c>
      <c r="U3315" s="144"/>
    </row>
    <row r="3316">
      <c r="A3316" s="107"/>
      <c r="B3316" s="8" t="s">
        <v>26</v>
      </c>
      <c r="C3316" s="8" t="s">
        <v>19</v>
      </c>
      <c r="D3316" s="8">
        <v>50.0</v>
      </c>
      <c r="E3316" s="8" t="s">
        <v>1838</v>
      </c>
      <c r="F3316" s="8" t="s">
        <v>1473</v>
      </c>
      <c r="G3316" s="8" t="s">
        <v>1474</v>
      </c>
      <c r="H3316" s="8"/>
      <c r="I3316" s="8" t="s">
        <v>583</v>
      </c>
      <c r="J3316" s="8" t="s">
        <v>22</v>
      </c>
      <c r="K3316" s="8" t="s">
        <v>225</v>
      </c>
      <c r="L3316" s="8" t="s">
        <v>24</v>
      </c>
      <c r="M3316" s="9">
        <v>2.0</v>
      </c>
      <c r="N3316" s="9">
        <v>0.25</v>
      </c>
      <c r="O3316" s="9">
        <v>0.25</v>
      </c>
      <c r="P3316" s="10">
        <v>45542.0</v>
      </c>
      <c r="Q3316" s="11">
        <v>2.0</v>
      </c>
      <c r="R3316" s="8" t="s">
        <v>25</v>
      </c>
      <c r="S3316" s="12">
        <f t="shared" si="1"/>
        <v>-0.25</v>
      </c>
      <c r="T3316" s="12">
        <f t="shared" si="8"/>
        <v>108.7405867</v>
      </c>
      <c r="U3316" s="145"/>
    </row>
    <row r="3317">
      <c r="A3317" s="29"/>
      <c r="B3317" s="15" t="s">
        <v>26</v>
      </c>
      <c r="C3317" s="15" t="s">
        <v>19</v>
      </c>
      <c r="D3317" s="15">
        <v>65.0</v>
      </c>
      <c r="E3317" s="15" t="s">
        <v>1839</v>
      </c>
      <c r="F3317" s="15" t="s">
        <v>1473</v>
      </c>
      <c r="G3317" s="15" t="s">
        <v>1480</v>
      </c>
      <c r="H3317" s="15">
        <v>-1.0</v>
      </c>
      <c r="I3317" s="15" t="s">
        <v>432</v>
      </c>
      <c r="J3317" s="15" t="s">
        <v>22</v>
      </c>
      <c r="K3317" s="15" t="s">
        <v>892</v>
      </c>
      <c r="L3317" s="15" t="s">
        <v>24</v>
      </c>
      <c r="M3317" s="16">
        <v>0.0</v>
      </c>
      <c r="N3317" s="16">
        <v>0.75</v>
      </c>
      <c r="O3317" s="16">
        <v>0.75</v>
      </c>
      <c r="P3317" s="17">
        <v>45542.0</v>
      </c>
      <c r="Q3317" s="18">
        <v>2.0</v>
      </c>
      <c r="R3317" s="15" t="s">
        <v>33</v>
      </c>
      <c r="S3317" s="19">
        <f t="shared" si="1"/>
        <v>0.75</v>
      </c>
      <c r="T3317" s="19">
        <f t="shared" si="8"/>
        <v>109.4905867</v>
      </c>
      <c r="U3317" s="144"/>
    </row>
    <row r="3318">
      <c r="A3318" s="107"/>
      <c r="B3318" s="8" t="s">
        <v>26</v>
      </c>
      <c r="C3318" s="8" t="s">
        <v>19</v>
      </c>
      <c r="D3318" s="8">
        <v>82.0</v>
      </c>
      <c r="E3318" s="8" t="s">
        <v>1840</v>
      </c>
      <c r="F3318" s="8" t="s">
        <v>1479</v>
      </c>
      <c r="G3318" s="8" t="s">
        <v>1477</v>
      </c>
      <c r="H3318" s="8">
        <v>0.0</v>
      </c>
      <c r="I3318" s="8" t="s">
        <v>432</v>
      </c>
      <c r="J3318" s="8" t="s">
        <v>22</v>
      </c>
      <c r="K3318" s="8" t="s">
        <v>894</v>
      </c>
      <c r="L3318" s="8" t="s">
        <v>24</v>
      </c>
      <c r="M3318" s="9">
        <v>-0.75</v>
      </c>
      <c r="N3318" s="9">
        <v>0.15</v>
      </c>
      <c r="O3318" s="9">
        <v>0.15</v>
      </c>
      <c r="P3318" s="10">
        <v>45542.0</v>
      </c>
      <c r="Q3318" s="11">
        <v>5.2</v>
      </c>
      <c r="R3318" s="8" t="s">
        <v>25</v>
      </c>
      <c r="S3318" s="12">
        <f t="shared" si="1"/>
        <v>-0.15</v>
      </c>
      <c r="T3318" s="12">
        <f t="shared" si="8"/>
        <v>109.3405867</v>
      </c>
      <c r="U3318" s="145"/>
    </row>
    <row r="3319">
      <c r="A3319" s="29"/>
      <c r="B3319" s="15" t="s">
        <v>18</v>
      </c>
      <c r="C3319" s="42" t="s">
        <v>19</v>
      </c>
      <c r="D3319" s="42">
        <v>39.0</v>
      </c>
      <c r="E3319" s="42" t="s">
        <v>1841</v>
      </c>
      <c r="F3319" s="42" t="s">
        <v>1479</v>
      </c>
      <c r="G3319" s="42" t="s">
        <v>1477</v>
      </c>
      <c r="H3319" s="42">
        <v>-1.0</v>
      </c>
      <c r="I3319" s="15" t="s">
        <v>50</v>
      </c>
      <c r="J3319" s="15" t="s">
        <v>22</v>
      </c>
      <c r="K3319" s="15" t="s">
        <v>894</v>
      </c>
      <c r="L3319" s="15" t="s">
        <v>24</v>
      </c>
      <c r="M3319" s="43">
        <v>-0.25</v>
      </c>
      <c r="N3319" s="43">
        <v>0.5</v>
      </c>
      <c r="O3319" s="43">
        <v>0.5</v>
      </c>
      <c r="P3319" s="17">
        <v>45542.0</v>
      </c>
      <c r="Q3319" s="44">
        <v>1.9</v>
      </c>
      <c r="R3319" s="15" t="s">
        <v>25</v>
      </c>
      <c r="S3319" s="19">
        <f t="shared" si="1"/>
        <v>-0.5</v>
      </c>
      <c r="T3319" s="19">
        <f t="shared" si="8"/>
        <v>108.8405867</v>
      </c>
      <c r="U3319" s="144"/>
    </row>
    <row r="3320">
      <c r="A3320" s="107"/>
      <c r="B3320" s="8" t="s">
        <v>129</v>
      </c>
      <c r="C3320" s="8" t="s">
        <v>19</v>
      </c>
      <c r="D3320" s="8">
        <v>24.0</v>
      </c>
      <c r="E3320" s="47" t="s">
        <v>1842</v>
      </c>
      <c r="F3320" s="8" t="s">
        <v>1473</v>
      </c>
      <c r="G3320" s="8" t="s">
        <v>1480</v>
      </c>
      <c r="H3320" s="8">
        <v>-1.0</v>
      </c>
      <c r="I3320" s="8" t="s">
        <v>703</v>
      </c>
      <c r="J3320" s="8" t="s">
        <v>22</v>
      </c>
      <c r="K3320" s="8" t="s">
        <v>892</v>
      </c>
      <c r="L3320" s="8" t="s">
        <v>24</v>
      </c>
      <c r="M3320" s="26">
        <v>0.0</v>
      </c>
      <c r="N3320" s="26">
        <v>0.25</v>
      </c>
      <c r="O3320" s="26">
        <v>0.22</v>
      </c>
      <c r="P3320" s="10">
        <v>45542.0</v>
      </c>
      <c r="Q3320" s="11">
        <v>1.825</v>
      </c>
      <c r="R3320" s="8" t="s">
        <v>33</v>
      </c>
      <c r="S3320" s="12">
        <f t="shared" si="1"/>
        <v>0.1815</v>
      </c>
      <c r="T3320" s="12">
        <f t="shared" si="8"/>
        <v>109.0220867</v>
      </c>
      <c r="U3320" s="145"/>
    </row>
    <row r="3321">
      <c r="A3321" s="29"/>
      <c r="B3321" s="15" t="s">
        <v>26</v>
      </c>
      <c r="C3321" s="15" t="s">
        <v>19</v>
      </c>
      <c r="D3321" s="15">
        <v>85.0</v>
      </c>
      <c r="E3321" s="42" t="s">
        <v>1843</v>
      </c>
      <c r="F3321" s="15" t="s">
        <v>1479</v>
      </c>
      <c r="G3321" s="15" t="s">
        <v>1480</v>
      </c>
      <c r="H3321" s="15">
        <v>-1.0</v>
      </c>
      <c r="I3321" s="15" t="s">
        <v>50</v>
      </c>
      <c r="J3321" s="15" t="s">
        <v>22</v>
      </c>
      <c r="K3321" s="15" t="s">
        <v>892</v>
      </c>
      <c r="L3321" s="15" t="s">
        <v>24</v>
      </c>
      <c r="M3321" s="16">
        <v>0.0</v>
      </c>
      <c r="N3321" s="16">
        <v>0.25</v>
      </c>
      <c r="O3321" s="16">
        <v>0.25</v>
      </c>
      <c r="P3321" s="55">
        <v>45542.0</v>
      </c>
      <c r="Q3321" s="18">
        <v>1.8</v>
      </c>
      <c r="R3321" s="15" t="s">
        <v>70</v>
      </c>
      <c r="S3321" s="19">
        <f t="shared" si="1"/>
        <v>0</v>
      </c>
      <c r="T3321" s="19">
        <f t="shared" si="8"/>
        <v>109.0220867</v>
      </c>
      <c r="U3321" s="144"/>
    </row>
    <row r="3322">
      <c r="A3322" s="107"/>
      <c r="B3322" s="8" t="s">
        <v>18</v>
      </c>
      <c r="C3322" s="8" t="s">
        <v>19</v>
      </c>
      <c r="D3322" s="8"/>
      <c r="E3322" s="8" t="s">
        <v>1844</v>
      </c>
      <c r="F3322" s="8" t="s">
        <v>1473</v>
      </c>
      <c r="G3322" s="8" t="s">
        <v>1480</v>
      </c>
      <c r="H3322" s="8">
        <v>-1.0</v>
      </c>
      <c r="I3322" s="8" t="s">
        <v>93</v>
      </c>
      <c r="J3322" s="8" t="s">
        <v>22</v>
      </c>
      <c r="K3322" s="8" t="s">
        <v>892</v>
      </c>
      <c r="L3322" s="8" t="s">
        <v>24</v>
      </c>
      <c r="M3322" s="9">
        <v>0.0</v>
      </c>
      <c r="N3322" s="9">
        <v>0.5</v>
      </c>
      <c r="O3322" s="9">
        <v>0.5</v>
      </c>
      <c r="P3322" s="54">
        <v>45542.0</v>
      </c>
      <c r="Q3322" s="11">
        <v>1.7</v>
      </c>
      <c r="R3322" s="8" t="s">
        <v>70</v>
      </c>
      <c r="S3322" s="12">
        <f t="shared" si="1"/>
        <v>0</v>
      </c>
      <c r="T3322" s="12">
        <f t="shared" si="8"/>
        <v>109.0220867</v>
      </c>
      <c r="U3322" s="145"/>
    </row>
    <row r="3323">
      <c r="A3323" s="29"/>
      <c r="B3323" s="15" t="s">
        <v>137</v>
      </c>
      <c r="C3323" s="15" t="s">
        <v>19</v>
      </c>
      <c r="D3323" s="15">
        <v>30.0</v>
      </c>
      <c r="E3323" s="15" t="s">
        <v>1845</v>
      </c>
      <c r="F3323" s="15" t="s">
        <v>1473</v>
      </c>
      <c r="G3323" s="15" t="s">
        <v>1480</v>
      </c>
      <c r="H3323" s="15">
        <v>-1.0</v>
      </c>
      <c r="I3323" s="15" t="s">
        <v>60</v>
      </c>
      <c r="J3323" s="15" t="s">
        <v>22</v>
      </c>
      <c r="K3323" s="15" t="s">
        <v>892</v>
      </c>
      <c r="L3323" s="15" t="s">
        <v>24</v>
      </c>
      <c r="M3323" s="16">
        <v>0.0</v>
      </c>
      <c r="N3323" s="16">
        <v>1.0</v>
      </c>
      <c r="O3323" s="16">
        <v>1.0</v>
      </c>
      <c r="P3323" s="55">
        <v>45542.0</v>
      </c>
      <c r="Q3323" s="18">
        <v>1.775</v>
      </c>
      <c r="R3323" s="15" t="s">
        <v>33</v>
      </c>
      <c r="S3323" s="19">
        <f t="shared" si="1"/>
        <v>0.775</v>
      </c>
      <c r="T3323" s="19">
        <f t="shared" si="8"/>
        <v>109.7970867</v>
      </c>
      <c r="U3323" s="144"/>
    </row>
    <row r="3324">
      <c r="A3324" s="107"/>
      <c r="B3324" s="8" t="s">
        <v>137</v>
      </c>
      <c r="C3324" s="8" t="s">
        <v>19</v>
      </c>
      <c r="D3324" s="8">
        <v>76.0</v>
      </c>
      <c r="E3324" s="8" t="s">
        <v>1846</v>
      </c>
      <c r="F3324" s="8" t="s">
        <v>1479</v>
      </c>
      <c r="G3324" s="8"/>
      <c r="H3324" s="8">
        <v>0.0</v>
      </c>
      <c r="I3324" s="8" t="s">
        <v>60</v>
      </c>
      <c r="J3324" s="8" t="s">
        <v>22</v>
      </c>
      <c r="K3324" s="8" t="s">
        <v>1847</v>
      </c>
      <c r="L3324" s="8" t="s">
        <v>24</v>
      </c>
      <c r="M3324" s="9">
        <v>-0.5</v>
      </c>
      <c r="N3324" s="9">
        <v>0.1</v>
      </c>
      <c r="O3324" s="9">
        <v>0.1</v>
      </c>
      <c r="P3324" s="54">
        <v>45542.0</v>
      </c>
      <c r="Q3324" s="11">
        <v>4.33</v>
      </c>
      <c r="R3324" s="8" t="s">
        <v>25</v>
      </c>
      <c r="S3324" s="12">
        <f t="shared" si="1"/>
        <v>-0.1</v>
      </c>
      <c r="T3324" s="12">
        <f t="shared" si="8"/>
        <v>109.6970867</v>
      </c>
      <c r="U3324" s="145"/>
    </row>
    <row r="3325">
      <c r="A3325" s="29"/>
      <c r="B3325" s="15" t="s">
        <v>26</v>
      </c>
      <c r="C3325" s="15" t="s">
        <v>19</v>
      </c>
      <c r="D3325" s="15"/>
      <c r="E3325" s="42" t="s">
        <v>1848</v>
      </c>
      <c r="F3325" s="15" t="s">
        <v>1473</v>
      </c>
      <c r="G3325" s="15" t="s">
        <v>1480</v>
      </c>
      <c r="H3325" s="15">
        <v>0.0</v>
      </c>
      <c r="I3325" s="15" t="s">
        <v>93</v>
      </c>
      <c r="J3325" s="15" t="s">
        <v>22</v>
      </c>
      <c r="K3325" s="15" t="s">
        <v>892</v>
      </c>
      <c r="L3325" s="15" t="s">
        <v>24</v>
      </c>
      <c r="M3325" s="16">
        <v>0.0</v>
      </c>
      <c r="N3325" s="16">
        <v>0.25</v>
      </c>
      <c r="O3325" s="16">
        <v>0.22</v>
      </c>
      <c r="P3325" s="17">
        <v>45543.0</v>
      </c>
      <c r="Q3325" s="18">
        <v>1.725</v>
      </c>
      <c r="R3325" s="15" t="s">
        <v>70</v>
      </c>
      <c r="S3325" s="19">
        <f t="shared" si="1"/>
        <v>0</v>
      </c>
      <c r="T3325" s="19">
        <f t="shared" si="8"/>
        <v>109.6970867</v>
      </c>
      <c r="U3325" s="144"/>
    </row>
    <row r="3326">
      <c r="A3326" s="107"/>
      <c r="B3326" s="8" t="s">
        <v>129</v>
      </c>
      <c r="C3326" s="8" t="s">
        <v>19</v>
      </c>
      <c r="D3326" s="8"/>
      <c r="E3326" s="47" t="s">
        <v>1849</v>
      </c>
      <c r="F3326" s="8" t="s">
        <v>1479</v>
      </c>
      <c r="G3326" s="8" t="s">
        <v>1480</v>
      </c>
      <c r="H3326" s="8">
        <v>0.0</v>
      </c>
      <c r="I3326" s="8" t="s">
        <v>93</v>
      </c>
      <c r="J3326" s="8" t="s">
        <v>22</v>
      </c>
      <c r="K3326" s="8" t="s">
        <v>892</v>
      </c>
      <c r="L3326" s="8" t="s">
        <v>24</v>
      </c>
      <c r="M3326" s="9">
        <v>0.0</v>
      </c>
      <c r="N3326" s="9">
        <v>0.75</v>
      </c>
      <c r="O3326" s="9">
        <v>0.6441</v>
      </c>
      <c r="P3326" s="10">
        <v>45543.0</v>
      </c>
      <c r="Q3326" s="11">
        <v>1.75</v>
      </c>
      <c r="R3326" s="8" t="s">
        <v>70</v>
      </c>
      <c r="S3326" s="12">
        <f t="shared" si="1"/>
        <v>0</v>
      </c>
      <c r="T3326" s="12">
        <f t="shared" si="8"/>
        <v>109.6970867</v>
      </c>
      <c r="U3326" s="145"/>
    </row>
    <row r="3327">
      <c r="A3327" s="29"/>
      <c r="B3327" s="15" t="s">
        <v>18</v>
      </c>
      <c r="C3327" s="15" t="s">
        <v>40</v>
      </c>
      <c r="D3327" s="15">
        <v>54.0</v>
      </c>
      <c r="E3327" s="42" t="s">
        <v>1850</v>
      </c>
      <c r="F3327" s="15" t="s">
        <v>1479</v>
      </c>
      <c r="G3327" s="15" t="s">
        <v>1480</v>
      </c>
      <c r="H3327" s="15">
        <v>-1.0</v>
      </c>
      <c r="I3327" s="15" t="s">
        <v>93</v>
      </c>
      <c r="J3327" s="15" t="s">
        <v>22</v>
      </c>
      <c r="K3327" s="15" t="s">
        <v>892</v>
      </c>
      <c r="L3327" s="15" t="s">
        <v>1851</v>
      </c>
      <c r="M3327" s="16">
        <v>0.0</v>
      </c>
      <c r="N3327" s="16">
        <v>0.25</v>
      </c>
      <c r="O3327" s="16">
        <v>0.2119</v>
      </c>
      <c r="P3327" s="17">
        <v>45543.0</v>
      </c>
      <c r="Q3327" s="18">
        <v>1.85</v>
      </c>
      <c r="R3327" s="15" t="s">
        <v>70</v>
      </c>
      <c r="S3327" s="19">
        <f t="shared" si="1"/>
        <v>0</v>
      </c>
      <c r="T3327" s="19">
        <f t="shared" si="8"/>
        <v>109.6970867</v>
      </c>
      <c r="U3327" s="144"/>
    </row>
    <row r="3328">
      <c r="A3328" s="107"/>
      <c r="B3328" s="8" t="s">
        <v>129</v>
      </c>
      <c r="C3328" s="8" t="s">
        <v>19</v>
      </c>
      <c r="D3328" s="8"/>
      <c r="E3328" s="47" t="s">
        <v>1852</v>
      </c>
      <c r="F3328" s="8" t="s">
        <v>1473</v>
      </c>
      <c r="G3328" s="8" t="s">
        <v>1480</v>
      </c>
      <c r="H3328" s="8">
        <v>0.0</v>
      </c>
      <c r="I3328" s="8" t="s">
        <v>93</v>
      </c>
      <c r="J3328" s="8" t="s">
        <v>22</v>
      </c>
      <c r="K3328" s="8" t="s">
        <v>892</v>
      </c>
      <c r="L3328" s="8" t="s">
        <v>24</v>
      </c>
      <c r="M3328" s="26">
        <v>0.0</v>
      </c>
      <c r="N3328" s="9">
        <v>0.35</v>
      </c>
      <c r="O3328" s="9">
        <v>0.3017</v>
      </c>
      <c r="P3328" s="10">
        <v>45543.0</v>
      </c>
      <c r="Q3328" s="11">
        <v>2.325</v>
      </c>
      <c r="R3328" s="8" t="s">
        <v>70</v>
      </c>
      <c r="S3328" s="12">
        <f t="shared" si="1"/>
        <v>0</v>
      </c>
      <c r="T3328" s="12">
        <f t="shared" si="8"/>
        <v>109.6970867</v>
      </c>
      <c r="U3328" s="145"/>
    </row>
    <row r="3329">
      <c r="A3329" s="29"/>
      <c r="B3329" s="15" t="s">
        <v>26</v>
      </c>
      <c r="C3329" s="15" t="s">
        <v>19</v>
      </c>
      <c r="D3329" s="15"/>
      <c r="E3329" s="42" t="s">
        <v>1853</v>
      </c>
      <c r="F3329" s="15" t="s">
        <v>1473</v>
      </c>
      <c r="G3329" s="15" t="s">
        <v>1474</v>
      </c>
      <c r="H3329" s="15">
        <v>-1.0</v>
      </c>
      <c r="I3329" s="15" t="s">
        <v>229</v>
      </c>
      <c r="J3329" s="15" t="s">
        <v>22</v>
      </c>
      <c r="K3329" s="15" t="s">
        <v>225</v>
      </c>
      <c r="L3329" s="15" t="s">
        <v>24</v>
      </c>
      <c r="M3329" s="43">
        <v>0.5</v>
      </c>
      <c r="N3329" s="16">
        <v>0.5</v>
      </c>
      <c r="O3329" s="16">
        <v>0.4681</v>
      </c>
      <c r="P3329" s="17">
        <v>45543.0</v>
      </c>
      <c r="Q3329" s="18">
        <v>1.825</v>
      </c>
      <c r="R3329" s="15" t="s">
        <v>25</v>
      </c>
      <c r="S3329" s="19">
        <f t="shared" si="1"/>
        <v>-0.4681</v>
      </c>
      <c r="T3329" s="19">
        <f t="shared" si="8"/>
        <v>109.2289867</v>
      </c>
      <c r="U3329" s="144"/>
    </row>
    <row r="3330">
      <c r="A3330" s="107"/>
      <c r="B3330" s="8" t="s">
        <v>26</v>
      </c>
      <c r="C3330" s="8" t="s">
        <v>19</v>
      </c>
      <c r="D3330" s="8"/>
      <c r="E3330" s="47" t="s">
        <v>1854</v>
      </c>
      <c r="F3330" s="8" t="s">
        <v>1473</v>
      </c>
      <c r="G3330" s="8" t="s">
        <v>1474</v>
      </c>
      <c r="H3330" s="8">
        <v>0.0</v>
      </c>
      <c r="I3330" s="8" t="s">
        <v>50</v>
      </c>
      <c r="J3330" s="8" t="s">
        <v>22</v>
      </c>
      <c r="K3330" s="8" t="s">
        <v>225</v>
      </c>
      <c r="L3330" s="8" t="s">
        <v>24</v>
      </c>
      <c r="M3330" s="26">
        <v>0.75</v>
      </c>
      <c r="N3330" s="9">
        <v>0.25</v>
      </c>
      <c r="O3330" s="9">
        <v>0.11</v>
      </c>
      <c r="P3330" s="10">
        <v>45543.0</v>
      </c>
      <c r="Q3330" s="11">
        <v>1.825</v>
      </c>
      <c r="R3330" s="8" t="s">
        <v>33</v>
      </c>
      <c r="S3330" s="12">
        <f t="shared" si="1"/>
        <v>0.09075</v>
      </c>
      <c r="T3330" s="12">
        <f t="shared" si="8"/>
        <v>109.3197367</v>
      </c>
      <c r="U3330" s="145"/>
    </row>
    <row r="3331">
      <c r="A3331" s="29"/>
      <c r="B3331" s="15" t="s">
        <v>35</v>
      </c>
      <c r="C3331" s="15" t="s">
        <v>19</v>
      </c>
      <c r="D3331" s="15"/>
      <c r="E3331" s="42" t="s">
        <v>1855</v>
      </c>
      <c r="F3331" s="15" t="s">
        <v>1479</v>
      </c>
      <c r="G3331" s="15" t="s">
        <v>1480</v>
      </c>
      <c r="H3331" s="15">
        <v>0.0</v>
      </c>
      <c r="I3331" s="15" t="s">
        <v>121</v>
      </c>
      <c r="J3331" s="15" t="s">
        <v>22</v>
      </c>
      <c r="K3331" s="15" t="s">
        <v>892</v>
      </c>
      <c r="L3331" s="15" t="s">
        <v>24</v>
      </c>
      <c r="M3331" s="43">
        <v>0.0</v>
      </c>
      <c r="N3331" s="16">
        <v>0.5</v>
      </c>
      <c r="O3331" s="16">
        <v>0.46</v>
      </c>
      <c r="P3331" s="17">
        <v>45543.0</v>
      </c>
      <c r="Q3331" s="18">
        <v>1.7</v>
      </c>
      <c r="R3331" s="15" t="s">
        <v>70</v>
      </c>
      <c r="S3331" s="19">
        <f t="shared" si="1"/>
        <v>0</v>
      </c>
      <c r="T3331" s="19">
        <f t="shared" si="8"/>
        <v>109.3197367</v>
      </c>
      <c r="U3331" s="144"/>
    </row>
    <row r="3332">
      <c r="A3332" s="107"/>
      <c r="B3332" s="8" t="s">
        <v>35</v>
      </c>
      <c r="C3332" s="8" t="s">
        <v>19</v>
      </c>
      <c r="D3332" s="8"/>
      <c r="E3332" s="47" t="s">
        <v>1856</v>
      </c>
      <c r="F3332" s="8" t="s">
        <v>1473</v>
      </c>
      <c r="G3332" s="8" t="s">
        <v>1480</v>
      </c>
      <c r="H3332" s="8">
        <v>0.0</v>
      </c>
      <c r="I3332" s="8" t="s">
        <v>121</v>
      </c>
      <c r="J3332" s="8" t="s">
        <v>22</v>
      </c>
      <c r="K3332" s="8" t="s">
        <v>892</v>
      </c>
      <c r="L3332" s="8" t="s">
        <v>24</v>
      </c>
      <c r="M3332" s="9">
        <v>0.0</v>
      </c>
      <c r="N3332" s="9">
        <v>0.41</v>
      </c>
      <c r="O3332" s="9">
        <v>0.41</v>
      </c>
      <c r="P3332" s="10">
        <v>45543.0</v>
      </c>
      <c r="Q3332" s="11">
        <v>2.1</v>
      </c>
      <c r="R3332" s="8" t="s">
        <v>70</v>
      </c>
      <c r="S3332" s="12">
        <f t="shared" si="1"/>
        <v>0</v>
      </c>
      <c r="T3332" s="12">
        <f t="shared" si="8"/>
        <v>109.3197367</v>
      </c>
      <c r="U3332" s="145"/>
    </row>
    <row r="3333">
      <c r="A3333" s="29"/>
      <c r="B3333" s="15" t="s">
        <v>18</v>
      </c>
      <c r="C3333" s="15" t="s">
        <v>19</v>
      </c>
      <c r="D3333" s="15"/>
      <c r="E3333" s="42" t="s">
        <v>1857</v>
      </c>
      <c r="F3333" s="15" t="s">
        <v>1479</v>
      </c>
      <c r="G3333" s="15" t="s">
        <v>1480</v>
      </c>
      <c r="H3333" s="15">
        <v>0.0</v>
      </c>
      <c r="I3333" s="15" t="s">
        <v>513</v>
      </c>
      <c r="J3333" s="15" t="s">
        <v>22</v>
      </c>
      <c r="K3333" s="15" t="s">
        <v>892</v>
      </c>
      <c r="L3333" s="15" t="s">
        <v>24</v>
      </c>
      <c r="M3333" s="16">
        <v>0.0</v>
      </c>
      <c r="N3333" s="16">
        <v>0.5</v>
      </c>
      <c r="O3333" s="16">
        <v>0.49</v>
      </c>
      <c r="P3333" s="17">
        <v>45543.0</v>
      </c>
      <c r="Q3333" s="18">
        <v>2.0</v>
      </c>
      <c r="R3333" s="15" t="s">
        <v>25</v>
      </c>
      <c r="S3333" s="19">
        <f t="shared" si="1"/>
        <v>-0.49</v>
      </c>
      <c r="T3333" s="19">
        <f t="shared" si="8"/>
        <v>108.8297367</v>
      </c>
      <c r="U3333" s="144"/>
    </row>
    <row r="3334">
      <c r="A3334" s="107"/>
      <c r="B3334" s="8" t="s">
        <v>129</v>
      </c>
      <c r="C3334" s="8" t="s">
        <v>19</v>
      </c>
      <c r="D3334" s="8"/>
      <c r="E3334" s="47" t="s">
        <v>1858</v>
      </c>
      <c r="F3334" s="8" t="s">
        <v>1479</v>
      </c>
      <c r="G3334" s="8" t="s">
        <v>1480</v>
      </c>
      <c r="H3334" s="8">
        <v>0.0</v>
      </c>
      <c r="I3334" s="8" t="s">
        <v>101</v>
      </c>
      <c r="J3334" s="8" t="s">
        <v>22</v>
      </c>
      <c r="K3334" s="8" t="s">
        <v>892</v>
      </c>
      <c r="L3334" s="8" t="s">
        <v>24</v>
      </c>
      <c r="M3334" s="9">
        <v>0.0</v>
      </c>
      <c r="N3334" s="9">
        <v>0.75</v>
      </c>
      <c r="O3334" s="9">
        <v>0.7</v>
      </c>
      <c r="P3334" s="10">
        <v>45543.0</v>
      </c>
      <c r="Q3334" s="11">
        <v>1.8</v>
      </c>
      <c r="R3334" s="8" t="s">
        <v>33</v>
      </c>
      <c r="S3334" s="12">
        <f t="shared" si="1"/>
        <v>0.56</v>
      </c>
      <c r="T3334" s="12">
        <f t="shared" si="8"/>
        <v>109.3897367</v>
      </c>
      <c r="U3334" s="145"/>
    </row>
    <row r="3335">
      <c r="A3335" s="29"/>
      <c r="B3335" s="15" t="s">
        <v>26</v>
      </c>
      <c r="C3335" s="15" t="s">
        <v>19</v>
      </c>
      <c r="D3335" s="15"/>
      <c r="E3335" s="42" t="s">
        <v>1859</v>
      </c>
      <c r="F3335" s="15" t="s">
        <v>1473</v>
      </c>
      <c r="G3335" s="15" t="s">
        <v>1480</v>
      </c>
      <c r="H3335" s="15">
        <v>-1.0</v>
      </c>
      <c r="I3335" s="15" t="s">
        <v>121</v>
      </c>
      <c r="J3335" s="15" t="s">
        <v>22</v>
      </c>
      <c r="K3335" s="15" t="s">
        <v>892</v>
      </c>
      <c r="L3335" s="15" t="s">
        <v>24</v>
      </c>
      <c r="M3335" s="24">
        <v>0.0</v>
      </c>
      <c r="N3335" s="16">
        <v>0.25</v>
      </c>
      <c r="O3335" s="16">
        <v>0.24</v>
      </c>
      <c r="P3335" s="17">
        <v>45543.0</v>
      </c>
      <c r="Q3335" s="18">
        <v>1.85</v>
      </c>
      <c r="R3335" s="15" t="s">
        <v>25</v>
      </c>
      <c r="S3335" s="19">
        <f t="shared" si="1"/>
        <v>-0.24</v>
      </c>
      <c r="T3335" s="19">
        <f t="shared" si="8"/>
        <v>109.1497367</v>
      </c>
      <c r="U3335" s="144"/>
    </row>
    <row r="3336">
      <c r="A3336" s="107"/>
      <c r="B3336" s="8" t="s">
        <v>129</v>
      </c>
      <c r="C3336" s="8" t="s">
        <v>19</v>
      </c>
      <c r="D3336" s="8"/>
      <c r="E3336" s="47" t="s">
        <v>1860</v>
      </c>
      <c r="F3336" s="8" t="s">
        <v>1473</v>
      </c>
      <c r="G3336" s="8" t="s">
        <v>1480</v>
      </c>
      <c r="H3336" s="8">
        <v>0.0</v>
      </c>
      <c r="I3336" s="32" t="s">
        <v>99</v>
      </c>
      <c r="J3336" s="8" t="s">
        <v>22</v>
      </c>
      <c r="K3336" s="8" t="s">
        <v>892</v>
      </c>
      <c r="L3336" s="8" t="s">
        <v>24</v>
      </c>
      <c r="M3336" s="33">
        <v>0.0</v>
      </c>
      <c r="N3336" s="9">
        <v>0.5</v>
      </c>
      <c r="O3336" s="9">
        <v>0.46</v>
      </c>
      <c r="P3336" s="10">
        <v>45543.0</v>
      </c>
      <c r="Q3336" s="11">
        <v>2.1</v>
      </c>
      <c r="R3336" s="8" t="s">
        <v>70</v>
      </c>
      <c r="S3336" s="12">
        <f t="shared" si="1"/>
        <v>0</v>
      </c>
      <c r="T3336" s="12">
        <f t="shared" si="8"/>
        <v>109.1497367</v>
      </c>
      <c r="U3336" s="145"/>
    </row>
    <row r="3337">
      <c r="A3337" s="29"/>
      <c r="B3337" s="36" t="s">
        <v>26</v>
      </c>
      <c r="C3337" s="37" t="s">
        <v>19</v>
      </c>
      <c r="D3337" s="37"/>
      <c r="E3337" s="42" t="s">
        <v>1861</v>
      </c>
      <c r="F3337" s="15" t="s">
        <v>1479</v>
      </c>
      <c r="G3337" s="15" t="s">
        <v>1480</v>
      </c>
      <c r="H3337" s="15">
        <v>0.0</v>
      </c>
      <c r="I3337" s="37" t="s">
        <v>101</v>
      </c>
      <c r="J3337" s="37" t="s">
        <v>22</v>
      </c>
      <c r="K3337" s="37" t="s">
        <v>892</v>
      </c>
      <c r="L3337" s="15" t="s">
        <v>24</v>
      </c>
      <c r="M3337" s="24">
        <v>0.0</v>
      </c>
      <c r="N3337" s="24">
        <v>0.5</v>
      </c>
      <c r="O3337" s="24">
        <v>0.49</v>
      </c>
      <c r="P3337" s="105">
        <v>45543.0</v>
      </c>
      <c r="Q3337" s="39">
        <v>1.725</v>
      </c>
      <c r="R3337" s="15" t="s">
        <v>33</v>
      </c>
      <c r="S3337" s="19">
        <f t="shared" si="1"/>
        <v>0.35525</v>
      </c>
      <c r="T3337" s="19">
        <f t="shared" si="8"/>
        <v>109.5049867</v>
      </c>
      <c r="U3337" s="144"/>
    </row>
    <row r="3338">
      <c r="A3338" s="107"/>
      <c r="B3338" s="31" t="s">
        <v>129</v>
      </c>
      <c r="C3338" s="32" t="s">
        <v>19</v>
      </c>
      <c r="D3338" s="32"/>
      <c r="E3338" s="47" t="s">
        <v>1862</v>
      </c>
      <c r="F3338" s="8" t="s">
        <v>1479</v>
      </c>
      <c r="G3338" s="8" t="s">
        <v>1480</v>
      </c>
      <c r="H3338" s="8">
        <v>0.0</v>
      </c>
      <c r="I3338" s="32" t="s">
        <v>99</v>
      </c>
      <c r="J3338" s="32" t="s">
        <v>22</v>
      </c>
      <c r="K3338" s="32" t="s">
        <v>892</v>
      </c>
      <c r="L3338" s="8" t="s">
        <v>24</v>
      </c>
      <c r="M3338" s="33">
        <v>0.0</v>
      </c>
      <c r="N3338" s="33">
        <v>0.25</v>
      </c>
      <c r="O3338" s="33">
        <v>0.24</v>
      </c>
      <c r="P3338" s="106">
        <v>45543.0</v>
      </c>
      <c r="Q3338" s="35">
        <v>1.7</v>
      </c>
      <c r="R3338" s="8" t="s">
        <v>70</v>
      </c>
      <c r="S3338" s="12">
        <f t="shared" si="1"/>
        <v>0</v>
      </c>
      <c r="T3338" s="12">
        <f t="shared" si="8"/>
        <v>109.5049867</v>
      </c>
      <c r="U3338" s="145"/>
    </row>
    <row r="3339">
      <c r="A3339" s="29"/>
      <c r="B3339" s="15" t="s">
        <v>26</v>
      </c>
      <c r="C3339" s="15" t="s">
        <v>19</v>
      </c>
      <c r="D3339" s="15">
        <v>74.0</v>
      </c>
      <c r="E3339" s="42" t="s">
        <v>1863</v>
      </c>
      <c r="F3339" s="15" t="s">
        <v>1479</v>
      </c>
      <c r="G3339" s="15" t="s">
        <v>1480</v>
      </c>
      <c r="H3339" s="15">
        <v>0.0</v>
      </c>
      <c r="I3339" s="37" t="s">
        <v>93</v>
      </c>
      <c r="J3339" s="37" t="s">
        <v>22</v>
      </c>
      <c r="K3339" s="15" t="s">
        <v>892</v>
      </c>
      <c r="L3339" s="15" t="s">
        <v>24</v>
      </c>
      <c r="M3339" s="16">
        <v>0.0</v>
      </c>
      <c r="N3339" s="16">
        <v>0.5</v>
      </c>
      <c r="O3339" s="16">
        <v>0.48</v>
      </c>
      <c r="P3339" s="105">
        <v>45543.0</v>
      </c>
      <c r="Q3339" s="18">
        <v>1.725</v>
      </c>
      <c r="R3339" s="15" t="s">
        <v>70</v>
      </c>
      <c r="S3339" s="19">
        <f t="shared" si="1"/>
        <v>0</v>
      </c>
      <c r="T3339" s="19">
        <f t="shared" si="8"/>
        <v>109.5049867</v>
      </c>
      <c r="U3339" s="144"/>
    </row>
    <row r="3340">
      <c r="A3340" s="107"/>
      <c r="B3340" s="8" t="s">
        <v>18</v>
      </c>
      <c r="C3340" s="8" t="s">
        <v>19</v>
      </c>
      <c r="D3340" s="8">
        <v>70.0</v>
      </c>
      <c r="E3340" s="47" t="s">
        <v>1864</v>
      </c>
      <c r="F3340" s="8" t="s">
        <v>1479</v>
      </c>
      <c r="G3340" s="8" t="s">
        <v>1480</v>
      </c>
      <c r="H3340" s="8">
        <v>0.0</v>
      </c>
      <c r="I3340" s="8" t="s">
        <v>93</v>
      </c>
      <c r="J3340" s="8" t="s">
        <v>22</v>
      </c>
      <c r="K3340" s="8" t="s">
        <v>892</v>
      </c>
      <c r="L3340" s="8" t="s">
        <v>24</v>
      </c>
      <c r="M3340" s="9">
        <v>0.0</v>
      </c>
      <c r="N3340" s="9">
        <v>0.5</v>
      </c>
      <c r="O3340" s="9">
        <v>0.49</v>
      </c>
      <c r="P3340" s="10">
        <v>45543.0</v>
      </c>
      <c r="Q3340" s="11">
        <v>1.85</v>
      </c>
      <c r="R3340" s="8" t="s">
        <v>70</v>
      </c>
      <c r="S3340" s="12">
        <f t="shared" si="1"/>
        <v>0</v>
      </c>
      <c r="T3340" s="12">
        <f t="shared" si="8"/>
        <v>109.5049867</v>
      </c>
      <c r="U3340" s="145"/>
    </row>
    <row r="3341">
      <c r="A3341" s="29"/>
      <c r="B3341" s="15" t="s">
        <v>26</v>
      </c>
      <c r="C3341" s="15" t="s">
        <v>19</v>
      </c>
      <c r="D3341" s="15">
        <v>60.0</v>
      </c>
      <c r="E3341" s="15" t="s">
        <v>1865</v>
      </c>
      <c r="F3341" s="15" t="s">
        <v>1473</v>
      </c>
      <c r="G3341" s="15" t="s">
        <v>1480</v>
      </c>
      <c r="H3341" s="15">
        <v>-1.0</v>
      </c>
      <c r="I3341" s="15" t="s">
        <v>78</v>
      </c>
      <c r="J3341" s="15" t="s">
        <v>22</v>
      </c>
      <c r="K3341" s="15" t="s">
        <v>892</v>
      </c>
      <c r="L3341" s="15" t="s">
        <v>24</v>
      </c>
      <c r="M3341" s="16">
        <v>0.0</v>
      </c>
      <c r="N3341" s="16">
        <v>0.6</v>
      </c>
      <c r="O3341" s="16">
        <v>0.53</v>
      </c>
      <c r="P3341" s="17">
        <v>45545.0</v>
      </c>
      <c r="Q3341" s="18">
        <v>1.75</v>
      </c>
      <c r="R3341" s="15" t="s">
        <v>25</v>
      </c>
      <c r="S3341" s="19">
        <f t="shared" si="1"/>
        <v>-0.53</v>
      </c>
      <c r="T3341" s="19">
        <f t="shared" si="8"/>
        <v>108.9749867</v>
      </c>
      <c r="U3341" s="144"/>
    </row>
    <row r="3342">
      <c r="A3342" s="107"/>
      <c r="B3342" s="8" t="s">
        <v>26</v>
      </c>
      <c r="C3342" s="8" t="s">
        <v>19</v>
      </c>
      <c r="D3342" s="8">
        <v>68.0</v>
      </c>
      <c r="E3342" s="8" t="s">
        <v>1866</v>
      </c>
      <c r="F3342" s="8" t="s">
        <v>1479</v>
      </c>
      <c r="G3342" s="8" t="s">
        <v>1480</v>
      </c>
      <c r="H3342" s="8">
        <v>-1.0</v>
      </c>
      <c r="I3342" s="8" t="s">
        <v>908</v>
      </c>
      <c r="J3342" s="8" t="s">
        <v>22</v>
      </c>
      <c r="K3342" s="8" t="s">
        <v>892</v>
      </c>
      <c r="L3342" s="8" t="s">
        <v>24</v>
      </c>
      <c r="M3342" s="9">
        <v>0.0</v>
      </c>
      <c r="N3342" s="9">
        <v>0.4</v>
      </c>
      <c r="O3342" s="9">
        <v>0.3</v>
      </c>
      <c r="P3342" s="10">
        <v>45545.0</v>
      </c>
      <c r="Q3342" s="11">
        <f>(2.6+2.45)/2</f>
        <v>2.525</v>
      </c>
      <c r="R3342" s="8" t="s">
        <v>33</v>
      </c>
      <c r="S3342" s="12">
        <f t="shared" si="1"/>
        <v>0.4575</v>
      </c>
      <c r="T3342" s="12">
        <f t="shared" si="8"/>
        <v>109.4324867</v>
      </c>
      <c r="U3342" s="145"/>
    </row>
    <row r="3343">
      <c r="A3343" s="29"/>
      <c r="B3343" s="15" t="s">
        <v>26</v>
      </c>
      <c r="C3343" s="15" t="s">
        <v>19</v>
      </c>
      <c r="D3343" s="15">
        <v>30.0</v>
      </c>
      <c r="E3343" s="15" t="s">
        <v>1867</v>
      </c>
      <c r="F3343" s="15" t="s">
        <v>1473</v>
      </c>
      <c r="G3343" s="15" t="s">
        <v>1474</v>
      </c>
      <c r="H3343" s="15">
        <v>0.0</v>
      </c>
      <c r="I3343" s="15" t="s">
        <v>448</v>
      </c>
      <c r="J3343" s="15" t="s">
        <v>22</v>
      </c>
      <c r="K3343" s="15" t="s">
        <v>225</v>
      </c>
      <c r="L3343" s="15" t="s">
        <v>24</v>
      </c>
      <c r="M3343" s="16">
        <v>0.25</v>
      </c>
      <c r="N3343" s="16">
        <v>0.5</v>
      </c>
      <c r="O3343" s="16">
        <v>0.5</v>
      </c>
      <c r="P3343" s="17">
        <v>45546.0</v>
      </c>
      <c r="Q3343" s="18">
        <v>1.8</v>
      </c>
      <c r="R3343" s="15" t="s">
        <v>33</v>
      </c>
      <c r="S3343" s="19">
        <f t="shared" si="1"/>
        <v>0.4</v>
      </c>
      <c r="T3343" s="19">
        <f t="shared" si="8"/>
        <v>109.8324867</v>
      </c>
      <c r="U3343" s="144"/>
    </row>
    <row r="3344">
      <c r="A3344" s="107"/>
      <c r="B3344" s="8" t="s">
        <v>26</v>
      </c>
      <c r="C3344" s="8" t="s">
        <v>19</v>
      </c>
      <c r="D3344" s="8">
        <v>0.0</v>
      </c>
      <c r="E3344" s="8" t="s">
        <v>1868</v>
      </c>
      <c r="F3344" s="8" t="s">
        <v>1473</v>
      </c>
      <c r="G3344" s="8" t="s">
        <v>1474</v>
      </c>
      <c r="H3344" s="8">
        <v>0.0</v>
      </c>
      <c r="I3344" s="8" t="s">
        <v>82</v>
      </c>
      <c r="J3344" s="8" t="s">
        <v>598</v>
      </c>
      <c r="K3344" s="8" t="s">
        <v>225</v>
      </c>
      <c r="L3344" s="8" t="s">
        <v>39</v>
      </c>
      <c r="M3344" s="9">
        <v>0.5</v>
      </c>
      <c r="N3344" s="9">
        <v>0.1</v>
      </c>
      <c r="O3344" s="9">
        <v>0.1</v>
      </c>
      <c r="P3344" s="10">
        <v>45546.0</v>
      </c>
      <c r="Q3344" s="11">
        <v>1.87</v>
      </c>
      <c r="R3344" s="8" t="s">
        <v>25</v>
      </c>
      <c r="S3344" s="12">
        <f t="shared" si="1"/>
        <v>-0.1</v>
      </c>
      <c r="T3344" s="12">
        <f t="shared" si="8"/>
        <v>109.7324867</v>
      </c>
      <c r="U3344" s="145"/>
    </row>
    <row r="3345">
      <c r="A3345" s="29"/>
      <c r="B3345" s="15" t="s">
        <v>26</v>
      </c>
      <c r="C3345" s="15" t="s">
        <v>19</v>
      </c>
      <c r="D3345" s="15">
        <v>85.0</v>
      </c>
      <c r="E3345" s="15" t="s">
        <v>1869</v>
      </c>
      <c r="F3345" s="15" t="s">
        <v>1479</v>
      </c>
      <c r="G3345" s="15" t="s">
        <v>1474</v>
      </c>
      <c r="H3345" s="15">
        <v>-1.0</v>
      </c>
      <c r="I3345" s="15" t="s">
        <v>448</v>
      </c>
      <c r="J3345" s="15" t="s">
        <v>22</v>
      </c>
      <c r="K3345" s="15" t="s">
        <v>941</v>
      </c>
      <c r="L3345" s="15" t="s">
        <v>24</v>
      </c>
      <c r="M3345" s="16">
        <v>0.0</v>
      </c>
      <c r="N3345" s="16">
        <v>0.02</v>
      </c>
      <c r="O3345" s="16">
        <v>0.02</v>
      </c>
      <c r="P3345" s="17">
        <v>45546.0</v>
      </c>
      <c r="Q3345" s="18">
        <v>21.0</v>
      </c>
      <c r="R3345" s="15" t="s">
        <v>25</v>
      </c>
      <c r="S3345" s="19">
        <f t="shared" si="1"/>
        <v>-0.02</v>
      </c>
      <c r="T3345" s="19">
        <f t="shared" si="8"/>
        <v>109.7124867</v>
      </c>
      <c r="U3345" s="144"/>
    </row>
    <row r="3346">
      <c r="A3346" s="107"/>
      <c r="B3346" s="8" t="s">
        <v>35</v>
      </c>
      <c r="C3346" s="8" t="s">
        <v>19</v>
      </c>
      <c r="D3346" s="8">
        <v>67.0</v>
      </c>
      <c r="E3346" s="8" t="s">
        <v>1870</v>
      </c>
      <c r="F3346" s="8" t="s">
        <v>1473</v>
      </c>
      <c r="G3346" s="8" t="s">
        <v>1480</v>
      </c>
      <c r="H3346" s="8">
        <v>0.0</v>
      </c>
      <c r="I3346" s="8" t="s">
        <v>101</v>
      </c>
      <c r="J3346" s="8" t="s">
        <v>22</v>
      </c>
      <c r="K3346" s="8" t="s">
        <v>892</v>
      </c>
      <c r="L3346" s="8" t="s">
        <v>24</v>
      </c>
      <c r="M3346" s="9">
        <v>0.0</v>
      </c>
      <c r="N3346" s="9">
        <v>0.1</v>
      </c>
      <c r="O3346" s="9">
        <v>0.1</v>
      </c>
      <c r="P3346" s="10">
        <v>45546.0</v>
      </c>
      <c r="Q3346" s="11">
        <v>1.725</v>
      </c>
      <c r="R3346" s="8" t="s">
        <v>33</v>
      </c>
      <c r="S3346" s="12">
        <f t="shared" si="1"/>
        <v>0.0725</v>
      </c>
      <c r="T3346" s="12">
        <f t="shared" si="8"/>
        <v>109.7849867</v>
      </c>
      <c r="U3346" s="145"/>
    </row>
    <row r="3347">
      <c r="A3347" s="29"/>
      <c r="B3347" s="15" t="s">
        <v>26</v>
      </c>
      <c r="C3347" s="15" t="s">
        <v>19</v>
      </c>
      <c r="D3347" s="15">
        <v>24.0</v>
      </c>
      <c r="E3347" s="15" t="s">
        <v>1871</v>
      </c>
      <c r="F3347" s="15" t="s">
        <v>1479</v>
      </c>
      <c r="G3347" s="15" t="s">
        <v>1474</v>
      </c>
      <c r="H3347" s="15">
        <v>0.0</v>
      </c>
      <c r="I3347" s="15" t="s">
        <v>82</v>
      </c>
      <c r="J3347" s="15" t="s">
        <v>22</v>
      </c>
      <c r="K3347" s="15" t="s">
        <v>941</v>
      </c>
      <c r="L3347" s="15" t="s">
        <v>1522</v>
      </c>
      <c r="M3347" s="16">
        <v>0.0</v>
      </c>
      <c r="N3347" s="16">
        <v>0.5</v>
      </c>
      <c r="O3347" s="16">
        <v>0.5</v>
      </c>
      <c r="P3347" s="17">
        <v>45546.0</v>
      </c>
      <c r="Q3347" s="18">
        <v>1.725</v>
      </c>
      <c r="R3347" s="15" t="s">
        <v>25</v>
      </c>
      <c r="S3347" s="19">
        <f t="shared" si="1"/>
        <v>-0.5</v>
      </c>
      <c r="T3347" s="19">
        <f t="shared" si="8"/>
        <v>109.2849867</v>
      </c>
      <c r="U3347" s="144"/>
    </row>
    <row r="3348">
      <c r="A3348" s="107"/>
      <c r="B3348" s="8" t="s">
        <v>35</v>
      </c>
      <c r="C3348" s="8" t="s">
        <v>40</v>
      </c>
      <c r="D3348" s="8"/>
      <c r="E3348" s="8" t="s">
        <v>1872</v>
      </c>
      <c r="F3348" s="8" t="s">
        <v>1473</v>
      </c>
      <c r="G3348" s="8" t="s">
        <v>1480</v>
      </c>
      <c r="H3348" s="8">
        <v>0.0</v>
      </c>
      <c r="I3348" s="8" t="s">
        <v>93</v>
      </c>
      <c r="J3348" s="8" t="s">
        <v>22</v>
      </c>
      <c r="K3348" s="8" t="s">
        <v>892</v>
      </c>
      <c r="L3348" s="8" t="s">
        <v>24</v>
      </c>
      <c r="M3348" s="9">
        <v>0.0</v>
      </c>
      <c r="N3348" s="9">
        <v>0.1</v>
      </c>
      <c r="O3348" s="9">
        <v>0.1</v>
      </c>
      <c r="P3348" s="10">
        <v>45546.0</v>
      </c>
      <c r="Q3348" s="11">
        <v>1.875</v>
      </c>
      <c r="R3348" s="8" t="s">
        <v>70</v>
      </c>
      <c r="S3348" s="12">
        <f t="shared" si="1"/>
        <v>0</v>
      </c>
      <c r="T3348" s="12">
        <f t="shared" si="8"/>
        <v>109.2849867</v>
      </c>
      <c r="U3348" s="145"/>
    </row>
    <row r="3349">
      <c r="A3349" s="29"/>
      <c r="B3349" s="15" t="s">
        <v>18</v>
      </c>
      <c r="C3349" s="15" t="s">
        <v>40</v>
      </c>
      <c r="D3349" s="15"/>
      <c r="E3349" s="15" t="s">
        <v>1873</v>
      </c>
      <c r="F3349" s="15" t="s">
        <v>1479</v>
      </c>
      <c r="G3349" s="15" t="s">
        <v>1480</v>
      </c>
      <c r="H3349" s="15">
        <v>0.0</v>
      </c>
      <c r="I3349" s="15" t="s">
        <v>93</v>
      </c>
      <c r="J3349" s="15" t="s">
        <v>22</v>
      </c>
      <c r="K3349" s="15" t="s">
        <v>892</v>
      </c>
      <c r="L3349" s="15" t="s">
        <v>24</v>
      </c>
      <c r="M3349" s="16">
        <v>0.0</v>
      </c>
      <c r="N3349" s="16">
        <v>0.35</v>
      </c>
      <c r="O3349" s="16">
        <v>0.35</v>
      </c>
      <c r="P3349" s="55">
        <v>45546.0</v>
      </c>
      <c r="Q3349" s="18">
        <v>1.925</v>
      </c>
      <c r="R3349" s="15" t="s">
        <v>70</v>
      </c>
      <c r="S3349" s="19">
        <f t="shared" si="1"/>
        <v>0</v>
      </c>
      <c r="T3349" s="19">
        <f t="shared" si="8"/>
        <v>109.2849867</v>
      </c>
      <c r="U3349" s="144"/>
    </row>
    <row r="3350">
      <c r="A3350" s="107"/>
      <c r="B3350" s="8" t="s">
        <v>26</v>
      </c>
      <c r="C3350" s="8" t="s">
        <v>19</v>
      </c>
      <c r="D3350" s="8"/>
      <c r="E3350" s="8" t="s">
        <v>1874</v>
      </c>
      <c r="F3350" s="8" t="s">
        <v>1479</v>
      </c>
      <c r="G3350" s="8" t="s">
        <v>1480</v>
      </c>
      <c r="H3350" s="8">
        <v>0.0</v>
      </c>
      <c r="I3350" s="8" t="s">
        <v>82</v>
      </c>
      <c r="J3350" s="8" t="s">
        <v>22</v>
      </c>
      <c r="K3350" s="8" t="s">
        <v>892</v>
      </c>
      <c r="L3350" s="8" t="s">
        <v>1522</v>
      </c>
      <c r="M3350" s="9">
        <v>0.0</v>
      </c>
      <c r="N3350" s="9">
        <v>0.25</v>
      </c>
      <c r="O3350" s="9">
        <v>0.25</v>
      </c>
      <c r="P3350" s="54">
        <v>45546.0</v>
      </c>
      <c r="Q3350" s="11">
        <v>2.025</v>
      </c>
      <c r="R3350" s="8" t="s">
        <v>70</v>
      </c>
      <c r="S3350" s="12">
        <f t="shared" si="1"/>
        <v>0</v>
      </c>
      <c r="T3350" s="12">
        <f t="shared" si="8"/>
        <v>109.2849867</v>
      </c>
      <c r="U3350" s="145"/>
    </row>
    <row r="3351">
      <c r="A3351" s="29"/>
      <c r="B3351" s="15" t="s">
        <v>35</v>
      </c>
      <c r="C3351" s="15" t="s">
        <v>19</v>
      </c>
      <c r="D3351" s="15">
        <v>63.0</v>
      </c>
      <c r="E3351" s="15" t="s">
        <v>1875</v>
      </c>
      <c r="F3351" s="15" t="s">
        <v>1479</v>
      </c>
      <c r="G3351" s="15" t="s">
        <v>1480</v>
      </c>
      <c r="H3351" s="15">
        <v>0.0</v>
      </c>
      <c r="I3351" s="15" t="s">
        <v>78</v>
      </c>
      <c r="J3351" s="15" t="s">
        <v>22</v>
      </c>
      <c r="K3351" s="15" t="s">
        <v>892</v>
      </c>
      <c r="L3351" s="15" t="s">
        <v>24</v>
      </c>
      <c r="M3351" s="16">
        <v>0.0</v>
      </c>
      <c r="N3351" s="16">
        <v>0.75</v>
      </c>
      <c r="O3351" s="16">
        <v>0.75</v>
      </c>
      <c r="P3351" s="55">
        <v>45546.0</v>
      </c>
      <c r="Q3351" s="18">
        <v>1.85</v>
      </c>
      <c r="R3351" s="15" t="s">
        <v>70</v>
      </c>
      <c r="S3351" s="19">
        <f t="shared" si="1"/>
        <v>0</v>
      </c>
      <c r="T3351" s="19">
        <f t="shared" si="8"/>
        <v>109.2849867</v>
      </c>
      <c r="U3351" s="144"/>
    </row>
    <row r="3352">
      <c r="A3352" s="107"/>
      <c r="B3352" s="8" t="s">
        <v>35</v>
      </c>
      <c r="C3352" s="8" t="s">
        <v>19</v>
      </c>
      <c r="D3352" s="8">
        <v>64.0</v>
      </c>
      <c r="E3352" s="8" t="s">
        <v>1876</v>
      </c>
      <c r="F3352" s="8" t="s">
        <v>1479</v>
      </c>
      <c r="G3352" s="8" t="s">
        <v>1480</v>
      </c>
      <c r="H3352" s="8">
        <v>0.0</v>
      </c>
      <c r="I3352" s="8" t="s">
        <v>78</v>
      </c>
      <c r="J3352" s="8" t="s">
        <v>22</v>
      </c>
      <c r="K3352" s="8" t="s">
        <v>892</v>
      </c>
      <c r="L3352" s="8" t="s">
        <v>39</v>
      </c>
      <c r="M3352" s="9">
        <v>0.0</v>
      </c>
      <c r="N3352" s="9">
        <v>0.1</v>
      </c>
      <c r="O3352" s="9">
        <v>0.1</v>
      </c>
      <c r="P3352" s="54">
        <v>45546.0</v>
      </c>
      <c r="Q3352" s="11">
        <v>1.7</v>
      </c>
      <c r="R3352" s="8" t="s">
        <v>70</v>
      </c>
      <c r="S3352" s="12">
        <f t="shared" si="1"/>
        <v>0</v>
      </c>
      <c r="T3352" s="12">
        <f t="shared" si="8"/>
        <v>109.2849867</v>
      </c>
      <c r="U3352" s="145"/>
    </row>
    <row r="3353">
      <c r="A3353" s="29"/>
      <c r="B3353" s="15" t="s">
        <v>26</v>
      </c>
      <c r="C3353" s="15" t="s">
        <v>19</v>
      </c>
      <c r="D3353" s="15"/>
      <c r="E3353" s="15" t="s">
        <v>1877</v>
      </c>
      <c r="F3353" s="15" t="s">
        <v>1473</v>
      </c>
      <c r="G3353" s="15" t="s">
        <v>1480</v>
      </c>
      <c r="H3353" s="15">
        <v>0.0</v>
      </c>
      <c r="I3353" s="15" t="s">
        <v>82</v>
      </c>
      <c r="J3353" s="15" t="s">
        <v>22</v>
      </c>
      <c r="K3353" s="15" t="s">
        <v>892</v>
      </c>
      <c r="L3353" s="15" t="s">
        <v>24</v>
      </c>
      <c r="M3353" s="16">
        <v>0.0</v>
      </c>
      <c r="N3353" s="16">
        <v>0.25</v>
      </c>
      <c r="O3353" s="16">
        <v>0.25</v>
      </c>
      <c r="P3353" s="55">
        <v>45546.0</v>
      </c>
      <c r="Q3353" s="18">
        <v>1.82</v>
      </c>
      <c r="R3353" s="15" t="s">
        <v>70</v>
      </c>
      <c r="S3353" s="19">
        <f t="shared" si="1"/>
        <v>0</v>
      </c>
      <c r="T3353" s="19">
        <f t="shared" si="8"/>
        <v>109.2849867</v>
      </c>
      <c r="U3353" s="144"/>
    </row>
    <row r="3354">
      <c r="A3354" s="107"/>
      <c r="B3354" s="8" t="s">
        <v>35</v>
      </c>
      <c r="C3354" s="8" t="s">
        <v>19</v>
      </c>
      <c r="D3354" s="8">
        <v>65.0</v>
      </c>
      <c r="E3354" s="8" t="s">
        <v>1878</v>
      </c>
      <c r="F3354" s="8" t="s">
        <v>1479</v>
      </c>
      <c r="G3354" s="8" t="s">
        <v>1480</v>
      </c>
      <c r="H3354" s="8">
        <v>0.0</v>
      </c>
      <c r="I3354" s="8" t="s">
        <v>374</v>
      </c>
      <c r="J3354" s="8" t="s">
        <v>22</v>
      </c>
      <c r="K3354" s="8" t="s">
        <v>892</v>
      </c>
      <c r="L3354" s="8" t="s">
        <v>39</v>
      </c>
      <c r="M3354" s="9">
        <v>0.0</v>
      </c>
      <c r="N3354" s="9">
        <v>0.1</v>
      </c>
      <c r="O3354" s="9">
        <v>0.1</v>
      </c>
      <c r="P3354" s="10">
        <v>45546.0</v>
      </c>
      <c r="Q3354" s="11">
        <v>1.75</v>
      </c>
      <c r="R3354" s="8" t="s">
        <v>33</v>
      </c>
      <c r="S3354" s="12">
        <f t="shared" si="1"/>
        <v>0.075</v>
      </c>
      <c r="T3354" s="12">
        <f t="shared" si="8"/>
        <v>109.3599867</v>
      </c>
      <c r="U3354" s="145"/>
    </row>
    <row r="3355">
      <c r="A3355" s="29"/>
      <c r="B3355" s="15" t="s">
        <v>35</v>
      </c>
      <c r="C3355" s="15" t="s">
        <v>19</v>
      </c>
      <c r="D3355" s="15">
        <v>62.0</v>
      </c>
      <c r="E3355" s="15" t="s">
        <v>1879</v>
      </c>
      <c r="F3355" s="15" t="s">
        <v>1479</v>
      </c>
      <c r="G3355" s="15" t="s">
        <v>1480</v>
      </c>
      <c r="H3355" s="15">
        <v>0.0</v>
      </c>
      <c r="I3355" s="15" t="s">
        <v>84</v>
      </c>
      <c r="J3355" s="15" t="s">
        <v>22</v>
      </c>
      <c r="K3355" s="15" t="s">
        <v>892</v>
      </c>
      <c r="L3355" s="15" t="s">
        <v>24</v>
      </c>
      <c r="M3355" s="16">
        <v>0.0</v>
      </c>
      <c r="N3355" s="16">
        <v>0.2</v>
      </c>
      <c r="O3355" s="16">
        <v>0.2</v>
      </c>
      <c r="P3355" s="55">
        <v>45547.0</v>
      </c>
      <c r="Q3355" s="18">
        <v>1.5179</v>
      </c>
      <c r="R3355" s="15" t="s">
        <v>33</v>
      </c>
      <c r="S3355" s="19">
        <f t="shared" si="1"/>
        <v>0.10358</v>
      </c>
      <c r="T3355" s="19">
        <f t="shared" si="8"/>
        <v>109.4635667</v>
      </c>
      <c r="U3355" s="144"/>
    </row>
    <row r="3356">
      <c r="A3356" s="107"/>
      <c r="B3356" s="8" t="s">
        <v>26</v>
      </c>
      <c r="C3356" s="8" t="s">
        <v>40</v>
      </c>
      <c r="D3356" s="8">
        <v>53.0</v>
      </c>
      <c r="E3356" s="8" t="s">
        <v>1880</v>
      </c>
      <c r="F3356" s="8" t="s">
        <v>1479</v>
      </c>
      <c r="G3356" s="8" t="s">
        <v>1480</v>
      </c>
      <c r="H3356" s="8">
        <v>0.0</v>
      </c>
      <c r="I3356" s="8" t="s">
        <v>877</v>
      </c>
      <c r="J3356" s="8" t="s">
        <v>22</v>
      </c>
      <c r="K3356" s="8" t="s">
        <v>892</v>
      </c>
      <c r="L3356" s="8" t="s">
        <v>1851</v>
      </c>
      <c r="M3356" s="9">
        <v>0.0</v>
      </c>
      <c r="N3356" s="9">
        <v>0.25</v>
      </c>
      <c r="O3356" s="9">
        <v>0.24</v>
      </c>
      <c r="P3356" s="10">
        <v>45547.0</v>
      </c>
      <c r="Q3356" s="11">
        <v>1.95</v>
      </c>
      <c r="R3356" s="8" t="s">
        <v>70</v>
      </c>
      <c r="S3356" s="12">
        <f t="shared" si="1"/>
        <v>0</v>
      </c>
      <c r="T3356" s="12">
        <f t="shared" si="8"/>
        <v>109.4635667</v>
      </c>
      <c r="U3356" s="145"/>
    </row>
    <row r="3357">
      <c r="A3357" s="29"/>
      <c r="B3357" s="15" t="s">
        <v>26</v>
      </c>
      <c r="C3357" s="15" t="s">
        <v>40</v>
      </c>
      <c r="D3357" s="15">
        <v>62.0</v>
      </c>
      <c r="E3357" s="15" t="s">
        <v>1881</v>
      </c>
      <c r="F3357" s="15" t="s">
        <v>1473</v>
      </c>
      <c r="G3357" s="15" t="s">
        <v>1474</v>
      </c>
      <c r="H3357" s="15">
        <v>0.0</v>
      </c>
      <c r="I3357" s="15" t="s">
        <v>877</v>
      </c>
      <c r="J3357" s="15" t="s">
        <v>22</v>
      </c>
      <c r="K3357" s="15" t="s">
        <v>941</v>
      </c>
      <c r="L3357" s="15" t="s">
        <v>1851</v>
      </c>
      <c r="M3357" s="16">
        <v>0.0</v>
      </c>
      <c r="N3357" s="16">
        <v>0.3</v>
      </c>
      <c r="O3357" s="16">
        <v>0.1</v>
      </c>
      <c r="P3357" s="17">
        <v>45547.0</v>
      </c>
      <c r="Q3357" s="18">
        <v>1.625</v>
      </c>
      <c r="R3357" s="15" t="s">
        <v>70</v>
      </c>
      <c r="S3357" s="19">
        <f t="shared" si="1"/>
        <v>0</v>
      </c>
      <c r="T3357" s="19">
        <f t="shared" si="8"/>
        <v>109.4635667</v>
      </c>
      <c r="U3357" s="144"/>
    </row>
    <row r="3358">
      <c r="A3358" s="107"/>
      <c r="B3358" s="8" t="s">
        <v>26</v>
      </c>
      <c r="C3358" s="8" t="s">
        <v>19</v>
      </c>
      <c r="D3358" s="8">
        <v>40.0</v>
      </c>
      <c r="E3358" s="8" t="s">
        <v>1882</v>
      </c>
      <c r="F3358" s="8" t="s">
        <v>1473</v>
      </c>
      <c r="G3358" s="8" t="s">
        <v>1480</v>
      </c>
      <c r="H3358" s="8">
        <v>0.0</v>
      </c>
      <c r="I3358" s="8" t="s">
        <v>178</v>
      </c>
      <c r="J3358" s="8" t="s">
        <v>22</v>
      </c>
      <c r="K3358" s="8" t="s">
        <v>892</v>
      </c>
      <c r="L3358" s="8" t="s">
        <v>24</v>
      </c>
      <c r="M3358" s="9">
        <v>0.0</v>
      </c>
      <c r="N3358" s="9">
        <v>1.0</v>
      </c>
      <c r="O3358" s="9">
        <v>1.0</v>
      </c>
      <c r="P3358" s="10">
        <v>45547.0</v>
      </c>
      <c r="Q3358" s="11">
        <v>1.75618</v>
      </c>
      <c r="R3358" s="8" t="s">
        <v>33</v>
      </c>
      <c r="S3358" s="12">
        <f t="shared" si="1"/>
        <v>0.75618</v>
      </c>
      <c r="T3358" s="12">
        <f t="shared" si="8"/>
        <v>110.2197467</v>
      </c>
      <c r="U3358" s="145"/>
    </row>
    <row r="3359">
      <c r="A3359" s="29"/>
      <c r="B3359" s="15" t="s">
        <v>26</v>
      </c>
      <c r="C3359" s="15" t="s">
        <v>19</v>
      </c>
      <c r="D3359" s="15">
        <v>2.0</v>
      </c>
      <c r="E3359" s="15" t="s">
        <v>1883</v>
      </c>
      <c r="F3359" s="15" t="s">
        <v>1473</v>
      </c>
      <c r="G3359" s="15" t="s">
        <v>1480</v>
      </c>
      <c r="H3359" s="15">
        <v>0.0</v>
      </c>
      <c r="I3359" s="15" t="s">
        <v>341</v>
      </c>
      <c r="J3359" s="15" t="s">
        <v>22</v>
      </c>
      <c r="K3359" s="15" t="s">
        <v>892</v>
      </c>
      <c r="L3359" s="15" t="s">
        <v>1851</v>
      </c>
      <c r="M3359" s="16">
        <v>0.0</v>
      </c>
      <c r="N3359" s="16">
        <v>0.1</v>
      </c>
      <c r="O3359" s="16">
        <v>0.1</v>
      </c>
      <c r="P3359" s="17">
        <v>45547.0</v>
      </c>
      <c r="Q3359" s="18">
        <v>1.85</v>
      </c>
      <c r="R3359" s="15" t="s">
        <v>33</v>
      </c>
      <c r="S3359" s="19">
        <f t="shared" si="1"/>
        <v>0.085</v>
      </c>
      <c r="T3359" s="19">
        <f t="shared" si="8"/>
        <v>110.3047467</v>
      </c>
      <c r="U3359" s="144"/>
    </row>
    <row r="3360">
      <c r="A3360" s="107"/>
      <c r="B3360" s="8" t="s">
        <v>35</v>
      </c>
      <c r="C3360" s="8" t="s">
        <v>19</v>
      </c>
      <c r="D3360" s="8">
        <v>62.0</v>
      </c>
      <c r="E3360" s="8" t="s">
        <v>1884</v>
      </c>
      <c r="F3360" s="8" t="s">
        <v>1473</v>
      </c>
      <c r="G3360" s="8" t="s">
        <v>1480</v>
      </c>
      <c r="H3360" s="8">
        <v>0.0</v>
      </c>
      <c r="I3360" s="8" t="s">
        <v>78</v>
      </c>
      <c r="J3360" s="8" t="s">
        <v>22</v>
      </c>
      <c r="K3360" s="8" t="s">
        <v>892</v>
      </c>
      <c r="L3360" s="8" t="s">
        <v>39</v>
      </c>
      <c r="M3360" s="9">
        <v>0.0</v>
      </c>
      <c r="N3360" s="9">
        <v>0.1</v>
      </c>
      <c r="O3360" s="9">
        <v>0.1</v>
      </c>
      <c r="P3360" s="10">
        <v>45547.0</v>
      </c>
      <c r="Q3360" s="11">
        <v>1.85</v>
      </c>
      <c r="R3360" s="8" t="s">
        <v>70</v>
      </c>
      <c r="S3360" s="12">
        <f t="shared" si="1"/>
        <v>0</v>
      </c>
      <c r="T3360" s="12">
        <f t="shared" si="8"/>
        <v>110.3047467</v>
      </c>
      <c r="U3360" s="145"/>
    </row>
    <row r="3361">
      <c r="A3361" s="29"/>
      <c r="B3361" s="15" t="s">
        <v>35</v>
      </c>
      <c r="C3361" s="15" t="s">
        <v>19</v>
      </c>
      <c r="D3361" s="15">
        <v>61.0</v>
      </c>
      <c r="E3361" s="15" t="s">
        <v>1885</v>
      </c>
      <c r="F3361" s="15" t="s">
        <v>1479</v>
      </c>
      <c r="G3361" s="15" t="s">
        <v>1480</v>
      </c>
      <c r="H3361" s="15">
        <v>1.0</v>
      </c>
      <c r="I3361" s="15" t="s">
        <v>463</v>
      </c>
      <c r="J3361" s="15" t="s">
        <v>22</v>
      </c>
      <c r="K3361" s="15" t="s">
        <v>892</v>
      </c>
      <c r="L3361" s="15" t="s">
        <v>39</v>
      </c>
      <c r="M3361" s="16">
        <v>0.0</v>
      </c>
      <c r="N3361" s="16">
        <v>0.1</v>
      </c>
      <c r="O3361" s="16">
        <v>0.1</v>
      </c>
      <c r="P3361" s="17">
        <v>45547.0</v>
      </c>
      <c r="Q3361" s="18">
        <v>1.75</v>
      </c>
      <c r="R3361" s="15" t="s">
        <v>25</v>
      </c>
      <c r="S3361" s="19">
        <f t="shared" si="1"/>
        <v>-0.1</v>
      </c>
      <c r="T3361" s="19">
        <f t="shared" si="8"/>
        <v>110.2047467</v>
      </c>
      <c r="U3361" s="144"/>
    </row>
    <row r="3362">
      <c r="A3362" s="107"/>
      <c r="B3362" s="8" t="s">
        <v>35</v>
      </c>
      <c r="C3362" s="8" t="s">
        <v>19</v>
      </c>
      <c r="D3362" s="8">
        <v>62.0</v>
      </c>
      <c r="E3362" s="8" t="s">
        <v>1886</v>
      </c>
      <c r="F3362" s="8" t="s">
        <v>1473</v>
      </c>
      <c r="G3362" s="8" t="s">
        <v>1480</v>
      </c>
      <c r="H3362" s="8">
        <v>1.0</v>
      </c>
      <c r="I3362" s="8" t="s">
        <v>167</v>
      </c>
      <c r="J3362" s="8" t="s">
        <v>22</v>
      </c>
      <c r="K3362" s="8" t="s">
        <v>892</v>
      </c>
      <c r="L3362" s="8" t="s">
        <v>24</v>
      </c>
      <c r="M3362" s="9">
        <v>0.0</v>
      </c>
      <c r="N3362" s="9">
        <v>0.1</v>
      </c>
      <c r="O3362" s="9">
        <v>0.1</v>
      </c>
      <c r="P3362" s="54">
        <v>45548.0</v>
      </c>
      <c r="Q3362" s="11">
        <v>1.775</v>
      </c>
      <c r="R3362" s="8" t="s">
        <v>70</v>
      </c>
      <c r="S3362" s="12">
        <f t="shared" si="1"/>
        <v>0</v>
      </c>
      <c r="T3362" s="12">
        <f t="shared" si="8"/>
        <v>110.2047467</v>
      </c>
      <c r="U3362" s="145"/>
    </row>
    <row r="3363">
      <c r="A3363" s="29"/>
      <c r="B3363" s="15" t="s">
        <v>26</v>
      </c>
      <c r="C3363" s="15" t="s">
        <v>19</v>
      </c>
      <c r="D3363" s="15">
        <v>33.0</v>
      </c>
      <c r="E3363" s="15" t="s">
        <v>1887</v>
      </c>
      <c r="F3363" s="15" t="s">
        <v>1473</v>
      </c>
      <c r="G3363" s="15" t="s">
        <v>1477</v>
      </c>
      <c r="H3363" s="15">
        <v>3.0</v>
      </c>
      <c r="I3363" s="15" t="s">
        <v>162</v>
      </c>
      <c r="J3363" s="15" t="s">
        <v>22</v>
      </c>
      <c r="K3363" s="15" t="s">
        <v>894</v>
      </c>
      <c r="L3363" s="15" t="s">
        <v>1851</v>
      </c>
      <c r="M3363" s="16">
        <v>-0.25</v>
      </c>
      <c r="N3363" s="16">
        <v>0.1</v>
      </c>
      <c r="O3363" s="16">
        <v>0.05</v>
      </c>
      <c r="P3363" s="17">
        <v>45548.0</v>
      </c>
      <c r="Q3363" s="18">
        <v>1.625</v>
      </c>
      <c r="R3363" s="15" t="s">
        <v>33</v>
      </c>
      <c r="S3363" s="19">
        <f t="shared" si="1"/>
        <v>0.03125</v>
      </c>
      <c r="T3363" s="19">
        <f t="shared" si="8"/>
        <v>110.2359967</v>
      </c>
      <c r="U3363" s="144"/>
    </row>
    <row r="3364">
      <c r="A3364" s="107"/>
      <c r="B3364" s="8" t="s">
        <v>18</v>
      </c>
      <c r="C3364" s="8" t="s">
        <v>19</v>
      </c>
      <c r="D3364" s="8"/>
      <c r="E3364" s="8" t="s">
        <v>1888</v>
      </c>
      <c r="F3364" s="8" t="s">
        <v>1473</v>
      </c>
      <c r="G3364" s="8" t="s">
        <v>1480</v>
      </c>
      <c r="H3364" s="8">
        <v>-1.0</v>
      </c>
      <c r="I3364" s="8" t="s">
        <v>583</v>
      </c>
      <c r="J3364" s="8" t="s">
        <v>22</v>
      </c>
      <c r="K3364" s="8" t="s">
        <v>892</v>
      </c>
      <c r="L3364" s="8" t="s">
        <v>24</v>
      </c>
      <c r="M3364" s="9">
        <v>0.0</v>
      </c>
      <c r="N3364" s="9">
        <v>1.0</v>
      </c>
      <c r="O3364" s="9">
        <v>0.75</v>
      </c>
      <c r="P3364" s="10">
        <v>45548.0</v>
      </c>
      <c r="Q3364" s="11">
        <v>1.625</v>
      </c>
      <c r="R3364" s="8" t="s">
        <v>70</v>
      </c>
      <c r="S3364" s="12">
        <f t="shared" si="1"/>
        <v>0</v>
      </c>
      <c r="T3364" s="12">
        <f t="shared" si="8"/>
        <v>110.2359967</v>
      </c>
      <c r="U3364" s="145"/>
    </row>
    <row r="3365">
      <c r="A3365" s="29"/>
      <c r="B3365" s="15" t="s">
        <v>35</v>
      </c>
      <c r="C3365" s="15" t="s">
        <v>19</v>
      </c>
      <c r="D3365" s="15"/>
      <c r="E3365" s="15" t="s">
        <v>1889</v>
      </c>
      <c r="F3365" s="15" t="s">
        <v>1479</v>
      </c>
      <c r="G3365" s="15" t="s">
        <v>1480</v>
      </c>
      <c r="H3365" s="15">
        <v>0.0</v>
      </c>
      <c r="I3365" s="15" t="s">
        <v>583</v>
      </c>
      <c r="J3365" s="15" t="s">
        <v>22</v>
      </c>
      <c r="K3365" s="15" t="s">
        <v>892</v>
      </c>
      <c r="L3365" s="15" t="s">
        <v>24</v>
      </c>
      <c r="M3365" s="16">
        <v>0.0</v>
      </c>
      <c r="N3365" s="16">
        <v>0.5</v>
      </c>
      <c r="O3365" s="16">
        <v>0.48</v>
      </c>
      <c r="P3365" s="17">
        <v>45548.0</v>
      </c>
      <c r="Q3365" s="18">
        <v>2.075</v>
      </c>
      <c r="R3365" s="15" t="s">
        <v>25</v>
      </c>
      <c r="S3365" s="19">
        <f t="shared" si="1"/>
        <v>-0.48</v>
      </c>
      <c r="T3365" s="19">
        <f t="shared" si="8"/>
        <v>109.7559967</v>
      </c>
      <c r="U3365" s="144"/>
    </row>
    <row r="3366">
      <c r="A3366" s="107"/>
      <c r="B3366" s="8" t="s">
        <v>18</v>
      </c>
      <c r="C3366" s="8" t="s">
        <v>19</v>
      </c>
      <c r="D3366" s="8"/>
      <c r="E3366" s="8" t="s">
        <v>1890</v>
      </c>
      <c r="F3366" s="8" t="s">
        <v>1479</v>
      </c>
      <c r="G3366" s="8" t="s">
        <v>1480</v>
      </c>
      <c r="H3366" s="8">
        <v>1.0</v>
      </c>
      <c r="I3366" s="8" t="s">
        <v>635</v>
      </c>
      <c r="J3366" s="8" t="s">
        <v>22</v>
      </c>
      <c r="K3366" s="8" t="s">
        <v>892</v>
      </c>
      <c r="L3366" s="8" t="s">
        <v>24</v>
      </c>
      <c r="M3366" s="9">
        <v>0.0</v>
      </c>
      <c r="N3366" s="9">
        <v>0.25</v>
      </c>
      <c r="O3366" s="9">
        <v>0.21</v>
      </c>
      <c r="P3366" s="54">
        <v>45548.0</v>
      </c>
      <c r="Q3366" s="11">
        <v>1.85</v>
      </c>
      <c r="R3366" s="8" t="s">
        <v>33</v>
      </c>
      <c r="S3366" s="12">
        <f t="shared" si="1"/>
        <v>0.1785</v>
      </c>
      <c r="T3366" s="12">
        <f t="shared" si="8"/>
        <v>109.9344967</v>
      </c>
      <c r="U3366" s="145"/>
    </row>
    <row r="3367">
      <c r="A3367" s="29"/>
      <c r="B3367" s="15" t="s">
        <v>26</v>
      </c>
      <c r="C3367" s="15" t="s">
        <v>19</v>
      </c>
      <c r="D3367" s="15"/>
      <c r="E3367" s="15" t="s">
        <v>1891</v>
      </c>
      <c r="F3367" s="15" t="s">
        <v>1473</v>
      </c>
      <c r="G3367" s="15" t="s">
        <v>1477</v>
      </c>
      <c r="H3367" s="15">
        <v>6.0</v>
      </c>
      <c r="I3367" s="15" t="s">
        <v>162</v>
      </c>
      <c r="J3367" s="15" t="s">
        <v>22</v>
      </c>
      <c r="K3367" s="15" t="s">
        <v>894</v>
      </c>
      <c r="L3367" s="15" t="s">
        <v>24</v>
      </c>
      <c r="M3367" s="16">
        <v>-0.5</v>
      </c>
      <c r="N3367" s="16">
        <v>0.1</v>
      </c>
      <c r="O3367" s="16">
        <v>0.05</v>
      </c>
      <c r="P3367" s="17">
        <v>45548.0</v>
      </c>
      <c r="Q3367" s="18">
        <v>1.7</v>
      </c>
      <c r="R3367" s="15" t="s">
        <v>33</v>
      </c>
      <c r="S3367" s="19">
        <f t="shared" si="1"/>
        <v>0.035</v>
      </c>
      <c r="T3367" s="19">
        <f t="shared" si="8"/>
        <v>109.9694967</v>
      </c>
      <c r="U3367" s="144"/>
    </row>
    <row r="3368">
      <c r="A3368" s="107"/>
      <c r="B3368" s="8" t="s">
        <v>18</v>
      </c>
      <c r="C3368" s="8" t="s">
        <v>40</v>
      </c>
      <c r="D3368" s="8"/>
      <c r="E3368" s="8" t="s">
        <v>1892</v>
      </c>
      <c r="F3368" s="8" t="s">
        <v>1479</v>
      </c>
      <c r="G3368" s="8" t="s">
        <v>1480</v>
      </c>
      <c r="H3368" s="8">
        <v>0.0</v>
      </c>
      <c r="I3368" s="8" t="s">
        <v>117</v>
      </c>
      <c r="J3368" s="8" t="s">
        <v>22</v>
      </c>
      <c r="K3368" s="8" t="s">
        <v>892</v>
      </c>
      <c r="L3368" s="8" t="s">
        <v>24</v>
      </c>
      <c r="M3368" s="9">
        <v>0.0</v>
      </c>
      <c r="N3368" s="9">
        <v>0.25</v>
      </c>
      <c r="O3368" s="9">
        <v>0.25</v>
      </c>
      <c r="P3368" s="54">
        <v>45548.0</v>
      </c>
      <c r="Q3368" s="11">
        <v>1.9</v>
      </c>
      <c r="R3368" s="8" t="s">
        <v>70</v>
      </c>
      <c r="S3368" s="12">
        <f t="shared" si="1"/>
        <v>0</v>
      </c>
      <c r="T3368" s="12">
        <f t="shared" si="8"/>
        <v>109.9694967</v>
      </c>
      <c r="U3368" s="145"/>
    </row>
    <row r="3369">
      <c r="A3369" s="29"/>
      <c r="B3369" s="15" t="s">
        <v>131</v>
      </c>
      <c r="C3369" s="15" t="s">
        <v>19</v>
      </c>
      <c r="D3369" s="15"/>
      <c r="E3369" s="15" t="s">
        <v>1893</v>
      </c>
      <c r="F3369" s="15" t="s">
        <v>1479</v>
      </c>
      <c r="G3369" s="15" t="s">
        <v>1480</v>
      </c>
      <c r="H3369" s="15">
        <v>0.0</v>
      </c>
      <c r="I3369" s="15" t="s">
        <v>231</v>
      </c>
      <c r="J3369" s="15" t="s">
        <v>22</v>
      </c>
      <c r="K3369" s="15" t="s">
        <v>892</v>
      </c>
      <c r="L3369" s="15" t="s">
        <v>24</v>
      </c>
      <c r="M3369" s="16">
        <v>0.0</v>
      </c>
      <c r="N3369" s="16">
        <v>1.0</v>
      </c>
      <c r="O3369" s="16">
        <v>1.0</v>
      </c>
      <c r="P3369" s="17">
        <v>45548.0</v>
      </c>
      <c r="Q3369" s="18">
        <v>1.16577</v>
      </c>
      <c r="R3369" s="15" t="s">
        <v>33</v>
      </c>
      <c r="S3369" s="19">
        <f t="shared" si="1"/>
        <v>0.16577</v>
      </c>
      <c r="T3369" s="19">
        <f t="shared" si="8"/>
        <v>110.1352667</v>
      </c>
      <c r="U3369" s="144"/>
    </row>
    <row r="3370">
      <c r="A3370" s="107"/>
      <c r="B3370" s="8" t="s">
        <v>26</v>
      </c>
      <c r="C3370" s="8" t="s">
        <v>19</v>
      </c>
      <c r="D3370" s="8"/>
      <c r="E3370" s="8" t="s">
        <v>1894</v>
      </c>
      <c r="F3370" s="8" t="s">
        <v>1473</v>
      </c>
      <c r="G3370" s="8" t="s">
        <v>1480</v>
      </c>
      <c r="H3370" s="8">
        <v>0.0</v>
      </c>
      <c r="I3370" s="8" t="s">
        <v>172</v>
      </c>
      <c r="J3370" s="8" t="s">
        <v>22</v>
      </c>
      <c r="K3370" s="8" t="s">
        <v>892</v>
      </c>
      <c r="L3370" s="8" t="s">
        <v>24</v>
      </c>
      <c r="M3370" s="9">
        <v>0.0</v>
      </c>
      <c r="N3370" s="9">
        <v>0.25</v>
      </c>
      <c r="O3370" s="9">
        <v>0.03</v>
      </c>
      <c r="P3370" s="10">
        <v>45548.0</v>
      </c>
      <c r="Q3370" s="11">
        <v>1.9</v>
      </c>
      <c r="R3370" s="8" t="s">
        <v>33</v>
      </c>
      <c r="S3370" s="12">
        <f t="shared" si="1"/>
        <v>0.027</v>
      </c>
      <c r="T3370" s="12">
        <f t="shared" si="8"/>
        <v>110.1622667</v>
      </c>
      <c r="U3370" s="145"/>
    </row>
    <row r="3371">
      <c r="A3371" s="29"/>
      <c r="B3371" s="15" t="s">
        <v>26</v>
      </c>
      <c r="C3371" s="15" t="s">
        <v>19</v>
      </c>
      <c r="D3371" s="15"/>
      <c r="E3371" s="15" t="s">
        <v>1895</v>
      </c>
      <c r="F3371" s="15" t="s">
        <v>1479</v>
      </c>
      <c r="G3371" s="15" t="s">
        <v>1480</v>
      </c>
      <c r="H3371" s="15">
        <v>0.0</v>
      </c>
      <c r="I3371" s="15" t="s">
        <v>635</v>
      </c>
      <c r="J3371" s="15" t="s">
        <v>22</v>
      </c>
      <c r="K3371" s="15" t="s">
        <v>892</v>
      </c>
      <c r="L3371" s="15" t="s">
        <v>1851</v>
      </c>
      <c r="M3371" s="16">
        <v>0.0</v>
      </c>
      <c r="N3371" s="16">
        <v>0.1</v>
      </c>
      <c r="O3371" s="16">
        <v>0.04</v>
      </c>
      <c r="P3371" s="17">
        <v>45548.0</v>
      </c>
      <c r="Q3371" s="18">
        <v>1.5</v>
      </c>
      <c r="R3371" s="15" t="s">
        <v>33</v>
      </c>
      <c r="S3371" s="19">
        <f t="shared" si="1"/>
        <v>0.02</v>
      </c>
      <c r="T3371" s="19">
        <f t="shared" si="8"/>
        <v>110.1822667</v>
      </c>
      <c r="U3371" s="144"/>
    </row>
    <row r="3372">
      <c r="A3372" s="107"/>
      <c r="B3372" s="8" t="s">
        <v>18</v>
      </c>
      <c r="C3372" s="8" t="s">
        <v>19</v>
      </c>
      <c r="D3372" s="8"/>
      <c r="E3372" s="8" t="s">
        <v>1896</v>
      </c>
      <c r="F3372" s="8" t="s">
        <v>1479</v>
      </c>
      <c r="G3372" s="8" t="s">
        <v>1474</v>
      </c>
      <c r="H3372" s="8">
        <v>-1.0</v>
      </c>
      <c r="I3372" s="8" t="s">
        <v>319</v>
      </c>
      <c r="J3372" s="8" t="s">
        <v>22</v>
      </c>
      <c r="K3372" s="8" t="s">
        <v>225</v>
      </c>
      <c r="L3372" s="8" t="s">
        <v>24</v>
      </c>
      <c r="M3372" s="9">
        <v>0.5</v>
      </c>
      <c r="N3372" s="9">
        <v>0.5</v>
      </c>
      <c r="O3372" s="9">
        <v>0.48</v>
      </c>
      <c r="P3372" s="10">
        <v>45548.0</v>
      </c>
      <c r="Q3372" s="11">
        <v>1.01</v>
      </c>
      <c r="R3372" s="8" t="s">
        <v>33</v>
      </c>
      <c r="S3372" s="12">
        <f t="shared" si="1"/>
        <v>0.0048</v>
      </c>
      <c r="T3372" s="12">
        <f t="shared" si="8"/>
        <v>110.1870667</v>
      </c>
      <c r="U3372" s="145"/>
    </row>
    <row r="3373">
      <c r="A3373" s="29"/>
      <c r="B3373" s="15" t="s">
        <v>35</v>
      </c>
      <c r="C3373" s="15" t="s">
        <v>19</v>
      </c>
      <c r="D3373" s="15"/>
      <c r="E3373" s="15" t="s">
        <v>1897</v>
      </c>
      <c r="F3373" s="15" t="s">
        <v>1479</v>
      </c>
      <c r="G3373" s="15" t="s">
        <v>1480</v>
      </c>
      <c r="H3373" s="15">
        <v>0.0</v>
      </c>
      <c r="I3373" s="15" t="s">
        <v>44</v>
      </c>
      <c r="J3373" s="15" t="s">
        <v>22</v>
      </c>
      <c r="K3373" s="15" t="s">
        <v>892</v>
      </c>
      <c r="L3373" s="15" t="s">
        <v>24</v>
      </c>
      <c r="M3373" s="16">
        <v>0.0</v>
      </c>
      <c r="N3373" s="16">
        <v>0.5</v>
      </c>
      <c r="O3373" s="16">
        <v>0.5</v>
      </c>
      <c r="P3373" s="17">
        <v>45548.0</v>
      </c>
      <c r="Q3373" s="18">
        <v>1.9</v>
      </c>
      <c r="R3373" s="15" t="s">
        <v>70</v>
      </c>
      <c r="S3373" s="19">
        <f t="shared" si="1"/>
        <v>0</v>
      </c>
      <c r="T3373" s="19">
        <f t="shared" si="8"/>
        <v>110.1870667</v>
      </c>
      <c r="U3373" s="144"/>
    </row>
    <row r="3374">
      <c r="A3374" s="107"/>
      <c r="B3374" s="8" t="s">
        <v>26</v>
      </c>
      <c r="C3374" s="8" t="s">
        <v>19</v>
      </c>
      <c r="D3374" s="8"/>
      <c r="E3374" s="8" t="s">
        <v>1898</v>
      </c>
      <c r="F3374" s="8" t="s">
        <v>1479</v>
      </c>
      <c r="G3374" s="8" t="s">
        <v>1480</v>
      </c>
      <c r="H3374" s="8">
        <v>-1.0</v>
      </c>
      <c r="I3374" s="8" t="s">
        <v>229</v>
      </c>
      <c r="J3374" s="8" t="s">
        <v>22</v>
      </c>
      <c r="K3374" s="8" t="s">
        <v>892</v>
      </c>
      <c r="L3374" s="8" t="s">
        <v>24</v>
      </c>
      <c r="M3374" s="9">
        <v>0.0</v>
      </c>
      <c r="N3374" s="9">
        <v>0.5</v>
      </c>
      <c r="O3374" s="9">
        <v>0.49</v>
      </c>
      <c r="P3374" s="10">
        <v>45549.0</v>
      </c>
      <c r="Q3374" s="11">
        <v>1.825</v>
      </c>
      <c r="R3374" s="8" t="s">
        <v>33</v>
      </c>
      <c r="S3374" s="12">
        <f t="shared" si="1"/>
        <v>0.40425</v>
      </c>
      <c r="T3374" s="12">
        <f t="shared" si="8"/>
        <v>110.5913167</v>
      </c>
      <c r="U3374" s="145"/>
    </row>
    <row r="3375">
      <c r="A3375" s="29"/>
      <c r="B3375" s="15" t="s">
        <v>26</v>
      </c>
      <c r="C3375" s="15" t="s">
        <v>19</v>
      </c>
      <c r="D3375" s="15"/>
      <c r="E3375" s="15" t="s">
        <v>1899</v>
      </c>
      <c r="F3375" s="15" t="s">
        <v>1473</v>
      </c>
      <c r="G3375" s="15" t="s">
        <v>1480</v>
      </c>
      <c r="H3375" s="15">
        <v>1.0</v>
      </c>
      <c r="I3375" s="15" t="s">
        <v>940</v>
      </c>
      <c r="J3375" s="15" t="s">
        <v>22</v>
      </c>
      <c r="K3375" s="15" t="s">
        <v>892</v>
      </c>
      <c r="L3375" s="15" t="s">
        <v>24</v>
      </c>
      <c r="M3375" s="16">
        <v>0.0</v>
      </c>
      <c r="N3375" s="16">
        <v>0.1</v>
      </c>
      <c r="O3375" s="16">
        <v>0.1</v>
      </c>
      <c r="P3375" s="17">
        <v>45549.0</v>
      </c>
      <c r="Q3375" s="18">
        <v>1.725</v>
      </c>
      <c r="R3375" s="15" t="s">
        <v>33</v>
      </c>
      <c r="S3375" s="19">
        <f t="shared" si="1"/>
        <v>0.0725</v>
      </c>
      <c r="T3375" s="19">
        <f t="shared" si="8"/>
        <v>110.6638167</v>
      </c>
      <c r="U3375" s="144"/>
    </row>
    <row r="3376">
      <c r="A3376" s="107"/>
      <c r="B3376" s="8" t="s">
        <v>26</v>
      </c>
      <c r="C3376" s="8" t="s">
        <v>19</v>
      </c>
      <c r="D3376" s="8"/>
      <c r="E3376" s="8" t="s">
        <v>1900</v>
      </c>
      <c r="F3376" s="8" t="s">
        <v>1479</v>
      </c>
      <c r="G3376" s="8" t="s">
        <v>1480</v>
      </c>
      <c r="H3376" s="8">
        <v>0.0</v>
      </c>
      <c r="I3376" s="8" t="s">
        <v>82</v>
      </c>
      <c r="J3376" s="8" t="s">
        <v>22</v>
      </c>
      <c r="K3376" s="8" t="s">
        <v>892</v>
      </c>
      <c r="L3376" s="8" t="s">
        <v>24</v>
      </c>
      <c r="M3376" s="9">
        <v>0.0</v>
      </c>
      <c r="N3376" s="9">
        <v>0.1</v>
      </c>
      <c r="O3376" s="9">
        <v>0.1</v>
      </c>
      <c r="P3376" s="10">
        <v>45549.0</v>
      </c>
      <c r="Q3376" s="11">
        <f>1.27</f>
        <v>1.27</v>
      </c>
      <c r="R3376" s="8" t="s">
        <v>33</v>
      </c>
      <c r="S3376" s="12">
        <f t="shared" si="1"/>
        <v>0.027</v>
      </c>
      <c r="T3376" s="12">
        <f t="shared" si="8"/>
        <v>110.6908167</v>
      </c>
      <c r="U3376" s="145"/>
    </row>
    <row r="3377">
      <c r="A3377" s="29"/>
      <c r="B3377" s="15" t="s">
        <v>26</v>
      </c>
      <c r="C3377" s="15" t="s">
        <v>19</v>
      </c>
      <c r="D3377" s="15"/>
      <c r="E3377" s="15" t="s">
        <v>1901</v>
      </c>
      <c r="F3377" s="15" t="s">
        <v>1479</v>
      </c>
      <c r="G3377" s="15" t="s">
        <v>1480</v>
      </c>
      <c r="H3377" s="15">
        <v>0.0</v>
      </c>
      <c r="I3377" s="15" t="s">
        <v>44</v>
      </c>
      <c r="J3377" s="15" t="s">
        <v>22</v>
      </c>
      <c r="K3377" s="15" t="s">
        <v>892</v>
      </c>
      <c r="L3377" s="15" t="s">
        <v>24</v>
      </c>
      <c r="M3377" s="16">
        <v>0.0</v>
      </c>
      <c r="N3377" s="16">
        <v>0.4</v>
      </c>
      <c r="O3377" s="16">
        <v>0.4</v>
      </c>
      <c r="P3377" s="17">
        <v>45549.0</v>
      </c>
      <c r="Q3377" s="18">
        <v>1.725</v>
      </c>
      <c r="R3377" s="15" t="s">
        <v>70</v>
      </c>
      <c r="S3377" s="19">
        <f t="shared" si="1"/>
        <v>0</v>
      </c>
      <c r="T3377" s="19">
        <f t="shared" si="8"/>
        <v>110.6908167</v>
      </c>
      <c r="U3377" s="144"/>
    </row>
    <row r="3378">
      <c r="A3378" s="107"/>
      <c r="B3378" s="8" t="s">
        <v>129</v>
      </c>
      <c r="C3378" s="8" t="s">
        <v>19</v>
      </c>
      <c r="D3378" s="8"/>
      <c r="E3378" s="8" t="s">
        <v>1902</v>
      </c>
      <c r="F3378" s="8" t="s">
        <v>1479</v>
      </c>
      <c r="G3378" s="8" t="s">
        <v>1480</v>
      </c>
      <c r="H3378" s="8">
        <v>0.0</v>
      </c>
      <c r="I3378" s="8" t="s">
        <v>316</v>
      </c>
      <c r="J3378" s="8" t="s">
        <v>22</v>
      </c>
      <c r="K3378" s="8" t="s">
        <v>892</v>
      </c>
      <c r="L3378" s="8" t="s">
        <v>24</v>
      </c>
      <c r="M3378" s="9">
        <v>0.0</v>
      </c>
      <c r="N3378" s="9">
        <v>0.25</v>
      </c>
      <c r="O3378" s="9">
        <v>0.24</v>
      </c>
      <c r="P3378" s="10">
        <v>45549.0</v>
      </c>
      <c r="Q3378" s="11">
        <v>1.65</v>
      </c>
      <c r="R3378" s="8" t="s">
        <v>25</v>
      </c>
      <c r="S3378" s="12">
        <f t="shared" si="1"/>
        <v>-0.24</v>
      </c>
      <c r="T3378" s="12">
        <f t="shared" si="8"/>
        <v>110.4508167</v>
      </c>
      <c r="U3378" s="145"/>
    </row>
    <row r="3379">
      <c r="A3379" s="29"/>
      <c r="B3379" s="15" t="s">
        <v>26</v>
      </c>
      <c r="C3379" s="15" t="s">
        <v>19</v>
      </c>
      <c r="D3379" s="15"/>
      <c r="E3379" s="15" t="s">
        <v>1903</v>
      </c>
      <c r="F3379" s="15" t="s">
        <v>1479</v>
      </c>
      <c r="G3379" s="15" t="s">
        <v>1480</v>
      </c>
      <c r="H3379" s="15">
        <v>-1.0</v>
      </c>
      <c r="I3379" s="15" t="s">
        <v>245</v>
      </c>
      <c r="J3379" s="15" t="s">
        <v>22</v>
      </c>
      <c r="K3379" s="15" t="s">
        <v>892</v>
      </c>
      <c r="L3379" s="15" t="s">
        <v>24</v>
      </c>
      <c r="M3379" s="16">
        <v>0.0</v>
      </c>
      <c r="N3379" s="16">
        <v>0.25</v>
      </c>
      <c r="O3379" s="16">
        <v>0.25</v>
      </c>
      <c r="P3379" s="17">
        <v>45549.0</v>
      </c>
      <c r="Q3379" s="18">
        <v>1.85</v>
      </c>
      <c r="R3379" s="15" t="s">
        <v>70</v>
      </c>
      <c r="S3379" s="19">
        <f t="shared" si="1"/>
        <v>0</v>
      </c>
      <c r="T3379" s="19">
        <f t="shared" si="8"/>
        <v>110.4508167</v>
      </c>
      <c r="U3379" s="144"/>
    </row>
    <row r="3380">
      <c r="A3380" s="107"/>
      <c r="B3380" s="8" t="s">
        <v>26</v>
      </c>
      <c r="C3380" s="8" t="s">
        <v>19</v>
      </c>
      <c r="D3380" s="8"/>
      <c r="E3380" s="8" t="s">
        <v>1904</v>
      </c>
      <c r="F3380" s="8" t="s">
        <v>1479</v>
      </c>
      <c r="G3380" s="8" t="s">
        <v>1480</v>
      </c>
      <c r="H3380" s="8">
        <v>-1.0</v>
      </c>
      <c r="I3380" s="8" t="s">
        <v>124</v>
      </c>
      <c r="J3380" s="8" t="s">
        <v>22</v>
      </c>
      <c r="K3380" s="8" t="s">
        <v>892</v>
      </c>
      <c r="L3380" s="8" t="s">
        <v>24</v>
      </c>
      <c r="M3380" s="9">
        <v>0.0</v>
      </c>
      <c r="N3380" s="9">
        <v>0.25</v>
      </c>
      <c r="O3380" s="9">
        <v>0.25</v>
      </c>
      <c r="P3380" s="10">
        <v>45549.0</v>
      </c>
      <c r="Q3380" s="11">
        <v>1.725</v>
      </c>
      <c r="R3380" s="8" t="s">
        <v>70</v>
      </c>
      <c r="S3380" s="12">
        <f t="shared" si="1"/>
        <v>0</v>
      </c>
      <c r="T3380" s="12">
        <f t="shared" si="8"/>
        <v>110.4508167</v>
      </c>
      <c r="U3380" s="145"/>
    </row>
    <row r="3381">
      <c r="A3381" s="29"/>
      <c r="B3381" s="15" t="s">
        <v>26</v>
      </c>
      <c r="C3381" s="15" t="s">
        <v>19</v>
      </c>
      <c r="D3381" s="15"/>
      <c r="E3381" s="15" t="s">
        <v>1905</v>
      </c>
      <c r="F3381" s="15" t="s">
        <v>1479</v>
      </c>
      <c r="G3381" s="15" t="s">
        <v>1480</v>
      </c>
      <c r="H3381" s="15">
        <v>-1.0</v>
      </c>
      <c r="I3381" s="15" t="s">
        <v>50</v>
      </c>
      <c r="J3381" s="15" t="s">
        <v>22</v>
      </c>
      <c r="K3381" s="15" t="s">
        <v>892</v>
      </c>
      <c r="L3381" s="15" t="s">
        <v>24</v>
      </c>
      <c r="M3381" s="16">
        <v>0.0</v>
      </c>
      <c r="N3381" s="16">
        <v>0.5</v>
      </c>
      <c r="O3381" s="16">
        <v>0.5</v>
      </c>
      <c r="P3381" s="17">
        <v>45549.0</v>
      </c>
      <c r="Q3381" s="18">
        <v>1.725</v>
      </c>
      <c r="R3381" s="15" t="s">
        <v>70</v>
      </c>
      <c r="S3381" s="19">
        <f t="shared" si="1"/>
        <v>0</v>
      </c>
      <c r="T3381" s="19">
        <f t="shared" si="8"/>
        <v>110.4508167</v>
      </c>
      <c r="U3381" s="144"/>
    </row>
    <row r="3382">
      <c r="A3382" s="107"/>
      <c r="B3382" s="8" t="s">
        <v>26</v>
      </c>
      <c r="C3382" s="8" t="s">
        <v>40</v>
      </c>
      <c r="D3382" s="8"/>
      <c r="E3382" s="8" t="s">
        <v>1906</v>
      </c>
      <c r="F3382" s="8" t="s">
        <v>1473</v>
      </c>
      <c r="G3382" s="8" t="s">
        <v>1480</v>
      </c>
      <c r="H3382" s="8">
        <v>0.0</v>
      </c>
      <c r="I3382" s="8" t="s">
        <v>50</v>
      </c>
      <c r="J3382" s="8" t="s">
        <v>22</v>
      </c>
      <c r="K3382" s="8" t="s">
        <v>892</v>
      </c>
      <c r="L3382" s="8" t="s">
        <v>24</v>
      </c>
      <c r="M3382" s="9">
        <v>0.0</v>
      </c>
      <c r="N3382" s="9">
        <v>0.5</v>
      </c>
      <c r="O3382" s="9">
        <v>0.47</v>
      </c>
      <c r="P3382" s="10">
        <v>45549.0</v>
      </c>
      <c r="Q3382" s="11">
        <v>1.8</v>
      </c>
      <c r="R3382" s="8" t="s">
        <v>25</v>
      </c>
      <c r="S3382" s="12">
        <f t="shared" si="1"/>
        <v>-0.47</v>
      </c>
      <c r="T3382" s="12">
        <f t="shared" si="8"/>
        <v>109.9808167</v>
      </c>
      <c r="U3382" s="145"/>
    </row>
    <row r="3383">
      <c r="A3383" s="29"/>
      <c r="B3383" s="15" t="s">
        <v>26</v>
      </c>
      <c r="C3383" s="15" t="s">
        <v>40</v>
      </c>
      <c r="D3383" s="15"/>
      <c r="E3383" s="15" t="s">
        <v>1907</v>
      </c>
      <c r="F3383" s="15" t="s">
        <v>1473</v>
      </c>
      <c r="G3383" s="15" t="s">
        <v>1480</v>
      </c>
      <c r="H3383" s="15">
        <v>0.0</v>
      </c>
      <c r="I3383" s="15" t="s">
        <v>93</v>
      </c>
      <c r="J3383" s="15" t="s">
        <v>22</v>
      </c>
      <c r="K3383" s="15" t="s">
        <v>892</v>
      </c>
      <c r="L3383" s="15" t="s">
        <v>24</v>
      </c>
      <c r="M3383" s="16">
        <v>0.0</v>
      </c>
      <c r="N3383" s="16">
        <v>0.5</v>
      </c>
      <c r="O3383" s="16">
        <v>0.5</v>
      </c>
      <c r="P3383" s="17">
        <v>45549.0</v>
      </c>
      <c r="Q3383" s="18">
        <v>1.925</v>
      </c>
      <c r="R3383" s="15" t="s">
        <v>70</v>
      </c>
      <c r="S3383" s="19">
        <f t="shared" si="1"/>
        <v>0</v>
      </c>
      <c r="T3383" s="19">
        <f t="shared" si="8"/>
        <v>109.9808167</v>
      </c>
      <c r="U3383" s="144"/>
    </row>
    <row r="3384">
      <c r="A3384" s="107"/>
      <c r="B3384" s="8" t="s">
        <v>26</v>
      </c>
      <c r="C3384" s="8" t="s">
        <v>19</v>
      </c>
      <c r="D3384" s="8"/>
      <c r="E3384" s="8" t="s">
        <v>1908</v>
      </c>
      <c r="F3384" s="8" t="s">
        <v>1479</v>
      </c>
      <c r="G3384" s="8" t="s">
        <v>1480</v>
      </c>
      <c r="H3384" s="8">
        <v>-1.0</v>
      </c>
      <c r="I3384" s="8" t="s">
        <v>229</v>
      </c>
      <c r="J3384" s="8" t="s">
        <v>22</v>
      </c>
      <c r="K3384" s="8" t="s">
        <v>892</v>
      </c>
      <c r="L3384" s="8" t="s">
        <v>24</v>
      </c>
      <c r="M3384" s="9">
        <v>0.0</v>
      </c>
      <c r="N3384" s="9">
        <v>1.0</v>
      </c>
      <c r="O3384" s="9">
        <v>1.0</v>
      </c>
      <c r="P3384" s="10">
        <v>45549.0</v>
      </c>
      <c r="Q3384" s="11">
        <v>1.9</v>
      </c>
      <c r="R3384" s="8" t="s">
        <v>70</v>
      </c>
      <c r="S3384" s="12">
        <f t="shared" si="1"/>
        <v>0</v>
      </c>
      <c r="T3384" s="12">
        <f t="shared" si="8"/>
        <v>109.9808167</v>
      </c>
      <c r="U3384" s="145"/>
    </row>
    <row r="3385">
      <c r="A3385" s="29"/>
      <c r="B3385" s="15" t="s">
        <v>129</v>
      </c>
      <c r="C3385" s="15" t="s">
        <v>19</v>
      </c>
      <c r="D3385" s="15"/>
      <c r="E3385" s="15" t="s">
        <v>1909</v>
      </c>
      <c r="F3385" s="15" t="s">
        <v>1479</v>
      </c>
      <c r="G3385" s="15" t="s">
        <v>1480</v>
      </c>
      <c r="H3385" s="15">
        <v>0.0</v>
      </c>
      <c r="I3385" s="15" t="s">
        <v>172</v>
      </c>
      <c r="J3385" s="15" t="s">
        <v>22</v>
      </c>
      <c r="K3385" s="15" t="s">
        <v>892</v>
      </c>
      <c r="L3385" s="15" t="s">
        <v>24</v>
      </c>
      <c r="M3385" s="16">
        <v>0.0</v>
      </c>
      <c r="N3385" s="16">
        <v>0.5</v>
      </c>
      <c r="O3385" s="16">
        <v>0.38</v>
      </c>
      <c r="P3385" s="17">
        <v>45549.0</v>
      </c>
      <c r="Q3385" s="18">
        <v>1.925</v>
      </c>
      <c r="R3385" s="15" t="s">
        <v>70</v>
      </c>
      <c r="S3385" s="19">
        <f t="shared" si="1"/>
        <v>0</v>
      </c>
      <c r="T3385" s="19">
        <f t="shared" si="8"/>
        <v>109.9808167</v>
      </c>
      <c r="U3385" s="144"/>
    </row>
    <row r="3386">
      <c r="A3386" s="107"/>
      <c r="B3386" s="8" t="s">
        <v>129</v>
      </c>
      <c r="C3386" s="8" t="s">
        <v>19</v>
      </c>
      <c r="D3386" s="8"/>
      <c r="E3386" s="8" t="s">
        <v>1910</v>
      </c>
      <c r="F3386" s="8" t="s">
        <v>1473</v>
      </c>
      <c r="G3386" s="8" t="s">
        <v>1480</v>
      </c>
      <c r="H3386" s="8">
        <v>0.0</v>
      </c>
      <c r="I3386" s="8" t="s">
        <v>923</v>
      </c>
      <c r="J3386" s="8" t="s">
        <v>22</v>
      </c>
      <c r="K3386" s="8" t="s">
        <v>892</v>
      </c>
      <c r="L3386" s="8" t="s">
        <v>24</v>
      </c>
      <c r="M3386" s="9">
        <v>0.0</v>
      </c>
      <c r="N3386" s="9">
        <v>0.5</v>
      </c>
      <c r="O3386" s="9">
        <v>0.43</v>
      </c>
      <c r="P3386" s="10">
        <v>45549.0</v>
      </c>
      <c r="Q3386" s="11">
        <v>2.05</v>
      </c>
      <c r="R3386" s="8" t="s">
        <v>70</v>
      </c>
      <c r="S3386" s="12">
        <f t="shared" si="1"/>
        <v>0</v>
      </c>
      <c r="T3386" s="12">
        <f t="shared" si="8"/>
        <v>109.9808167</v>
      </c>
      <c r="U3386" s="145"/>
    </row>
    <row r="3387">
      <c r="A3387" s="29"/>
      <c r="B3387" s="15" t="s">
        <v>129</v>
      </c>
      <c r="C3387" s="15" t="s">
        <v>19</v>
      </c>
      <c r="D3387" s="15">
        <v>46.0</v>
      </c>
      <c r="E3387" s="15" t="s">
        <v>1911</v>
      </c>
      <c r="F3387" s="15" t="s">
        <v>1479</v>
      </c>
      <c r="G3387" s="15" t="s">
        <v>1480</v>
      </c>
      <c r="H3387" s="15">
        <v>0.0</v>
      </c>
      <c r="I3387" s="15" t="s">
        <v>768</v>
      </c>
      <c r="J3387" s="15" t="s">
        <v>22</v>
      </c>
      <c r="K3387" s="15" t="s">
        <v>892</v>
      </c>
      <c r="L3387" s="15" t="s">
        <v>24</v>
      </c>
      <c r="M3387" s="16">
        <v>0.0</v>
      </c>
      <c r="N3387" s="16">
        <v>0.25</v>
      </c>
      <c r="O3387" s="16">
        <f>0.25*37/47</f>
        <v>0.1968085106</v>
      </c>
      <c r="P3387" s="17">
        <v>45550.0</v>
      </c>
      <c r="Q3387" s="18">
        <v>1.8</v>
      </c>
      <c r="R3387" s="15" t="s">
        <v>33</v>
      </c>
      <c r="S3387" s="19">
        <f t="shared" si="1"/>
        <v>0.1574468085</v>
      </c>
      <c r="T3387" s="19">
        <f t="shared" si="8"/>
        <v>110.1382635</v>
      </c>
      <c r="U3387" s="144"/>
    </row>
    <row r="3388">
      <c r="A3388" s="107"/>
      <c r="B3388" s="8" t="s">
        <v>26</v>
      </c>
      <c r="C3388" s="8" t="s">
        <v>19</v>
      </c>
      <c r="D3388" s="8">
        <v>30.0</v>
      </c>
      <c r="E3388" s="8" t="s">
        <v>1912</v>
      </c>
      <c r="F3388" s="8" t="s">
        <v>1479</v>
      </c>
      <c r="G3388" s="8" t="s">
        <v>1480</v>
      </c>
      <c r="H3388" s="8">
        <v>0.0</v>
      </c>
      <c r="I3388" s="8" t="s">
        <v>1913</v>
      </c>
      <c r="J3388" s="8" t="s">
        <v>22</v>
      </c>
      <c r="K3388" s="8" t="s">
        <v>225</v>
      </c>
      <c r="L3388" s="8" t="s">
        <v>39</v>
      </c>
      <c r="M3388" s="9">
        <v>0.25</v>
      </c>
      <c r="N3388" s="9">
        <v>0.25</v>
      </c>
      <c r="O3388" s="9">
        <f>0.25*39/47*0.1</f>
        <v>0.02074468085</v>
      </c>
      <c r="P3388" s="10">
        <v>45550.0</v>
      </c>
      <c r="Q3388" s="11">
        <v>1.825</v>
      </c>
      <c r="R3388" s="8" t="s">
        <v>25</v>
      </c>
      <c r="S3388" s="12">
        <f t="shared" si="1"/>
        <v>-0.02074468085</v>
      </c>
      <c r="T3388" s="12">
        <f t="shared" si="8"/>
        <v>110.1175188</v>
      </c>
      <c r="U3388" s="145"/>
    </row>
    <row r="3389">
      <c r="A3389" s="29"/>
      <c r="B3389" s="15" t="s">
        <v>26</v>
      </c>
      <c r="C3389" s="15" t="s">
        <v>19</v>
      </c>
      <c r="D3389" s="15">
        <v>60.0</v>
      </c>
      <c r="E3389" s="15" t="s">
        <v>1914</v>
      </c>
      <c r="F3389" s="15" t="s">
        <v>1473</v>
      </c>
      <c r="G3389" s="15" t="s">
        <v>1915</v>
      </c>
      <c r="H3389" s="15">
        <v>-1.0</v>
      </c>
      <c r="I3389" s="15" t="s">
        <v>44</v>
      </c>
      <c r="J3389" s="15" t="s">
        <v>22</v>
      </c>
      <c r="K3389" s="15" t="s">
        <v>892</v>
      </c>
      <c r="L3389" s="15" t="s">
        <v>24</v>
      </c>
      <c r="M3389" s="16">
        <v>0.0</v>
      </c>
      <c r="N3389" s="16">
        <v>0.5</v>
      </c>
      <c r="O3389" s="16">
        <v>0.5</v>
      </c>
      <c r="P3389" s="17">
        <v>45550.0</v>
      </c>
      <c r="Q3389" s="18">
        <v>2.1</v>
      </c>
      <c r="R3389" s="15" t="s">
        <v>70</v>
      </c>
      <c r="S3389" s="19">
        <f t="shared" si="1"/>
        <v>0</v>
      </c>
      <c r="T3389" s="19">
        <f t="shared" si="8"/>
        <v>110.1175188</v>
      </c>
      <c r="U3389" s="144"/>
    </row>
    <row r="3390">
      <c r="A3390" s="107"/>
      <c r="B3390" s="8" t="s">
        <v>26</v>
      </c>
      <c r="C3390" s="8" t="s">
        <v>19</v>
      </c>
      <c r="D3390" s="8">
        <v>20.0</v>
      </c>
      <c r="E3390" s="8" t="s">
        <v>1916</v>
      </c>
      <c r="F3390" s="8" t="s">
        <v>1479</v>
      </c>
      <c r="G3390" s="8" t="s">
        <v>1480</v>
      </c>
      <c r="H3390" s="8">
        <v>0.0</v>
      </c>
      <c r="I3390" s="8" t="s">
        <v>1031</v>
      </c>
      <c r="J3390" s="8" t="s">
        <v>22</v>
      </c>
      <c r="K3390" s="8" t="s">
        <v>892</v>
      </c>
      <c r="L3390" s="8" t="s">
        <v>24</v>
      </c>
      <c r="M3390" s="9">
        <v>0.0</v>
      </c>
      <c r="N3390" s="9">
        <v>0.5</v>
      </c>
      <c r="O3390" s="9">
        <v>0.5</v>
      </c>
      <c r="P3390" s="10">
        <v>45550.0</v>
      </c>
      <c r="Q3390" s="11">
        <f>368/250</f>
        <v>1.472</v>
      </c>
      <c r="R3390" s="8" t="s">
        <v>33</v>
      </c>
      <c r="S3390" s="12">
        <f t="shared" si="1"/>
        <v>0.236</v>
      </c>
      <c r="T3390" s="12">
        <f t="shared" si="8"/>
        <v>110.3535188</v>
      </c>
      <c r="U3390" s="145"/>
    </row>
    <row r="3391">
      <c r="A3391" s="29"/>
      <c r="B3391" s="15" t="s">
        <v>26</v>
      </c>
      <c r="C3391" s="15" t="s">
        <v>19</v>
      </c>
      <c r="D3391" s="15">
        <v>25.0</v>
      </c>
      <c r="E3391" s="15" t="s">
        <v>1917</v>
      </c>
      <c r="F3391" s="15" t="s">
        <v>1479</v>
      </c>
      <c r="G3391" s="15" t="s">
        <v>1474</v>
      </c>
      <c r="H3391" s="15">
        <v>1.0</v>
      </c>
      <c r="I3391" s="15" t="s">
        <v>93</v>
      </c>
      <c r="J3391" s="15" t="s">
        <v>22</v>
      </c>
      <c r="K3391" s="15" t="s">
        <v>225</v>
      </c>
      <c r="L3391" s="15" t="s">
        <v>24</v>
      </c>
      <c r="M3391" s="16">
        <v>0.5</v>
      </c>
      <c r="N3391" s="16">
        <v>0.5</v>
      </c>
      <c r="O3391" s="16">
        <v>0.5</v>
      </c>
      <c r="P3391" s="17">
        <v>45550.0</v>
      </c>
      <c r="Q3391" s="18">
        <f>298/250</f>
        <v>1.192</v>
      </c>
      <c r="R3391" s="15" t="s">
        <v>33</v>
      </c>
      <c r="S3391" s="19">
        <f t="shared" si="1"/>
        <v>0.096</v>
      </c>
      <c r="T3391" s="19">
        <f t="shared" si="8"/>
        <v>110.4495188</v>
      </c>
      <c r="U3391" s="144"/>
    </row>
    <row r="3392">
      <c r="A3392" s="107"/>
      <c r="B3392" s="8" t="s">
        <v>26</v>
      </c>
      <c r="C3392" s="8" t="s">
        <v>19</v>
      </c>
      <c r="D3392" s="8">
        <v>20.0</v>
      </c>
      <c r="E3392" s="8" t="s">
        <v>1918</v>
      </c>
      <c r="F3392" s="8" t="s">
        <v>1479</v>
      </c>
      <c r="G3392" s="8" t="s">
        <v>1474</v>
      </c>
      <c r="H3392" s="8">
        <v>1.0</v>
      </c>
      <c r="I3392" s="8" t="s">
        <v>50</v>
      </c>
      <c r="J3392" s="8" t="s">
        <v>22</v>
      </c>
      <c r="K3392" s="8" t="s">
        <v>225</v>
      </c>
      <c r="L3392" s="8" t="s">
        <v>24</v>
      </c>
      <c r="M3392" s="9">
        <v>0.5</v>
      </c>
      <c r="N3392" s="9">
        <v>0.25</v>
      </c>
      <c r="O3392" s="9">
        <f>69/250*0.25</f>
        <v>0.069</v>
      </c>
      <c r="P3392" s="10">
        <v>45550.0</v>
      </c>
      <c r="Q3392" s="11">
        <v>2.0</v>
      </c>
      <c r="R3392" s="8" t="s">
        <v>25</v>
      </c>
      <c r="S3392" s="12">
        <f t="shared" si="1"/>
        <v>-0.069</v>
      </c>
      <c r="T3392" s="12">
        <f t="shared" si="8"/>
        <v>110.3805188</v>
      </c>
      <c r="U3392" s="145"/>
    </row>
    <row r="3393">
      <c r="A3393" s="29"/>
      <c r="B3393" s="15" t="s">
        <v>26</v>
      </c>
      <c r="C3393" s="15" t="s">
        <v>19</v>
      </c>
      <c r="D3393" s="15">
        <v>40.0</v>
      </c>
      <c r="E3393" s="15" t="s">
        <v>1919</v>
      </c>
      <c r="F3393" s="15" t="s">
        <v>1479</v>
      </c>
      <c r="G3393" s="15" t="s">
        <v>1474</v>
      </c>
      <c r="H3393" s="15">
        <v>0.0</v>
      </c>
      <c r="I3393" s="15" t="s">
        <v>109</v>
      </c>
      <c r="J3393" s="15" t="s">
        <v>22</v>
      </c>
      <c r="K3393" s="15" t="s">
        <v>225</v>
      </c>
      <c r="L3393" s="15" t="s">
        <v>24</v>
      </c>
      <c r="M3393" s="16">
        <v>0.5</v>
      </c>
      <c r="N3393" s="16">
        <v>0.5</v>
      </c>
      <c r="O3393" s="16">
        <v>0.5</v>
      </c>
      <c r="P3393" s="17">
        <v>45550.0</v>
      </c>
      <c r="Q3393" s="18">
        <f>292/250</f>
        <v>1.168</v>
      </c>
      <c r="R3393" s="15" t="s">
        <v>33</v>
      </c>
      <c r="S3393" s="19">
        <f t="shared" si="1"/>
        <v>0.084</v>
      </c>
      <c r="T3393" s="19">
        <f t="shared" si="8"/>
        <v>110.4645188</v>
      </c>
      <c r="U3393" s="144"/>
    </row>
    <row r="3394">
      <c r="A3394" s="107"/>
      <c r="B3394" s="8" t="s">
        <v>26</v>
      </c>
      <c r="C3394" s="8" t="s">
        <v>19</v>
      </c>
      <c r="D3394" s="8">
        <v>60.0</v>
      </c>
      <c r="E3394" s="8" t="s">
        <v>1920</v>
      </c>
      <c r="F3394" s="8" t="s">
        <v>1473</v>
      </c>
      <c r="G3394" s="8" t="s">
        <v>1480</v>
      </c>
      <c r="H3394" s="8">
        <v>0.0</v>
      </c>
      <c r="I3394" s="8" t="s">
        <v>109</v>
      </c>
      <c r="J3394" s="8" t="s">
        <v>22</v>
      </c>
      <c r="K3394" s="8" t="s">
        <v>892</v>
      </c>
      <c r="L3394" s="8" t="s">
        <v>24</v>
      </c>
      <c r="M3394" s="9">
        <v>0.0</v>
      </c>
      <c r="N3394" s="9">
        <v>0.25</v>
      </c>
      <c r="O3394" s="9">
        <v>0.25</v>
      </c>
      <c r="P3394" s="10">
        <v>45550.0</v>
      </c>
      <c r="Q3394" s="11">
        <v>1.85</v>
      </c>
      <c r="R3394" s="8" t="s">
        <v>70</v>
      </c>
      <c r="S3394" s="12">
        <f t="shared" si="1"/>
        <v>0</v>
      </c>
      <c r="T3394" s="12">
        <f t="shared" si="8"/>
        <v>110.4645188</v>
      </c>
      <c r="U3394" s="145"/>
    </row>
    <row r="3395">
      <c r="A3395" s="29"/>
      <c r="B3395" s="15" t="s">
        <v>131</v>
      </c>
      <c r="C3395" s="15" t="s">
        <v>19</v>
      </c>
      <c r="D3395" s="15">
        <v>25.0</v>
      </c>
      <c r="E3395" s="15" t="s">
        <v>1921</v>
      </c>
      <c r="F3395" s="15" t="s">
        <v>1473</v>
      </c>
      <c r="G3395" s="15" t="s">
        <v>1474</v>
      </c>
      <c r="H3395" s="15">
        <v>0.0</v>
      </c>
      <c r="I3395" s="15" t="s">
        <v>84</v>
      </c>
      <c r="J3395" s="15" t="s">
        <v>22</v>
      </c>
      <c r="K3395" s="15" t="s">
        <v>225</v>
      </c>
      <c r="L3395" s="15" t="s">
        <v>24</v>
      </c>
      <c r="M3395" s="16">
        <v>0.25</v>
      </c>
      <c r="N3395" s="16">
        <v>0.5</v>
      </c>
      <c r="O3395" s="16">
        <v>0.5</v>
      </c>
      <c r="P3395" s="55">
        <v>45550.0</v>
      </c>
      <c r="Q3395" s="18">
        <f>327/250</f>
        <v>1.308</v>
      </c>
      <c r="R3395" s="15" t="s">
        <v>33</v>
      </c>
      <c r="S3395" s="19">
        <f t="shared" si="1"/>
        <v>0.154</v>
      </c>
      <c r="T3395" s="19">
        <f t="shared" si="8"/>
        <v>110.6185188</v>
      </c>
      <c r="U3395" s="144"/>
    </row>
    <row r="3396">
      <c r="A3396" s="107"/>
      <c r="B3396" s="8" t="s">
        <v>26</v>
      </c>
      <c r="C3396" s="8" t="s">
        <v>19</v>
      </c>
      <c r="D3396" s="8">
        <v>30.0</v>
      </c>
      <c r="E3396" s="8" t="s">
        <v>1922</v>
      </c>
      <c r="F3396" s="8" t="s">
        <v>1473</v>
      </c>
      <c r="G3396" s="8" t="s">
        <v>1474</v>
      </c>
      <c r="H3396" s="8">
        <v>0.0</v>
      </c>
      <c r="I3396" s="8" t="s">
        <v>93</v>
      </c>
      <c r="J3396" s="8" t="s">
        <v>22</v>
      </c>
      <c r="K3396" s="8" t="s">
        <v>225</v>
      </c>
      <c r="L3396" s="8" t="s">
        <v>24</v>
      </c>
      <c r="M3396" s="9">
        <v>0.5</v>
      </c>
      <c r="N3396" s="9">
        <v>0.5</v>
      </c>
      <c r="O3396" s="9">
        <v>0.5</v>
      </c>
      <c r="P3396" s="54">
        <v>45550.0</v>
      </c>
      <c r="Q3396" s="11">
        <v>1.8</v>
      </c>
      <c r="R3396" s="8" t="s">
        <v>70</v>
      </c>
      <c r="S3396" s="12">
        <f t="shared" si="1"/>
        <v>0</v>
      </c>
      <c r="T3396" s="12">
        <f t="shared" si="8"/>
        <v>110.6185188</v>
      </c>
      <c r="U3396" s="145"/>
    </row>
    <row r="3397">
      <c r="A3397" s="29"/>
      <c r="B3397" s="15" t="s">
        <v>26</v>
      </c>
      <c r="C3397" s="15" t="s">
        <v>19</v>
      </c>
      <c r="D3397" s="15">
        <v>82.0</v>
      </c>
      <c r="E3397" s="15" t="s">
        <v>1923</v>
      </c>
      <c r="F3397" s="15" t="s">
        <v>1479</v>
      </c>
      <c r="G3397" s="15" t="s">
        <v>1480</v>
      </c>
      <c r="H3397" s="15">
        <v>0.0</v>
      </c>
      <c r="I3397" s="15" t="s">
        <v>84</v>
      </c>
      <c r="J3397" s="15" t="s">
        <v>22</v>
      </c>
      <c r="K3397" s="15" t="s">
        <v>892</v>
      </c>
      <c r="L3397" s="15" t="s">
        <v>24</v>
      </c>
      <c r="M3397" s="16">
        <v>0.0</v>
      </c>
      <c r="N3397" s="16">
        <v>0.5</v>
      </c>
      <c r="O3397" s="16">
        <v>0.5</v>
      </c>
      <c r="P3397" s="17">
        <v>45550.0</v>
      </c>
      <c r="Q3397" s="18">
        <v>1.825</v>
      </c>
      <c r="R3397" s="15" t="s">
        <v>70</v>
      </c>
      <c r="S3397" s="19">
        <f t="shared" si="1"/>
        <v>0</v>
      </c>
      <c r="T3397" s="19">
        <f t="shared" si="8"/>
        <v>110.6185188</v>
      </c>
      <c r="U3397" s="144"/>
    </row>
    <row r="3398">
      <c r="A3398" s="107"/>
      <c r="B3398" s="8" t="s">
        <v>18</v>
      </c>
      <c r="C3398" s="8" t="s">
        <v>19</v>
      </c>
      <c r="D3398" s="8">
        <v>22.0</v>
      </c>
      <c r="E3398" s="8" t="s">
        <v>1924</v>
      </c>
      <c r="F3398" s="8" t="s">
        <v>1479</v>
      </c>
      <c r="G3398" s="8" t="s">
        <v>1480</v>
      </c>
      <c r="H3398" s="8">
        <v>1.0</v>
      </c>
      <c r="I3398" s="8" t="s">
        <v>1925</v>
      </c>
      <c r="J3398" s="8" t="s">
        <v>22</v>
      </c>
      <c r="K3398" s="8" t="s">
        <v>892</v>
      </c>
      <c r="L3398" s="8" t="s">
        <v>24</v>
      </c>
      <c r="M3398" s="9">
        <v>0.0</v>
      </c>
      <c r="N3398" s="9">
        <v>0.25</v>
      </c>
      <c r="O3398" s="9">
        <v>0.25</v>
      </c>
      <c r="P3398" s="10">
        <v>45550.0</v>
      </c>
      <c r="Q3398" s="11">
        <v>1.925</v>
      </c>
      <c r="R3398" s="8" t="s">
        <v>25</v>
      </c>
      <c r="S3398" s="12">
        <f t="shared" si="1"/>
        <v>-0.25</v>
      </c>
      <c r="T3398" s="12">
        <f t="shared" si="8"/>
        <v>110.3685188</v>
      </c>
      <c r="U3398" s="145"/>
    </row>
    <row r="3399">
      <c r="A3399" s="29"/>
      <c r="B3399" s="15" t="s">
        <v>18</v>
      </c>
      <c r="C3399" s="15" t="s">
        <v>19</v>
      </c>
      <c r="D3399" s="15">
        <v>70.0</v>
      </c>
      <c r="E3399" s="15" t="s">
        <v>1926</v>
      </c>
      <c r="F3399" s="15"/>
      <c r="G3399" s="15"/>
      <c r="H3399" s="15"/>
      <c r="I3399" s="15" t="s">
        <v>191</v>
      </c>
      <c r="J3399" s="15" t="s">
        <v>22</v>
      </c>
      <c r="K3399" s="15" t="s">
        <v>440</v>
      </c>
      <c r="L3399" s="15" t="s">
        <v>24</v>
      </c>
      <c r="M3399" s="16">
        <v>0.5</v>
      </c>
      <c r="N3399" s="16">
        <v>0.1</v>
      </c>
      <c r="O3399" s="16">
        <v>0.1</v>
      </c>
      <c r="P3399" s="17">
        <v>45550.0</v>
      </c>
      <c r="Q3399" s="18">
        <v>1.9</v>
      </c>
      <c r="R3399" s="15" t="s">
        <v>25</v>
      </c>
      <c r="S3399" s="19">
        <f t="shared" si="1"/>
        <v>-0.1</v>
      </c>
      <c r="T3399" s="19">
        <f t="shared" si="8"/>
        <v>110.2685188</v>
      </c>
      <c r="U3399" s="144"/>
    </row>
    <row r="3400">
      <c r="A3400" s="107"/>
      <c r="B3400" s="8" t="s">
        <v>26</v>
      </c>
      <c r="C3400" s="8" t="s">
        <v>19</v>
      </c>
      <c r="D3400" s="8">
        <v>45.0</v>
      </c>
      <c r="E3400" s="8" t="s">
        <v>1927</v>
      </c>
      <c r="F3400" s="8" t="s">
        <v>1479</v>
      </c>
      <c r="G3400" s="8" t="s">
        <v>1480</v>
      </c>
      <c r="H3400" s="8">
        <v>0.0</v>
      </c>
      <c r="I3400" s="8" t="s">
        <v>93</v>
      </c>
      <c r="J3400" s="8" t="s">
        <v>22</v>
      </c>
      <c r="K3400" s="8" t="s">
        <v>892</v>
      </c>
      <c r="L3400" s="8" t="s">
        <v>1851</v>
      </c>
      <c r="M3400" s="9">
        <v>0.0</v>
      </c>
      <c r="N3400" s="9">
        <v>0.1</v>
      </c>
      <c r="O3400" s="9">
        <v>0.1</v>
      </c>
      <c r="P3400" s="10">
        <v>45550.0</v>
      </c>
      <c r="Q3400" s="11">
        <v>1.975</v>
      </c>
      <c r="R3400" s="8" t="s">
        <v>25</v>
      </c>
      <c r="S3400" s="12">
        <f t="shared" si="1"/>
        <v>-0.1</v>
      </c>
      <c r="T3400" s="12">
        <f t="shared" si="8"/>
        <v>110.1685188</v>
      </c>
      <c r="U3400" s="145"/>
    </row>
    <row r="3401">
      <c r="A3401" s="29"/>
      <c r="B3401" s="15" t="s">
        <v>26</v>
      </c>
      <c r="C3401" s="15" t="s">
        <v>19</v>
      </c>
      <c r="D3401" s="15">
        <v>45.0</v>
      </c>
      <c r="E3401" s="15" t="s">
        <v>1928</v>
      </c>
      <c r="F3401" s="15" t="s">
        <v>1479</v>
      </c>
      <c r="G3401" s="15" t="s">
        <v>1480</v>
      </c>
      <c r="H3401" s="15">
        <v>0.0</v>
      </c>
      <c r="I3401" s="15" t="s">
        <v>93</v>
      </c>
      <c r="J3401" s="15" t="s">
        <v>22</v>
      </c>
      <c r="K3401" s="15" t="s">
        <v>892</v>
      </c>
      <c r="L3401" s="15" t="s">
        <v>1851</v>
      </c>
      <c r="M3401" s="16">
        <v>0.0</v>
      </c>
      <c r="N3401" s="16">
        <v>0.1</v>
      </c>
      <c r="O3401" s="16">
        <v>0.1</v>
      </c>
      <c r="P3401" s="17">
        <v>45550.0</v>
      </c>
      <c r="Q3401" s="18">
        <v>1.95</v>
      </c>
      <c r="R3401" s="15" t="s">
        <v>70</v>
      </c>
      <c r="S3401" s="19">
        <f t="shared" si="1"/>
        <v>0</v>
      </c>
      <c r="T3401" s="19">
        <f t="shared" si="8"/>
        <v>110.1685188</v>
      </c>
      <c r="U3401" s="144"/>
    </row>
    <row r="3402">
      <c r="A3402" s="107"/>
      <c r="B3402" s="8" t="s">
        <v>131</v>
      </c>
      <c r="C3402" s="8" t="s">
        <v>19</v>
      </c>
      <c r="D3402" s="8">
        <v>78.0</v>
      </c>
      <c r="E3402" s="8" t="s">
        <v>1929</v>
      </c>
      <c r="F3402" s="8" t="s">
        <v>1473</v>
      </c>
      <c r="G3402" s="8" t="s">
        <v>1474</v>
      </c>
      <c r="H3402" s="8">
        <v>-1.0</v>
      </c>
      <c r="I3402" s="8" t="s">
        <v>93</v>
      </c>
      <c r="J3402" s="8" t="s">
        <v>22</v>
      </c>
      <c r="K3402" s="8" t="s">
        <v>892</v>
      </c>
      <c r="L3402" s="8" t="s">
        <v>24</v>
      </c>
      <c r="M3402" s="9">
        <v>0.0</v>
      </c>
      <c r="N3402" s="9">
        <v>0.2</v>
      </c>
      <c r="O3402" s="9">
        <v>0.2</v>
      </c>
      <c r="P3402" s="10">
        <v>45550.0</v>
      </c>
      <c r="Q3402" s="11">
        <f>427.69/200</f>
        <v>2.13845</v>
      </c>
      <c r="R3402" s="8" t="s">
        <v>33</v>
      </c>
      <c r="S3402" s="12">
        <f t="shared" si="1"/>
        <v>0.22769</v>
      </c>
      <c r="T3402" s="12">
        <f t="shared" si="8"/>
        <v>110.3962088</v>
      </c>
      <c r="U3402" s="145"/>
    </row>
    <row r="3403">
      <c r="A3403" s="29"/>
      <c r="B3403" s="15" t="s">
        <v>26</v>
      </c>
      <c r="C3403" s="15" t="s">
        <v>19</v>
      </c>
      <c r="D3403" s="15">
        <v>20.0</v>
      </c>
      <c r="E3403" s="15" t="s">
        <v>1930</v>
      </c>
      <c r="F3403" s="15" t="s">
        <v>1473</v>
      </c>
      <c r="G3403" s="15" t="s">
        <v>1474</v>
      </c>
      <c r="H3403" s="15">
        <v>0.0</v>
      </c>
      <c r="I3403" s="15" t="s">
        <v>82</v>
      </c>
      <c r="J3403" s="15" t="s">
        <v>22</v>
      </c>
      <c r="K3403" s="15" t="s">
        <v>1931</v>
      </c>
      <c r="L3403" s="15" t="s">
        <v>24</v>
      </c>
      <c r="M3403" s="16">
        <v>-0.5</v>
      </c>
      <c r="N3403" s="16">
        <v>0.05</v>
      </c>
      <c r="O3403" s="16">
        <v>0.05</v>
      </c>
      <c r="P3403" s="17">
        <v>45550.0</v>
      </c>
      <c r="Q3403" s="18">
        <v>5.5</v>
      </c>
      <c r="R3403" s="15" t="s">
        <v>25</v>
      </c>
      <c r="S3403" s="19">
        <f t="shared" si="1"/>
        <v>-0.05</v>
      </c>
      <c r="T3403" s="19">
        <f t="shared" si="8"/>
        <v>110.3462088</v>
      </c>
      <c r="U3403" s="144"/>
    </row>
    <row r="3404">
      <c r="A3404" s="107"/>
      <c r="B3404" s="8" t="s">
        <v>131</v>
      </c>
      <c r="C3404" s="8" t="s">
        <v>19</v>
      </c>
      <c r="D3404" s="8">
        <v>75.0</v>
      </c>
      <c r="E3404" s="8" t="s">
        <v>1932</v>
      </c>
      <c r="F3404" s="8" t="s">
        <v>1473</v>
      </c>
      <c r="G3404" s="8" t="s">
        <v>1480</v>
      </c>
      <c r="H3404" s="8">
        <v>-1.0</v>
      </c>
      <c r="I3404" s="8" t="s">
        <v>93</v>
      </c>
      <c r="J3404" s="8" t="s">
        <v>22</v>
      </c>
      <c r="K3404" s="8" t="s">
        <v>892</v>
      </c>
      <c r="L3404" s="8" t="s">
        <v>24</v>
      </c>
      <c r="M3404" s="9">
        <v>0.0</v>
      </c>
      <c r="N3404" s="9">
        <v>0.0</v>
      </c>
      <c r="O3404" s="9">
        <v>0.25</v>
      </c>
      <c r="P3404" s="10">
        <v>45550.0</v>
      </c>
      <c r="Q3404" s="11">
        <v>1.775</v>
      </c>
      <c r="R3404" s="8" t="s">
        <v>70</v>
      </c>
      <c r="S3404" s="12">
        <f t="shared" si="1"/>
        <v>0</v>
      </c>
      <c r="T3404" s="12">
        <f t="shared" si="8"/>
        <v>110.3462088</v>
      </c>
      <c r="U3404" s="145"/>
    </row>
    <row r="3405">
      <c r="A3405" s="29"/>
      <c r="B3405" s="15" t="s">
        <v>129</v>
      </c>
      <c r="C3405" s="15" t="s">
        <v>19</v>
      </c>
      <c r="D3405" s="15">
        <v>70.0</v>
      </c>
      <c r="E3405" s="15" t="s">
        <v>1933</v>
      </c>
      <c r="F3405" s="15" t="s">
        <v>1473</v>
      </c>
      <c r="G3405" s="15" t="s">
        <v>1480</v>
      </c>
      <c r="H3405" s="15">
        <v>0.0</v>
      </c>
      <c r="I3405" s="15" t="s">
        <v>84</v>
      </c>
      <c r="J3405" s="15" t="s">
        <v>22</v>
      </c>
      <c r="K3405" s="15" t="s">
        <v>892</v>
      </c>
      <c r="L3405" s="15" t="s">
        <v>24</v>
      </c>
      <c r="M3405" s="16">
        <v>0.0</v>
      </c>
      <c r="N3405" s="16">
        <v>0.25</v>
      </c>
      <c r="O3405" s="16">
        <v>0.25</v>
      </c>
      <c r="P3405" s="17">
        <v>45550.0</v>
      </c>
      <c r="Q3405" s="18">
        <v>1.675</v>
      </c>
      <c r="R3405" s="15" t="s">
        <v>33</v>
      </c>
      <c r="S3405" s="19">
        <f t="shared" si="1"/>
        <v>0.16875</v>
      </c>
      <c r="T3405" s="19">
        <f t="shared" si="8"/>
        <v>110.5149588</v>
      </c>
      <c r="U3405" s="144"/>
    </row>
    <row r="3406">
      <c r="A3406" s="107"/>
      <c r="B3406" s="8" t="s">
        <v>135</v>
      </c>
      <c r="C3406" s="8" t="s">
        <v>19</v>
      </c>
      <c r="D3406" s="8">
        <v>0.0</v>
      </c>
      <c r="E3406" s="8" t="s">
        <v>1934</v>
      </c>
      <c r="F3406" s="8"/>
      <c r="G3406" s="8"/>
      <c r="H3406" s="8"/>
      <c r="I3406" s="8" t="s">
        <v>38</v>
      </c>
      <c r="J3406" s="8" t="s">
        <v>598</v>
      </c>
      <c r="K3406" s="8" t="s">
        <v>29</v>
      </c>
      <c r="L3406" s="8" t="s">
        <v>39</v>
      </c>
      <c r="M3406" s="9">
        <v>-4.0</v>
      </c>
      <c r="N3406" s="9">
        <v>0.25</v>
      </c>
      <c r="O3406" s="9">
        <v>0.25</v>
      </c>
      <c r="P3406" s="10">
        <v>45552.0</v>
      </c>
      <c r="Q3406" s="11">
        <v>1.8</v>
      </c>
      <c r="R3406" s="8" t="s">
        <v>25</v>
      </c>
      <c r="S3406" s="12">
        <f t="shared" si="1"/>
        <v>-0.25</v>
      </c>
      <c r="T3406" s="12">
        <f t="shared" si="8"/>
        <v>110.2649588</v>
      </c>
      <c r="U3406" s="145"/>
    </row>
    <row r="3407">
      <c r="A3407" s="29"/>
      <c r="B3407" s="15" t="s">
        <v>26</v>
      </c>
      <c r="C3407" s="15" t="s">
        <v>19</v>
      </c>
      <c r="D3407" s="15">
        <v>38.0</v>
      </c>
      <c r="E3407" s="15" t="s">
        <v>1935</v>
      </c>
      <c r="F3407" s="15" t="s">
        <v>1473</v>
      </c>
      <c r="G3407" s="15" t="s">
        <v>1480</v>
      </c>
      <c r="H3407" s="15">
        <v>0.0</v>
      </c>
      <c r="I3407" s="15" t="s">
        <v>853</v>
      </c>
      <c r="J3407" s="15" t="s">
        <v>22</v>
      </c>
      <c r="K3407" s="15" t="s">
        <v>892</v>
      </c>
      <c r="L3407" s="15" t="s">
        <v>1851</v>
      </c>
      <c r="M3407" s="16">
        <v>0.0</v>
      </c>
      <c r="N3407" s="16">
        <v>0.1</v>
      </c>
      <c r="O3407" s="16">
        <v>0.1</v>
      </c>
      <c r="P3407" s="17">
        <v>45552.0</v>
      </c>
      <c r="Q3407" s="18">
        <v>2.05</v>
      </c>
      <c r="R3407" s="15" t="s">
        <v>33</v>
      </c>
      <c r="S3407" s="19">
        <f t="shared" si="1"/>
        <v>0.105</v>
      </c>
      <c r="T3407" s="19">
        <f t="shared" si="8"/>
        <v>110.3699588</v>
      </c>
      <c r="U3407" s="144"/>
    </row>
    <row r="3408">
      <c r="A3408" s="107"/>
      <c r="B3408" s="8" t="s">
        <v>26</v>
      </c>
      <c r="C3408" s="8" t="s">
        <v>19</v>
      </c>
      <c r="D3408" s="8">
        <v>0.0</v>
      </c>
      <c r="E3408" s="8" t="s">
        <v>1936</v>
      </c>
      <c r="F3408" s="8" t="s">
        <v>1479</v>
      </c>
      <c r="G3408" s="8" t="s">
        <v>1477</v>
      </c>
      <c r="H3408" s="8">
        <v>0.0</v>
      </c>
      <c r="I3408" s="8" t="s">
        <v>463</v>
      </c>
      <c r="J3408" s="8" t="s">
        <v>598</v>
      </c>
      <c r="K3408" s="8" t="s">
        <v>894</v>
      </c>
      <c r="L3408" s="8" t="s">
        <v>39</v>
      </c>
      <c r="M3408" s="9">
        <v>-0.5</v>
      </c>
      <c r="N3408" s="9">
        <v>0.5</v>
      </c>
      <c r="O3408" s="9">
        <v>0.49</v>
      </c>
      <c r="P3408" s="54">
        <v>45552.0</v>
      </c>
      <c r="Q3408" s="11">
        <v>1.8</v>
      </c>
      <c r="R3408" s="8" t="s">
        <v>33</v>
      </c>
      <c r="S3408" s="12">
        <f t="shared" si="1"/>
        <v>0.392</v>
      </c>
      <c r="T3408" s="12">
        <f t="shared" si="8"/>
        <v>110.7619588</v>
      </c>
      <c r="U3408" s="145"/>
    </row>
    <row r="3409">
      <c r="A3409" s="29"/>
      <c r="B3409" s="15" t="s">
        <v>135</v>
      </c>
      <c r="C3409" s="15" t="s">
        <v>19</v>
      </c>
      <c r="D3409" s="15">
        <v>0.0</v>
      </c>
      <c r="E3409" s="15" t="s">
        <v>1937</v>
      </c>
      <c r="F3409" s="15"/>
      <c r="G3409" s="15"/>
      <c r="H3409" s="15"/>
      <c r="I3409" s="15" t="s">
        <v>167</v>
      </c>
      <c r="J3409" s="15" t="s">
        <v>22</v>
      </c>
      <c r="K3409" s="15" t="s">
        <v>29</v>
      </c>
      <c r="L3409" s="15" t="s">
        <v>39</v>
      </c>
      <c r="M3409" s="16">
        <v>-2.75</v>
      </c>
      <c r="N3409" s="16">
        <v>0.25</v>
      </c>
      <c r="O3409" s="16">
        <v>0.25</v>
      </c>
      <c r="P3409" s="17">
        <v>45552.0</v>
      </c>
      <c r="Q3409" s="18">
        <v>1.875</v>
      </c>
      <c r="R3409" s="15" t="s">
        <v>33</v>
      </c>
      <c r="S3409" s="19">
        <f t="shared" si="1"/>
        <v>0.21875</v>
      </c>
      <c r="T3409" s="19">
        <f t="shared" si="8"/>
        <v>110.9807088</v>
      </c>
      <c r="U3409" s="144"/>
    </row>
    <row r="3410">
      <c r="A3410" s="107"/>
      <c r="B3410" s="8" t="s">
        <v>26</v>
      </c>
      <c r="C3410" s="8" t="s">
        <v>19</v>
      </c>
      <c r="D3410" s="8">
        <v>32.0</v>
      </c>
      <c r="E3410" s="8" t="s">
        <v>1938</v>
      </c>
      <c r="F3410" s="8" t="s">
        <v>1479</v>
      </c>
      <c r="G3410" s="8" t="s">
        <v>1474</v>
      </c>
      <c r="H3410" s="8">
        <v>0.0</v>
      </c>
      <c r="I3410" s="8" t="s">
        <v>463</v>
      </c>
      <c r="J3410" s="8" t="s">
        <v>22</v>
      </c>
      <c r="K3410" s="8" t="s">
        <v>225</v>
      </c>
      <c r="L3410" s="8" t="s">
        <v>1522</v>
      </c>
      <c r="M3410" s="9">
        <v>0.25</v>
      </c>
      <c r="N3410" s="9">
        <v>0.5</v>
      </c>
      <c r="O3410" s="9">
        <v>0.47</v>
      </c>
      <c r="P3410" s="10">
        <v>45552.0</v>
      </c>
      <c r="Q3410" s="11">
        <v>1.72738</v>
      </c>
      <c r="R3410" s="8" t="s">
        <v>33</v>
      </c>
      <c r="S3410" s="12">
        <f t="shared" si="1"/>
        <v>0.3418686</v>
      </c>
      <c r="T3410" s="12">
        <f t="shared" si="8"/>
        <v>111.3225774</v>
      </c>
      <c r="U3410" s="145"/>
    </row>
    <row r="3411">
      <c r="A3411" s="29"/>
      <c r="B3411" s="15" t="s">
        <v>35</v>
      </c>
      <c r="C3411" s="15" t="s">
        <v>19</v>
      </c>
      <c r="D3411" s="15">
        <v>59.0</v>
      </c>
      <c r="E3411" s="15" t="s">
        <v>1939</v>
      </c>
      <c r="F3411" s="15" t="s">
        <v>1479</v>
      </c>
      <c r="G3411" s="15" t="s">
        <v>1480</v>
      </c>
      <c r="H3411" s="15">
        <v>1.0</v>
      </c>
      <c r="I3411" s="15" t="s">
        <v>167</v>
      </c>
      <c r="J3411" s="15" t="s">
        <v>22</v>
      </c>
      <c r="K3411" s="15" t="s">
        <v>892</v>
      </c>
      <c r="L3411" s="15" t="s">
        <v>39</v>
      </c>
      <c r="M3411" s="16">
        <v>0.0</v>
      </c>
      <c r="N3411" s="16">
        <v>0.25</v>
      </c>
      <c r="O3411" s="16">
        <v>0.25</v>
      </c>
      <c r="P3411" s="17">
        <v>45552.0</v>
      </c>
      <c r="Q3411" s="18">
        <v>1.85</v>
      </c>
      <c r="R3411" s="15" t="s">
        <v>33</v>
      </c>
      <c r="S3411" s="19">
        <f t="shared" si="1"/>
        <v>0.2125</v>
      </c>
      <c r="T3411" s="19">
        <f t="shared" si="8"/>
        <v>111.5350774</v>
      </c>
      <c r="U3411" s="144"/>
    </row>
    <row r="3412">
      <c r="A3412" s="107"/>
      <c r="B3412" s="8" t="s">
        <v>35</v>
      </c>
      <c r="C3412" s="8" t="s">
        <v>19</v>
      </c>
      <c r="D3412" s="8">
        <v>68.0</v>
      </c>
      <c r="E3412" s="8" t="s">
        <v>1940</v>
      </c>
      <c r="F3412" s="8" t="s">
        <v>1473</v>
      </c>
      <c r="G3412" s="8" t="s">
        <v>1480</v>
      </c>
      <c r="H3412" s="8">
        <v>-1.0</v>
      </c>
      <c r="I3412" s="8" t="s">
        <v>167</v>
      </c>
      <c r="J3412" s="8" t="s">
        <v>22</v>
      </c>
      <c r="K3412" s="8" t="s">
        <v>892</v>
      </c>
      <c r="L3412" s="8" t="s">
        <v>39</v>
      </c>
      <c r="M3412" s="9">
        <v>0.0</v>
      </c>
      <c r="N3412" s="9">
        <v>0.23</v>
      </c>
      <c r="O3412" s="9">
        <v>0.23</v>
      </c>
      <c r="P3412" s="10">
        <v>45552.0</v>
      </c>
      <c r="Q3412" s="11">
        <v>2.0</v>
      </c>
      <c r="R3412" s="8" t="s">
        <v>25</v>
      </c>
      <c r="S3412" s="12">
        <f t="shared" si="1"/>
        <v>-0.23</v>
      </c>
      <c r="T3412" s="12">
        <f t="shared" si="8"/>
        <v>111.3050774</v>
      </c>
      <c r="U3412" s="145"/>
    </row>
    <row r="3413">
      <c r="A3413" s="29"/>
      <c r="B3413" s="15" t="s">
        <v>26</v>
      </c>
      <c r="C3413" s="15" t="s">
        <v>19</v>
      </c>
      <c r="D3413" s="15">
        <v>26.0</v>
      </c>
      <c r="E3413" s="15" t="s">
        <v>1941</v>
      </c>
      <c r="F3413" s="15" t="s">
        <v>1479</v>
      </c>
      <c r="G3413" s="15" t="s">
        <v>1474</v>
      </c>
      <c r="H3413" s="15">
        <v>0.0</v>
      </c>
      <c r="I3413" s="15" t="s">
        <v>172</v>
      </c>
      <c r="J3413" s="15" t="s">
        <v>22</v>
      </c>
      <c r="K3413" s="15" t="s">
        <v>225</v>
      </c>
      <c r="L3413" s="15" t="s">
        <v>24</v>
      </c>
      <c r="M3413" s="16">
        <v>0.5</v>
      </c>
      <c r="N3413" s="16">
        <v>0.5</v>
      </c>
      <c r="O3413" s="16">
        <v>0.49</v>
      </c>
      <c r="P3413" s="17">
        <v>45552.0</v>
      </c>
      <c r="Q3413" s="18">
        <v>1.925</v>
      </c>
      <c r="R3413" s="15" t="s">
        <v>25</v>
      </c>
      <c r="S3413" s="19">
        <f t="shared" si="1"/>
        <v>-0.49</v>
      </c>
      <c r="T3413" s="19">
        <f t="shared" si="8"/>
        <v>110.8150774</v>
      </c>
      <c r="U3413" s="144"/>
    </row>
    <row r="3414">
      <c r="A3414" s="107"/>
      <c r="B3414" s="8" t="s">
        <v>18</v>
      </c>
      <c r="C3414" s="8" t="s">
        <v>19</v>
      </c>
      <c r="D3414" s="8">
        <v>35.0</v>
      </c>
      <c r="E3414" s="8" t="s">
        <v>1942</v>
      </c>
      <c r="F3414" s="8" t="s">
        <v>1473</v>
      </c>
      <c r="G3414" s="8" t="s">
        <v>1477</v>
      </c>
      <c r="H3414" s="8">
        <v>-1.0</v>
      </c>
      <c r="I3414" s="8" t="s">
        <v>44</v>
      </c>
      <c r="J3414" s="8" t="s">
        <v>22</v>
      </c>
      <c r="K3414" s="8" t="s">
        <v>894</v>
      </c>
      <c r="L3414" s="8" t="s">
        <v>24</v>
      </c>
      <c r="M3414" s="9">
        <v>-0.25</v>
      </c>
      <c r="N3414" s="9">
        <v>0.5</v>
      </c>
      <c r="O3414" s="9">
        <v>0.49</v>
      </c>
      <c r="P3414" s="10">
        <v>45552.0</v>
      </c>
      <c r="Q3414" s="11">
        <v>1.775</v>
      </c>
      <c r="R3414" s="8" t="s">
        <v>33</v>
      </c>
      <c r="S3414" s="12">
        <f t="shared" si="1"/>
        <v>0.37975</v>
      </c>
      <c r="T3414" s="12">
        <f t="shared" si="8"/>
        <v>111.1948274</v>
      </c>
      <c r="U3414" s="145"/>
    </row>
    <row r="3415">
      <c r="A3415" s="29"/>
      <c r="B3415" s="15" t="s">
        <v>35</v>
      </c>
      <c r="C3415" s="15" t="s">
        <v>19</v>
      </c>
      <c r="D3415" s="15">
        <v>59.0</v>
      </c>
      <c r="E3415" s="15" t="s">
        <v>1943</v>
      </c>
      <c r="F3415" s="15" t="s">
        <v>1473</v>
      </c>
      <c r="G3415" s="15" t="s">
        <v>1480</v>
      </c>
      <c r="H3415" s="15">
        <v>0.0</v>
      </c>
      <c r="I3415" s="15" t="s">
        <v>167</v>
      </c>
      <c r="J3415" s="15" t="s">
        <v>22</v>
      </c>
      <c r="K3415" s="15" t="s">
        <v>892</v>
      </c>
      <c r="L3415" s="15" t="s">
        <v>39</v>
      </c>
      <c r="M3415" s="16">
        <v>0.0</v>
      </c>
      <c r="N3415" s="16">
        <v>0.25</v>
      </c>
      <c r="O3415" s="16">
        <v>0.25</v>
      </c>
      <c r="P3415" s="17">
        <v>45552.0</v>
      </c>
      <c r="Q3415" s="18">
        <v>1.95</v>
      </c>
      <c r="R3415" s="15" t="s">
        <v>70</v>
      </c>
      <c r="S3415" s="19">
        <f t="shared" si="1"/>
        <v>0</v>
      </c>
      <c r="T3415" s="19">
        <f t="shared" si="8"/>
        <v>111.1948274</v>
      </c>
      <c r="U3415" s="144"/>
    </row>
    <row r="3416">
      <c r="A3416" s="107"/>
      <c r="B3416" s="8" t="s">
        <v>26</v>
      </c>
      <c r="C3416" s="8" t="s">
        <v>19</v>
      </c>
      <c r="D3416" s="8">
        <v>51.0</v>
      </c>
      <c r="E3416" s="8" t="s">
        <v>1944</v>
      </c>
      <c r="F3416" s="8" t="s">
        <v>1479</v>
      </c>
      <c r="G3416" s="8" t="s">
        <v>1480</v>
      </c>
      <c r="H3416" s="8">
        <v>0.0</v>
      </c>
      <c r="I3416" s="8" t="s">
        <v>82</v>
      </c>
      <c r="J3416" s="8" t="s">
        <v>22</v>
      </c>
      <c r="K3416" s="8" t="s">
        <v>892</v>
      </c>
      <c r="L3416" s="8" t="s">
        <v>1851</v>
      </c>
      <c r="M3416" s="9">
        <v>0.0</v>
      </c>
      <c r="N3416" s="9">
        <v>0.25</v>
      </c>
      <c r="O3416" s="9">
        <v>0.12</v>
      </c>
      <c r="P3416" s="10">
        <v>45552.0</v>
      </c>
      <c r="Q3416" s="11">
        <v>1.85</v>
      </c>
      <c r="R3416" s="8" t="s">
        <v>25</v>
      </c>
      <c r="S3416" s="12">
        <f t="shared" si="1"/>
        <v>-0.12</v>
      </c>
      <c r="T3416" s="12">
        <f t="shared" si="8"/>
        <v>111.0748274</v>
      </c>
      <c r="U3416" s="145"/>
    </row>
    <row r="3417">
      <c r="A3417" s="29"/>
      <c r="B3417" s="15" t="s">
        <v>26</v>
      </c>
      <c r="C3417" s="15" t="s">
        <v>19</v>
      </c>
      <c r="D3417" s="15">
        <v>0.0</v>
      </c>
      <c r="E3417" s="15" t="s">
        <v>1945</v>
      </c>
      <c r="F3417" s="15"/>
      <c r="G3417" s="15"/>
      <c r="H3417" s="15"/>
      <c r="I3417" s="15" t="s">
        <v>82</v>
      </c>
      <c r="J3417" s="15" t="s">
        <v>598</v>
      </c>
      <c r="K3417" s="15" t="s">
        <v>29</v>
      </c>
      <c r="L3417" s="15" t="s">
        <v>39</v>
      </c>
      <c r="M3417" s="16">
        <v>-2.25</v>
      </c>
      <c r="N3417" s="16">
        <v>0.1</v>
      </c>
      <c r="O3417" s="16">
        <v>0.1</v>
      </c>
      <c r="P3417" s="17">
        <v>45553.0</v>
      </c>
      <c r="Q3417" s="18">
        <v>1.875</v>
      </c>
      <c r="R3417" s="15" t="s">
        <v>25</v>
      </c>
      <c r="S3417" s="19">
        <f t="shared" si="1"/>
        <v>-0.1</v>
      </c>
      <c r="T3417" s="19">
        <f t="shared" si="8"/>
        <v>110.9748274</v>
      </c>
      <c r="U3417" s="144"/>
    </row>
    <row r="3418">
      <c r="A3418" s="107"/>
      <c r="B3418" s="8" t="s">
        <v>35</v>
      </c>
      <c r="C3418" s="8" t="s">
        <v>19</v>
      </c>
      <c r="D3418" s="8">
        <v>60.0</v>
      </c>
      <c r="E3418" s="8" t="s">
        <v>1946</v>
      </c>
      <c r="F3418" s="8" t="s">
        <v>1473</v>
      </c>
      <c r="G3418" s="8" t="s">
        <v>1480</v>
      </c>
      <c r="H3418" s="8">
        <v>-3.0</v>
      </c>
      <c r="I3418" s="8" t="s">
        <v>84</v>
      </c>
      <c r="J3418" s="8" t="s">
        <v>22</v>
      </c>
      <c r="K3418" s="8" t="s">
        <v>892</v>
      </c>
      <c r="L3418" s="8" t="s">
        <v>24</v>
      </c>
      <c r="M3418" s="9">
        <v>0.0</v>
      </c>
      <c r="N3418" s="9">
        <v>0.25</v>
      </c>
      <c r="O3418" s="9">
        <v>0.25</v>
      </c>
      <c r="P3418" s="10">
        <v>45553.0</v>
      </c>
      <c r="Q3418" s="11">
        <v>2.15</v>
      </c>
      <c r="R3418" s="8" t="s">
        <v>70</v>
      </c>
      <c r="S3418" s="12">
        <f t="shared" si="1"/>
        <v>0</v>
      </c>
      <c r="T3418" s="12">
        <f t="shared" si="8"/>
        <v>110.9748274</v>
      </c>
      <c r="U3418" s="145"/>
    </row>
    <row r="3419">
      <c r="A3419" s="29"/>
      <c r="B3419" s="15" t="s">
        <v>35</v>
      </c>
      <c r="C3419" s="15" t="s">
        <v>19</v>
      </c>
      <c r="D3419" s="15">
        <v>61.0</v>
      </c>
      <c r="E3419" s="15" t="s">
        <v>1947</v>
      </c>
      <c r="F3419" s="15" t="s">
        <v>1479</v>
      </c>
      <c r="G3419" s="15" t="s">
        <v>1480</v>
      </c>
      <c r="H3419" s="15">
        <v>1.0</v>
      </c>
      <c r="I3419" s="15" t="s">
        <v>863</v>
      </c>
      <c r="J3419" s="15" t="s">
        <v>22</v>
      </c>
      <c r="K3419" s="15" t="s">
        <v>892</v>
      </c>
      <c r="L3419" s="15" t="s">
        <v>39</v>
      </c>
      <c r="M3419" s="16">
        <v>0.0</v>
      </c>
      <c r="N3419" s="16">
        <v>0.25</v>
      </c>
      <c r="O3419" s="16">
        <v>0.25</v>
      </c>
      <c r="P3419" s="17">
        <v>45553.0</v>
      </c>
      <c r="Q3419" s="18">
        <v>1.825</v>
      </c>
      <c r="R3419" s="15" t="s">
        <v>70</v>
      </c>
      <c r="S3419" s="19">
        <f t="shared" si="1"/>
        <v>0</v>
      </c>
      <c r="T3419" s="19">
        <f t="shared" si="8"/>
        <v>110.9748274</v>
      </c>
      <c r="U3419" s="144"/>
    </row>
    <row r="3420">
      <c r="A3420" s="107"/>
      <c r="B3420" s="8" t="s">
        <v>135</v>
      </c>
      <c r="C3420" s="8" t="s">
        <v>19</v>
      </c>
      <c r="D3420" s="8">
        <v>0.0</v>
      </c>
      <c r="E3420" s="8" t="s">
        <v>1948</v>
      </c>
      <c r="F3420" s="8"/>
      <c r="G3420" s="8"/>
      <c r="H3420" s="8"/>
      <c r="I3420" s="8" t="s">
        <v>1201</v>
      </c>
      <c r="J3420" s="8" t="s">
        <v>598</v>
      </c>
      <c r="K3420" s="8" t="s">
        <v>29</v>
      </c>
      <c r="L3420" s="8" t="s">
        <v>39</v>
      </c>
      <c r="M3420" s="9">
        <v>-2.75</v>
      </c>
      <c r="N3420" s="9">
        <v>0.25</v>
      </c>
      <c r="O3420" s="9">
        <v>0.25</v>
      </c>
      <c r="P3420" s="10">
        <v>45553.0</v>
      </c>
      <c r="Q3420" s="11">
        <v>1.825</v>
      </c>
      <c r="R3420" s="8" t="s">
        <v>79</v>
      </c>
      <c r="S3420" s="12">
        <f t="shared" si="1"/>
        <v>-0.125</v>
      </c>
      <c r="T3420" s="12">
        <f t="shared" si="8"/>
        <v>110.8498274</v>
      </c>
      <c r="U3420" s="145"/>
    </row>
    <row r="3421">
      <c r="A3421" s="29"/>
      <c r="B3421" s="15" t="s">
        <v>35</v>
      </c>
      <c r="C3421" s="15" t="s">
        <v>19</v>
      </c>
      <c r="D3421" s="15">
        <v>60.0</v>
      </c>
      <c r="E3421" s="15" t="s">
        <v>1949</v>
      </c>
      <c r="F3421" s="15" t="s">
        <v>1479</v>
      </c>
      <c r="G3421" s="15" t="s">
        <v>1480</v>
      </c>
      <c r="H3421" s="15">
        <v>1.0</v>
      </c>
      <c r="I3421" s="15" t="s">
        <v>121</v>
      </c>
      <c r="J3421" s="15" t="s">
        <v>22</v>
      </c>
      <c r="K3421" s="15" t="s">
        <v>892</v>
      </c>
      <c r="L3421" s="15" t="s">
        <v>39</v>
      </c>
      <c r="M3421" s="16">
        <v>0.0</v>
      </c>
      <c r="N3421" s="16">
        <v>0.25</v>
      </c>
      <c r="O3421" s="16">
        <v>0.1617</v>
      </c>
      <c r="P3421" s="17">
        <v>45553.0</v>
      </c>
      <c r="Q3421" s="18">
        <v>1.7</v>
      </c>
      <c r="R3421" s="15" t="s">
        <v>25</v>
      </c>
      <c r="S3421" s="19">
        <f t="shared" si="1"/>
        <v>-0.1617</v>
      </c>
      <c r="T3421" s="19">
        <f t="shared" si="8"/>
        <v>110.6881274</v>
      </c>
      <c r="U3421" s="144"/>
    </row>
    <row r="3422">
      <c r="A3422" s="107"/>
      <c r="B3422" s="8" t="s">
        <v>35</v>
      </c>
      <c r="C3422" s="8" t="s">
        <v>19</v>
      </c>
      <c r="D3422" s="8">
        <v>60.0</v>
      </c>
      <c r="E3422" s="8" t="s">
        <v>1950</v>
      </c>
      <c r="F3422" s="8" t="s">
        <v>1473</v>
      </c>
      <c r="G3422" s="8" t="s">
        <v>1480</v>
      </c>
      <c r="H3422" s="8">
        <v>1.0</v>
      </c>
      <c r="I3422" s="8" t="s">
        <v>121</v>
      </c>
      <c r="J3422" s="8" t="s">
        <v>22</v>
      </c>
      <c r="K3422" s="8" t="s">
        <v>892</v>
      </c>
      <c r="L3422" s="8" t="s">
        <v>39</v>
      </c>
      <c r="M3422" s="9">
        <v>0.0</v>
      </c>
      <c r="N3422" s="9">
        <v>0.25</v>
      </c>
      <c r="O3422" s="9">
        <v>0.2401</v>
      </c>
      <c r="P3422" s="10">
        <v>45553.0</v>
      </c>
      <c r="Q3422" s="11">
        <v>1.95</v>
      </c>
      <c r="R3422" s="8" t="s">
        <v>25</v>
      </c>
      <c r="S3422" s="12">
        <f t="shared" si="1"/>
        <v>-0.2401</v>
      </c>
      <c r="T3422" s="12">
        <f t="shared" si="8"/>
        <v>110.4480274</v>
      </c>
      <c r="U3422" s="145"/>
    </row>
    <row r="3423">
      <c r="A3423" s="29"/>
      <c r="B3423" s="15" t="s">
        <v>35</v>
      </c>
      <c r="C3423" s="15" t="s">
        <v>19</v>
      </c>
      <c r="D3423" s="15">
        <v>60.0</v>
      </c>
      <c r="E3423" s="15" t="s">
        <v>1951</v>
      </c>
      <c r="F3423" s="15" t="s">
        <v>1473</v>
      </c>
      <c r="G3423" s="15" t="s">
        <v>1480</v>
      </c>
      <c r="H3423" s="15">
        <v>-1.0</v>
      </c>
      <c r="I3423" s="15" t="s">
        <v>78</v>
      </c>
      <c r="J3423" s="15" t="s">
        <v>22</v>
      </c>
      <c r="K3423" s="15" t="s">
        <v>892</v>
      </c>
      <c r="L3423" s="15" t="s">
        <v>39</v>
      </c>
      <c r="M3423" s="16">
        <v>0.0</v>
      </c>
      <c r="N3423" s="16">
        <v>0.25</v>
      </c>
      <c r="O3423" s="16">
        <v>0.25</v>
      </c>
      <c r="P3423" s="17">
        <v>45553.0</v>
      </c>
      <c r="Q3423" s="18">
        <v>1.65</v>
      </c>
      <c r="R3423" s="15" t="s">
        <v>25</v>
      </c>
      <c r="S3423" s="19">
        <f t="shared" si="1"/>
        <v>-0.25</v>
      </c>
      <c r="T3423" s="19">
        <f t="shared" si="8"/>
        <v>110.1980274</v>
      </c>
      <c r="U3423" s="144"/>
    </row>
    <row r="3424">
      <c r="A3424" s="107"/>
      <c r="B3424" s="8" t="s">
        <v>35</v>
      </c>
      <c r="C3424" s="8" t="s">
        <v>19</v>
      </c>
      <c r="D3424" s="8">
        <v>60.0</v>
      </c>
      <c r="E3424" s="8" t="s">
        <v>1952</v>
      </c>
      <c r="F3424" s="8" t="s">
        <v>1473</v>
      </c>
      <c r="G3424" s="8" t="s">
        <v>1480</v>
      </c>
      <c r="H3424" s="8">
        <v>2.0</v>
      </c>
      <c r="I3424" s="8" t="s">
        <v>101</v>
      </c>
      <c r="J3424" s="8" t="s">
        <v>22</v>
      </c>
      <c r="K3424" s="8" t="s">
        <v>892</v>
      </c>
      <c r="L3424" s="8" t="s">
        <v>39</v>
      </c>
      <c r="M3424" s="9">
        <v>0.0</v>
      </c>
      <c r="N3424" s="9">
        <v>0.25</v>
      </c>
      <c r="O3424" s="9">
        <v>0.25</v>
      </c>
      <c r="P3424" s="54">
        <v>45553.0</v>
      </c>
      <c r="Q3424" s="11">
        <v>2.05</v>
      </c>
      <c r="R3424" s="8" t="s">
        <v>33</v>
      </c>
      <c r="S3424" s="12">
        <f t="shared" si="1"/>
        <v>0.2625</v>
      </c>
      <c r="T3424" s="12">
        <f t="shared" si="8"/>
        <v>110.4605274</v>
      </c>
      <c r="U3424" s="145"/>
    </row>
    <row r="3425">
      <c r="A3425" s="29"/>
      <c r="B3425" s="15" t="s">
        <v>26</v>
      </c>
      <c r="C3425" s="15" t="s">
        <v>19</v>
      </c>
      <c r="D3425" s="15">
        <v>25.0</v>
      </c>
      <c r="E3425" s="15" t="s">
        <v>1953</v>
      </c>
      <c r="F3425" s="15" t="s">
        <v>1479</v>
      </c>
      <c r="G3425" s="15" t="s">
        <v>1477</v>
      </c>
      <c r="H3425" s="15">
        <v>0.0</v>
      </c>
      <c r="I3425" s="15" t="s">
        <v>44</v>
      </c>
      <c r="J3425" s="15" t="s">
        <v>22</v>
      </c>
      <c r="K3425" s="15" t="s">
        <v>894</v>
      </c>
      <c r="L3425" s="15" t="s">
        <v>39</v>
      </c>
      <c r="M3425" s="16">
        <v>-0.25</v>
      </c>
      <c r="N3425" s="16">
        <v>0.25</v>
      </c>
      <c r="O3425" s="16">
        <v>0.25</v>
      </c>
      <c r="P3425" s="17">
        <v>45553.0</v>
      </c>
      <c r="Q3425" s="18">
        <v>1.7</v>
      </c>
      <c r="R3425" s="15" t="s">
        <v>33</v>
      </c>
      <c r="S3425" s="19">
        <f t="shared" si="1"/>
        <v>0.175</v>
      </c>
      <c r="T3425" s="19">
        <f t="shared" si="8"/>
        <v>110.6355274</v>
      </c>
      <c r="U3425" s="144"/>
    </row>
    <row r="3426">
      <c r="A3426" s="107"/>
      <c r="B3426" s="8" t="s">
        <v>35</v>
      </c>
      <c r="C3426" s="8" t="s">
        <v>19</v>
      </c>
      <c r="D3426" s="8">
        <v>59.0</v>
      </c>
      <c r="E3426" s="8" t="s">
        <v>1954</v>
      </c>
      <c r="F3426" s="8" t="s">
        <v>1473</v>
      </c>
      <c r="G3426" s="8" t="s">
        <v>1480</v>
      </c>
      <c r="H3426" s="8">
        <v>1.0</v>
      </c>
      <c r="I3426" s="8" t="s">
        <v>877</v>
      </c>
      <c r="J3426" s="8" t="s">
        <v>22</v>
      </c>
      <c r="K3426" s="8" t="s">
        <v>892</v>
      </c>
      <c r="L3426" s="8" t="s">
        <v>39</v>
      </c>
      <c r="M3426" s="9">
        <v>0.0</v>
      </c>
      <c r="N3426" s="9">
        <v>0.25</v>
      </c>
      <c r="O3426" s="9">
        <v>0.25</v>
      </c>
      <c r="P3426" s="10">
        <v>45553.0</v>
      </c>
      <c r="Q3426" s="11">
        <v>1.95</v>
      </c>
      <c r="R3426" s="8" t="s">
        <v>25</v>
      </c>
      <c r="S3426" s="12">
        <f t="shared" si="1"/>
        <v>-0.25</v>
      </c>
      <c r="T3426" s="12">
        <f t="shared" si="8"/>
        <v>110.3855274</v>
      </c>
      <c r="U3426" s="145"/>
    </row>
    <row r="3427">
      <c r="A3427" s="29"/>
      <c r="B3427" s="15" t="s">
        <v>35</v>
      </c>
      <c r="C3427" s="15" t="s">
        <v>19</v>
      </c>
      <c r="D3427" s="15">
        <v>60.0</v>
      </c>
      <c r="E3427" s="15" t="s">
        <v>1955</v>
      </c>
      <c r="F3427" s="15" t="s">
        <v>1473</v>
      </c>
      <c r="G3427" s="15" t="s">
        <v>1480</v>
      </c>
      <c r="H3427" s="15">
        <v>0.0</v>
      </c>
      <c r="I3427" s="15" t="s">
        <v>162</v>
      </c>
      <c r="J3427" s="15" t="s">
        <v>22</v>
      </c>
      <c r="K3427" s="15" t="s">
        <v>892</v>
      </c>
      <c r="L3427" s="15" t="s">
        <v>39</v>
      </c>
      <c r="M3427" s="16">
        <v>0.0</v>
      </c>
      <c r="N3427" s="16">
        <v>0.25</v>
      </c>
      <c r="O3427" s="16">
        <f>0.25*42/51</f>
        <v>0.2058823529</v>
      </c>
      <c r="P3427" s="17">
        <v>45553.0</v>
      </c>
      <c r="Q3427" s="18">
        <v>2.25</v>
      </c>
      <c r="R3427" s="15" t="s">
        <v>33</v>
      </c>
      <c r="S3427" s="19">
        <f t="shared" si="1"/>
        <v>0.2573529412</v>
      </c>
      <c r="T3427" s="19">
        <f t="shared" si="8"/>
        <v>110.6428803</v>
      </c>
      <c r="U3427" s="144"/>
    </row>
    <row r="3428">
      <c r="A3428" s="107"/>
      <c r="B3428" s="8" t="s">
        <v>35</v>
      </c>
      <c r="C3428" s="8" t="s">
        <v>19</v>
      </c>
      <c r="D3428" s="8">
        <v>63.0</v>
      </c>
      <c r="E3428" s="8" t="s">
        <v>1956</v>
      </c>
      <c r="F3428" s="8" t="s">
        <v>1473</v>
      </c>
      <c r="G3428" s="8" t="s">
        <v>1480</v>
      </c>
      <c r="H3428" s="8">
        <v>3.0</v>
      </c>
      <c r="I3428" s="8" t="s">
        <v>1957</v>
      </c>
      <c r="J3428" s="8" t="s">
        <v>22</v>
      </c>
      <c r="K3428" s="8" t="s">
        <v>892</v>
      </c>
      <c r="L3428" s="8" t="s">
        <v>39</v>
      </c>
      <c r="M3428" s="9">
        <v>0.0</v>
      </c>
      <c r="N3428" s="9">
        <v>0.25</v>
      </c>
      <c r="O3428" s="9">
        <v>0.25</v>
      </c>
      <c r="P3428" s="10">
        <v>45553.0</v>
      </c>
      <c r="Q3428" s="11">
        <v>2.15</v>
      </c>
      <c r="R3428" s="8" t="s">
        <v>70</v>
      </c>
      <c r="S3428" s="12">
        <f t="shared" si="1"/>
        <v>0</v>
      </c>
      <c r="T3428" s="12">
        <f t="shared" si="8"/>
        <v>110.6428803</v>
      </c>
      <c r="U3428" s="145"/>
    </row>
    <row r="3429">
      <c r="A3429" s="29"/>
      <c r="B3429" s="15" t="s">
        <v>35</v>
      </c>
      <c r="C3429" s="15" t="s">
        <v>19</v>
      </c>
      <c r="D3429" s="15">
        <v>61.0</v>
      </c>
      <c r="E3429" s="15" t="s">
        <v>1958</v>
      </c>
      <c r="F3429" s="15" t="s">
        <v>1473</v>
      </c>
      <c r="G3429" s="15" t="s">
        <v>1480</v>
      </c>
      <c r="H3429" s="15">
        <v>0.0</v>
      </c>
      <c r="I3429" s="15" t="s">
        <v>1957</v>
      </c>
      <c r="J3429" s="15" t="s">
        <v>22</v>
      </c>
      <c r="K3429" s="15" t="s">
        <v>892</v>
      </c>
      <c r="L3429" s="15" t="s">
        <v>39</v>
      </c>
      <c r="M3429" s="16">
        <v>0.0</v>
      </c>
      <c r="N3429" s="16">
        <v>0.25</v>
      </c>
      <c r="O3429" s="16">
        <v>0.166</v>
      </c>
      <c r="P3429" s="17">
        <v>45553.0</v>
      </c>
      <c r="Q3429" s="18">
        <v>2.15</v>
      </c>
      <c r="R3429" s="15" t="s">
        <v>70</v>
      </c>
      <c r="S3429" s="19">
        <f t="shared" si="1"/>
        <v>0</v>
      </c>
      <c r="T3429" s="19">
        <f t="shared" si="8"/>
        <v>110.6428803</v>
      </c>
      <c r="U3429" s="144"/>
    </row>
    <row r="3430">
      <c r="A3430" s="107"/>
      <c r="B3430" s="8" t="s">
        <v>135</v>
      </c>
      <c r="C3430" s="8" t="s">
        <v>19</v>
      </c>
      <c r="D3430" s="8"/>
      <c r="E3430" s="8" t="s">
        <v>1959</v>
      </c>
      <c r="F3430" s="8"/>
      <c r="G3430" s="8"/>
      <c r="H3430" s="8"/>
      <c r="I3430" s="8" t="s">
        <v>178</v>
      </c>
      <c r="J3430" s="8" t="s">
        <v>598</v>
      </c>
      <c r="K3430" s="8" t="s">
        <v>29</v>
      </c>
      <c r="L3430" s="8" t="s">
        <v>39</v>
      </c>
      <c r="M3430" s="9">
        <v>-3.0</v>
      </c>
      <c r="N3430" s="9">
        <v>0.25</v>
      </c>
      <c r="O3430" s="9">
        <v>0.25</v>
      </c>
      <c r="P3430" s="10">
        <v>45553.0</v>
      </c>
      <c r="Q3430" s="11">
        <v>1.85</v>
      </c>
      <c r="R3430" s="8" t="s">
        <v>33</v>
      </c>
      <c r="S3430" s="12">
        <f t="shared" si="1"/>
        <v>0.2125</v>
      </c>
      <c r="T3430" s="12">
        <f t="shared" si="8"/>
        <v>110.8553803</v>
      </c>
      <c r="U3430" s="145"/>
    </row>
    <row r="3431">
      <c r="A3431" s="29"/>
      <c r="B3431" s="15" t="s">
        <v>35</v>
      </c>
      <c r="C3431" s="15" t="s">
        <v>40</v>
      </c>
      <c r="D3431" s="15">
        <v>61.0</v>
      </c>
      <c r="E3431" s="15" t="s">
        <v>1960</v>
      </c>
      <c r="F3431" s="15" t="s">
        <v>1473</v>
      </c>
      <c r="G3431" s="15" t="s">
        <v>1480</v>
      </c>
      <c r="H3431" s="15">
        <v>1.0</v>
      </c>
      <c r="I3431" s="15" t="s">
        <v>1961</v>
      </c>
      <c r="J3431" s="15" t="s">
        <v>22</v>
      </c>
      <c r="K3431" s="15" t="s">
        <v>892</v>
      </c>
      <c r="L3431" s="15" t="s">
        <v>39</v>
      </c>
      <c r="M3431" s="16">
        <v>0.0</v>
      </c>
      <c r="N3431" s="16">
        <v>0.25</v>
      </c>
      <c r="O3431" s="16">
        <v>0.25</v>
      </c>
      <c r="P3431" s="17">
        <v>45553.0</v>
      </c>
      <c r="Q3431" s="18">
        <v>2.2</v>
      </c>
      <c r="R3431" s="15" t="s">
        <v>70</v>
      </c>
      <c r="S3431" s="19">
        <f t="shared" si="1"/>
        <v>0</v>
      </c>
      <c r="T3431" s="19">
        <f t="shared" si="8"/>
        <v>110.8553803</v>
      </c>
      <c r="U3431" s="144"/>
    </row>
    <row r="3432">
      <c r="A3432" s="107"/>
      <c r="B3432" s="8" t="s">
        <v>35</v>
      </c>
      <c r="C3432" s="8" t="s">
        <v>19</v>
      </c>
      <c r="D3432" s="8">
        <v>61.0</v>
      </c>
      <c r="E3432" s="8" t="s">
        <v>1962</v>
      </c>
      <c r="F3432" s="8" t="s">
        <v>1473</v>
      </c>
      <c r="G3432" s="8" t="s">
        <v>1480</v>
      </c>
      <c r="H3432" s="8">
        <v>1.0</v>
      </c>
      <c r="I3432" s="8" t="s">
        <v>740</v>
      </c>
      <c r="J3432" s="8" t="s">
        <v>22</v>
      </c>
      <c r="K3432" s="8" t="s">
        <v>892</v>
      </c>
      <c r="L3432" s="8" t="s">
        <v>39</v>
      </c>
      <c r="M3432" s="9">
        <v>0.0</v>
      </c>
      <c r="N3432" s="9">
        <v>0.25</v>
      </c>
      <c r="O3432" s="9">
        <v>0.25</v>
      </c>
      <c r="P3432" s="10">
        <v>45553.0</v>
      </c>
      <c r="Q3432" s="11">
        <v>1.925</v>
      </c>
      <c r="R3432" s="8" t="s">
        <v>25</v>
      </c>
      <c r="S3432" s="12">
        <f t="shared" si="1"/>
        <v>-0.25</v>
      </c>
      <c r="T3432" s="12">
        <f t="shared" si="8"/>
        <v>110.6053803</v>
      </c>
      <c r="U3432" s="145"/>
    </row>
    <row r="3433">
      <c r="A3433" s="29"/>
      <c r="B3433" s="15" t="s">
        <v>35</v>
      </c>
      <c r="C3433" s="15" t="s">
        <v>19</v>
      </c>
      <c r="D3433" s="15">
        <v>66.0</v>
      </c>
      <c r="E3433" s="15" t="s">
        <v>1963</v>
      </c>
      <c r="F3433" s="15" t="s">
        <v>1473</v>
      </c>
      <c r="G3433" s="15" t="s">
        <v>1480</v>
      </c>
      <c r="H3433" s="15">
        <v>0.0</v>
      </c>
      <c r="I3433" s="15" t="s">
        <v>940</v>
      </c>
      <c r="J3433" s="15" t="s">
        <v>22</v>
      </c>
      <c r="K3433" s="15" t="s">
        <v>892</v>
      </c>
      <c r="L3433" s="15" t="s">
        <v>39</v>
      </c>
      <c r="M3433" s="16">
        <v>0.0</v>
      </c>
      <c r="N3433" s="16">
        <v>0.25</v>
      </c>
      <c r="O3433" s="16">
        <v>0.25</v>
      </c>
      <c r="P3433" s="17">
        <v>45553.0</v>
      </c>
      <c r="Q3433" s="18">
        <v>1.7</v>
      </c>
      <c r="R3433" s="15" t="s">
        <v>25</v>
      </c>
      <c r="S3433" s="19">
        <f t="shared" si="1"/>
        <v>-0.25</v>
      </c>
      <c r="T3433" s="19">
        <f t="shared" si="8"/>
        <v>110.3553803</v>
      </c>
      <c r="U3433" s="144"/>
    </row>
    <row r="3434">
      <c r="A3434" s="107"/>
      <c r="B3434" s="8" t="s">
        <v>137</v>
      </c>
      <c r="C3434" s="8" t="s">
        <v>40</v>
      </c>
      <c r="D3434" s="8">
        <v>59.0</v>
      </c>
      <c r="E3434" s="8" t="s">
        <v>1964</v>
      </c>
      <c r="F3434" s="8" t="s">
        <v>1479</v>
      </c>
      <c r="G3434" s="8" t="s">
        <v>1480</v>
      </c>
      <c r="H3434" s="8">
        <v>-1.0</v>
      </c>
      <c r="I3434" s="8" t="s">
        <v>93</v>
      </c>
      <c r="J3434" s="8" t="s">
        <v>22</v>
      </c>
      <c r="K3434" s="8" t="s">
        <v>892</v>
      </c>
      <c r="L3434" s="8" t="s">
        <v>24</v>
      </c>
      <c r="M3434" s="9">
        <v>0.0</v>
      </c>
      <c r="N3434" s="9">
        <v>1.0</v>
      </c>
      <c r="O3434" s="9">
        <v>0.9901</v>
      </c>
      <c r="P3434" s="10">
        <v>45553.0</v>
      </c>
      <c r="Q3434" s="11">
        <v>1.735</v>
      </c>
      <c r="R3434" s="8" t="s">
        <v>33</v>
      </c>
      <c r="S3434" s="12">
        <f t="shared" si="1"/>
        <v>0.7277235</v>
      </c>
      <c r="T3434" s="12">
        <f t="shared" si="8"/>
        <v>111.0831038</v>
      </c>
      <c r="U3434" s="145"/>
    </row>
    <row r="3435">
      <c r="A3435" s="29"/>
      <c r="B3435" s="15" t="s">
        <v>26</v>
      </c>
      <c r="C3435" s="15" t="s">
        <v>19</v>
      </c>
      <c r="D3435" s="15">
        <v>75.0</v>
      </c>
      <c r="E3435" s="15" t="s">
        <v>1965</v>
      </c>
      <c r="F3435" s="15" t="s">
        <v>1479</v>
      </c>
      <c r="G3435" s="15" t="s">
        <v>1477</v>
      </c>
      <c r="H3435" s="15">
        <v>7.0</v>
      </c>
      <c r="I3435" s="15" t="s">
        <v>82</v>
      </c>
      <c r="J3435" s="15" t="s">
        <v>22</v>
      </c>
      <c r="K3435" s="15" t="s">
        <v>894</v>
      </c>
      <c r="L3435" s="15" t="s">
        <v>24</v>
      </c>
      <c r="M3435" s="16">
        <v>-0.5</v>
      </c>
      <c r="N3435" s="16">
        <v>0.15</v>
      </c>
      <c r="O3435" s="16">
        <v>0.15</v>
      </c>
      <c r="P3435" s="17">
        <v>45553.0</v>
      </c>
      <c r="Q3435" s="18">
        <v>1.8</v>
      </c>
      <c r="R3435" s="15" t="s">
        <v>33</v>
      </c>
      <c r="S3435" s="19">
        <f t="shared" si="1"/>
        <v>0.12</v>
      </c>
      <c r="T3435" s="19">
        <f t="shared" si="8"/>
        <v>111.2031038</v>
      </c>
      <c r="U3435" s="144"/>
    </row>
    <row r="3436">
      <c r="A3436" s="107"/>
      <c r="B3436" s="8" t="s">
        <v>35</v>
      </c>
      <c r="C3436" s="8" t="s">
        <v>19</v>
      </c>
      <c r="D3436" s="8"/>
      <c r="E3436" s="8" t="s">
        <v>1966</v>
      </c>
      <c r="F3436" s="8" t="s">
        <v>1479</v>
      </c>
      <c r="G3436" s="8" t="s">
        <v>1480</v>
      </c>
      <c r="H3436" s="8">
        <v>0.0</v>
      </c>
      <c r="I3436" s="8" t="s">
        <v>172</v>
      </c>
      <c r="J3436" s="8" t="s">
        <v>22</v>
      </c>
      <c r="K3436" s="8" t="s">
        <v>892</v>
      </c>
      <c r="L3436" s="8" t="s">
        <v>24</v>
      </c>
      <c r="M3436" s="9">
        <v>0.0</v>
      </c>
      <c r="N3436" s="9">
        <v>0.25</v>
      </c>
      <c r="O3436" s="9">
        <v>0.25</v>
      </c>
      <c r="P3436" s="10">
        <v>45553.0</v>
      </c>
      <c r="Q3436" s="11">
        <v>2.08</v>
      </c>
      <c r="R3436" s="8" t="s">
        <v>70</v>
      </c>
      <c r="S3436" s="12">
        <f t="shared" si="1"/>
        <v>0</v>
      </c>
      <c r="T3436" s="12">
        <f t="shared" si="8"/>
        <v>111.2031038</v>
      </c>
      <c r="U3436" s="145"/>
    </row>
    <row r="3437">
      <c r="A3437" s="29"/>
      <c r="B3437" s="15" t="s">
        <v>35</v>
      </c>
      <c r="C3437" s="15" t="s">
        <v>19</v>
      </c>
      <c r="D3437" s="15"/>
      <c r="E3437" s="15" t="s">
        <v>1967</v>
      </c>
      <c r="F3437" s="15" t="s">
        <v>1473</v>
      </c>
      <c r="G3437" s="15" t="s">
        <v>1480</v>
      </c>
      <c r="H3437" s="15">
        <v>0.0</v>
      </c>
      <c r="I3437" s="15" t="s">
        <v>675</v>
      </c>
      <c r="J3437" s="15" t="s">
        <v>22</v>
      </c>
      <c r="K3437" s="15" t="s">
        <v>892</v>
      </c>
      <c r="L3437" s="15" t="s">
        <v>24</v>
      </c>
      <c r="M3437" s="16">
        <v>0.0</v>
      </c>
      <c r="N3437" s="16">
        <v>0.2</v>
      </c>
      <c r="O3437" s="16">
        <v>0.2</v>
      </c>
      <c r="P3437" s="17">
        <v>45554.0</v>
      </c>
      <c r="Q3437" s="18">
        <v>2.05</v>
      </c>
      <c r="R3437" s="15" t="s">
        <v>33</v>
      </c>
      <c r="S3437" s="19">
        <f t="shared" si="1"/>
        <v>0.21</v>
      </c>
      <c r="T3437" s="19">
        <f t="shared" si="8"/>
        <v>111.4131038</v>
      </c>
      <c r="U3437" s="144"/>
    </row>
    <row r="3438">
      <c r="A3438" s="107"/>
      <c r="B3438" s="8" t="s">
        <v>35</v>
      </c>
      <c r="C3438" s="8" t="s">
        <v>19</v>
      </c>
      <c r="D3438" s="8">
        <v>60.0</v>
      </c>
      <c r="E3438" s="8" t="s">
        <v>1968</v>
      </c>
      <c r="F3438" s="8" t="s">
        <v>1473</v>
      </c>
      <c r="G3438" s="8" t="s">
        <v>1480</v>
      </c>
      <c r="H3438" s="8">
        <v>-1.0</v>
      </c>
      <c r="I3438" s="8" t="s">
        <v>1957</v>
      </c>
      <c r="J3438" s="8" t="s">
        <v>22</v>
      </c>
      <c r="K3438" s="8" t="s">
        <v>892</v>
      </c>
      <c r="L3438" s="8" t="s">
        <v>39</v>
      </c>
      <c r="M3438" s="9">
        <v>0.0</v>
      </c>
      <c r="N3438" s="9">
        <v>0.2</v>
      </c>
      <c r="O3438" s="9">
        <v>0.2</v>
      </c>
      <c r="P3438" s="10">
        <v>45554.0</v>
      </c>
      <c r="Q3438" s="11">
        <v>1.775</v>
      </c>
      <c r="R3438" s="8" t="s">
        <v>25</v>
      </c>
      <c r="S3438" s="12">
        <f t="shared" si="1"/>
        <v>-0.2</v>
      </c>
      <c r="T3438" s="12">
        <f t="shared" si="8"/>
        <v>111.2131038</v>
      </c>
      <c r="U3438" s="145"/>
    </row>
    <row r="3439">
      <c r="A3439" s="29"/>
      <c r="B3439" s="15" t="s">
        <v>35</v>
      </c>
      <c r="C3439" s="15" t="s">
        <v>19</v>
      </c>
      <c r="D3439" s="15">
        <v>60.0</v>
      </c>
      <c r="E3439" s="15" t="s">
        <v>1969</v>
      </c>
      <c r="F3439" s="15" t="s">
        <v>1479</v>
      </c>
      <c r="G3439" s="15" t="s">
        <v>1480</v>
      </c>
      <c r="H3439" s="15">
        <v>2.0</v>
      </c>
      <c r="I3439" s="15" t="s">
        <v>1961</v>
      </c>
      <c r="J3439" s="15" t="s">
        <v>22</v>
      </c>
      <c r="K3439" s="15" t="s">
        <v>892</v>
      </c>
      <c r="L3439" s="15" t="s">
        <v>39</v>
      </c>
      <c r="M3439" s="16">
        <v>0.0</v>
      </c>
      <c r="N3439" s="16">
        <v>0.2</v>
      </c>
      <c r="O3439" s="16">
        <v>0.1962</v>
      </c>
      <c r="P3439" s="17">
        <v>45554.0</v>
      </c>
      <c r="Q3439" s="18">
        <v>2.02</v>
      </c>
      <c r="R3439" s="15" t="s">
        <v>33</v>
      </c>
      <c r="S3439" s="19">
        <f t="shared" si="1"/>
        <v>0.200124</v>
      </c>
      <c r="T3439" s="19">
        <f t="shared" si="8"/>
        <v>111.4132278</v>
      </c>
      <c r="U3439" s="144"/>
    </row>
    <row r="3440">
      <c r="A3440" s="107"/>
      <c r="B3440" s="8" t="s">
        <v>35</v>
      </c>
      <c r="C3440" s="8" t="s">
        <v>19</v>
      </c>
      <c r="D3440" s="8">
        <v>60.0</v>
      </c>
      <c r="E3440" s="8" t="s">
        <v>1970</v>
      </c>
      <c r="F3440" s="8" t="s">
        <v>1473</v>
      </c>
      <c r="G3440" s="8" t="s">
        <v>1480</v>
      </c>
      <c r="H3440" s="8">
        <v>0.0</v>
      </c>
      <c r="I3440" s="8" t="s">
        <v>78</v>
      </c>
      <c r="J3440" s="8" t="s">
        <v>22</v>
      </c>
      <c r="K3440" s="8" t="s">
        <v>892</v>
      </c>
      <c r="L3440" s="8" t="s">
        <v>39</v>
      </c>
      <c r="M3440" s="9">
        <v>0.0</v>
      </c>
      <c r="N3440" s="9">
        <v>0.2</v>
      </c>
      <c r="O3440" s="9">
        <v>0.2</v>
      </c>
      <c r="P3440" s="10">
        <v>45554.0</v>
      </c>
      <c r="Q3440" s="11">
        <v>1.825</v>
      </c>
      <c r="R3440" s="8" t="s">
        <v>70</v>
      </c>
      <c r="S3440" s="12">
        <f t="shared" si="1"/>
        <v>0</v>
      </c>
      <c r="T3440" s="12">
        <f t="shared" si="8"/>
        <v>111.4132278</v>
      </c>
      <c r="U3440" s="145"/>
    </row>
    <row r="3441">
      <c r="A3441" s="29"/>
      <c r="B3441" s="15" t="s">
        <v>35</v>
      </c>
      <c r="C3441" s="15" t="s">
        <v>19</v>
      </c>
      <c r="D3441" s="15">
        <v>59.0</v>
      </c>
      <c r="E3441" s="15" t="s">
        <v>1971</v>
      </c>
      <c r="F3441" s="15" t="s">
        <v>1479</v>
      </c>
      <c r="G3441" s="15" t="s">
        <v>1480</v>
      </c>
      <c r="H3441" s="15">
        <v>0.0</v>
      </c>
      <c r="I3441" s="15" t="s">
        <v>78</v>
      </c>
      <c r="J3441" s="15" t="s">
        <v>22</v>
      </c>
      <c r="K3441" s="15" t="s">
        <v>892</v>
      </c>
      <c r="L3441" s="15" t="s">
        <v>39</v>
      </c>
      <c r="M3441" s="16">
        <v>0.0</v>
      </c>
      <c r="N3441" s="16">
        <v>0.2</v>
      </c>
      <c r="O3441" s="16">
        <v>0.2</v>
      </c>
      <c r="P3441" s="17">
        <v>45554.0</v>
      </c>
      <c r="Q3441" s="18">
        <v>2.2</v>
      </c>
      <c r="R3441" s="15" t="s">
        <v>70</v>
      </c>
      <c r="S3441" s="19">
        <f t="shared" si="1"/>
        <v>0</v>
      </c>
      <c r="T3441" s="19">
        <f t="shared" si="8"/>
        <v>111.4132278</v>
      </c>
      <c r="U3441" s="144"/>
    </row>
    <row r="3442">
      <c r="A3442" s="107"/>
      <c r="B3442" s="8" t="s">
        <v>35</v>
      </c>
      <c r="C3442" s="8" t="s">
        <v>40</v>
      </c>
      <c r="D3442" s="8">
        <v>60.0</v>
      </c>
      <c r="E3442" s="8" t="s">
        <v>1972</v>
      </c>
      <c r="F3442" s="8" t="s">
        <v>1479</v>
      </c>
      <c r="G3442" s="8" t="s">
        <v>1480</v>
      </c>
      <c r="H3442" s="8">
        <v>1.0</v>
      </c>
      <c r="I3442" s="8" t="s">
        <v>877</v>
      </c>
      <c r="J3442" s="8" t="s">
        <v>22</v>
      </c>
      <c r="K3442" s="8" t="s">
        <v>892</v>
      </c>
      <c r="L3442" s="8" t="s">
        <v>39</v>
      </c>
      <c r="M3442" s="9">
        <v>0.0</v>
      </c>
      <c r="N3442" s="9">
        <v>0.2</v>
      </c>
      <c r="O3442" s="9">
        <v>0.1509</v>
      </c>
      <c r="P3442" s="10">
        <v>45554.0</v>
      </c>
      <c r="Q3442" s="11">
        <v>1.9</v>
      </c>
      <c r="R3442" s="8" t="s">
        <v>70</v>
      </c>
      <c r="S3442" s="12">
        <f t="shared" si="1"/>
        <v>0</v>
      </c>
      <c r="T3442" s="12">
        <f t="shared" si="8"/>
        <v>111.4132278</v>
      </c>
      <c r="U3442" s="145"/>
    </row>
    <row r="3443">
      <c r="A3443" s="29"/>
      <c r="B3443" s="15" t="s">
        <v>35</v>
      </c>
      <c r="C3443" s="15" t="s">
        <v>19</v>
      </c>
      <c r="D3443" s="15">
        <v>60.0</v>
      </c>
      <c r="E3443" s="15" t="s">
        <v>1973</v>
      </c>
      <c r="F3443" s="15" t="s">
        <v>1479</v>
      </c>
      <c r="G3443" s="15" t="s">
        <v>1480</v>
      </c>
      <c r="H3443" s="15">
        <v>2.0</v>
      </c>
      <c r="I3443" s="15" t="s">
        <v>513</v>
      </c>
      <c r="J3443" s="15" t="s">
        <v>22</v>
      </c>
      <c r="K3443" s="15" t="s">
        <v>892</v>
      </c>
      <c r="L3443" s="15" t="s">
        <v>39</v>
      </c>
      <c r="M3443" s="16">
        <v>0.0</v>
      </c>
      <c r="N3443" s="16">
        <v>0.2</v>
      </c>
      <c r="O3443" s="16">
        <v>0.2</v>
      </c>
      <c r="P3443" s="17">
        <v>45554.0</v>
      </c>
      <c r="Q3443" s="18">
        <v>2.1</v>
      </c>
      <c r="R3443" s="15" t="s">
        <v>25</v>
      </c>
      <c r="S3443" s="19">
        <f t="shared" si="1"/>
        <v>-0.2</v>
      </c>
      <c r="T3443" s="19">
        <f t="shared" si="8"/>
        <v>111.2132278</v>
      </c>
      <c r="U3443" s="144"/>
    </row>
    <row r="3444">
      <c r="A3444" s="107"/>
      <c r="B3444" s="8" t="s">
        <v>135</v>
      </c>
      <c r="C3444" s="8" t="s">
        <v>19</v>
      </c>
      <c r="D3444" s="8">
        <v>0.0</v>
      </c>
      <c r="E3444" s="8" t="s">
        <v>1974</v>
      </c>
      <c r="F3444" s="8"/>
      <c r="G3444" s="8"/>
      <c r="H3444" s="8"/>
      <c r="I3444" s="8" t="s">
        <v>44</v>
      </c>
      <c r="J3444" s="8" t="s">
        <v>598</v>
      </c>
      <c r="K3444" s="8" t="s">
        <v>29</v>
      </c>
      <c r="L3444" s="8" t="s">
        <v>39</v>
      </c>
      <c r="M3444" s="9">
        <v>-3.75</v>
      </c>
      <c r="N3444" s="9">
        <v>0.2</v>
      </c>
      <c r="O3444" s="9">
        <v>0.2</v>
      </c>
      <c r="P3444" s="54">
        <v>45554.0</v>
      </c>
      <c r="Q3444" s="11">
        <v>1.9</v>
      </c>
      <c r="R3444" s="8" t="s">
        <v>33</v>
      </c>
      <c r="S3444" s="12">
        <f t="shared" si="1"/>
        <v>0.18</v>
      </c>
      <c r="T3444" s="12">
        <f t="shared" si="8"/>
        <v>111.3932278</v>
      </c>
      <c r="U3444" s="145"/>
    </row>
    <row r="3445">
      <c r="A3445" s="29"/>
      <c r="B3445" s="15" t="s">
        <v>26</v>
      </c>
      <c r="C3445" s="15" t="s">
        <v>19</v>
      </c>
      <c r="D3445" s="15">
        <v>8.0</v>
      </c>
      <c r="E3445" s="15" t="s">
        <v>1975</v>
      </c>
      <c r="F3445" s="15" t="s">
        <v>1479</v>
      </c>
      <c r="G3445" s="15" t="s">
        <v>1480</v>
      </c>
      <c r="H3445" s="15">
        <v>0.0</v>
      </c>
      <c r="I3445" s="15" t="s">
        <v>463</v>
      </c>
      <c r="J3445" s="15" t="s">
        <v>22</v>
      </c>
      <c r="K3445" s="15" t="s">
        <v>892</v>
      </c>
      <c r="L3445" s="15" t="s">
        <v>1851</v>
      </c>
      <c r="M3445" s="16">
        <v>0.0</v>
      </c>
      <c r="N3445" s="16">
        <v>0.1</v>
      </c>
      <c r="O3445" s="16">
        <v>0.1</v>
      </c>
      <c r="P3445" s="17">
        <v>45554.0</v>
      </c>
      <c r="Q3445" s="18">
        <v>1.95</v>
      </c>
      <c r="R3445" s="15" t="s">
        <v>70</v>
      </c>
      <c r="S3445" s="19">
        <f t="shared" si="1"/>
        <v>0</v>
      </c>
      <c r="T3445" s="19">
        <f t="shared" si="8"/>
        <v>111.3932278</v>
      </c>
      <c r="U3445" s="144"/>
    </row>
    <row r="3446">
      <c r="A3446" s="107"/>
      <c r="B3446" s="8" t="s">
        <v>35</v>
      </c>
      <c r="C3446" s="8" t="s">
        <v>19</v>
      </c>
      <c r="D3446" s="8">
        <v>57.0</v>
      </c>
      <c r="E3446" s="8" t="s">
        <v>1976</v>
      </c>
      <c r="F3446" s="8" t="s">
        <v>1479</v>
      </c>
      <c r="G3446" s="8" t="s">
        <v>1480</v>
      </c>
      <c r="H3446" s="8">
        <v>-2.0</v>
      </c>
      <c r="I3446" s="8" t="s">
        <v>167</v>
      </c>
      <c r="J3446" s="8" t="s">
        <v>22</v>
      </c>
      <c r="K3446" s="8" t="s">
        <v>892</v>
      </c>
      <c r="L3446" s="8" t="s">
        <v>39</v>
      </c>
      <c r="M3446" s="9">
        <v>0.0</v>
      </c>
      <c r="N3446" s="9">
        <v>0.2</v>
      </c>
      <c r="O3446" s="9">
        <v>0.037</v>
      </c>
      <c r="P3446" s="10">
        <v>45554.0</v>
      </c>
      <c r="Q3446" s="11">
        <v>1.8</v>
      </c>
      <c r="R3446" s="8" t="s">
        <v>33</v>
      </c>
      <c r="S3446" s="12">
        <f t="shared" si="1"/>
        <v>0.0296</v>
      </c>
      <c r="T3446" s="12">
        <f t="shared" si="8"/>
        <v>111.4228278</v>
      </c>
      <c r="U3446" s="145"/>
    </row>
    <row r="3447">
      <c r="A3447" s="29"/>
      <c r="B3447" s="15" t="s">
        <v>35</v>
      </c>
      <c r="C3447" s="15" t="s">
        <v>19</v>
      </c>
      <c r="D3447" s="15">
        <v>59.0</v>
      </c>
      <c r="E3447" s="15" t="s">
        <v>1977</v>
      </c>
      <c r="F3447" s="15" t="s">
        <v>1479</v>
      </c>
      <c r="G3447" s="15" t="s">
        <v>1480</v>
      </c>
      <c r="H3447" s="15">
        <v>1.0</v>
      </c>
      <c r="I3447" s="15" t="s">
        <v>397</v>
      </c>
      <c r="J3447" s="15" t="s">
        <v>22</v>
      </c>
      <c r="K3447" s="15" t="s">
        <v>892</v>
      </c>
      <c r="L3447" s="15" t="s">
        <v>39</v>
      </c>
      <c r="M3447" s="16">
        <v>0.0</v>
      </c>
      <c r="N3447" s="16">
        <v>0.2</v>
      </c>
      <c r="O3447" s="16">
        <v>0.2</v>
      </c>
      <c r="P3447" s="17">
        <v>45554.0</v>
      </c>
      <c r="Q3447" s="18">
        <v>1.875</v>
      </c>
      <c r="R3447" s="15" t="s">
        <v>70</v>
      </c>
      <c r="S3447" s="19">
        <f t="shared" si="1"/>
        <v>0</v>
      </c>
      <c r="T3447" s="19">
        <f t="shared" si="8"/>
        <v>111.4228278</v>
      </c>
      <c r="U3447" s="144"/>
    </row>
    <row r="3448">
      <c r="A3448" s="107"/>
      <c r="B3448" s="8" t="s">
        <v>35</v>
      </c>
      <c r="C3448" s="8" t="s">
        <v>19</v>
      </c>
      <c r="D3448" s="8">
        <v>59.0</v>
      </c>
      <c r="E3448" s="8" t="s">
        <v>1978</v>
      </c>
      <c r="F3448" s="8" t="s">
        <v>1479</v>
      </c>
      <c r="G3448" s="8" t="s">
        <v>1480</v>
      </c>
      <c r="H3448" s="8">
        <v>0.0</v>
      </c>
      <c r="I3448" s="8" t="s">
        <v>164</v>
      </c>
      <c r="J3448" s="8" t="s">
        <v>22</v>
      </c>
      <c r="K3448" s="8" t="s">
        <v>892</v>
      </c>
      <c r="L3448" s="8" t="s">
        <v>39</v>
      </c>
      <c r="M3448" s="9">
        <v>0.0</v>
      </c>
      <c r="N3448" s="9">
        <v>0.2</v>
      </c>
      <c r="O3448" s="9">
        <v>0.2</v>
      </c>
      <c r="P3448" s="10">
        <v>45554.0</v>
      </c>
      <c r="Q3448" s="11">
        <v>1.925</v>
      </c>
      <c r="R3448" s="8" t="s">
        <v>25</v>
      </c>
      <c r="S3448" s="12">
        <f t="shared" si="1"/>
        <v>-0.2</v>
      </c>
      <c r="T3448" s="12">
        <f t="shared" si="8"/>
        <v>111.2228278</v>
      </c>
      <c r="U3448" s="145"/>
    </row>
    <row r="3449">
      <c r="A3449" s="29"/>
      <c r="B3449" s="15" t="s">
        <v>35</v>
      </c>
      <c r="C3449" s="15" t="s">
        <v>19</v>
      </c>
      <c r="D3449" s="15">
        <v>60.0</v>
      </c>
      <c r="E3449" s="15" t="s">
        <v>1979</v>
      </c>
      <c r="F3449" s="15" t="s">
        <v>1473</v>
      </c>
      <c r="G3449" s="15" t="s">
        <v>1480</v>
      </c>
      <c r="H3449" s="15">
        <v>0.0</v>
      </c>
      <c r="I3449" s="15" t="s">
        <v>164</v>
      </c>
      <c r="J3449" s="15" t="s">
        <v>22</v>
      </c>
      <c r="K3449" s="15" t="s">
        <v>892</v>
      </c>
      <c r="L3449" s="15" t="s">
        <v>39</v>
      </c>
      <c r="M3449" s="16">
        <v>0.0</v>
      </c>
      <c r="N3449" s="16">
        <v>0.4</v>
      </c>
      <c r="O3449" s="16">
        <v>0.4</v>
      </c>
      <c r="P3449" s="17">
        <v>45554.0</v>
      </c>
      <c r="Q3449" s="18">
        <v>1.875</v>
      </c>
      <c r="R3449" s="15" t="s">
        <v>33</v>
      </c>
      <c r="S3449" s="19">
        <f t="shared" si="1"/>
        <v>0.35</v>
      </c>
      <c r="T3449" s="19">
        <f t="shared" si="8"/>
        <v>111.5728278</v>
      </c>
      <c r="U3449" s="144"/>
    </row>
    <row r="3450">
      <c r="A3450" s="107"/>
      <c r="B3450" s="8" t="s">
        <v>35</v>
      </c>
      <c r="C3450" s="8" t="s">
        <v>19</v>
      </c>
      <c r="D3450" s="8">
        <v>61.0</v>
      </c>
      <c r="E3450" s="8" t="s">
        <v>1980</v>
      </c>
      <c r="F3450" s="8" t="s">
        <v>1479</v>
      </c>
      <c r="G3450" s="8" t="s">
        <v>1480</v>
      </c>
      <c r="H3450" s="8">
        <v>-1.0</v>
      </c>
      <c r="I3450" s="8" t="s">
        <v>78</v>
      </c>
      <c r="J3450" s="8" t="s">
        <v>22</v>
      </c>
      <c r="K3450" s="8" t="s">
        <v>892</v>
      </c>
      <c r="L3450" s="8" t="s">
        <v>39</v>
      </c>
      <c r="M3450" s="9">
        <v>0.0</v>
      </c>
      <c r="N3450" s="9">
        <v>0.2</v>
      </c>
      <c r="O3450" s="9">
        <v>0.2</v>
      </c>
      <c r="P3450" s="10">
        <v>45554.0</v>
      </c>
      <c r="Q3450" s="11">
        <v>1.775</v>
      </c>
      <c r="R3450" s="8" t="s">
        <v>70</v>
      </c>
      <c r="S3450" s="12">
        <f t="shared" si="1"/>
        <v>0</v>
      </c>
      <c r="T3450" s="12">
        <f t="shared" si="8"/>
        <v>111.5728278</v>
      </c>
      <c r="U3450" s="145"/>
    </row>
    <row r="3451">
      <c r="A3451" s="29"/>
      <c r="B3451" s="15" t="s">
        <v>35</v>
      </c>
      <c r="C3451" s="15" t="s">
        <v>19</v>
      </c>
      <c r="D3451" s="15">
        <v>60.0</v>
      </c>
      <c r="E3451" s="15" t="s">
        <v>1981</v>
      </c>
      <c r="F3451" s="15" t="s">
        <v>1479</v>
      </c>
      <c r="G3451" s="15" t="s">
        <v>1480</v>
      </c>
      <c r="H3451" s="15">
        <v>-1.0</v>
      </c>
      <c r="I3451" s="15" t="s">
        <v>167</v>
      </c>
      <c r="J3451" s="15" t="s">
        <v>22</v>
      </c>
      <c r="K3451" s="15" t="s">
        <v>892</v>
      </c>
      <c r="L3451" s="15" t="s">
        <v>39</v>
      </c>
      <c r="M3451" s="16">
        <v>0.0</v>
      </c>
      <c r="N3451" s="16">
        <v>0.2</v>
      </c>
      <c r="O3451" s="16">
        <v>0.2</v>
      </c>
      <c r="P3451" s="17">
        <v>45554.0</v>
      </c>
      <c r="Q3451" s="18">
        <v>1.8</v>
      </c>
      <c r="R3451" s="15" t="s">
        <v>25</v>
      </c>
      <c r="S3451" s="19">
        <f t="shared" si="1"/>
        <v>-0.2</v>
      </c>
      <c r="T3451" s="19">
        <f t="shared" si="8"/>
        <v>111.3728278</v>
      </c>
      <c r="U3451" s="144"/>
    </row>
    <row r="3452">
      <c r="A3452" s="107"/>
      <c r="B3452" s="8" t="s">
        <v>26</v>
      </c>
      <c r="C3452" s="8" t="s">
        <v>19</v>
      </c>
      <c r="D3452" s="8">
        <v>32.0</v>
      </c>
      <c r="E3452" s="8" t="s">
        <v>1982</v>
      </c>
      <c r="F3452" s="8" t="s">
        <v>1473</v>
      </c>
      <c r="G3452" s="8" t="s">
        <v>1477</v>
      </c>
      <c r="H3452" s="8">
        <v>-1.0</v>
      </c>
      <c r="I3452" s="8" t="s">
        <v>616</v>
      </c>
      <c r="J3452" s="8" t="s">
        <v>22</v>
      </c>
      <c r="K3452" s="8" t="s">
        <v>894</v>
      </c>
      <c r="L3452" s="8" t="s">
        <v>24</v>
      </c>
      <c r="M3452" s="9">
        <v>-0.25</v>
      </c>
      <c r="N3452" s="9">
        <v>0.5</v>
      </c>
      <c r="O3452" s="9">
        <v>0.4952</v>
      </c>
      <c r="P3452" s="10">
        <v>45554.0</v>
      </c>
      <c r="Q3452" s="11">
        <v>2.0</v>
      </c>
      <c r="R3452" s="8" t="s">
        <v>25</v>
      </c>
      <c r="S3452" s="12">
        <f t="shared" si="1"/>
        <v>-0.4952</v>
      </c>
      <c r="T3452" s="12">
        <f t="shared" si="8"/>
        <v>110.8776278</v>
      </c>
      <c r="U3452" s="145"/>
    </row>
    <row r="3453">
      <c r="A3453" s="29"/>
      <c r="B3453" s="15" t="s">
        <v>35</v>
      </c>
      <c r="C3453" s="15" t="s">
        <v>19</v>
      </c>
      <c r="D3453" s="15">
        <v>68.0</v>
      </c>
      <c r="E3453" s="15" t="s">
        <v>1983</v>
      </c>
      <c r="F3453" s="15" t="s">
        <v>1473</v>
      </c>
      <c r="G3453" s="15" t="s">
        <v>1480</v>
      </c>
      <c r="H3453" s="15">
        <v>0.0</v>
      </c>
      <c r="I3453" s="15" t="s">
        <v>423</v>
      </c>
      <c r="J3453" s="15" t="s">
        <v>22</v>
      </c>
      <c r="K3453" s="15" t="s">
        <v>892</v>
      </c>
      <c r="L3453" s="15" t="s">
        <v>24</v>
      </c>
      <c r="M3453" s="16">
        <v>0.0</v>
      </c>
      <c r="N3453" s="16">
        <v>0.4</v>
      </c>
      <c r="O3453" s="16">
        <v>0.1962</v>
      </c>
      <c r="P3453" s="17">
        <v>45554.0</v>
      </c>
      <c r="Q3453" s="18">
        <v>2.15</v>
      </c>
      <c r="R3453" s="15" t="s">
        <v>70</v>
      </c>
      <c r="S3453" s="19">
        <f t="shared" si="1"/>
        <v>0</v>
      </c>
      <c r="T3453" s="19">
        <f t="shared" si="8"/>
        <v>110.8776278</v>
      </c>
      <c r="U3453" s="144"/>
    </row>
    <row r="3454">
      <c r="A3454" s="107"/>
      <c r="B3454" s="8" t="s">
        <v>35</v>
      </c>
      <c r="C3454" s="8" t="s">
        <v>19</v>
      </c>
      <c r="D3454" s="8">
        <v>78.0</v>
      </c>
      <c r="E3454" s="8" t="s">
        <v>1984</v>
      </c>
      <c r="F3454" s="8" t="s">
        <v>1473</v>
      </c>
      <c r="G3454" s="8" t="s">
        <v>1480</v>
      </c>
      <c r="H3454" s="8">
        <v>-2.0</v>
      </c>
      <c r="I3454" s="8" t="s">
        <v>423</v>
      </c>
      <c r="J3454" s="8" t="s">
        <v>22</v>
      </c>
      <c r="K3454" s="8" t="s">
        <v>892</v>
      </c>
      <c r="L3454" s="8" t="s">
        <v>39</v>
      </c>
      <c r="M3454" s="9">
        <v>0.0</v>
      </c>
      <c r="N3454" s="9">
        <v>0.2</v>
      </c>
      <c r="O3454" s="9">
        <v>0.2</v>
      </c>
      <c r="P3454" s="10">
        <v>45554.0</v>
      </c>
      <c r="Q3454" s="11">
        <v>2.025</v>
      </c>
      <c r="R3454" s="8" t="s">
        <v>33</v>
      </c>
      <c r="S3454" s="12">
        <f t="shared" si="1"/>
        <v>0.205</v>
      </c>
      <c r="T3454" s="12">
        <f t="shared" si="8"/>
        <v>111.0826278</v>
      </c>
      <c r="U3454" s="145"/>
    </row>
    <row r="3455">
      <c r="A3455" s="29"/>
      <c r="B3455" s="15" t="s">
        <v>35</v>
      </c>
      <c r="C3455" s="15" t="s">
        <v>19</v>
      </c>
      <c r="D3455" s="15">
        <v>60.0</v>
      </c>
      <c r="E3455" s="15" t="s">
        <v>1985</v>
      </c>
      <c r="F3455" s="15" t="s">
        <v>1473</v>
      </c>
      <c r="G3455" s="15" t="s">
        <v>1480</v>
      </c>
      <c r="H3455" s="15">
        <v>2.0</v>
      </c>
      <c r="I3455" s="15" t="s">
        <v>1961</v>
      </c>
      <c r="J3455" s="15" t="s">
        <v>22</v>
      </c>
      <c r="K3455" s="15" t="s">
        <v>892</v>
      </c>
      <c r="L3455" s="15" t="s">
        <v>39</v>
      </c>
      <c r="M3455" s="16">
        <v>0.0</v>
      </c>
      <c r="N3455" s="16">
        <v>0.2</v>
      </c>
      <c r="O3455" s="16">
        <v>0.2</v>
      </c>
      <c r="P3455" s="17">
        <v>45554.0</v>
      </c>
      <c r="Q3455" s="18">
        <v>1.875</v>
      </c>
      <c r="R3455" s="15" t="s">
        <v>25</v>
      </c>
      <c r="S3455" s="19">
        <f t="shared" si="1"/>
        <v>-0.2</v>
      </c>
      <c r="T3455" s="19">
        <f t="shared" si="8"/>
        <v>110.8826278</v>
      </c>
      <c r="U3455" s="144"/>
    </row>
    <row r="3456">
      <c r="A3456" s="107"/>
      <c r="B3456" s="8" t="s">
        <v>35</v>
      </c>
      <c r="C3456" s="8" t="s">
        <v>19</v>
      </c>
      <c r="D3456" s="8">
        <v>60.0</v>
      </c>
      <c r="E3456" s="8" t="s">
        <v>1986</v>
      </c>
      <c r="F3456" s="8" t="s">
        <v>1479</v>
      </c>
      <c r="G3456" s="8" t="s">
        <v>1480</v>
      </c>
      <c r="H3456" s="8">
        <v>1.0</v>
      </c>
      <c r="I3456" s="8" t="s">
        <v>940</v>
      </c>
      <c r="J3456" s="8" t="s">
        <v>22</v>
      </c>
      <c r="K3456" s="8" t="s">
        <v>892</v>
      </c>
      <c r="L3456" s="8" t="s">
        <v>39</v>
      </c>
      <c r="M3456" s="9">
        <v>0.25</v>
      </c>
      <c r="N3456" s="9">
        <v>0.2</v>
      </c>
      <c r="O3456" s="9">
        <v>0.1925</v>
      </c>
      <c r="P3456" s="10">
        <v>45554.0</v>
      </c>
      <c r="Q3456" s="11">
        <v>1.775</v>
      </c>
      <c r="R3456" s="8" t="s">
        <v>30</v>
      </c>
      <c r="S3456" s="12">
        <f t="shared" si="1"/>
        <v>0.07459375</v>
      </c>
      <c r="T3456" s="12">
        <f t="shared" si="8"/>
        <v>110.9572216</v>
      </c>
      <c r="U3456" s="145"/>
    </row>
    <row r="3457">
      <c r="A3457" s="29"/>
      <c r="B3457" s="15" t="s">
        <v>35</v>
      </c>
      <c r="C3457" s="15" t="s">
        <v>19</v>
      </c>
      <c r="D3457" s="15">
        <v>60.0</v>
      </c>
      <c r="E3457" s="15" t="s">
        <v>1987</v>
      </c>
      <c r="F3457" s="15" t="s">
        <v>1479</v>
      </c>
      <c r="G3457" s="15" t="s">
        <v>1480</v>
      </c>
      <c r="H3457" s="15">
        <v>0.0</v>
      </c>
      <c r="I3457" s="15" t="s">
        <v>940</v>
      </c>
      <c r="J3457" s="15" t="s">
        <v>22</v>
      </c>
      <c r="K3457" s="15" t="s">
        <v>892</v>
      </c>
      <c r="L3457" s="15" t="s">
        <v>39</v>
      </c>
      <c r="M3457" s="16">
        <v>0.0</v>
      </c>
      <c r="N3457" s="16">
        <v>0.2</v>
      </c>
      <c r="O3457" s="16">
        <v>0.193</v>
      </c>
      <c r="P3457" s="17">
        <v>45554.0</v>
      </c>
      <c r="Q3457" s="18">
        <v>1.975</v>
      </c>
      <c r="R3457" s="15" t="s">
        <v>70</v>
      </c>
      <c r="S3457" s="19">
        <f t="shared" si="1"/>
        <v>0</v>
      </c>
      <c r="T3457" s="19">
        <f t="shared" si="8"/>
        <v>110.9572216</v>
      </c>
      <c r="U3457" s="144"/>
    </row>
    <row r="3458">
      <c r="A3458" s="107"/>
      <c r="B3458" s="8" t="s">
        <v>35</v>
      </c>
      <c r="C3458" s="8" t="s">
        <v>19</v>
      </c>
      <c r="D3458" s="8">
        <v>60.0</v>
      </c>
      <c r="E3458" s="8" t="s">
        <v>1988</v>
      </c>
      <c r="F3458" s="8" t="s">
        <v>1479</v>
      </c>
      <c r="G3458" s="8" t="s">
        <v>1480</v>
      </c>
      <c r="H3458" s="8">
        <v>0.0</v>
      </c>
      <c r="I3458" s="8" t="s">
        <v>78</v>
      </c>
      <c r="J3458" s="8" t="s">
        <v>22</v>
      </c>
      <c r="K3458" s="8" t="s">
        <v>892</v>
      </c>
      <c r="L3458" s="8" t="s">
        <v>39</v>
      </c>
      <c r="M3458" s="9">
        <v>0.0</v>
      </c>
      <c r="N3458" s="9">
        <v>0.2</v>
      </c>
      <c r="O3458" s="9">
        <v>0.2</v>
      </c>
      <c r="P3458" s="10">
        <v>45554.0</v>
      </c>
      <c r="Q3458" s="11">
        <v>1.7</v>
      </c>
      <c r="R3458" s="8" t="s">
        <v>33</v>
      </c>
      <c r="S3458" s="12">
        <f t="shared" si="1"/>
        <v>0.14</v>
      </c>
      <c r="T3458" s="12">
        <f t="shared" si="8"/>
        <v>111.0972216</v>
      </c>
      <c r="U3458" s="145"/>
    </row>
    <row r="3459">
      <c r="A3459" s="29"/>
      <c r="B3459" s="15" t="s">
        <v>135</v>
      </c>
      <c r="C3459" s="15" t="s">
        <v>19</v>
      </c>
      <c r="D3459" s="15">
        <v>0.0</v>
      </c>
      <c r="E3459" s="15" t="s">
        <v>1989</v>
      </c>
      <c r="F3459" s="15"/>
      <c r="G3459" s="15"/>
      <c r="H3459" s="15"/>
      <c r="I3459" s="15" t="s">
        <v>1031</v>
      </c>
      <c r="J3459" s="15" t="s">
        <v>22</v>
      </c>
      <c r="K3459" s="15" t="s">
        <v>29</v>
      </c>
      <c r="L3459" s="15" t="s">
        <v>24</v>
      </c>
      <c r="M3459" s="16">
        <v>-2.25</v>
      </c>
      <c r="N3459" s="16">
        <v>0.25</v>
      </c>
      <c r="O3459" s="16">
        <v>0.245</v>
      </c>
      <c r="P3459" s="55">
        <v>45555.0</v>
      </c>
      <c r="Q3459" s="18">
        <v>1.9</v>
      </c>
      <c r="R3459" s="15" t="s">
        <v>30</v>
      </c>
      <c r="S3459" s="19">
        <f t="shared" si="1"/>
        <v>0.11025</v>
      </c>
      <c r="T3459" s="19">
        <f t="shared" si="8"/>
        <v>111.2074716</v>
      </c>
      <c r="U3459" s="144"/>
    </row>
    <row r="3460">
      <c r="A3460" s="107"/>
      <c r="B3460" s="8" t="s">
        <v>35</v>
      </c>
      <c r="C3460" s="8" t="s">
        <v>19</v>
      </c>
      <c r="D3460" s="8">
        <v>60.0</v>
      </c>
      <c r="E3460" s="8" t="s">
        <v>1990</v>
      </c>
      <c r="F3460" s="8" t="s">
        <v>1473</v>
      </c>
      <c r="G3460" s="8" t="s">
        <v>1480</v>
      </c>
      <c r="H3460" s="8">
        <v>2.0</v>
      </c>
      <c r="I3460" s="8" t="s">
        <v>38</v>
      </c>
      <c r="J3460" s="8" t="s">
        <v>22</v>
      </c>
      <c r="K3460" s="8" t="s">
        <v>892</v>
      </c>
      <c r="L3460" s="8" t="s">
        <v>39</v>
      </c>
      <c r="M3460" s="9">
        <v>0.0</v>
      </c>
      <c r="N3460" s="9">
        <v>0.2</v>
      </c>
      <c r="O3460" s="9">
        <v>0.2</v>
      </c>
      <c r="P3460" s="10">
        <v>45555.0</v>
      </c>
      <c r="Q3460" s="11">
        <v>1.9</v>
      </c>
      <c r="R3460" s="8" t="s">
        <v>25</v>
      </c>
      <c r="S3460" s="12">
        <f t="shared" si="1"/>
        <v>-0.2</v>
      </c>
      <c r="T3460" s="12">
        <f t="shared" si="8"/>
        <v>111.0074716</v>
      </c>
      <c r="U3460" s="145"/>
    </row>
    <row r="3461">
      <c r="A3461" s="29"/>
      <c r="B3461" s="15" t="s">
        <v>35</v>
      </c>
      <c r="C3461" s="15" t="s">
        <v>19</v>
      </c>
      <c r="D3461" s="15">
        <v>60.0</v>
      </c>
      <c r="E3461" s="15" t="s">
        <v>1991</v>
      </c>
      <c r="F3461" s="15" t="s">
        <v>1473</v>
      </c>
      <c r="G3461" s="15" t="s">
        <v>1480</v>
      </c>
      <c r="H3461" s="15">
        <v>1.0</v>
      </c>
      <c r="I3461" s="15" t="s">
        <v>167</v>
      </c>
      <c r="J3461" s="15" t="s">
        <v>22</v>
      </c>
      <c r="K3461" s="15" t="s">
        <v>892</v>
      </c>
      <c r="L3461" s="15" t="s">
        <v>39</v>
      </c>
      <c r="M3461" s="16">
        <v>0.0</v>
      </c>
      <c r="N3461" s="16">
        <v>0.1</v>
      </c>
      <c r="O3461" s="16">
        <v>0.1</v>
      </c>
      <c r="P3461" s="17">
        <v>45555.0</v>
      </c>
      <c r="Q3461" s="18">
        <v>3.2</v>
      </c>
      <c r="R3461" s="15" t="s">
        <v>25</v>
      </c>
      <c r="S3461" s="19">
        <f t="shared" si="1"/>
        <v>-0.1</v>
      </c>
      <c r="T3461" s="19">
        <f t="shared" si="8"/>
        <v>110.9074716</v>
      </c>
      <c r="U3461" s="144"/>
    </row>
    <row r="3462">
      <c r="A3462" s="107"/>
      <c r="B3462" s="8" t="s">
        <v>35</v>
      </c>
      <c r="C3462" s="8" t="s">
        <v>19</v>
      </c>
      <c r="D3462" s="8">
        <v>61.0</v>
      </c>
      <c r="E3462" s="8" t="s">
        <v>1992</v>
      </c>
      <c r="F3462" s="8" t="s">
        <v>1473</v>
      </c>
      <c r="G3462" s="8" t="s">
        <v>1474</v>
      </c>
      <c r="H3462" s="8">
        <v>-1.0</v>
      </c>
      <c r="I3462" s="8" t="s">
        <v>167</v>
      </c>
      <c r="J3462" s="8" t="s">
        <v>22</v>
      </c>
      <c r="K3462" s="8" t="s">
        <v>225</v>
      </c>
      <c r="L3462" s="8" t="s">
        <v>39</v>
      </c>
      <c r="M3462" s="9">
        <v>0.5</v>
      </c>
      <c r="N3462" s="9">
        <v>0.2</v>
      </c>
      <c r="O3462" s="9">
        <v>0.2</v>
      </c>
      <c r="P3462" s="10">
        <v>45555.0</v>
      </c>
      <c r="Q3462" s="11">
        <v>1.825</v>
      </c>
      <c r="R3462" s="8" t="s">
        <v>33</v>
      </c>
      <c r="S3462" s="12">
        <f t="shared" si="1"/>
        <v>0.165</v>
      </c>
      <c r="T3462" s="12">
        <f t="shared" si="8"/>
        <v>111.0724716</v>
      </c>
      <c r="U3462" s="145"/>
    </row>
    <row r="3463">
      <c r="A3463" s="29"/>
      <c r="B3463" s="15" t="s">
        <v>35</v>
      </c>
      <c r="C3463" s="15" t="s">
        <v>19</v>
      </c>
      <c r="D3463" s="15">
        <v>62.0</v>
      </c>
      <c r="E3463" s="15" t="s">
        <v>1993</v>
      </c>
      <c r="F3463" s="15" t="s">
        <v>1473</v>
      </c>
      <c r="G3463" s="15" t="s">
        <v>1480</v>
      </c>
      <c r="H3463" s="15">
        <v>1.0</v>
      </c>
      <c r="I3463" s="15" t="s">
        <v>167</v>
      </c>
      <c r="J3463" s="15" t="s">
        <v>22</v>
      </c>
      <c r="K3463" s="15" t="s">
        <v>892</v>
      </c>
      <c r="L3463" s="15" t="s">
        <v>39</v>
      </c>
      <c r="M3463" s="16">
        <v>0.0</v>
      </c>
      <c r="N3463" s="16">
        <v>0.2</v>
      </c>
      <c r="O3463" s="16">
        <v>0.196</v>
      </c>
      <c r="P3463" s="17">
        <v>45555.0</v>
      </c>
      <c r="Q3463" s="18">
        <v>2.25</v>
      </c>
      <c r="R3463" s="15" t="s">
        <v>70</v>
      </c>
      <c r="S3463" s="19">
        <f t="shared" si="1"/>
        <v>0</v>
      </c>
      <c r="T3463" s="19">
        <f t="shared" si="8"/>
        <v>111.0724716</v>
      </c>
      <c r="U3463" s="144"/>
    </row>
    <row r="3464">
      <c r="A3464" s="107"/>
      <c r="B3464" s="8" t="s">
        <v>35</v>
      </c>
      <c r="C3464" s="8" t="s">
        <v>19</v>
      </c>
      <c r="D3464" s="8">
        <v>60.0</v>
      </c>
      <c r="E3464" s="8" t="s">
        <v>1994</v>
      </c>
      <c r="F3464" s="8" t="s">
        <v>1473</v>
      </c>
      <c r="G3464" s="8" t="s">
        <v>1474</v>
      </c>
      <c r="H3464" s="8">
        <v>-1.0</v>
      </c>
      <c r="I3464" s="8" t="s">
        <v>162</v>
      </c>
      <c r="J3464" s="8" t="s">
        <v>22</v>
      </c>
      <c r="K3464" s="8" t="s">
        <v>225</v>
      </c>
      <c r="L3464" s="8" t="s">
        <v>39</v>
      </c>
      <c r="M3464" s="9">
        <v>0.5</v>
      </c>
      <c r="N3464" s="9">
        <v>0.2</v>
      </c>
      <c r="O3464" s="9">
        <v>0.122</v>
      </c>
      <c r="P3464" s="10">
        <v>45555.0</v>
      </c>
      <c r="Q3464" s="11">
        <v>1.9</v>
      </c>
      <c r="R3464" s="8" t="s">
        <v>25</v>
      </c>
      <c r="S3464" s="12">
        <f t="shared" si="1"/>
        <v>-0.122</v>
      </c>
      <c r="T3464" s="12">
        <f t="shared" si="8"/>
        <v>110.9504716</v>
      </c>
      <c r="U3464" s="145"/>
    </row>
    <row r="3465">
      <c r="A3465" s="29"/>
      <c r="B3465" s="15" t="s">
        <v>135</v>
      </c>
      <c r="C3465" s="15" t="s">
        <v>19</v>
      </c>
      <c r="D3465" s="15">
        <v>0.0</v>
      </c>
      <c r="E3465" s="15" t="s">
        <v>1995</v>
      </c>
      <c r="F3465" s="15"/>
      <c r="G3465" s="15"/>
      <c r="H3465" s="15"/>
      <c r="I3465" s="15" t="s">
        <v>583</v>
      </c>
      <c r="J3465" s="15" t="s">
        <v>22</v>
      </c>
      <c r="K3465" s="15" t="s">
        <v>29</v>
      </c>
      <c r="L3465" s="15" t="s">
        <v>24</v>
      </c>
      <c r="M3465" s="16">
        <v>-3.25</v>
      </c>
      <c r="N3465" s="16">
        <v>0.25</v>
      </c>
      <c r="O3465" s="16">
        <v>0.241</v>
      </c>
      <c r="P3465" s="17">
        <v>45555.0</v>
      </c>
      <c r="Q3465" s="18">
        <v>1.9</v>
      </c>
      <c r="R3465" s="15" t="s">
        <v>33</v>
      </c>
      <c r="S3465" s="19">
        <f t="shared" si="1"/>
        <v>0.2169</v>
      </c>
      <c r="T3465" s="19">
        <f t="shared" si="8"/>
        <v>111.1673716</v>
      </c>
      <c r="U3465" s="144"/>
    </row>
    <row r="3466">
      <c r="A3466" s="107"/>
      <c r="B3466" s="8" t="s">
        <v>135</v>
      </c>
      <c r="C3466" s="8" t="s">
        <v>19</v>
      </c>
      <c r="D3466" s="8">
        <v>0.0</v>
      </c>
      <c r="E3466" s="8" t="s">
        <v>1996</v>
      </c>
      <c r="F3466" s="8"/>
      <c r="G3466" s="8"/>
      <c r="H3466" s="8"/>
      <c r="I3466" s="8" t="s">
        <v>583</v>
      </c>
      <c r="J3466" s="8" t="s">
        <v>22</v>
      </c>
      <c r="K3466" s="8" t="s">
        <v>29</v>
      </c>
      <c r="L3466" s="8" t="s">
        <v>24</v>
      </c>
      <c r="M3466" s="9">
        <v>-3.75</v>
      </c>
      <c r="N3466" s="9">
        <v>0.25</v>
      </c>
      <c r="O3466" s="9">
        <v>0.25</v>
      </c>
      <c r="P3466" s="10">
        <v>45555.0</v>
      </c>
      <c r="Q3466" s="11">
        <v>1.825</v>
      </c>
      <c r="R3466" s="8" t="s">
        <v>33</v>
      </c>
      <c r="S3466" s="12">
        <f t="shared" si="1"/>
        <v>0.20625</v>
      </c>
      <c r="T3466" s="12">
        <f t="shared" si="8"/>
        <v>111.3736216</v>
      </c>
      <c r="U3466" s="145"/>
    </row>
    <row r="3467">
      <c r="A3467" s="29"/>
      <c r="B3467" s="15" t="s">
        <v>135</v>
      </c>
      <c r="C3467" s="15" t="s">
        <v>19</v>
      </c>
      <c r="D3467" s="15">
        <v>0.0</v>
      </c>
      <c r="E3467" s="15" t="s">
        <v>1997</v>
      </c>
      <c r="F3467" s="15"/>
      <c r="G3467" s="15"/>
      <c r="H3467" s="15"/>
      <c r="I3467" s="15" t="s">
        <v>583</v>
      </c>
      <c r="J3467" s="15" t="s">
        <v>22</v>
      </c>
      <c r="K3467" s="15" t="s">
        <v>29</v>
      </c>
      <c r="L3467" s="15" t="s">
        <v>24</v>
      </c>
      <c r="M3467" s="16">
        <v>-3.25</v>
      </c>
      <c r="N3467" s="16">
        <v>0.25</v>
      </c>
      <c r="O3467" s="16">
        <v>0.25</v>
      </c>
      <c r="P3467" s="17">
        <v>45555.0</v>
      </c>
      <c r="Q3467" s="18">
        <v>1.95</v>
      </c>
      <c r="R3467" s="15" t="s">
        <v>30</v>
      </c>
      <c r="S3467" s="19">
        <f t="shared" si="1"/>
        <v>0.11875</v>
      </c>
      <c r="T3467" s="19">
        <f t="shared" si="8"/>
        <v>111.4923716</v>
      </c>
      <c r="U3467" s="144"/>
    </row>
    <row r="3468">
      <c r="A3468" s="107"/>
      <c r="B3468" s="8" t="s">
        <v>135</v>
      </c>
      <c r="C3468" s="8" t="s">
        <v>19</v>
      </c>
      <c r="D3468" s="8">
        <v>0.0</v>
      </c>
      <c r="E3468" s="8" t="s">
        <v>1998</v>
      </c>
      <c r="F3468" s="8"/>
      <c r="G3468" s="8"/>
      <c r="H3468" s="8"/>
      <c r="I3468" s="8" t="s">
        <v>583</v>
      </c>
      <c r="J3468" s="8" t="s">
        <v>22</v>
      </c>
      <c r="K3468" s="8" t="s">
        <v>29</v>
      </c>
      <c r="L3468" s="8" t="s">
        <v>24</v>
      </c>
      <c r="M3468" s="9">
        <v>-3.5</v>
      </c>
      <c r="N3468" s="9">
        <v>0.25</v>
      </c>
      <c r="O3468" s="9">
        <v>0.208</v>
      </c>
      <c r="P3468" s="10">
        <v>45555.0</v>
      </c>
      <c r="Q3468" s="11">
        <v>1.825</v>
      </c>
      <c r="R3468" s="8" t="s">
        <v>33</v>
      </c>
      <c r="S3468" s="12">
        <f t="shared" si="1"/>
        <v>0.1716</v>
      </c>
      <c r="T3468" s="12">
        <f t="shared" si="8"/>
        <v>111.6639716</v>
      </c>
      <c r="U3468" s="145"/>
    </row>
    <row r="3469">
      <c r="A3469" s="29"/>
      <c r="B3469" s="15" t="s">
        <v>35</v>
      </c>
      <c r="C3469" s="15" t="s">
        <v>19</v>
      </c>
      <c r="D3469" s="15">
        <v>60.0</v>
      </c>
      <c r="E3469" s="15" t="s">
        <v>1999</v>
      </c>
      <c r="F3469" s="15" t="s">
        <v>1473</v>
      </c>
      <c r="G3469" s="15" t="s">
        <v>1480</v>
      </c>
      <c r="H3469" s="15">
        <v>1.0</v>
      </c>
      <c r="I3469" s="15" t="s">
        <v>1031</v>
      </c>
      <c r="J3469" s="15" t="s">
        <v>22</v>
      </c>
      <c r="K3469" s="15" t="s">
        <v>892</v>
      </c>
      <c r="L3469" s="15" t="s">
        <v>24</v>
      </c>
      <c r="M3469" s="16">
        <v>0.0</v>
      </c>
      <c r="N3469" s="16">
        <v>0.15</v>
      </c>
      <c r="O3469" s="16">
        <v>0.144</v>
      </c>
      <c r="P3469" s="17">
        <v>45555.0</v>
      </c>
      <c r="Q3469" s="18">
        <v>2.48</v>
      </c>
      <c r="R3469" s="15" t="s">
        <v>70</v>
      </c>
      <c r="S3469" s="19">
        <f t="shared" si="1"/>
        <v>0</v>
      </c>
      <c r="T3469" s="19">
        <f t="shared" si="8"/>
        <v>111.6639716</v>
      </c>
      <c r="U3469" s="144"/>
    </row>
    <row r="3470">
      <c r="A3470" s="107"/>
      <c r="B3470" s="8" t="s">
        <v>35</v>
      </c>
      <c r="C3470" s="8" t="s">
        <v>19</v>
      </c>
      <c r="D3470" s="8">
        <v>60.0</v>
      </c>
      <c r="E3470" s="8" t="s">
        <v>2000</v>
      </c>
      <c r="F3470" s="8" t="s">
        <v>1473</v>
      </c>
      <c r="G3470" s="8" t="s">
        <v>1480</v>
      </c>
      <c r="H3470" s="8">
        <v>0.0</v>
      </c>
      <c r="I3470" s="8" t="s">
        <v>167</v>
      </c>
      <c r="J3470" s="8" t="s">
        <v>22</v>
      </c>
      <c r="K3470" s="8" t="s">
        <v>892</v>
      </c>
      <c r="L3470" s="8" t="s">
        <v>39</v>
      </c>
      <c r="M3470" s="9">
        <v>0.0</v>
      </c>
      <c r="N3470" s="9">
        <v>0.2</v>
      </c>
      <c r="O3470" s="9">
        <v>0.2</v>
      </c>
      <c r="P3470" s="10">
        <v>45555.0</v>
      </c>
      <c r="Q3470" s="11">
        <v>1.975</v>
      </c>
      <c r="R3470" s="8" t="s">
        <v>33</v>
      </c>
      <c r="S3470" s="12">
        <f t="shared" si="1"/>
        <v>0.195</v>
      </c>
      <c r="T3470" s="12">
        <f t="shared" si="8"/>
        <v>111.8589716</v>
      </c>
      <c r="U3470" s="145"/>
    </row>
    <row r="3471">
      <c r="A3471" s="29"/>
      <c r="B3471" s="15" t="s">
        <v>137</v>
      </c>
      <c r="C3471" s="15" t="s">
        <v>19</v>
      </c>
      <c r="D3471" s="15">
        <v>20.0</v>
      </c>
      <c r="E3471" s="15" t="s">
        <v>2001</v>
      </c>
      <c r="F3471" s="15" t="s">
        <v>1473</v>
      </c>
      <c r="G3471" s="15" t="s">
        <v>1474</v>
      </c>
      <c r="H3471" s="15">
        <v>0.0</v>
      </c>
      <c r="I3471" s="15" t="s">
        <v>583</v>
      </c>
      <c r="J3471" s="15" t="s">
        <v>22</v>
      </c>
      <c r="K3471" s="15" t="s">
        <v>225</v>
      </c>
      <c r="L3471" s="15" t="s">
        <v>24</v>
      </c>
      <c r="M3471" s="16">
        <v>0.25</v>
      </c>
      <c r="N3471" s="16">
        <v>0.25</v>
      </c>
      <c r="O3471" s="16">
        <v>0.093</v>
      </c>
      <c r="P3471" s="17">
        <v>45555.0</v>
      </c>
      <c r="Q3471" s="18">
        <v>1.9</v>
      </c>
      <c r="R3471" s="15" t="s">
        <v>33</v>
      </c>
      <c r="S3471" s="19">
        <f t="shared" si="1"/>
        <v>0.0837</v>
      </c>
      <c r="T3471" s="19">
        <f t="shared" si="8"/>
        <v>111.9426716</v>
      </c>
      <c r="U3471" s="144"/>
    </row>
    <row r="3472">
      <c r="A3472" s="107"/>
      <c r="B3472" s="8" t="s">
        <v>35</v>
      </c>
      <c r="C3472" s="8" t="s">
        <v>19</v>
      </c>
      <c r="D3472" s="8">
        <v>60.0</v>
      </c>
      <c r="E3472" s="8" t="s">
        <v>2002</v>
      </c>
      <c r="F3472" s="8" t="s">
        <v>1473</v>
      </c>
      <c r="G3472" s="8" t="s">
        <v>1474</v>
      </c>
      <c r="H3472" s="8">
        <v>-1.0</v>
      </c>
      <c r="I3472" s="8" t="s">
        <v>162</v>
      </c>
      <c r="J3472" s="8" t="s">
        <v>22</v>
      </c>
      <c r="K3472" s="8" t="s">
        <v>225</v>
      </c>
      <c r="L3472" s="8" t="s">
        <v>39</v>
      </c>
      <c r="M3472" s="9">
        <v>0.25</v>
      </c>
      <c r="N3472" s="9">
        <v>0.2</v>
      </c>
      <c r="O3472" s="9">
        <v>0.2</v>
      </c>
      <c r="P3472" s="10">
        <v>45555.0</v>
      </c>
      <c r="Q3472" s="11">
        <v>1.7</v>
      </c>
      <c r="R3472" s="8" t="s">
        <v>30</v>
      </c>
      <c r="S3472" s="12">
        <f t="shared" si="1"/>
        <v>0.07</v>
      </c>
      <c r="T3472" s="12">
        <f t="shared" si="8"/>
        <v>112.0126716</v>
      </c>
      <c r="U3472" s="145"/>
    </row>
    <row r="3473">
      <c r="A3473" s="29"/>
      <c r="B3473" s="15" t="s">
        <v>35</v>
      </c>
      <c r="C3473" s="15" t="s">
        <v>19</v>
      </c>
      <c r="D3473" s="15">
        <v>60.0</v>
      </c>
      <c r="E3473" s="15" t="s">
        <v>2003</v>
      </c>
      <c r="F3473" s="15" t="s">
        <v>1479</v>
      </c>
      <c r="G3473" s="15" t="s">
        <v>1480</v>
      </c>
      <c r="H3473" s="15">
        <v>2.0</v>
      </c>
      <c r="I3473" s="15" t="s">
        <v>2004</v>
      </c>
      <c r="J3473" s="15" t="s">
        <v>22</v>
      </c>
      <c r="K3473" s="15" t="s">
        <v>892</v>
      </c>
      <c r="L3473" s="15" t="s">
        <v>39</v>
      </c>
      <c r="M3473" s="16">
        <v>0.0</v>
      </c>
      <c r="N3473" s="16">
        <v>0.2</v>
      </c>
      <c r="O3473" s="16">
        <v>0.2</v>
      </c>
      <c r="P3473" s="17">
        <v>45555.0</v>
      </c>
      <c r="Q3473" s="18">
        <v>2.05</v>
      </c>
      <c r="R3473" s="15" t="s">
        <v>70</v>
      </c>
      <c r="S3473" s="19">
        <f t="shared" si="1"/>
        <v>0</v>
      </c>
      <c r="T3473" s="19">
        <f t="shared" si="8"/>
        <v>112.0126716</v>
      </c>
      <c r="U3473" s="144"/>
    </row>
    <row r="3474">
      <c r="A3474" s="107"/>
      <c r="B3474" s="8" t="s">
        <v>35</v>
      </c>
      <c r="C3474" s="8" t="s">
        <v>19</v>
      </c>
      <c r="D3474" s="8">
        <v>55.0</v>
      </c>
      <c r="E3474" s="8" t="s">
        <v>2005</v>
      </c>
      <c r="F3474" s="8" t="s">
        <v>1473</v>
      </c>
      <c r="G3474" s="8" t="s">
        <v>1474</v>
      </c>
      <c r="H3474" s="8">
        <v>0.0</v>
      </c>
      <c r="I3474" s="8" t="s">
        <v>101</v>
      </c>
      <c r="J3474" s="8" t="s">
        <v>22</v>
      </c>
      <c r="K3474" s="8" t="s">
        <v>225</v>
      </c>
      <c r="L3474" s="8" t="s">
        <v>39</v>
      </c>
      <c r="M3474" s="9">
        <v>0.25</v>
      </c>
      <c r="N3474" s="9">
        <v>0.15</v>
      </c>
      <c r="O3474" s="9">
        <v>0.15</v>
      </c>
      <c r="P3474" s="10">
        <v>45555.0</v>
      </c>
      <c r="Q3474" s="11">
        <v>1.875</v>
      </c>
      <c r="R3474" s="8" t="s">
        <v>25</v>
      </c>
      <c r="S3474" s="12">
        <f t="shared" si="1"/>
        <v>-0.15</v>
      </c>
      <c r="T3474" s="12">
        <f t="shared" si="8"/>
        <v>111.8626716</v>
      </c>
      <c r="U3474" s="145"/>
    </row>
    <row r="3475">
      <c r="A3475" s="29"/>
      <c r="B3475" s="15" t="s">
        <v>35</v>
      </c>
      <c r="C3475" s="15" t="s">
        <v>19</v>
      </c>
      <c r="D3475" s="15">
        <v>60.0</v>
      </c>
      <c r="E3475" s="15" t="s">
        <v>2006</v>
      </c>
      <c r="F3475" s="15" t="s">
        <v>1479</v>
      </c>
      <c r="G3475" s="15" t="s">
        <v>1474</v>
      </c>
      <c r="H3475" s="15">
        <v>0.0</v>
      </c>
      <c r="I3475" s="15" t="s">
        <v>316</v>
      </c>
      <c r="J3475" s="15" t="s">
        <v>22</v>
      </c>
      <c r="K3475" s="15" t="s">
        <v>225</v>
      </c>
      <c r="L3475" s="15" t="s">
        <v>39</v>
      </c>
      <c r="M3475" s="16">
        <v>0.25</v>
      </c>
      <c r="N3475" s="16">
        <v>0.15</v>
      </c>
      <c r="O3475" s="16">
        <v>0.144</v>
      </c>
      <c r="P3475" s="17">
        <v>45555.0</v>
      </c>
      <c r="Q3475" s="18">
        <v>1.9</v>
      </c>
      <c r="R3475" s="15" t="s">
        <v>25</v>
      </c>
      <c r="S3475" s="19">
        <f t="shared" si="1"/>
        <v>-0.144</v>
      </c>
      <c r="T3475" s="19">
        <f t="shared" si="8"/>
        <v>111.7186716</v>
      </c>
      <c r="U3475" s="144"/>
    </row>
    <row r="3476">
      <c r="A3476" s="107"/>
      <c r="B3476" s="8" t="s">
        <v>35</v>
      </c>
      <c r="C3476" s="8" t="s">
        <v>19</v>
      </c>
      <c r="D3476" s="8">
        <v>55.0</v>
      </c>
      <c r="E3476" s="8" t="s">
        <v>2007</v>
      </c>
      <c r="F3476" s="8" t="s">
        <v>1479</v>
      </c>
      <c r="G3476" s="8" t="s">
        <v>1480</v>
      </c>
      <c r="H3476" s="8">
        <v>0.0</v>
      </c>
      <c r="I3476" s="8" t="s">
        <v>316</v>
      </c>
      <c r="J3476" s="8" t="s">
        <v>22</v>
      </c>
      <c r="K3476" s="8" t="s">
        <v>892</v>
      </c>
      <c r="L3476" s="8" t="s">
        <v>39</v>
      </c>
      <c r="M3476" s="9">
        <v>0.0</v>
      </c>
      <c r="N3476" s="9">
        <v>0.15</v>
      </c>
      <c r="O3476" s="9">
        <v>0.14</v>
      </c>
      <c r="P3476" s="10">
        <v>45555.0</v>
      </c>
      <c r="Q3476" s="11">
        <v>2.025</v>
      </c>
      <c r="R3476" s="8" t="s">
        <v>25</v>
      </c>
      <c r="S3476" s="12">
        <f t="shared" si="1"/>
        <v>-0.14</v>
      </c>
      <c r="T3476" s="12">
        <f t="shared" si="8"/>
        <v>111.5786716</v>
      </c>
      <c r="U3476" s="145"/>
    </row>
    <row r="3477">
      <c r="A3477" s="29"/>
      <c r="B3477" s="15" t="s">
        <v>35</v>
      </c>
      <c r="C3477" s="15" t="s">
        <v>19</v>
      </c>
      <c r="D3477" s="15">
        <v>60.0</v>
      </c>
      <c r="E3477" s="15" t="s">
        <v>2008</v>
      </c>
      <c r="F3477" s="15" t="s">
        <v>1479</v>
      </c>
      <c r="G3477" s="15" t="s">
        <v>1474</v>
      </c>
      <c r="H3477" s="15">
        <v>-1.0</v>
      </c>
      <c r="I3477" s="15" t="s">
        <v>316</v>
      </c>
      <c r="J3477" s="15" t="s">
        <v>22</v>
      </c>
      <c r="K3477" s="15" t="s">
        <v>892</v>
      </c>
      <c r="L3477" s="15" t="s">
        <v>39</v>
      </c>
      <c r="M3477" s="16">
        <v>0.0</v>
      </c>
      <c r="N3477" s="16">
        <v>0.15</v>
      </c>
      <c r="O3477" s="16">
        <f>2/54*0.25</f>
        <v>0.009259259259</v>
      </c>
      <c r="P3477" s="17">
        <v>45555.0</v>
      </c>
      <c r="Q3477" s="18">
        <v>1.7</v>
      </c>
      <c r="R3477" s="15" t="s">
        <v>30</v>
      </c>
      <c r="S3477" s="19">
        <f t="shared" si="1"/>
        <v>0.003240740741</v>
      </c>
      <c r="T3477" s="19">
        <f t="shared" si="8"/>
        <v>111.5819123</v>
      </c>
      <c r="U3477" s="144"/>
    </row>
    <row r="3478">
      <c r="A3478" s="107"/>
      <c r="B3478" s="8" t="s">
        <v>35</v>
      </c>
      <c r="C3478" s="8" t="s">
        <v>19</v>
      </c>
      <c r="D3478" s="8">
        <v>61.0</v>
      </c>
      <c r="E3478" s="8" t="s">
        <v>2009</v>
      </c>
      <c r="F3478" s="8" t="s">
        <v>1473</v>
      </c>
      <c r="G3478" s="8" t="s">
        <v>1480</v>
      </c>
      <c r="H3478" s="8">
        <v>2.0</v>
      </c>
      <c r="I3478" s="8" t="s">
        <v>513</v>
      </c>
      <c r="J3478" s="8" t="s">
        <v>22</v>
      </c>
      <c r="K3478" s="8" t="s">
        <v>892</v>
      </c>
      <c r="L3478" s="8" t="s">
        <v>39</v>
      </c>
      <c r="M3478" s="9">
        <v>0.0</v>
      </c>
      <c r="N3478" s="9">
        <v>0.15</v>
      </c>
      <c r="O3478" s="9">
        <v>0.097</v>
      </c>
      <c r="P3478" s="54">
        <v>45555.0</v>
      </c>
      <c r="Q3478" s="11">
        <v>2.25</v>
      </c>
      <c r="R3478" s="8" t="s">
        <v>33</v>
      </c>
      <c r="S3478" s="12">
        <f t="shared" si="1"/>
        <v>0.12125</v>
      </c>
      <c r="T3478" s="12">
        <f t="shared" si="8"/>
        <v>111.7031623</v>
      </c>
      <c r="U3478" s="145"/>
    </row>
    <row r="3479">
      <c r="A3479" s="29"/>
      <c r="B3479" s="15" t="s">
        <v>35</v>
      </c>
      <c r="C3479" s="15" t="s">
        <v>19</v>
      </c>
      <c r="D3479" s="15">
        <v>64.0</v>
      </c>
      <c r="E3479" s="15" t="s">
        <v>2010</v>
      </c>
      <c r="F3479" s="15" t="s">
        <v>1473</v>
      </c>
      <c r="G3479" s="15" t="s">
        <v>1474</v>
      </c>
      <c r="H3479" s="15">
        <v>0.0</v>
      </c>
      <c r="I3479" s="15" t="s">
        <v>1201</v>
      </c>
      <c r="J3479" s="15" t="s">
        <v>22</v>
      </c>
      <c r="K3479" s="15" t="s">
        <v>225</v>
      </c>
      <c r="L3479" s="15" t="s">
        <v>39</v>
      </c>
      <c r="M3479" s="16">
        <v>0.5</v>
      </c>
      <c r="N3479" s="16">
        <v>0.15</v>
      </c>
      <c r="O3479" s="16">
        <v>0.147</v>
      </c>
      <c r="P3479" s="17">
        <v>45555.0</v>
      </c>
      <c r="Q3479" s="18">
        <v>1.8</v>
      </c>
      <c r="R3479" s="15" t="s">
        <v>33</v>
      </c>
      <c r="S3479" s="19">
        <f t="shared" si="1"/>
        <v>0.1176</v>
      </c>
      <c r="T3479" s="19">
        <f t="shared" si="8"/>
        <v>111.8207623</v>
      </c>
      <c r="U3479" s="144"/>
    </row>
    <row r="3480">
      <c r="A3480" s="107"/>
      <c r="B3480" s="8" t="s">
        <v>35</v>
      </c>
      <c r="C3480" s="8" t="s">
        <v>19</v>
      </c>
      <c r="D3480" s="8">
        <v>59.0</v>
      </c>
      <c r="E3480" s="8" t="s">
        <v>2011</v>
      </c>
      <c r="F3480" s="8" t="s">
        <v>1479</v>
      </c>
      <c r="G3480" s="8" t="s">
        <v>1480</v>
      </c>
      <c r="H3480" s="8">
        <v>0.0</v>
      </c>
      <c r="I3480" s="8" t="s">
        <v>2004</v>
      </c>
      <c r="J3480" s="8" t="s">
        <v>22</v>
      </c>
      <c r="K3480" s="8" t="s">
        <v>892</v>
      </c>
      <c r="L3480" s="8" t="s">
        <v>39</v>
      </c>
      <c r="M3480" s="9">
        <v>0.0</v>
      </c>
      <c r="N3480" s="9">
        <v>0.15</v>
      </c>
      <c r="O3480" s="9">
        <v>0.15</v>
      </c>
      <c r="P3480" s="10">
        <v>45555.0</v>
      </c>
      <c r="Q3480" s="11">
        <v>1.975</v>
      </c>
      <c r="R3480" s="8" t="s">
        <v>25</v>
      </c>
      <c r="S3480" s="12">
        <f t="shared" si="1"/>
        <v>-0.15</v>
      </c>
      <c r="T3480" s="12">
        <f t="shared" si="8"/>
        <v>111.6707623</v>
      </c>
      <c r="U3480" s="145"/>
    </row>
    <row r="3481">
      <c r="A3481" s="29"/>
      <c r="B3481" s="15" t="s">
        <v>35</v>
      </c>
      <c r="C3481" s="15" t="s">
        <v>19</v>
      </c>
      <c r="D3481" s="15">
        <v>61.0</v>
      </c>
      <c r="E3481" s="37" t="s">
        <v>2012</v>
      </c>
      <c r="F3481" s="15" t="s">
        <v>1473</v>
      </c>
      <c r="G3481" s="15" t="s">
        <v>1474</v>
      </c>
      <c r="H3481" s="15">
        <v>0.0</v>
      </c>
      <c r="I3481" s="15" t="s">
        <v>245</v>
      </c>
      <c r="J3481" s="15" t="s">
        <v>22</v>
      </c>
      <c r="K3481" s="15" t="s">
        <v>225</v>
      </c>
      <c r="L3481" s="15" t="s">
        <v>39</v>
      </c>
      <c r="M3481" s="16">
        <v>0.25</v>
      </c>
      <c r="N3481" s="16">
        <v>0.15</v>
      </c>
      <c r="O3481" s="16">
        <v>0.15</v>
      </c>
      <c r="P3481" s="17">
        <v>45555.0</v>
      </c>
      <c r="Q3481" s="18">
        <v>1.775</v>
      </c>
      <c r="R3481" s="15" t="s">
        <v>25</v>
      </c>
      <c r="S3481" s="19">
        <f t="shared" si="1"/>
        <v>-0.15</v>
      </c>
      <c r="T3481" s="19">
        <f t="shared" si="8"/>
        <v>111.5207623</v>
      </c>
      <c r="U3481" s="144"/>
    </row>
    <row r="3482">
      <c r="A3482" s="107"/>
      <c r="B3482" s="8" t="s">
        <v>35</v>
      </c>
      <c r="C3482" s="8" t="s">
        <v>19</v>
      </c>
      <c r="D3482" s="8">
        <v>59.0</v>
      </c>
      <c r="E3482" s="47" t="s">
        <v>2013</v>
      </c>
      <c r="F3482" s="8" t="s">
        <v>1473</v>
      </c>
      <c r="G3482" s="8" t="s">
        <v>1474</v>
      </c>
      <c r="H3482" s="8">
        <v>-1.0</v>
      </c>
      <c r="I3482" s="8" t="s">
        <v>162</v>
      </c>
      <c r="J3482" s="8" t="s">
        <v>22</v>
      </c>
      <c r="K3482" s="8" t="s">
        <v>225</v>
      </c>
      <c r="L3482" s="8" t="s">
        <v>39</v>
      </c>
      <c r="M3482" s="9">
        <v>0.25</v>
      </c>
      <c r="N3482" s="9">
        <v>0.15</v>
      </c>
      <c r="O3482" s="9">
        <v>0.15</v>
      </c>
      <c r="P3482" s="10">
        <v>45555.0</v>
      </c>
      <c r="Q3482" s="11">
        <v>1.825</v>
      </c>
      <c r="R3482" s="8" t="s">
        <v>25</v>
      </c>
      <c r="S3482" s="12">
        <f t="shared" si="1"/>
        <v>-0.15</v>
      </c>
      <c r="T3482" s="12">
        <f t="shared" si="8"/>
        <v>111.3707623</v>
      </c>
      <c r="U3482" s="145"/>
    </row>
    <row r="3483">
      <c r="A3483" s="29"/>
      <c r="B3483" s="15" t="s">
        <v>35</v>
      </c>
      <c r="C3483" s="15" t="s">
        <v>19</v>
      </c>
      <c r="D3483" s="15">
        <v>59.0</v>
      </c>
      <c r="E3483" s="42" t="s">
        <v>2014</v>
      </c>
      <c r="F3483" s="15" t="s">
        <v>1479</v>
      </c>
      <c r="G3483" s="15" t="s">
        <v>1474</v>
      </c>
      <c r="H3483" s="15">
        <v>1.0</v>
      </c>
      <c r="I3483" s="15" t="s">
        <v>78</v>
      </c>
      <c r="J3483" s="15" t="s">
        <v>22</v>
      </c>
      <c r="K3483" s="15" t="s">
        <v>225</v>
      </c>
      <c r="L3483" s="15" t="s">
        <v>39</v>
      </c>
      <c r="M3483" s="16">
        <v>0.25</v>
      </c>
      <c r="N3483" s="16">
        <v>0.15</v>
      </c>
      <c r="O3483" s="16">
        <v>0.15</v>
      </c>
      <c r="P3483" s="17">
        <v>45555.0</v>
      </c>
      <c r="Q3483" s="18">
        <v>1.675</v>
      </c>
      <c r="R3483" s="15" t="s">
        <v>33</v>
      </c>
      <c r="S3483" s="19">
        <f t="shared" si="1"/>
        <v>0.10125</v>
      </c>
      <c r="T3483" s="19">
        <f t="shared" si="8"/>
        <v>111.4720123</v>
      </c>
      <c r="U3483" s="144"/>
    </row>
    <row r="3484">
      <c r="A3484" s="107"/>
      <c r="B3484" s="8" t="s">
        <v>26</v>
      </c>
      <c r="C3484" s="8" t="s">
        <v>19</v>
      </c>
      <c r="D3484" s="8">
        <v>81.0</v>
      </c>
      <c r="E3484" s="8" t="s">
        <v>2015</v>
      </c>
      <c r="F3484" s="8" t="s">
        <v>1479</v>
      </c>
      <c r="G3484" s="8" t="s">
        <v>1480</v>
      </c>
      <c r="H3484" s="8">
        <v>-1.0</v>
      </c>
      <c r="I3484" s="8" t="s">
        <v>101</v>
      </c>
      <c r="J3484" s="8" t="s">
        <v>22</v>
      </c>
      <c r="K3484" s="8" t="s">
        <v>892</v>
      </c>
      <c r="L3484" s="8" t="s">
        <v>24</v>
      </c>
      <c r="M3484" s="9">
        <v>0.0</v>
      </c>
      <c r="N3484" s="9">
        <v>0.5</v>
      </c>
      <c r="O3484" s="9">
        <v>0.491</v>
      </c>
      <c r="P3484" s="10">
        <v>45555.0</v>
      </c>
      <c r="Q3484" s="11">
        <v>1.7</v>
      </c>
      <c r="R3484" s="8" t="s">
        <v>70</v>
      </c>
      <c r="S3484" s="12">
        <f t="shared" si="1"/>
        <v>0</v>
      </c>
      <c r="T3484" s="12">
        <f t="shared" si="8"/>
        <v>111.4720123</v>
      </c>
      <c r="U3484" s="145"/>
    </row>
    <row r="3485">
      <c r="A3485" s="29"/>
      <c r="B3485" s="15" t="s">
        <v>35</v>
      </c>
      <c r="C3485" s="15" t="s">
        <v>19</v>
      </c>
      <c r="D3485" s="15">
        <v>58.0</v>
      </c>
      <c r="E3485" s="15" t="s">
        <v>2016</v>
      </c>
      <c r="F3485" s="15" t="s">
        <v>1479</v>
      </c>
      <c r="G3485" s="15" t="s">
        <v>1480</v>
      </c>
      <c r="H3485" s="15">
        <v>1.0</v>
      </c>
      <c r="I3485" s="15" t="s">
        <v>908</v>
      </c>
      <c r="J3485" s="15" t="s">
        <v>22</v>
      </c>
      <c r="K3485" s="15" t="s">
        <v>892</v>
      </c>
      <c r="L3485" s="15" t="s">
        <v>39</v>
      </c>
      <c r="M3485" s="16">
        <v>0.0</v>
      </c>
      <c r="N3485" s="16">
        <v>0.3</v>
      </c>
      <c r="O3485" s="16">
        <v>0.1472</v>
      </c>
      <c r="P3485" s="17">
        <v>45555.0</v>
      </c>
      <c r="Q3485" s="18">
        <v>2.25</v>
      </c>
      <c r="R3485" s="15" t="s">
        <v>70</v>
      </c>
      <c r="S3485" s="19">
        <f t="shared" si="1"/>
        <v>0</v>
      </c>
      <c r="T3485" s="19">
        <f t="shared" si="8"/>
        <v>111.4720123</v>
      </c>
      <c r="U3485" s="144"/>
    </row>
    <row r="3486">
      <c r="A3486" s="107"/>
      <c r="B3486" s="8" t="s">
        <v>35</v>
      </c>
      <c r="C3486" s="8" t="s">
        <v>19</v>
      </c>
      <c r="D3486" s="8">
        <v>60.0</v>
      </c>
      <c r="E3486" s="8" t="s">
        <v>2017</v>
      </c>
      <c r="F3486" s="8" t="s">
        <v>1473</v>
      </c>
      <c r="G3486" s="8" t="s">
        <v>1474</v>
      </c>
      <c r="H3486" s="8">
        <v>2.0</v>
      </c>
      <c r="I3486" s="8" t="s">
        <v>121</v>
      </c>
      <c r="J3486" s="8" t="s">
        <v>22</v>
      </c>
      <c r="K3486" s="8" t="s">
        <v>225</v>
      </c>
      <c r="L3486" s="8" t="s">
        <v>39</v>
      </c>
      <c r="M3486" s="9">
        <v>0.25</v>
      </c>
      <c r="N3486" s="9">
        <v>0.15</v>
      </c>
      <c r="O3486" s="9">
        <v>0.15</v>
      </c>
      <c r="P3486" s="10">
        <v>45555.0</v>
      </c>
      <c r="Q3486" s="11">
        <v>1.86</v>
      </c>
      <c r="R3486" s="8" t="s">
        <v>30</v>
      </c>
      <c r="S3486" s="12">
        <f t="shared" si="1"/>
        <v>0.0645</v>
      </c>
      <c r="T3486" s="12">
        <f t="shared" si="8"/>
        <v>111.5365123</v>
      </c>
      <c r="U3486" s="145"/>
    </row>
    <row r="3487">
      <c r="A3487" s="29"/>
      <c r="B3487" s="15" t="s">
        <v>35</v>
      </c>
      <c r="C3487" s="15" t="s">
        <v>19</v>
      </c>
      <c r="D3487" s="15">
        <v>60.0</v>
      </c>
      <c r="E3487" s="15" t="s">
        <v>2018</v>
      </c>
      <c r="F3487" s="15" t="s">
        <v>1473</v>
      </c>
      <c r="G3487" s="15" t="s">
        <v>1474</v>
      </c>
      <c r="H3487" s="15">
        <v>-1.0</v>
      </c>
      <c r="I3487" s="15" t="s">
        <v>231</v>
      </c>
      <c r="J3487" s="15" t="s">
        <v>22</v>
      </c>
      <c r="K3487" s="15" t="s">
        <v>225</v>
      </c>
      <c r="L3487" s="15" t="s">
        <v>39</v>
      </c>
      <c r="M3487" s="16">
        <v>0.25</v>
      </c>
      <c r="N3487" s="16">
        <v>0.15</v>
      </c>
      <c r="O3487" s="16">
        <v>0.15</v>
      </c>
      <c r="P3487" s="17">
        <v>45555.0</v>
      </c>
      <c r="Q3487" s="18">
        <v>2.08</v>
      </c>
      <c r="R3487" s="15" t="s">
        <v>25</v>
      </c>
      <c r="S3487" s="19">
        <f t="shared" si="1"/>
        <v>-0.15</v>
      </c>
      <c r="T3487" s="19">
        <f t="shared" si="8"/>
        <v>111.3865123</v>
      </c>
      <c r="U3487" s="144"/>
    </row>
    <row r="3488">
      <c r="A3488" s="107"/>
      <c r="B3488" s="8" t="s">
        <v>35</v>
      </c>
      <c r="C3488" s="8" t="s">
        <v>19</v>
      </c>
      <c r="D3488" s="8">
        <v>60.0</v>
      </c>
      <c r="E3488" s="8" t="s">
        <v>2019</v>
      </c>
      <c r="F3488" s="8" t="s">
        <v>1473</v>
      </c>
      <c r="G3488" s="8" t="s">
        <v>1480</v>
      </c>
      <c r="H3488" s="8">
        <v>-1.0</v>
      </c>
      <c r="I3488" s="8" t="s">
        <v>581</v>
      </c>
      <c r="J3488" s="8" t="s">
        <v>22</v>
      </c>
      <c r="K3488" s="8" t="s">
        <v>892</v>
      </c>
      <c r="L3488" s="8" t="s">
        <v>39</v>
      </c>
      <c r="M3488" s="9">
        <v>0.0</v>
      </c>
      <c r="N3488" s="9">
        <v>0.15</v>
      </c>
      <c r="O3488" s="9">
        <v>0.15</v>
      </c>
      <c r="P3488" s="10">
        <v>45555.0</v>
      </c>
      <c r="Q3488" s="11">
        <v>2.15</v>
      </c>
      <c r="R3488" s="8" t="s">
        <v>70</v>
      </c>
      <c r="S3488" s="12">
        <f t="shared" si="1"/>
        <v>0</v>
      </c>
      <c r="T3488" s="12">
        <f t="shared" si="8"/>
        <v>111.3865123</v>
      </c>
      <c r="U3488" s="145"/>
    </row>
    <row r="3489">
      <c r="A3489" s="29"/>
      <c r="B3489" s="15" t="s">
        <v>35</v>
      </c>
      <c r="C3489" s="15" t="s">
        <v>19</v>
      </c>
      <c r="D3489" s="15">
        <v>59.0</v>
      </c>
      <c r="E3489" s="15" t="s">
        <v>2020</v>
      </c>
      <c r="F3489" s="15" t="s">
        <v>1473</v>
      </c>
      <c r="G3489" s="15" t="s">
        <v>1474</v>
      </c>
      <c r="H3489" s="15">
        <v>0.0</v>
      </c>
      <c r="I3489" s="15" t="s">
        <v>908</v>
      </c>
      <c r="J3489" s="15" t="s">
        <v>22</v>
      </c>
      <c r="K3489" s="15" t="s">
        <v>225</v>
      </c>
      <c r="L3489" s="15" t="s">
        <v>39</v>
      </c>
      <c r="M3489" s="16">
        <v>0.5</v>
      </c>
      <c r="N3489" s="16">
        <v>0.15</v>
      </c>
      <c r="O3489" s="16">
        <v>0.15</v>
      </c>
      <c r="P3489" s="17">
        <v>45555.0</v>
      </c>
      <c r="Q3489" s="18">
        <v>1.775</v>
      </c>
      <c r="R3489" s="15" t="s">
        <v>33</v>
      </c>
      <c r="S3489" s="19">
        <f t="shared" si="1"/>
        <v>0.11625</v>
      </c>
      <c r="T3489" s="19">
        <f t="shared" si="8"/>
        <v>111.5027623</v>
      </c>
      <c r="U3489" s="144"/>
    </row>
    <row r="3490">
      <c r="A3490" s="107"/>
      <c r="B3490" s="8" t="s">
        <v>26</v>
      </c>
      <c r="C3490" s="8" t="s">
        <v>19</v>
      </c>
      <c r="D3490" s="8">
        <v>62.0</v>
      </c>
      <c r="E3490" s="8" t="s">
        <v>2021</v>
      </c>
      <c r="F3490" s="8" t="s">
        <v>1479</v>
      </c>
      <c r="G3490" s="8" t="s">
        <v>1480</v>
      </c>
      <c r="H3490" s="8">
        <v>0.0</v>
      </c>
      <c r="I3490" s="8" t="s">
        <v>316</v>
      </c>
      <c r="J3490" s="8" t="s">
        <v>22</v>
      </c>
      <c r="K3490" s="8" t="s">
        <v>892</v>
      </c>
      <c r="L3490" s="8" t="s">
        <v>24</v>
      </c>
      <c r="M3490" s="9">
        <v>0.0</v>
      </c>
      <c r="N3490" s="9">
        <v>0.5</v>
      </c>
      <c r="O3490" s="9">
        <v>0.5</v>
      </c>
      <c r="P3490" s="10">
        <v>45555.0</v>
      </c>
      <c r="Q3490" s="11">
        <v>1.94</v>
      </c>
      <c r="R3490" s="8" t="s">
        <v>33</v>
      </c>
      <c r="S3490" s="12">
        <f t="shared" si="1"/>
        <v>0.47</v>
      </c>
      <c r="T3490" s="12">
        <f t="shared" si="8"/>
        <v>111.9727623</v>
      </c>
      <c r="U3490" s="145"/>
    </row>
    <row r="3491">
      <c r="A3491" s="29"/>
      <c r="B3491" s="15" t="s">
        <v>35</v>
      </c>
      <c r="C3491" s="15" t="s">
        <v>19</v>
      </c>
      <c r="D3491" s="15">
        <v>60.0</v>
      </c>
      <c r="E3491" s="15" t="s">
        <v>2022</v>
      </c>
      <c r="F3491" s="15" t="s">
        <v>1479</v>
      </c>
      <c r="G3491" s="15" t="s">
        <v>1474</v>
      </c>
      <c r="H3491" s="15">
        <v>0.0</v>
      </c>
      <c r="I3491" s="15" t="s">
        <v>316</v>
      </c>
      <c r="J3491" s="15" t="s">
        <v>22</v>
      </c>
      <c r="K3491" s="15" t="s">
        <v>225</v>
      </c>
      <c r="L3491" s="15" t="s">
        <v>39</v>
      </c>
      <c r="M3491" s="16">
        <v>0.25</v>
      </c>
      <c r="N3491" s="16">
        <v>0.15</v>
      </c>
      <c r="O3491" s="16">
        <v>0.15</v>
      </c>
      <c r="P3491" s="17">
        <v>45555.0</v>
      </c>
      <c r="Q3491" s="18">
        <v>1.825</v>
      </c>
      <c r="R3491" s="15" t="s">
        <v>30</v>
      </c>
      <c r="S3491" s="19">
        <f t="shared" si="1"/>
        <v>0.061875</v>
      </c>
      <c r="T3491" s="19">
        <f t="shared" si="8"/>
        <v>112.0346373</v>
      </c>
      <c r="U3491" s="144"/>
    </row>
    <row r="3492">
      <c r="A3492" s="107"/>
      <c r="B3492" s="8" t="s">
        <v>35</v>
      </c>
      <c r="C3492" s="8" t="s">
        <v>19</v>
      </c>
      <c r="D3492" s="8">
        <v>61.0</v>
      </c>
      <c r="E3492" s="8" t="s">
        <v>2023</v>
      </c>
      <c r="F3492" s="8" t="s">
        <v>1473</v>
      </c>
      <c r="G3492" s="8" t="s">
        <v>1474</v>
      </c>
      <c r="H3492" s="8">
        <v>1.0</v>
      </c>
      <c r="I3492" s="8" t="s">
        <v>229</v>
      </c>
      <c r="J3492" s="8" t="s">
        <v>22</v>
      </c>
      <c r="K3492" s="8" t="s">
        <v>225</v>
      </c>
      <c r="L3492" s="8" t="s">
        <v>39</v>
      </c>
      <c r="M3492" s="9">
        <v>0.25</v>
      </c>
      <c r="N3492" s="9">
        <v>0.15</v>
      </c>
      <c r="O3492" s="9">
        <v>0.15</v>
      </c>
      <c r="P3492" s="10">
        <v>45555.0</v>
      </c>
      <c r="Q3492" s="11">
        <v>1.875</v>
      </c>
      <c r="R3492" s="8" t="s">
        <v>30</v>
      </c>
      <c r="S3492" s="12">
        <f t="shared" si="1"/>
        <v>0.065625</v>
      </c>
      <c r="T3492" s="12">
        <f t="shared" si="8"/>
        <v>112.1002623</v>
      </c>
      <c r="U3492" s="145"/>
    </row>
    <row r="3493">
      <c r="A3493" s="29"/>
      <c r="B3493" s="15" t="s">
        <v>35</v>
      </c>
      <c r="C3493" s="15" t="s">
        <v>19</v>
      </c>
      <c r="D3493" s="15">
        <v>62.0</v>
      </c>
      <c r="E3493" s="15" t="s">
        <v>2024</v>
      </c>
      <c r="F3493" s="15" t="s">
        <v>1479</v>
      </c>
      <c r="G3493" s="15" t="s">
        <v>1474</v>
      </c>
      <c r="H3493" s="15">
        <v>2.0</v>
      </c>
      <c r="I3493" s="15" t="s">
        <v>908</v>
      </c>
      <c r="J3493" s="15" t="s">
        <v>22</v>
      </c>
      <c r="K3493" s="15" t="s">
        <v>225</v>
      </c>
      <c r="L3493" s="15" t="s">
        <v>39</v>
      </c>
      <c r="M3493" s="16">
        <v>0.25</v>
      </c>
      <c r="N3493" s="16">
        <v>0.15</v>
      </c>
      <c r="O3493" s="16">
        <v>0.15</v>
      </c>
      <c r="P3493" s="17">
        <v>45555.0</v>
      </c>
      <c r="Q3493" s="18">
        <v>1.725</v>
      </c>
      <c r="R3493" s="15" t="s">
        <v>25</v>
      </c>
      <c r="S3493" s="19">
        <f t="shared" si="1"/>
        <v>-0.15</v>
      </c>
      <c r="T3493" s="19">
        <f t="shared" si="8"/>
        <v>111.9502623</v>
      </c>
      <c r="U3493" s="144"/>
    </row>
    <row r="3494">
      <c r="A3494" s="107"/>
      <c r="B3494" s="8" t="s">
        <v>35</v>
      </c>
      <c r="C3494" s="8" t="s">
        <v>19</v>
      </c>
      <c r="D3494" s="8">
        <v>64.0</v>
      </c>
      <c r="E3494" s="8" t="s">
        <v>2025</v>
      </c>
      <c r="F3494" s="8" t="s">
        <v>1473</v>
      </c>
      <c r="G3494" s="8" t="s">
        <v>1474</v>
      </c>
      <c r="H3494" s="8">
        <v>1.0</v>
      </c>
      <c r="I3494" s="8" t="s">
        <v>940</v>
      </c>
      <c r="J3494" s="8" t="s">
        <v>22</v>
      </c>
      <c r="K3494" s="8" t="s">
        <v>225</v>
      </c>
      <c r="L3494" s="8" t="s">
        <v>39</v>
      </c>
      <c r="M3494" s="9">
        <v>0.5</v>
      </c>
      <c r="N3494" s="9">
        <v>0.15</v>
      </c>
      <c r="O3494" s="9">
        <v>0.15</v>
      </c>
      <c r="P3494" s="10">
        <v>45555.0</v>
      </c>
      <c r="Q3494" s="11">
        <v>1.775</v>
      </c>
      <c r="R3494" s="8" t="s">
        <v>33</v>
      </c>
      <c r="S3494" s="12">
        <f t="shared" si="1"/>
        <v>0.11625</v>
      </c>
      <c r="T3494" s="12">
        <f t="shared" si="8"/>
        <v>112.0665123</v>
      </c>
      <c r="U3494" s="145"/>
    </row>
    <row r="3495">
      <c r="A3495" s="29"/>
      <c r="B3495" s="15" t="s">
        <v>35</v>
      </c>
      <c r="C3495" s="15" t="s">
        <v>19</v>
      </c>
      <c r="D3495" s="15">
        <v>58.0</v>
      </c>
      <c r="E3495" s="15" t="s">
        <v>2026</v>
      </c>
      <c r="F3495" s="15" t="s">
        <v>1473</v>
      </c>
      <c r="G3495" s="15" t="s">
        <v>1474</v>
      </c>
      <c r="H3495" s="15">
        <v>-2.0</v>
      </c>
      <c r="I3495" s="15" t="s">
        <v>38</v>
      </c>
      <c r="J3495" s="15" t="s">
        <v>22</v>
      </c>
      <c r="K3495" s="15" t="s">
        <v>225</v>
      </c>
      <c r="L3495" s="15" t="s">
        <v>39</v>
      </c>
      <c r="M3495" s="16">
        <v>0.5</v>
      </c>
      <c r="N3495" s="16">
        <v>0.1</v>
      </c>
      <c r="O3495" s="16">
        <v>0.0259</v>
      </c>
      <c r="P3495" s="17">
        <v>45555.0</v>
      </c>
      <c r="Q3495" s="18">
        <v>1.875</v>
      </c>
      <c r="R3495" s="15" t="s">
        <v>33</v>
      </c>
      <c r="S3495" s="19">
        <f t="shared" si="1"/>
        <v>0.0226625</v>
      </c>
      <c r="T3495" s="19">
        <f t="shared" si="8"/>
        <v>112.0891748</v>
      </c>
      <c r="U3495" s="144"/>
    </row>
    <row r="3496">
      <c r="A3496" s="107"/>
      <c r="B3496" s="8" t="s">
        <v>35</v>
      </c>
      <c r="C3496" s="8" t="s">
        <v>19</v>
      </c>
      <c r="D3496" s="8">
        <v>59.0</v>
      </c>
      <c r="E3496" s="8" t="s">
        <v>2027</v>
      </c>
      <c r="F3496" s="8" t="s">
        <v>1473</v>
      </c>
      <c r="G3496" s="8" t="s">
        <v>1474</v>
      </c>
      <c r="H3496" s="8">
        <v>0.0</v>
      </c>
      <c r="I3496" s="8" t="s">
        <v>93</v>
      </c>
      <c r="J3496" s="8" t="s">
        <v>22</v>
      </c>
      <c r="K3496" s="8" t="s">
        <v>225</v>
      </c>
      <c r="L3496" s="8" t="s">
        <v>39</v>
      </c>
      <c r="M3496" s="9">
        <v>0.25</v>
      </c>
      <c r="N3496" s="9">
        <v>0.1</v>
      </c>
      <c r="O3496" s="9">
        <v>0.1</v>
      </c>
      <c r="P3496" s="10">
        <v>45555.0</v>
      </c>
      <c r="Q3496" s="11">
        <v>1.9</v>
      </c>
      <c r="R3496" s="8" t="s">
        <v>25</v>
      </c>
      <c r="S3496" s="12">
        <f t="shared" si="1"/>
        <v>-0.1</v>
      </c>
      <c r="T3496" s="12">
        <f t="shared" si="8"/>
        <v>111.9891748</v>
      </c>
      <c r="U3496" s="145"/>
    </row>
    <row r="3497">
      <c r="A3497" s="29"/>
      <c r="B3497" s="15" t="s">
        <v>35</v>
      </c>
      <c r="C3497" s="15" t="s">
        <v>19</v>
      </c>
      <c r="D3497" s="15">
        <v>59.0</v>
      </c>
      <c r="E3497" s="15" t="s">
        <v>2028</v>
      </c>
      <c r="F3497" s="15" t="s">
        <v>1473</v>
      </c>
      <c r="G3497" s="15" t="s">
        <v>1480</v>
      </c>
      <c r="H3497" s="15">
        <v>1.0</v>
      </c>
      <c r="I3497" s="15" t="s">
        <v>50</v>
      </c>
      <c r="J3497" s="15" t="s">
        <v>22</v>
      </c>
      <c r="K3497" s="15" t="s">
        <v>892</v>
      </c>
      <c r="L3497" s="15" t="s">
        <v>39</v>
      </c>
      <c r="M3497" s="16">
        <v>0.0</v>
      </c>
      <c r="N3497" s="16">
        <v>0.1</v>
      </c>
      <c r="O3497" s="16">
        <v>0.1</v>
      </c>
      <c r="P3497" s="17">
        <v>45555.0</v>
      </c>
      <c r="Q3497" s="18">
        <v>2.25</v>
      </c>
      <c r="R3497" s="15" t="s">
        <v>33</v>
      </c>
      <c r="S3497" s="19">
        <f t="shared" si="1"/>
        <v>0.125</v>
      </c>
      <c r="T3497" s="19">
        <f t="shared" si="8"/>
        <v>112.1141748</v>
      </c>
      <c r="U3497" s="144"/>
    </row>
    <row r="3498">
      <c r="A3498" s="107"/>
      <c r="B3498" s="8" t="s">
        <v>35</v>
      </c>
      <c r="C3498" s="8" t="s">
        <v>19</v>
      </c>
      <c r="D3498" s="8">
        <v>59.0</v>
      </c>
      <c r="E3498" s="8" t="s">
        <v>2029</v>
      </c>
      <c r="F3498" s="8" t="s">
        <v>1479</v>
      </c>
      <c r="G3498" s="8" t="s">
        <v>1480</v>
      </c>
      <c r="H3498" s="8">
        <v>1.0</v>
      </c>
      <c r="I3498" s="8" t="s">
        <v>50</v>
      </c>
      <c r="J3498" s="8" t="s">
        <v>22</v>
      </c>
      <c r="K3498" s="8" t="s">
        <v>892</v>
      </c>
      <c r="L3498" s="8" t="s">
        <v>39</v>
      </c>
      <c r="M3498" s="9">
        <v>0.0</v>
      </c>
      <c r="N3498" s="9">
        <v>0.1</v>
      </c>
      <c r="O3498" s="9">
        <v>0.0741</v>
      </c>
      <c r="P3498" s="10">
        <v>45555.0</v>
      </c>
      <c r="Q3498" s="11">
        <v>2.35</v>
      </c>
      <c r="R3498" s="8" t="s">
        <v>70</v>
      </c>
      <c r="S3498" s="12">
        <f t="shared" si="1"/>
        <v>0</v>
      </c>
      <c r="T3498" s="12">
        <f t="shared" si="8"/>
        <v>112.1141748</v>
      </c>
      <c r="U3498" s="145"/>
    </row>
    <row r="3499">
      <c r="A3499" s="29"/>
      <c r="B3499" s="15" t="s">
        <v>35</v>
      </c>
      <c r="C3499" s="15" t="s">
        <v>19</v>
      </c>
      <c r="D3499" s="15">
        <v>59.0</v>
      </c>
      <c r="E3499" s="15" t="s">
        <v>2030</v>
      </c>
      <c r="F3499" s="15" t="s">
        <v>1473</v>
      </c>
      <c r="G3499" s="15" t="s">
        <v>1474</v>
      </c>
      <c r="H3499" s="15">
        <v>0.0</v>
      </c>
      <c r="I3499" s="15" t="s">
        <v>50</v>
      </c>
      <c r="J3499" s="15" t="s">
        <v>22</v>
      </c>
      <c r="K3499" s="15" t="s">
        <v>225</v>
      </c>
      <c r="L3499" s="15" t="s">
        <v>39</v>
      </c>
      <c r="M3499" s="16">
        <v>0.25</v>
      </c>
      <c r="N3499" s="16">
        <v>0.1</v>
      </c>
      <c r="O3499" s="16">
        <v>0.1</v>
      </c>
      <c r="P3499" s="17">
        <v>45555.0</v>
      </c>
      <c r="Q3499" s="18">
        <v>1.75</v>
      </c>
      <c r="R3499" s="15" t="s">
        <v>25</v>
      </c>
      <c r="S3499" s="19">
        <f t="shared" si="1"/>
        <v>-0.1</v>
      </c>
      <c r="T3499" s="19">
        <f t="shared" si="8"/>
        <v>112.0141748</v>
      </c>
      <c r="U3499" s="144"/>
    </row>
    <row r="3500">
      <c r="A3500" s="107"/>
      <c r="B3500" s="8" t="s">
        <v>35</v>
      </c>
      <c r="C3500" s="8" t="s">
        <v>19</v>
      </c>
      <c r="D3500" s="8">
        <v>59.0</v>
      </c>
      <c r="E3500" s="8" t="s">
        <v>2031</v>
      </c>
      <c r="F3500" s="8" t="s">
        <v>1479</v>
      </c>
      <c r="G3500" s="8" t="s">
        <v>1474</v>
      </c>
      <c r="H3500" s="8">
        <v>-1.0</v>
      </c>
      <c r="I3500" s="8" t="s">
        <v>99</v>
      </c>
      <c r="J3500" s="8" t="s">
        <v>22</v>
      </c>
      <c r="K3500" s="8" t="s">
        <v>225</v>
      </c>
      <c r="L3500" s="8" t="s">
        <v>39</v>
      </c>
      <c r="M3500" s="9">
        <v>0.5</v>
      </c>
      <c r="N3500" s="9">
        <v>0.1</v>
      </c>
      <c r="O3500" s="9">
        <v>0.1</v>
      </c>
      <c r="P3500" s="10">
        <v>45555.0</v>
      </c>
      <c r="Q3500" s="11">
        <v>1.875</v>
      </c>
      <c r="R3500" s="8" t="s">
        <v>25</v>
      </c>
      <c r="S3500" s="12">
        <f t="shared" si="1"/>
        <v>-0.1</v>
      </c>
      <c r="T3500" s="12">
        <f t="shared" si="8"/>
        <v>111.9141748</v>
      </c>
      <c r="U3500" s="145"/>
    </row>
    <row r="3501">
      <c r="A3501" s="29"/>
      <c r="B3501" s="15" t="s">
        <v>35</v>
      </c>
      <c r="C3501" s="15" t="s">
        <v>19</v>
      </c>
      <c r="D3501" s="15">
        <v>60.0</v>
      </c>
      <c r="E3501" s="15" t="s">
        <v>2032</v>
      </c>
      <c r="F3501" s="15" t="s">
        <v>1473</v>
      </c>
      <c r="G3501" s="15" t="s">
        <v>1474</v>
      </c>
      <c r="H3501" s="15">
        <v>0.0</v>
      </c>
      <c r="I3501" s="15" t="s">
        <v>60</v>
      </c>
      <c r="J3501" s="15" t="s">
        <v>22</v>
      </c>
      <c r="K3501" s="15" t="s">
        <v>225</v>
      </c>
      <c r="L3501" s="15" t="s">
        <v>39</v>
      </c>
      <c r="M3501" s="16">
        <v>0.25</v>
      </c>
      <c r="N3501" s="16">
        <v>0.1</v>
      </c>
      <c r="O3501" s="16">
        <v>0.1</v>
      </c>
      <c r="P3501" s="17">
        <v>45555.0</v>
      </c>
      <c r="Q3501" s="18">
        <v>1.8</v>
      </c>
      <c r="R3501" s="15" t="s">
        <v>25</v>
      </c>
      <c r="S3501" s="19">
        <f t="shared" si="1"/>
        <v>-0.1</v>
      </c>
      <c r="T3501" s="19">
        <f t="shared" si="8"/>
        <v>111.8141748</v>
      </c>
      <c r="U3501" s="144"/>
    </row>
    <row r="3502">
      <c r="A3502" s="107"/>
      <c r="B3502" s="8" t="s">
        <v>35</v>
      </c>
      <c r="C3502" s="8" t="s">
        <v>19</v>
      </c>
      <c r="D3502" s="8">
        <v>59.0</v>
      </c>
      <c r="E3502" s="8" t="s">
        <v>2033</v>
      </c>
      <c r="F3502" s="8" t="s">
        <v>1479</v>
      </c>
      <c r="G3502" s="8" t="s">
        <v>1480</v>
      </c>
      <c r="H3502" s="8">
        <v>0.0</v>
      </c>
      <c r="I3502" s="8" t="s">
        <v>78</v>
      </c>
      <c r="J3502" s="8" t="s">
        <v>22</v>
      </c>
      <c r="K3502" s="8" t="s">
        <v>892</v>
      </c>
      <c r="L3502" s="8" t="s">
        <v>39</v>
      </c>
      <c r="M3502" s="9">
        <v>0.0</v>
      </c>
      <c r="N3502" s="9">
        <v>0.1</v>
      </c>
      <c r="O3502" s="9">
        <v>0.1</v>
      </c>
      <c r="P3502" s="10">
        <v>45555.0</v>
      </c>
      <c r="Q3502" s="11">
        <v>1.975</v>
      </c>
      <c r="R3502" s="8" t="s">
        <v>70</v>
      </c>
      <c r="S3502" s="12">
        <f t="shared" si="1"/>
        <v>0</v>
      </c>
      <c r="T3502" s="12">
        <f t="shared" si="8"/>
        <v>111.8141748</v>
      </c>
      <c r="U3502" s="145"/>
    </row>
    <row r="3503">
      <c r="A3503" s="29"/>
      <c r="B3503" s="15" t="s">
        <v>18</v>
      </c>
      <c r="C3503" s="15" t="s">
        <v>19</v>
      </c>
      <c r="D3503" s="15">
        <v>76.0</v>
      </c>
      <c r="E3503" s="15" t="s">
        <v>2034</v>
      </c>
      <c r="F3503" s="15"/>
      <c r="G3503" s="15"/>
      <c r="H3503" s="15"/>
      <c r="I3503" s="15" t="s">
        <v>82</v>
      </c>
      <c r="J3503" s="15" t="s">
        <v>22</v>
      </c>
      <c r="K3503" s="15" t="s">
        <v>29</v>
      </c>
      <c r="L3503" s="15" t="s">
        <v>24</v>
      </c>
      <c r="M3503" s="16">
        <v>-3.0</v>
      </c>
      <c r="N3503" s="16">
        <v>0.25</v>
      </c>
      <c r="O3503" s="16">
        <v>0.0648</v>
      </c>
      <c r="P3503" s="17">
        <v>45555.0</v>
      </c>
      <c r="Q3503" s="18">
        <v>1.725</v>
      </c>
      <c r="R3503" s="15" t="s">
        <v>33</v>
      </c>
      <c r="S3503" s="19">
        <f t="shared" si="1"/>
        <v>0.04698</v>
      </c>
      <c r="T3503" s="19">
        <f t="shared" si="8"/>
        <v>111.8611548</v>
      </c>
      <c r="U3503" s="144"/>
    </row>
    <row r="3504">
      <c r="A3504" s="107"/>
      <c r="B3504" s="8" t="s">
        <v>137</v>
      </c>
      <c r="C3504" s="8" t="s">
        <v>19</v>
      </c>
      <c r="D3504" s="8">
        <v>57.0</v>
      </c>
      <c r="E3504" s="8" t="s">
        <v>2035</v>
      </c>
      <c r="F3504" s="8" t="s">
        <v>1479</v>
      </c>
      <c r="G3504" s="8" t="s">
        <v>1480</v>
      </c>
      <c r="H3504" s="8">
        <v>0.0</v>
      </c>
      <c r="I3504" s="8" t="s">
        <v>157</v>
      </c>
      <c r="J3504" s="8" t="s">
        <v>22</v>
      </c>
      <c r="K3504" s="8" t="s">
        <v>892</v>
      </c>
      <c r="L3504" s="8" t="s">
        <v>24</v>
      </c>
      <c r="M3504" s="9">
        <v>0.0</v>
      </c>
      <c r="N3504" s="9">
        <v>1.0</v>
      </c>
      <c r="O3504" s="9">
        <v>1.0</v>
      </c>
      <c r="P3504" s="10">
        <v>45556.0</v>
      </c>
      <c r="Q3504" s="11">
        <v>1.825</v>
      </c>
      <c r="R3504" s="8" t="s">
        <v>70</v>
      </c>
      <c r="S3504" s="12">
        <f t="shared" si="1"/>
        <v>0</v>
      </c>
      <c r="T3504" s="12">
        <f t="shared" si="8"/>
        <v>111.8611548</v>
      </c>
      <c r="U3504" s="145"/>
    </row>
    <row r="3505">
      <c r="A3505" s="29"/>
      <c r="B3505" s="15" t="s">
        <v>18</v>
      </c>
      <c r="C3505" s="15" t="s">
        <v>19</v>
      </c>
      <c r="D3505" s="15">
        <v>72.0</v>
      </c>
      <c r="E3505" s="15" t="s">
        <v>2036</v>
      </c>
      <c r="F3505" s="15" t="s">
        <v>1479</v>
      </c>
      <c r="G3505" s="15" t="s">
        <v>1474</v>
      </c>
      <c r="H3505" s="15">
        <v>0.0</v>
      </c>
      <c r="I3505" s="15" t="s">
        <v>341</v>
      </c>
      <c r="J3505" s="15" t="s">
        <v>22</v>
      </c>
      <c r="K3505" s="15" t="s">
        <v>941</v>
      </c>
      <c r="L3505" s="15" t="s">
        <v>24</v>
      </c>
      <c r="M3505" s="16">
        <v>0.0</v>
      </c>
      <c r="N3505" s="16">
        <v>0.5</v>
      </c>
      <c r="O3505" s="16">
        <v>0.5</v>
      </c>
      <c r="P3505" s="17">
        <v>45556.0</v>
      </c>
      <c r="Q3505" s="18">
        <v>1.725</v>
      </c>
      <c r="R3505" s="15" t="s">
        <v>70</v>
      </c>
      <c r="S3505" s="19">
        <f t="shared" si="1"/>
        <v>0</v>
      </c>
      <c r="T3505" s="19">
        <f t="shared" si="8"/>
        <v>111.8611548</v>
      </c>
      <c r="U3505" s="144"/>
    </row>
    <row r="3506">
      <c r="A3506" s="107"/>
      <c r="B3506" s="8" t="s">
        <v>135</v>
      </c>
      <c r="C3506" s="8" t="s">
        <v>19</v>
      </c>
      <c r="D3506" s="8">
        <v>0.0</v>
      </c>
      <c r="E3506" s="8" t="s">
        <v>2037</v>
      </c>
      <c r="F3506" s="8"/>
      <c r="G3506" s="8"/>
      <c r="H3506" s="8"/>
      <c r="I3506" s="8" t="s">
        <v>121</v>
      </c>
      <c r="J3506" s="8" t="s">
        <v>598</v>
      </c>
      <c r="K3506" s="8" t="s">
        <v>29</v>
      </c>
      <c r="L3506" s="8" t="s">
        <v>24</v>
      </c>
      <c r="M3506" s="9">
        <v>-3.0</v>
      </c>
      <c r="N3506" s="9">
        <v>0.25</v>
      </c>
      <c r="O3506" s="9">
        <v>0.25</v>
      </c>
      <c r="P3506" s="10">
        <v>45556.0</v>
      </c>
      <c r="Q3506" s="11">
        <v>1.9</v>
      </c>
      <c r="R3506" s="8" t="s">
        <v>33</v>
      </c>
      <c r="S3506" s="12">
        <f t="shared" si="1"/>
        <v>0.225</v>
      </c>
      <c r="T3506" s="12">
        <f t="shared" si="8"/>
        <v>112.0861548</v>
      </c>
      <c r="U3506" s="145"/>
    </row>
    <row r="3507">
      <c r="A3507" s="29"/>
      <c r="B3507" s="15" t="s">
        <v>26</v>
      </c>
      <c r="C3507" s="15" t="s">
        <v>19</v>
      </c>
      <c r="D3507" s="15">
        <v>15.0</v>
      </c>
      <c r="E3507" s="15" t="s">
        <v>2038</v>
      </c>
      <c r="F3507" s="15" t="s">
        <v>1473</v>
      </c>
      <c r="G3507" s="15" t="s">
        <v>1474</v>
      </c>
      <c r="H3507" s="15">
        <v>0.0</v>
      </c>
      <c r="I3507" s="15" t="s">
        <v>44</v>
      </c>
      <c r="J3507" s="15" t="s">
        <v>22</v>
      </c>
      <c r="K3507" s="15" t="s">
        <v>225</v>
      </c>
      <c r="L3507" s="15" t="s">
        <v>24</v>
      </c>
      <c r="M3507" s="16">
        <v>0.25</v>
      </c>
      <c r="N3507" s="16">
        <v>0.75</v>
      </c>
      <c r="O3507" s="16">
        <f>(250-169.1)/250*0.75</f>
        <v>0.2427</v>
      </c>
      <c r="P3507" s="17">
        <v>45556.0</v>
      </c>
      <c r="Q3507" s="18">
        <v>1.85</v>
      </c>
      <c r="R3507" s="15" t="s">
        <v>25</v>
      </c>
      <c r="S3507" s="19">
        <f t="shared" si="1"/>
        <v>-0.2427</v>
      </c>
      <c r="T3507" s="19">
        <f t="shared" si="8"/>
        <v>111.8434548</v>
      </c>
      <c r="U3507" s="144"/>
    </row>
    <row r="3508">
      <c r="A3508" s="107"/>
      <c r="B3508" s="8" t="s">
        <v>135</v>
      </c>
      <c r="C3508" s="8" t="s">
        <v>19</v>
      </c>
      <c r="D3508" s="8">
        <v>0.0</v>
      </c>
      <c r="E3508" s="8" t="s">
        <v>2039</v>
      </c>
      <c r="F3508" s="8"/>
      <c r="G3508" s="8"/>
      <c r="H3508" s="8"/>
      <c r="I3508" s="8" t="s">
        <v>1470</v>
      </c>
      <c r="J3508" s="8" t="s">
        <v>598</v>
      </c>
      <c r="K3508" s="8" t="s">
        <v>29</v>
      </c>
      <c r="L3508" s="8" t="s">
        <v>24</v>
      </c>
      <c r="M3508" s="9">
        <v>2.25</v>
      </c>
      <c r="N3508" s="9">
        <v>0.25</v>
      </c>
      <c r="O3508" s="9">
        <v>0.25</v>
      </c>
      <c r="P3508" s="10">
        <v>45556.0</v>
      </c>
      <c r="Q3508" s="11">
        <v>1.85</v>
      </c>
      <c r="R3508" s="8" t="s">
        <v>33</v>
      </c>
      <c r="S3508" s="12">
        <f t="shared" si="1"/>
        <v>0.2125</v>
      </c>
      <c r="T3508" s="12">
        <f t="shared" si="8"/>
        <v>112.0559548</v>
      </c>
      <c r="U3508" s="145"/>
    </row>
    <row r="3509">
      <c r="A3509" s="29"/>
      <c r="B3509" s="15" t="s">
        <v>26</v>
      </c>
      <c r="C3509" s="15" t="s">
        <v>19</v>
      </c>
      <c r="D3509" s="15">
        <v>0.0</v>
      </c>
      <c r="E3509" s="15" t="s">
        <v>2040</v>
      </c>
      <c r="F3509" s="15" t="s">
        <v>1479</v>
      </c>
      <c r="G3509" s="15" t="s">
        <v>1480</v>
      </c>
      <c r="H3509" s="15">
        <v>0.0</v>
      </c>
      <c r="I3509" s="15" t="s">
        <v>82</v>
      </c>
      <c r="J3509" s="15" t="s">
        <v>598</v>
      </c>
      <c r="K3509" s="15" t="s">
        <v>892</v>
      </c>
      <c r="L3509" s="15" t="s">
        <v>24</v>
      </c>
      <c r="M3509" s="16">
        <v>0.0</v>
      </c>
      <c r="N3509" s="16">
        <v>0.1</v>
      </c>
      <c r="O3509" s="16">
        <v>0.1</v>
      </c>
      <c r="P3509" s="17">
        <v>45556.0</v>
      </c>
      <c r="Q3509" s="18">
        <v>1.75</v>
      </c>
      <c r="R3509" s="15" t="s">
        <v>33</v>
      </c>
      <c r="S3509" s="19">
        <f t="shared" si="1"/>
        <v>0.075</v>
      </c>
      <c r="T3509" s="19">
        <f t="shared" si="8"/>
        <v>112.1309548</v>
      </c>
      <c r="U3509" s="144"/>
    </row>
    <row r="3510">
      <c r="A3510" s="107"/>
      <c r="B3510" s="8" t="s">
        <v>135</v>
      </c>
      <c r="C3510" s="8" t="s">
        <v>19</v>
      </c>
      <c r="D3510" s="8">
        <v>0.0</v>
      </c>
      <c r="E3510" s="8" t="s">
        <v>2041</v>
      </c>
      <c r="F3510" s="8"/>
      <c r="G3510" s="8"/>
      <c r="H3510" s="8"/>
      <c r="I3510" s="8" t="s">
        <v>121</v>
      </c>
      <c r="J3510" s="8" t="s">
        <v>598</v>
      </c>
      <c r="K3510" s="8" t="s">
        <v>29</v>
      </c>
      <c r="L3510" s="8" t="s">
        <v>24</v>
      </c>
      <c r="M3510" s="9">
        <v>-3.0</v>
      </c>
      <c r="N3510" s="9">
        <v>0.25</v>
      </c>
      <c r="O3510" s="9">
        <v>0.25</v>
      </c>
      <c r="P3510" s="10">
        <v>45556.0</v>
      </c>
      <c r="Q3510" s="11">
        <v>1.9</v>
      </c>
      <c r="R3510" s="8" t="s">
        <v>33</v>
      </c>
      <c r="S3510" s="12">
        <f t="shared" si="1"/>
        <v>0.225</v>
      </c>
      <c r="T3510" s="12">
        <f t="shared" si="8"/>
        <v>112.3559548</v>
      </c>
      <c r="U3510" s="145"/>
    </row>
    <row r="3511">
      <c r="A3511" s="29"/>
      <c r="B3511" s="15" t="s">
        <v>135</v>
      </c>
      <c r="C3511" s="15" t="s">
        <v>19</v>
      </c>
      <c r="D3511" s="15">
        <v>0.0</v>
      </c>
      <c r="E3511" s="15" t="s">
        <v>2042</v>
      </c>
      <c r="F3511" s="15"/>
      <c r="G3511" s="15"/>
      <c r="H3511" s="15"/>
      <c r="I3511" s="15" t="s">
        <v>121</v>
      </c>
      <c r="J3511" s="15" t="s">
        <v>598</v>
      </c>
      <c r="K3511" s="15" t="s">
        <v>29</v>
      </c>
      <c r="L3511" s="15" t="s">
        <v>24</v>
      </c>
      <c r="M3511" s="16">
        <v>-3.0</v>
      </c>
      <c r="N3511" s="16">
        <v>0.25</v>
      </c>
      <c r="O3511" s="16">
        <v>0.25</v>
      </c>
      <c r="P3511" s="55">
        <v>45556.0</v>
      </c>
      <c r="Q3511" s="18">
        <v>1.8</v>
      </c>
      <c r="R3511" s="15" t="s">
        <v>30</v>
      </c>
      <c r="S3511" s="19">
        <f t="shared" si="1"/>
        <v>0.1</v>
      </c>
      <c r="T3511" s="19">
        <f t="shared" si="8"/>
        <v>112.4559548</v>
      </c>
      <c r="U3511" s="144"/>
    </row>
    <row r="3512">
      <c r="A3512" s="107"/>
      <c r="B3512" s="8" t="s">
        <v>135</v>
      </c>
      <c r="C3512" s="8" t="s">
        <v>40</v>
      </c>
      <c r="D3512" s="8">
        <v>0.0</v>
      </c>
      <c r="E3512" s="8" t="s">
        <v>2043</v>
      </c>
      <c r="F3512" s="8"/>
      <c r="G3512" s="8"/>
      <c r="H3512" s="8"/>
      <c r="I3512" s="8" t="s">
        <v>99</v>
      </c>
      <c r="J3512" s="8" t="s">
        <v>598</v>
      </c>
      <c r="K3512" s="8" t="s">
        <v>29</v>
      </c>
      <c r="L3512" s="8" t="s">
        <v>24</v>
      </c>
      <c r="M3512" s="9">
        <v>-3.75</v>
      </c>
      <c r="N3512" s="9">
        <v>0.25</v>
      </c>
      <c r="O3512" s="9">
        <v>0.25</v>
      </c>
      <c r="P3512" s="10">
        <v>45556.0</v>
      </c>
      <c r="Q3512" s="11">
        <v>1.975</v>
      </c>
      <c r="R3512" s="8" t="s">
        <v>33</v>
      </c>
      <c r="S3512" s="12">
        <f t="shared" si="1"/>
        <v>0.24375</v>
      </c>
      <c r="T3512" s="12">
        <f t="shared" si="8"/>
        <v>112.6997048</v>
      </c>
      <c r="U3512" s="145"/>
    </row>
    <row r="3513">
      <c r="A3513" s="29"/>
      <c r="B3513" s="15" t="s">
        <v>35</v>
      </c>
      <c r="C3513" s="15" t="s">
        <v>19</v>
      </c>
      <c r="D3513" s="15">
        <v>65.0</v>
      </c>
      <c r="E3513" s="15" t="s">
        <v>2044</v>
      </c>
      <c r="F3513" s="15" t="s">
        <v>1473</v>
      </c>
      <c r="G3513" s="15" t="s">
        <v>1480</v>
      </c>
      <c r="H3513" s="15">
        <v>0.0</v>
      </c>
      <c r="I3513" s="15" t="s">
        <v>44</v>
      </c>
      <c r="J3513" s="15" t="s">
        <v>22</v>
      </c>
      <c r="K3513" s="15" t="s">
        <v>892</v>
      </c>
      <c r="L3513" s="15" t="s">
        <v>24</v>
      </c>
      <c r="M3513" s="16">
        <v>0.0</v>
      </c>
      <c r="N3513" s="16">
        <v>0.75</v>
      </c>
      <c r="O3513" s="16">
        <v>0.75</v>
      </c>
      <c r="P3513" s="17">
        <v>45556.0</v>
      </c>
      <c r="Q3513" s="18">
        <v>2.025</v>
      </c>
      <c r="R3513" s="15" t="s">
        <v>70</v>
      </c>
      <c r="S3513" s="19">
        <f t="shared" si="1"/>
        <v>0</v>
      </c>
      <c r="T3513" s="19">
        <f t="shared" si="8"/>
        <v>112.6997048</v>
      </c>
      <c r="U3513" s="144"/>
    </row>
    <row r="3514">
      <c r="A3514" s="107"/>
      <c r="B3514" s="8" t="s">
        <v>18</v>
      </c>
      <c r="C3514" s="8" t="s">
        <v>19</v>
      </c>
      <c r="D3514" s="8">
        <v>40.0</v>
      </c>
      <c r="E3514" s="8" t="s">
        <v>2045</v>
      </c>
      <c r="F3514" s="8" t="s">
        <v>1479</v>
      </c>
      <c r="G3514" s="8" t="s">
        <v>1477</v>
      </c>
      <c r="H3514" s="8">
        <v>0.0</v>
      </c>
      <c r="I3514" s="8" t="s">
        <v>675</v>
      </c>
      <c r="J3514" s="8" t="s">
        <v>22</v>
      </c>
      <c r="K3514" s="8" t="s">
        <v>894</v>
      </c>
      <c r="L3514" s="8" t="s">
        <v>24</v>
      </c>
      <c r="M3514" s="9">
        <v>-0.5</v>
      </c>
      <c r="N3514" s="9">
        <v>0.5</v>
      </c>
      <c r="O3514" s="9">
        <v>0.5</v>
      </c>
      <c r="P3514" s="10">
        <v>45556.0</v>
      </c>
      <c r="Q3514" s="11">
        <v>1.8</v>
      </c>
      <c r="R3514" s="8" t="s">
        <v>33</v>
      </c>
      <c r="S3514" s="12">
        <f t="shared" si="1"/>
        <v>0.4</v>
      </c>
      <c r="T3514" s="12">
        <f t="shared" si="8"/>
        <v>113.0997048</v>
      </c>
      <c r="U3514" s="145"/>
    </row>
    <row r="3515">
      <c r="A3515" s="29"/>
      <c r="B3515" s="15" t="s">
        <v>129</v>
      </c>
      <c r="C3515" s="15" t="s">
        <v>19</v>
      </c>
      <c r="D3515" s="15">
        <v>15.0</v>
      </c>
      <c r="E3515" s="15" t="s">
        <v>2046</v>
      </c>
      <c r="F3515" s="15" t="s">
        <v>1473</v>
      </c>
      <c r="G3515" s="15" t="s">
        <v>1480</v>
      </c>
      <c r="H3515" s="15">
        <v>0.0</v>
      </c>
      <c r="I3515" s="15" t="s">
        <v>463</v>
      </c>
      <c r="J3515" s="15" t="s">
        <v>22</v>
      </c>
      <c r="K3515" s="15" t="s">
        <v>892</v>
      </c>
      <c r="L3515" s="15" t="s">
        <v>24</v>
      </c>
      <c r="M3515" s="16">
        <v>0.0</v>
      </c>
      <c r="N3515" s="16">
        <v>0.5</v>
      </c>
      <c r="O3515" s="16">
        <v>0.5</v>
      </c>
      <c r="P3515" s="17">
        <v>45556.0</v>
      </c>
      <c r="Q3515" s="18">
        <v>1.9</v>
      </c>
      <c r="R3515" s="15" t="s">
        <v>25</v>
      </c>
      <c r="S3515" s="19">
        <f t="shared" si="1"/>
        <v>-0.5</v>
      </c>
      <c r="T3515" s="19">
        <f t="shared" si="8"/>
        <v>112.5997048</v>
      </c>
      <c r="U3515" s="144"/>
    </row>
    <row r="3516">
      <c r="A3516" s="107"/>
      <c r="B3516" s="8" t="s">
        <v>131</v>
      </c>
      <c r="C3516" s="8" t="s">
        <v>40</v>
      </c>
      <c r="D3516" s="8">
        <v>64.0</v>
      </c>
      <c r="E3516" s="8" t="s">
        <v>2047</v>
      </c>
      <c r="F3516" s="8" t="s">
        <v>1479</v>
      </c>
      <c r="G3516" s="8" t="s">
        <v>1477</v>
      </c>
      <c r="H3516" s="8">
        <v>1.0</v>
      </c>
      <c r="I3516" s="8" t="s">
        <v>109</v>
      </c>
      <c r="J3516" s="8" t="s">
        <v>22</v>
      </c>
      <c r="K3516" s="8" t="s">
        <v>894</v>
      </c>
      <c r="L3516" s="8" t="s">
        <v>24</v>
      </c>
      <c r="M3516" s="9">
        <v>-0.25</v>
      </c>
      <c r="N3516" s="9">
        <v>0.25</v>
      </c>
      <c r="O3516" s="9">
        <v>0.25</v>
      </c>
      <c r="P3516" s="10">
        <v>45556.0</v>
      </c>
      <c r="Q3516" s="11">
        <v>2.05</v>
      </c>
      <c r="R3516" s="8" t="s">
        <v>79</v>
      </c>
      <c r="S3516" s="12">
        <f t="shared" si="1"/>
        <v>-0.125</v>
      </c>
      <c r="T3516" s="12">
        <f t="shared" si="8"/>
        <v>112.4747048</v>
      </c>
      <c r="U3516" s="145"/>
    </row>
    <row r="3517">
      <c r="A3517" s="29"/>
      <c r="B3517" s="15" t="s">
        <v>18</v>
      </c>
      <c r="C3517" s="15" t="s">
        <v>19</v>
      </c>
      <c r="D3517" s="15">
        <v>67.0</v>
      </c>
      <c r="E3517" s="15" t="s">
        <v>2048</v>
      </c>
      <c r="F3517" s="15" t="s">
        <v>1473</v>
      </c>
      <c r="G3517" s="15" t="s">
        <v>1480</v>
      </c>
      <c r="H3517" s="15">
        <v>0.0</v>
      </c>
      <c r="I3517" s="15" t="s">
        <v>50</v>
      </c>
      <c r="J3517" s="15" t="s">
        <v>22</v>
      </c>
      <c r="K3517" s="15" t="s">
        <v>892</v>
      </c>
      <c r="L3517" s="15" t="s">
        <v>24</v>
      </c>
      <c r="M3517" s="16">
        <v>0.0</v>
      </c>
      <c r="N3517" s="16">
        <v>0.25</v>
      </c>
      <c r="O3517" s="16">
        <v>0.25</v>
      </c>
      <c r="P3517" s="17">
        <v>45556.0</v>
      </c>
      <c r="Q3517" s="18">
        <v>1.925</v>
      </c>
      <c r="R3517" s="15" t="s">
        <v>25</v>
      </c>
      <c r="S3517" s="19">
        <f t="shared" si="1"/>
        <v>-0.25</v>
      </c>
      <c r="T3517" s="19">
        <f t="shared" si="8"/>
        <v>112.2247048</v>
      </c>
      <c r="U3517" s="144"/>
    </row>
    <row r="3518">
      <c r="A3518" s="107"/>
      <c r="B3518" s="8" t="s">
        <v>26</v>
      </c>
      <c r="C3518" s="8" t="s">
        <v>19</v>
      </c>
      <c r="D3518" s="8">
        <v>29.0</v>
      </c>
      <c r="E3518" s="8" t="s">
        <v>2049</v>
      </c>
      <c r="F3518" s="8" t="s">
        <v>1479</v>
      </c>
      <c r="G3518" s="8" t="s">
        <v>1480</v>
      </c>
      <c r="H3518" s="8">
        <v>0.0</v>
      </c>
      <c r="I3518" s="8" t="s">
        <v>432</v>
      </c>
      <c r="J3518" s="8" t="s">
        <v>22</v>
      </c>
      <c r="K3518" s="8" t="s">
        <v>892</v>
      </c>
      <c r="L3518" s="8" t="s">
        <v>24</v>
      </c>
      <c r="M3518" s="9">
        <v>0.0</v>
      </c>
      <c r="N3518" s="9">
        <v>1.0</v>
      </c>
      <c r="O3518" s="9">
        <f>0.75+0.25*(45/54)</f>
        <v>0.9583333333</v>
      </c>
      <c r="P3518" s="10">
        <v>45556.0</v>
      </c>
      <c r="Q3518" s="11">
        <v>1.85</v>
      </c>
      <c r="R3518" s="8" t="s">
        <v>25</v>
      </c>
      <c r="S3518" s="12">
        <f t="shared" si="1"/>
        <v>-0.9583333333</v>
      </c>
      <c r="T3518" s="12">
        <f t="shared" si="8"/>
        <v>111.2663715</v>
      </c>
      <c r="U3518" s="145"/>
    </row>
    <row r="3519">
      <c r="A3519" s="29"/>
      <c r="B3519" s="15" t="s">
        <v>18</v>
      </c>
      <c r="C3519" s="15" t="s">
        <v>19</v>
      </c>
      <c r="D3519" s="15">
        <v>40.0</v>
      </c>
      <c r="E3519" s="15" t="s">
        <v>2050</v>
      </c>
      <c r="F3519" s="15" t="s">
        <v>1473</v>
      </c>
      <c r="G3519" s="15" t="s">
        <v>1474</v>
      </c>
      <c r="H3519" s="15">
        <v>0.0</v>
      </c>
      <c r="I3519" s="15" t="s">
        <v>38</v>
      </c>
      <c r="J3519" s="15" t="s">
        <v>22</v>
      </c>
      <c r="K3519" s="15" t="s">
        <v>225</v>
      </c>
      <c r="L3519" s="15" t="s">
        <v>24</v>
      </c>
      <c r="M3519" s="16">
        <v>0.25</v>
      </c>
      <c r="N3519" s="16">
        <v>0.75</v>
      </c>
      <c r="O3519" s="16">
        <v>0.75</v>
      </c>
      <c r="P3519" s="17">
        <v>45556.0</v>
      </c>
      <c r="Q3519" s="18">
        <v>1.75</v>
      </c>
      <c r="R3519" s="15" t="s">
        <v>30</v>
      </c>
      <c r="S3519" s="19">
        <f t="shared" si="1"/>
        <v>0.28125</v>
      </c>
      <c r="T3519" s="19">
        <f t="shared" si="8"/>
        <v>111.5476215</v>
      </c>
      <c r="U3519" s="144"/>
    </row>
    <row r="3520">
      <c r="A3520" s="107"/>
      <c r="B3520" s="8" t="s">
        <v>26</v>
      </c>
      <c r="C3520" s="8" t="s">
        <v>19</v>
      </c>
      <c r="D3520" s="8">
        <v>44.0</v>
      </c>
      <c r="E3520" s="8" t="s">
        <v>2051</v>
      </c>
      <c r="F3520" s="8" t="s">
        <v>1479</v>
      </c>
      <c r="G3520" s="8" t="s">
        <v>1480</v>
      </c>
      <c r="H3520" s="8">
        <v>-1.0</v>
      </c>
      <c r="I3520" s="8" t="s">
        <v>66</v>
      </c>
      <c r="J3520" s="8" t="s">
        <v>22</v>
      </c>
      <c r="K3520" s="8" t="s">
        <v>892</v>
      </c>
      <c r="L3520" s="8" t="s">
        <v>24</v>
      </c>
      <c r="M3520" s="9">
        <v>0.0</v>
      </c>
      <c r="N3520" s="9">
        <v>0.25</v>
      </c>
      <c r="O3520" s="9">
        <v>0.25</v>
      </c>
      <c r="P3520" s="10">
        <v>45556.0</v>
      </c>
      <c r="Q3520" s="11">
        <v>1.975</v>
      </c>
      <c r="R3520" s="8" t="s">
        <v>33</v>
      </c>
      <c r="S3520" s="12">
        <f t="shared" si="1"/>
        <v>0.24375</v>
      </c>
      <c r="T3520" s="12">
        <f t="shared" si="8"/>
        <v>111.7913715</v>
      </c>
      <c r="U3520" s="145"/>
    </row>
    <row r="3521">
      <c r="A3521" s="29"/>
      <c r="B3521" s="15" t="s">
        <v>137</v>
      </c>
      <c r="C3521" s="15" t="s">
        <v>40</v>
      </c>
      <c r="D3521" s="15"/>
      <c r="E3521" s="15" t="s">
        <v>2052</v>
      </c>
      <c r="F3521" s="15" t="s">
        <v>1473</v>
      </c>
      <c r="G3521" s="15" t="s">
        <v>1480</v>
      </c>
      <c r="H3521" s="15">
        <v>-1.0</v>
      </c>
      <c r="I3521" s="15" t="s">
        <v>93</v>
      </c>
      <c r="J3521" s="15" t="s">
        <v>22</v>
      </c>
      <c r="K3521" s="15" t="s">
        <v>892</v>
      </c>
      <c r="L3521" s="15" t="s">
        <v>24</v>
      </c>
      <c r="M3521" s="16">
        <v>0.0</v>
      </c>
      <c r="N3521" s="16">
        <v>0.5</v>
      </c>
      <c r="O3521" s="16">
        <v>0.5</v>
      </c>
      <c r="P3521" s="17">
        <v>45556.0</v>
      </c>
      <c r="Q3521" s="18">
        <v>2.35</v>
      </c>
      <c r="R3521" s="15" t="s">
        <v>25</v>
      </c>
      <c r="S3521" s="19">
        <f t="shared" si="1"/>
        <v>-0.5</v>
      </c>
      <c r="T3521" s="19">
        <f t="shared" si="8"/>
        <v>111.2913715</v>
      </c>
      <c r="U3521" s="144"/>
    </row>
    <row r="3522">
      <c r="A3522" s="107"/>
      <c r="B3522" s="8" t="s">
        <v>26</v>
      </c>
      <c r="C3522" s="8" t="s">
        <v>19</v>
      </c>
      <c r="D3522" s="8"/>
      <c r="E3522" s="8" t="s">
        <v>2053</v>
      </c>
      <c r="F3522" s="8" t="s">
        <v>1473</v>
      </c>
      <c r="G3522" s="8" t="s">
        <v>1480</v>
      </c>
      <c r="H3522" s="8">
        <v>2.0</v>
      </c>
      <c r="I3522" s="8" t="s">
        <v>121</v>
      </c>
      <c r="J3522" s="8" t="s">
        <v>22</v>
      </c>
      <c r="K3522" s="8" t="s">
        <v>892</v>
      </c>
      <c r="L3522" s="8" t="s">
        <v>24</v>
      </c>
      <c r="M3522" s="9">
        <v>0.0</v>
      </c>
      <c r="N3522" s="9">
        <v>0.5</v>
      </c>
      <c r="O3522" s="9">
        <v>0.5</v>
      </c>
      <c r="P3522" s="10">
        <v>45556.0</v>
      </c>
      <c r="Q3522" s="11">
        <v>1.75</v>
      </c>
      <c r="R3522" s="8" t="s">
        <v>25</v>
      </c>
      <c r="S3522" s="12">
        <f t="shared" si="1"/>
        <v>-0.5</v>
      </c>
      <c r="T3522" s="12">
        <f t="shared" si="8"/>
        <v>110.7913715</v>
      </c>
      <c r="U3522" s="145"/>
    </row>
    <row r="3523">
      <c r="A3523" s="29"/>
      <c r="B3523" s="15" t="s">
        <v>18</v>
      </c>
      <c r="C3523" s="15" t="s">
        <v>19</v>
      </c>
      <c r="D3523" s="15"/>
      <c r="E3523" s="15" t="s">
        <v>2054</v>
      </c>
      <c r="F3523" s="15" t="s">
        <v>1473</v>
      </c>
      <c r="G3523" s="15" t="s">
        <v>1480</v>
      </c>
      <c r="H3523" s="15">
        <v>-1.0</v>
      </c>
      <c r="I3523" s="15" t="s">
        <v>245</v>
      </c>
      <c r="J3523" s="15" t="s">
        <v>22</v>
      </c>
      <c r="K3523" s="15" t="s">
        <v>892</v>
      </c>
      <c r="L3523" s="15" t="s">
        <v>24</v>
      </c>
      <c r="M3523" s="16">
        <v>0.0</v>
      </c>
      <c r="N3523" s="16">
        <v>0.25</v>
      </c>
      <c r="O3523" s="16">
        <v>0.25</v>
      </c>
      <c r="P3523" s="17">
        <v>45556.0</v>
      </c>
      <c r="Q3523" s="18">
        <v>1.85</v>
      </c>
      <c r="R3523" s="15" t="s">
        <v>70</v>
      </c>
      <c r="S3523" s="19">
        <f t="shared" si="1"/>
        <v>0</v>
      </c>
      <c r="T3523" s="19">
        <f t="shared" si="8"/>
        <v>110.7913715</v>
      </c>
      <c r="U3523" s="144"/>
    </row>
    <row r="3524">
      <c r="A3524" s="107"/>
      <c r="B3524" s="8" t="s">
        <v>131</v>
      </c>
      <c r="C3524" s="8" t="s">
        <v>19</v>
      </c>
      <c r="D3524" s="8"/>
      <c r="E3524" s="8" t="s">
        <v>2055</v>
      </c>
      <c r="F3524" s="8" t="s">
        <v>1479</v>
      </c>
      <c r="G3524" s="8" t="s">
        <v>1480</v>
      </c>
      <c r="H3524" s="8">
        <v>-1.0</v>
      </c>
      <c r="I3524" s="8" t="s">
        <v>1194</v>
      </c>
      <c r="J3524" s="8" t="s">
        <v>22</v>
      </c>
      <c r="K3524" s="8" t="s">
        <v>892</v>
      </c>
      <c r="L3524" s="8" t="s">
        <v>24</v>
      </c>
      <c r="M3524" s="9">
        <v>0.0</v>
      </c>
      <c r="N3524" s="9">
        <v>0.5</v>
      </c>
      <c r="O3524" s="9">
        <v>0.5</v>
      </c>
      <c r="P3524" s="10">
        <v>45556.0</v>
      </c>
      <c r="Q3524" s="11">
        <v>2.0</v>
      </c>
      <c r="R3524" s="8" t="s">
        <v>25</v>
      </c>
      <c r="S3524" s="12">
        <f t="shared" si="1"/>
        <v>-0.5</v>
      </c>
      <c r="T3524" s="12">
        <f t="shared" si="8"/>
        <v>110.2913715</v>
      </c>
      <c r="U3524" s="145"/>
    </row>
    <row r="3525">
      <c r="A3525" s="29"/>
      <c r="B3525" s="15" t="s">
        <v>26</v>
      </c>
      <c r="C3525" s="15" t="s">
        <v>40</v>
      </c>
      <c r="D3525" s="15">
        <v>30.0</v>
      </c>
      <c r="E3525" s="15" t="s">
        <v>2056</v>
      </c>
      <c r="F3525" s="15" t="s">
        <v>1473</v>
      </c>
      <c r="G3525" s="15"/>
      <c r="H3525" s="15"/>
      <c r="I3525" s="15" t="s">
        <v>93</v>
      </c>
      <c r="J3525" s="15" t="s">
        <v>22</v>
      </c>
      <c r="K3525" s="15" t="s">
        <v>2057</v>
      </c>
      <c r="L3525" s="15" t="s">
        <v>24</v>
      </c>
      <c r="M3525" s="16">
        <v>0.0</v>
      </c>
      <c r="N3525" s="16">
        <v>0.5</v>
      </c>
      <c r="O3525" s="16">
        <v>0.5</v>
      </c>
      <c r="P3525" s="17">
        <v>45556.0</v>
      </c>
      <c r="Q3525" s="18">
        <v>1.72</v>
      </c>
      <c r="R3525" s="15" t="s">
        <v>70</v>
      </c>
      <c r="S3525" s="19">
        <f t="shared" si="1"/>
        <v>0</v>
      </c>
      <c r="T3525" s="19">
        <f t="shared" si="8"/>
        <v>110.2913715</v>
      </c>
      <c r="U3525" s="144"/>
    </row>
    <row r="3526">
      <c r="A3526" s="107"/>
      <c r="B3526" s="8" t="s">
        <v>26</v>
      </c>
      <c r="C3526" s="8" t="s">
        <v>19</v>
      </c>
      <c r="D3526" s="8">
        <v>84.0</v>
      </c>
      <c r="E3526" s="8" t="s">
        <v>2058</v>
      </c>
      <c r="F3526" s="8" t="s">
        <v>1473</v>
      </c>
      <c r="G3526" s="8"/>
      <c r="H3526" s="8"/>
      <c r="I3526" s="8" t="s">
        <v>231</v>
      </c>
      <c r="J3526" s="8" t="s">
        <v>22</v>
      </c>
      <c r="K3526" s="8" t="s">
        <v>892</v>
      </c>
      <c r="L3526" s="8" t="s">
        <v>24</v>
      </c>
      <c r="M3526" s="9">
        <v>0.0</v>
      </c>
      <c r="N3526" s="9">
        <v>0.5</v>
      </c>
      <c r="O3526" s="9">
        <v>0.5</v>
      </c>
      <c r="P3526" s="10">
        <v>45556.0</v>
      </c>
      <c r="Q3526" s="11">
        <v>2.35</v>
      </c>
      <c r="R3526" s="8" t="s">
        <v>70</v>
      </c>
      <c r="S3526" s="12">
        <f t="shared" si="1"/>
        <v>0</v>
      </c>
      <c r="T3526" s="12">
        <f t="shared" si="8"/>
        <v>110.2913715</v>
      </c>
      <c r="U3526" s="145"/>
    </row>
    <row r="3527">
      <c r="A3527" s="29"/>
      <c r="B3527" s="15" t="s">
        <v>137</v>
      </c>
      <c r="C3527" s="15" t="s">
        <v>19</v>
      </c>
      <c r="D3527" s="15"/>
      <c r="E3527" s="15" t="s">
        <v>2059</v>
      </c>
      <c r="F3527" s="15" t="s">
        <v>1473</v>
      </c>
      <c r="G3527" s="15" t="s">
        <v>1480</v>
      </c>
      <c r="H3527" s="15">
        <v>-2.0</v>
      </c>
      <c r="I3527" s="15" t="s">
        <v>432</v>
      </c>
      <c r="J3527" s="15" t="s">
        <v>22</v>
      </c>
      <c r="K3527" s="15" t="s">
        <v>892</v>
      </c>
      <c r="L3527" s="15" t="s">
        <v>24</v>
      </c>
      <c r="M3527" s="16">
        <v>0.0</v>
      </c>
      <c r="N3527" s="16">
        <v>0.5</v>
      </c>
      <c r="O3527" s="16">
        <v>0.5</v>
      </c>
      <c r="P3527" s="17">
        <v>45556.0</v>
      </c>
      <c r="Q3527" s="18">
        <v>1.85</v>
      </c>
      <c r="R3527" s="15" t="s">
        <v>70</v>
      </c>
      <c r="S3527" s="19">
        <f t="shared" si="1"/>
        <v>0</v>
      </c>
      <c r="T3527" s="19">
        <f t="shared" si="8"/>
        <v>110.2913715</v>
      </c>
      <c r="U3527" s="144"/>
    </row>
    <row r="3528">
      <c r="A3528" s="107"/>
      <c r="B3528" s="8" t="s">
        <v>18</v>
      </c>
      <c r="C3528" s="8" t="s">
        <v>19</v>
      </c>
      <c r="D3528" s="8"/>
      <c r="E3528" s="8" t="s">
        <v>2060</v>
      </c>
      <c r="F3528" s="8" t="s">
        <v>1479</v>
      </c>
      <c r="G3528" s="8" t="s">
        <v>1480</v>
      </c>
      <c r="H3528" s="8">
        <v>-1.0</v>
      </c>
      <c r="I3528" s="8" t="s">
        <v>448</v>
      </c>
      <c r="J3528" s="8" t="s">
        <v>22</v>
      </c>
      <c r="K3528" s="8" t="s">
        <v>892</v>
      </c>
      <c r="L3528" s="8" t="s">
        <v>24</v>
      </c>
      <c r="M3528" s="9">
        <v>0.0</v>
      </c>
      <c r="N3528" s="9">
        <v>0.5</v>
      </c>
      <c r="O3528" s="9">
        <v>0.5</v>
      </c>
      <c r="P3528" s="10">
        <v>45556.0</v>
      </c>
      <c r="Q3528" s="11">
        <v>1.95</v>
      </c>
      <c r="R3528" s="8" t="s">
        <v>70</v>
      </c>
      <c r="S3528" s="12">
        <f t="shared" si="1"/>
        <v>0</v>
      </c>
      <c r="T3528" s="12">
        <f t="shared" si="8"/>
        <v>110.2913715</v>
      </c>
      <c r="U3528" s="145"/>
    </row>
    <row r="3529">
      <c r="A3529" s="29"/>
      <c r="B3529" s="15" t="s">
        <v>26</v>
      </c>
      <c r="C3529" s="15" t="s">
        <v>40</v>
      </c>
      <c r="D3529" s="15"/>
      <c r="E3529" s="15" t="s">
        <v>2061</v>
      </c>
      <c r="F3529" s="15" t="s">
        <v>1479</v>
      </c>
      <c r="G3529" s="15" t="s">
        <v>1480</v>
      </c>
      <c r="H3529" s="15">
        <v>0.0</v>
      </c>
      <c r="I3529" s="15" t="s">
        <v>124</v>
      </c>
      <c r="J3529" s="15" t="s">
        <v>22</v>
      </c>
      <c r="K3529" s="15" t="s">
        <v>892</v>
      </c>
      <c r="L3529" s="15" t="s">
        <v>24</v>
      </c>
      <c r="M3529" s="16">
        <v>0.0</v>
      </c>
      <c r="N3529" s="16">
        <v>0.25</v>
      </c>
      <c r="O3529" s="16">
        <v>0.25</v>
      </c>
      <c r="P3529" s="17">
        <v>45556.0</v>
      </c>
      <c r="Q3529" s="18">
        <v>1.65</v>
      </c>
      <c r="R3529" s="15" t="s">
        <v>33</v>
      </c>
      <c r="S3529" s="19">
        <f t="shared" si="1"/>
        <v>0.1625</v>
      </c>
      <c r="T3529" s="19">
        <f t="shared" si="8"/>
        <v>110.4538715</v>
      </c>
      <c r="U3529" s="144"/>
    </row>
    <row r="3530">
      <c r="A3530" s="107"/>
      <c r="B3530" s="8" t="s">
        <v>26</v>
      </c>
      <c r="C3530" s="8" t="s">
        <v>19</v>
      </c>
      <c r="D3530" s="8"/>
      <c r="E3530" s="8" t="s">
        <v>2062</v>
      </c>
      <c r="F3530" s="8" t="s">
        <v>1473</v>
      </c>
      <c r="G3530" s="8" t="s">
        <v>1480</v>
      </c>
      <c r="H3530" s="8">
        <v>-1.0</v>
      </c>
      <c r="I3530" s="8" t="s">
        <v>50</v>
      </c>
      <c r="J3530" s="8" t="s">
        <v>22</v>
      </c>
      <c r="K3530" s="8" t="s">
        <v>892</v>
      </c>
      <c r="L3530" s="8" t="s">
        <v>24</v>
      </c>
      <c r="M3530" s="9">
        <v>0.0</v>
      </c>
      <c r="N3530" s="9">
        <v>0.25</v>
      </c>
      <c r="O3530" s="9">
        <v>0.1296</v>
      </c>
      <c r="P3530" s="10">
        <v>45556.0</v>
      </c>
      <c r="Q3530" s="11">
        <v>2.075</v>
      </c>
      <c r="R3530" s="8" t="s">
        <v>33</v>
      </c>
      <c r="S3530" s="12">
        <f t="shared" si="1"/>
        <v>0.13932</v>
      </c>
      <c r="T3530" s="12">
        <f t="shared" si="8"/>
        <v>110.5931915</v>
      </c>
      <c r="U3530" s="145"/>
    </row>
    <row r="3531">
      <c r="A3531" s="29"/>
      <c r="B3531" s="15" t="s">
        <v>18</v>
      </c>
      <c r="C3531" s="15" t="s">
        <v>19</v>
      </c>
      <c r="D3531" s="15"/>
      <c r="E3531" s="15" t="s">
        <v>2063</v>
      </c>
      <c r="F3531" s="15" t="s">
        <v>1473</v>
      </c>
      <c r="G3531" s="15"/>
      <c r="H3531" s="15"/>
      <c r="I3531" s="15" t="s">
        <v>93</v>
      </c>
      <c r="J3531" s="15" t="s">
        <v>22</v>
      </c>
      <c r="K3531" s="15" t="s">
        <v>941</v>
      </c>
      <c r="L3531" s="15" t="s">
        <v>24</v>
      </c>
      <c r="M3531" s="16">
        <v>0.0</v>
      </c>
      <c r="N3531" s="16">
        <v>0.25</v>
      </c>
      <c r="O3531" s="16">
        <v>0.25</v>
      </c>
      <c r="P3531" s="17">
        <v>45556.0</v>
      </c>
      <c r="Q3531" s="18">
        <v>2.38</v>
      </c>
      <c r="R3531" s="15" t="s">
        <v>70</v>
      </c>
      <c r="S3531" s="19">
        <f t="shared" si="1"/>
        <v>0</v>
      </c>
      <c r="T3531" s="19">
        <f t="shared" si="8"/>
        <v>110.5931915</v>
      </c>
      <c r="U3531" s="144"/>
    </row>
    <row r="3532">
      <c r="A3532" s="107"/>
      <c r="B3532" s="8" t="s">
        <v>129</v>
      </c>
      <c r="C3532" s="8" t="s">
        <v>19</v>
      </c>
      <c r="D3532" s="8"/>
      <c r="E3532" s="8" t="s">
        <v>2064</v>
      </c>
      <c r="F3532" s="8" t="s">
        <v>1473</v>
      </c>
      <c r="G3532" s="8" t="s">
        <v>1480</v>
      </c>
      <c r="H3532" s="8">
        <v>0.0</v>
      </c>
      <c r="I3532" s="8" t="s">
        <v>768</v>
      </c>
      <c r="J3532" s="8" t="s">
        <v>22</v>
      </c>
      <c r="K3532" s="8" t="s">
        <v>892</v>
      </c>
      <c r="L3532" s="8" t="s">
        <v>24</v>
      </c>
      <c r="M3532" s="9">
        <v>0.0</v>
      </c>
      <c r="N3532" s="9">
        <v>0.5</v>
      </c>
      <c r="O3532" s="9">
        <v>0.5</v>
      </c>
      <c r="P3532" s="10">
        <v>45556.0</v>
      </c>
      <c r="Q3532" s="11">
        <v>1.775</v>
      </c>
      <c r="R3532" s="8" t="s">
        <v>70</v>
      </c>
      <c r="S3532" s="12">
        <f t="shared" si="1"/>
        <v>0</v>
      </c>
      <c r="T3532" s="12">
        <f t="shared" si="8"/>
        <v>110.5931915</v>
      </c>
      <c r="U3532" s="145"/>
    </row>
    <row r="3533">
      <c r="A3533" s="29"/>
      <c r="B3533" s="15" t="s">
        <v>26</v>
      </c>
      <c r="C3533" s="15" t="s">
        <v>19</v>
      </c>
      <c r="D3533" s="15"/>
      <c r="E3533" s="15" t="s">
        <v>2065</v>
      </c>
      <c r="F3533" s="15" t="s">
        <v>1473</v>
      </c>
      <c r="G3533" s="15" t="s">
        <v>1480</v>
      </c>
      <c r="H3533" s="15">
        <v>2.0</v>
      </c>
      <c r="I3533" s="15" t="s">
        <v>99</v>
      </c>
      <c r="J3533" s="15" t="s">
        <v>22</v>
      </c>
      <c r="K3533" s="15" t="s">
        <v>892</v>
      </c>
      <c r="L3533" s="15" t="s">
        <v>24</v>
      </c>
      <c r="M3533" s="16">
        <v>0.0</v>
      </c>
      <c r="N3533" s="16">
        <v>0.25</v>
      </c>
      <c r="O3533" s="16">
        <v>0.25</v>
      </c>
      <c r="P3533" s="17">
        <v>45557.0</v>
      </c>
      <c r="Q3533" s="18">
        <v>1.825</v>
      </c>
      <c r="R3533" s="15" t="s">
        <v>70</v>
      </c>
      <c r="S3533" s="19">
        <f t="shared" si="1"/>
        <v>0</v>
      </c>
      <c r="T3533" s="19">
        <f t="shared" si="8"/>
        <v>110.5931915</v>
      </c>
      <c r="U3533" s="144"/>
    </row>
    <row r="3534">
      <c r="A3534" s="107"/>
      <c r="B3534" s="8" t="s">
        <v>137</v>
      </c>
      <c r="C3534" s="8" t="s">
        <v>19</v>
      </c>
      <c r="D3534" s="8"/>
      <c r="E3534" s="8" t="s">
        <v>2066</v>
      </c>
      <c r="F3534" s="8" t="s">
        <v>1473</v>
      </c>
      <c r="G3534" s="8" t="s">
        <v>1474</v>
      </c>
      <c r="H3534" s="8">
        <v>0.0</v>
      </c>
      <c r="I3534" s="8" t="s">
        <v>93</v>
      </c>
      <c r="J3534" s="8" t="s">
        <v>22</v>
      </c>
      <c r="K3534" s="8" t="s">
        <v>225</v>
      </c>
      <c r="L3534" s="8" t="s">
        <v>24</v>
      </c>
      <c r="M3534" s="9">
        <v>0.25</v>
      </c>
      <c r="N3534" s="9">
        <v>0.25</v>
      </c>
      <c r="O3534" s="9">
        <v>0.2364</v>
      </c>
      <c r="P3534" s="10">
        <v>45557.0</v>
      </c>
      <c r="Q3534" s="11">
        <v>1.9</v>
      </c>
      <c r="R3534" s="8" t="s">
        <v>30</v>
      </c>
      <c r="S3534" s="12">
        <f t="shared" si="1"/>
        <v>0.10638</v>
      </c>
      <c r="T3534" s="12">
        <f t="shared" si="8"/>
        <v>110.6995715</v>
      </c>
      <c r="U3534" s="145"/>
    </row>
    <row r="3535">
      <c r="A3535" s="29"/>
      <c r="B3535" s="15" t="s">
        <v>26</v>
      </c>
      <c r="C3535" s="15" t="s">
        <v>19</v>
      </c>
      <c r="D3535" s="15"/>
      <c r="E3535" s="15" t="s">
        <v>2067</v>
      </c>
      <c r="F3535" s="15" t="s">
        <v>1473</v>
      </c>
      <c r="G3535" s="15" t="s">
        <v>1474</v>
      </c>
      <c r="H3535" s="15">
        <v>-1.0</v>
      </c>
      <c r="I3535" s="15" t="s">
        <v>48</v>
      </c>
      <c r="J3535" s="15" t="s">
        <v>22</v>
      </c>
      <c r="K3535" s="15" t="s">
        <v>225</v>
      </c>
      <c r="L3535" s="15" t="s">
        <v>24</v>
      </c>
      <c r="M3535" s="16">
        <v>0.75</v>
      </c>
      <c r="N3535" s="16">
        <v>0.25</v>
      </c>
      <c r="O3535" s="16">
        <v>0.2</v>
      </c>
      <c r="P3535" s="17">
        <v>45557.0</v>
      </c>
      <c r="Q3535" s="18">
        <v>1.75</v>
      </c>
      <c r="R3535" s="15" t="s">
        <v>79</v>
      </c>
      <c r="S3535" s="19">
        <f t="shared" si="1"/>
        <v>-0.1</v>
      </c>
      <c r="T3535" s="19">
        <f t="shared" si="8"/>
        <v>110.5995715</v>
      </c>
      <c r="U3535" s="144"/>
    </row>
    <row r="3536">
      <c r="A3536" s="107"/>
      <c r="B3536" s="8" t="s">
        <v>26</v>
      </c>
      <c r="C3536" s="8" t="s">
        <v>19</v>
      </c>
      <c r="D3536" s="8"/>
      <c r="E3536" s="8" t="s">
        <v>2068</v>
      </c>
      <c r="F3536" s="8" t="s">
        <v>1473</v>
      </c>
      <c r="G3536" s="8" t="s">
        <v>1474</v>
      </c>
      <c r="H3536" s="8">
        <v>-1.0</v>
      </c>
      <c r="I3536" s="8" t="s">
        <v>48</v>
      </c>
      <c r="J3536" s="8" t="s">
        <v>22</v>
      </c>
      <c r="K3536" s="8" t="s">
        <v>225</v>
      </c>
      <c r="L3536" s="8" t="s">
        <v>24</v>
      </c>
      <c r="M3536" s="9">
        <v>0.5</v>
      </c>
      <c r="N3536" s="9">
        <v>0.5</v>
      </c>
      <c r="O3536" s="9">
        <v>0.5</v>
      </c>
      <c r="P3536" s="10">
        <v>45557.0</v>
      </c>
      <c r="Q3536" s="11">
        <v>2.025</v>
      </c>
      <c r="R3536" s="8" t="s">
        <v>25</v>
      </c>
      <c r="S3536" s="12">
        <f t="shared" si="1"/>
        <v>-0.5</v>
      </c>
      <c r="T3536" s="12">
        <f t="shared" si="8"/>
        <v>110.0995715</v>
      </c>
      <c r="U3536" s="145"/>
    </row>
    <row r="3537">
      <c r="A3537" s="29"/>
      <c r="B3537" s="15" t="s">
        <v>26</v>
      </c>
      <c r="C3537" s="15" t="s">
        <v>19</v>
      </c>
      <c r="D3537" s="15"/>
      <c r="E3537" s="15" t="s">
        <v>2069</v>
      </c>
      <c r="F3537" s="15" t="s">
        <v>1473</v>
      </c>
      <c r="G3537" s="15"/>
      <c r="H3537" s="15">
        <v>-1.0</v>
      </c>
      <c r="I3537" s="15" t="s">
        <v>48</v>
      </c>
      <c r="J3537" s="15" t="s">
        <v>22</v>
      </c>
      <c r="K3537" s="15" t="s">
        <v>1165</v>
      </c>
      <c r="L3537" s="15" t="s">
        <v>24</v>
      </c>
      <c r="M3537" s="16"/>
      <c r="N3537" s="16">
        <v>0.1</v>
      </c>
      <c r="O3537" s="16">
        <v>0.1</v>
      </c>
      <c r="P3537" s="17">
        <v>45557.0</v>
      </c>
      <c r="Q3537" s="18">
        <v>4.0</v>
      </c>
      <c r="R3537" s="15" t="s">
        <v>25</v>
      </c>
      <c r="S3537" s="19">
        <f t="shared" si="1"/>
        <v>-0.1</v>
      </c>
      <c r="T3537" s="19">
        <f t="shared" si="8"/>
        <v>109.9995715</v>
      </c>
      <c r="U3537" s="144"/>
    </row>
    <row r="3538">
      <c r="A3538" s="107"/>
      <c r="B3538" s="8" t="s">
        <v>26</v>
      </c>
      <c r="C3538" s="8" t="s">
        <v>19</v>
      </c>
      <c r="D3538" s="8"/>
      <c r="E3538" s="8" t="s">
        <v>2070</v>
      </c>
      <c r="F3538" s="8" t="s">
        <v>1473</v>
      </c>
      <c r="G3538" s="8" t="s">
        <v>1474</v>
      </c>
      <c r="H3538" s="8">
        <v>-1.0</v>
      </c>
      <c r="I3538" s="8" t="s">
        <v>48</v>
      </c>
      <c r="J3538" s="8" t="s">
        <v>22</v>
      </c>
      <c r="K3538" s="8" t="s">
        <v>225</v>
      </c>
      <c r="L3538" s="8" t="s">
        <v>24</v>
      </c>
      <c r="M3538" s="9">
        <v>0.25</v>
      </c>
      <c r="N3538" s="9">
        <v>0.15</v>
      </c>
      <c r="O3538" s="9">
        <v>0.15</v>
      </c>
      <c r="P3538" s="10">
        <v>45557.0</v>
      </c>
      <c r="Q3538" s="11">
        <v>2.025</v>
      </c>
      <c r="R3538" s="8" t="s">
        <v>25</v>
      </c>
      <c r="S3538" s="12">
        <f t="shared" si="1"/>
        <v>-0.15</v>
      </c>
      <c r="T3538" s="12">
        <f t="shared" si="8"/>
        <v>109.8495715</v>
      </c>
      <c r="U3538" s="145"/>
    </row>
    <row r="3539">
      <c r="A3539" s="29"/>
      <c r="B3539" s="15" t="s">
        <v>26</v>
      </c>
      <c r="C3539" s="15" t="s">
        <v>19</v>
      </c>
      <c r="D3539" s="15"/>
      <c r="E3539" s="15" t="s">
        <v>2071</v>
      </c>
      <c r="F3539" s="15" t="s">
        <v>1479</v>
      </c>
      <c r="G3539" s="15" t="s">
        <v>1474</v>
      </c>
      <c r="H3539" s="15">
        <v>0.0</v>
      </c>
      <c r="I3539" s="15" t="s">
        <v>93</v>
      </c>
      <c r="J3539" s="15" t="s">
        <v>22</v>
      </c>
      <c r="K3539" s="15" t="s">
        <v>225</v>
      </c>
      <c r="L3539" s="15" t="s">
        <v>24</v>
      </c>
      <c r="M3539" s="16">
        <v>0.25</v>
      </c>
      <c r="N3539" s="16">
        <v>0.25</v>
      </c>
      <c r="O3539" s="16">
        <v>0.1045</v>
      </c>
      <c r="P3539" s="17">
        <v>45557.0</v>
      </c>
      <c r="Q3539" s="18">
        <v>1.775</v>
      </c>
      <c r="R3539" s="15" t="s">
        <v>33</v>
      </c>
      <c r="S3539" s="19">
        <f t="shared" si="1"/>
        <v>0.0809875</v>
      </c>
      <c r="T3539" s="19">
        <f t="shared" si="8"/>
        <v>109.930559</v>
      </c>
      <c r="U3539" s="144"/>
    </row>
    <row r="3540">
      <c r="A3540" s="107"/>
      <c r="B3540" s="8" t="s">
        <v>26</v>
      </c>
      <c r="C3540" s="8" t="s">
        <v>19</v>
      </c>
      <c r="D3540" s="8"/>
      <c r="E3540" s="8" t="s">
        <v>2072</v>
      </c>
      <c r="F3540" s="8" t="s">
        <v>1479</v>
      </c>
      <c r="G3540" s="8" t="s">
        <v>1480</v>
      </c>
      <c r="H3540" s="8">
        <v>2.0</v>
      </c>
      <c r="I3540" s="8" t="s">
        <v>44</v>
      </c>
      <c r="J3540" s="8" t="s">
        <v>22</v>
      </c>
      <c r="K3540" s="8" t="s">
        <v>892</v>
      </c>
      <c r="L3540" s="8" t="s">
        <v>24</v>
      </c>
      <c r="M3540" s="9">
        <v>0.0</v>
      </c>
      <c r="N3540" s="9">
        <v>0.5</v>
      </c>
      <c r="O3540" s="9">
        <v>0.5</v>
      </c>
      <c r="P3540" s="10">
        <v>45557.0</v>
      </c>
      <c r="Q3540" s="11">
        <v>1.675</v>
      </c>
      <c r="R3540" s="8" t="s">
        <v>33</v>
      </c>
      <c r="S3540" s="12">
        <f t="shared" si="1"/>
        <v>0.3375</v>
      </c>
      <c r="T3540" s="12">
        <f t="shared" si="8"/>
        <v>110.268059</v>
      </c>
      <c r="U3540" s="145"/>
    </row>
    <row r="3541">
      <c r="A3541" s="29"/>
      <c r="B3541" s="15" t="s">
        <v>135</v>
      </c>
      <c r="C3541" s="15" t="s">
        <v>19</v>
      </c>
      <c r="D3541" s="15">
        <v>0.0</v>
      </c>
      <c r="E3541" s="15" t="s">
        <v>2073</v>
      </c>
      <c r="F3541" s="15"/>
      <c r="G3541" s="15"/>
      <c r="H3541" s="15"/>
      <c r="I3541" s="15" t="s">
        <v>162</v>
      </c>
      <c r="J3541" s="15" t="s">
        <v>598</v>
      </c>
      <c r="K3541" s="15" t="s">
        <v>29</v>
      </c>
      <c r="L3541" s="15" t="s">
        <v>24</v>
      </c>
      <c r="M3541" s="16">
        <v>-2.75</v>
      </c>
      <c r="N3541" s="16">
        <v>0.25</v>
      </c>
      <c r="O3541" s="16">
        <v>0.25</v>
      </c>
      <c r="P3541" s="17">
        <v>45557.0</v>
      </c>
      <c r="Q3541" s="18">
        <v>2.0</v>
      </c>
      <c r="R3541" s="15" t="s">
        <v>25</v>
      </c>
      <c r="S3541" s="19">
        <f t="shared" si="1"/>
        <v>-0.25</v>
      </c>
      <c r="T3541" s="19">
        <f t="shared" si="8"/>
        <v>110.018059</v>
      </c>
      <c r="U3541" s="144"/>
    </row>
    <row r="3542">
      <c r="A3542" s="107"/>
      <c r="B3542" s="8" t="s">
        <v>26</v>
      </c>
      <c r="C3542" s="8" t="s">
        <v>19</v>
      </c>
      <c r="D3542" s="8">
        <v>0.0</v>
      </c>
      <c r="E3542" s="8" t="s">
        <v>2074</v>
      </c>
      <c r="F3542" s="8"/>
      <c r="G3542" s="8"/>
      <c r="H3542" s="8"/>
      <c r="I3542" s="8" t="s">
        <v>1470</v>
      </c>
      <c r="J3542" s="8" t="s">
        <v>598</v>
      </c>
      <c r="K3542" s="8" t="s">
        <v>29</v>
      </c>
      <c r="L3542" s="8" t="s">
        <v>24</v>
      </c>
      <c r="M3542" s="9">
        <v>-2.25</v>
      </c>
      <c r="N3542" s="9">
        <v>0.5</v>
      </c>
      <c r="O3542" s="9">
        <v>0.4455</v>
      </c>
      <c r="P3542" s="10">
        <v>45557.0</v>
      </c>
      <c r="Q3542" s="11">
        <v>1.75</v>
      </c>
      <c r="R3542" s="8" t="s">
        <v>33</v>
      </c>
      <c r="S3542" s="12">
        <f t="shared" si="1"/>
        <v>0.334125</v>
      </c>
      <c r="T3542" s="12">
        <f t="shared" si="8"/>
        <v>110.352184</v>
      </c>
      <c r="U3542" s="145"/>
    </row>
    <row r="3543">
      <c r="A3543" s="29"/>
      <c r="B3543" s="15" t="s">
        <v>26</v>
      </c>
      <c r="C3543" s="15" t="s">
        <v>19</v>
      </c>
      <c r="D3543" s="15">
        <v>6.0</v>
      </c>
      <c r="E3543" s="15" t="s">
        <v>2075</v>
      </c>
      <c r="F3543" s="15"/>
      <c r="G3543" s="15"/>
      <c r="H3543" s="15"/>
      <c r="I3543" s="15" t="s">
        <v>1470</v>
      </c>
      <c r="J3543" s="15" t="s">
        <v>22</v>
      </c>
      <c r="K3543" s="15" t="s">
        <v>29</v>
      </c>
      <c r="L3543" s="15" t="s">
        <v>24</v>
      </c>
      <c r="M3543" s="16">
        <v>-3.25</v>
      </c>
      <c r="N3543" s="16">
        <v>0.25</v>
      </c>
      <c r="O3543" s="16">
        <v>0.25</v>
      </c>
      <c r="P3543" s="17">
        <v>45557.0</v>
      </c>
      <c r="Q3543" s="18">
        <v>1.825</v>
      </c>
      <c r="R3543" s="15" t="s">
        <v>25</v>
      </c>
      <c r="S3543" s="19">
        <f t="shared" si="1"/>
        <v>-0.25</v>
      </c>
      <c r="T3543" s="19">
        <f t="shared" si="8"/>
        <v>110.102184</v>
      </c>
      <c r="U3543" s="144"/>
    </row>
    <row r="3544">
      <c r="A3544" s="107"/>
      <c r="B3544" s="8" t="s">
        <v>26</v>
      </c>
      <c r="C3544" s="8" t="s">
        <v>40</v>
      </c>
      <c r="D3544" s="8">
        <v>18.0</v>
      </c>
      <c r="E3544" s="8" t="s">
        <v>2076</v>
      </c>
      <c r="F3544" s="8" t="s">
        <v>1473</v>
      </c>
      <c r="G3544" s="8"/>
      <c r="H3544" s="8">
        <v>0.0</v>
      </c>
      <c r="I3544" s="8" t="s">
        <v>82</v>
      </c>
      <c r="J3544" s="8" t="s">
        <v>22</v>
      </c>
      <c r="K3544" s="8" t="s">
        <v>1847</v>
      </c>
      <c r="L3544" s="8" t="s">
        <v>24</v>
      </c>
      <c r="M3544" s="9">
        <v>-0.5</v>
      </c>
      <c r="N3544" s="9">
        <v>0.25</v>
      </c>
      <c r="O3544" s="9">
        <v>0.1384</v>
      </c>
      <c r="P3544" s="10">
        <v>45557.0</v>
      </c>
      <c r="Q3544" s="11">
        <v>1.727</v>
      </c>
      <c r="R3544" s="8" t="s">
        <v>33</v>
      </c>
      <c r="S3544" s="12">
        <f t="shared" si="1"/>
        <v>0.1006168</v>
      </c>
      <c r="T3544" s="12">
        <f t="shared" si="8"/>
        <v>110.2028008</v>
      </c>
      <c r="U3544" s="145"/>
    </row>
    <row r="3545">
      <c r="A3545" s="29"/>
      <c r="B3545" s="15" t="s">
        <v>129</v>
      </c>
      <c r="C3545" s="15" t="s">
        <v>19</v>
      </c>
      <c r="D3545" s="15">
        <v>21.0</v>
      </c>
      <c r="E3545" s="15" t="s">
        <v>2077</v>
      </c>
      <c r="F3545" s="15" t="s">
        <v>1473</v>
      </c>
      <c r="G3545" s="15" t="s">
        <v>1480</v>
      </c>
      <c r="H3545" s="15">
        <v>0.0</v>
      </c>
      <c r="I3545" s="15" t="s">
        <v>463</v>
      </c>
      <c r="J3545" s="15" t="s">
        <v>22</v>
      </c>
      <c r="K3545" s="15" t="s">
        <v>892</v>
      </c>
      <c r="L3545" s="15" t="s">
        <v>24</v>
      </c>
      <c r="M3545" s="16">
        <v>0.0</v>
      </c>
      <c r="N3545" s="16">
        <v>0.75</v>
      </c>
      <c r="O3545" s="16">
        <v>0.75</v>
      </c>
      <c r="P3545" s="55">
        <v>45557.0</v>
      </c>
      <c r="Q3545" s="18">
        <v>1.8</v>
      </c>
      <c r="R3545" s="15" t="s">
        <v>25</v>
      </c>
      <c r="S3545" s="19">
        <f t="shared" si="1"/>
        <v>-0.75</v>
      </c>
      <c r="T3545" s="19">
        <f t="shared" si="8"/>
        <v>109.4528008</v>
      </c>
      <c r="U3545" s="144"/>
    </row>
    <row r="3546">
      <c r="A3546" s="107"/>
      <c r="B3546" s="8" t="s">
        <v>135</v>
      </c>
      <c r="C3546" s="8" t="s">
        <v>19</v>
      </c>
      <c r="D3546" s="8">
        <v>0.0</v>
      </c>
      <c r="E3546" s="8" t="s">
        <v>2078</v>
      </c>
      <c r="F3546" s="114"/>
      <c r="G3546" s="8"/>
      <c r="H3546" s="8"/>
      <c r="I3546" s="8" t="s">
        <v>121</v>
      </c>
      <c r="J3546" s="8" t="s">
        <v>598</v>
      </c>
      <c r="K3546" s="8" t="s">
        <v>29</v>
      </c>
      <c r="L3546" s="8" t="s">
        <v>24</v>
      </c>
      <c r="M3546" s="9">
        <v>-3.0</v>
      </c>
      <c r="N3546" s="9">
        <v>0.25</v>
      </c>
      <c r="O3546" s="9">
        <v>0.25</v>
      </c>
      <c r="P3546" s="10">
        <v>45557.0</v>
      </c>
      <c r="Q3546" s="11">
        <v>1.85</v>
      </c>
      <c r="R3546" s="8" t="s">
        <v>33</v>
      </c>
      <c r="S3546" s="12">
        <f t="shared" si="1"/>
        <v>0.2125</v>
      </c>
      <c r="T3546" s="12">
        <f t="shared" si="8"/>
        <v>109.6653008</v>
      </c>
      <c r="U3546" s="145"/>
    </row>
    <row r="3547">
      <c r="A3547" s="29"/>
      <c r="B3547" s="15" t="s">
        <v>135</v>
      </c>
      <c r="C3547" s="15" t="s">
        <v>19</v>
      </c>
      <c r="D3547" s="15">
        <v>0.0</v>
      </c>
      <c r="E3547" s="15" t="s">
        <v>2079</v>
      </c>
      <c r="F3547" s="15"/>
      <c r="G3547" s="15"/>
      <c r="H3547" s="15"/>
      <c r="I3547" s="15" t="s">
        <v>121</v>
      </c>
      <c r="J3547" s="15" t="s">
        <v>598</v>
      </c>
      <c r="K3547" s="15" t="s">
        <v>29</v>
      </c>
      <c r="L3547" s="15" t="s">
        <v>24</v>
      </c>
      <c r="M3547" s="16">
        <v>-2.5</v>
      </c>
      <c r="N3547" s="16">
        <v>0.25</v>
      </c>
      <c r="O3547" s="16">
        <v>0.25</v>
      </c>
      <c r="P3547" s="17">
        <v>45557.0</v>
      </c>
      <c r="Q3547" s="18">
        <v>1.725</v>
      </c>
      <c r="R3547" s="15" t="s">
        <v>25</v>
      </c>
      <c r="S3547" s="19">
        <f t="shared" si="1"/>
        <v>-0.25</v>
      </c>
      <c r="T3547" s="19">
        <f t="shared" si="8"/>
        <v>109.4153008</v>
      </c>
      <c r="U3547" s="144"/>
    </row>
    <row r="3548">
      <c r="A3548" s="107"/>
      <c r="B3548" s="8" t="s">
        <v>137</v>
      </c>
      <c r="C3548" s="8" t="s">
        <v>19</v>
      </c>
      <c r="D3548" s="8">
        <v>72.0</v>
      </c>
      <c r="E3548" s="8" t="s">
        <v>2080</v>
      </c>
      <c r="F3548" s="8" t="s">
        <v>1473</v>
      </c>
      <c r="G3548" s="8" t="s">
        <v>1480</v>
      </c>
      <c r="H3548" s="8">
        <v>-1.0</v>
      </c>
      <c r="I3548" s="8" t="s">
        <v>84</v>
      </c>
      <c r="J3548" s="8" t="s">
        <v>22</v>
      </c>
      <c r="K3548" s="8" t="s">
        <v>892</v>
      </c>
      <c r="L3548" s="8" t="s">
        <v>24</v>
      </c>
      <c r="M3548" s="9">
        <v>0.0</v>
      </c>
      <c r="N3548" s="9">
        <v>0.5</v>
      </c>
      <c r="O3548" s="9">
        <v>0.5</v>
      </c>
      <c r="P3548" s="10">
        <v>45557.0</v>
      </c>
      <c r="Q3548" s="11">
        <v>1.65</v>
      </c>
      <c r="R3548" s="8" t="s">
        <v>70</v>
      </c>
      <c r="S3548" s="12">
        <f t="shared" si="1"/>
        <v>0</v>
      </c>
      <c r="T3548" s="12">
        <f t="shared" si="8"/>
        <v>109.4153008</v>
      </c>
      <c r="U3548" s="145"/>
    </row>
    <row r="3549">
      <c r="A3549" s="29"/>
      <c r="B3549" s="15" t="s">
        <v>26</v>
      </c>
      <c r="C3549" s="15" t="s">
        <v>19</v>
      </c>
      <c r="D3549" s="15">
        <v>29.0</v>
      </c>
      <c r="E3549" s="15" t="s">
        <v>2081</v>
      </c>
      <c r="F3549" s="15" t="s">
        <v>1473</v>
      </c>
      <c r="G3549" s="15" t="s">
        <v>1474</v>
      </c>
      <c r="H3549" s="15">
        <v>0.0</v>
      </c>
      <c r="I3549" s="15" t="s">
        <v>121</v>
      </c>
      <c r="J3549" s="15" t="s">
        <v>22</v>
      </c>
      <c r="K3549" s="15" t="s">
        <v>225</v>
      </c>
      <c r="L3549" s="15" t="s">
        <v>24</v>
      </c>
      <c r="M3549" s="16">
        <v>0.25</v>
      </c>
      <c r="N3549" s="16">
        <v>0.5</v>
      </c>
      <c r="O3549" s="16">
        <v>0.5</v>
      </c>
      <c r="P3549" s="17">
        <v>45557.0</v>
      </c>
      <c r="Q3549" s="18">
        <v>1.75</v>
      </c>
      <c r="R3549" s="15" t="s">
        <v>33</v>
      </c>
      <c r="S3549" s="19">
        <f t="shared" si="1"/>
        <v>0.375</v>
      </c>
      <c r="T3549" s="19">
        <f t="shared" si="8"/>
        <v>109.7903008</v>
      </c>
      <c r="U3549" s="144"/>
    </row>
    <row r="3550">
      <c r="A3550" s="107"/>
      <c r="B3550" s="8" t="s">
        <v>26</v>
      </c>
      <c r="C3550" s="8" t="s">
        <v>19</v>
      </c>
      <c r="D3550" s="8">
        <v>32.0</v>
      </c>
      <c r="E3550" s="8" t="s">
        <v>2082</v>
      </c>
      <c r="F3550" s="8" t="s">
        <v>1473</v>
      </c>
      <c r="G3550" s="8" t="s">
        <v>1474</v>
      </c>
      <c r="H3550" s="8">
        <v>0.0</v>
      </c>
      <c r="I3550" s="8" t="s">
        <v>121</v>
      </c>
      <c r="J3550" s="8" t="s">
        <v>22</v>
      </c>
      <c r="K3550" s="8" t="s">
        <v>941</v>
      </c>
      <c r="L3550" s="8" t="s">
        <v>24</v>
      </c>
      <c r="M3550" s="9">
        <v>0.0</v>
      </c>
      <c r="N3550" s="9">
        <v>0.5</v>
      </c>
      <c r="O3550" s="9">
        <v>0.5</v>
      </c>
      <c r="P3550" s="10">
        <v>45557.0</v>
      </c>
      <c r="Q3550" s="11">
        <v>2.1</v>
      </c>
      <c r="R3550" s="8" t="s">
        <v>33</v>
      </c>
      <c r="S3550" s="12">
        <f t="shared" si="1"/>
        <v>0.55</v>
      </c>
      <c r="T3550" s="12">
        <f t="shared" si="8"/>
        <v>110.3403008</v>
      </c>
      <c r="U3550" s="145"/>
    </row>
    <row r="3551">
      <c r="A3551" s="29"/>
      <c r="B3551" s="15" t="s">
        <v>129</v>
      </c>
      <c r="C3551" s="15" t="s">
        <v>19</v>
      </c>
      <c r="D3551" s="15">
        <v>36.0</v>
      </c>
      <c r="E3551" s="15" t="s">
        <v>2083</v>
      </c>
      <c r="F3551" s="15" t="s">
        <v>1473</v>
      </c>
      <c r="G3551" s="15" t="s">
        <v>1474</v>
      </c>
      <c r="H3551" s="15">
        <v>0.0</v>
      </c>
      <c r="I3551" s="15" t="s">
        <v>48</v>
      </c>
      <c r="J3551" s="15" t="s">
        <v>22</v>
      </c>
      <c r="K3551" s="15" t="s">
        <v>225</v>
      </c>
      <c r="L3551" s="15" t="s">
        <v>24</v>
      </c>
      <c r="M3551" s="16">
        <v>0.5</v>
      </c>
      <c r="N3551" s="16">
        <v>0.25</v>
      </c>
      <c r="O3551" s="16">
        <v>0.25</v>
      </c>
      <c r="P3551" s="17">
        <v>45557.0</v>
      </c>
      <c r="Q3551" s="18">
        <f>446.7/250</f>
        <v>1.7868</v>
      </c>
      <c r="R3551" s="15" t="s">
        <v>33</v>
      </c>
      <c r="S3551" s="19">
        <f t="shared" si="1"/>
        <v>0.1967</v>
      </c>
      <c r="T3551" s="19">
        <f t="shared" si="8"/>
        <v>110.5370008</v>
      </c>
      <c r="U3551" s="144"/>
    </row>
    <row r="3552">
      <c r="A3552" s="107"/>
      <c r="B3552" s="8" t="s">
        <v>135</v>
      </c>
      <c r="C3552" s="8" t="s">
        <v>19</v>
      </c>
      <c r="D3552" s="8"/>
      <c r="E3552" s="8" t="s">
        <v>2084</v>
      </c>
      <c r="F3552" s="8"/>
      <c r="G3552" s="8"/>
      <c r="H3552" s="8"/>
      <c r="I3552" s="8" t="s">
        <v>121</v>
      </c>
      <c r="J3552" s="8" t="s">
        <v>22</v>
      </c>
      <c r="K3552" s="8" t="s">
        <v>29</v>
      </c>
      <c r="L3552" s="8" t="s">
        <v>24</v>
      </c>
      <c r="M3552" s="9">
        <v>-2.25</v>
      </c>
      <c r="N3552" s="9">
        <v>0.25</v>
      </c>
      <c r="O3552" s="9">
        <v>0.25</v>
      </c>
      <c r="P3552" s="54">
        <v>45557.0</v>
      </c>
      <c r="Q3552" s="11">
        <v>1.925</v>
      </c>
      <c r="R3552" s="8" t="s">
        <v>70</v>
      </c>
      <c r="S3552" s="12">
        <f t="shared" si="1"/>
        <v>0</v>
      </c>
      <c r="T3552" s="12">
        <f t="shared" si="8"/>
        <v>110.5370008</v>
      </c>
      <c r="U3552" s="145"/>
    </row>
    <row r="3553">
      <c r="A3553" s="29"/>
      <c r="B3553" s="15" t="s">
        <v>135</v>
      </c>
      <c r="C3553" s="15" t="s">
        <v>19</v>
      </c>
      <c r="D3553" s="15">
        <v>0.0</v>
      </c>
      <c r="E3553" s="15" t="s">
        <v>2085</v>
      </c>
      <c r="F3553" s="37"/>
      <c r="G3553" s="37"/>
      <c r="H3553" s="37"/>
      <c r="I3553" s="37" t="s">
        <v>99</v>
      </c>
      <c r="J3553" s="37" t="s">
        <v>598</v>
      </c>
      <c r="K3553" s="37" t="s">
        <v>29</v>
      </c>
      <c r="L3553" s="15" t="s">
        <v>24</v>
      </c>
      <c r="M3553" s="24">
        <v>-3.0</v>
      </c>
      <c r="N3553" s="16">
        <v>0.25</v>
      </c>
      <c r="O3553" s="16">
        <v>0.25</v>
      </c>
      <c r="P3553" s="17">
        <v>45557.0</v>
      </c>
      <c r="Q3553" s="18">
        <f>265.12/250</f>
        <v>1.06048</v>
      </c>
      <c r="R3553" s="15" t="s">
        <v>33</v>
      </c>
      <c r="S3553" s="19">
        <f t="shared" si="1"/>
        <v>0.01512</v>
      </c>
      <c r="T3553" s="19">
        <f t="shared" si="8"/>
        <v>110.5521208</v>
      </c>
      <c r="U3553" s="144"/>
    </row>
    <row r="3554">
      <c r="A3554" s="107"/>
      <c r="B3554" s="8" t="s">
        <v>135</v>
      </c>
      <c r="C3554" s="8" t="s">
        <v>19</v>
      </c>
      <c r="D3554" s="8">
        <v>0.0</v>
      </c>
      <c r="E3554" s="8" t="s">
        <v>2086</v>
      </c>
      <c r="F3554" s="32"/>
      <c r="G3554" s="32"/>
      <c r="H3554" s="32"/>
      <c r="I3554" s="32" t="s">
        <v>99</v>
      </c>
      <c r="J3554" s="32" t="s">
        <v>598</v>
      </c>
      <c r="K3554" s="32" t="s">
        <v>29</v>
      </c>
      <c r="L3554" s="8" t="s">
        <v>24</v>
      </c>
      <c r="M3554" s="33">
        <v>-3.25</v>
      </c>
      <c r="N3554" s="9">
        <v>0.25</v>
      </c>
      <c r="O3554" s="9">
        <v>0.25</v>
      </c>
      <c r="P3554" s="10">
        <v>45557.0</v>
      </c>
      <c r="Q3554" s="11">
        <v>1.8</v>
      </c>
      <c r="R3554" s="8" t="s">
        <v>33</v>
      </c>
      <c r="S3554" s="12">
        <f t="shared" si="1"/>
        <v>0.2</v>
      </c>
      <c r="T3554" s="12">
        <f t="shared" si="8"/>
        <v>110.7521208</v>
      </c>
      <c r="U3554" s="145"/>
    </row>
    <row r="3555">
      <c r="A3555" s="29"/>
      <c r="B3555" s="15" t="s">
        <v>135</v>
      </c>
      <c r="C3555" s="15" t="s">
        <v>19</v>
      </c>
      <c r="D3555" s="120">
        <v>0.0</v>
      </c>
      <c r="E3555" s="15" t="s">
        <v>2087</v>
      </c>
      <c r="F3555" s="42"/>
      <c r="G3555" s="42"/>
      <c r="H3555" s="42"/>
      <c r="I3555" s="42" t="s">
        <v>121</v>
      </c>
      <c r="J3555" s="42" t="s">
        <v>598</v>
      </c>
      <c r="K3555" s="42" t="s">
        <v>29</v>
      </c>
      <c r="L3555" s="15" t="s">
        <v>24</v>
      </c>
      <c r="M3555" s="16">
        <v>-2.5</v>
      </c>
      <c r="N3555" s="16">
        <v>0.25</v>
      </c>
      <c r="O3555" s="16">
        <v>0.25</v>
      </c>
      <c r="P3555" s="17">
        <v>45557.0</v>
      </c>
      <c r="Q3555" s="18">
        <v>1.75</v>
      </c>
      <c r="R3555" s="15" t="s">
        <v>33</v>
      </c>
      <c r="S3555" s="19">
        <f t="shared" si="1"/>
        <v>0.1875</v>
      </c>
      <c r="T3555" s="19">
        <f t="shared" si="8"/>
        <v>110.9396208</v>
      </c>
      <c r="U3555" s="144"/>
    </row>
    <row r="3556">
      <c r="A3556" s="107"/>
      <c r="B3556" s="8" t="s">
        <v>137</v>
      </c>
      <c r="C3556" s="8" t="s">
        <v>19</v>
      </c>
      <c r="D3556" s="8">
        <v>55.0</v>
      </c>
      <c r="E3556" s="8" t="s">
        <v>2088</v>
      </c>
      <c r="F3556" s="8" t="s">
        <v>1473</v>
      </c>
      <c r="G3556" s="8" t="s">
        <v>1480</v>
      </c>
      <c r="H3556" s="8">
        <v>-1.0</v>
      </c>
      <c r="I3556" s="8" t="s">
        <v>121</v>
      </c>
      <c r="J3556" s="8" t="s">
        <v>22</v>
      </c>
      <c r="K3556" s="8" t="s">
        <v>892</v>
      </c>
      <c r="L3556" s="8" t="s">
        <v>24</v>
      </c>
      <c r="M3556" s="9">
        <v>0.0</v>
      </c>
      <c r="N3556" s="9">
        <v>0.5</v>
      </c>
      <c r="O3556" s="9">
        <v>0.5</v>
      </c>
      <c r="P3556" s="10">
        <v>45557.0</v>
      </c>
      <c r="Q3556" s="11">
        <v>1.9</v>
      </c>
      <c r="R3556" s="8" t="s">
        <v>33</v>
      </c>
      <c r="S3556" s="12">
        <f t="shared" si="1"/>
        <v>0.45</v>
      </c>
      <c r="T3556" s="12">
        <f t="shared" si="8"/>
        <v>111.3896208</v>
      </c>
      <c r="U3556" s="145"/>
    </row>
    <row r="3557">
      <c r="A3557" s="29"/>
      <c r="B3557" s="15" t="s">
        <v>137</v>
      </c>
      <c r="C3557" s="15" t="s">
        <v>19</v>
      </c>
      <c r="D3557" s="15">
        <v>53.0</v>
      </c>
      <c r="E3557" s="15" t="s">
        <v>2089</v>
      </c>
      <c r="F3557" s="15" t="s">
        <v>1479</v>
      </c>
      <c r="G3557" s="15" t="s">
        <v>1480</v>
      </c>
      <c r="H3557" s="15">
        <v>-1.0</v>
      </c>
      <c r="I3557" s="15" t="s">
        <v>109</v>
      </c>
      <c r="J3557" s="15" t="s">
        <v>22</v>
      </c>
      <c r="K3557" s="15" t="s">
        <v>892</v>
      </c>
      <c r="L3557" s="15" t="s">
        <v>24</v>
      </c>
      <c r="M3557" s="16">
        <v>0.0</v>
      </c>
      <c r="N3557" s="16">
        <v>0.5</v>
      </c>
      <c r="O3557" s="16">
        <v>0.4682</v>
      </c>
      <c r="P3557" s="17">
        <v>45557.0</v>
      </c>
      <c r="Q3557" s="18">
        <v>1.725</v>
      </c>
      <c r="R3557" s="15" t="s">
        <v>70</v>
      </c>
      <c r="S3557" s="19">
        <f t="shared" si="1"/>
        <v>0</v>
      </c>
      <c r="T3557" s="19">
        <f t="shared" si="8"/>
        <v>111.3896208</v>
      </c>
      <c r="U3557" s="144"/>
    </row>
    <row r="3558">
      <c r="A3558" s="107"/>
      <c r="B3558" s="8" t="s">
        <v>137</v>
      </c>
      <c r="C3558" s="8" t="s">
        <v>19</v>
      </c>
      <c r="D3558" s="8">
        <v>61.0</v>
      </c>
      <c r="E3558" s="8" t="s">
        <v>2088</v>
      </c>
      <c r="F3558" s="8" t="s">
        <v>1473</v>
      </c>
      <c r="G3558" s="8" t="s">
        <v>1480</v>
      </c>
      <c r="H3558" s="8">
        <v>-1.0</v>
      </c>
      <c r="I3558" s="8" t="s">
        <v>121</v>
      </c>
      <c r="J3558" s="8" t="s">
        <v>22</v>
      </c>
      <c r="K3558" s="8" t="s">
        <v>892</v>
      </c>
      <c r="L3558" s="8" t="s">
        <v>24</v>
      </c>
      <c r="M3558" s="9">
        <v>0.0</v>
      </c>
      <c r="N3558" s="9">
        <v>0.25</v>
      </c>
      <c r="O3558" s="9">
        <v>0.25</v>
      </c>
      <c r="P3558" s="10">
        <v>45557.0</v>
      </c>
      <c r="Q3558" s="11">
        <v>1.875</v>
      </c>
      <c r="R3558" s="8" t="s">
        <v>33</v>
      </c>
      <c r="S3558" s="12">
        <f t="shared" si="1"/>
        <v>0.21875</v>
      </c>
      <c r="T3558" s="12">
        <f t="shared" si="8"/>
        <v>111.6083708</v>
      </c>
      <c r="U3558" s="145"/>
    </row>
    <row r="3559">
      <c r="A3559" s="29"/>
      <c r="B3559" s="15" t="s">
        <v>26</v>
      </c>
      <c r="C3559" s="15" t="s">
        <v>19</v>
      </c>
      <c r="D3559" s="15">
        <v>59.0</v>
      </c>
      <c r="E3559" s="15" t="s">
        <v>2090</v>
      </c>
      <c r="F3559" s="15" t="s">
        <v>1473</v>
      </c>
      <c r="G3559" s="15" t="s">
        <v>1474</v>
      </c>
      <c r="H3559" s="15">
        <v>-1.0</v>
      </c>
      <c r="I3559" s="15" t="s">
        <v>121</v>
      </c>
      <c r="J3559" s="15" t="s">
        <v>22</v>
      </c>
      <c r="K3559" s="15" t="s">
        <v>225</v>
      </c>
      <c r="L3559" s="15" t="s">
        <v>24</v>
      </c>
      <c r="M3559" s="16">
        <v>0.25</v>
      </c>
      <c r="N3559" s="16">
        <v>0.5</v>
      </c>
      <c r="O3559" s="16">
        <v>0.5</v>
      </c>
      <c r="P3559" s="17">
        <v>45557.0</v>
      </c>
      <c r="Q3559" s="18">
        <v>1.975</v>
      </c>
      <c r="R3559" s="15" t="s">
        <v>30</v>
      </c>
      <c r="S3559" s="19">
        <f t="shared" si="1"/>
        <v>0.24375</v>
      </c>
      <c r="T3559" s="19">
        <f t="shared" si="8"/>
        <v>111.8521208</v>
      </c>
      <c r="U3559" s="144"/>
    </row>
    <row r="3560">
      <c r="A3560" s="107"/>
      <c r="B3560" s="8" t="s">
        <v>129</v>
      </c>
      <c r="C3560" s="8" t="s">
        <v>19</v>
      </c>
      <c r="D3560" s="8">
        <v>71.0</v>
      </c>
      <c r="E3560" s="8" t="s">
        <v>2091</v>
      </c>
      <c r="F3560" s="8" t="s">
        <v>1479</v>
      </c>
      <c r="G3560" s="8" t="s">
        <v>1480</v>
      </c>
      <c r="H3560" s="8">
        <v>0.0</v>
      </c>
      <c r="I3560" s="8" t="s">
        <v>48</v>
      </c>
      <c r="J3560" s="8" t="s">
        <v>22</v>
      </c>
      <c r="K3560" s="8" t="s">
        <v>892</v>
      </c>
      <c r="L3560" s="8" t="s">
        <v>24</v>
      </c>
      <c r="M3560" s="9">
        <v>0.0</v>
      </c>
      <c r="N3560" s="9">
        <v>0.75</v>
      </c>
      <c r="O3560" s="9">
        <v>0.7318</v>
      </c>
      <c r="P3560" s="10">
        <v>45557.0</v>
      </c>
      <c r="Q3560" s="11">
        <v>1.75</v>
      </c>
      <c r="R3560" s="8" t="s">
        <v>70</v>
      </c>
      <c r="S3560" s="12">
        <f t="shared" si="1"/>
        <v>0</v>
      </c>
      <c r="T3560" s="12">
        <f t="shared" si="8"/>
        <v>111.8521208</v>
      </c>
      <c r="U3560" s="145"/>
    </row>
    <row r="3561">
      <c r="A3561" s="29"/>
      <c r="B3561" s="15" t="s">
        <v>135</v>
      </c>
      <c r="C3561" s="15" t="s">
        <v>19</v>
      </c>
      <c r="D3561" s="15">
        <v>0.0</v>
      </c>
      <c r="E3561" s="15" t="s">
        <v>2092</v>
      </c>
      <c r="F3561" s="15"/>
      <c r="G3561" s="15"/>
      <c r="H3561" s="15"/>
      <c r="I3561" s="15" t="s">
        <v>231</v>
      </c>
      <c r="J3561" s="15" t="s">
        <v>22</v>
      </c>
      <c r="K3561" s="15" t="s">
        <v>29</v>
      </c>
      <c r="L3561" s="15" t="s">
        <v>24</v>
      </c>
      <c r="M3561" s="16">
        <v>-2.25</v>
      </c>
      <c r="N3561" s="16">
        <v>0.3</v>
      </c>
      <c r="O3561" s="16">
        <v>0.3</v>
      </c>
      <c r="P3561" s="17">
        <v>45558.0</v>
      </c>
      <c r="Q3561" s="18">
        <v>1.725</v>
      </c>
      <c r="R3561" s="15" t="s">
        <v>25</v>
      </c>
      <c r="S3561" s="19">
        <f t="shared" si="1"/>
        <v>-0.3</v>
      </c>
      <c r="T3561" s="19">
        <f t="shared" si="8"/>
        <v>111.5521208</v>
      </c>
      <c r="U3561" s="144"/>
    </row>
    <row r="3562">
      <c r="A3562" s="107"/>
      <c r="B3562" s="8" t="s">
        <v>26</v>
      </c>
      <c r="C3562" s="8" t="s">
        <v>19</v>
      </c>
      <c r="D3562" s="8">
        <v>40.0</v>
      </c>
      <c r="E3562" s="8" t="s">
        <v>2093</v>
      </c>
      <c r="F3562" s="8" t="s">
        <v>1473</v>
      </c>
      <c r="G3562" s="8" t="s">
        <v>1474</v>
      </c>
      <c r="H3562" s="8">
        <v>-1.0</v>
      </c>
      <c r="I3562" s="8" t="s">
        <v>231</v>
      </c>
      <c r="J3562" s="8" t="s">
        <v>22</v>
      </c>
      <c r="K3562" s="8" t="s">
        <v>225</v>
      </c>
      <c r="L3562" s="8" t="s">
        <v>24</v>
      </c>
      <c r="M3562" s="9">
        <v>0.25</v>
      </c>
      <c r="N3562" s="9">
        <v>0.5</v>
      </c>
      <c r="O3562" s="9">
        <v>0.3915</v>
      </c>
      <c r="P3562" s="10">
        <v>45558.0</v>
      </c>
      <c r="Q3562" s="11">
        <v>1.75</v>
      </c>
      <c r="R3562" s="8" t="s">
        <v>30</v>
      </c>
      <c r="S3562" s="12">
        <f t="shared" si="1"/>
        <v>0.1468125</v>
      </c>
      <c r="T3562" s="12">
        <f t="shared" si="8"/>
        <v>111.6989333</v>
      </c>
      <c r="U3562" s="145"/>
    </row>
    <row r="3563">
      <c r="A3563" s="29"/>
      <c r="B3563" s="15" t="s">
        <v>135</v>
      </c>
      <c r="C3563" s="15" t="s">
        <v>19</v>
      </c>
      <c r="D3563" s="15">
        <v>0.0</v>
      </c>
      <c r="E3563" s="15" t="s">
        <v>2094</v>
      </c>
      <c r="F3563" s="15"/>
      <c r="G3563" s="15"/>
      <c r="H3563" s="15"/>
      <c r="I3563" s="15" t="s">
        <v>920</v>
      </c>
      <c r="J3563" s="15" t="s">
        <v>22</v>
      </c>
      <c r="K3563" s="15" t="s">
        <v>29</v>
      </c>
      <c r="L3563" s="37" t="s">
        <v>39</v>
      </c>
      <c r="M3563" s="16">
        <v>-4.25</v>
      </c>
      <c r="N3563" s="16">
        <v>0.25</v>
      </c>
      <c r="O3563" s="16">
        <v>0.25</v>
      </c>
      <c r="P3563" s="17">
        <v>45558.0</v>
      </c>
      <c r="Q3563" s="18">
        <v>1.8</v>
      </c>
      <c r="R3563" s="15" t="s">
        <v>25</v>
      </c>
      <c r="S3563" s="19">
        <f t="shared" si="1"/>
        <v>-0.25</v>
      </c>
      <c r="T3563" s="19">
        <f t="shared" si="8"/>
        <v>111.4489333</v>
      </c>
      <c r="U3563" s="144"/>
    </row>
    <row r="3564">
      <c r="A3564" s="107"/>
      <c r="B3564" s="8" t="s">
        <v>135</v>
      </c>
      <c r="C3564" s="8" t="s">
        <v>19</v>
      </c>
      <c r="D3564" s="8">
        <v>0.0</v>
      </c>
      <c r="E3564" s="8" t="s">
        <v>2095</v>
      </c>
      <c r="F3564" s="8"/>
      <c r="G3564" s="8"/>
      <c r="H3564" s="8"/>
      <c r="I3564" s="8" t="s">
        <v>78</v>
      </c>
      <c r="J3564" s="8" t="s">
        <v>22</v>
      </c>
      <c r="K3564" s="8" t="s">
        <v>29</v>
      </c>
      <c r="L3564" s="32" t="s">
        <v>39</v>
      </c>
      <c r="M3564" s="9">
        <v>-2.0</v>
      </c>
      <c r="N3564" s="9">
        <v>0.3</v>
      </c>
      <c r="O3564" s="9">
        <v>0.3</v>
      </c>
      <c r="P3564" s="10">
        <v>45558.0</v>
      </c>
      <c r="Q3564" s="11">
        <v>1.85</v>
      </c>
      <c r="R3564" s="8" t="s">
        <v>70</v>
      </c>
      <c r="S3564" s="12">
        <f t="shared" si="1"/>
        <v>0</v>
      </c>
      <c r="T3564" s="12">
        <f t="shared" si="8"/>
        <v>111.4489333</v>
      </c>
      <c r="U3564" s="145"/>
    </row>
    <row r="3565">
      <c r="A3565" s="29"/>
      <c r="B3565" s="15" t="s">
        <v>35</v>
      </c>
      <c r="C3565" s="15" t="s">
        <v>19</v>
      </c>
      <c r="D3565" s="15">
        <v>70.0</v>
      </c>
      <c r="E3565" s="15" t="s">
        <v>2096</v>
      </c>
      <c r="F3565" s="15" t="s">
        <v>1479</v>
      </c>
      <c r="G3565" s="15" t="s">
        <v>1480</v>
      </c>
      <c r="H3565" s="15">
        <v>0.0</v>
      </c>
      <c r="I3565" s="15" t="s">
        <v>82</v>
      </c>
      <c r="J3565" s="15" t="s">
        <v>22</v>
      </c>
      <c r="K3565" s="15" t="s">
        <v>892</v>
      </c>
      <c r="L3565" s="37" t="s">
        <v>24</v>
      </c>
      <c r="M3565" s="16">
        <v>0.0</v>
      </c>
      <c r="N3565" s="16">
        <v>0.3</v>
      </c>
      <c r="O3565" s="16">
        <v>0.3</v>
      </c>
      <c r="P3565" s="17">
        <v>45558.0</v>
      </c>
      <c r="Q3565" s="18">
        <v>1.975</v>
      </c>
      <c r="R3565" s="15" t="s">
        <v>70</v>
      </c>
      <c r="S3565" s="19">
        <f t="shared" si="1"/>
        <v>0</v>
      </c>
      <c r="T3565" s="19">
        <f t="shared" si="8"/>
        <v>111.4489333</v>
      </c>
      <c r="U3565" s="144"/>
    </row>
    <row r="3566">
      <c r="A3566" s="107"/>
      <c r="B3566" s="8" t="s">
        <v>137</v>
      </c>
      <c r="C3566" s="8" t="s">
        <v>19</v>
      </c>
      <c r="D3566" s="8">
        <v>20.0</v>
      </c>
      <c r="E3566" s="8" t="s">
        <v>2097</v>
      </c>
      <c r="F3566" s="8" t="s">
        <v>1479</v>
      </c>
      <c r="G3566" s="8" t="s">
        <v>1480</v>
      </c>
      <c r="H3566" s="8">
        <v>0.0</v>
      </c>
      <c r="I3566" s="8" t="s">
        <v>923</v>
      </c>
      <c r="J3566" s="8" t="s">
        <v>22</v>
      </c>
      <c r="K3566" s="8" t="s">
        <v>892</v>
      </c>
      <c r="L3566" s="32" t="s">
        <v>24</v>
      </c>
      <c r="M3566" s="9">
        <v>0.0</v>
      </c>
      <c r="N3566" s="9">
        <v>0.25</v>
      </c>
      <c r="O3566" s="9">
        <v>0.25</v>
      </c>
      <c r="P3566" s="10">
        <v>45559.0</v>
      </c>
      <c r="Q3566" s="11">
        <v>2.025</v>
      </c>
      <c r="R3566" s="8" t="s">
        <v>25</v>
      </c>
      <c r="S3566" s="12">
        <f t="shared" si="1"/>
        <v>-0.25</v>
      </c>
      <c r="T3566" s="12">
        <f t="shared" si="8"/>
        <v>111.1989333</v>
      </c>
      <c r="U3566" s="145"/>
    </row>
    <row r="3567">
      <c r="A3567" s="29"/>
      <c r="B3567" s="15" t="s">
        <v>135</v>
      </c>
      <c r="C3567" s="15" t="s">
        <v>19</v>
      </c>
      <c r="D3567" s="15">
        <v>0.0</v>
      </c>
      <c r="E3567" s="15" t="s">
        <v>2098</v>
      </c>
      <c r="F3567" s="15"/>
      <c r="G3567" s="15"/>
      <c r="H3567" s="15"/>
      <c r="I3567" s="15" t="s">
        <v>913</v>
      </c>
      <c r="J3567" s="15" t="s">
        <v>598</v>
      </c>
      <c r="K3567" s="15" t="s">
        <v>29</v>
      </c>
      <c r="L3567" s="37" t="s">
        <v>24</v>
      </c>
      <c r="M3567" s="16">
        <v>-3.5</v>
      </c>
      <c r="N3567" s="16">
        <v>0.3</v>
      </c>
      <c r="O3567" s="16">
        <v>0.3</v>
      </c>
      <c r="P3567" s="17">
        <v>45559.0</v>
      </c>
      <c r="Q3567" s="18">
        <v>1.8</v>
      </c>
      <c r="R3567" s="15" t="s">
        <v>33</v>
      </c>
      <c r="S3567" s="19">
        <f t="shared" si="1"/>
        <v>0.24</v>
      </c>
      <c r="T3567" s="19">
        <f t="shared" si="8"/>
        <v>111.4389333</v>
      </c>
      <c r="U3567" s="144"/>
    </row>
    <row r="3568">
      <c r="A3568" s="107"/>
      <c r="B3568" s="8" t="s">
        <v>135</v>
      </c>
      <c r="C3568" s="8" t="s">
        <v>19</v>
      </c>
      <c r="D3568" s="8">
        <v>0.0</v>
      </c>
      <c r="E3568" s="8" t="s">
        <v>2099</v>
      </c>
      <c r="F3568" s="8"/>
      <c r="G3568" s="8"/>
      <c r="H3568" s="8"/>
      <c r="I3568" s="8" t="s">
        <v>1031</v>
      </c>
      <c r="J3568" s="8" t="s">
        <v>598</v>
      </c>
      <c r="K3568" s="8" t="s">
        <v>29</v>
      </c>
      <c r="L3568" s="32" t="s">
        <v>24</v>
      </c>
      <c r="M3568" s="9">
        <v>-2.25</v>
      </c>
      <c r="N3568" s="9">
        <v>0.25</v>
      </c>
      <c r="O3568" s="9">
        <v>0.25</v>
      </c>
      <c r="P3568" s="10">
        <v>45559.0</v>
      </c>
      <c r="Q3568" s="11">
        <v>1.975</v>
      </c>
      <c r="R3568" s="8" t="s">
        <v>30</v>
      </c>
      <c r="S3568" s="12">
        <f t="shared" si="1"/>
        <v>0.121875</v>
      </c>
      <c r="T3568" s="12">
        <f t="shared" si="8"/>
        <v>111.5608083</v>
      </c>
      <c r="U3568" s="145"/>
    </row>
    <row r="3569">
      <c r="A3569" s="29"/>
      <c r="B3569" s="15" t="s">
        <v>18</v>
      </c>
      <c r="C3569" s="15" t="s">
        <v>19</v>
      </c>
      <c r="D3569" s="15">
        <v>75.0</v>
      </c>
      <c r="E3569" s="15" t="s">
        <v>2100</v>
      </c>
      <c r="F3569" s="15" t="s">
        <v>1473</v>
      </c>
      <c r="G3569" s="15" t="s">
        <v>1480</v>
      </c>
      <c r="H3569" s="15">
        <v>0.0</v>
      </c>
      <c r="I3569" s="15" t="s">
        <v>78</v>
      </c>
      <c r="J3569" s="15" t="s">
        <v>22</v>
      </c>
      <c r="K3569" s="15" t="s">
        <v>892</v>
      </c>
      <c r="L3569" s="37" t="s">
        <v>24</v>
      </c>
      <c r="M3569" s="16">
        <v>0.0</v>
      </c>
      <c r="N3569" s="16">
        <v>0.5</v>
      </c>
      <c r="O3569" s="16">
        <v>0.5</v>
      </c>
      <c r="P3569" s="17">
        <v>45559.0</v>
      </c>
      <c r="Q3569" s="18">
        <v>1.8</v>
      </c>
      <c r="R3569" s="15" t="s">
        <v>70</v>
      </c>
      <c r="S3569" s="19">
        <f t="shared" si="1"/>
        <v>0</v>
      </c>
      <c r="T3569" s="19">
        <f t="shared" si="8"/>
        <v>111.5608083</v>
      </c>
      <c r="U3569" s="144"/>
    </row>
    <row r="3570">
      <c r="A3570" s="107"/>
      <c r="B3570" s="8" t="s">
        <v>135</v>
      </c>
      <c r="C3570" s="8" t="s">
        <v>19</v>
      </c>
      <c r="D3570" s="8">
        <v>0.0</v>
      </c>
      <c r="E3570" s="8" t="s">
        <v>2101</v>
      </c>
      <c r="F3570" s="8"/>
      <c r="G3570" s="8"/>
      <c r="H3570" s="8"/>
      <c r="I3570" s="8" t="s">
        <v>38</v>
      </c>
      <c r="J3570" s="8" t="s">
        <v>598</v>
      </c>
      <c r="K3570" s="8" t="s">
        <v>29</v>
      </c>
      <c r="L3570" s="32" t="s">
        <v>24</v>
      </c>
      <c r="M3570" s="9">
        <v>-3.0</v>
      </c>
      <c r="N3570" s="9">
        <v>0.3</v>
      </c>
      <c r="O3570" s="9">
        <v>0.2304</v>
      </c>
      <c r="P3570" s="10">
        <v>45559.0</v>
      </c>
      <c r="Q3570" s="11">
        <v>1.95</v>
      </c>
      <c r="R3570" s="8" t="s">
        <v>25</v>
      </c>
      <c r="S3570" s="12">
        <f t="shared" si="1"/>
        <v>-0.2304</v>
      </c>
      <c r="T3570" s="12">
        <f t="shared" si="8"/>
        <v>111.3304083</v>
      </c>
      <c r="U3570" s="145"/>
    </row>
    <row r="3571">
      <c r="A3571" s="29"/>
      <c r="B3571" s="15" t="s">
        <v>131</v>
      </c>
      <c r="C3571" s="15" t="s">
        <v>19</v>
      </c>
      <c r="D3571" s="15">
        <v>45.0</v>
      </c>
      <c r="E3571" s="15" t="s">
        <v>2102</v>
      </c>
      <c r="F3571" s="15" t="s">
        <v>1473</v>
      </c>
      <c r="G3571" s="15" t="s">
        <v>1474</v>
      </c>
      <c r="H3571" s="15">
        <v>-1.0</v>
      </c>
      <c r="I3571" s="15" t="s">
        <v>169</v>
      </c>
      <c r="J3571" s="15" t="s">
        <v>22</v>
      </c>
      <c r="K3571" s="15" t="s">
        <v>225</v>
      </c>
      <c r="L3571" s="37" t="s">
        <v>24</v>
      </c>
      <c r="M3571" s="16">
        <v>1.25</v>
      </c>
      <c r="N3571" s="16">
        <v>0.25</v>
      </c>
      <c r="O3571" s="16">
        <v>0.1339</v>
      </c>
      <c r="P3571" s="17">
        <v>45559.0</v>
      </c>
      <c r="Q3571" s="18">
        <v>1.7</v>
      </c>
      <c r="R3571" s="15" t="s">
        <v>30</v>
      </c>
      <c r="S3571" s="19">
        <f t="shared" si="1"/>
        <v>0.046865</v>
      </c>
      <c r="T3571" s="19">
        <f t="shared" si="8"/>
        <v>111.3772733</v>
      </c>
      <c r="U3571" s="144"/>
    </row>
    <row r="3572">
      <c r="A3572" s="107"/>
      <c r="B3572" s="8" t="s">
        <v>18</v>
      </c>
      <c r="C3572" s="8" t="s">
        <v>19</v>
      </c>
      <c r="D3572" s="8">
        <v>60.0</v>
      </c>
      <c r="E3572" s="8" t="s">
        <v>2103</v>
      </c>
      <c r="F3572" s="8" t="s">
        <v>1479</v>
      </c>
      <c r="G3572" s="8" t="s">
        <v>1477</v>
      </c>
      <c r="H3572" s="8">
        <v>0.0</v>
      </c>
      <c r="I3572" s="8" t="s">
        <v>38</v>
      </c>
      <c r="J3572" s="8" t="s">
        <v>22</v>
      </c>
      <c r="K3572" s="8" t="s">
        <v>894</v>
      </c>
      <c r="L3572" s="32" t="s">
        <v>24</v>
      </c>
      <c r="M3572" s="9">
        <v>-0.25</v>
      </c>
      <c r="N3572" s="9">
        <v>0.75</v>
      </c>
      <c r="O3572" s="9">
        <v>0.5</v>
      </c>
      <c r="P3572" s="10">
        <v>45559.0</v>
      </c>
      <c r="Q3572" s="11">
        <v>1.725</v>
      </c>
      <c r="R3572" s="8" t="s">
        <v>79</v>
      </c>
      <c r="S3572" s="12">
        <f t="shared" si="1"/>
        <v>-0.25</v>
      </c>
      <c r="T3572" s="12">
        <f t="shared" si="8"/>
        <v>111.1272733</v>
      </c>
      <c r="U3572" s="145"/>
    </row>
    <row r="3573">
      <c r="A3573" s="29"/>
      <c r="B3573" s="15" t="s">
        <v>129</v>
      </c>
      <c r="C3573" s="15" t="s">
        <v>19</v>
      </c>
      <c r="D3573" s="15">
        <v>84.0</v>
      </c>
      <c r="E3573" s="15" t="s">
        <v>2104</v>
      </c>
      <c r="F3573" s="15" t="s">
        <v>1479</v>
      </c>
      <c r="G3573" s="15" t="s">
        <v>1480</v>
      </c>
      <c r="H3573" s="15">
        <v>0.0</v>
      </c>
      <c r="I3573" s="15" t="s">
        <v>82</v>
      </c>
      <c r="J3573" s="15" t="s">
        <v>22</v>
      </c>
      <c r="K3573" s="15" t="s">
        <v>892</v>
      </c>
      <c r="L3573" s="37" t="s">
        <v>24</v>
      </c>
      <c r="M3573" s="16">
        <v>0.0</v>
      </c>
      <c r="N3573" s="16">
        <v>0.5</v>
      </c>
      <c r="O3573" s="16">
        <v>0.4598</v>
      </c>
      <c r="P3573" s="17">
        <v>45559.0</v>
      </c>
      <c r="Q3573" s="18">
        <v>1.75</v>
      </c>
      <c r="R3573" s="15" t="s">
        <v>25</v>
      </c>
      <c r="S3573" s="19">
        <f t="shared" si="1"/>
        <v>-0.4598</v>
      </c>
      <c r="T3573" s="19">
        <f t="shared" si="8"/>
        <v>110.6674733</v>
      </c>
      <c r="U3573" s="144"/>
    </row>
    <row r="3574">
      <c r="A3574" s="107"/>
      <c r="B3574" s="8" t="s">
        <v>135</v>
      </c>
      <c r="C3574" s="8" t="s">
        <v>19</v>
      </c>
      <c r="D3574" s="8"/>
      <c r="E3574" s="8" t="s">
        <v>2105</v>
      </c>
      <c r="F3574" s="8"/>
      <c r="G3574" s="8"/>
      <c r="H3574" s="8"/>
      <c r="I3574" s="8" t="s">
        <v>826</v>
      </c>
      <c r="J3574" s="8" t="s">
        <v>22</v>
      </c>
      <c r="K3574" s="8" t="s">
        <v>29</v>
      </c>
      <c r="L3574" s="32" t="s">
        <v>24</v>
      </c>
      <c r="M3574" s="9">
        <v>-3.0</v>
      </c>
      <c r="N3574" s="9">
        <v>0.3</v>
      </c>
      <c r="O3574" s="9">
        <v>0.3</v>
      </c>
      <c r="P3574" s="10">
        <v>45559.0</v>
      </c>
      <c r="Q3574" s="11">
        <v>1.8</v>
      </c>
      <c r="R3574" s="8" t="s">
        <v>25</v>
      </c>
      <c r="S3574" s="12">
        <f t="shared" si="1"/>
        <v>-0.3</v>
      </c>
      <c r="T3574" s="12">
        <f t="shared" si="8"/>
        <v>110.3674733</v>
      </c>
      <c r="U3574" s="145"/>
    </row>
    <row r="3575">
      <c r="A3575" s="29"/>
      <c r="B3575" s="15" t="s">
        <v>26</v>
      </c>
      <c r="C3575" s="15" t="s">
        <v>19</v>
      </c>
      <c r="D3575" s="15">
        <v>60.0</v>
      </c>
      <c r="E3575" s="15" t="s">
        <v>2106</v>
      </c>
      <c r="F3575" s="15" t="s">
        <v>1473</v>
      </c>
      <c r="G3575" s="15" t="s">
        <v>1480</v>
      </c>
      <c r="H3575" s="15">
        <v>0.0</v>
      </c>
      <c r="I3575" s="15" t="s">
        <v>229</v>
      </c>
      <c r="J3575" s="15" t="s">
        <v>22</v>
      </c>
      <c r="K3575" s="15" t="s">
        <v>892</v>
      </c>
      <c r="L3575" s="37" t="s">
        <v>24</v>
      </c>
      <c r="M3575" s="16">
        <v>0.0</v>
      </c>
      <c r="N3575" s="16">
        <v>0.5</v>
      </c>
      <c r="O3575" s="16">
        <v>0.5</v>
      </c>
      <c r="P3575" s="17">
        <v>45560.0</v>
      </c>
      <c r="Q3575" s="18">
        <v>1.825</v>
      </c>
      <c r="R3575" s="15" t="s">
        <v>70</v>
      </c>
      <c r="S3575" s="19">
        <f t="shared" si="1"/>
        <v>0</v>
      </c>
      <c r="T3575" s="19">
        <f t="shared" si="8"/>
        <v>110.3674733</v>
      </c>
      <c r="U3575" s="144"/>
    </row>
    <row r="3576">
      <c r="A3576" s="107"/>
      <c r="B3576" s="8" t="s">
        <v>26</v>
      </c>
      <c r="C3576" s="8" t="s">
        <v>19</v>
      </c>
      <c r="D3576" s="8">
        <v>81.0</v>
      </c>
      <c r="E3576" s="8" t="s">
        <v>2107</v>
      </c>
      <c r="F3576" s="8" t="s">
        <v>1479</v>
      </c>
      <c r="G3576" s="8" t="s">
        <v>1480</v>
      </c>
      <c r="H3576" s="8">
        <v>0.0</v>
      </c>
      <c r="I3576" s="8" t="s">
        <v>2108</v>
      </c>
      <c r="J3576" s="8" t="s">
        <v>22</v>
      </c>
      <c r="K3576" s="8" t="s">
        <v>892</v>
      </c>
      <c r="L3576" s="32" t="s">
        <v>24</v>
      </c>
      <c r="M3576" s="9">
        <v>0.0</v>
      </c>
      <c r="N3576" s="9">
        <v>0.25</v>
      </c>
      <c r="O3576" s="9">
        <v>0.25</v>
      </c>
      <c r="P3576" s="10">
        <v>45560.0</v>
      </c>
      <c r="Q3576" s="11">
        <v>2.0</v>
      </c>
      <c r="R3576" s="8" t="s">
        <v>70</v>
      </c>
      <c r="S3576" s="12">
        <f t="shared" si="1"/>
        <v>0</v>
      </c>
      <c r="T3576" s="12">
        <f t="shared" si="8"/>
        <v>110.3674733</v>
      </c>
      <c r="U3576" s="145"/>
    </row>
    <row r="3577">
      <c r="A3577" s="29"/>
      <c r="B3577" s="15" t="s">
        <v>26</v>
      </c>
      <c r="C3577" s="15" t="s">
        <v>19</v>
      </c>
      <c r="D3577" s="15">
        <v>0.0</v>
      </c>
      <c r="E3577" s="15" t="s">
        <v>2109</v>
      </c>
      <c r="F3577" s="15"/>
      <c r="G3577" s="15"/>
      <c r="H3577" s="15"/>
      <c r="I3577" s="15" t="s">
        <v>1470</v>
      </c>
      <c r="J3577" s="15" t="s">
        <v>598</v>
      </c>
      <c r="K3577" s="15" t="s">
        <v>29</v>
      </c>
      <c r="L3577" s="37" t="s">
        <v>24</v>
      </c>
      <c r="M3577" s="16">
        <v>-2.25</v>
      </c>
      <c r="N3577" s="16">
        <v>0.5</v>
      </c>
      <c r="O3577" s="16">
        <v>0.5</v>
      </c>
      <c r="P3577" s="17">
        <v>45560.0</v>
      </c>
      <c r="Q3577" s="18">
        <v>1.7</v>
      </c>
      <c r="R3577" s="15" t="s">
        <v>25</v>
      </c>
      <c r="S3577" s="19">
        <f t="shared" si="1"/>
        <v>-0.5</v>
      </c>
      <c r="T3577" s="19">
        <f t="shared" si="8"/>
        <v>109.8674733</v>
      </c>
      <c r="U3577" s="144"/>
    </row>
    <row r="3578">
      <c r="A3578" s="107"/>
      <c r="B3578" s="8" t="s">
        <v>18</v>
      </c>
      <c r="C3578" s="8" t="s">
        <v>19</v>
      </c>
      <c r="D3578" s="8">
        <v>55.0</v>
      </c>
      <c r="E3578" s="8" t="s">
        <v>2110</v>
      </c>
      <c r="F3578" s="8" t="s">
        <v>1473</v>
      </c>
      <c r="G3578" s="8" t="s">
        <v>1474</v>
      </c>
      <c r="H3578" s="8">
        <v>-1.0</v>
      </c>
      <c r="I3578" s="8" t="s">
        <v>2111</v>
      </c>
      <c r="J3578" s="8" t="s">
        <v>22</v>
      </c>
      <c r="K3578" s="8" t="s">
        <v>225</v>
      </c>
      <c r="L3578" s="8" t="s">
        <v>1803</v>
      </c>
      <c r="M3578" s="9">
        <v>0.75</v>
      </c>
      <c r="N3578" s="9">
        <v>0.25</v>
      </c>
      <c r="O3578" s="9">
        <v>0.25</v>
      </c>
      <c r="P3578" s="10">
        <v>45560.0</v>
      </c>
      <c r="Q3578" s="11">
        <v>2.0</v>
      </c>
      <c r="R3578" s="8" t="s">
        <v>33</v>
      </c>
      <c r="S3578" s="12">
        <f t="shared" si="1"/>
        <v>0.25</v>
      </c>
      <c r="T3578" s="12">
        <f t="shared" si="8"/>
        <v>110.1174733</v>
      </c>
      <c r="U3578" s="145"/>
    </row>
    <row r="3579">
      <c r="A3579" s="29"/>
      <c r="B3579" s="15" t="s">
        <v>26</v>
      </c>
      <c r="C3579" s="15" t="s">
        <v>19</v>
      </c>
      <c r="D3579" s="15">
        <v>10.0</v>
      </c>
      <c r="E3579" s="15" t="s">
        <v>2112</v>
      </c>
      <c r="F3579" s="15" t="s">
        <v>1473</v>
      </c>
      <c r="G3579" s="15" t="s">
        <v>1474</v>
      </c>
      <c r="H3579" s="15">
        <v>-1.0</v>
      </c>
      <c r="I3579" s="15" t="s">
        <v>675</v>
      </c>
      <c r="J3579" s="15" t="s">
        <v>22</v>
      </c>
      <c r="K3579" s="15" t="s">
        <v>225</v>
      </c>
      <c r="L3579" s="37" t="s">
        <v>24</v>
      </c>
      <c r="M3579" s="16">
        <v>0.75</v>
      </c>
      <c r="N3579" s="16">
        <v>0.25</v>
      </c>
      <c r="O3579" s="16">
        <v>0.25</v>
      </c>
      <c r="P3579" s="17">
        <v>45560.0</v>
      </c>
      <c r="Q3579" s="18">
        <v>1.8</v>
      </c>
      <c r="R3579" s="15" t="s">
        <v>33</v>
      </c>
      <c r="S3579" s="19">
        <f t="shared" si="1"/>
        <v>0.2</v>
      </c>
      <c r="T3579" s="19">
        <f t="shared" si="8"/>
        <v>110.3174733</v>
      </c>
      <c r="U3579" s="144"/>
    </row>
    <row r="3580">
      <c r="A3580" s="107"/>
      <c r="B3580" s="8" t="s">
        <v>137</v>
      </c>
      <c r="C3580" s="8" t="s">
        <v>19</v>
      </c>
      <c r="D3580" s="8">
        <v>30.0</v>
      </c>
      <c r="E3580" s="8" t="s">
        <v>2113</v>
      </c>
      <c r="F3580" s="8" t="s">
        <v>1479</v>
      </c>
      <c r="G3580" s="8" t="s">
        <v>1474</v>
      </c>
      <c r="H3580" s="8">
        <v>0.0</v>
      </c>
      <c r="I3580" s="8" t="s">
        <v>448</v>
      </c>
      <c r="J3580" s="8" t="s">
        <v>22</v>
      </c>
      <c r="K3580" s="8" t="s">
        <v>225</v>
      </c>
      <c r="L3580" s="32" t="s">
        <v>24</v>
      </c>
      <c r="M3580" s="9">
        <v>0.75</v>
      </c>
      <c r="N3580" s="9">
        <v>1.0</v>
      </c>
      <c r="O3580" s="9">
        <v>1.0</v>
      </c>
      <c r="P3580" s="54">
        <v>45560.0</v>
      </c>
      <c r="Q3580" s="11">
        <v>1.302</v>
      </c>
      <c r="R3580" s="8" t="s">
        <v>33</v>
      </c>
      <c r="S3580" s="12">
        <f t="shared" si="1"/>
        <v>0.302</v>
      </c>
      <c r="T3580" s="12">
        <f t="shared" si="8"/>
        <v>110.6194733</v>
      </c>
      <c r="U3580" s="145"/>
    </row>
    <row r="3581">
      <c r="A3581" s="29"/>
      <c r="B3581" s="15" t="s">
        <v>26</v>
      </c>
      <c r="C3581" s="15" t="s">
        <v>19</v>
      </c>
      <c r="D3581" s="15">
        <v>65.0</v>
      </c>
      <c r="E3581" s="15" t="s">
        <v>2114</v>
      </c>
      <c r="F3581" s="15" t="s">
        <v>1479</v>
      </c>
      <c r="G3581" s="15" t="s">
        <v>1480</v>
      </c>
      <c r="H3581" s="15">
        <v>-1.0</v>
      </c>
      <c r="I3581" s="15" t="s">
        <v>229</v>
      </c>
      <c r="J3581" s="15" t="s">
        <v>22</v>
      </c>
      <c r="K3581" s="15" t="s">
        <v>892</v>
      </c>
      <c r="L3581" s="15" t="s">
        <v>1851</v>
      </c>
      <c r="M3581" s="16">
        <v>0.0</v>
      </c>
      <c r="N3581" s="16">
        <v>0.25</v>
      </c>
      <c r="O3581" s="16">
        <v>0.25</v>
      </c>
      <c r="P3581" s="55">
        <v>45560.0</v>
      </c>
      <c r="Q3581" s="18">
        <v>1.9</v>
      </c>
      <c r="R3581" s="15" t="s">
        <v>25</v>
      </c>
      <c r="S3581" s="19">
        <f t="shared" si="1"/>
        <v>-0.25</v>
      </c>
      <c r="T3581" s="19">
        <f t="shared" si="8"/>
        <v>110.3694733</v>
      </c>
      <c r="U3581" s="144"/>
    </row>
    <row r="3582">
      <c r="A3582" s="107"/>
      <c r="B3582" s="8" t="s">
        <v>26</v>
      </c>
      <c r="C3582" s="8" t="s">
        <v>19</v>
      </c>
      <c r="D3582" s="8">
        <v>60.0</v>
      </c>
      <c r="E3582" s="8" t="s">
        <v>2115</v>
      </c>
      <c r="F3582" s="8" t="s">
        <v>1473</v>
      </c>
      <c r="G3582" s="8" t="s">
        <v>1480</v>
      </c>
      <c r="H3582" s="8">
        <v>-1.0</v>
      </c>
      <c r="I3582" s="8" t="s">
        <v>2116</v>
      </c>
      <c r="J3582" s="8" t="s">
        <v>22</v>
      </c>
      <c r="K3582" s="8" t="s">
        <v>892</v>
      </c>
      <c r="L3582" s="8" t="s">
        <v>24</v>
      </c>
      <c r="M3582" s="9">
        <v>0.0</v>
      </c>
      <c r="N3582" s="9">
        <v>0.5</v>
      </c>
      <c r="O3582" s="9">
        <v>0.5</v>
      </c>
      <c r="P3582" s="54">
        <v>45560.0</v>
      </c>
      <c r="Q3582" s="11">
        <v>2.0</v>
      </c>
      <c r="R3582" s="8" t="s">
        <v>70</v>
      </c>
      <c r="S3582" s="12">
        <f t="shared" si="1"/>
        <v>0</v>
      </c>
      <c r="T3582" s="12">
        <f t="shared" si="8"/>
        <v>110.3694733</v>
      </c>
      <c r="U3582" s="145"/>
    </row>
    <row r="3583">
      <c r="A3583" s="29"/>
      <c r="B3583" s="15" t="s">
        <v>26</v>
      </c>
      <c r="C3583" s="15" t="s">
        <v>19</v>
      </c>
      <c r="D3583" s="15">
        <v>87.0</v>
      </c>
      <c r="E3583" s="15" t="s">
        <v>2117</v>
      </c>
      <c r="F3583" s="15" t="s">
        <v>1473</v>
      </c>
      <c r="G3583" s="15" t="s">
        <v>1480</v>
      </c>
      <c r="H3583" s="15">
        <v>1.0</v>
      </c>
      <c r="I3583" s="15" t="s">
        <v>229</v>
      </c>
      <c r="J3583" s="15" t="s">
        <v>22</v>
      </c>
      <c r="K3583" s="15" t="s">
        <v>892</v>
      </c>
      <c r="L3583" s="15" t="s">
        <v>39</v>
      </c>
      <c r="M3583" s="16">
        <v>0.0</v>
      </c>
      <c r="N3583" s="16">
        <v>0.25</v>
      </c>
      <c r="O3583" s="16">
        <v>0.25</v>
      </c>
      <c r="P3583" s="55">
        <v>45560.0</v>
      </c>
      <c r="Q3583" s="18">
        <v>1.875</v>
      </c>
      <c r="R3583" s="15" t="s">
        <v>33</v>
      </c>
      <c r="S3583" s="19">
        <f t="shared" si="1"/>
        <v>0.21875</v>
      </c>
      <c r="T3583" s="19">
        <f t="shared" si="8"/>
        <v>110.5882233</v>
      </c>
      <c r="U3583" s="144"/>
    </row>
    <row r="3584">
      <c r="A3584" s="107"/>
      <c r="B3584" s="8" t="s">
        <v>26</v>
      </c>
      <c r="C3584" s="8" t="s">
        <v>19</v>
      </c>
      <c r="D3584" s="8">
        <v>24.0</v>
      </c>
      <c r="E3584" s="8" t="s">
        <v>2118</v>
      </c>
      <c r="F3584" s="8" t="s">
        <v>1479</v>
      </c>
      <c r="G3584" s="8" t="s">
        <v>1474</v>
      </c>
      <c r="H3584" s="8">
        <v>1.0</v>
      </c>
      <c r="I3584" s="8" t="s">
        <v>513</v>
      </c>
      <c r="J3584" s="8" t="s">
        <v>22</v>
      </c>
      <c r="K3584" s="8" t="s">
        <v>225</v>
      </c>
      <c r="L3584" s="8" t="s">
        <v>1803</v>
      </c>
      <c r="M3584" s="9">
        <v>0.5</v>
      </c>
      <c r="N3584" s="9">
        <v>0.5</v>
      </c>
      <c r="O3584" s="9">
        <v>0.5</v>
      </c>
      <c r="P3584" s="10">
        <v>45560.0</v>
      </c>
      <c r="Q3584" s="11">
        <v>1.25</v>
      </c>
      <c r="R3584" s="8" t="s">
        <v>33</v>
      </c>
      <c r="S3584" s="12">
        <f t="shared" si="1"/>
        <v>0.125</v>
      </c>
      <c r="T3584" s="12">
        <f t="shared" si="8"/>
        <v>110.7132233</v>
      </c>
      <c r="U3584" s="145"/>
    </row>
    <row r="3585">
      <c r="A3585" s="29"/>
      <c r="B3585" s="15" t="s">
        <v>18</v>
      </c>
      <c r="C3585" s="15" t="s">
        <v>19</v>
      </c>
      <c r="D3585" s="15">
        <v>80.0</v>
      </c>
      <c r="E3585" s="15" t="s">
        <v>2119</v>
      </c>
      <c r="F3585" s="15" t="s">
        <v>1479</v>
      </c>
      <c r="G3585" s="15" t="s">
        <v>1474</v>
      </c>
      <c r="H3585" s="15">
        <v>-2.0</v>
      </c>
      <c r="I3585" s="15" t="s">
        <v>93</v>
      </c>
      <c r="J3585" s="15" t="s">
        <v>22</v>
      </c>
      <c r="K3585" s="15" t="s">
        <v>225</v>
      </c>
      <c r="L3585" s="15" t="s">
        <v>24</v>
      </c>
      <c r="M3585" s="16">
        <v>0.5</v>
      </c>
      <c r="N3585" s="16">
        <v>0.25</v>
      </c>
      <c r="O3585" s="16">
        <v>0.2069</v>
      </c>
      <c r="P3585" s="17">
        <v>45560.0</v>
      </c>
      <c r="Q3585" s="18">
        <v>1.725</v>
      </c>
      <c r="R3585" s="15" t="s">
        <v>25</v>
      </c>
      <c r="S3585" s="19">
        <f t="shared" si="1"/>
        <v>-0.2069</v>
      </c>
      <c r="T3585" s="19">
        <f t="shared" si="8"/>
        <v>110.5063233</v>
      </c>
      <c r="U3585" s="144"/>
    </row>
    <row r="3586">
      <c r="A3586" s="107"/>
      <c r="B3586" s="8" t="s">
        <v>137</v>
      </c>
      <c r="C3586" s="8" t="s">
        <v>19</v>
      </c>
      <c r="D3586" s="8">
        <v>30.0</v>
      </c>
      <c r="E3586" s="8" t="s">
        <v>2120</v>
      </c>
      <c r="F3586" s="8" t="s">
        <v>1473</v>
      </c>
      <c r="G3586" s="8" t="s">
        <v>1474</v>
      </c>
      <c r="H3586" s="8">
        <v>0.0</v>
      </c>
      <c r="I3586" s="8" t="s">
        <v>714</v>
      </c>
      <c r="J3586" s="8" t="s">
        <v>22</v>
      </c>
      <c r="K3586" s="8" t="s">
        <v>225</v>
      </c>
      <c r="L3586" s="8" t="s">
        <v>24</v>
      </c>
      <c r="M3586" s="9">
        <v>0.25</v>
      </c>
      <c r="N3586" s="9">
        <v>0.5</v>
      </c>
      <c r="O3586" s="9">
        <v>0.5</v>
      </c>
      <c r="P3586" s="10">
        <v>45560.0</v>
      </c>
      <c r="Q3586" s="11">
        <f>(1.8+1.581)/2</f>
        <v>1.6905</v>
      </c>
      <c r="R3586" s="8" t="s">
        <v>33</v>
      </c>
      <c r="S3586" s="12">
        <f t="shared" si="1"/>
        <v>0.34525</v>
      </c>
      <c r="T3586" s="12">
        <f t="shared" si="8"/>
        <v>110.8515733</v>
      </c>
      <c r="U3586" s="145"/>
    </row>
    <row r="3587">
      <c r="A3587" s="29"/>
      <c r="B3587" s="15" t="s">
        <v>26</v>
      </c>
      <c r="C3587" s="15" t="s">
        <v>19</v>
      </c>
      <c r="D3587" s="15">
        <v>70.0</v>
      </c>
      <c r="E3587" s="15" t="s">
        <v>2121</v>
      </c>
      <c r="F3587" s="15" t="s">
        <v>1479</v>
      </c>
      <c r="G3587" s="15" t="s">
        <v>1480</v>
      </c>
      <c r="H3587" s="15">
        <v>0.0</v>
      </c>
      <c r="I3587" s="15" t="s">
        <v>372</v>
      </c>
      <c r="J3587" s="15" t="s">
        <v>22</v>
      </c>
      <c r="K3587" s="15" t="s">
        <v>892</v>
      </c>
      <c r="L3587" s="15" t="s">
        <v>24</v>
      </c>
      <c r="M3587" s="16">
        <v>0.0</v>
      </c>
      <c r="N3587" s="16">
        <v>0.25</v>
      </c>
      <c r="O3587" s="16">
        <v>0.25</v>
      </c>
      <c r="P3587" s="17">
        <v>45560.0</v>
      </c>
      <c r="Q3587" s="18">
        <v>1.7</v>
      </c>
      <c r="R3587" s="15" t="s">
        <v>70</v>
      </c>
      <c r="S3587" s="19">
        <f t="shared" si="1"/>
        <v>0</v>
      </c>
      <c r="T3587" s="19">
        <f t="shared" si="8"/>
        <v>110.8515733</v>
      </c>
      <c r="U3587" s="144"/>
    </row>
    <row r="3588">
      <c r="A3588" s="107"/>
      <c r="B3588" s="8" t="s">
        <v>35</v>
      </c>
      <c r="C3588" s="8" t="s">
        <v>19</v>
      </c>
      <c r="D3588" s="8">
        <v>61.0</v>
      </c>
      <c r="E3588" s="8" t="s">
        <v>2122</v>
      </c>
      <c r="F3588" s="8" t="s">
        <v>1473</v>
      </c>
      <c r="G3588" s="8" t="s">
        <v>1480</v>
      </c>
      <c r="H3588" s="8">
        <v>-2.0</v>
      </c>
      <c r="I3588" s="8" t="s">
        <v>1031</v>
      </c>
      <c r="J3588" s="8" t="s">
        <v>22</v>
      </c>
      <c r="K3588" s="8" t="s">
        <v>892</v>
      </c>
      <c r="L3588" s="8" t="s">
        <v>24</v>
      </c>
      <c r="M3588" s="9">
        <v>0.0</v>
      </c>
      <c r="N3588" s="9">
        <v>0.5</v>
      </c>
      <c r="O3588" s="9">
        <v>0.25</v>
      </c>
      <c r="P3588" s="10">
        <v>45561.0</v>
      </c>
      <c r="Q3588" s="11">
        <v>2.275</v>
      </c>
      <c r="R3588" s="8" t="s">
        <v>33</v>
      </c>
      <c r="S3588" s="12">
        <f t="shared" si="1"/>
        <v>0.31875</v>
      </c>
      <c r="T3588" s="12">
        <f t="shared" si="8"/>
        <v>111.1703233</v>
      </c>
      <c r="U3588" s="145"/>
    </row>
    <row r="3589">
      <c r="A3589" s="29"/>
      <c r="B3589" s="15" t="s">
        <v>18</v>
      </c>
      <c r="C3589" s="15" t="s">
        <v>19</v>
      </c>
      <c r="D3589" s="15">
        <v>65.0</v>
      </c>
      <c r="E3589" s="15" t="s">
        <v>2123</v>
      </c>
      <c r="F3589" s="15" t="s">
        <v>1473</v>
      </c>
      <c r="G3589" s="15" t="s">
        <v>1480</v>
      </c>
      <c r="H3589" s="15">
        <v>-1.0</v>
      </c>
      <c r="I3589" s="15" t="s">
        <v>121</v>
      </c>
      <c r="J3589" s="15" t="s">
        <v>22</v>
      </c>
      <c r="K3589" s="15" t="s">
        <v>892</v>
      </c>
      <c r="L3589" s="15" t="s">
        <v>1803</v>
      </c>
      <c r="M3589" s="16">
        <v>0.0</v>
      </c>
      <c r="N3589" s="16">
        <v>0.5</v>
      </c>
      <c r="O3589" s="16">
        <v>0.3417</v>
      </c>
      <c r="P3589" s="17">
        <v>45561.0</v>
      </c>
      <c r="Q3589" s="18">
        <v>1.65</v>
      </c>
      <c r="R3589" s="15" t="s">
        <v>33</v>
      </c>
      <c r="S3589" s="19">
        <f t="shared" si="1"/>
        <v>0.222105</v>
      </c>
      <c r="T3589" s="19">
        <f t="shared" si="8"/>
        <v>111.3924283</v>
      </c>
      <c r="U3589" s="144"/>
    </row>
    <row r="3590">
      <c r="A3590" s="107"/>
      <c r="B3590" s="8" t="s">
        <v>35</v>
      </c>
      <c r="C3590" s="8" t="s">
        <v>19</v>
      </c>
      <c r="D3590" s="8">
        <v>65.0</v>
      </c>
      <c r="E3590" s="8" t="s">
        <v>2124</v>
      </c>
      <c r="F3590" s="8" t="s">
        <v>1479</v>
      </c>
      <c r="G3590" s="8" t="s">
        <v>1480</v>
      </c>
      <c r="H3590" s="8">
        <v>-2.0</v>
      </c>
      <c r="I3590" s="8" t="s">
        <v>853</v>
      </c>
      <c r="J3590" s="8" t="s">
        <v>22</v>
      </c>
      <c r="K3590" s="8" t="s">
        <v>892</v>
      </c>
      <c r="L3590" s="8" t="s">
        <v>24</v>
      </c>
      <c r="M3590" s="9">
        <v>0.0</v>
      </c>
      <c r="N3590" s="9">
        <v>0.25</v>
      </c>
      <c r="O3590" s="9">
        <v>0.25</v>
      </c>
      <c r="P3590" s="10">
        <v>45561.0</v>
      </c>
      <c r="Q3590" s="11">
        <v>2.1</v>
      </c>
      <c r="R3590" s="8" t="s">
        <v>70</v>
      </c>
      <c r="S3590" s="12">
        <f t="shared" si="1"/>
        <v>0</v>
      </c>
      <c r="T3590" s="12">
        <f t="shared" si="8"/>
        <v>111.3924283</v>
      </c>
      <c r="U3590" s="145"/>
    </row>
    <row r="3591">
      <c r="A3591" s="29"/>
      <c r="B3591" s="15" t="s">
        <v>135</v>
      </c>
      <c r="C3591" s="15" t="s">
        <v>19</v>
      </c>
      <c r="D3591" s="15">
        <v>0.0</v>
      </c>
      <c r="E3591" s="15" t="s">
        <v>2125</v>
      </c>
      <c r="F3591" s="15"/>
      <c r="G3591" s="15"/>
      <c r="H3591" s="15"/>
      <c r="I3591" s="15" t="s">
        <v>167</v>
      </c>
      <c r="J3591" s="15" t="s">
        <v>598</v>
      </c>
      <c r="K3591" s="15" t="s">
        <v>29</v>
      </c>
      <c r="L3591" s="15" t="s">
        <v>24</v>
      </c>
      <c r="M3591" s="15">
        <v>-2.75</v>
      </c>
      <c r="N3591" s="16">
        <v>0.25</v>
      </c>
      <c r="O3591" s="16">
        <v>0.25</v>
      </c>
      <c r="P3591" s="17">
        <v>45562.0</v>
      </c>
      <c r="Q3591" s="18">
        <v>1.46</v>
      </c>
      <c r="R3591" s="15" t="s">
        <v>33</v>
      </c>
      <c r="S3591" s="19">
        <f t="shared" si="1"/>
        <v>0.115</v>
      </c>
      <c r="T3591" s="19">
        <f t="shared" si="8"/>
        <v>111.5074283</v>
      </c>
      <c r="U3591" s="144"/>
    </row>
    <row r="3592">
      <c r="A3592" s="107"/>
      <c r="B3592" s="8" t="s">
        <v>137</v>
      </c>
      <c r="C3592" s="8" t="s">
        <v>19</v>
      </c>
      <c r="D3592" s="8">
        <v>65.0</v>
      </c>
      <c r="E3592" s="8" t="s">
        <v>2126</v>
      </c>
      <c r="F3592" s="8" t="s">
        <v>1479</v>
      </c>
      <c r="G3592" s="8" t="s">
        <v>1477</v>
      </c>
      <c r="H3592" s="8">
        <v>-1.0</v>
      </c>
      <c r="I3592" s="8" t="s">
        <v>923</v>
      </c>
      <c r="J3592" s="8" t="s">
        <v>22</v>
      </c>
      <c r="K3592" s="8" t="s">
        <v>894</v>
      </c>
      <c r="L3592" s="8" t="s">
        <v>24</v>
      </c>
      <c r="M3592" s="8">
        <v>-0.25</v>
      </c>
      <c r="N3592" s="9">
        <v>0.25</v>
      </c>
      <c r="O3592" s="9">
        <v>0.25</v>
      </c>
      <c r="P3592" s="10">
        <v>45562.0</v>
      </c>
      <c r="Q3592" s="11">
        <v>2.05</v>
      </c>
      <c r="R3592" s="8" t="s">
        <v>33</v>
      </c>
      <c r="S3592" s="12">
        <f t="shared" si="1"/>
        <v>0.2625</v>
      </c>
      <c r="T3592" s="12">
        <f t="shared" si="8"/>
        <v>111.7699283</v>
      </c>
      <c r="U3592" s="145"/>
    </row>
    <row r="3593">
      <c r="A3593" s="29"/>
      <c r="B3593" s="15" t="s">
        <v>135</v>
      </c>
      <c r="C3593" s="15" t="s">
        <v>19</v>
      </c>
      <c r="D3593" s="15">
        <v>0.0</v>
      </c>
      <c r="E3593" s="15" t="s">
        <v>2127</v>
      </c>
      <c r="F3593" s="15"/>
      <c r="G3593" s="15"/>
      <c r="H3593" s="15"/>
      <c r="I3593" s="15" t="s">
        <v>583</v>
      </c>
      <c r="J3593" s="15" t="s">
        <v>598</v>
      </c>
      <c r="K3593" s="15" t="s">
        <v>29</v>
      </c>
      <c r="L3593" s="15" t="s">
        <v>24</v>
      </c>
      <c r="M3593" s="16">
        <v>-2.5</v>
      </c>
      <c r="N3593" s="16">
        <v>0.25</v>
      </c>
      <c r="O3593" s="16">
        <v>0.25</v>
      </c>
      <c r="P3593" s="17">
        <v>45562.0</v>
      </c>
      <c r="Q3593" s="18">
        <v>1.9</v>
      </c>
      <c r="R3593" s="15" t="s">
        <v>25</v>
      </c>
      <c r="S3593" s="19">
        <f t="shared" si="1"/>
        <v>-0.25</v>
      </c>
      <c r="T3593" s="19">
        <f t="shared" si="8"/>
        <v>111.5199283</v>
      </c>
      <c r="U3593" s="144"/>
    </row>
    <row r="3594">
      <c r="A3594" s="107"/>
      <c r="B3594" s="8" t="s">
        <v>135</v>
      </c>
      <c r="C3594" s="8" t="s">
        <v>19</v>
      </c>
      <c r="D3594" s="8">
        <v>0.0</v>
      </c>
      <c r="E3594" s="8" t="s">
        <v>2128</v>
      </c>
      <c r="F3594" s="8"/>
      <c r="G3594" s="8"/>
      <c r="H3594" s="8"/>
      <c r="I3594" s="8" t="s">
        <v>583</v>
      </c>
      <c r="J3594" s="8" t="s">
        <v>598</v>
      </c>
      <c r="K3594" s="8" t="s">
        <v>29</v>
      </c>
      <c r="L3594" s="8" t="s">
        <v>24</v>
      </c>
      <c r="M3594" s="9">
        <v>-3.0</v>
      </c>
      <c r="N3594" s="9">
        <v>0.25</v>
      </c>
      <c r="O3594" s="9">
        <v>0.25</v>
      </c>
      <c r="P3594" s="10">
        <v>45562.0</v>
      </c>
      <c r="Q3594" s="11">
        <v>1.8</v>
      </c>
      <c r="R3594" s="8" t="s">
        <v>33</v>
      </c>
      <c r="S3594" s="12">
        <f t="shared" si="1"/>
        <v>0.2</v>
      </c>
      <c r="T3594" s="12">
        <f t="shared" si="8"/>
        <v>111.7199283</v>
      </c>
      <c r="U3594" s="145"/>
    </row>
    <row r="3595">
      <c r="A3595" s="29"/>
      <c r="B3595" s="15" t="s">
        <v>135</v>
      </c>
      <c r="C3595" s="15" t="s">
        <v>19</v>
      </c>
      <c r="D3595" s="15">
        <v>0.0</v>
      </c>
      <c r="E3595" s="15" t="s">
        <v>2129</v>
      </c>
      <c r="F3595" s="15"/>
      <c r="G3595" s="15"/>
      <c r="H3595" s="15"/>
      <c r="I3595" s="15" t="s">
        <v>583</v>
      </c>
      <c r="J3595" s="15" t="s">
        <v>598</v>
      </c>
      <c r="K3595" s="15" t="s">
        <v>29</v>
      </c>
      <c r="L3595" s="15" t="s">
        <v>24</v>
      </c>
      <c r="M3595" s="16">
        <v>-3.25</v>
      </c>
      <c r="N3595" s="16">
        <v>0.25</v>
      </c>
      <c r="O3595" s="16">
        <v>0.25</v>
      </c>
      <c r="P3595" s="17">
        <v>45562.0</v>
      </c>
      <c r="Q3595" s="18">
        <v>1.8</v>
      </c>
      <c r="R3595" s="15" t="s">
        <v>25</v>
      </c>
      <c r="S3595" s="19">
        <f t="shared" si="1"/>
        <v>-0.25</v>
      </c>
      <c r="T3595" s="19">
        <f t="shared" si="8"/>
        <v>111.4699283</v>
      </c>
      <c r="U3595" s="144"/>
    </row>
    <row r="3596">
      <c r="A3596" s="107"/>
      <c r="B3596" s="8" t="s">
        <v>18</v>
      </c>
      <c r="C3596" s="8" t="s">
        <v>19</v>
      </c>
      <c r="D3596" s="8">
        <v>67.0</v>
      </c>
      <c r="E3596" s="8" t="s">
        <v>2130</v>
      </c>
      <c r="F3596" s="8" t="s">
        <v>1473</v>
      </c>
      <c r="G3596" s="8" t="s">
        <v>1474</v>
      </c>
      <c r="H3596" s="8">
        <v>-1.0</v>
      </c>
      <c r="I3596" s="8" t="s">
        <v>1031</v>
      </c>
      <c r="J3596" s="8" t="s">
        <v>22</v>
      </c>
      <c r="K3596" s="8" t="s">
        <v>225</v>
      </c>
      <c r="L3596" s="8" t="s">
        <v>24</v>
      </c>
      <c r="M3596" s="9">
        <v>0.25</v>
      </c>
      <c r="N3596" s="9">
        <v>0.5</v>
      </c>
      <c r="O3596" s="9">
        <v>0.5</v>
      </c>
      <c r="P3596" s="10">
        <v>45562.0</v>
      </c>
      <c r="Q3596" s="8">
        <v>1.725</v>
      </c>
      <c r="R3596" s="8" t="s">
        <v>30</v>
      </c>
      <c r="S3596" s="12">
        <f t="shared" si="1"/>
        <v>0.18125</v>
      </c>
      <c r="T3596" s="12">
        <f t="shared" si="8"/>
        <v>111.6511783</v>
      </c>
      <c r="U3596" s="145"/>
    </row>
    <row r="3597">
      <c r="A3597" s="29"/>
      <c r="B3597" s="15" t="s">
        <v>18</v>
      </c>
      <c r="C3597" s="15" t="s">
        <v>19</v>
      </c>
      <c r="D3597" s="15">
        <v>77.0</v>
      </c>
      <c r="E3597" s="15" t="s">
        <v>2131</v>
      </c>
      <c r="F3597" s="15" t="s">
        <v>1479</v>
      </c>
      <c r="G3597" s="15" t="s">
        <v>1480</v>
      </c>
      <c r="H3597" s="15">
        <v>0.0</v>
      </c>
      <c r="I3597" s="15" t="s">
        <v>189</v>
      </c>
      <c r="J3597" s="15" t="s">
        <v>22</v>
      </c>
      <c r="K3597" s="15" t="s">
        <v>892</v>
      </c>
      <c r="L3597" s="15"/>
      <c r="M3597" s="16">
        <v>0.0</v>
      </c>
      <c r="N3597" s="16">
        <v>0.25</v>
      </c>
      <c r="O3597" s="16">
        <v>0.25</v>
      </c>
      <c r="P3597" s="17">
        <v>45562.0</v>
      </c>
      <c r="Q3597" s="18">
        <v>2.075</v>
      </c>
      <c r="R3597" s="15" t="s">
        <v>25</v>
      </c>
      <c r="S3597" s="19">
        <f t="shared" si="1"/>
        <v>-0.25</v>
      </c>
      <c r="T3597" s="19">
        <f t="shared" si="8"/>
        <v>111.4011783</v>
      </c>
      <c r="U3597" s="144"/>
    </row>
    <row r="3598">
      <c r="A3598" s="107"/>
      <c r="B3598" s="8" t="s">
        <v>135</v>
      </c>
      <c r="C3598" s="8" t="s">
        <v>19</v>
      </c>
      <c r="D3598" s="8">
        <v>0.0</v>
      </c>
      <c r="E3598" s="8" t="s">
        <v>2132</v>
      </c>
      <c r="F3598" s="8"/>
      <c r="G3598" s="8"/>
      <c r="H3598" s="8"/>
      <c r="I3598" s="8" t="s">
        <v>50</v>
      </c>
      <c r="J3598" s="8" t="s">
        <v>598</v>
      </c>
      <c r="K3598" s="8" t="s">
        <v>29</v>
      </c>
      <c r="L3598" s="8"/>
      <c r="M3598" s="9">
        <v>-2.5</v>
      </c>
      <c r="N3598" s="9">
        <v>0.25</v>
      </c>
      <c r="O3598" s="9">
        <v>0.25</v>
      </c>
      <c r="P3598" s="10">
        <v>45562.0</v>
      </c>
      <c r="Q3598" s="11">
        <v>1.775</v>
      </c>
      <c r="R3598" s="8" t="s">
        <v>33</v>
      </c>
      <c r="S3598" s="12">
        <f t="shared" si="1"/>
        <v>0.19375</v>
      </c>
      <c r="T3598" s="12">
        <f t="shared" si="8"/>
        <v>111.5949283</v>
      </c>
      <c r="U3598" s="145"/>
    </row>
    <row r="3599">
      <c r="A3599" s="29"/>
      <c r="B3599" s="15" t="s">
        <v>135</v>
      </c>
      <c r="C3599" s="15" t="s">
        <v>19</v>
      </c>
      <c r="D3599" s="15">
        <v>0.0</v>
      </c>
      <c r="E3599" s="15" t="s">
        <v>2133</v>
      </c>
      <c r="F3599" s="15"/>
      <c r="G3599" s="15"/>
      <c r="H3599" s="15"/>
      <c r="I3599" s="15" t="s">
        <v>341</v>
      </c>
      <c r="J3599" s="15" t="s">
        <v>598</v>
      </c>
      <c r="K3599" s="15" t="s">
        <v>29</v>
      </c>
      <c r="L3599" s="15"/>
      <c r="M3599" s="16">
        <v>-2.0</v>
      </c>
      <c r="N3599" s="16">
        <v>0.25</v>
      </c>
      <c r="O3599" s="16">
        <v>0.25</v>
      </c>
      <c r="P3599" s="17">
        <v>45562.0</v>
      </c>
      <c r="Q3599" s="18">
        <v>2.0</v>
      </c>
      <c r="R3599" s="15" t="s">
        <v>25</v>
      </c>
      <c r="S3599" s="19">
        <f t="shared" si="1"/>
        <v>-0.25</v>
      </c>
      <c r="T3599" s="19">
        <f t="shared" si="8"/>
        <v>111.3449283</v>
      </c>
      <c r="U3599" s="144"/>
    </row>
    <row r="3600">
      <c r="A3600" s="107"/>
      <c r="B3600" s="8" t="s">
        <v>18</v>
      </c>
      <c r="C3600" s="8" t="s">
        <v>19</v>
      </c>
      <c r="D3600" s="8"/>
      <c r="E3600" s="8" t="s">
        <v>2134</v>
      </c>
      <c r="F3600" s="8"/>
      <c r="G3600" s="8"/>
      <c r="H3600" s="8"/>
      <c r="I3600" s="8" t="s">
        <v>316</v>
      </c>
      <c r="J3600" s="8" t="s">
        <v>22</v>
      </c>
      <c r="K3600" s="8" t="s">
        <v>225</v>
      </c>
      <c r="L3600" s="8"/>
      <c r="M3600" s="9">
        <v>0.25</v>
      </c>
      <c r="N3600" s="9">
        <v>0.5</v>
      </c>
      <c r="O3600" s="9">
        <v>0.5</v>
      </c>
      <c r="P3600" s="10">
        <v>45562.0</v>
      </c>
      <c r="Q3600" s="11">
        <v>1.116</v>
      </c>
      <c r="R3600" s="8" t="s">
        <v>33</v>
      </c>
      <c r="S3600" s="12">
        <f t="shared" si="1"/>
        <v>0.058</v>
      </c>
      <c r="T3600" s="12">
        <f t="shared" si="8"/>
        <v>111.4029283</v>
      </c>
      <c r="U3600" s="145"/>
    </row>
    <row r="3601">
      <c r="A3601" s="29"/>
      <c r="B3601" s="15" t="s">
        <v>26</v>
      </c>
      <c r="C3601" s="15" t="s">
        <v>19</v>
      </c>
      <c r="D3601" s="15"/>
      <c r="E3601" s="15" t="s">
        <v>2135</v>
      </c>
      <c r="F3601" s="15"/>
      <c r="G3601" s="15"/>
      <c r="H3601" s="15"/>
      <c r="I3601" s="15" t="s">
        <v>82</v>
      </c>
      <c r="J3601" s="15" t="s">
        <v>22</v>
      </c>
      <c r="K3601" s="15" t="s">
        <v>440</v>
      </c>
      <c r="L3601" s="15"/>
      <c r="M3601" s="16">
        <v>0.5</v>
      </c>
      <c r="N3601" s="16">
        <v>0.1</v>
      </c>
      <c r="O3601" s="16">
        <v>0.1</v>
      </c>
      <c r="P3601" s="17">
        <v>45562.0</v>
      </c>
      <c r="Q3601" s="18">
        <v>2.13</v>
      </c>
      <c r="R3601" s="15" t="s">
        <v>25</v>
      </c>
      <c r="S3601" s="19">
        <f t="shared" si="1"/>
        <v>-0.1</v>
      </c>
      <c r="T3601" s="19">
        <f t="shared" si="8"/>
        <v>111.3029283</v>
      </c>
      <c r="U3601" s="144"/>
    </row>
    <row r="3602">
      <c r="A3602" s="107"/>
      <c r="B3602" s="8" t="s">
        <v>18</v>
      </c>
      <c r="C3602" s="8" t="s">
        <v>19</v>
      </c>
      <c r="D3602" s="8"/>
      <c r="E3602" s="8" t="s">
        <v>2136</v>
      </c>
      <c r="F3602" s="8" t="s">
        <v>1473</v>
      </c>
      <c r="G3602" s="8" t="s">
        <v>1474</v>
      </c>
      <c r="H3602" s="8">
        <v>-1.0</v>
      </c>
      <c r="I3602" s="8" t="s">
        <v>513</v>
      </c>
      <c r="J3602" s="8" t="s">
        <v>22</v>
      </c>
      <c r="K3602" s="8" t="s">
        <v>225</v>
      </c>
      <c r="L3602" s="8"/>
      <c r="M3602" s="8">
        <v>0.25</v>
      </c>
      <c r="N3602" s="9">
        <v>0.25</v>
      </c>
      <c r="O3602" s="9">
        <v>0.25</v>
      </c>
      <c r="P3602" s="10">
        <v>45563.0</v>
      </c>
      <c r="Q3602" s="11">
        <v>1.7</v>
      </c>
      <c r="R3602" s="8" t="s">
        <v>30</v>
      </c>
      <c r="S3602" s="12">
        <f t="shared" si="1"/>
        <v>0.0875</v>
      </c>
      <c r="T3602" s="12">
        <f t="shared" si="8"/>
        <v>111.3904283</v>
      </c>
      <c r="U3602" s="145"/>
    </row>
    <row r="3603">
      <c r="A3603" s="29"/>
      <c r="B3603" s="15" t="s">
        <v>26</v>
      </c>
      <c r="C3603" s="15" t="s">
        <v>19</v>
      </c>
      <c r="D3603" s="15">
        <v>60.0</v>
      </c>
      <c r="E3603" s="15" t="s">
        <v>2137</v>
      </c>
      <c r="F3603" s="15" t="s">
        <v>1479</v>
      </c>
      <c r="G3603" s="15" t="s">
        <v>1480</v>
      </c>
      <c r="H3603" s="15">
        <v>-2.0</v>
      </c>
      <c r="I3603" s="15" t="s">
        <v>101</v>
      </c>
      <c r="J3603" s="15" t="s">
        <v>22</v>
      </c>
      <c r="K3603" s="15" t="s">
        <v>892</v>
      </c>
      <c r="L3603" s="15"/>
      <c r="M3603" s="16">
        <v>0.0</v>
      </c>
      <c r="N3603" s="16">
        <v>0.5</v>
      </c>
      <c r="O3603" s="16">
        <v>0.3689</v>
      </c>
      <c r="P3603" s="17">
        <v>45563.0</v>
      </c>
      <c r="Q3603" s="18">
        <v>1.825</v>
      </c>
      <c r="R3603" s="15" t="s">
        <v>25</v>
      </c>
      <c r="S3603" s="19">
        <f t="shared" si="1"/>
        <v>-0.3689</v>
      </c>
      <c r="T3603" s="19">
        <f t="shared" si="8"/>
        <v>111.0215283</v>
      </c>
      <c r="U3603" s="144"/>
    </row>
    <row r="3604">
      <c r="A3604" s="107"/>
      <c r="B3604" s="8" t="s">
        <v>26</v>
      </c>
      <c r="C3604" s="8" t="s">
        <v>19</v>
      </c>
      <c r="D3604" s="8">
        <v>78.0</v>
      </c>
      <c r="E3604" s="8" t="s">
        <v>2138</v>
      </c>
      <c r="F3604" s="8" t="s">
        <v>1473</v>
      </c>
      <c r="G3604" s="8" t="s">
        <v>1480</v>
      </c>
      <c r="H3604" s="8">
        <v>0.0</v>
      </c>
      <c r="I3604" s="8" t="s">
        <v>908</v>
      </c>
      <c r="J3604" s="8" t="s">
        <v>22</v>
      </c>
      <c r="K3604" s="8" t="s">
        <v>892</v>
      </c>
      <c r="L3604" s="8"/>
      <c r="M3604" s="9">
        <v>0.0</v>
      </c>
      <c r="N3604" s="9">
        <v>0.25</v>
      </c>
      <c r="O3604" s="9">
        <v>0.25</v>
      </c>
      <c r="P3604" s="10">
        <v>45563.0</v>
      </c>
      <c r="Q3604" s="11">
        <v>1.7</v>
      </c>
      <c r="R3604" s="8" t="s">
        <v>33</v>
      </c>
      <c r="S3604" s="12">
        <f t="shared" si="1"/>
        <v>0.175</v>
      </c>
      <c r="T3604" s="12">
        <f t="shared" si="8"/>
        <v>111.1965283</v>
      </c>
      <c r="U3604" s="145"/>
    </row>
    <row r="3605">
      <c r="A3605" s="29"/>
      <c r="B3605" s="15" t="s">
        <v>131</v>
      </c>
      <c r="C3605" s="15" t="s">
        <v>40</v>
      </c>
      <c r="D3605" s="15">
        <v>54.0</v>
      </c>
      <c r="E3605" s="15" t="s">
        <v>2139</v>
      </c>
      <c r="F3605" s="15" t="s">
        <v>1479</v>
      </c>
      <c r="G3605" s="15" t="s">
        <v>1474</v>
      </c>
      <c r="H3605" s="15">
        <v>0.0</v>
      </c>
      <c r="I3605" s="15" t="s">
        <v>60</v>
      </c>
      <c r="J3605" s="15" t="s">
        <v>22</v>
      </c>
      <c r="K3605" s="15" t="s">
        <v>225</v>
      </c>
      <c r="L3605" s="15"/>
      <c r="M3605" s="16">
        <v>0.5</v>
      </c>
      <c r="N3605" s="16">
        <v>0.25</v>
      </c>
      <c r="O3605" s="16">
        <v>0.25</v>
      </c>
      <c r="P3605" s="17">
        <v>45563.0</v>
      </c>
      <c r="Q3605" s="18">
        <v>1.775</v>
      </c>
      <c r="R3605" s="15" t="s">
        <v>33</v>
      </c>
      <c r="S3605" s="19">
        <f t="shared" si="1"/>
        <v>0.19375</v>
      </c>
      <c r="T3605" s="19">
        <f t="shared" si="8"/>
        <v>111.3902783</v>
      </c>
      <c r="U3605" s="144"/>
    </row>
    <row r="3606">
      <c r="A3606" s="107"/>
      <c r="B3606" s="8" t="s">
        <v>26</v>
      </c>
      <c r="C3606" s="8" t="s">
        <v>19</v>
      </c>
      <c r="D3606" s="8">
        <v>65.0</v>
      </c>
      <c r="E3606" s="8" t="s">
        <v>2140</v>
      </c>
      <c r="F3606" s="8" t="s">
        <v>1479</v>
      </c>
      <c r="G3606" s="8" t="s">
        <v>1480</v>
      </c>
      <c r="H3606" s="8">
        <v>0.0</v>
      </c>
      <c r="I3606" s="8" t="s">
        <v>908</v>
      </c>
      <c r="J3606" s="8" t="s">
        <v>22</v>
      </c>
      <c r="K3606" s="8" t="s">
        <v>892</v>
      </c>
      <c r="L3606" s="8"/>
      <c r="M3606" s="9">
        <v>0.0</v>
      </c>
      <c r="N3606" s="9">
        <v>0.25</v>
      </c>
      <c r="O3606" s="9">
        <v>0.25</v>
      </c>
      <c r="P3606" s="10">
        <v>45563.0</v>
      </c>
      <c r="Q3606" s="11">
        <v>1.8</v>
      </c>
      <c r="R3606" s="8" t="s">
        <v>70</v>
      </c>
      <c r="S3606" s="12">
        <f t="shared" si="1"/>
        <v>0</v>
      </c>
      <c r="T3606" s="12">
        <f t="shared" si="8"/>
        <v>111.3902783</v>
      </c>
      <c r="U3606" s="145"/>
    </row>
    <row r="3607">
      <c r="A3607" s="29"/>
      <c r="B3607" s="15" t="s">
        <v>26</v>
      </c>
      <c r="C3607" s="15" t="s">
        <v>19</v>
      </c>
      <c r="D3607" s="15">
        <v>60.0</v>
      </c>
      <c r="E3607" s="15" t="s">
        <v>2141</v>
      </c>
      <c r="F3607" s="15" t="s">
        <v>1479</v>
      </c>
      <c r="G3607" s="15" t="s">
        <v>1480</v>
      </c>
      <c r="H3607" s="15">
        <v>-1.0</v>
      </c>
      <c r="I3607" s="15" t="s">
        <v>229</v>
      </c>
      <c r="J3607" s="15" t="s">
        <v>22</v>
      </c>
      <c r="K3607" s="15" t="s">
        <v>892</v>
      </c>
      <c r="L3607" s="15"/>
      <c r="M3607" s="16">
        <v>0.0</v>
      </c>
      <c r="N3607" s="16">
        <v>0.75</v>
      </c>
      <c r="O3607" s="16">
        <v>0.75</v>
      </c>
      <c r="P3607" s="17">
        <v>45563.0</v>
      </c>
      <c r="Q3607" s="18">
        <v>1.975</v>
      </c>
      <c r="R3607" s="15" t="s">
        <v>25</v>
      </c>
      <c r="S3607" s="19">
        <f t="shared" si="1"/>
        <v>-0.75</v>
      </c>
      <c r="T3607" s="19">
        <f t="shared" si="8"/>
        <v>110.6402783</v>
      </c>
      <c r="U3607" s="144"/>
    </row>
    <row r="3608">
      <c r="A3608" s="107"/>
      <c r="B3608" s="8" t="s">
        <v>26</v>
      </c>
      <c r="C3608" s="8" t="s">
        <v>19</v>
      </c>
      <c r="D3608" s="8">
        <v>34.0</v>
      </c>
      <c r="E3608" s="8" t="s">
        <v>2142</v>
      </c>
      <c r="F3608" s="8" t="s">
        <v>1479</v>
      </c>
      <c r="G3608" s="8" t="s">
        <v>1480</v>
      </c>
      <c r="H3608" s="8">
        <v>0.0</v>
      </c>
      <c r="I3608" s="8" t="s">
        <v>101</v>
      </c>
      <c r="J3608" s="8" t="s">
        <v>22</v>
      </c>
      <c r="K3608" s="8" t="s">
        <v>892</v>
      </c>
      <c r="L3608" s="8"/>
      <c r="M3608" s="9">
        <v>0.0</v>
      </c>
      <c r="N3608" s="9">
        <v>0.75</v>
      </c>
      <c r="O3608" s="9">
        <v>0.5615</v>
      </c>
      <c r="P3608" s="10">
        <v>45563.0</v>
      </c>
      <c r="Q3608" s="11">
        <v>1.85</v>
      </c>
      <c r="R3608" s="8" t="s">
        <v>70</v>
      </c>
      <c r="S3608" s="12">
        <f t="shared" si="1"/>
        <v>0</v>
      </c>
      <c r="T3608" s="12">
        <f t="shared" si="8"/>
        <v>110.6402783</v>
      </c>
      <c r="U3608" s="145"/>
    </row>
    <row r="3609">
      <c r="A3609" s="29"/>
      <c r="B3609" s="15" t="s">
        <v>26</v>
      </c>
      <c r="C3609" s="15" t="s">
        <v>19</v>
      </c>
      <c r="D3609" s="15"/>
      <c r="E3609" s="15" t="s">
        <v>2143</v>
      </c>
      <c r="F3609" s="15" t="s">
        <v>1473</v>
      </c>
      <c r="G3609" s="15" t="s">
        <v>1480</v>
      </c>
      <c r="H3609" s="15">
        <v>0.0</v>
      </c>
      <c r="I3609" s="15" t="s">
        <v>316</v>
      </c>
      <c r="J3609" s="15" t="s">
        <v>22</v>
      </c>
      <c r="K3609" s="15" t="s">
        <v>892</v>
      </c>
      <c r="L3609" s="15"/>
      <c r="M3609" s="16">
        <v>0.0</v>
      </c>
      <c r="N3609" s="16">
        <v>0.75</v>
      </c>
      <c r="O3609" s="16">
        <v>0.75</v>
      </c>
      <c r="P3609" s="17">
        <v>45563.0</v>
      </c>
      <c r="Q3609" s="18">
        <v>1.75</v>
      </c>
      <c r="R3609" s="15" t="s">
        <v>70</v>
      </c>
      <c r="S3609" s="19">
        <f t="shared" si="1"/>
        <v>0</v>
      </c>
      <c r="T3609" s="19">
        <f t="shared" si="8"/>
        <v>110.6402783</v>
      </c>
      <c r="U3609" s="144"/>
    </row>
    <row r="3610">
      <c r="A3610" s="107"/>
      <c r="B3610" s="8" t="s">
        <v>26</v>
      </c>
      <c r="C3610" s="8" t="s">
        <v>19</v>
      </c>
      <c r="D3610" s="8"/>
      <c r="E3610" s="8" t="s">
        <v>2144</v>
      </c>
      <c r="F3610" s="8" t="s">
        <v>1479</v>
      </c>
      <c r="G3610" s="8" t="s">
        <v>1480</v>
      </c>
      <c r="H3610" s="8">
        <v>-1.0</v>
      </c>
      <c r="I3610" s="8" t="s">
        <v>66</v>
      </c>
      <c r="J3610" s="8" t="s">
        <v>22</v>
      </c>
      <c r="K3610" s="8" t="s">
        <v>892</v>
      </c>
      <c r="L3610" s="8"/>
      <c r="M3610" s="9">
        <v>0.0</v>
      </c>
      <c r="N3610" s="9">
        <v>1.0</v>
      </c>
      <c r="O3610" s="9">
        <v>0.9754</v>
      </c>
      <c r="P3610" s="10">
        <v>45563.0</v>
      </c>
      <c r="Q3610" s="11">
        <v>2.0</v>
      </c>
      <c r="R3610" s="8" t="s">
        <v>70</v>
      </c>
      <c r="S3610" s="12">
        <f t="shared" si="1"/>
        <v>0</v>
      </c>
      <c r="T3610" s="12">
        <f t="shared" si="8"/>
        <v>110.6402783</v>
      </c>
      <c r="U3610" s="145"/>
    </row>
    <row r="3611">
      <c r="A3611" s="29"/>
      <c r="B3611" s="15" t="s">
        <v>26</v>
      </c>
      <c r="C3611" s="15" t="s">
        <v>19</v>
      </c>
      <c r="D3611" s="15"/>
      <c r="E3611" s="15" t="s">
        <v>2145</v>
      </c>
      <c r="F3611" s="15" t="s">
        <v>1473</v>
      </c>
      <c r="G3611" s="15" t="s">
        <v>1480</v>
      </c>
      <c r="H3611" s="15">
        <v>-1.0</v>
      </c>
      <c r="I3611" s="15" t="s">
        <v>66</v>
      </c>
      <c r="J3611" s="15" t="s">
        <v>22</v>
      </c>
      <c r="K3611" s="15" t="s">
        <v>892</v>
      </c>
      <c r="L3611" s="15"/>
      <c r="M3611" s="16">
        <v>0.0</v>
      </c>
      <c r="N3611" s="16">
        <v>0.25</v>
      </c>
      <c r="O3611" s="16">
        <v>0.1926</v>
      </c>
      <c r="P3611" s="17">
        <v>45563.0</v>
      </c>
      <c r="Q3611" s="18">
        <v>1.8</v>
      </c>
      <c r="R3611" s="15" t="s">
        <v>25</v>
      </c>
      <c r="S3611" s="19">
        <f t="shared" si="1"/>
        <v>-0.1926</v>
      </c>
      <c r="T3611" s="19">
        <f t="shared" si="8"/>
        <v>110.4476783</v>
      </c>
      <c r="U3611" s="144"/>
    </row>
    <row r="3612">
      <c r="A3612" s="107"/>
      <c r="B3612" s="8" t="s">
        <v>137</v>
      </c>
      <c r="C3612" s="8" t="s">
        <v>19</v>
      </c>
      <c r="D3612" s="8"/>
      <c r="E3612" s="8" t="s">
        <v>2146</v>
      </c>
      <c r="F3612" s="8" t="s">
        <v>1473</v>
      </c>
      <c r="G3612" s="8" t="s">
        <v>1480</v>
      </c>
      <c r="H3612" s="8">
        <v>2.0</v>
      </c>
      <c r="I3612" s="8" t="s">
        <v>245</v>
      </c>
      <c r="J3612" s="8" t="s">
        <v>22</v>
      </c>
      <c r="K3612" s="8" t="s">
        <v>892</v>
      </c>
      <c r="L3612" s="8"/>
      <c r="M3612" s="9">
        <v>0.0</v>
      </c>
      <c r="N3612" s="9">
        <v>0.5</v>
      </c>
      <c r="O3612" s="9">
        <v>0.5</v>
      </c>
      <c r="P3612" s="10">
        <v>45563.0</v>
      </c>
      <c r="Q3612" s="11">
        <v>1.775</v>
      </c>
      <c r="R3612" s="8" t="s">
        <v>70</v>
      </c>
      <c r="S3612" s="12">
        <f t="shared" si="1"/>
        <v>0</v>
      </c>
      <c r="T3612" s="12">
        <f t="shared" si="8"/>
        <v>110.4476783</v>
      </c>
      <c r="U3612" s="145"/>
    </row>
    <row r="3613">
      <c r="A3613" s="29"/>
      <c r="B3613" s="15" t="s">
        <v>129</v>
      </c>
      <c r="C3613" s="15" t="s">
        <v>19</v>
      </c>
      <c r="D3613" s="15"/>
      <c r="E3613" s="15" t="s">
        <v>2147</v>
      </c>
      <c r="F3613" s="15" t="s">
        <v>1473</v>
      </c>
      <c r="G3613" s="15" t="s">
        <v>1480</v>
      </c>
      <c r="H3613" s="15">
        <v>0.0</v>
      </c>
      <c r="I3613" s="15" t="s">
        <v>245</v>
      </c>
      <c r="J3613" s="15" t="s">
        <v>22</v>
      </c>
      <c r="K3613" s="15" t="s">
        <v>892</v>
      </c>
      <c r="L3613" s="15"/>
      <c r="M3613" s="16">
        <v>0.0</v>
      </c>
      <c r="N3613" s="16">
        <v>0.5</v>
      </c>
      <c r="O3613" s="16">
        <v>0.5</v>
      </c>
      <c r="P3613" s="17">
        <v>45563.0</v>
      </c>
      <c r="Q3613" s="18">
        <v>2.075</v>
      </c>
      <c r="R3613" s="15" t="s">
        <v>25</v>
      </c>
      <c r="S3613" s="19">
        <f t="shared" si="1"/>
        <v>-0.5</v>
      </c>
      <c r="T3613" s="19">
        <f t="shared" si="8"/>
        <v>109.9476783</v>
      </c>
      <c r="U3613" s="144"/>
    </row>
    <row r="3614">
      <c r="A3614" s="107"/>
      <c r="B3614" s="8" t="s">
        <v>26</v>
      </c>
      <c r="C3614" s="8" t="s">
        <v>40</v>
      </c>
      <c r="D3614" s="8"/>
      <c r="E3614" s="8" t="s">
        <v>2148</v>
      </c>
      <c r="F3614" s="8" t="s">
        <v>1473</v>
      </c>
      <c r="G3614" s="8" t="s">
        <v>1480</v>
      </c>
      <c r="H3614" s="8">
        <v>1.0</v>
      </c>
      <c r="I3614" s="8" t="s">
        <v>341</v>
      </c>
      <c r="J3614" s="8" t="s">
        <v>22</v>
      </c>
      <c r="K3614" s="8" t="s">
        <v>225</v>
      </c>
      <c r="L3614" s="8"/>
      <c r="M3614" s="9">
        <v>0.25</v>
      </c>
      <c r="N3614" s="9">
        <v>0.5</v>
      </c>
      <c r="O3614" s="9">
        <v>0.25</v>
      </c>
      <c r="P3614" s="10">
        <v>45563.0</v>
      </c>
      <c r="Q3614" s="11">
        <v>1.975</v>
      </c>
      <c r="R3614" s="8" t="s">
        <v>30</v>
      </c>
      <c r="S3614" s="12">
        <f t="shared" si="1"/>
        <v>0.121875</v>
      </c>
      <c r="T3614" s="12">
        <f t="shared" si="8"/>
        <v>110.0695533</v>
      </c>
      <c r="U3614" s="145"/>
    </row>
    <row r="3615">
      <c r="A3615" s="29"/>
      <c r="B3615" s="15" t="s">
        <v>18</v>
      </c>
      <c r="C3615" s="15" t="s">
        <v>19</v>
      </c>
      <c r="D3615" s="15">
        <v>65.0</v>
      </c>
      <c r="E3615" s="15" t="s">
        <v>2149</v>
      </c>
      <c r="F3615" s="15" t="s">
        <v>1479</v>
      </c>
      <c r="G3615" s="15" t="s">
        <v>1477</v>
      </c>
      <c r="H3615" s="15">
        <v>0.0</v>
      </c>
      <c r="I3615" s="15" t="s">
        <v>659</v>
      </c>
      <c r="J3615" s="15" t="s">
        <v>22</v>
      </c>
      <c r="K3615" s="15" t="s">
        <v>894</v>
      </c>
      <c r="L3615" s="15"/>
      <c r="M3615" s="16">
        <v>-0.5</v>
      </c>
      <c r="N3615" s="16">
        <v>0.3</v>
      </c>
      <c r="O3615" s="16">
        <v>0.3</v>
      </c>
      <c r="P3615" s="17">
        <v>45563.0</v>
      </c>
      <c r="Q3615" s="18">
        <v>2.05</v>
      </c>
      <c r="R3615" s="15" t="s">
        <v>25</v>
      </c>
      <c r="S3615" s="19">
        <f t="shared" si="1"/>
        <v>-0.3</v>
      </c>
      <c r="T3615" s="19">
        <f t="shared" si="8"/>
        <v>109.7695533</v>
      </c>
      <c r="U3615" s="144"/>
    </row>
    <row r="3616">
      <c r="A3616" s="107"/>
      <c r="B3616" s="8" t="s">
        <v>129</v>
      </c>
      <c r="C3616" s="8" t="s">
        <v>19</v>
      </c>
      <c r="D3616" s="8"/>
      <c r="E3616" s="8" t="s">
        <v>2150</v>
      </c>
      <c r="F3616" s="8" t="s">
        <v>1473</v>
      </c>
      <c r="G3616" s="8" t="s">
        <v>1480</v>
      </c>
      <c r="H3616" s="8">
        <v>0.0</v>
      </c>
      <c r="I3616" s="8" t="s">
        <v>93</v>
      </c>
      <c r="J3616" s="8" t="s">
        <v>22</v>
      </c>
      <c r="K3616" s="8" t="s">
        <v>892</v>
      </c>
      <c r="L3616" s="8"/>
      <c r="M3616" s="9">
        <v>0.0</v>
      </c>
      <c r="N3616" s="9">
        <v>0.25</v>
      </c>
      <c r="O3616" s="9">
        <v>0.25</v>
      </c>
      <c r="P3616" s="10">
        <v>45563.0</v>
      </c>
      <c r="Q3616" s="11">
        <v>1.725</v>
      </c>
      <c r="R3616" s="8" t="s">
        <v>25</v>
      </c>
      <c r="S3616" s="12">
        <f t="shared" si="1"/>
        <v>-0.25</v>
      </c>
      <c r="T3616" s="12">
        <f t="shared" si="8"/>
        <v>109.5195533</v>
      </c>
      <c r="U3616" s="145"/>
    </row>
    <row r="3617">
      <c r="A3617" s="29"/>
      <c r="B3617" s="15" t="s">
        <v>35</v>
      </c>
      <c r="C3617" s="15" t="s">
        <v>19</v>
      </c>
      <c r="D3617" s="15"/>
      <c r="E3617" s="15" t="s">
        <v>2151</v>
      </c>
      <c r="F3617" s="15" t="s">
        <v>1479</v>
      </c>
      <c r="G3617" s="15" t="s">
        <v>1480</v>
      </c>
      <c r="H3617" s="15">
        <v>0.0</v>
      </c>
      <c r="I3617" s="15" t="s">
        <v>82</v>
      </c>
      <c r="J3617" s="15" t="s">
        <v>22</v>
      </c>
      <c r="K3617" s="15" t="s">
        <v>892</v>
      </c>
      <c r="L3617" s="15"/>
      <c r="M3617" s="16">
        <v>0.0</v>
      </c>
      <c r="N3617" s="16">
        <v>0.25</v>
      </c>
      <c r="O3617" s="16">
        <v>0.25</v>
      </c>
      <c r="P3617" s="17">
        <v>45563.0</v>
      </c>
      <c r="Q3617" s="18">
        <v>2.075</v>
      </c>
      <c r="R3617" s="15" t="s">
        <v>70</v>
      </c>
      <c r="S3617" s="19">
        <f t="shared" si="1"/>
        <v>0</v>
      </c>
      <c r="T3617" s="19">
        <f t="shared" si="8"/>
        <v>109.5195533</v>
      </c>
      <c r="U3617" s="144"/>
    </row>
    <row r="3618">
      <c r="A3618" s="107"/>
      <c r="B3618" s="8" t="s">
        <v>35</v>
      </c>
      <c r="C3618" s="8" t="s">
        <v>19</v>
      </c>
      <c r="D3618" s="8"/>
      <c r="E3618" s="8" t="s">
        <v>2152</v>
      </c>
      <c r="F3618" s="8" t="s">
        <v>1473</v>
      </c>
      <c r="G3618" s="8" t="s">
        <v>1480</v>
      </c>
      <c r="H3618" s="8">
        <v>0.0</v>
      </c>
      <c r="I3618" s="8" t="s">
        <v>82</v>
      </c>
      <c r="J3618" s="8" t="s">
        <v>22</v>
      </c>
      <c r="K3618" s="8" t="s">
        <v>892</v>
      </c>
      <c r="L3618" s="8"/>
      <c r="M3618" s="9">
        <v>0.0</v>
      </c>
      <c r="N3618" s="9">
        <v>0.27</v>
      </c>
      <c r="O3618" s="9">
        <v>0.27</v>
      </c>
      <c r="P3618" s="10">
        <v>45563.0</v>
      </c>
      <c r="Q3618" s="11">
        <v>1.725</v>
      </c>
      <c r="R3618" s="8" t="s">
        <v>70</v>
      </c>
      <c r="S3618" s="12">
        <f t="shared" si="1"/>
        <v>0</v>
      </c>
      <c r="T3618" s="12">
        <f t="shared" si="8"/>
        <v>109.5195533</v>
      </c>
      <c r="U3618" s="145"/>
    </row>
    <row r="3619">
      <c r="A3619" s="29"/>
      <c r="B3619" s="15" t="s">
        <v>26</v>
      </c>
      <c r="C3619" s="15" t="s">
        <v>19</v>
      </c>
      <c r="D3619" s="15">
        <v>73.0</v>
      </c>
      <c r="E3619" s="15" t="s">
        <v>2153</v>
      </c>
      <c r="F3619" s="15" t="s">
        <v>1473</v>
      </c>
      <c r="G3619" s="15" t="s">
        <v>1474</v>
      </c>
      <c r="H3619" s="15">
        <v>0.0</v>
      </c>
      <c r="I3619" s="15" t="s">
        <v>273</v>
      </c>
      <c r="J3619" s="15" t="s">
        <v>22</v>
      </c>
      <c r="K3619" s="15" t="s">
        <v>892</v>
      </c>
      <c r="L3619" s="15"/>
      <c r="M3619" s="16">
        <v>0.0</v>
      </c>
      <c r="N3619" s="16">
        <v>0.5</v>
      </c>
      <c r="O3619" s="16">
        <v>0.4918</v>
      </c>
      <c r="P3619" s="17">
        <v>45563.0</v>
      </c>
      <c r="Q3619" s="18">
        <v>1.725</v>
      </c>
      <c r="R3619" s="15" t="s">
        <v>25</v>
      </c>
      <c r="S3619" s="19">
        <f t="shared" si="1"/>
        <v>-0.4918</v>
      </c>
      <c r="T3619" s="19">
        <f t="shared" si="8"/>
        <v>109.0277533</v>
      </c>
      <c r="U3619" s="144"/>
    </row>
    <row r="3620">
      <c r="A3620" s="107"/>
      <c r="B3620" s="8" t="s">
        <v>26</v>
      </c>
      <c r="C3620" s="8" t="s">
        <v>19</v>
      </c>
      <c r="D3620" s="8">
        <v>81.0</v>
      </c>
      <c r="E3620" s="8" t="s">
        <v>2154</v>
      </c>
      <c r="F3620" s="8" t="s">
        <v>1479</v>
      </c>
      <c r="G3620" s="8" t="s">
        <v>1480</v>
      </c>
      <c r="H3620" s="8">
        <v>0.0</v>
      </c>
      <c r="I3620" s="8" t="s">
        <v>1031</v>
      </c>
      <c r="J3620" s="8" t="s">
        <v>22</v>
      </c>
      <c r="K3620" s="8" t="s">
        <v>892</v>
      </c>
      <c r="L3620" s="8"/>
      <c r="M3620" s="9">
        <v>0.0</v>
      </c>
      <c r="N3620" s="9">
        <v>0.5</v>
      </c>
      <c r="O3620" s="9">
        <v>0.5</v>
      </c>
      <c r="P3620" s="10">
        <v>45563.0</v>
      </c>
      <c r="Q3620" s="11">
        <v>1.75</v>
      </c>
      <c r="R3620" s="8" t="s">
        <v>70</v>
      </c>
      <c r="S3620" s="12">
        <f t="shared" si="1"/>
        <v>0</v>
      </c>
      <c r="T3620" s="12">
        <f t="shared" si="8"/>
        <v>109.0277533</v>
      </c>
      <c r="U3620" s="145"/>
    </row>
    <row r="3621">
      <c r="A3621" s="29"/>
      <c r="B3621" s="15" t="s">
        <v>26</v>
      </c>
      <c r="C3621" s="15" t="s">
        <v>19</v>
      </c>
      <c r="D3621" s="15">
        <v>25.0</v>
      </c>
      <c r="E3621" s="15" t="s">
        <v>2155</v>
      </c>
      <c r="F3621" s="15" t="s">
        <v>1479</v>
      </c>
      <c r="G3621" s="15" t="s">
        <v>1474</v>
      </c>
      <c r="H3621" s="15">
        <v>1.0</v>
      </c>
      <c r="I3621" s="15" t="s">
        <v>93</v>
      </c>
      <c r="J3621" s="15" t="s">
        <v>22</v>
      </c>
      <c r="K3621" s="15" t="s">
        <v>225</v>
      </c>
      <c r="L3621" s="15"/>
      <c r="M3621" s="15">
        <v>0.25</v>
      </c>
      <c r="N3621" s="16">
        <v>0.5</v>
      </c>
      <c r="O3621" s="16">
        <v>0.5</v>
      </c>
      <c r="P3621" s="17">
        <v>45564.0</v>
      </c>
      <c r="Q3621" s="18">
        <v>1.775</v>
      </c>
      <c r="R3621" s="15" t="s">
        <v>33</v>
      </c>
      <c r="S3621" s="19">
        <f t="shared" si="1"/>
        <v>0.3875</v>
      </c>
      <c r="T3621" s="19">
        <f t="shared" si="8"/>
        <v>109.4152533</v>
      </c>
      <c r="U3621" s="144"/>
    </row>
    <row r="3622">
      <c r="A3622" s="107"/>
      <c r="B3622" s="8" t="s">
        <v>26</v>
      </c>
      <c r="C3622" s="8" t="s">
        <v>19</v>
      </c>
      <c r="D3622" s="8">
        <v>40.0</v>
      </c>
      <c r="E3622" s="8" t="s">
        <v>2156</v>
      </c>
      <c r="F3622" s="8" t="s">
        <v>1479</v>
      </c>
      <c r="G3622" s="8" t="s">
        <v>1474</v>
      </c>
      <c r="H3622" s="8">
        <v>0.0</v>
      </c>
      <c r="I3622" s="8" t="s">
        <v>93</v>
      </c>
      <c r="J3622" s="8" t="s">
        <v>22</v>
      </c>
      <c r="K3622" s="8" t="s">
        <v>225</v>
      </c>
      <c r="L3622" s="8"/>
      <c r="M3622" s="8">
        <v>0.25</v>
      </c>
      <c r="N3622" s="9">
        <v>0.5</v>
      </c>
      <c r="O3622" s="9">
        <v>0.212</v>
      </c>
      <c r="P3622" s="10">
        <v>45564.0</v>
      </c>
      <c r="Q3622" s="11">
        <v>1.7</v>
      </c>
      <c r="R3622" s="8" t="s">
        <v>25</v>
      </c>
      <c r="S3622" s="12">
        <f t="shared" si="1"/>
        <v>-0.212</v>
      </c>
      <c r="T3622" s="12">
        <f t="shared" si="8"/>
        <v>109.2032533</v>
      </c>
      <c r="U3622" s="145"/>
    </row>
    <row r="3623">
      <c r="A3623" s="29"/>
      <c r="B3623" s="15" t="s">
        <v>26</v>
      </c>
      <c r="C3623" s="15" t="s">
        <v>19</v>
      </c>
      <c r="D3623" s="15">
        <v>65.0</v>
      </c>
      <c r="E3623" s="15" t="s">
        <v>2157</v>
      </c>
      <c r="F3623" s="15" t="s">
        <v>1479</v>
      </c>
      <c r="G3623" s="15" t="s">
        <v>1474</v>
      </c>
      <c r="H3623" s="15">
        <v>0.0</v>
      </c>
      <c r="I3623" s="15" t="s">
        <v>88</v>
      </c>
      <c r="J3623" s="15" t="s">
        <v>22</v>
      </c>
      <c r="K3623" s="15" t="s">
        <v>941</v>
      </c>
      <c r="L3623" s="15"/>
      <c r="M3623" s="16">
        <v>0.0</v>
      </c>
      <c r="N3623" s="16">
        <v>0.5</v>
      </c>
      <c r="O3623" s="16">
        <v>0.5</v>
      </c>
      <c r="P3623" s="17">
        <v>45564.0</v>
      </c>
      <c r="Q3623" s="18">
        <v>1.725</v>
      </c>
      <c r="R3623" s="15" t="s">
        <v>25</v>
      </c>
      <c r="S3623" s="19">
        <f t="shared" si="1"/>
        <v>-0.5</v>
      </c>
      <c r="T3623" s="19">
        <f t="shared" si="8"/>
        <v>108.7032533</v>
      </c>
      <c r="U3623" s="144"/>
    </row>
    <row r="3624">
      <c r="A3624" s="107"/>
      <c r="B3624" s="8" t="s">
        <v>26</v>
      </c>
      <c r="C3624" s="8" t="s">
        <v>19</v>
      </c>
      <c r="D3624" s="8">
        <v>54.0</v>
      </c>
      <c r="E3624" s="8" t="s">
        <v>2158</v>
      </c>
      <c r="F3624" s="8" t="s">
        <v>1479</v>
      </c>
      <c r="G3624" s="8" t="s">
        <v>1474</v>
      </c>
      <c r="H3624" s="8">
        <v>0.0</v>
      </c>
      <c r="I3624" s="8" t="s">
        <v>93</v>
      </c>
      <c r="J3624" s="8" t="s">
        <v>22</v>
      </c>
      <c r="K3624" s="8" t="s">
        <v>941</v>
      </c>
      <c r="L3624" s="8"/>
      <c r="M3624" s="9">
        <v>0.0</v>
      </c>
      <c r="N3624" s="9">
        <v>0.25</v>
      </c>
      <c r="O3624" s="9">
        <v>0.25</v>
      </c>
      <c r="P3624" s="10">
        <v>45564.0</v>
      </c>
      <c r="Q3624" s="11">
        <v>2.25</v>
      </c>
      <c r="R3624" s="8" t="s">
        <v>25</v>
      </c>
      <c r="S3624" s="12">
        <f t="shared" si="1"/>
        <v>-0.25</v>
      </c>
      <c r="T3624" s="12">
        <f t="shared" si="8"/>
        <v>108.4532533</v>
      </c>
      <c r="U3624" s="145"/>
    </row>
    <row r="3625">
      <c r="A3625" s="29"/>
      <c r="B3625" s="15" t="s">
        <v>26</v>
      </c>
      <c r="C3625" s="15" t="s">
        <v>19</v>
      </c>
      <c r="D3625" s="15">
        <v>61.0</v>
      </c>
      <c r="E3625" s="15" t="s">
        <v>2159</v>
      </c>
      <c r="F3625" s="15" t="s">
        <v>1479</v>
      </c>
      <c r="G3625" s="15" t="s">
        <v>1480</v>
      </c>
      <c r="H3625" s="15">
        <v>0.0</v>
      </c>
      <c r="I3625" s="15" t="s">
        <v>93</v>
      </c>
      <c r="J3625" s="15" t="s">
        <v>22</v>
      </c>
      <c r="K3625" s="15" t="s">
        <v>892</v>
      </c>
      <c r="L3625" s="15"/>
      <c r="M3625" s="16">
        <v>0.0</v>
      </c>
      <c r="N3625" s="16">
        <v>0.5</v>
      </c>
      <c r="O3625" s="16">
        <v>0.5</v>
      </c>
      <c r="P3625" s="17">
        <v>45564.0</v>
      </c>
      <c r="Q3625" s="18">
        <v>1.75</v>
      </c>
      <c r="R3625" s="15" t="s">
        <v>33</v>
      </c>
      <c r="S3625" s="19">
        <f t="shared" si="1"/>
        <v>0.375</v>
      </c>
      <c r="T3625" s="19">
        <f t="shared" si="8"/>
        <v>108.8282533</v>
      </c>
      <c r="U3625" s="144"/>
    </row>
    <row r="3626">
      <c r="A3626" s="107"/>
      <c r="B3626" s="8" t="s">
        <v>135</v>
      </c>
      <c r="C3626" s="8" t="s">
        <v>19</v>
      </c>
      <c r="D3626" s="8">
        <v>0.0</v>
      </c>
      <c r="E3626" s="8" t="s">
        <v>2160</v>
      </c>
      <c r="F3626" s="8"/>
      <c r="G3626" s="8"/>
      <c r="H3626" s="8"/>
      <c r="I3626" s="8" t="s">
        <v>101</v>
      </c>
      <c r="J3626" s="8" t="s">
        <v>598</v>
      </c>
      <c r="K3626" s="8" t="s">
        <v>29</v>
      </c>
      <c r="L3626" s="8"/>
      <c r="M3626" s="8">
        <v>-3.25</v>
      </c>
      <c r="N3626" s="9">
        <v>0.25</v>
      </c>
      <c r="O3626" s="9">
        <v>0.25</v>
      </c>
      <c r="P3626" s="10">
        <v>45564.0</v>
      </c>
      <c r="Q3626" s="11">
        <v>1.8</v>
      </c>
      <c r="R3626" s="8" t="s">
        <v>30</v>
      </c>
      <c r="S3626" s="12">
        <f t="shared" si="1"/>
        <v>0.1</v>
      </c>
      <c r="T3626" s="12">
        <f t="shared" si="8"/>
        <v>108.9282533</v>
      </c>
      <c r="U3626" s="145"/>
    </row>
    <row r="3627">
      <c r="A3627" s="29"/>
      <c r="B3627" s="15" t="s">
        <v>135</v>
      </c>
      <c r="C3627" s="15" t="s">
        <v>19</v>
      </c>
      <c r="D3627" s="15">
        <v>0.0</v>
      </c>
      <c r="E3627" s="15" t="s">
        <v>2161</v>
      </c>
      <c r="F3627" s="15"/>
      <c r="G3627" s="15"/>
      <c r="H3627" s="15"/>
      <c r="I3627" s="15" t="s">
        <v>432</v>
      </c>
      <c r="J3627" s="15" t="s">
        <v>598</v>
      </c>
      <c r="K3627" s="15" t="s">
        <v>29</v>
      </c>
      <c r="L3627" s="15"/>
      <c r="M3627" s="15">
        <v>-2.75</v>
      </c>
      <c r="N3627" s="16">
        <v>0.25</v>
      </c>
      <c r="O3627" s="16">
        <v>0.25</v>
      </c>
      <c r="P3627" s="17">
        <v>45564.0</v>
      </c>
      <c r="Q3627" s="18">
        <v>1.975</v>
      </c>
      <c r="R3627" s="15" t="s">
        <v>79</v>
      </c>
      <c r="S3627" s="19">
        <f t="shared" si="1"/>
        <v>-0.125</v>
      </c>
      <c r="T3627" s="19">
        <f t="shared" si="8"/>
        <v>108.8032533</v>
      </c>
      <c r="U3627" s="144"/>
    </row>
    <row r="3628">
      <c r="A3628" s="107"/>
      <c r="B3628" s="8" t="s">
        <v>135</v>
      </c>
      <c r="C3628" s="8" t="s">
        <v>19</v>
      </c>
      <c r="D3628" s="8">
        <v>0.0</v>
      </c>
      <c r="E3628" s="8" t="s">
        <v>2162</v>
      </c>
      <c r="F3628" s="8"/>
      <c r="G3628" s="8"/>
      <c r="H3628" s="8"/>
      <c r="I3628" s="8" t="s">
        <v>88</v>
      </c>
      <c r="J3628" s="8" t="s">
        <v>598</v>
      </c>
      <c r="K3628" s="8" t="s">
        <v>29</v>
      </c>
      <c r="L3628" s="8"/>
      <c r="M3628" s="8">
        <v>-2.75</v>
      </c>
      <c r="N3628" s="9">
        <v>0.25</v>
      </c>
      <c r="O3628" s="9">
        <v>0.25</v>
      </c>
      <c r="P3628" s="10">
        <v>45564.0</v>
      </c>
      <c r="Q3628" s="11">
        <v>2.0</v>
      </c>
      <c r="R3628" s="8" t="s">
        <v>79</v>
      </c>
      <c r="S3628" s="12">
        <f t="shared" si="1"/>
        <v>-0.125</v>
      </c>
      <c r="T3628" s="12">
        <f t="shared" si="8"/>
        <v>108.6782533</v>
      </c>
      <c r="U3628" s="145"/>
    </row>
    <row r="3629">
      <c r="A3629" s="29"/>
      <c r="B3629" s="15" t="s">
        <v>18</v>
      </c>
      <c r="C3629" s="15" t="s">
        <v>19</v>
      </c>
      <c r="D3629" s="15">
        <v>77.0</v>
      </c>
      <c r="E3629" s="15" t="s">
        <v>2163</v>
      </c>
      <c r="F3629" s="15" t="s">
        <v>1479</v>
      </c>
      <c r="G3629" s="15" t="s">
        <v>1480</v>
      </c>
      <c r="H3629" s="15">
        <v>1.0</v>
      </c>
      <c r="I3629" s="15" t="s">
        <v>940</v>
      </c>
      <c r="J3629" s="15" t="s">
        <v>22</v>
      </c>
      <c r="K3629" s="15" t="s">
        <v>892</v>
      </c>
      <c r="L3629" s="15"/>
      <c r="M3629" s="16">
        <v>0.0</v>
      </c>
      <c r="N3629" s="16">
        <v>0.5</v>
      </c>
      <c r="O3629" s="16">
        <v>0.5</v>
      </c>
      <c r="P3629" s="17">
        <v>45564.0</v>
      </c>
      <c r="Q3629" s="18">
        <v>2.35</v>
      </c>
      <c r="R3629" s="15" t="s">
        <v>33</v>
      </c>
      <c r="S3629" s="19">
        <f t="shared" si="1"/>
        <v>0.675</v>
      </c>
      <c r="T3629" s="19">
        <f t="shared" si="8"/>
        <v>109.3532533</v>
      </c>
      <c r="U3629" s="144"/>
    </row>
    <row r="3630">
      <c r="A3630" s="107"/>
      <c r="B3630" s="8" t="s">
        <v>18</v>
      </c>
      <c r="C3630" s="8" t="s">
        <v>19</v>
      </c>
      <c r="D3630" s="8">
        <v>38.0</v>
      </c>
      <c r="E3630" s="8" t="s">
        <v>2164</v>
      </c>
      <c r="F3630" s="8" t="s">
        <v>1473</v>
      </c>
      <c r="G3630" s="8" t="s">
        <v>1477</v>
      </c>
      <c r="H3630" s="8">
        <v>0.0</v>
      </c>
      <c r="I3630" s="8" t="s">
        <v>432</v>
      </c>
      <c r="J3630" s="8" t="s">
        <v>22</v>
      </c>
      <c r="K3630" s="8" t="s">
        <v>894</v>
      </c>
      <c r="L3630" s="8"/>
      <c r="M3630" s="8">
        <v>-0.25</v>
      </c>
      <c r="N3630" s="9">
        <v>0.5</v>
      </c>
      <c r="O3630" s="9">
        <v>0.5</v>
      </c>
      <c r="P3630" s="10">
        <v>45564.0</v>
      </c>
      <c r="Q3630" s="11">
        <v>1.975</v>
      </c>
      <c r="R3630" s="8" t="s">
        <v>79</v>
      </c>
      <c r="S3630" s="12">
        <f t="shared" si="1"/>
        <v>-0.25</v>
      </c>
      <c r="T3630" s="12">
        <f t="shared" si="8"/>
        <v>109.1032533</v>
      </c>
      <c r="U3630" s="145"/>
    </row>
    <row r="3631">
      <c r="A3631" s="29"/>
      <c r="B3631" s="15" t="s">
        <v>135</v>
      </c>
      <c r="C3631" s="15" t="s">
        <v>19</v>
      </c>
      <c r="D3631" s="15">
        <v>0.0</v>
      </c>
      <c r="E3631" s="15" t="s">
        <v>2165</v>
      </c>
      <c r="F3631" s="15"/>
      <c r="G3631" s="15"/>
      <c r="H3631" s="15"/>
      <c r="I3631" s="15" t="s">
        <v>121</v>
      </c>
      <c r="J3631" s="15" t="s">
        <v>598</v>
      </c>
      <c r="K3631" s="15" t="s">
        <v>29</v>
      </c>
      <c r="L3631" s="15"/>
      <c r="M3631" s="16">
        <v>-2.5</v>
      </c>
      <c r="N3631" s="16">
        <v>0.25</v>
      </c>
      <c r="O3631" s="16">
        <v>0.25</v>
      </c>
      <c r="P3631" s="17">
        <v>45564.0</v>
      </c>
      <c r="Q3631" s="18">
        <v>1.725</v>
      </c>
      <c r="R3631" s="15" t="s">
        <v>25</v>
      </c>
      <c r="S3631" s="19">
        <f t="shared" si="1"/>
        <v>-0.25</v>
      </c>
      <c r="T3631" s="19">
        <f t="shared" si="8"/>
        <v>108.8532533</v>
      </c>
      <c r="U3631" s="144"/>
    </row>
    <row r="3632">
      <c r="A3632" s="107"/>
      <c r="B3632" s="8" t="s">
        <v>135</v>
      </c>
      <c r="C3632" s="8" t="s">
        <v>19</v>
      </c>
      <c r="D3632" s="8">
        <v>0.0</v>
      </c>
      <c r="E3632" s="8" t="s">
        <v>2166</v>
      </c>
      <c r="F3632" s="8"/>
      <c r="G3632" s="8"/>
      <c r="H3632" s="8"/>
      <c r="I3632" s="8" t="s">
        <v>1175</v>
      </c>
      <c r="J3632" s="8" t="s">
        <v>598</v>
      </c>
      <c r="K3632" s="8" t="s">
        <v>29</v>
      </c>
      <c r="L3632" s="8"/>
      <c r="M3632" s="9">
        <v>-2.5</v>
      </c>
      <c r="N3632" s="9">
        <v>0.25</v>
      </c>
      <c r="O3632" s="9">
        <v>0.25</v>
      </c>
      <c r="P3632" s="10">
        <v>45564.0</v>
      </c>
      <c r="Q3632" s="11">
        <v>1.8</v>
      </c>
      <c r="R3632" s="8" t="s">
        <v>33</v>
      </c>
      <c r="S3632" s="12">
        <f t="shared" si="1"/>
        <v>0.2</v>
      </c>
      <c r="T3632" s="12">
        <f t="shared" si="8"/>
        <v>109.0532533</v>
      </c>
      <c r="U3632" s="145"/>
    </row>
    <row r="3633">
      <c r="A3633" s="29"/>
      <c r="B3633" s="15" t="s">
        <v>26</v>
      </c>
      <c r="C3633" s="15" t="s">
        <v>19</v>
      </c>
      <c r="D3633" s="15">
        <v>21.0</v>
      </c>
      <c r="E3633" s="15" t="s">
        <v>2167</v>
      </c>
      <c r="F3633" s="15" t="s">
        <v>1479</v>
      </c>
      <c r="G3633" s="15" t="s">
        <v>1480</v>
      </c>
      <c r="H3633" s="15">
        <v>0.0</v>
      </c>
      <c r="I3633" s="15" t="s">
        <v>109</v>
      </c>
      <c r="J3633" s="15" t="s">
        <v>22</v>
      </c>
      <c r="K3633" s="15" t="s">
        <v>892</v>
      </c>
      <c r="L3633" s="15"/>
      <c r="M3633" s="16">
        <v>0.0</v>
      </c>
      <c r="N3633" s="16">
        <v>0.25</v>
      </c>
      <c r="O3633" s="16">
        <v>0.168</v>
      </c>
      <c r="P3633" s="17">
        <v>45564.0</v>
      </c>
      <c r="Q3633" s="18">
        <v>1.8</v>
      </c>
      <c r="R3633" s="15" t="s">
        <v>70</v>
      </c>
      <c r="S3633" s="19">
        <f t="shared" si="1"/>
        <v>0</v>
      </c>
      <c r="T3633" s="19">
        <f t="shared" si="8"/>
        <v>109.0532533</v>
      </c>
      <c r="U3633" s="144"/>
    </row>
    <row r="3634">
      <c r="A3634" s="107"/>
      <c r="B3634" s="8" t="s">
        <v>26</v>
      </c>
      <c r="C3634" s="8" t="s">
        <v>19</v>
      </c>
      <c r="D3634" s="8">
        <v>42.0</v>
      </c>
      <c r="E3634" s="8" t="s">
        <v>2168</v>
      </c>
      <c r="F3634" s="8" t="s">
        <v>1473</v>
      </c>
      <c r="G3634" s="8" t="s">
        <v>1474</v>
      </c>
      <c r="H3634" s="8">
        <v>0.0</v>
      </c>
      <c r="I3634" s="8" t="s">
        <v>121</v>
      </c>
      <c r="J3634" s="8" t="s">
        <v>22</v>
      </c>
      <c r="K3634" s="8" t="s">
        <v>225</v>
      </c>
      <c r="L3634" s="8"/>
      <c r="M3634" s="8">
        <v>0.25</v>
      </c>
      <c r="N3634" s="9">
        <v>0.5</v>
      </c>
      <c r="O3634" s="9">
        <v>0.5</v>
      </c>
      <c r="P3634" s="10">
        <v>45564.0</v>
      </c>
      <c r="Q3634" s="11">
        <v>1.2392</v>
      </c>
      <c r="R3634" s="8" t="s">
        <v>33</v>
      </c>
      <c r="S3634" s="12">
        <f t="shared" si="1"/>
        <v>0.1196</v>
      </c>
      <c r="T3634" s="12">
        <f t="shared" si="8"/>
        <v>109.1728533</v>
      </c>
      <c r="U3634" s="145"/>
    </row>
    <row r="3635">
      <c r="A3635" s="29"/>
      <c r="B3635" s="15" t="s">
        <v>135</v>
      </c>
      <c r="C3635" s="15" t="s">
        <v>19</v>
      </c>
      <c r="D3635" s="15">
        <v>0.0</v>
      </c>
      <c r="E3635" s="15" t="s">
        <v>2169</v>
      </c>
      <c r="F3635" s="15"/>
      <c r="G3635" s="15"/>
      <c r="H3635" s="15"/>
      <c r="I3635" s="15" t="s">
        <v>66</v>
      </c>
      <c r="J3635" s="15" t="s">
        <v>598</v>
      </c>
      <c r="K3635" s="15" t="s">
        <v>29</v>
      </c>
      <c r="L3635" s="15"/>
      <c r="M3635" s="15">
        <v>-2.5</v>
      </c>
      <c r="N3635" s="16">
        <v>0.25</v>
      </c>
      <c r="O3635" s="16">
        <v>0.25</v>
      </c>
      <c r="P3635" s="17">
        <v>45564.0</v>
      </c>
      <c r="Q3635" s="18">
        <v>1.925</v>
      </c>
      <c r="R3635" s="15" t="s">
        <v>25</v>
      </c>
      <c r="S3635" s="19">
        <f t="shared" si="1"/>
        <v>-0.25</v>
      </c>
      <c r="T3635" s="19">
        <f t="shared" si="8"/>
        <v>108.9228533</v>
      </c>
      <c r="U3635" s="144"/>
    </row>
    <row r="3636">
      <c r="A3636" s="107"/>
      <c r="B3636" s="8" t="s">
        <v>18</v>
      </c>
      <c r="C3636" s="8" t="s">
        <v>19</v>
      </c>
      <c r="D3636" s="8">
        <v>71.0</v>
      </c>
      <c r="E3636" s="8" t="s">
        <v>2170</v>
      </c>
      <c r="F3636" s="8" t="s">
        <v>1473</v>
      </c>
      <c r="G3636" s="8" t="s">
        <v>1480</v>
      </c>
      <c r="H3636" s="8">
        <v>-1.0</v>
      </c>
      <c r="I3636" s="8" t="s">
        <v>1201</v>
      </c>
      <c r="J3636" s="8" t="s">
        <v>22</v>
      </c>
      <c r="K3636" s="8" t="s">
        <v>892</v>
      </c>
      <c r="L3636" s="8"/>
      <c r="M3636" s="9">
        <v>0.0</v>
      </c>
      <c r="N3636" s="9">
        <v>0.5</v>
      </c>
      <c r="O3636" s="9">
        <v>0.5</v>
      </c>
      <c r="P3636" s="10">
        <v>45564.0</v>
      </c>
      <c r="Q3636" s="11">
        <v>2.2</v>
      </c>
      <c r="R3636" s="8" t="s">
        <v>25</v>
      </c>
      <c r="S3636" s="12">
        <f t="shared" si="1"/>
        <v>-0.5</v>
      </c>
      <c r="T3636" s="12">
        <f t="shared" si="8"/>
        <v>108.4228533</v>
      </c>
      <c r="U3636" s="145"/>
    </row>
    <row r="3637">
      <c r="A3637" s="29"/>
      <c r="B3637" s="15" t="s">
        <v>26</v>
      </c>
      <c r="C3637" s="15" t="s">
        <v>19</v>
      </c>
      <c r="D3637" s="15">
        <v>69.0</v>
      </c>
      <c r="E3637" s="15" t="s">
        <v>2171</v>
      </c>
      <c r="F3637" s="15" t="s">
        <v>1479</v>
      </c>
      <c r="G3637" s="15" t="s">
        <v>1480</v>
      </c>
      <c r="H3637" s="15">
        <v>-1.0</v>
      </c>
      <c r="I3637" s="15" t="s">
        <v>101</v>
      </c>
      <c r="J3637" s="15" t="s">
        <v>22</v>
      </c>
      <c r="K3637" s="15" t="s">
        <v>892</v>
      </c>
      <c r="L3637" s="15"/>
      <c r="M3637" s="16">
        <v>0.0</v>
      </c>
      <c r="N3637" s="16">
        <v>0.6</v>
      </c>
      <c r="O3637" s="16">
        <v>0.6</v>
      </c>
      <c r="P3637" s="17">
        <v>45564.0</v>
      </c>
      <c r="Q3637" s="18">
        <v>2.025</v>
      </c>
      <c r="R3637" s="15" t="s">
        <v>33</v>
      </c>
      <c r="S3637" s="19">
        <f t="shared" si="1"/>
        <v>0.615</v>
      </c>
      <c r="T3637" s="19">
        <f t="shared" si="8"/>
        <v>109.0378533</v>
      </c>
      <c r="U3637" s="144"/>
    </row>
    <row r="3638">
      <c r="A3638" s="107"/>
      <c r="B3638" s="8" t="s">
        <v>18</v>
      </c>
      <c r="C3638" s="8" t="s">
        <v>19</v>
      </c>
      <c r="D3638" s="8">
        <v>71.0</v>
      </c>
      <c r="E3638" s="8" t="s">
        <v>2172</v>
      </c>
      <c r="F3638" s="8" t="s">
        <v>1479</v>
      </c>
      <c r="G3638" s="8" t="s">
        <v>1480</v>
      </c>
      <c r="H3638" s="8">
        <v>0.0</v>
      </c>
      <c r="I3638" s="8" t="s">
        <v>101</v>
      </c>
      <c r="J3638" s="8" t="s">
        <v>22</v>
      </c>
      <c r="K3638" s="8" t="s">
        <v>892</v>
      </c>
      <c r="L3638" s="8"/>
      <c r="M3638" s="9">
        <v>0.0</v>
      </c>
      <c r="N3638" s="9">
        <v>0.5</v>
      </c>
      <c r="O3638" s="9">
        <v>0.5</v>
      </c>
      <c r="P3638" s="10">
        <v>45564.0</v>
      </c>
      <c r="Q3638" s="11">
        <v>1.7</v>
      </c>
      <c r="R3638" s="8" t="s">
        <v>70</v>
      </c>
      <c r="S3638" s="12">
        <f t="shared" si="1"/>
        <v>0</v>
      </c>
      <c r="T3638" s="12">
        <f t="shared" si="8"/>
        <v>109.0378533</v>
      </c>
      <c r="U3638" s="145"/>
    </row>
    <row r="3639">
      <c r="A3639" s="29"/>
      <c r="B3639" s="15" t="s">
        <v>26</v>
      </c>
      <c r="C3639" s="15" t="s">
        <v>19</v>
      </c>
      <c r="D3639" s="15">
        <v>75.0</v>
      </c>
      <c r="E3639" s="15" t="s">
        <v>2173</v>
      </c>
      <c r="F3639" s="15" t="s">
        <v>1479</v>
      </c>
      <c r="G3639" s="15" t="s">
        <v>1480</v>
      </c>
      <c r="H3639" s="15">
        <v>-2.0</v>
      </c>
      <c r="I3639" s="15" t="s">
        <v>121</v>
      </c>
      <c r="J3639" s="15" t="s">
        <v>22</v>
      </c>
      <c r="K3639" s="15" t="s">
        <v>892</v>
      </c>
      <c r="L3639" s="15" t="s">
        <v>1522</v>
      </c>
      <c r="M3639" s="16">
        <v>0.0</v>
      </c>
      <c r="N3639" s="16">
        <v>0.5</v>
      </c>
      <c r="O3639" s="16">
        <v>0.5</v>
      </c>
      <c r="P3639" s="17">
        <v>45564.0</v>
      </c>
      <c r="Q3639" s="18">
        <v>1.75</v>
      </c>
      <c r="R3639" s="15" t="s">
        <v>70</v>
      </c>
      <c r="S3639" s="19">
        <f t="shared" si="1"/>
        <v>0</v>
      </c>
      <c r="T3639" s="19">
        <f t="shared" si="8"/>
        <v>109.0378533</v>
      </c>
      <c r="U3639" s="144"/>
    </row>
    <row r="3640">
      <c r="A3640" s="107"/>
      <c r="B3640" s="114"/>
      <c r="C3640" s="114"/>
      <c r="D3640" s="114"/>
      <c r="E3640" s="114"/>
      <c r="F3640" s="8" t="s">
        <v>1473</v>
      </c>
      <c r="G3640" s="8" t="s">
        <v>1474</v>
      </c>
      <c r="H3640" s="8">
        <v>-2.0</v>
      </c>
      <c r="I3640" s="8" t="s">
        <v>675</v>
      </c>
      <c r="J3640" s="8" t="s">
        <v>22</v>
      </c>
      <c r="K3640" s="8" t="s">
        <v>225</v>
      </c>
      <c r="L3640" s="8"/>
      <c r="M3640" s="8">
        <v>0.25</v>
      </c>
      <c r="N3640" s="9">
        <v>0.25</v>
      </c>
      <c r="O3640" s="9">
        <v>0.25</v>
      </c>
      <c r="P3640" s="10">
        <v>45565.0</v>
      </c>
      <c r="Q3640" s="11">
        <v>1.95</v>
      </c>
      <c r="R3640" s="8" t="s">
        <v>25</v>
      </c>
      <c r="S3640" s="12">
        <f t="shared" si="1"/>
        <v>-0.25</v>
      </c>
      <c r="T3640" s="12">
        <f t="shared" si="8"/>
        <v>108.7878533</v>
      </c>
      <c r="U3640" s="145"/>
    </row>
  </sheetData>
  <autoFilter ref="$A$1:$T$3640"/>
  <conditionalFormatting sqref="R2:R3640 U2618:U2802">
    <cfRule type="cellIs" dxfId="0" priority="1" operator="equal">
      <formula>"Ganha"</formula>
    </cfRule>
  </conditionalFormatting>
  <conditionalFormatting sqref="R2:R3640 U2618:U2802">
    <cfRule type="cellIs" dxfId="1" priority="2" operator="equal">
      <formula>"Ganha/devolvida"</formula>
    </cfRule>
  </conditionalFormatting>
  <conditionalFormatting sqref="R2:R3640 U2618:U2802">
    <cfRule type="cellIs" dxfId="2" priority="3" operator="equal">
      <formula>"Devolvida"</formula>
    </cfRule>
  </conditionalFormatting>
  <conditionalFormatting sqref="R2:R3640 U2618:U2802">
    <cfRule type="cellIs" dxfId="3" priority="4" operator="equal">
      <formula>"Perdida/devolvida"</formula>
    </cfRule>
  </conditionalFormatting>
  <conditionalFormatting sqref="R2:R3640 U2618:U2802">
    <cfRule type="cellIs" dxfId="4" priority="5" operator="equal">
      <formula>"Perdida"</formula>
    </cfRule>
  </conditionalFormatting>
  <conditionalFormatting sqref="S2:T3640 W2:W312">
    <cfRule type="cellIs" dxfId="0" priority="6" operator="greaterThan">
      <formula>0</formula>
    </cfRule>
  </conditionalFormatting>
  <conditionalFormatting sqref="S2:T3640 W2:W312">
    <cfRule type="cellIs" dxfId="4" priority="7" operator="lessThan">
      <formula>0</formula>
    </cfRule>
  </conditionalFormatting>
  <conditionalFormatting sqref="S2:S3640 W2:W312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3.75"/>
    <col customWidth="1" min="6" max="6" width="60.88"/>
    <col customWidth="1" min="7" max="10" width="6.38"/>
    <col customWidth="1" min="11" max="11" width="5.5"/>
    <col customWidth="1" min="12" max="12" width="8.0"/>
    <col customWidth="1" min="13" max="13" width="11.25"/>
    <col customWidth="1" min="14" max="14" width="4.5"/>
    <col customWidth="1" min="15" max="15" width="8.13"/>
    <col customWidth="1" min="16" max="16" width="9.5"/>
    <col customWidth="1" min="17" max="20" width="5.88"/>
    <col customWidth="1" min="21" max="21" width="6.5"/>
    <col customWidth="1" min="22" max="22" width="14.75"/>
    <col customWidth="1" min="23" max="23" width="7.38"/>
    <col customWidth="1" min="24" max="24" width="7.25"/>
    <col customWidth="1" min="25" max="25" width="4.13"/>
    <col customWidth="1" min="26" max="26" width="6.25"/>
    <col customWidth="1" min="27" max="27" width="6.5"/>
    <col customWidth="1" min="28" max="28" width="11.63"/>
  </cols>
  <sheetData>
    <row r="1">
      <c r="A1" s="1" t="s">
        <v>5552</v>
      </c>
      <c r="B1" s="2" t="s">
        <v>1</v>
      </c>
      <c r="C1" s="2" t="s">
        <v>2</v>
      </c>
      <c r="D1" s="2" t="s">
        <v>1462</v>
      </c>
      <c r="E1" s="2" t="s">
        <v>1480</v>
      </c>
      <c r="F1" s="3" t="s">
        <v>3</v>
      </c>
      <c r="G1" s="2" t="s">
        <v>1463</v>
      </c>
      <c r="H1" s="2" t="s">
        <v>1464</v>
      </c>
      <c r="I1" s="108" t="s">
        <v>1465</v>
      </c>
      <c r="J1" s="2" t="s">
        <v>1466</v>
      </c>
      <c r="K1" s="2" t="s">
        <v>1467</v>
      </c>
      <c r="L1" s="2" t="s">
        <v>1468</v>
      </c>
      <c r="M1" s="3" t="s">
        <v>4</v>
      </c>
      <c r="N1" s="3" t="s">
        <v>5</v>
      </c>
      <c r="O1" s="3" t="s">
        <v>6</v>
      </c>
      <c r="P1" s="2" t="s">
        <v>7</v>
      </c>
      <c r="Q1" s="4" t="s">
        <v>8</v>
      </c>
      <c r="R1" s="5" t="s">
        <v>9</v>
      </c>
      <c r="S1" s="4" t="s">
        <v>10</v>
      </c>
      <c r="T1" s="6" t="s">
        <v>11</v>
      </c>
      <c r="U1" s="97" t="s">
        <v>12</v>
      </c>
      <c r="V1" s="3" t="s">
        <v>13</v>
      </c>
      <c r="W1" s="5" t="s">
        <v>14</v>
      </c>
      <c r="X1" s="4" t="s">
        <v>15</v>
      </c>
      <c r="Z1" s="3" t="s">
        <v>16</v>
      </c>
      <c r="AA1" s="3" t="s">
        <v>15</v>
      </c>
      <c r="AB1" s="3" t="s">
        <v>17</v>
      </c>
    </row>
    <row r="2">
      <c r="A2" s="8">
        <f>1</f>
        <v>1</v>
      </c>
      <c r="B2" s="8" t="s">
        <v>26</v>
      </c>
      <c r="C2" s="8" t="s">
        <v>19</v>
      </c>
      <c r="D2" s="8">
        <v>75.0</v>
      </c>
      <c r="E2" s="8">
        <v>3.0</v>
      </c>
      <c r="F2" s="8" t="s">
        <v>5420</v>
      </c>
      <c r="G2" s="8"/>
      <c r="H2" s="8"/>
      <c r="I2" s="8"/>
      <c r="J2" s="8" t="s">
        <v>1479</v>
      </c>
      <c r="K2" s="8" t="s">
        <v>1480</v>
      </c>
      <c r="L2" s="8">
        <v>-1.0</v>
      </c>
      <c r="M2" s="8" t="s">
        <v>5421</v>
      </c>
      <c r="N2" s="8" t="s">
        <v>22</v>
      </c>
      <c r="O2" s="8" t="s">
        <v>892</v>
      </c>
      <c r="P2" s="8" t="s">
        <v>24</v>
      </c>
      <c r="Q2" s="9">
        <v>0.0</v>
      </c>
      <c r="R2" s="9">
        <v>0.5</v>
      </c>
      <c r="S2" s="9">
        <v>0.5</v>
      </c>
      <c r="T2" s="10">
        <v>45475.0</v>
      </c>
      <c r="U2" s="11">
        <v>1.675</v>
      </c>
      <c r="V2" s="8" t="s">
        <v>33</v>
      </c>
      <c r="W2" s="12">
        <f t="shared" ref="W2:W391" si="1">IF(V2="ganha",(S2*(U2-1)),IF(V2="perdida",-S2,IF(V2="devolvida",0,IF(V2="ganha/devolvida",((S2*(U2-1)))/2,IF(V2="perdida/devolvida",-S2/2,IF(V2="Aguardando",0,""))))))</f>
        <v>0.3375</v>
      </c>
      <c r="X2" s="12">
        <f>W2</f>
        <v>0.3375</v>
      </c>
      <c r="Z2" s="66">
        <v>45474.0</v>
      </c>
      <c r="AA2" s="13">
        <f t="shared" ref="AA2:AA32" si="2">SUMIF($T$2:$T$2982,Z2,$W$2:$W$2982)</f>
        <v>0</v>
      </c>
      <c r="AB2" s="14">
        <f>SUMIF($V$2:$V$2982,"Aguardando",$S$2:$S$2982)</f>
        <v>0</v>
      </c>
    </row>
    <row r="3" ht="16.5" customHeight="1">
      <c r="A3" s="15">
        <f t="shared" ref="A3:A406" si="3">A2+1</f>
        <v>2</v>
      </c>
      <c r="B3" s="15" t="s">
        <v>129</v>
      </c>
      <c r="C3" s="15" t="s">
        <v>19</v>
      </c>
      <c r="D3" s="15">
        <v>60.0</v>
      </c>
      <c r="E3" s="15">
        <v>3.0</v>
      </c>
      <c r="F3" s="15" t="s">
        <v>5422</v>
      </c>
      <c r="G3" s="15"/>
      <c r="H3" s="15"/>
      <c r="I3" s="110"/>
      <c r="J3" s="15" t="s">
        <v>1473</v>
      </c>
      <c r="K3" s="15" t="s">
        <v>1480</v>
      </c>
      <c r="L3" s="15">
        <v>-1.0</v>
      </c>
      <c r="M3" s="15" t="s">
        <v>1003</v>
      </c>
      <c r="N3" s="15" t="s">
        <v>22</v>
      </c>
      <c r="O3" s="15" t="s">
        <v>892</v>
      </c>
      <c r="P3" s="15" t="s">
        <v>1522</v>
      </c>
      <c r="Q3" s="16">
        <v>0.0</v>
      </c>
      <c r="R3" s="16">
        <v>0.25</v>
      </c>
      <c r="S3" s="16">
        <v>0.25</v>
      </c>
      <c r="T3" s="17">
        <v>45475.0</v>
      </c>
      <c r="U3" s="18">
        <v>1.975</v>
      </c>
      <c r="V3" s="15" t="s">
        <v>33</v>
      </c>
      <c r="W3" s="19">
        <f t="shared" si="1"/>
        <v>0.24375</v>
      </c>
      <c r="X3" s="19">
        <f t="shared" ref="X3:X358" si="4">X2+W3</f>
        <v>0.58125</v>
      </c>
      <c r="Z3" s="66">
        <v>45475.0</v>
      </c>
      <c r="AA3" s="13">
        <f t="shared" si="2"/>
        <v>0.58125</v>
      </c>
    </row>
    <row r="4">
      <c r="A4" s="8">
        <f t="shared" si="3"/>
        <v>3</v>
      </c>
      <c r="B4" s="8" t="s">
        <v>18</v>
      </c>
      <c r="C4" s="8" t="s">
        <v>19</v>
      </c>
      <c r="D4" s="8">
        <v>0.0</v>
      </c>
      <c r="E4" s="8"/>
      <c r="F4" s="8" t="s">
        <v>5423</v>
      </c>
      <c r="G4" s="8">
        <v>14.0</v>
      </c>
      <c r="H4" s="8">
        <v>1.0</v>
      </c>
      <c r="I4" s="111">
        <f>8/(13*2)</f>
        <v>0.3076923077</v>
      </c>
      <c r="J4" s="8" t="s">
        <v>1473</v>
      </c>
      <c r="K4" s="8" t="s">
        <v>1474</v>
      </c>
      <c r="L4" s="8">
        <v>0.0</v>
      </c>
      <c r="M4" s="8" t="s">
        <v>117</v>
      </c>
      <c r="N4" s="8" t="s">
        <v>598</v>
      </c>
      <c r="O4" s="8" t="s">
        <v>1847</v>
      </c>
      <c r="P4" s="8" t="s">
        <v>24</v>
      </c>
      <c r="Q4" s="9">
        <v>-0.5</v>
      </c>
      <c r="R4" s="9">
        <v>0.25</v>
      </c>
      <c r="S4" s="9">
        <v>0.24</v>
      </c>
      <c r="T4" s="10">
        <v>45476.0</v>
      </c>
      <c r="U4" s="11">
        <v>1.675</v>
      </c>
      <c r="V4" s="8" t="s">
        <v>25</v>
      </c>
      <c r="W4" s="12">
        <f t="shared" si="1"/>
        <v>-0.24</v>
      </c>
      <c r="X4" s="12">
        <f t="shared" si="4"/>
        <v>0.34125</v>
      </c>
      <c r="Z4" s="66">
        <v>45476.0</v>
      </c>
      <c r="AA4" s="13">
        <f t="shared" si="2"/>
        <v>-0.94</v>
      </c>
      <c r="AB4" s="3" t="s">
        <v>34</v>
      </c>
    </row>
    <row r="5">
      <c r="A5" s="15">
        <f t="shared" si="3"/>
        <v>4</v>
      </c>
      <c r="B5" s="15" t="s">
        <v>4225</v>
      </c>
      <c r="C5" s="15" t="s">
        <v>40</v>
      </c>
      <c r="D5" s="15">
        <v>75.0</v>
      </c>
      <c r="E5" s="15">
        <v>3.0</v>
      </c>
      <c r="F5" s="15" t="s">
        <v>5424</v>
      </c>
      <c r="G5" s="15">
        <v>4.0</v>
      </c>
      <c r="H5" s="15">
        <v>3.0</v>
      </c>
      <c r="I5" s="15">
        <v>50.0</v>
      </c>
      <c r="J5" s="15" t="s">
        <v>1479</v>
      </c>
      <c r="K5" s="15" t="s">
        <v>1480</v>
      </c>
      <c r="L5" s="15">
        <v>0.0</v>
      </c>
      <c r="M5" s="15" t="s">
        <v>218</v>
      </c>
      <c r="N5" s="15" t="s">
        <v>22</v>
      </c>
      <c r="O5" s="15" t="s">
        <v>892</v>
      </c>
      <c r="P5" s="15" t="s">
        <v>24</v>
      </c>
      <c r="Q5" s="16">
        <v>0.0</v>
      </c>
      <c r="R5" s="16">
        <v>0.5</v>
      </c>
      <c r="S5" s="16">
        <v>0.49</v>
      </c>
      <c r="T5" s="17">
        <v>45476.0</v>
      </c>
      <c r="U5" s="18">
        <v>1.85</v>
      </c>
      <c r="V5" s="15" t="s">
        <v>70</v>
      </c>
      <c r="W5" s="19">
        <f t="shared" si="1"/>
        <v>0</v>
      </c>
      <c r="X5" s="19">
        <f t="shared" si="4"/>
        <v>0.34125</v>
      </c>
      <c r="Z5" s="66">
        <v>45477.0</v>
      </c>
      <c r="AA5" s="13">
        <f t="shared" si="2"/>
        <v>0.64125</v>
      </c>
      <c r="AB5" s="20">
        <f>sum(S2:S1015)</f>
        <v>38.33067308</v>
      </c>
    </row>
    <row r="6">
      <c r="A6" s="8">
        <f t="shared" si="3"/>
        <v>5</v>
      </c>
      <c r="B6" s="8" t="s">
        <v>4225</v>
      </c>
      <c r="C6" s="8" t="s">
        <v>19</v>
      </c>
      <c r="D6" s="8">
        <v>0.0</v>
      </c>
      <c r="E6" s="8">
        <v>12.0</v>
      </c>
      <c r="F6" s="8" t="s">
        <v>5425</v>
      </c>
      <c r="G6" s="8"/>
      <c r="H6" s="8"/>
      <c r="I6" s="111"/>
      <c r="J6" s="8"/>
      <c r="K6" s="8"/>
      <c r="L6" s="8"/>
      <c r="M6" s="8" t="s">
        <v>463</v>
      </c>
      <c r="N6" s="8" t="s">
        <v>598</v>
      </c>
      <c r="O6" s="8" t="s">
        <v>2415</v>
      </c>
      <c r="P6" s="8" t="s">
        <v>39</v>
      </c>
      <c r="Q6" s="9">
        <v>10.0</v>
      </c>
      <c r="R6" s="9">
        <v>0.25</v>
      </c>
      <c r="S6" s="9">
        <v>0.25</v>
      </c>
      <c r="T6" s="10">
        <v>45476.0</v>
      </c>
      <c r="U6" s="11">
        <v>1.975</v>
      </c>
      <c r="V6" s="8" t="s">
        <v>25</v>
      </c>
      <c r="W6" s="12">
        <f t="shared" si="1"/>
        <v>-0.25</v>
      </c>
      <c r="X6" s="12">
        <f t="shared" si="4"/>
        <v>0.09125</v>
      </c>
      <c r="Z6" s="66">
        <v>45478.0</v>
      </c>
      <c r="AA6" s="13">
        <f t="shared" si="2"/>
        <v>0.75375</v>
      </c>
    </row>
    <row r="7">
      <c r="A7" s="15">
        <f t="shared" si="3"/>
        <v>6</v>
      </c>
      <c r="B7" s="15" t="s">
        <v>129</v>
      </c>
      <c r="C7" s="15" t="s">
        <v>19</v>
      </c>
      <c r="D7" s="15">
        <v>70.0</v>
      </c>
      <c r="E7" s="15">
        <v>3.0</v>
      </c>
      <c r="F7" s="15" t="s">
        <v>5426</v>
      </c>
      <c r="G7" s="15">
        <v>5.0</v>
      </c>
      <c r="H7" s="15">
        <v>6.0</v>
      </c>
      <c r="I7" s="110">
        <f>11/14</f>
        <v>0.7857142857</v>
      </c>
      <c r="J7" s="15" t="s">
        <v>1473</v>
      </c>
      <c r="K7" s="15" t="s">
        <v>1480</v>
      </c>
      <c r="L7" s="15">
        <v>-1.0</v>
      </c>
      <c r="M7" s="15" t="s">
        <v>768</v>
      </c>
      <c r="N7" s="15" t="s">
        <v>22</v>
      </c>
      <c r="O7" s="15" t="s">
        <v>892</v>
      </c>
      <c r="P7" s="15" t="s">
        <v>1522</v>
      </c>
      <c r="Q7" s="16">
        <v>0.0</v>
      </c>
      <c r="R7" s="16">
        <v>1.0</v>
      </c>
      <c r="S7" s="16">
        <v>0.45</v>
      </c>
      <c r="T7" s="17">
        <v>45476.0</v>
      </c>
      <c r="U7" s="18">
        <v>2.05</v>
      </c>
      <c r="V7" s="15" t="s">
        <v>25</v>
      </c>
      <c r="W7" s="19">
        <f t="shared" si="1"/>
        <v>-0.45</v>
      </c>
      <c r="X7" s="19">
        <f t="shared" si="4"/>
        <v>-0.35875</v>
      </c>
      <c r="Z7" s="66">
        <v>45479.0</v>
      </c>
      <c r="AA7" s="13">
        <f t="shared" si="2"/>
        <v>-0.89395</v>
      </c>
      <c r="AB7" s="3" t="s">
        <v>45</v>
      </c>
    </row>
    <row r="8">
      <c r="A8" s="8">
        <f t="shared" si="3"/>
        <v>7</v>
      </c>
      <c r="B8" s="8" t="s">
        <v>4225</v>
      </c>
      <c r="C8" s="8" t="s">
        <v>40</v>
      </c>
      <c r="D8" s="8">
        <v>0.0</v>
      </c>
      <c r="E8" s="8">
        <v>11.0</v>
      </c>
      <c r="F8" s="8" t="s">
        <v>5427</v>
      </c>
      <c r="G8" s="8">
        <v>7.0</v>
      </c>
      <c r="H8" s="8">
        <v>10.0</v>
      </c>
      <c r="I8" s="109">
        <v>0.92</v>
      </c>
      <c r="J8" s="8"/>
      <c r="K8" s="8"/>
      <c r="L8" s="8"/>
      <c r="M8" s="8" t="s">
        <v>193</v>
      </c>
      <c r="N8" s="8" t="s">
        <v>598</v>
      </c>
      <c r="O8" s="8" t="s">
        <v>29</v>
      </c>
      <c r="P8" s="8" t="s">
        <v>24</v>
      </c>
      <c r="Q8" s="9">
        <v>-2.75</v>
      </c>
      <c r="R8" s="9">
        <v>0.5</v>
      </c>
      <c r="S8" s="9">
        <v>0.5</v>
      </c>
      <c r="T8" s="10">
        <v>45477.0</v>
      </c>
      <c r="U8" s="11">
        <v>1.9</v>
      </c>
      <c r="V8" s="8" t="s">
        <v>33</v>
      </c>
      <c r="W8" s="12">
        <f t="shared" si="1"/>
        <v>0.45</v>
      </c>
      <c r="X8" s="12">
        <f t="shared" si="4"/>
        <v>0.09125</v>
      </c>
      <c r="Z8" s="66">
        <v>45480.0</v>
      </c>
      <c r="AA8" s="13">
        <f t="shared" si="2"/>
        <v>0.4725</v>
      </c>
      <c r="AB8" s="21">
        <f>AA33/(SUM(S2:S4935)-AB2)</f>
        <v>0.1222830556</v>
      </c>
    </row>
    <row r="9">
      <c r="A9" s="15">
        <f t="shared" si="3"/>
        <v>8</v>
      </c>
      <c r="B9" s="15" t="s">
        <v>4225</v>
      </c>
      <c r="C9" s="15" t="s">
        <v>19</v>
      </c>
      <c r="D9" s="15">
        <v>0.0</v>
      </c>
      <c r="E9" s="15">
        <v>12.0</v>
      </c>
      <c r="F9" s="15" t="s">
        <v>5428</v>
      </c>
      <c r="G9" s="15">
        <v>3.0</v>
      </c>
      <c r="H9" s="15">
        <v>20.0</v>
      </c>
      <c r="I9" s="110">
        <f>9/(19*2)</f>
        <v>0.2368421053</v>
      </c>
      <c r="J9" s="15"/>
      <c r="K9" s="15"/>
      <c r="L9" s="15"/>
      <c r="M9" s="15" t="s">
        <v>82</v>
      </c>
      <c r="N9" s="15" t="s">
        <v>598</v>
      </c>
      <c r="O9" s="15" t="s">
        <v>440</v>
      </c>
      <c r="P9" s="15" t="s">
        <v>39</v>
      </c>
      <c r="Q9" s="16">
        <v>2.0</v>
      </c>
      <c r="R9" s="16">
        <v>0.25</v>
      </c>
      <c r="S9" s="16">
        <v>0.25</v>
      </c>
      <c r="T9" s="17">
        <v>45477.0</v>
      </c>
      <c r="U9" s="18">
        <v>1.775</v>
      </c>
      <c r="V9" s="15" t="s">
        <v>25</v>
      </c>
      <c r="W9" s="19">
        <f t="shared" si="1"/>
        <v>-0.25</v>
      </c>
      <c r="X9" s="19">
        <f t="shared" si="4"/>
        <v>-0.15875</v>
      </c>
      <c r="Z9" s="66">
        <v>45481.0</v>
      </c>
      <c r="AA9" s="13">
        <f t="shared" si="2"/>
        <v>0</v>
      </c>
    </row>
    <row r="10">
      <c r="A10" s="8">
        <f t="shared" si="3"/>
        <v>9</v>
      </c>
      <c r="B10" s="8" t="s">
        <v>26</v>
      </c>
      <c r="C10" s="8" t="s">
        <v>19</v>
      </c>
      <c r="D10" s="8">
        <v>41.0</v>
      </c>
      <c r="E10" s="8">
        <v>3.0</v>
      </c>
      <c r="F10" s="8" t="s">
        <v>5429</v>
      </c>
      <c r="G10" s="8" t="s">
        <v>5553</v>
      </c>
      <c r="H10" s="8" t="s">
        <v>5553</v>
      </c>
      <c r="I10" s="8" t="s">
        <v>5553</v>
      </c>
      <c r="J10" s="8" t="s">
        <v>1479</v>
      </c>
      <c r="K10" s="8" t="s">
        <v>1480</v>
      </c>
      <c r="L10" s="8">
        <v>0.0</v>
      </c>
      <c r="M10" s="8" t="s">
        <v>78</v>
      </c>
      <c r="N10" s="8" t="s">
        <v>22</v>
      </c>
      <c r="O10" s="8" t="s">
        <v>892</v>
      </c>
      <c r="P10" s="8" t="s">
        <v>39</v>
      </c>
      <c r="Q10" s="9">
        <v>0.0</v>
      </c>
      <c r="R10" s="9">
        <v>0.5</v>
      </c>
      <c r="S10" s="9">
        <v>0.5</v>
      </c>
      <c r="T10" s="10">
        <v>45477.0</v>
      </c>
      <c r="U10" s="11">
        <v>1.8</v>
      </c>
      <c r="V10" s="8" t="s">
        <v>33</v>
      </c>
      <c r="W10" s="12">
        <f t="shared" si="1"/>
        <v>0.4</v>
      </c>
      <c r="X10" s="12">
        <f t="shared" si="4"/>
        <v>0.24125</v>
      </c>
      <c r="Z10" s="66">
        <v>45482.0</v>
      </c>
      <c r="AA10" s="13">
        <f t="shared" si="2"/>
        <v>-0.50625</v>
      </c>
      <c r="AB10" s="2" t="s">
        <v>51</v>
      </c>
    </row>
    <row r="11">
      <c r="A11" s="15">
        <f t="shared" si="3"/>
        <v>10</v>
      </c>
      <c r="B11" s="15" t="s">
        <v>4225</v>
      </c>
      <c r="C11" s="15" t="s">
        <v>19</v>
      </c>
      <c r="D11" s="15">
        <v>70.0</v>
      </c>
      <c r="E11" s="15">
        <v>5.0</v>
      </c>
      <c r="F11" s="15" t="s">
        <v>5430</v>
      </c>
      <c r="G11" s="15">
        <v>1.0</v>
      </c>
      <c r="H11" s="15">
        <v>4.0</v>
      </c>
      <c r="I11" s="110">
        <f>11/(19*2)</f>
        <v>0.2894736842</v>
      </c>
      <c r="J11" s="15" t="s">
        <v>1479</v>
      </c>
      <c r="K11" s="15" t="s">
        <v>1477</v>
      </c>
      <c r="L11" s="15">
        <v>0.0</v>
      </c>
      <c r="M11" s="15" t="s">
        <v>82</v>
      </c>
      <c r="N11" s="15" t="s">
        <v>22</v>
      </c>
      <c r="O11" s="15" t="s">
        <v>894</v>
      </c>
      <c r="P11" s="15" t="s">
        <v>39</v>
      </c>
      <c r="Q11" s="16">
        <v>-0.75</v>
      </c>
      <c r="R11" s="16">
        <v>0.1</v>
      </c>
      <c r="S11" s="16">
        <v>0.1</v>
      </c>
      <c r="T11" s="17">
        <v>45477.0</v>
      </c>
      <c r="U11" s="18">
        <v>1.825</v>
      </c>
      <c r="V11" s="15" t="s">
        <v>30</v>
      </c>
      <c r="W11" s="19">
        <f t="shared" si="1"/>
        <v>0.04125</v>
      </c>
      <c r="X11" s="19">
        <f t="shared" si="4"/>
        <v>0.2825</v>
      </c>
      <c r="Z11" s="66">
        <v>45483.0</v>
      </c>
      <c r="AA11" s="13">
        <f t="shared" si="2"/>
        <v>-0.025</v>
      </c>
      <c r="AB11" s="14">
        <f>average(S2:S1001)</f>
        <v>0.2948513314</v>
      </c>
    </row>
    <row r="12">
      <c r="A12" s="8">
        <f t="shared" si="3"/>
        <v>11</v>
      </c>
      <c r="B12" s="8" t="s">
        <v>18</v>
      </c>
      <c r="C12" s="8" t="s">
        <v>19</v>
      </c>
      <c r="D12" s="8">
        <v>66.0</v>
      </c>
      <c r="E12" s="8">
        <v>5.0</v>
      </c>
      <c r="F12" s="8" t="s">
        <v>5431</v>
      </c>
      <c r="G12" s="8" t="s">
        <v>5553</v>
      </c>
      <c r="H12" s="8" t="s">
        <v>5553</v>
      </c>
      <c r="I12" s="8" t="s">
        <v>5553</v>
      </c>
      <c r="J12" s="8" t="s">
        <v>1479</v>
      </c>
      <c r="K12" s="8" t="s">
        <v>1477</v>
      </c>
      <c r="L12" s="8">
        <v>-1.0</v>
      </c>
      <c r="M12" s="8" t="s">
        <v>28</v>
      </c>
      <c r="N12" s="8" t="s">
        <v>22</v>
      </c>
      <c r="O12" s="8" t="s">
        <v>894</v>
      </c>
      <c r="P12" s="8" t="s">
        <v>39</v>
      </c>
      <c r="Q12" s="9">
        <v>-0.5</v>
      </c>
      <c r="R12" s="9">
        <v>0.1</v>
      </c>
      <c r="S12" s="9">
        <v>0.1</v>
      </c>
      <c r="T12" s="10">
        <v>45478.0</v>
      </c>
      <c r="U12" s="11">
        <v>1.875</v>
      </c>
      <c r="V12" s="8" t="s">
        <v>25</v>
      </c>
      <c r="W12" s="12">
        <f t="shared" si="1"/>
        <v>-0.1</v>
      </c>
      <c r="X12" s="12">
        <f t="shared" si="4"/>
        <v>0.1825</v>
      </c>
      <c r="Z12" s="66">
        <v>45484.0</v>
      </c>
      <c r="AA12" s="13">
        <f t="shared" si="2"/>
        <v>-0.1</v>
      </c>
    </row>
    <row r="13">
      <c r="A13" s="15">
        <f t="shared" si="3"/>
        <v>12</v>
      </c>
      <c r="B13" s="15" t="s">
        <v>4225</v>
      </c>
      <c r="C13" s="15" t="s">
        <v>19</v>
      </c>
      <c r="D13" s="15">
        <v>0.0</v>
      </c>
      <c r="E13" s="15">
        <v>12.0</v>
      </c>
      <c r="F13" s="15" t="s">
        <v>5432</v>
      </c>
      <c r="G13" s="15">
        <v>5.0</v>
      </c>
      <c r="H13" s="15">
        <v>1.0</v>
      </c>
      <c r="I13" s="110">
        <f>13/(9*2)</f>
        <v>0.7222222222</v>
      </c>
      <c r="J13" s="15"/>
      <c r="K13" s="15"/>
      <c r="L13" s="15"/>
      <c r="M13" s="15" t="s">
        <v>513</v>
      </c>
      <c r="N13" s="15" t="s">
        <v>22</v>
      </c>
      <c r="O13" s="15" t="s">
        <v>2415</v>
      </c>
      <c r="P13" s="15" t="s">
        <v>39</v>
      </c>
      <c r="Q13" s="16">
        <v>10.5</v>
      </c>
      <c r="R13" s="16">
        <v>0.1</v>
      </c>
      <c r="S13" s="16">
        <v>0.1</v>
      </c>
      <c r="T13" s="17">
        <v>45478.0</v>
      </c>
      <c r="U13" s="18">
        <v>1.825</v>
      </c>
      <c r="V13" s="15" t="s">
        <v>33</v>
      </c>
      <c r="W13" s="19">
        <f t="shared" si="1"/>
        <v>0.0825</v>
      </c>
      <c r="X13" s="19">
        <f t="shared" si="4"/>
        <v>0.265</v>
      </c>
      <c r="Z13" s="66">
        <v>45485.0</v>
      </c>
      <c r="AA13" s="13">
        <f t="shared" si="2"/>
        <v>-0.225</v>
      </c>
      <c r="AB13" s="2" t="s">
        <v>55</v>
      </c>
    </row>
    <row r="14">
      <c r="A14" s="8">
        <f t="shared" si="3"/>
        <v>13</v>
      </c>
      <c r="B14" s="8" t="s">
        <v>26</v>
      </c>
      <c r="C14" s="8" t="s">
        <v>19</v>
      </c>
      <c r="D14" s="8">
        <v>65.0</v>
      </c>
      <c r="E14" s="8">
        <v>3.0</v>
      </c>
      <c r="F14" s="8" t="s">
        <v>5433</v>
      </c>
      <c r="G14" s="8" t="s">
        <v>5553</v>
      </c>
      <c r="H14" s="8" t="s">
        <v>5553</v>
      </c>
      <c r="I14" s="8" t="s">
        <v>5553</v>
      </c>
      <c r="J14" s="8" t="s">
        <v>1473</v>
      </c>
      <c r="K14" s="8" t="s">
        <v>1480</v>
      </c>
      <c r="L14" s="8">
        <v>-2.0</v>
      </c>
      <c r="M14" s="8" t="s">
        <v>28</v>
      </c>
      <c r="N14" s="8" t="s">
        <v>22</v>
      </c>
      <c r="O14" s="8" t="s">
        <v>892</v>
      </c>
      <c r="P14" s="8" t="s">
        <v>1851</v>
      </c>
      <c r="Q14" s="9">
        <v>0.0</v>
      </c>
      <c r="R14" s="9">
        <v>0.2</v>
      </c>
      <c r="S14" s="9">
        <v>0.2</v>
      </c>
      <c r="T14" s="10">
        <v>45478.0</v>
      </c>
      <c r="U14" s="11">
        <v>1.95</v>
      </c>
      <c r="V14" s="8" t="s">
        <v>33</v>
      </c>
      <c r="W14" s="12">
        <f t="shared" si="1"/>
        <v>0.19</v>
      </c>
      <c r="X14" s="12">
        <f t="shared" si="4"/>
        <v>0.455</v>
      </c>
      <c r="Z14" s="66">
        <v>45486.0</v>
      </c>
      <c r="AA14" s="13">
        <f t="shared" si="2"/>
        <v>0.798</v>
      </c>
      <c r="AB14" s="21">
        <f>(SUMPRODUCT(--(R2:R1001 = S2:S1001))-countif(R2:R1001,""))/countif(R2:R1001,"&gt;0")</f>
        <v>0.8</v>
      </c>
    </row>
    <row r="15">
      <c r="A15" s="15">
        <f t="shared" si="3"/>
        <v>14</v>
      </c>
      <c r="B15" s="15" t="s">
        <v>26</v>
      </c>
      <c r="C15" s="15" t="s">
        <v>19</v>
      </c>
      <c r="D15" s="15">
        <v>61.0</v>
      </c>
      <c r="E15" s="15"/>
      <c r="F15" s="15" t="s">
        <v>5434</v>
      </c>
      <c r="G15" s="15" t="s">
        <v>5553</v>
      </c>
      <c r="H15" s="15" t="s">
        <v>5553</v>
      </c>
      <c r="I15" s="15" t="s">
        <v>5553</v>
      </c>
      <c r="J15" s="15"/>
      <c r="K15" s="15"/>
      <c r="L15" s="15"/>
      <c r="M15" s="15" t="s">
        <v>794</v>
      </c>
      <c r="N15" s="15" t="s">
        <v>22</v>
      </c>
      <c r="O15" s="15" t="s">
        <v>440</v>
      </c>
      <c r="P15" s="15" t="s">
        <v>1803</v>
      </c>
      <c r="Q15" s="16">
        <v>0.75</v>
      </c>
      <c r="R15" s="16">
        <v>0.25</v>
      </c>
      <c r="S15" s="16">
        <v>0.25</v>
      </c>
      <c r="T15" s="17">
        <v>45478.0</v>
      </c>
      <c r="U15" s="18">
        <v>2.0</v>
      </c>
      <c r="V15" s="15" t="s">
        <v>30</v>
      </c>
      <c r="W15" s="19">
        <f t="shared" si="1"/>
        <v>0.125</v>
      </c>
      <c r="X15" s="19">
        <f t="shared" si="4"/>
        <v>0.58</v>
      </c>
      <c r="Z15" s="66">
        <v>45487.0</v>
      </c>
      <c r="AA15" s="13">
        <f t="shared" si="2"/>
        <v>0.45</v>
      </c>
    </row>
    <row r="16">
      <c r="A16" s="8">
        <f t="shared" si="3"/>
        <v>15</v>
      </c>
      <c r="B16" s="8" t="s">
        <v>4225</v>
      </c>
      <c r="C16" s="8" t="s">
        <v>19</v>
      </c>
      <c r="D16" s="8">
        <v>70.0</v>
      </c>
      <c r="E16" s="8">
        <v>5.0</v>
      </c>
      <c r="F16" s="8" t="s">
        <v>5435</v>
      </c>
      <c r="G16" s="8">
        <v>12.0</v>
      </c>
      <c r="H16" s="8">
        <v>8.0</v>
      </c>
      <c r="I16" s="111">
        <f>35/(19*2)</f>
        <v>0.9210526316</v>
      </c>
      <c r="J16" s="8" t="s">
        <v>1473</v>
      </c>
      <c r="K16" s="8" t="s">
        <v>1477</v>
      </c>
      <c r="L16" s="8">
        <v>0.0</v>
      </c>
      <c r="M16" s="8" t="s">
        <v>174</v>
      </c>
      <c r="N16" s="8" t="s">
        <v>22</v>
      </c>
      <c r="O16" s="8" t="s">
        <v>894</v>
      </c>
      <c r="P16" s="8" t="s">
        <v>39</v>
      </c>
      <c r="Q16" s="9">
        <v>-0.25</v>
      </c>
      <c r="R16" s="9">
        <v>0.1</v>
      </c>
      <c r="S16" s="9">
        <v>0.1</v>
      </c>
      <c r="T16" s="10">
        <v>45478.0</v>
      </c>
      <c r="U16" s="11">
        <v>2.02</v>
      </c>
      <c r="V16" s="8" t="s">
        <v>79</v>
      </c>
      <c r="W16" s="12">
        <f t="shared" si="1"/>
        <v>-0.05</v>
      </c>
      <c r="X16" s="12">
        <f t="shared" si="4"/>
        <v>0.53</v>
      </c>
      <c r="Z16" s="66">
        <v>45488.0</v>
      </c>
      <c r="AA16" s="13">
        <f t="shared" si="2"/>
        <v>0</v>
      </c>
      <c r="AB16" s="2" t="s">
        <v>61</v>
      </c>
    </row>
    <row r="17">
      <c r="A17" s="15">
        <f t="shared" si="3"/>
        <v>16</v>
      </c>
      <c r="B17" s="15" t="s">
        <v>137</v>
      </c>
      <c r="C17" s="15" t="s">
        <v>19</v>
      </c>
      <c r="D17" s="15">
        <v>75.0</v>
      </c>
      <c r="E17" s="15">
        <v>3.0</v>
      </c>
      <c r="F17" s="15" t="s">
        <v>5436</v>
      </c>
      <c r="G17" s="15">
        <v>10.0</v>
      </c>
      <c r="H17" s="15">
        <v>3.0</v>
      </c>
      <c r="I17" s="110">
        <f>13/(13*2)</f>
        <v>0.5</v>
      </c>
      <c r="J17" s="15" t="s">
        <v>1473</v>
      </c>
      <c r="K17" s="15" t="s">
        <v>1480</v>
      </c>
      <c r="L17" s="15">
        <v>-1.0</v>
      </c>
      <c r="M17" s="15" t="s">
        <v>463</v>
      </c>
      <c r="N17" s="15" t="s">
        <v>22</v>
      </c>
      <c r="O17" s="15" t="s">
        <v>892</v>
      </c>
      <c r="P17" s="15" t="s">
        <v>1803</v>
      </c>
      <c r="Q17" s="16">
        <v>0.0</v>
      </c>
      <c r="R17" s="16">
        <v>0.75</v>
      </c>
      <c r="S17" s="16">
        <v>0.75</v>
      </c>
      <c r="T17" s="17">
        <v>45478.0</v>
      </c>
      <c r="U17" s="18">
        <v>1.675</v>
      </c>
      <c r="V17" s="15" t="s">
        <v>33</v>
      </c>
      <c r="W17" s="19">
        <f t="shared" si="1"/>
        <v>0.50625</v>
      </c>
      <c r="X17" s="19">
        <f t="shared" si="4"/>
        <v>1.03625</v>
      </c>
      <c r="Z17" s="66">
        <v>45489.0</v>
      </c>
      <c r="AA17" s="13">
        <f t="shared" si="2"/>
        <v>0.10625</v>
      </c>
      <c r="AB17" s="22">
        <f>average(U2:U200)</f>
        <v>1.884015385</v>
      </c>
    </row>
    <row r="18">
      <c r="A18" s="8">
        <f t="shared" si="3"/>
        <v>17</v>
      </c>
      <c r="B18" s="8" t="s">
        <v>129</v>
      </c>
      <c r="C18" s="8" t="s">
        <v>40</v>
      </c>
      <c r="D18" s="8">
        <v>59.0</v>
      </c>
      <c r="E18" s="8">
        <v>2.0</v>
      </c>
      <c r="F18" s="8" t="s">
        <v>5437</v>
      </c>
      <c r="G18" s="8">
        <v>3.0</v>
      </c>
      <c r="H18" s="8">
        <v>5.0</v>
      </c>
      <c r="I18" s="111">
        <f>10/18</f>
        <v>0.5555555556</v>
      </c>
      <c r="J18" s="8" t="s">
        <v>1473</v>
      </c>
      <c r="K18" s="8" t="s">
        <v>1474</v>
      </c>
      <c r="L18" s="8">
        <v>1.0</v>
      </c>
      <c r="M18" s="8" t="s">
        <v>513</v>
      </c>
      <c r="N18" s="8" t="s">
        <v>22</v>
      </c>
      <c r="O18" s="8" t="s">
        <v>1847</v>
      </c>
      <c r="P18" s="8" t="s">
        <v>24</v>
      </c>
      <c r="Q18" s="9">
        <v>-0.5</v>
      </c>
      <c r="R18" s="9">
        <v>0.25</v>
      </c>
      <c r="S18" s="9">
        <v>0.15</v>
      </c>
      <c r="T18" s="10">
        <v>45479.0</v>
      </c>
      <c r="U18" s="11">
        <v>1.727</v>
      </c>
      <c r="V18" s="8" t="s">
        <v>33</v>
      </c>
      <c r="W18" s="12">
        <f t="shared" si="1"/>
        <v>0.10905</v>
      </c>
      <c r="X18" s="12">
        <f t="shared" si="4"/>
        <v>1.1453</v>
      </c>
      <c r="Z18" s="66">
        <v>45490.0</v>
      </c>
      <c r="AA18" s="13">
        <f t="shared" si="2"/>
        <v>-0.33125</v>
      </c>
    </row>
    <row r="19">
      <c r="A19" s="15">
        <f t="shared" si="3"/>
        <v>18</v>
      </c>
      <c r="B19" s="15" t="s">
        <v>26</v>
      </c>
      <c r="C19" s="15" t="s">
        <v>19</v>
      </c>
      <c r="D19" s="15">
        <v>62.0</v>
      </c>
      <c r="E19" s="15">
        <v>5.0</v>
      </c>
      <c r="F19" s="15" t="s">
        <v>5438</v>
      </c>
      <c r="G19" s="15" t="s">
        <v>5553</v>
      </c>
      <c r="H19" s="15" t="s">
        <v>5553</v>
      </c>
      <c r="I19" s="15" t="s">
        <v>5553</v>
      </c>
      <c r="J19" s="15" t="s">
        <v>1479</v>
      </c>
      <c r="K19" s="15" t="s">
        <v>1477</v>
      </c>
      <c r="L19" s="15">
        <v>0.0</v>
      </c>
      <c r="M19" s="15" t="s">
        <v>28</v>
      </c>
      <c r="N19" s="15" t="s">
        <v>22</v>
      </c>
      <c r="O19" s="15" t="s">
        <v>894</v>
      </c>
      <c r="P19" s="15" t="s">
        <v>39</v>
      </c>
      <c r="Q19" s="16">
        <v>-0.5</v>
      </c>
      <c r="R19" s="16">
        <v>0.1</v>
      </c>
      <c r="S19" s="16">
        <v>0.1</v>
      </c>
      <c r="T19" s="17">
        <v>45479.0</v>
      </c>
      <c r="U19" s="18">
        <v>1.775</v>
      </c>
      <c r="V19" s="15" t="s">
        <v>25</v>
      </c>
      <c r="W19" s="19">
        <f t="shared" si="1"/>
        <v>-0.1</v>
      </c>
      <c r="X19" s="19">
        <f t="shared" si="4"/>
        <v>1.0453</v>
      </c>
      <c r="Z19" s="66">
        <v>45491.0</v>
      </c>
      <c r="AA19" s="13">
        <f t="shared" si="2"/>
        <v>0</v>
      </c>
    </row>
    <row r="20">
      <c r="A20" s="8">
        <f t="shared" si="3"/>
        <v>19</v>
      </c>
      <c r="B20" s="8" t="s">
        <v>26</v>
      </c>
      <c r="C20" s="8" t="s">
        <v>19</v>
      </c>
      <c r="D20" s="8">
        <v>35.0</v>
      </c>
      <c r="E20" s="8">
        <v>3.0</v>
      </c>
      <c r="F20" s="8" t="s">
        <v>5439</v>
      </c>
      <c r="G20" s="8">
        <v>9.0</v>
      </c>
      <c r="H20" s="8">
        <v>12.0</v>
      </c>
      <c r="I20" s="111">
        <f>23/(13*2)</f>
        <v>0.8846153846</v>
      </c>
      <c r="J20" s="8" t="s">
        <v>1473</v>
      </c>
      <c r="K20" s="8" t="s">
        <v>1480</v>
      </c>
      <c r="L20" s="8">
        <v>0.0</v>
      </c>
      <c r="M20" s="8" t="s">
        <v>463</v>
      </c>
      <c r="N20" s="8" t="s">
        <v>22</v>
      </c>
      <c r="O20" s="8" t="s">
        <v>1150</v>
      </c>
      <c r="P20" s="8" t="s">
        <v>24</v>
      </c>
      <c r="Q20" s="9">
        <v>0.0</v>
      </c>
      <c r="R20" s="9">
        <v>0.5</v>
      </c>
      <c r="S20" s="9">
        <v>0.5</v>
      </c>
      <c r="T20" s="54">
        <v>45479.0</v>
      </c>
      <c r="U20" s="11">
        <v>1.7</v>
      </c>
      <c r="V20" s="8" t="s">
        <v>70</v>
      </c>
      <c r="W20" s="12">
        <f t="shared" si="1"/>
        <v>0</v>
      </c>
      <c r="X20" s="12">
        <f t="shared" si="4"/>
        <v>1.0453</v>
      </c>
      <c r="Z20" s="66">
        <v>45492.0</v>
      </c>
      <c r="AA20" s="13">
        <f t="shared" si="2"/>
        <v>0.54375</v>
      </c>
    </row>
    <row r="21">
      <c r="A21" s="15">
        <f t="shared" si="3"/>
        <v>20</v>
      </c>
      <c r="B21" s="15" t="s">
        <v>129</v>
      </c>
      <c r="C21" s="15" t="s">
        <v>19</v>
      </c>
      <c r="D21" s="15">
        <v>38.0</v>
      </c>
      <c r="E21" s="15">
        <v>2.0</v>
      </c>
      <c r="F21" s="15" t="s">
        <v>5440</v>
      </c>
      <c r="G21" s="15">
        <v>1.0</v>
      </c>
      <c r="H21" s="15">
        <v>4.0</v>
      </c>
      <c r="I21" s="110">
        <f>10/14</f>
        <v>0.7142857143</v>
      </c>
      <c r="J21" s="15" t="s">
        <v>1473</v>
      </c>
      <c r="K21" s="15" t="s">
        <v>1474</v>
      </c>
      <c r="L21" s="15">
        <v>0.0</v>
      </c>
      <c r="M21" s="15" t="s">
        <v>513</v>
      </c>
      <c r="N21" s="15" t="s">
        <v>22</v>
      </c>
      <c r="O21" s="15" t="s">
        <v>225</v>
      </c>
      <c r="P21" s="15" t="s">
        <v>24</v>
      </c>
      <c r="Q21" s="16">
        <v>0.25</v>
      </c>
      <c r="R21" s="16">
        <v>0.5</v>
      </c>
      <c r="S21" s="16">
        <v>0.5</v>
      </c>
      <c r="T21" s="17">
        <v>45479.0</v>
      </c>
      <c r="U21" s="18">
        <v>1.194</v>
      </c>
      <c r="V21" s="15" t="s">
        <v>33</v>
      </c>
      <c r="W21" s="19">
        <f t="shared" si="1"/>
        <v>0.097</v>
      </c>
      <c r="X21" s="19">
        <f t="shared" si="4"/>
        <v>1.1423</v>
      </c>
      <c r="Z21" s="66">
        <v>45493.0</v>
      </c>
      <c r="AA21" s="13">
        <f t="shared" si="2"/>
        <v>0.1875</v>
      </c>
    </row>
    <row r="22">
      <c r="A22" s="8">
        <f t="shared" si="3"/>
        <v>21</v>
      </c>
      <c r="B22" s="8" t="s">
        <v>26</v>
      </c>
      <c r="C22" s="8" t="s">
        <v>19</v>
      </c>
      <c r="D22" s="8">
        <v>80.0</v>
      </c>
      <c r="E22" s="8">
        <v>3.0</v>
      </c>
      <c r="F22" s="8" t="s">
        <v>5441</v>
      </c>
      <c r="G22" s="8" t="s">
        <v>5553</v>
      </c>
      <c r="H22" s="8" t="s">
        <v>5553</v>
      </c>
      <c r="I22" s="8" t="s">
        <v>5553</v>
      </c>
      <c r="J22" s="8" t="s">
        <v>1479</v>
      </c>
      <c r="K22" s="8" t="s">
        <v>1480</v>
      </c>
      <c r="L22" s="8">
        <v>0.0</v>
      </c>
      <c r="M22" s="8" t="s">
        <v>28</v>
      </c>
      <c r="N22" s="8" t="s">
        <v>22</v>
      </c>
      <c r="O22" s="8" t="s">
        <v>892</v>
      </c>
      <c r="P22" s="8" t="s">
        <v>1851</v>
      </c>
      <c r="Q22" s="9">
        <v>0.0</v>
      </c>
      <c r="R22" s="9">
        <v>0.25</v>
      </c>
      <c r="S22" s="9">
        <v>0.25</v>
      </c>
      <c r="T22" s="10">
        <v>45479.0</v>
      </c>
      <c r="U22" s="11">
        <v>1.7</v>
      </c>
      <c r="V22" s="8" t="s">
        <v>70</v>
      </c>
      <c r="W22" s="12">
        <f t="shared" si="1"/>
        <v>0</v>
      </c>
      <c r="X22" s="12">
        <f t="shared" si="4"/>
        <v>1.1423</v>
      </c>
      <c r="Z22" s="66">
        <v>45494.0</v>
      </c>
      <c r="AA22" s="13">
        <f t="shared" si="2"/>
        <v>0.33675</v>
      </c>
    </row>
    <row r="23">
      <c r="A23" s="15">
        <f t="shared" si="3"/>
        <v>22</v>
      </c>
      <c r="B23" s="15" t="s">
        <v>129</v>
      </c>
      <c r="C23" s="15" t="s">
        <v>19</v>
      </c>
      <c r="D23" s="15">
        <v>80.0</v>
      </c>
      <c r="E23" s="15">
        <v>3.0</v>
      </c>
      <c r="F23" s="15" t="s">
        <v>5442</v>
      </c>
      <c r="G23" s="15">
        <v>1.0</v>
      </c>
      <c r="H23" s="15">
        <v>4.0</v>
      </c>
      <c r="I23" s="110">
        <v>0.714</v>
      </c>
      <c r="J23" s="15" t="s">
        <v>1479</v>
      </c>
      <c r="K23" s="15" t="s">
        <v>1480</v>
      </c>
      <c r="L23" s="15">
        <v>0.0</v>
      </c>
      <c r="M23" s="15" t="s">
        <v>513</v>
      </c>
      <c r="N23" s="15" t="s">
        <v>22</v>
      </c>
      <c r="O23" s="15" t="s">
        <v>892</v>
      </c>
      <c r="P23" s="15" t="s">
        <v>24</v>
      </c>
      <c r="Q23" s="16">
        <v>0.0</v>
      </c>
      <c r="R23" s="16">
        <v>0.25</v>
      </c>
      <c r="S23" s="16">
        <v>0.25</v>
      </c>
      <c r="T23" s="17">
        <v>45479.0</v>
      </c>
      <c r="U23" s="18">
        <v>2.08</v>
      </c>
      <c r="V23" s="15" t="s">
        <v>70</v>
      </c>
      <c r="W23" s="19">
        <f t="shared" si="1"/>
        <v>0</v>
      </c>
      <c r="X23" s="19">
        <f t="shared" si="4"/>
        <v>1.1423</v>
      </c>
      <c r="Z23" s="66">
        <v>45495.0</v>
      </c>
      <c r="AA23" s="13">
        <f t="shared" si="2"/>
        <v>0</v>
      </c>
    </row>
    <row r="24">
      <c r="A24" s="8">
        <f t="shared" si="3"/>
        <v>23</v>
      </c>
      <c r="B24" s="8" t="s">
        <v>137</v>
      </c>
      <c r="C24" s="8" t="s">
        <v>19</v>
      </c>
      <c r="D24" s="8">
        <v>71.0</v>
      </c>
      <c r="E24" s="8">
        <v>2.0</v>
      </c>
      <c r="F24" s="8" t="s">
        <v>5443</v>
      </c>
      <c r="G24" s="8">
        <v>2.0</v>
      </c>
      <c r="H24" s="8">
        <v>5.0</v>
      </c>
      <c r="I24" s="111">
        <f>9/(11*2)</f>
        <v>0.4090909091</v>
      </c>
      <c r="J24" s="8" t="s">
        <v>1473</v>
      </c>
      <c r="K24" s="8" t="s">
        <v>1474</v>
      </c>
      <c r="L24" s="8">
        <v>-1.0</v>
      </c>
      <c r="M24" s="8" t="s">
        <v>1175</v>
      </c>
      <c r="N24" s="8" t="s">
        <v>22</v>
      </c>
      <c r="O24" s="8" t="s">
        <v>225</v>
      </c>
      <c r="P24" s="8" t="s">
        <v>24</v>
      </c>
      <c r="Q24" s="9">
        <v>0.25</v>
      </c>
      <c r="R24" s="98">
        <v>0.25</v>
      </c>
      <c r="S24" s="33">
        <v>0.25</v>
      </c>
      <c r="T24" s="10">
        <v>45479.0</v>
      </c>
      <c r="U24" s="11">
        <v>1.725</v>
      </c>
      <c r="V24" s="8" t="s">
        <v>25</v>
      </c>
      <c r="W24" s="12">
        <f t="shared" si="1"/>
        <v>-0.25</v>
      </c>
      <c r="X24" s="12">
        <f t="shared" si="4"/>
        <v>0.8923</v>
      </c>
      <c r="Z24" s="66">
        <v>45496.0</v>
      </c>
      <c r="AA24" s="13">
        <f t="shared" si="2"/>
        <v>0</v>
      </c>
    </row>
    <row r="25">
      <c r="A25" s="15">
        <f t="shared" si="3"/>
        <v>24</v>
      </c>
      <c r="B25" s="15" t="s">
        <v>26</v>
      </c>
      <c r="C25" s="15" t="s">
        <v>40</v>
      </c>
      <c r="D25" s="15">
        <v>63.0</v>
      </c>
      <c r="E25" s="15">
        <v>3.0</v>
      </c>
      <c r="F25" s="15" t="s">
        <v>5444</v>
      </c>
      <c r="G25" s="15"/>
      <c r="H25" s="15"/>
      <c r="I25" s="110"/>
      <c r="J25" s="15" t="s">
        <v>1473</v>
      </c>
      <c r="K25" s="15" t="s">
        <v>1480</v>
      </c>
      <c r="L25" s="15">
        <v>-1.0</v>
      </c>
      <c r="M25" s="15" t="s">
        <v>940</v>
      </c>
      <c r="N25" s="15" t="s">
        <v>22</v>
      </c>
      <c r="O25" s="15" t="s">
        <v>892</v>
      </c>
      <c r="P25" s="15" t="s">
        <v>24</v>
      </c>
      <c r="Q25" s="16">
        <v>0.0</v>
      </c>
      <c r="R25" s="99">
        <v>0.25</v>
      </c>
      <c r="S25" s="43">
        <v>0.25</v>
      </c>
      <c r="T25" s="17">
        <v>45479.0</v>
      </c>
      <c r="U25" s="18">
        <v>2.2</v>
      </c>
      <c r="V25" s="15" t="s">
        <v>70</v>
      </c>
      <c r="W25" s="19">
        <f t="shared" si="1"/>
        <v>0</v>
      </c>
      <c r="X25" s="19">
        <f t="shared" si="4"/>
        <v>0.8923</v>
      </c>
      <c r="Z25" s="66">
        <v>45497.0</v>
      </c>
      <c r="AA25" s="13">
        <f t="shared" si="2"/>
        <v>0</v>
      </c>
    </row>
    <row r="26">
      <c r="A26" s="8">
        <f t="shared" si="3"/>
        <v>25</v>
      </c>
      <c r="B26" s="8" t="s">
        <v>4225</v>
      </c>
      <c r="C26" s="8" t="s">
        <v>40</v>
      </c>
      <c r="D26" s="8">
        <v>25.0</v>
      </c>
      <c r="E26" s="8">
        <v>3.0</v>
      </c>
      <c r="F26" s="8" t="s">
        <v>5445</v>
      </c>
      <c r="G26" s="8" t="s">
        <v>5553</v>
      </c>
      <c r="H26" s="8" t="s">
        <v>5553</v>
      </c>
      <c r="I26" s="8" t="s">
        <v>5553</v>
      </c>
      <c r="J26" s="8" t="s">
        <v>1473</v>
      </c>
      <c r="K26" s="8" t="s">
        <v>1480</v>
      </c>
      <c r="L26" s="8">
        <v>0.0</v>
      </c>
      <c r="M26" s="8" t="s">
        <v>4644</v>
      </c>
      <c r="N26" s="8" t="s">
        <v>22</v>
      </c>
      <c r="O26" s="8" t="s">
        <v>892</v>
      </c>
      <c r="P26" s="8" t="s">
        <v>24</v>
      </c>
      <c r="Q26" s="9">
        <v>0.0</v>
      </c>
      <c r="R26" s="9">
        <v>0.25</v>
      </c>
      <c r="S26" s="9">
        <v>0.25</v>
      </c>
      <c r="T26" s="10">
        <v>45479.0</v>
      </c>
      <c r="U26" s="11">
        <v>1.75</v>
      </c>
      <c r="V26" s="8" t="s">
        <v>70</v>
      </c>
      <c r="W26" s="12">
        <f t="shared" si="1"/>
        <v>0</v>
      </c>
      <c r="X26" s="12">
        <f t="shared" si="4"/>
        <v>0.8923</v>
      </c>
      <c r="Z26" s="170">
        <v>45498.0</v>
      </c>
      <c r="AA26" s="13">
        <f t="shared" si="2"/>
        <v>0.7320913462</v>
      </c>
    </row>
    <row r="27">
      <c r="A27" s="15">
        <f t="shared" si="3"/>
        <v>26</v>
      </c>
      <c r="B27" s="15" t="s">
        <v>4225</v>
      </c>
      <c r="C27" s="15" t="s">
        <v>40</v>
      </c>
      <c r="D27" s="15">
        <v>76.0</v>
      </c>
      <c r="E27" s="15">
        <v>3.0</v>
      </c>
      <c r="F27" s="15" t="s">
        <v>5446</v>
      </c>
      <c r="G27" s="15" t="s">
        <v>5553</v>
      </c>
      <c r="H27" s="15" t="s">
        <v>5553</v>
      </c>
      <c r="I27" s="15" t="s">
        <v>5553</v>
      </c>
      <c r="J27" s="15" t="s">
        <v>1479</v>
      </c>
      <c r="K27" s="15" t="s">
        <v>1480</v>
      </c>
      <c r="L27" s="15">
        <v>-1.0</v>
      </c>
      <c r="M27" s="15" t="s">
        <v>4644</v>
      </c>
      <c r="N27" s="15" t="s">
        <v>22</v>
      </c>
      <c r="O27" s="15" t="s">
        <v>892</v>
      </c>
      <c r="P27" s="15" t="s">
        <v>24</v>
      </c>
      <c r="Q27" s="16">
        <v>0.0</v>
      </c>
      <c r="R27" s="16">
        <v>0.5</v>
      </c>
      <c r="S27" s="16">
        <v>0.5</v>
      </c>
      <c r="T27" s="17">
        <v>45479.0</v>
      </c>
      <c r="U27" s="18">
        <v>1.675</v>
      </c>
      <c r="V27" s="15" t="s">
        <v>70</v>
      </c>
      <c r="W27" s="19">
        <f t="shared" si="1"/>
        <v>0</v>
      </c>
      <c r="X27" s="19">
        <f t="shared" si="4"/>
        <v>0.8923</v>
      </c>
      <c r="Z27" s="66">
        <v>45499.0</v>
      </c>
      <c r="AA27" s="13">
        <f t="shared" si="2"/>
        <v>0.1</v>
      </c>
    </row>
    <row r="28">
      <c r="A28" s="8">
        <f t="shared" si="3"/>
        <v>27</v>
      </c>
      <c r="B28" s="8" t="s">
        <v>1915</v>
      </c>
      <c r="C28" s="8" t="s">
        <v>19</v>
      </c>
      <c r="D28" s="8">
        <v>0.0</v>
      </c>
      <c r="E28" s="8">
        <v>11.0</v>
      </c>
      <c r="F28" s="8" t="s">
        <v>5447</v>
      </c>
      <c r="G28" s="8">
        <v>3.0</v>
      </c>
      <c r="H28" s="8">
        <v>2.0</v>
      </c>
      <c r="I28" s="111">
        <f>1/(4*2)</f>
        <v>0.125</v>
      </c>
      <c r="J28" s="8"/>
      <c r="K28" s="8"/>
      <c r="L28" s="8"/>
      <c r="M28" s="8" t="s">
        <v>372</v>
      </c>
      <c r="N28" s="8" t="s">
        <v>598</v>
      </c>
      <c r="O28" s="8" t="s">
        <v>29</v>
      </c>
      <c r="P28" s="8" t="s">
        <v>39</v>
      </c>
      <c r="Q28" s="9">
        <v>-2.5</v>
      </c>
      <c r="R28" s="9">
        <v>0.5</v>
      </c>
      <c r="S28" s="9">
        <v>0.5</v>
      </c>
      <c r="T28" s="10">
        <v>45479.0</v>
      </c>
      <c r="U28" s="11">
        <v>1.8</v>
      </c>
      <c r="V28" s="8" t="s">
        <v>25</v>
      </c>
      <c r="W28" s="12">
        <f t="shared" si="1"/>
        <v>-0.5</v>
      </c>
      <c r="X28" s="12">
        <f t="shared" si="4"/>
        <v>0.3923</v>
      </c>
      <c r="Z28" s="170">
        <v>45500.0</v>
      </c>
      <c r="AA28" s="13">
        <f t="shared" si="2"/>
        <v>0.4325</v>
      </c>
    </row>
    <row r="29">
      <c r="A29" s="15">
        <f t="shared" si="3"/>
        <v>28</v>
      </c>
      <c r="B29" s="15" t="s">
        <v>26</v>
      </c>
      <c r="C29" s="15" t="s">
        <v>40</v>
      </c>
      <c r="D29" s="15">
        <v>72.0</v>
      </c>
      <c r="E29" s="15"/>
      <c r="F29" s="15" t="s">
        <v>5448</v>
      </c>
      <c r="G29" s="15"/>
      <c r="H29" s="15"/>
      <c r="I29" s="110"/>
      <c r="J29" s="15" t="s">
        <v>1473</v>
      </c>
      <c r="K29" s="15" t="s">
        <v>1480</v>
      </c>
      <c r="L29" s="15">
        <v>-1.0</v>
      </c>
      <c r="M29" s="15" t="s">
        <v>768</v>
      </c>
      <c r="N29" s="15" t="s">
        <v>22</v>
      </c>
      <c r="O29" s="15" t="s">
        <v>892</v>
      </c>
      <c r="P29" s="15" t="s">
        <v>24</v>
      </c>
      <c r="Q29" s="16">
        <v>0.0</v>
      </c>
      <c r="R29" s="16">
        <v>0.5</v>
      </c>
      <c r="S29" s="16">
        <v>0.5</v>
      </c>
      <c r="T29" s="55">
        <v>45479.0</v>
      </c>
      <c r="U29" s="18">
        <v>1.95</v>
      </c>
      <c r="V29" s="15" t="s">
        <v>70</v>
      </c>
      <c r="W29" s="19">
        <f t="shared" si="1"/>
        <v>0</v>
      </c>
      <c r="X29" s="19">
        <f t="shared" si="4"/>
        <v>0.3923</v>
      </c>
      <c r="Z29" s="66">
        <v>45501.0</v>
      </c>
      <c r="AA29" s="13">
        <f t="shared" si="2"/>
        <v>1.250300481</v>
      </c>
    </row>
    <row r="30">
      <c r="A30" s="8">
        <f t="shared" si="3"/>
        <v>29</v>
      </c>
      <c r="B30" s="8" t="s">
        <v>1915</v>
      </c>
      <c r="C30" s="8" t="s">
        <v>19</v>
      </c>
      <c r="D30" s="8">
        <v>0.0</v>
      </c>
      <c r="E30" s="8"/>
      <c r="F30" s="8" t="s">
        <v>5449</v>
      </c>
      <c r="G30" s="8">
        <v>3.0</v>
      </c>
      <c r="H30" s="8">
        <v>1.0</v>
      </c>
      <c r="I30" s="111">
        <f>2/(4*2)</f>
        <v>0.25</v>
      </c>
      <c r="J30" s="8"/>
      <c r="K30" s="8"/>
      <c r="L30" s="8"/>
      <c r="M30" s="8" t="s">
        <v>372</v>
      </c>
      <c r="N30" s="8" t="s">
        <v>598</v>
      </c>
      <c r="O30" s="8" t="s">
        <v>29</v>
      </c>
      <c r="P30" s="8" t="s">
        <v>24</v>
      </c>
      <c r="Q30" s="9">
        <v>-2.5</v>
      </c>
      <c r="R30" s="9">
        <v>0.25</v>
      </c>
      <c r="S30" s="9">
        <v>0.25</v>
      </c>
      <c r="T30" s="10">
        <v>45479.0</v>
      </c>
      <c r="U30" s="11">
        <v>1.8</v>
      </c>
      <c r="V30" s="8" t="s">
        <v>25</v>
      </c>
      <c r="W30" s="12">
        <f t="shared" si="1"/>
        <v>-0.25</v>
      </c>
      <c r="X30" s="12">
        <f t="shared" si="4"/>
        <v>0.1423</v>
      </c>
      <c r="Z30" s="170">
        <v>45502.0</v>
      </c>
      <c r="AA30" s="13">
        <f t="shared" si="2"/>
        <v>0</v>
      </c>
    </row>
    <row r="31">
      <c r="A31" s="15">
        <f t="shared" si="3"/>
        <v>30</v>
      </c>
      <c r="B31" s="15" t="s">
        <v>26</v>
      </c>
      <c r="C31" s="15" t="s">
        <v>40</v>
      </c>
      <c r="D31" s="15">
        <v>70.0</v>
      </c>
      <c r="E31" s="15"/>
      <c r="F31" s="15" t="s">
        <v>5450</v>
      </c>
      <c r="G31" s="15"/>
      <c r="H31" s="15"/>
      <c r="I31" s="110"/>
      <c r="J31" s="15" t="s">
        <v>1473</v>
      </c>
      <c r="K31" s="15" t="s">
        <v>1477</v>
      </c>
      <c r="L31" s="15">
        <v>-1.0</v>
      </c>
      <c r="M31" s="15" t="s">
        <v>463</v>
      </c>
      <c r="N31" s="15" t="s">
        <v>22</v>
      </c>
      <c r="O31" s="15" t="s">
        <v>894</v>
      </c>
      <c r="P31" s="15" t="s">
        <v>24</v>
      </c>
      <c r="Q31" s="16">
        <v>-0.25</v>
      </c>
      <c r="R31" s="16">
        <v>0.25</v>
      </c>
      <c r="S31" s="16">
        <v>0.25</v>
      </c>
      <c r="T31" s="17">
        <v>45480.0</v>
      </c>
      <c r="U31" s="18">
        <v>2.05</v>
      </c>
      <c r="V31" s="15" t="s">
        <v>79</v>
      </c>
      <c r="W31" s="19">
        <f t="shared" si="1"/>
        <v>-0.125</v>
      </c>
      <c r="X31" s="19">
        <f t="shared" si="4"/>
        <v>0.0173</v>
      </c>
      <c r="Z31" s="66">
        <v>45503.0</v>
      </c>
      <c r="AA31" s="13">
        <f t="shared" si="2"/>
        <v>0</v>
      </c>
    </row>
    <row r="32">
      <c r="A32" s="8">
        <f t="shared" si="3"/>
        <v>31</v>
      </c>
      <c r="B32" s="8" t="s">
        <v>4225</v>
      </c>
      <c r="C32" s="8" t="s">
        <v>19</v>
      </c>
      <c r="D32" s="8">
        <v>0.0</v>
      </c>
      <c r="E32" s="8"/>
      <c r="F32" s="8" t="s">
        <v>5451</v>
      </c>
      <c r="G32" s="8">
        <v>8.0</v>
      </c>
      <c r="H32" s="8">
        <v>15.0</v>
      </c>
      <c r="I32" s="111">
        <v>0.342</v>
      </c>
      <c r="J32" s="8" t="s">
        <v>1479</v>
      </c>
      <c r="K32" s="8" t="s">
        <v>1474</v>
      </c>
      <c r="L32" s="8">
        <v>0.0</v>
      </c>
      <c r="M32" s="8" t="s">
        <v>82</v>
      </c>
      <c r="N32" s="8" t="s">
        <v>598</v>
      </c>
      <c r="O32" s="8" t="s">
        <v>1847</v>
      </c>
      <c r="P32" s="8" t="s">
        <v>1851</v>
      </c>
      <c r="Q32" s="9">
        <v>-0.5</v>
      </c>
      <c r="R32" s="9">
        <v>0.1</v>
      </c>
      <c r="S32" s="9">
        <v>0.1</v>
      </c>
      <c r="T32" s="10">
        <v>45480.0</v>
      </c>
      <c r="U32" s="11">
        <v>1.7</v>
      </c>
      <c r="V32" s="8" t="s">
        <v>25</v>
      </c>
      <c r="W32" s="12">
        <f t="shared" si="1"/>
        <v>-0.1</v>
      </c>
      <c r="X32" s="12">
        <f t="shared" si="4"/>
        <v>-0.0827</v>
      </c>
      <c r="Z32" s="170">
        <v>45504.0</v>
      </c>
      <c r="AA32" s="13">
        <f t="shared" si="2"/>
        <v>0.32275</v>
      </c>
    </row>
    <row r="33">
      <c r="A33" s="15">
        <f t="shared" si="3"/>
        <v>32</v>
      </c>
      <c r="B33" s="15" t="s">
        <v>4225</v>
      </c>
      <c r="C33" s="15" t="s">
        <v>19</v>
      </c>
      <c r="D33" s="15">
        <v>74.0</v>
      </c>
      <c r="E33" s="15"/>
      <c r="F33" s="15" t="s">
        <v>5452</v>
      </c>
      <c r="G33" s="15">
        <v>8.0</v>
      </c>
      <c r="H33" s="15">
        <v>3.0</v>
      </c>
      <c r="I33" s="110">
        <f>9/(11*2)</f>
        <v>0.4090909091</v>
      </c>
      <c r="J33" s="15" t="s">
        <v>1473</v>
      </c>
      <c r="K33" s="15" t="s">
        <v>1480</v>
      </c>
      <c r="L33" s="15">
        <v>1.0</v>
      </c>
      <c r="M33" s="15" t="s">
        <v>1175</v>
      </c>
      <c r="N33" s="15" t="s">
        <v>22</v>
      </c>
      <c r="O33" s="15" t="s">
        <v>892</v>
      </c>
      <c r="P33" s="15" t="s">
        <v>24</v>
      </c>
      <c r="Q33" s="16">
        <v>0.0</v>
      </c>
      <c r="R33" s="16">
        <v>0.75</v>
      </c>
      <c r="S33" s="16">
        <v>0.75</v>
      </c>
      <c r="T33" s="17">
        <v>45480.0</v>
      </c>
      <c r="U33" s="18">
        <v>1.6</v>
      </c>
      <c r="V33" s="15" t="s">
        <v>70</v>
      </c>
      <c r="W33" s="19">
        <f t="shared" si="1"/>
        <v>0</v>
      </c>
      <c r="X33" s="19">
        <f t="shared" si="4"/>
        <v>-0.0827</v>
      </c>
      <c r="Z33" s="94" t="s">
        <v>89</v>
      </c>
      <c r="AA33" s="28">
        <f>SUM(AA2:AA32)</f>
        <v>4.687191827</v>
      </c>
    </row>
    <row r="34">
      <c r="A34" s="8">
        <f t="shared" si="3"/>
        <v>33</v>
      </c>
      <c r="B34" s="8" t="s">
        <v>131</v>
      </c>
      <c r="C34" s="8" t="s">
        <v>19</v>
      </c>
      <c r="D34" s="8"/>
      <c r="E34" s="8"/>
      <c r="F34" s="8" t="s">
        <v>5453</v>
      </c>
      <c r="G34" s="8">
        <v>11.0</v>
      </c>
      <c r="H34" s="8">
        <v>9.0</v>
      </c>
      <c r="I34" s="111">
        <f>10/(11*2)</f>
        <v>0.4545454545</v>
      </c>
      <c r="J34" s="8" t="s">
        <v>1473</v>
      </c>
      <c r="K34" s="8" t="s">
        <v>1480</v>
      </c>
      <c r="L34" s="8">
        <v>0.0</v>
      </c>
      <c r="M34" s="8" t="s">
        <v>319</v>
      </c>
      <c r="N34" s="8" t="s">
        <v>22</v>
      </c>
      <c r="O34" s="8" t="s">
        <v>892</v>
      </c>
      <c r="P34" s="8" t="s">
        <v>1851</v>
      </c>
      <c r="Q34" s="9">
        <v>0.0</v>
      </c>
      <c r="R34" s="9">
        <v>0.5</v>
      </c>
      <c r="S34" s="9">
        <v>0.5</v>
      </c>
      <c r="T34" s="10">
        <v>45480.0</v>
      </c>
      <c r="U34" s="11">
        <v>1.8</v>
      </c>
      <c r="V34" s="8" t="s">
        <v>33</v>
      </c>
      <c r="W34" s="12">
        <f t="shared" si="1"/>
        <v>0.4</v>
      </c>
      <c r="X34" s="12">
        <f t="shared" si="4"/>
        <v>0.3173</v>
      </c>
    </row>
    <row r="35">
      <c r="A35" s="15">
        <f t="shared" si="3"/>
        <v>34</v>
      </c>
      <c r="B35" s="15" t="s">
        <v>26</v>
      </c>
      <c r="C35" s="15" t="s">
        <v>19</v>
      </c>
      <c r="D35" s="15"/>
      <c r="E35" s="15"/>
      <c r="F35" s="15" t="s">
        <v>5455</v>
      </c>
      <c r="G35" s="15"/>
      <c r="H35" s="15"/>
      <c r="I35" s="110"/>
      <c r="J35" s="15" t="s">
        <v>1479</v>
      </c>
      <c r="K35" s="15" t="s">
        <v>1480</v>
      </c>
      <c r="L35" s="15">
        <v>-1.0</v>
      </c>
      <c r="M35" s="15" t="s">
        <v>84</v>
      </c>
      <c r="N35" s="15" t="s">
        <v>22</v>
      </c>
      <c r="O35" s="15" t="s">
        <v>892</v>
      </c>
      <c r="P35" s="15" t="s">
        <v>24</v>
      </c>
      <c r="Q35" s="16">
        <v>0.0</v>
      </c>
      <c r="R35" s="16">
        <v>0.5</v>
      </c>
      <c r="S35" s="16">
        <v>0.4</v>
      </c>
      <c r="T35" s="17">
        <v>45480.0</v>
      </c>
      <c r="U35" s="18">
        <v>1.6</v>
      </c>
      <c r="V35" s="15" t="s">
        <v>25</v>
      </c>
      <c r="W35" s="19">
        <f t="shared" si="1"/>
        <v>-0.4</v>
      </c>
      <c r="X35" s="19">
        <f t="shared" si="4"/>
        <v>-0.0827</v>
      </c>
      <c r="Z35" s="29"/>
    </row>
    <row r="36">
      <c r="A36" s="8">
        <f t="shared" si="3"/>
        <v>35</v>
      </c>
      <c r="B36" s="8" t="s">
        <v>131</v>
      </c>
      <c r="C36" s="8" t="s">
        <v>19</v>
      </c>
      <c r="D36" s="8">
        <v>74.0</v>
      </c>
      <c r="E36" s="8"/>
      <c r="F36" s="8" t="s">
        <v>5456</v>
      </c>
      <c r="G36" s="8">
        <v>13.0</v>
      </c>
      <c r="H36" s="8">
        <v>7.0</v>
      </c>
      <c r="I36" s="111">
        <f>12/(13*2)</f>
        <v>0.4615384615</v>
      </c>
      <c r="J36" s="8" t="s">
        <v>1479</v>
      </c>
      <c r="K36" s="8" t="s">
        <v>1480</v>
      </c>
      <c r="L36" s="8">
        <v>1.0</v>
      </c>
      <c r="M36" s="8" t="s">
        <v>2380</v>
      </c>
      <c r="N36" s="8" t="s">
        <v>22</v>
      </c>
      <c r="O36" s="8" t="s">
        <v>892</v>
      </c>
      <c r="P36" s="8" t="s">
        <v>24</v>
      </c>
      <c r="Q36" s="9">
        <v>0.0</v>
      </c>
      <c r="R36" s="9">
        <v>0.5</v>
      </c>
      <c r="S36" s="9">
        <v>0.5</v>
      </c>
      <c r="T36" s="10">
        <v>45480.0</v>
      </c>
      <c r="U36" s="11">
        <v>2.2</v>
      </c>
      <c r="V36" s="8" t="s">
        <v>70</v>
      </c>
      <c r="W36" s="12">
        <f t="shared" si="1"/>
        <v>0</v>
      </c>
      <c r="X36" s="12">
        <f t="shared" si="4"/>
        <v>-0.0827</v>
      </c>
      <c r="Z36" s="30"/>
    </row>
    <row r="37">
      <c r="A37" s="15">
        <f t="shared" si="3"/>
        <v>36</v>
      </c>
      <c r="B37" s="15" t="s">
        <v>26</v>
      </c>
      <c r="C37" s="15" t="s">
        <v>19</v>
      </c>
      <c r="D37" s="15"/>
      <c r="E37" s="15"/>
      <c r="F37" s="15" t="s">
        <v>5457</v>
      </c>
      <c r="G37" s="15" t="s">
        <v>5553</v>
      </c>
      <c r="H37" s="15" t="s">
        <v>5553</v>
      </c>
      <c r="I37" s="15" t="s">
        <v>1479</v>
      </c>
      <c r="J37" s="15" t="s">
        <v>1479</v>
      </c>
      <c r="K37" s="15" t="s">
        <v>1477</v>
      </c>
      <c r="L37" s="15">
        <v>0.0</v>
      </c>
      <c r="M37" s="15" t="s">
        <v>174</v>
      </c>
      <c r="N37" s="15" t="s">
        <v>22</v>
      </c>
      <c r="O37" s="15" t="s">
        <v>894</v>
      </c>
      <c r="P37" s="15" t="s">
        <v>1803</v>
      </c>
      <c r="Q37" s="16">
        <v>-0.5</v>
      </c>
      <c r="R37" s="16">
        <v>0.25</v>
      </c>
      <c r="S37" s="16">
        <v>0.25</v>
      </c>
      <c r="T37" s="17">
        <v>45480.0</v>
      </c>
      <c r="U37" s="18">
        <v>1.925</v>
      </c>
      <c r="V37" s="15" t="s">
        <v>33</v>
      </c>
      <c r="W37" s="19">
        <f t="shared" si="1"/>
        <v>0.23125</v>
      </c>
      <c r="X37" s="19">
        <f t="shared" si="4"/>
        <v>0.14855</v>
      </c>
      <c r="Z37" s="30"/>
    </row>
    <row r="38">
      <c r="A38" s="8">
        <f t="shared" si="3"/>
        <v>37</v>
      </c>
      <c r="B38" s="8" t="s">
        <v>4225</v>
      </c>
      <c r="C38" s="8" t="s">
        <v>40</v>
      </c>
      <c r="D38" s="8">
        <v>81.0</v>
      </c>
      <c r="E38" s="8">
        <v>2.0</v>
      </c>
      <c r="F38" s="8" t="s">
        <v>5458</v>
      </c>
      <c r="G38" s="8">
        <v>8.0</v>
      </c>
      <c r="H38" s="8">
        <v>1.0</v>
      </c>
      <c r="I38" s="111">
        <f>15/(17*2)</f>
        <v>0.4411764706</v>
      </c>
      <c r="J38" s="8" t="s">
        <v>1479</v>
      </c>
      <c r="K38" s="8" t="s">
        <v>1474</v>
      </c>
      <c r="L38" s="8">
        <v>0.0</v>
      </c>
      <c r="M38" s="8" t="s">
        <v>78</v>
      </c>
      <c r="N38" s="8" t="s">
        <v>22</v>
      </c>
      <c r="O38" s="8" t="s">
        <v>225</v>
      </c>
      <c r="P38" s="8" t="s">
        <v>24</v>
      </c>
      <c r="Q38" s="9">
        <v>0.25</v>
      </c>
      <c r="R38" s="9">
        <v>0.5</v>
      </c>
      <c r="S38" s="9">
        <v>0.5</v>
      </c>
      <c r="T38" s="10">
        <v>45480.0</v>
      </c>
      <c r="U38" s="11">
        <v>1.825</v>
      </c>
      <c r="V38" s="8" t="s">
        <v>30</v>
      </c>
      <c r="W38" s="12">
        <f t="shared" si="1"/>
        <v>0.20625</v>
      </c>
      <c r="X38" s="12">
        <f t="shared" si="4"/>
        <v>0.3548</v>
      </c>
      <c r="Z38" s="30"/>
    </row>
    <row r="39">
      <c r="A39" s="15">
        <f t="shared" si="3"/>
        <v>38</v>
      </c>
      <c r="B39" s="15" t="s">
        <v>129</v>
      </c>
      <c r="C39" s="15" t="s">
        <v>40</v>
      </c>
      <c r="D39" s="15">
        <v>43.0</v>
      </c>
      <c r="E39" s="15">
        <v>3.0</v>
      </c>
      <c r="F39" s="15" t="s">
        <v>5459</v>
      </c>
      <c r="G39" s="15">
        <v>10.0</v>
      </c>
      <c r="H39" s="15">
        <v>6.0</v>
      </c>
      <c r="I39" s="110">
        <v>0.59</v>
      </c>
      <c r="J39" s="15" t="s">
        <v>1473</v>
      </c>
      <c r="K39" s="15" t="s">
        <v>1480</v>
      </c>
      <c r="L39" s="15">
        <v>0.0</v>
      </c>
      <c r="M39" s="15" t="s">
        <v>84</v>
      </c>
      <c r="N39" s="15" t="s">
        <v>22</v>
      </c>
      <c r="O39" s="15" t="s">
        <v>892</v>
      </c>
      <c r="P39" s="15" t="s">
        <v>24</v>
      </c>
      <c r="Q39" s="16">
        <v>0.0</v>
      </c>
      <c r="R39" s="16">
        <v>0.25</v>
      </c>
      <c r="S39" s="16">
        <v>0.25</v>
      </c>
      <c r="T39" s="17">
        <v>45480.0</v>
      </c>
      <c r="U39" s="18">
        <v>1.725</v>
      </c>
      <c r="V39" s="15" t="s">
        <v>33</v>
      </c>
      <c r="W39" s="19">
        <f t="shared" si="1"/>
        <v>0.18125</v>
      </c>
      <c r="X39" s="19">
        <f t="shared" si="4"/>
        <v>0.53605</v>
      </c>
      <c r="Z39" s="30"/>
    </row>
    <row r="40">
      <c r="A40" s="8">
        <f t="shared" si="3"/>
        <v>39</v>
      </c>
      <c r="B40" s="8" t="s">
        <v>129</v>
      </c>
      <c r="C40" s="8" t="s">
        <v>40</v>
      </c>
      <c r="D40" s="8">
        <v>65.0</v>
      </c>
      <c r="E40" s="8">
        <v>3.0</v>
      </c>
      <c r="F40" s="8" t="s">
        <v>5459</v>
      </c>
      <c r="G40" s="8">
        <v>10.0</v>
      </c>
      <c r="H40" s="8">
        <v>6.0</v>
      </c>
      <c r="I40" s="111">
        <v>0.59</v>
      </c>
      <c r="J40" s="8" t="s">
        <v>1479</v>
      </c>
      <c r="K40" s="8" t="s">
        <v>1480</v>
      </c>
      <c r="L40" s="8">
        <v>0.0</v>
      </c>
      <c r="M40" s="8" t="s">
        <v>84</v>
      </c>
      <c r="N40" s="8" t="s">
        <v>22</v>
      </c>
      <c r="O40" s="8" t="s">
        <v>892</v>
      </c>
      <c r="P40" s="8" t="s">
        <v>24</v>
      </c>
      <c r="Q40" s="9">
        <v>0.0</v>
      </c>
      <c r="R40" s="9">
        <v>0.24</v>
      </c>
      <c r="S40" s="9">
        <v>0.24</v>
      </c>
      <c r="T40" s="10">
        <v>45480.0</v>
      </c>
      <c r="U40" s="11">
        <v>2.075</v>
      </c>
      <c r="V40" s="8" t="s">
        <v>25</v>
      </c>
      <c r="W40" s="12">
        <f t="shared" si="1"/>
        <v>-0.24</v>
      </c>
      <c r="X40" s="12">
        <f t="shared" si="4"/>
        <v>0.29605</v>
      </c>
      <c r="Z40" s="30"/>
    </row>
    <row r="41">
      <c r="A41" s="15">
        <f t="shared" si="3"/>
        <v>40</v>
      </c>
      <c r="B41" s="15" t="s">
        <v>129</v>
      </c>
      <c r="C41" s="15" t="s">
        <v>40</v>
      </c>
      <c r="D41" s="15">
        <v>85.0</v>
      </c>
      <c r="E41" s="15"/>
      <c r="F41" s="15" t="s">
        <v>5460</v>
      </c>
      <c r="G41" s="15"/>
      <c r="H41" s="15"/>
      <c r="I41" s="110"/>
      <c r="J41" s="15" t="s">
        <v>1473</v>
      </c>
      <c r="K41" s="15" t="s">
        <v>1474</v>
      </c>
      <c r="L41" s="15">
        <v>-2.0</v>
      </c>
      <c r="M41" s="15" t="s">
        <v>84</v>
      </c>
      <c r="N41" s="15" t="s">
        <v>22</v>
      </c>
      <c r="O41" s="15" t="s">
        <v>225</v>
      </c>
      <c r="P41" s="15" t="s">
        <v>24</v>
      </c>
      <c r="Q41" s="16">
        <v>0.5</v>
      </c>
      <c r="R41" s="16">
        <v>0.25</v>
      </c>
      <c r="S41" s="16">
        <v>0.25</v>
      </c>
      <c r="T41" s="17">
        <v>45480.0</v>
      </c>
      <c r="U41" s="18">
        <v>1.725</v>
      </c>
      <c r="V41" s="15" t="s">
        <v>33</v>
      </c>
      <c r="W41" s="19">
        <f t="shared" si="1"/>
        <v>0.18125</v>
      </c>
      <c r="X41" s="19">
        <f t="shared" si="4"/>
        <v>0.4773</v>
      </c>
      <c r="Z41" s="30"/>
    </row>
    <row r="42">
      <c r="A42" s="8">
        <f t="shared" si="3"/>
        <v>41</v>
      </c>
      <c r="B42" s="161" t="s">
        <v>129</v>
      </c>
      <c r="C42" s="148" t="s">
        <v>40</v>
      </c>
      <c r="D42" s="148">
        <v>85.0</v>
      </c>
      <c r="E42" s="134"/>
      <c r="F42" s="32" t="s">
        <v>5461</v>
      </c>
      <c r="G42" s="134"/>
      <c r="H42" s="134"/>
      <c r="I42" s="171"/>
      <c r="J42" s="148" t="s">
        <v>1473</v>
      </c>
      <c r="K42" s="32" t="s">
        <v>1474</v>
      </c>
      <c r="L42" s="148">
        <v>-2.0</v>
      </c>
      <c r="M42" s="148" t="s">
        <v>84</v>
      </c>
      <c r="N42" s="148" t="s">
        <v>22</v>
      </c>
      <c r="O42" s="148" t="s">
        <v>225</v>
      </c>
      <c r="P42" s="148" t="s">
        <v>24</v>
      </c>
      <c r="Q42" s="33">
        <v>0.25</v>
      </c>
      <c r="R42" s="159">
        <v>0.25</v>
      </c>
      <c r="S42" s="159">
        <v>0.25</v>
      </c>
      <c r="T42" s="172">
        <v>45480.0</v>
      </c>
      <c r="U42" s="35">
        <v>2.1</v>
      </c>
      <c r="V42" s="8" t="s">
        <v>30</v>
      </c>
      <c r="W42" s="12">
        <f t="shared" si="1"/>
        <v>0.1375</v>
      </c>
      <c r="X42" s="12">
        <f t="shared" si="4"/>
        <v>0.6148</v>
      </c>
      <c r="Z42" s="30"/>
    </row>
    <row r="43">
      <c r="A43" s="15">
        <f t="shared" si="3"/>
        <v>42</v>
      </c>
      <c r="B43" s="15" t="s">
        <v>4225</v>
      </c>
      <c r="C43" s="15" t="s">
        <v>19</v>
      </c>
      <c r="D43" s="15">
        <v>63.0</v>
      </c>
      <c r="E43" s="15">
        <v>5.0</v>
      </c>
      <c r="F43" s="15" t="s">
        <v>5462</v>
      </c>
      <c r="G43" s="15" t="s">
        <v>5553</v>
      </c>
      <c r="H43" s="15" t="s">
        <v>5553</v>
      </c>
      <c r="I43" s="112">
        <v>0.0</v>
      </c>
      <c r="J43" s="15" t="s">
        <v>1479</v>
      </c>
      <c r="K43" s="15" t="s">
        <v>1477</v>
      </c>
      <c r="L43" s="15">
        <v>0.0</v>
      </c>
      <c r="M43" s="15" t="s">
        <v>5463</v>
      </c>
      <c r="N43" s="15" t="s">
        <v>22</v>
      </c>
      <c r="O43" s="15" t="s">
        <v>894</v>
      </c>
      <c r="P43" s="15" t="s">
        <v>39</v>
      </c>
      <c r="Q43" s="16">
        <v>-0.5</v>
      </c>
      <c r="R43" s="16">
        <v>0.2</v>
      </c>
      <c r="S43" s="16">
        <v>0.2</v>
      </c>
      <c r="T43" s="17">
        <v>45482.0</v>
      </c>
      <c r="U43" s="18">
        <v>1.835</v>
      </c>
      <c r="V43" s="15" t="s">
        <v>25</v>
      </c>
      <c r="W43" s="19">
        <f t="shared" si="1"/>
        <v>-0.2</v>
      </c>
      <c r="X43" s="19">
        <f t="shared" si="4"/>
        <v>0.4148</v>
      </c>
      <c r="Z43" s="30"/>
    </row>
    <row r="44">
      <c r="A44" s="8">
        <f t="shared" si="3"/>
        <v>43</v>
      </c>
      <c r="B44" s="8" t="s">
        <v>1915</v>
      </c>
      <c r="C44" s="8" t="s">
        <v>19</v>
      </c>
      <c r="D44" s="8">
        <v>0.0</v>
      </c>
      <c r="E44" s="8">
        <v>13.0</v>
      </c>
      <c r="F44" s="8" t="s">
        <v>5464</v>
      </c>
      <c r="G44" s="8" t="s">
        <v>5553</v>
      </c>
      <c r="H44" s="8" t="s">
        <v>5553</v>
      </c>
      <c r="I44" s="8" t="s">
        <v>1</v>
      </c>
      <c r="J44" s="8" t="s">
        <v>1479</v>
      </c>
      <c r="K44" s="8" t="s">
        <v>1474</v>
      </c>
      <c r="L44" s="8">
        <v>0.0</v>
      </c>
      <c r="M44" s="8" t="s">
        <v>28</v>
      </c>
      <c r="N44" s="8" t="s">
        <v>598</v>
      </c>
      <c r="O44" s="8" t="s">
        <v>225</v>
      </c>
      <c r="P44" s="8" t="s">
        <v>39</v>
      </c>
      <c r="Q44" s="9">
        <v>1.0</v>
      </c>
      <c r="R44" s="9">
        <v>0.25</v>
      </c>
      <c r="S44" s="9">
        <v>0.25</v>
      </c>
      <c r="T44" s="10">
        <v>45482.0</v>
      </c>
      <c r="U44" s="11">
        <v>1.775</v>
      </c>
      <c r="V44" s="8" t="s">
        <v>33</v>
      </c>
      <c r="W44" s="12">
        <f t="shared" si="1"/>
        <v>0.19375</v>
      </c>
      <c r="X44" s="12">
        <f t="shared" si="4"/>
        <v>0.60855</v>
      </c>
      <c r="Z44" s="30"/>
    </row>
    <row r="45">
      <c r="A45" s="15">
        <f t="shared" si="3"/>
        <v>44</v>
      </c>
      <c r="B45" s="15" t="s">
        <v>1915</v>
      </c>
      <c r="C45" s="15" t="s">
        <v>19</v>
      </c>
      <c r="D45" s="15">
        <v>0.0</v>
      </c>
      <c r="E45" s="15">
        <v>13.0</v>
      </c>
      <c r="F45" s="15" t="s">
        <v>5465</v>
      </c>
      <c r="G45" s="15" t="s">
        <v>5553</v>
      </c>
      <c r="H45" s="15" t="s">
        <v>5553</v>
      </c>
      <c r="I45" s="15" t="s">
        <v>1</v>
      </c>
      <c r="J45" s="15" t="s">
        <v>1479</v>
      </c>
      <c r="K45" s="15" t="s">
        <v>1474</v>
      </c>
      <c r="L45" s="15">
        <v>0.0</v>
      </c>
      <c r="M45" s="15" t="s">
        <v>28</v>
      </c>
      <c r="N45" s="15" t="s">
        <v>598</v>
      </c>
      <c r="O45" s="15" t="s">
        <v>225</v>
      </c>
      <c r="P45" s="15" t="s">
        <v>39</v>
      </c>
      <c r="Q45" s="16">
        <v>4.0</v>
      </c>
      <c r="R45" s="16">
        <v>0.25</v>
      </c>
      <c r="S45" s="16">
        <v>0.25</v>
      </c>
      <c r="T45" s="17">
        <v>45482.0</v>
      </c>
      <c r="U45" s="18">
        <v>1.85</v>
      </c>
      <c r="V45" s="15" t="s">
        <v>25</v>
      </c>
      <c r="W45" s="19">
        <f t="shared" si="1"/>
        <v>-0.25</v>
      </c>
      <c r="X45" s="19">
        <f t="shared" si="4"/>
        <v>0.35855</v>
      </c>
    </row>
    <row r="46">
      <c r="A46" s="8">
        <f t="shared" si="3"/>
        <v>45</v>
      </c>
      <c r="B46" s="8" t="s">
        <v>1915</v>
      </c>
      <c r="C46" s="8" t="s">
        <v>19</v>
      </c>
      <c r="D46" s="8">
        <v>0.0</v>
      </c>
      <c r="E46" s="8">
        <v>13.0</v>
      </c>
      <c r="F46" s="8" t="s">
        <v>5466</v>
      </c>
      <c r="G46" s="8" t="s">
        <v>5553</v>
      </c>
      <c r="H46" s="8" t="s">
        <v>5553</v>
      </c>
      <c r="I46" s="8" t="s">
        <v>1</v>
      </c>
      <c r="J46" s="8" t="s">
        <v>1479</v>
      </c>
      <c r="K46" s="8" t="s">
        <v>1474</v>
      </c>
      <c r="L46" s="8">
        <v>0.0</v>
      </c>
      <c r="M46" s="8" t="s">
        <v>28</v>
      </c>
      <c r="N46" s="8" t="s">
        <v>598</v>
      </c>
      <c r="O46" s="8" t="s">
        <v>225</v>
      </c>
      <c r="P46" s="8" t="s">
        <v>39</v>
      </c>
      <c r="Q46" s="9">
        <v>1.0</v>
      </c>
      <c r="R46" s="9">
        <v>0.25</v>
      </c>
      <c r="S46" s="9">
        <v>0.25</v>
      </c>
      <c r="T46" s="10">
        <v>45482.0</v>
      </c>
      <c r="U46" s="11">
        <v>1.8</v>
      </c>
      <c r="V46" s="8" t="s">
        <v>25</v>
      </c>
      <c r="W46" s="12">
        <f t="shared" si="1"/>
        <v>-0.25</v>
      </c>
      <c r="X46" s="12">
        <f t="shared" si="4"/>
        <v>0.10855</v>
      </c>
    </row>
    <row r="47">
      <c r="A47" s="15">
        <f t="shared" si="3"/>
        <v>46</v>
      </c>
      <c r="B47" s="15" t="s">
        <v>18</v>
      </c>
      <c r="C47" s="15" t="s">
        <v>40</v>
      </c>
      <c r="D47" s="15">
        <v>65.0</v>
      </c>
      <c r="E47" s="15">
        <v>5.0</v>
      </c>
      <c r="F47" s="15" t="s">
        <v>5467</v>
      </c>
      <c r="G47" s="15" t="s">
        <v>5553</v>
      </c>
      <c r="H47" s="15" t="s">
        <v>5553</v>
      </c>
      <c r="I47" s="15" t="s">
        <v>1479</v>
      </c>
      <c r="J47" s="15" t="s">
        <v>1479</v>
      </c>
      <c r="K47" s="15" t="s">
        <v>1477</v>
      </c>
      <c r="L47" s="15">
        <v>2.0</v>
      </c>
      <c r="M47" s="15" t="s">
        <v>115</v>
      </c>
      <c r="N47" s="15" t="s">
        <v>22</v>
      </c>
      <c r="O47" s="15" t="s">
        <v>894</v>
      </c>
      <c r="P47" s="15" t="s">
        <v>24</v>
      </c>
      <c r="Q47" s="16">
        <v>-0.25</v>
      </c>
      <c r="R47" s="16">
        <v>0.25</v>
      </c>
      <c r="S47" s="16">
        <v>0.25</v>
      </c>
      <c r="T47" s="17">
        <v>45483.0</v>
      </c>
      <c r="U47" s="18">
        <v>1.8</v>
      </c>
      <c r="V47" s="15" t="s">
        <v>25</v>
      </c>
      <c r="W47" s="19">
        <f t="shared" si="1"/>
        <v>-0.25</v>
      </c>
      <c r="X47" s="19">
        <f t="shared" si="4"/>
        <v>-0.14145</v>
      </c>
    </row>
    <row r="48">
      <c r="A48" s="8">
        <f t="shared" si="3"/>
        <v>47</v>
      </c>
      <c r="B48" s="8" t="s">
        <v>18</v>
      </c>
      <c r="C48" s="8" t="s">
        <v>19</v>
      </c>
      <c r="D48" s="8">
        <v>69.0</v>
      </c>
      <c r="E48" s="8">
        <v>3.0</v>
      </c>
      <c r="F48" s="8" t="s">
        <v>5468</v>
      </c>
      <c r="G48" s="8" t="s">
        <v>5553</v>
      </c>
      <c r="H48" s="8" t="s">
        <v>5553</v>
      </c>
      <c r="I48" s="111">
        <v>0.0</v>
      </c>
      <c r="J48" s="8" t="s">
        <v>1473</v>
      </c>
      <c r="K48" s="8" t="s">
        <v>1480</v>
      </c>
      <c r="L48" s="8">
        <v>0.0</v>
      </c>
      <c r="M48" s="8" t="s">
        <v>5463</v>
      </c>
      <c r="N48" s="8" t="s">
        <v>22</v>
      </c>
      <c r="O48" s="8" t="s">
        <v>892</v>
      </c>
      <c r="P48" s="8" t="s">
        <v>1522</v>
      </c>
      <c r="Q48" s="9">
        <v>0.0</v>
      </c>
      <c r="R48" s="9">
        <v>0.25</v>
      </c>
      <c r="S48" s="9">
        <v>0.25</v>
      </c>
      <c r="T48" s="10">
        <v>45483.0</v>
      </c>
      <c r="U48" s="11">
        <v>1.9</v>
      </c>
      <c r="V48" s="8" t="s">
        <v>33</v>
      </c>
      <c r="W48" s="12">
        <f t="shared" si="1"/>
        <v>0.225</v>
      </c>
      <c r="X48" s="12">
        <f t="shared" si="4"/>
        <v>0.08355</v>
      </c>
    </row>
    <row r="49">
      <c r="A49" s="15">
        <f t="shared" si="3"/>
        <v>48</v>
      </c>
      <c r="B49" s="15" t="s">
        <v>4225</v>
      </c>
      <c r="C49" s="15" t="s">
        <v>19</v>
      </c>
      <c r="D49" s="15">
        <v>56.0</v>
      </c>
      <c r="E49" s="15">
        <v>5.0</v>
      </c>
      <c r="F49" s="95" t="s">
        <v>5469</v>
      </c>
      <c r="G49" s="15">
        <v>13.0</v>
      </c>
      <c r="H49" s="15">
        <v>3.0</v>
      </c>
      <c r="I49" s="110">
        <v>0.54</v>
      </c>
      <c r="J49" s="15" t="s">
        <v>1473</v>
      </c>
      <c r="K49" s="15" t="s">
        <v>1477</v>
      </c>
      <c r="L49" s="15">
        <v>-1.0</v>
      </c>
      <c r="M49" s="15" t="s">
        <v>463</v>
      </c>
      <c r="N49" s="15" t="s">
        <v>22</v>
      </c>
      <c r="O49" s="15" t="s">
        <v>894</v>
      </c>
      <c r="P49" s="15" t="s">
        <v>24</v>
      </c>
      <c r="Q49" s="16">
        <v>-0.75</v>
      </c>
      <c r="R49" s="16">
        <v>0.1</v>
      </c>
      <c r="S49" s="16">
        <v>0.1</v>
      </c>
      <c r="T49" s="17">
        <v>45484.0</v>
      </c>
      <c r="U49" s="18">
        <v>1.825</v>
      </c>
      <c r="V49" s="15" t="s">
        <v>25</v>
      </c>
      <c r="W49" s="19">
        <f t="shared" si="1"/>
        <v>-0.1</v>
      </c>
      <c r="X49" s="19">
        <f t="shared" si="4"/>
        <v>-0.01645</v>
      </c>
    </row>
    <row r="50">
      <c r="A50" s="8">
        <f t="shared" si="3"/>
        <v>49</v>
      </c>
      <c r="B50" s="8" t="s">
        <v>4225</v>
      </c>
      <c r="C50" s="8" t="s">
        <v>19</v>
      </c>
      <c r="D50" s="8">
        <v>0.0</v>
      </c>
      <c r="E50" s="8">
        <v>13.0</v>
      </c>
      <c r="F50" s="8" t="s">
        <v>5470</v>
      </c>
      <c r="G50" s="8">
        <v>15.0</v>
      </c>
      <c r="H50" s="8">
        <v>8.0</v>
      </c>
      <c r="I50" s="111">
        <v>0.466</v>
      </c>
      <c r="J50" s="8" t="s">
        <v>1473</v>
      </c>
      <c r="K50" s="8" t="s">
        <v>1474</v>
      </c>
      <c r="L50" s="8">
        <v>0.0</v>
      </c>
      <c r="M50" s="8" t="s">
        <v>463</v>
      </c>
      <c r="N50" s="8" t="s">
        <v>598</v>
      </c>
      <c r="O50" s="8" t="s">
        <v>225</v>
      </c>
      <c r="P50" s="8" t="s">
        <v>1851</v>
      </c>
      <c r="Q50" s="9">
        <v>0.25</v>
      </c>
      <c r="R50" s="9">
        <v>0.1</v>
      </c>
      <c r="S50" s="9">
        <v>0.1</v>
      </c>
      <c r="T50" s="10">
        <v>45485.0</v>
      </c>
      <c r="U50" s="11">
        <v>1.82</v>
      </c>
      <c r="V50" s="8" t="s">
        <v>25</v>
      </c>
      <c r="W50" s="12">
        <f t="shared" si="1"/>
        <v>-0.1</v>
      </c>
      <c r="X50" s="12">
        <f t="shared" si="4"/>
        <v>-0.11645</v>
      </c>
    </row>
    <row r="51">
      <c r="A51" s="15">
        <f t="shared" si="3"/>
        <v>50</v>
      </c>
      <c r="B51" s="15" t="s">
        <v>18</v>
      </c>
      <c r="C51" s="15" t="s">
        <v>19</v>
      </c>
      <c r="D51" s="15">
        <v>58.0</v>
      </c>
      <c r="E51" s="15">
        <v>5.0</v>
      </c>
      <c r="F51" s="15" t="s">
        <v>5471</v>
      </c>
      <c r="G51" s="15" t="s">
        <v>5553</v>
      </c>
      <c r="H51" s="15" t="s">
        <v>5553</v>
      </c>
      <c r="I51" s="15" t="s">
        <v>1479</v>
      </c>
      <c r="J51" s="15" t="s">
        <v>1473</v>
      </c>
      <c r="K51" s="15" t="s">
        <v>1477</v>
      </c>
      <c r="L51" s="15">
        <v>-1.0</v>
      </c>
      <c r="M51" s="15" t="s">
        <v>1006</v>
      </c>
      <c r="N51" s="15" t="s">
        <v>22</v>
      </c>
      <c r="O51" s="15" t="s">
        <v>894</v>
      </c>
      <c r="P51" s="15" t="s">
        <v>24</v>
      </c>
      <c r="Q51" s="16">
        <v>-0.25</v>
      </c>
      <c r="R51" s="16">
        <v>0.25</v>
      </c>
      <c r="S51" s="16">
        <v>0.25</v>
      </c>
      <c r="T51" s="17">
        <v>45485.0</v>
      </c>
      <c r="U51" s="18">
        <v>2.05</v>
      </c>
      <c r="V51" s="15" t="s">
        <v>4104</v>
      </c>
      <c r="W51" s="19">
        <f t="shared" si="1"/>
        <v>-0.125</v>
      </c>
      <c r="X51" s="19">
        <f t="shared" si="4"/>
        <v>-0.24145</v>
      </c>
      <c r="Y51" s="40"/>
      <c r="Z51" s="41" t="s">
        <v>125</v>
      </c>
      <c r="AA51" s="41" t="s">
        <v>126</v>
      </c>
      <c r="AB51" s="41" t="s">
        <v>45</v>
      </c>
    </row>
    <row r="52">
      <c r="A52" s="8">
        <f t="shared" si="3"/>
        <v>51</v>
      </c>
      <c r="B52" s="8" t="s">
        <v>18</v>
      </c>
      <c r="C52" s="8" t="s">
        <v>19</v>
      </c>
      <c r="D52" s="8">
        <v>60.0</v>
      </c>
      <c r="E52" s="8">
        <v>2.0</v>
      </c>
      <c r="F52" s="8" t="s">
        <v>5472</v>
      </c>
      <c r="G52" s="8" t="s">
        <v>5553</v>
      </c>
      <c r="H52" s="8" t="s">
        <v>5553</v>
      </c>
      <c r="I52" s="8" t="s">
        <v>1</v>
      </c>
      <c r="J52" s="8" t="s">
        <v>1479</v>
      </c>
      <c r="K52" s="8" t="s">
        <v>1474</v>
      </c>
      <c r="L52" s="8">
        <v>0.0</v>
      </c>
      <c r="M52" s="8" t="s">
        <v>28</v>
      </c>
      <c r="N52" s="8" t="s">
        <v>22</v>
      </c>
      <c r="O52" s="8" t="s">
        <v>225</v>
      </c>
      <c r="P52" s="8" t="s">
        <v>24</v>
      </c>
      <c r="Q52" s="9">
        <v>0.5</v>
      </c>
      <c r="R52" s="9">
        <v>0.5</v>
      </c>
      <c r="S52" s="9">
        <v>0.2</v>
      </c>
      <c r="T52" s="10">
        <v>45486.0</v>
      </c>
      <c r="U52" s="11">
        <v>1.7</v>
      </c>
      <c r="V52" s="8" t="s">
        <v>70</v>
      </c>
      <c r="W52" s="12">
        <f t="shared" si="1"/>
        <v>0</v>
      </c>
      <c r="X52" s="12">
        <f t="shared" si="4"/>
        <v>-0.24145</v>
      </c>
      <c r="Y52" s="41" t="s">
        <v>129</v>
      </c>
      <c r="Z52" s="45">
        <f t="shared" ref="Z52:Z58" si="5">SUMIF($B$2:$B$2982,Y52,$W$2:$W$2982)</f>
        <v>2.113156971</v>
      </c>
      <c r="AA52" s="45">
        <f t="shared" ref="AA52:AA58" si="6">SUMIF($B$2:$B$2982,Y52,$S$2:$S$2982)</f>
        <v>7.944567308</v>
      </c>
      <c r="AB52" s="46">
        <f t="shared" ref="AB52:AB58" si="7">Z52/AA52</f>
        <v>0.265987673</v>
      </c>
    </row>
    <row r="53">
      <c r="A53" s="15">
        <f t="shared" si="3"/>
        <v>52</v>
      </c>
      <c r="B53" s="36" t="s">
        <v>4225</v>
      </c>
      <c r="C53" s="37" t="s">
        <v>19</v>
      </c>
      <c r="D53" s="15">
        <v>65.0</v>
      </c>
      <c r="E53" s="15">
        <v>5.0</v>
      </c>
      <c r="F53" s="37" t="s">
        <v>5473</v>
      </c>
      <c r="G53" s="15">
        <v>4.0</v>
      </c>
      <c r="H53" s="15">
        <v>1.0</v>
      </c>
      <c r="I53" s="110">
        <v>0.54</v>
      </c>
      <c r="J53" s="15" t="s">
        <v>1473</v>
      </c>
      <c r="K53" s="15" t="s">
        <v>1477</v>
      </c>
      <c r="L53" s="15">
        <v>-1.0</v>
      </c>
      <c r="M53" s="15" t="s">
        <v>78</v>
      </c>
      <c r="N53" s="15" t="s">
        <v>22</v>
      </c>
      <c r="O53" s="15" t="s">
        <v>894</v>
      </c>
      <c r="P53" s="15" t="s">
        <v>39</v>
      </c>
      <c r="Q53" s="16">
        <v>-0.25</v>
      </c>
      <c r="R53" s="16">
        <v>0.2</v>
      </c>
      <c r="S53" s="16">
        <v>0.2</v>
      </c>
      <c r="T53" s="17">
        <v>45486.0</v>
      </c>
      <c r="U53" s="18">
        <v>1.875</v>
      </c>
      <c r="V53" s="37" t="s">
        <v>33</v>
      </c>
      <c r="W53" s="19">
        <f t="shared" si="1"/>
        <v>0.175</v>
      </c>
      <c r="X53" s="19">
        <f t="shared" si="4"/>
        <v>-0.06645</v>
      </c>
      <c r="Y53" s="41" t="s">
        <v>26</v>
      </c>
      <c r="Z53" s="45">
        <f t="shared" si="5"/>
        <v>1.855534856</v>
      </c>
      <c r="AA53" s="45">
        <f t="shared" si="6"/>
        <v>7.591105769</v>
      </c>
      <c r="AB53" s="46">
        <f t="shared" si="7"/>
        <v>0.2444353843</v>
      </c>
    </row>
    <row r="54">
      <c r="A54" s="8">
        <f t="shared" si="3"/>
        <v>53</v>
      </c>
      <c r="B54" s="8" t="s">
        <v>4225</v>
      </c>
      <c r="C54" s="47" t="s">
        <v>19</v>
      </c>
      <c r="D54" s="47">
        <v>66.0</v>
      </c>
      <c r="E54" s="8">
        <v>2.0</v>
      </c>
      <c r="F54" s="47" t="s">
        <v>5474</v>
      </c>
      <c r="G54" s="8" t="s">
        <v>5553</v>
      </c>
      <c r="H54" s="8" t="s">
        <v>5553</v>
      </c>
      <c r="I54" s="8" t="s">
        <v>1</v>
      </c>
      <c r="J54" s="47" t="s">
        <v>1479</v>
      </c>
      <c r="K54" s="47" t="s">
        <v>1474</v>
      </c>
      <c r="L54" s="47">
        <v>0.0</v>
      </c>
      <c r="M54" s="47" t="s">
        <v>28</v>
      </c>
      <c r="N54" s="47" t="s">
        <v>22</v>
      </c>
      <c r="O54" s="47" t="s">
        <v>225</v>
      </c>
      <c r="P54" s="8" t="s">
        <v>39</v>
      </c>
      <c r="Q54" s="26">
        <v>0.25</v>
      </c>
      <c r="R54" s="26">
        <v>0.2</v>
      </c>
      <c r="S54" s="26">
        <v>0.2</v>
      </c>
      <c r="T54" s="173">
        <v>45486.0</v>
      </c>
      <c r="U54" s="174">
        <v>1.1</v>
      </c>
      <c r="V54" s="47" t="s">
        <v>30</v>
      </c>
      <c r="W54" s="12">
        <f t="shared" si="1"/>
        <v>0.01</v>
      </c>
      <c r="X54" s="12">
        <f t="shared" si="4"/>
        <v>-0.05645</v>
      </c>
      <c r="Y54" s="41" t="s">
        <v>4225</v>
      </c>
      <c r="Z54" s="45">
        <f t="shared" si="5"/>
        <v>0.5085</v>
      </c>
      <c r="AA54" s="45">
        <f t="shared" si="6"/>
        <v>9.75</v>
      </c>
      <c r="AB54" s="46">
        <f t="shared" si="7"/>
        <v>0.05215384615</v>
      </c>
    </row>
    <row r="55">
      <c r="A55" s="15">
        <f t="shared" si="3"/>
        <v>54</v>
      </c>
      <c r="B55" s="15" t="s">
        <v>18</v>
      </c>
      <c r="C55" s="15" t="s">
        <v>19</v>
      </c>
      <c r="D55" s="15">
        <v>30.0</v>
      </c>
      <c r="E55" s="15">
        <v>3.0</v>
      </c>
      <c r="F55" s="15" t="s">
        <v>5475</v>
      </c>
      <c r="G55" s="15">
        <v>5.0</v>
      </c>
      <c r="H55" s="15">
        <v>1.0</v>
      </c>
      <c r="I55" s="112">
        <v>0.86</v>
      </c>
      <c r="J55" s="15" t="s">
        <v>1473</v>
      </c>
      <c r="K55" s="15" t="s">
        <v>1480</v>
      </c>
      <c r="L55" s="15">
        <v>0.0</v>
      </c>
      <c r="M55" s="15" t="s">
        <v>635</v>
      </c>
      <c r="N55" s="15" t="s">
        <v>22</v>
      </c>
      <c r="O55" s="15" t="s">
        <v>892</v>
      </c>
      <c r="P55" s="15" t="s">
        <v>24</v>
      </c>
      <c r="Q55" s="16">
        <v>0.0</v>
      </c>
      <c r="R55" s="16">
        <v>0.5</v>
      </c>
      <c r="S55" s="16">
        <v>0.2</v>
      </c>
      <c r="T55" s="55">
        <v>45486.0</v>
      </c>
      <c r="U55" s="18">
        <v>1.8</v>
      </c>
      <c r="V55" s="15" t="s">
        <v>33</v>
      </c>
      <c r="W55" s="19">
        <f t="shared" si="1"/>
        <v>0.16</v>
      </c>
      <c r="X55" s="19">
        <f t="shared" si="4"/>
        <v>0.10355</v>
      </c>
      <c r="Y55" s="41" t="s">
        <v>137</v>
      </c>
      <c r="Z55" s="45">
        <f t="shared" si="5"/>
        <v>0.0625</v>
      </c>
      <c r="AA55" s="45">
        <f t="shared" si="6"/>
        <v>3.48</v>
      </c>
      <c r="AB55" s="46">
        <f t="shared" si="7"/>
        <v>0.01795977011</v>
      </c>
    </row>
    <row r="56">
      <c r="A56" s="8">
        <f t="shared" si="3"/>
        <v>55</v>
      </c>
      <c r="B56" s="8" t="s">
        <v>18</v>
      </c>
      <c r="C56" s="8" t="s">
        <v>40</v>
      </c>
      <c r="D56" s="8">
        <v>35.0</v>
      </c>
      <c r="E56" s="8">
        <v>3.0</v>
      </c>
      <c r="F56" s="95" t="s">
        <v>5476</v>
      </c>
      <c r="G56" s="8">
        <v>5.0</v>
      </c>
      <c r="H56" s="8">
        <v>2.0</v>
      </c>
      <c r="I56" s="109">
        <v>0.0815</v>
      </c>
      <c r="J56" s="8" t="s">
        <v>1473</v>
      </c>
      <c r="K56" s="8" t="s">
        <v>1480</v>
      </c>
      <c r="L56" s="8">
        <v>0.0</v>
      </c>
      <c r="M56" s="8" t="s">
        <v>1085</v>
      </c>
      <c r="N56" s="8" t="s">
        <v>22</v>
      </c>
      <c r="O56" s="8" t="s">
        <v>892</v>
      </c>
      <c r="P56" s="8" t="s">
        <v>24</v>
      </c>
      <c r="Q56" s="9">
        <v>0.0</v>
      </c>
      <c r="R56" s="9">
        <v>0.25</v>
      </c>
      <c r="S56" s="9">
        <v>0.25</v>
      </c>
      <c r="T56" s="54">
        <v>45486.0</v>
      </c>
      <c r="U56" s="11">
        <v>1.95</v>
      </c>
      <c r="V56" s="8" t="s">
        <v>70</v>
      </c>
      <c r="W56" s="12">
        <f t="shared" si="1"/>
        <v>0</v>
      </c>
      <c r="X56" s="12">
        <f t="shared" si="4"/>
        <v>0.10355</v>
      </c>
      <c r="Y56" s="41" t="s">
        <v>18</v>
      </c>
      <c r="Z56" s="45">
        <f t="shared" si="5"/>
        <v>0.80375</v>
      </c>
      <c r="AA56" s="45">
        <f t="shared" si="6"/>
        <v>7.065</v>
      </c>
      <c r="AB56" s="46">
        <f t="shared" si="7"/>
        <v>0.1137650389</v>
      </c>
    </row>
    <row r="57">
      <c r="A57" s="15">
        <f t="shared" si="3"/>
        <v>56</v>
      </c>
      <c r="B57" s="15" t="s">
        <v>18</v>
      </c>
      <c r="C57" s="15" t="s">
        <v>40</v>
      </c>
      <c r="D57" s="15">
        <v>63.0</v>
      </c>
      <c r="E57" s="15">
        <v>5.0</v>
      </c>
      <c r="F57" s="15" t="s">
        <v>5477</v>
      </c>
      <c r="G57" s="15" t="s">
        <v>5553</v>
      </c>
      <c r="H57" s="15" t="s">
        <v>5553</v>
      </c>
      <c r="I57" s="15" t="s">
        <v>1</v>
      </c>
      <c r="J57" s="15" t="s">
        <v>1473</v>
      </c>
      <c r="K57" s="15" t="s">
        <v>1480</v>
      </c>
      <c r="L57" s="15">
        <v>0.0</v>
      </c>
      <c r="M57" s="15" t="s">
        <v>28</v>
      </c>
      <c r="N57" s="15" t="s">
        <v>22</v>
      </c>
      <c r="O57" s="15" t="s">
        <v>894</v>
      </c>
      <c r="P57" s="15" t="s">
        <v>24</v>
      </c>
      <c r="Q57" s="16">
        <v>-0.25</v>
      </c>
      <c r="R57" s="16">
        <v>0.5</v>
      </c>
      <c r="S57" s="16">
        <v>0.5</v>
      </c>
      <c r="T57" s="17">
        <v>45486.0</v>
      </c>
      <c r="U57" s="18">
        <v>1.865</v>
      </c>
      <c r="V57" s="15" t="s">
        <v>4104</v>
      </c>
      <c r="W57" s="19">
        <f t="shared" si="1"/>
        <v>-0.25</v>
      </c>
      <c r="X57" s="19">
        <f t="shared" si="4"/>
        <v>-0.14645</v>
      </c>
      <c r="Y57" s="41" t="s">
        <v>131</v>
      </c>
      <c r="Z57" s="45">
        <f t="shared" si="5"/>
        <v>0.4</v>
      </c>
      <c r="AA57" s="45">
        <f t="shared" si="6"/>
        <v>1</v>
      </c>
      <c r="AB57" s="46">
        <f t="shared" si="7"/>
        <v>0.4</v>
      </c>
    </row>
    <row r="58">
      <c r="A58" s="8">
        <f t="shared" si="3"/>
        <v>57</v>
      </c>
      <c r="B58" s="8" t="s">
        <v>4225</v>
      </c>
      <c r="C58" s="8" t="s">
        <v>19</v>
      </c>
      <c r="D58" s="8">
        <v>62.0</v>
      </c>
      <c r="E58" s="8">
        <v>5.0</v>
      </c>
      <c r="F58" s="8" t="s">
        <v>5478</v>
      </c>
      <c r="G58" s="8">
        <v>1.0</v>
      </c>
      <c r="H58" s="8">
        <v>4.0</v>
      </c>
      <c r="I58" s="109">
        <v>0.622</v>
      </c>
      <c r="J58" s="8" t="s">
        <v>1479</v>
      </c>
      <c r="K58" s="8" t="s">
        <v>1477</v>
      </c>
      <c r="L58" s="8">
        <v>-1.0</v>
      </c>
      <c r="M58" s="8" t="s">
        <v>1006</v>
      </c>
      <c r="N58" s="8" t="s">
        <v>22</v>
      </c>
      <c r="O58" s="8" t="s">
        <v>894</v>
      </c>
      <c r="P58" s="8" t="s">
        <v>24</v>
      </c>
      <c r="Q58" s="9">
        <v>-0.25</v>
      </c>
      <c r="R58" s="9">
        <v>0.2</v>
      </c>
      <c r="S58" s="9">
        <v>0.2</v>
      </c>
      <c r="T58" s="10">
        <v>45486.0</v>
      </c>
      <c r="U58" s="11">
        <v>1.69</v>
      </c>
      <c r="V58" s="8" t="s">
        <v>33</v>
      </c>
      <c r="W58" s="12">
        <f t="shared" si="1"/>
        <v>0.138</v>
      </c>
      <c r="X58" s="12">
        <f t="shared" si="4"/>
        <v>-0.00845</v>
      </c>
      <c r="Y58" s="41" t="s">
        <v>1915</v>
      </c>
      <c r="Z58" s="45">
        <f t="shared" si="5"/>
        <v>-1.05625</v>
      </c>
      <c r="AA58" s="45">
        <f t="shared" si="6"/>
        <v>1.5</v>
      </c>
      <c r="AB58" s="46">
        <f t="shared" si="7"/>
        <v>-0.7041666667</v>
      </c>
    </row>
    <row r="59">
      <c r="A59" s="15">
        <f t="shared" si="3"/>
        <v>58</v>
      </c>
      <c r="B59" s="15" t="s">
        <v>18</v>
      </c>
      <c r="C59" s="15" t="s">
        <v>19</v>
      </c>
      <c r="D59" s="15">
        <v>55.0</v>
      </c>
      <c r="E59" s="15">
        <v>5.0</v>
      </c>
      <c r="F59" s="15" t="s">
        <v>5479</v>
      </c>
      <c r="G59" s="15">
        <v>3.0</v>
      </c>
      <c r="H59" s="15">
        <v>1.0</v>
      </c>
      <c r="I59" s="112">
        <v>0.3333</v>
      </c>
      <c r="J59" s="15" t="s">
        <v>1473</v>
      </c>
      <c r="K59" s="15" t="s">
        <v>1477</v>
      </c>
      <c r="L59" s="15">
        <v>-1.0</v>
      </c>
      <c r="M59" s="15" t="s">
        <v>82</v>
      </c>
      <c r="N59" s="15" t="s">
        <v>22</v>
      </c>
      <c r="O59" s="15" t="s">
        <v>894</v>
      </c>
      <c r="P59" s="15" t="s">
        <v>24</v>
      </c>
      <c r="Q59" s="16">
        <v>-0.5</v>
      </c>
      <c r="R59" s="16">
        <v>0.1</v>
      </c>
      <c r="S59" s="16">
        <v>0.1</v>
      </c>
      <c r="T59" s="17">
        <v>45486.0</v>
      </c>
      <c r="U59" s="18">
        <v>2.075</v>
      </c>
      <c r="V59" s="15" t="s">
        <v>33</v>
      </c>
      <c r="W59" s="19">
        <f t="shared" si="1"/>
        <v>0.1075</v>
      </c>
      <c r="X59" s="49">
        <f t="shared" si="4"/>
        <v>0.09905</v>
      </c>
    </row>
    <row r="60">
      <c r="A60" s="8">
        <f t="shared" si="3"/>
        <v>59</v>
      </c>
      <c r="B60" s="8" t="s">
        <v>18</v>
      </c>
      <c r="C60" s="8" t="s">
        <v>19</v>
      </c>
      <c r="D60" s="8">
        <v>60.0</v>
      </c>
      <c r="E60" s="8">
        <v>5.0</v>
      </c>
      <c r="F60" s="8" t="s">
        <v>5480</v>
      </c>
      <c r="G60" s="8">
        <v>3.0</v>
      </c>
      <c r="H60" s="8">
        <v>1.0</v>
      </c>
      <c r="I60" s="109">
        <v>0.3333</v>
      </c>
      <c r="J60" s="8" t="s">
        <v>1473</v>
      </c>
      <c r="K60" s="8" t="s">
        <v>1477</v>
      </c>
      <c r="L60" s="8">
        <v>-1.0</v>
      </c>
      <c r="M60" s="8" t="s">
        <v>82</v>
      </c>
      <c r="N60" s="8" t="s">
        <v>22</v>
      </c>
      <c r="O60" s="8" t="s">
        <v>894</v>
      </c>
      <c r="P60" s="8" t="s">
        <v>24</v>
      </c>
      <c r="Q60" s="9">
        <v>0.25</v>
      </c>
      <c r="R60" s="9">
        <v>0.2</v>
      </c>
      <c r="S60" s="9">
        <v>0.2</v>
      </c>
      <c r="T60" s="10">
        <v>45486.0</v>
      </c>
      <c r="U60" s="11">
        <v>1.725</v>
      </c>
      <c r="V60" s="8" t="s">
        <v>33</v>
      </c>
      <c r="W60" s="12">
        <f t="shared" si="1"/>
        <v>0.145</v>
      </c>
      <c r="X60" s="48">
        <f t="shared" si="4"/>
        <v>0.24405</v>
      </c>
      <c r="Y60" s="100" t="s">
        <v>0</v>
      </c>
      <c r="Z60" s="101" t="s">
        <v>960</v>
      </c>
      <c r="AA60" s="102"/>
      <c r="AB60" s="103"/>
    </row>
    <row r="61">
      <c r="A61" s="15">
        <f t="shared" si="3"/>
        <v>60</v>
      </c>
      <c r="B61" s="15" t="s">
        <v>129</v>
      </c>
      <c r="C61" s="15" t="s">
        <v>40</v>
      </c>
      <c r="D61" s="15">
        <v>60.0</v>
      </c>
      <c r="E61" s="15">
        <v>3.0</v>
      </c>
      <c r="F61" s="15" t="s">
        <v>5481</v>
      </c>
      <c r="G61" s="15">
        <v>1.0</v>
      </c>
      <c r="H61" s="15">
        <v>1.0</v>
      </c>
      <c r="I61" s="15" t="s">
        <v>5554</v>
      </c>
      <c r="J61" s="15" t="s">
        <v>1473</v>
      </c>
      <c r="K61" s="15" t="s">
        <v>1480</v>
      </c>
      <c r="L61" s="15">
        <v>0.0</v>
      </c>
      <c r="M61" s="15" t="s">
        <v>768</v>
      </c>
      <c r="N61" s="15" t="s">
        <v>22</v>
      </c>
      <c r="O61" s="15" t="s">
        <v>941</v>
      </c>
      <c r="P61" s="15" t="s">
        <v>24</v>
      </c>
      <c r="Q61" s="16">
        <v>0.0</v>
      </c>
      <c r="R61" s="16">
        <v>0.25</v>
      </c>
      <c r="S61" s="16">
        <v>0.25</v>
      </c>
      <c r="T61" s="17">
        <v>45486.0</v>
      </c>
      <c r="U61" s="18">
        <v>2.25</v>
      </c>
      <c r="V61" s="15" t="s">
        <v>33</v>
      </c>
      <c r="W61" s="19">
        <f t="shared" si="1"/>
        <v>0.3125</v>
      </c>
      <c r="X61" s="49">
        <f t="shared" si="4"/>
        <v>0.55655</v>
      </c>
      <c r="Y61" s="41">
        <v>1.0</v>
      </c>
      <c r="Z61" s="104" t="s">
        <v>962</v>
      </c>
      <c r="AA61" s="102"/>
      <c r="AB61" s="103"/>
    </row>
    <row r="62">
      <c r="A62" s="8">
        <f t="shared" si="3"/>
        <v>61</v>
      </c>
      <c r="B62" s="8" t="s">
        <v>18</v>
      </c>
      <c r="C62" s="8" t="s">
        <v>19</v>
      </c>
      <c r="D62" s="8">
        <v>73.0</v>
      </c>
      <c r="E62" s="8">
        <v>7.0</v>
      </c>
      <c r="F62" s="8" t="s">
        <v>5482</v>
      </c>
      <c r="G62" s="8">
        <v>14.0</v>
      </c>
      <c r="H62" s="8">
        <v>13.0</v>
      </c>
      <c r="I62" s="109"/>
      <c r="J62" s="8" t="s">
        <v>1473</v>
      </c>
      <c r="K62" s="8" t="s">
        <v>1474</v>
      </c>
      <c r="L62" s="8">
        <v>-1.0</v>
      </c>
      <c r="M62" s="8" t="s">
        <v>1368</v>
      </c>
      <c r="N62" s="8" t="s">
        <v>22</v>
      </c>
      <c r="O62" s="47" t="s">
        <v>225</v>
      </c>
      <c r="P62" s="8" t="s">
        <v>24</v>
      </c>
      <c r="Q62" s="9">
        <f>0.5</f>
        <v>0.5</v>
      </c>
      <c r="R62" s="9">
        <v>0.2</v>
      </c>
      <c r="S62" s="9">
        <v>0.2</v>
      </c>
      <c r="T62" s="10">
        <v>45487.0</v>
      </c>
      <c r="U62" s="11">
        <v>1.1</v>
      </c>
      <c r="V62" s="8" t="s">
        <v>33</v>
      </c>
      <c r="W62" s="12">
        <f t="shared" si="1"/>
        <v>0.02</v>
      </c>
      <c r="X62" s="48">
        <f t="shared" si="4"/>
        <v>0.57655</v>
      </c>
      <c r="Y62" s="41">
        <v>2.0</v>
      </c>
      <c r="Z62" s="104" t="s">
        <v>965</v>
      </c>
      <c r="AA62" s="102"/>
      <c r="AB62" s="103"/>
    </row>
    <row r="63">
      <c r="A63" s="15">
        <f t="shared" si="3"/>
        <v>62</v>
      </c>
      <c r="B63" s="15" t="s">
        <v>129</v>
      </c>
      <c r="C63" s="15" t="s">
        <v>19</v>
      </c>
      <c r="D63" s="15">
        <v>65.0</v>
      </c>
      <c r="E63" s="15">
        <v>2.0</v>
      </c>
      <c r="F63" s="15" t="s">
        <v>5483</v>
      </c>
      <c r="G63" s="15"/>
      <c r="H63" s="15"/>
      <c r="I63" s="112"/>
      <c r="J63" s="15" t="s">
        <v>1479</v>
      </c>
      <c r="K63" s="15" t="s">
        <v>1474</v>
      </c>
      <c r="L63" s="15">
        <v>-3.0</v>
      </c>
      <c r="M63" s="15" t="s">
        <v>2873</v>
      </c>
      <c r="N63" s="15" t="s">
        <v>22</v>
      </c>
      <c r="O63" s="15" t="s">
        <v>892</v>
      </c>
      <c r="P63" s="15" t="s">
        <v>24</v>
      </c>
      <c r="Q63" s="16">
        <v>0.0</v>
      </c>
      <c r="R63" s="16">
        <v>0.4</v>
      </c>
      <c r="S63" s="16">
        <v>0.36</v>
      </c>
      <c r="T63" s="17">
        <v>45487.0</v>
      </c>
      <c r="U63" s="18">
        <v>2.25</v>
      </c>
      <c r="V63" s="15" t="s">
        <v>70</v>
      </c>
      <c r="W63" s="19">
        <f t="shared" si="1"/>
        <v>0</v>
      </c>
      <c r="X63" s="49">
        <f t="shared" si="4"/>
        <v>0.57655</v>
      </c>
      <c r="Y63" s="41">
        <v>3.0</v>
      </c>
      <c r="Z63" s="104" t="s">
        <v>967</v>
      </c>
      <c r="AA63" s="102"/>
      <c r="AB63" s="103"/>
    </row>
    <row r="64">
      <c r="A64" s="8">
        <f t="shared" si="3"/>
        <v>63</v>
      </c>
      <c r="B64" s="8" t="s">
        <v>18</v>
      </c>
      <c r="C64" s="8" t="s">
        <v>19</v>
      </c>
      <c r="D64" s="8">
        <v>40.0</v>
      </c>
      <c r="E64" s="8">
        <v>3.0</v>
      </c>
      <c r="F64" s="8" t="s">
        <v>5484</v>
      </c>
      <c r="G64" s="8"/>
      <c r="H64" s="8"/>
      <c r="I64" s="109"/>
      <c r="J64" s="8" t="s">
        <v>1479</v>
      </c>
      <c r="K64" s="8" t="s">
        <v>1477</v>
      </c>
      <c r="L64" s="8">
        <v>0.0</v>
      </c>
      <c r="M64" s="8" t="s">
        <v>174</v>
      </c>
      <c r="N64" s="8" t="s">
        <v>22</v>
      </c>
      <c r="O64" s="8" t="s">
        <v>892</v>
      </c>
      <c r="P64" s="8" t="s">
        <v>24</v>
      </c>
      <c r="Q64" s="9">
        <v>0.0</v>
      </c>
      <c r="R64" s="9">
        <v>0.25</v>
      </c>
      <c r="S64" s="9">
        <v>0.025</v>
      </c>
      <c r="T64" s="10">
        <v>45487.0</v>
      </c>
      <c r="U64" s="11">
        <v>1.8</v>
      </c>
      <c r="V64" s="8" t="s">
        <v>33</v>
      </c>
      <c r="W64" s="12">
        <f t="shared" si="1"/>
        <v>0.02</v>
      </c>
      <c r="X64" s="48">
        <f t="shared" si="4"/>
        <v>0.59655</v>
      </c>
      <c r="Y64" s="41">
        <v>4.0</v>
      </c>
      <c r="Z64" s="104" t="s">
        <v>969</v>
      </c>
      <c r="AA64" s="102"/>
      <c r="AB64" s="103"/>
    </row>
    <row r="65">
      <c r="A65" s="15">
        <f t="shared" si="3"/>
        <v>64</v>
      </c>
      <c r="B65" s="15" t="s">
        <v>18</v>
      </c>
      <c r="C65" s="15" t="s">
        <v>19</v>
      </c>
      <c r="D65" s="15">
        <v>65.0</v>
      </c>
      <c r="E65" s="15">
        <v>4.0</v>
      </c>
      <c r="F65" s="15" t="s">
        <v>5485</v>
      </c>
      <c r="G65" s="15">
        <v>8.0</v>
      </c>
      <c r="H65" s="15">
        <v>3.0</v>
      </c>
      <c r="I65" s="112"/>
      <c r="J65" s="15" t="s">
        <v>1473</v>
      </c>
      <c r="K65" s="15" t="s">
        <v>1477</v>
      </c>
      <c r="L65" s="15">
        <v>-1.0</v>
      </c>
      <c r="M65" s="15" t="s">
        <v>74</v>
      </c>
      <c r="N65" s="15" t="s">
        <v>22</v>
      </c>
      <c r="O65" s="15" t="s">
        <v>892</v>
      </c>
      <c r="P65" s="15" t="s">
        <v>24</v>
      </c>
      <c r="Q65" s="16">
        <v>0.0</v>
      </c>
      <c r="R65" s="16">
        <v>0.4</v>
      </c>
      <c r="S65" s="16">
        <v>0.4</v>
      </c>
      <c r="T65" s="17">
        <v>45487.0</v>
      </c>
      <c r="U65" s="18">
        <v>2.025</v>
      </c>
      <c r="V65" s="15" t="s">
        <v>33</v>
      </c>
      <c r="W65" s="19">
        <f t="shared" si="1"/>
        <v>0.41</v>
      </c>
      <c r="X65" s="49">
        <f t="shared" si="4"/>
        <v>1.00655</v>
      </c>
      <c r="Y65" s="41">
        <v>5.0</v>
      </c>
      <c r="Z65" s="104" t="s">
        <v>971</v>
      </c>
      <c r="AA65" s="102"/>
      <c r="AB65" s="103"/>
    </row>
    <row r="66">
      <c r="A66" s="8">
        <f t="shared" si="3"/>
        <v>65</v>
      </c>
      <c r="B66" s="8" t="s">
        <v>4225</v>
      </c>
      <c r="C66" s="8" t="s">
        <v>19</v>
      </c>
      <c r="D66" s="8">
        <v>0.0</v>
      </c>
      <c r="E66" s="8">
        <v>11.0</v>
      </c>
      <c r="F66" s="8" t="s">
        <v>5486</v>
      </c>
      <c r="G66" s="8">
        <v>15.0</v>
      </c>
      <c r="H66" s="8">
        <v>13.0</v>
      </c>
      <c r="I66" s="109">
        <v>0.4</v>
      </c>
      <c r="J66" s="8"/>
      <c r="K66" s="8"/>
      <c r="L66" s="8"/>
      <c r="M66" s="8" t="s">
        <v>5487</v>
      </c>
      <c r="N66" s="8" t="s">
        <v>598</v>
      </c>
      <c r="O66" s="8" t="s">
        <v>29</v>
      </c>
      <c r="P66" s="8" t="s">
        <v>24</v>
      </c>
      <c r="Q66" s="9">
        <v>-2.25</v>
      </c>
      <c r="R66" s="9">
        <v>0.5</v>
      </c>
      <c r="S66" s="9">
        <v>0.25</v>
      </c>
      <c r="T66" s="10">
        <v>45489.0</v>
      </c>
      <c r="U66" s="11">
        <v>1.7</v>
      </c>
      <c r="V66" s="8" t="s">
        <v>33</v>
      </c>
      <c r="W66" s="12">
        <f t="shared" si="1"/>
        <v>0.175</v>
      </c>
      <c r="X66" s="48">
        <f t="shared" si="4"/>
        <v>1.18155</v>
      </c>
      <c r="Y66" s="41">
        <v>6.0</v>
      </c>
      <c r="Z66" s="104" t="s">
        <v>973</v>
      </c>
      <c r="AA66" s="102"/>
      <c r="AB66" s="103"/>
    </row>
    <row r="67">
      <c r="A67" s="15">
        <f t="shared" si="3"/>
        <v>66</v>
      </c>
      <c r="B67" s="15" t="s">
        <v>4225</v>
      </c>
      <c r="C67" s="15" t="s">
        <v>19</v>
      </c>
      <c r="D67" s="15">
        <v>0.0</v>
      </c>
      <c r="E67" s="15">
        <v>11.0</v>
      </c>
      <c r="F67" s="15" t="s">
        <v>5488</v>
      </c>
      <c r="G67" s="15">
        <v>15.0</v>
      </c>
      <c r="H67" s="15">
        <v>13.0</v>
      </c>
      <c r="I67" s="112">
        <v>0.4</v>
      </c>
      <c r="J67" s="15"/>
      <c r="K67" s="15"/>
      <c r="L67" s="15"/>
      <c r="M67" s="15" t="s">
        <v>5487</v>
      </c>
      <c r="N67" s="15" t="s">
        <v>598</v>
      </c>
      <c r="O67" s="15" t="s">
        <v>29</v>
      </c>
      <c r="P67" s="15" t="s">
        <v>24</v>
      </c>
      <c r="Q67" s="16">
        <v>-2.0</v>
      </c>
      <c r="R67" s="16">
        <v>0.25</v>
      </c>
      <c r="S67" s="16">
        <v>0.25</v>
      </c>
      <c r="T67" s="17">
        <v>45489.0</v>
      </c>
      <c r="U67" s="18">
        <v>2.0</v>
      </c>
      <c r="V67" s="15" t="s">
        <v>33</v>
      </c>
      <c r="W67" s="19">
        <f t="shared" si="1"/>
        <v>0.25</v>
      </c>
      <c r="X67" s="19">
        <f t="shared" si="4"/>
        <v>1.43155</v>
      </c>
      <c r="Y67" s="41">
        <v>7.0</v>
      </c>
      <c r="Z67" s="104" t="s">
        <v>975</v>
      </c>
      <c r="AA67" s="102"/>
      <c r="AB67" s="103"/>
    </row>
    <row r="68">
      <c r="A68" s="8">
        <f t="shared" si="3"/>
        <v>67</v>
      </c>
      <c r="B68" s="8" t="s">
        <v>137</v>
      </c>
      <c r="C68" s="8" t="s">
        <v>19</v>
      </c>
      <c r="D68" s="8">
        <v>65.0</v>
      </c>
      <c r="E68" s="8">
        <v>3.0</v>
      </c>
      <c r="F68" s="8" t="s">
        <v>5489</v>
      </c>
      <c r="G68" s="8" t="s">
        <v>5553</v>
      </c>
      <c r="H68" s="8" t="s">
        <v>5553</v>
      </c>
      <c r="I68" s="8" t="s">
        <v>1</v>
      </c>
      <c r="J68" s="8" t="s">
        <v>1479</v>
      </c>
      <c r="K68" s="8" t="s">
        <v>1480</v>
      </c>
      <c r="L68" s="8">
        <v>4.0</v>
      </c>
      <c r="M68" s="8" t="s">
        <v>28</v>
      </c>
      <c r="N68" s="8" t="s">
        <v>22</v>
      </c>
      <c r="O68" s="8" t="s">
        <v>892</v>
      </c>
      <c r="P68" s="8" t="s">
        <v>24</v>
      </c>
      <c r="Q68" s="9">
        <v>0.0</v>
      </c>
      <c r="R68" s="9">
        <v>0.5</v>
      </c>
      <c r="S68" s="9">
        <v>0.5</v>
      </c>
      <c r="T68" s="10">
        <v>45489.0</v>
      </c>
      <c r="U68" s="11">
        <v>1.82</v>
      </c>
      <c r="V68" s="8" t="s">
        <v>25</v>
      </c>
      <c r="W68" s="12">
        <f t="shared" si="1"/>
        <v>-0.5</v>
      </c>
      <c r="X68" s="12">
        <f t="shared" si="4"/>
        <v>0.93155</v>
      </c>
      <c r="Y68" s="41">
        <v>8.0</v>
      </c>
      <c r="Z68" s="104" t="s">
        <v>977</v>
      </c>
      <c r="AA68" s="102"/>
      <c r="AB68" s="103"/>
    </row>
    <row r="69">
      <c r="A69" s="15">
        <f t="shared" si="3"/>
        <v>68</v>
      </c>
      <c r="B69" s="149" t="s">
        <v>4225</v>
      </c>
      <c r="C69" s="150" t="s">
        <v>19</v>
      </c>
      <c r="D69" s="150">
        <v>0.0</v>
      </c>
      <c r="E69" s="150">
        <v>11.0</v>
      </c>
      <c r="F69" s="37" t="s">
        <v>5490</v>
      </c>
      <c r="G69" s="37">
        <v>4.0</v>
      </c>
      <c r="H69" s="37">
        <v>2.0</v>
      </c>
      <c r="I69" s="175">
        <v>0.764</v>
      </c>
      <c r="J69" s="15" t="s">
        <v>1473</v>
      </c>
      <c r="K69" s="15" t="s">
        <v>1477</v>
      </c>
      <c r="L69" s="15">
        <v>0.0</v>
      </c>
      <c r="M69" s="37" t="s">
        <v>187</v>
      </c>
      <c r="N69" s="37" t="s">
        <v>22</v>
      </c>
      <c r="O69" s="37" t="s">
        <v>894</v>
      </c>
      <c r="P69" s="150" t="s">
        <v>39</v>
      </c>
      <c r="Q69" s="24">
        <v>-0.5</v>
      </c>
      <c r="R69" s="24">
        <v>0.25</v>
      </c>
      <c r="S69" s="24">
        <v>0.25</v>
      </c>
      <c r="T69" s="105">
        <v>45489.0</v>
      </c>
      <c r="U69" s="39">
        <v>1.725</v>
      </c>
      <c r="V69" s="15" t="s">
        <v>33</v>
      </c>
      <c r="W69" s="19">
        <f t="shared" si="1"/>
        <v>0.18125</v>
      </c>
      <c r="X69" s="19">
        <f t="shared" si="4"/>
        <v>1.1128</v>
      </c>
      <c r="Y69" s="41">
        <v>9.0</v>
      </c>
      <c r="Z69" s="104" t="s">
        <v>979</v>
      </c>
      <c r="AA69" s="102"/>
      <c r="AB69" s="103"/>
    </row>
    <row r="70">
      <c r="A70" s="8">
        <f t="shared" si="3"/>
        <v>69</v>
      </c>
      <c r="B70" s="161" t="s">
        <v>4225</v>
      </c>
      <c r="C70" s="148" t="s">
        <v>19</v>
      </c>
      <c r="D70" s="148">
        <v>0.0</v>
      </c>
      <c r="E70" s="148">
        <v>11.0</v>
      </c>
      <c r="F70" s="148" t="s">
        <v>5491</v>
      </c>
      <c r="G70" s="148">
        <v>8.0</v>
      </c>
      <c r="H70" s="148">
        <v>9.0</v>
      </c>
      <c r="I70" s="176">
        <v>0.39</v>
      </c>
      <c r="J70" s="8"/>
      <c r="K70" s="8"/>
      <c r="L70" s="8"/>
      <c r="M70" s="148" t="s">
        <v>82</v>
      </c>
      <c r="N70" s="148" t="s">
        <v>598</v>
      </c>
      <c r="O70" s="148" t="s">
        <v>29</v>
      </c>
      <c r="P70" s="148" t="s">
        <v>39</v>
      </c>
      <c r="Q70" s="159">
        <v>-2.0</v>
      </c>
      <c r="R70" s="159">
        <v>0.1</v>
      </c>
      <c r="S70" s="159">
        <v>0.1</v>
      </c>
      <c r="T70" s="162">
        <v>45490.0</v>
      </c>
      <c r="U70" s="137">
        <v>1.8</v>
      </c>
      <c r="V70" s="8" t="s">
        <v>70</v>
      </c>
      <c r="W70" s="12">
        <f t="shared" si="1"/>
        <v>0</v>
      </c>
      <c r="X70" s="12">
        <f t="shared" si="4"/>
        <v>1.1128</v>
      </c>
      <c r="Y70" s="41">
        <v>10.0</v>
      </c>
      <c r="Z70" s="104" t="s">
        <v>981</v>
      </c>
      <c r="AA70" s="102"/>
      <c r="AB70" s="103"/>
    </row>
    <row r="71">
      <c r="A71" s="15">
        <f t="shared" si="3"/>
        <v>70</v>
      </c>
      <c r="B71" s="15" t="s">
        <v>18</v>
      </c>
      <c r="C71" s="15" t="s">
        <v>19</v>
      </c>
      <c r="D71" s="15">
        <v>20.0</v>
      </c>
      <c r="E71" s="15">
        <v>5.0</v>
      </c>
      <c r="F71" s="15" t="s">
        <v>5492</v>
      </c>
      <c r="G71" s="15">
        <v>6.0</v>
      </c>
      <c r="H71" s="15">
        <v>12.0</v>
      </c>
      <c r="I71" s="112">
        <v>0.4</v>
      </c>
      <c r="J71" s="15" t="s">
        <v>1479</v>
      </c>
      <c r="K71" s="15" t="s">
        <v>1477</v>
      </c>
      <c r="L71" s="15">
        <v>0.0</v>
      </c>
      <c r="M71" s="15" t="s">
        <v>5487</v>
      </c>
      <c r="N71" s="15" t="s">
        <v>22</v>
      </c>
      <c r="O71" s="15" t="s">
        <v>894</v>
      </c>
      <c r="P71" s="15" t="s">
        <v>24</v>
      </c>
      <c r="Q71" s="16">
        <v>-0.5</v>
      </c>
      <c r="R71" s="16">
        <v>0.25</v>
      </c>
      <c r="S71" s="16">
        <v>0.25</v>
      </c>
      <c r="T71" s="17">
        <v>45490.0</v>
      </c>
      <c r="U71" s="18">
        <v>1.775</v>
      </c>
      <c r="V71" s="15" t="s">
        <v>33</v>
      </c>
      <c r="W71" s="19">
        <f t="shared" si="1"/>
        <v>0.19375</v>
      </c>
      <c r="X71" s="19">
        <f t="shared" si="4"/>
        <v>1.30655</v>
      </c>
      <c r="Y71" s="41">
        <v>11.0</v>
      </c>
      <c r="Z71" s="104" t="s">
        <v>983</v>
      </c>
      <c r="AA71" s="102"/>
      <c r="AB71" s="103"/>
    </row>
    <row r="72">
      <c r="A72" s="8">
        <f t="shared" si="3"/>
        <v>71</v>
      </c>
      <c r="B72" s="8" t="s">
        <v>4225</v>
      </c>
      <c r="C72" s="8" t="s">
        <v>40</v>
      </c>
      <c r="D72" s="8">
        <v>28.0</v>
      </c>
      <c r="E72" s="8">
        <v>3.0</v>
      </c>
      <c r="F72" s="8" t="s">
        <v>5493</v>
      </c>
      <c r="G72" s="8" t="s">
        <v>5553</v>
      </c>
      <c r="H72" s="8" t="s">
        <v>5553</v>
      </c>
      <c r="I72" s="8" t="s">
        <v>5553</v>
      </c>
      <c r="J72" s="8" t="s">
        <v>1479</v>
      </c>
      <c r="K72" s="8" t="s">
        <v>1480</v>
      </c>
      <c r="L72" s="8">
        <v>0.0</v>
      </c>
      <c r="M72" s="8" t="s">
        <v>233</v>
      </c>
      <c r="N72" s="8" t="s">
        <v>22</v>
      </c>
      <c r="O72" s="8" t="s">
        <v>892</v>
      </c>
      <c r="P72" s="8" t="s">
        <v>24</v>
      </c>
      <c r="Q72" s="9">
        <v>0.0</v>
      </c>
      <c r="R72" s="9">
        <v>0.5</v>
      </c>
      <c r="S72" s="9">
        <v>0.5</v>
      </c>
      <c r="T72" s="10">
        <v>45490.0</v>
      </c>
      <c r="U72" s="11">
        <v>1.8</v>
      </c>
      <c r="V72" s="8" t="s">
        <v>25</v>
      </c>
      <c r="W72" s="12">
        <f t="shared" si="1"/>
        <v>-0.5</v>
      </c>
      <c r="X72" s="12">
        <f t="shared" si="4"/>
        <v>0.80655</v>
      </c>
      <c r="Y72" s="41">
        <v>12.0</v>
      </c>
      <c r="Z72" s="104" t="s">
        <v>985</v>
      </c>
      <c r="AA72" s="102"/>
      <c r="AB72" s="103"/>
    </row>
    <row r="73">
      <c r="A73" s="15">
        <f t="shared" si="3"/>
        <v>72</v>
      </c>
      <c r="B73" s="15" t="s">
        <v>4225</v>
      </c>
      <c r="C73" s="15" t="s">
        <v>19</v>
      </c>
      <c r="D73" s="15">
        <v>22.0</v>
      </c>
      <c r="E73" s="15"/>
      <c r="F73" s="15" t="s">
        <v>5494</v>
      </c>
      <c r="G73" s="15">
        <v>6.0</v>
      </c>
      <c r="H73" s="15">
        <v>1.0</v>
      </c>
      <c r="I73" s="112">
        <v>0.8666</v>
      </c>
      <c r="J73" s="15"/>
      <c r="K73" s="15"/>
      <c r="L73" s="15"/>
      <c r="M73" s="15" t="s">
        <v>248</v>
      </c>
      <c r="N73" s="15" t="s">
        <v>22</v>
      </c>
      <c r="O73" s="15" t="s">
        <v>29</v>
      </c>
      <c r="P73" s="15" t="s">
        <v>24</v>
      </c>
      <c r="Q73" s="16">
        <v>-2.25</v>
      </c>
      <c r="R73" s="16">
        <v>0.25</v>
      </c>
      <c r="S73" s="16">
        <v>0.25</v>
      </c>
      <c r="T73" s="17">
        <v>45490.0</v>
      </c>
      <c r="U73" s="18">
        <v>2.0</v>
      </c>
      <c r="V73" s="15" t="s">
        <v>25</v>
      </c>
      <c r="W73" s="19">
        <f t="shared" si="1"/>
        <v>-0.25</v>
      </c>
      <c r="X73" s="19">
        <f t="shared" si="4"/>
        <v>0.55655</v>
      </c>
      <c r="Y73" s="41">
        <v>13.0</v>
      </c>
      <c r="Z73" s="104" t="s">
        <v>987</v>
      </c>
      <c r="AA73" s="102"/>
      <c r="AB73" s="103"/>
    </row>
    <row r="74">
      <c r="A74" s="8">
        <f t="shared" si="3"/>
        <v>73</v>
      </c>
      <c r="B74" s="8" t="s">
        <v>137</v>
      </c>
      <c r="C74" s="8" t="s">
        <v>19</v>
      </c>
      <c r="D74" s="8">
        <v>30.0</v>
      </c>
      <c r="E74" s="8">
        <v>5.0</v>
      </c>
      <c r="F74" s="8" t="s">
        <v>5495</v>
      </c>
      <c r="G74" s="8">
        <v>1.0</v>
      </c>
      <c r="H74" s="8">
        <v>6.0</v>
      </c>
      <c r="I74" s="109">
        <v>0.5</v>
      </c>
      <c r="J74" s="8" t="s">
        <v>1479</v>
      </c>
      <c r="K74" s="8" t="s">
        <v>1477</v>
      </c>
      <c r="L74" s="8">
        <v>0.0</v>
      </c>
      <c r="M74" s="8" t="s">
        <v>319</v>
      </c>
      <c r="N74" s="8" t="s">
        <v>22</v>
      </c>
      <c r="O74" s="8" t="s">
        <v>894</v>
      </c>
      <c r="P74" s="8" t="s">
        <v>24</v>
      </c>
      <c r="Q74" s="9">
        <v>-0.5</v>
      </c>
      <c r="R74" s="9">
        <v>0.25</v>
      </c>
      <c r="S74" s="9">
        <v>0.25</v>
      </c>
      <c r="T74" s="10">
        <v>45490.0</v>
      </c>
      <c r="U74" s="11">
        <v>1.9</v>
      </c>
      <c r="V74" s="8" t="s">
        <v>33</v>
      </c>
      <c r="W74" s="12">
        <f t="shared" si="1"/>
        <v>0.225</v>
      </c>
      <c r="X74" s="12">
        <f t="shared" si="4"/>
        <v>0.78155</v>
      </c>
    </row>
    <row r="75">
      <c r="A75" s="15">
        <f t="shared" si="3"/>
        <v>74</v>
      </c>
      <c r="B75" s="15" t="s">
        <v>137</v>
      </c>
      <c r="C75" s="15" t="s">
        <v>19</v>
      </c>
      <c r="D75" s="15">
        <v>25.0</v>
      </c>
      <c r="E75" s="15">
        <v>5.0</v>
      </c>
      <c r="F75" s="15" t="s">
        <v>5496</v>
      </c>
      <c r="G75" s="15" t="s">
        <v>5553</v>
      </c>
      <c r="H75" s="15" t="s">
        <v>5553</v>
      </c>
      <c r="I75" s="15" t="s">
        <v>5553</v>
      </c>
      <c r="J75" s="15" t="s">
        <v>1479</v>
      </c>
      <c r="K75" s="15" t="s">
        <v>1477</v>
      </c>
      <c r="L75" s="15">
        <v>0.0</v>
      </c>
      <c r="M75" s="15" t="s">
        <v>84</v>
      </c>
      <c r="N75" s="15" t="s">
        <v>22</v>
      </c>
      <c r="O75" s="15" t="s">
        <v>894</v>
      </c>
      <c r="P75" s="15" t="s">
        <v>24</v>
      </c>
      <c r="Q75" s="16">
        <v>-0.25</v>
      </c>
      <c r="R75" s="16">
        <v>0.75</v>
      </c>
      <c r="S75" s="16">
        <v>0.75</v>
      </c>
      <c r="T75" s="17">
        <v>45492.0</v>
      </c>
      <c r="U75" s="18">
        <v>1.775</v>
      </c>
      <c r="V75" s="15" t="s">
        <v>33</v>
      </c>
      <c r="W75" s="19">
        <f t="shared" si="1"/>
        <v>0.58125</v>
      </c>
      <c r="X75" s="19">
        <f t="shared" si="4"/>
        <v>1.3628</v>
      </c>
    </row>
    <row r="76">
      <c r="A76" s="8">
        <f t="shared" si="3"/>
        <v>75</v>
      </c>
      <c r="B76" s="8" t="s">
        <v>4225</v>
      </c>
      <c r="C76" s="8" t="s">
        <v>19</v>
      </c>
      <c r="D76" s="8">
        <v>35.0</v>
      </c>
      <c r="E76" s="8">
        <v>5.0</v>
      </c>
      <c r="F76" s="8" t="s">
        <v>5497</v>
      </c>
      <c r="G76" s="8" t="s">
        <v>5553</v>
      </c>
      <c r="H76" s="8" t="s">
        <v>5553</v>
      </c>
      <c r="I76" s="8" t="s">
        <v>1479</v>
      </c>
      <c r="J76" s="8" t="s">
        <v>1473</v>
      </c>
      <c r="K76" s="8" t="s">
        <v>1477</v>
      </c>
      <c r="L76" s="8">
        <v>1.0</v>
      </c>
      <c r="M76" s="8" t="s">
        <v>642</v>
      </c>
      <c r="N76" s="8" t="s">
        <v>22</v>
      </c>
      <c r="O76" s="8" t="s">
        <v>894</v>
      </c>
      <c r="P76" s="8" t="s">
        <v>39</v>
      </c>
      <c r="Q76" s="9">
        <v>-0.5</v>
      </c>
      <c r="R76" s="9">
        <v>0.25</v>
      </c>
      <c r="S76" s="9">
        <v>0.25</v>
      </c>
      <c r="T76" s="10">
        <v>45492.0</v>
      </c>
      <c r="U76" s="11">
        <v>1.85</v>
      </c>
      <c r="V76" s="8" t="s">
        <v>25</v>
      </c>
      <c r="W76" s="12">
        <f t="shared" si="1"/>
        <v>-0.25</v>
      </c>
      <c r="X76" s="12">
        <f t="shared" si="4"/>
        <v>1.1128</v>
      </c>
    </row>
    <row r="77">
      <c r="A77" s="15">
        <f t="shared" si="3"/>
        <v>76</v>
      </c>
      <c r="B77" s="15" t="s">
        <v>4225</v>
      </c>
      <c r="C77" s="15" t="s">
        <v>19</v>
      </c>
      <c r="D77" s="15">
        <v>65.0</v>
      </c>
      <c r="E77" s="15">
        <v>5.0</v>
      </c>
      <c r="F77" s="15" t="s">
        <v>5498</v>
      </c>
      <c r="G77" s="15" t="s">
        <v>5553</v>
      </c>
      <c r="H77" s="15" t="s">
        <v>5553</v>
      </c>
      <c r="I77" s="15" t="s">
        <v>1479</v>
      </c>
      <c r="J77" s="15" t="s">
        <v>1473</v>
      </c>
      <c r="K77" s="15" t="s">
        <v>1477</v>
      </c>
      <c r="L77" s="15">
        <v>0.0</v>
      </c>
      <c r="M77" s="15" t="s">
        <v>187</v>
      </c>
      <c r="N77" s="15" t="s">
        <v>22</v>
      </c>
      <c r="O77" s="15" t="s">
        <v>894</v>
      </c>
      <c r="P77" s="15" t="s">
        <v>39</v>
      </c>
      <c r="Q77" s="16">
        <v>-0.5</v>
      </c>
      <c r="R77" s="16">
        <v>0.25</v>
      </c>
      <c r="S77" s="16">
        <v>0.25</v>
      </c>
      <c r="T77" s="17">
        <v>45492.0</v>
      </c>
      <c r="U77" s="18">
        <v>1.85</v>
      </c>
      <c r="V77" s="15" t="s">
        <v>33</v>
      </c>
      <c r="W77" s="19">
        <f t="shared" si="1"/>
        <v>0.2125</v>
      </c>
      <c r="X77" s="19">
        <f t="shared" si="4"/>
        <v>1.3253</v>
      </c>
    </row>
    <row r="78">
      <c r="A78" s="8">
        <f t="shared" si="3"/>
        <v>77</v>
      </c>
      <c r="B78" s="8" t="s">
        <v>129</v>
      </c>
      <c r="C78" s="8" t="s">
        <v>40</v>
      </c>
      <c r="D78" s="8">
        <v>70.0</v>
      </c>
      <c r="E78" s="8">
        <v>3.0</v>
      </c>
      <c r="F78" s="8" t="s">
        <v>5499</v>
      </c>
      <c r="G78" s="8" t="s">
        <v>5553</v>
      </c>
      <c r="H78" s="8" t="s">
        <v>5553</v>
      </c>
      <c r="I78" s="8" t="s">
        <v>1</v>
      </c>
      <c r="J78" s="8"/>
      <c r="K78" s="8"/>
      <c r="L78" s="8"/>
      <c r="M78" s="8" t="s">
        <v>28</v>
      </c>
      <c r="N78" s="8" t="s">
        <v>22</v>
      </c>
      <c r="O78" s="8" t="s">
        <v>892</v>
      </c>
      <c r="P78" s="8" t="s">
        <v>24</v>
      </c>
      <c r="Q78" s="9">
        <v>0.0</v>
      </c>
      <c r="R78" s="9">
        <v>0.5</v>
      </c>
      <c r="S78" s="9">
        <v>0.5</v>
      </c>
      <c r="T78" s="10">
        <v>45493.0</v>
      </c>
      <c r="U78" s="11">
        <v>1.82</v>
      </c>
      <c r="V78" s="8" t="s">
        <v>70</v>
      </c>
      <c r="W78" s="12">
        <f t="shared" si="1"/>
        <v>0</v>
      </c>
      <c r="X78" s="12">
        <f t="shared" si="4"/>
        <v>1.3253</v>
      </c>
    </row>
    <row r="79">
      <c r="A79" s="15">
        <f t="shared" si="3"/>
        <v>78</v>
      </c>
      <c r="B79" s="15" t="s">
        <v>18</v>
      </c>
      <c r="C79" s="15" t="s">
        <v>19</v>
      </c>
      <c r="D79" s="15">
        <v>76.0</v>
      </c>
      <c r="E79" s="15"/>
      <c r="F79" s="15" t="s">
        <v>5500</v>
      </c>
      <c r="G79" s="15">
        <v>7.0</v>
      </c>
      <c r="H79" s="15">
        <v>12.0</v>
      </c>
      <c r="I79" s="112">
        <v>0.461</v>
      </c>
      <c r="J79" s="15"/>
      <c r="K79" s="15"/>
      <c r="L79" s="15"/>
      <c r="M79" s="15" t="s">
        <v>463</v>
      </c>
      <c r="N79" s="15" t="s">
        <v>22</v>
      </c>
      <c r="O79" s="15" t="s">
        <v>29</v>
      </c>
      <c r="P79" s="15" t="s">
        <v>24</v>
      </c>
      <c r="Q79" s="16">
        <v>-3.0</v>
      </c>
      <c r="R79" s="16">
        <v>0.25</v>
      </c>
      <c r="S79" s="16">
        <v>0.25</v>
      </c>
      <c r="T79" s="17">
        <v>45493.0</v>
      </c>
      <c r="U79" s="18">
        <v>1.98</v>
      </c>
      <c r="V79" s="15" t="s">
        <v>70</v>
      </c>
      <c r="W79" s="19">
        <f t="shared" si="1"/>
        <v>0</v>
      </c>
      <c r="X79" s="19">
        <f t="shared" si="4"/>
        <v>1.3253</v>
      </c>
    </row>
    <row r="80">
      <c r="A80" s="8">
        <f t="shared" si="3"/>
        <v>79</v>
      </c>
      <c r="B80" s="8" t="s">
        <v>18</v>
      </c>
      <c r="C80" s="8" t="s">
        <v>19</v>
      </c>
      <c r="D80" s="8">
        <v>68.0</v>
      </c>
      <c r="E80" s="8">
        <v>3.0</v>
      </c>
      <c r="F80" s="8" t="s">
        <v>5501</v>
      </c>
      <c r="G80" s="8">
        <v>18.0</v>
      </c>
      <c r="H80" s="8">
        <v>8.0</v>
      </c>
      <c r="I80" s="109">
        <v>0.53</v>
      </c>
      <c r="J80" s="8" t="s">
        <v>1473</v>
      </c>
      <c r="K80" s="8" t="s">
        <v>1480</v>
      </c>
      <c r="L80" s="8">
        <v>1.0</v>
      </c>
      <c r="M80" s="8" t="s">
        <v>2116</v>
      </c>
      <c r="N80" s="8" t="s">
        <v>22</v>
      </c>
      <c r="O80" s="8" t="s">
        <v>892</v>
      </c>
      <c r="P80" s="8" t="s">
        <v>24</v>
      </c>
      <c r="Q80" s="9">
        <v>0.0</v>
      </c>
      <c r="R80" s="9">
        <v>0.5</v>
      </c>
      <c r="S80" s="9">
        <v>0.5</v>
      </c>
      <c r="T80" s="10">
        <v>45493.0</v>
      </c>
      <c r="U80" s="11">
        <v>1.9</v>
      </c>
      <c r="V80" s="8" t="s">
        <v>70</v>
      </c>
      <c r="W80" s="12">
        <f t="shared" si="1"/>
        <v>0</v>
      </c>
      <c r="X80" s="12">
        <f t="shared" si="4"/>
        <v>1.3253</v>
      </c>
    </row>
    <row r="81">
      <c r="A81" s="15">
        <f t="shared" si="3"/>
        <v>80</v>
      </c>
      <c r="B81" s="15" t="s">
        <v>4225</v>
      </c>
      <c r="C81" s="15" t="s">
        <v>19</v>
      </c>
      <c r="D81" s="15">
        <v>64.0</v>
      </c>
      <c r="E81" s="15">
        <v>3.0</v>
      </c>
      <c r="F81" s="15" t="s">
        <v>5502</v>
      </c>
      <c r="G81" s="15">
        <v>4.0</v>
      </c>
      <c r="H81" s="15">
        <v>3.0</v>
      </c>
      <c r="I81" s="112">
        <v>0.5</v>
      </c>
      <c r="J81" s="15" t="s">
        <v>1479</v>
      </c>
      <c r="K81" s="15" t="s">
        <v>1480</v>
      </c>
      <c r="L81" s="15">
        <v>-1.0</v>
      </c>
      <c r="M81" s="15" t="s">
        <v>82</v>
      </c>
      <c r="N81" s="15" t="s">
        <v>22</v>
      </c>
      <c r="O81" s="15" t="s">
        <v>892</v>
      </c>
      <c r="P81" s="15" t="s">
        <v>39</v>
      </c>
      <c r="Q81" s="16">
        <v>0.0</v>
      </c>
      <c r="R81" s="16">
        <v>0.5</v>
      </c>
      <c r="S81" s="16">
        <v>0.5</v>
      </c>
      <c r="T81" s="55">
        <v>45493.0</v>
      </c>
      <c r="U81" s="18">
        <v>1.85</v>
      </c>
      <c r="V81" s="15" t="s">
        <v>70</v>
      </c>
      <c r="W81" s="19">
        <f t="shared" si="1"/>
        <v>0</v>
      </c>
      <c r="X81" s="19">
        <f t="shared" si="4"/>
        <v>1.3253</v>
      </c>
    </row>
    <row r="82">
      <c r="A82" s="8">
        <f t="shared" si="3"/>
        <v>81</v>
      </c>
      <c r="B82" s="8" t="s">
        <v>18</v>
      </c>
      <c r="C82" s="8" t="s">
        <v>19</v>
      </c>
      <c r="D82" s="8">
        <v>69.0</v>
      </c>
      <c r="E82" s="8">
        <v>5.0</v>
      </c>
      <c r="F82" s="8" t="s">
        <v>5503</v>
      </c>
      <c r="G82" s="8">
        <v>8.0</v>
      </c>
      <c r="H82" s="8">
        <v>3.0</v>
      </c>
      <c r="I82" s="109">
        <v>0.643</v>
      </c>
      <c r="J82" s="8" t="s">
        <v>1473</v>
      </c>
      <c r="K82" s="8" t="s">
        <v>1477</v>
      </c>
      <c r="L82" s="8">
        <v>0.0</v>
      </c>
      <c r="M82" s="8" t="s">
        <v>82</v>
      </c>
      <c r="N82" s="8" t="s">
        <v>22</v>
      </c>
      <c r="O82" s="8" t="s">
        <v>894</v>
      </c>
      <c r="P82" s="8" t="s">
        <v>39</v>
      </c>
      <c r="Q82" s="9">
        <v>-0.25</v>
      </c>
      <c r="R82" s="9">
        <v>0.25</v>
      </c>
      <c r="S82" s="9">
        <v>0.25</v>
      </c>
      <c r="T82" s="54">
        <v>45493.0</v>
      </c>
      <c r="U82" s="11">
        <v>1.9</v>
      </c>
      <c r="V82" s="8" t="s">
        <v>4104</v>
      </c>
      <c r="W82" s="12">
        <f t="shared" si="1"/>
        <v>-0.125</v>
      </c>
      <c r="X82" s="12">
        <f t="shared" si="4"/>
        <v>1.2003</v>
      </c>
    </row>
    <row r="83">
      <c r="A83" s="15">
        <f t="shared" si="3"/>
        <v>82</v>
      </c>
      <c r="B83" s="15" t="s">
        <v>18</v>
      </c>
      <c r="C83" s="15" t="s">
        <v>40</v>
      </c>
      <c r="D83" s="15">
        <v>67.0</v>
      </c>
      <c r="E83" s="15">
        <v>5.0</v>
      </c>
      <c r="F83" s="15" t="s">
        <v>5504</v>
      </c>
      <c r="G83" s="15" t="s">
        <v>5553</v>
      </c>
      <c r="H83" s="15" t="s">
        <v>5553</v>
      </c>
      <c r="I83" s="15" t="s">
        <v>5553</v>
      </c>
      <c r="J83" s="15" t="s">
        <v>1473</v>
      </c>
      <c r="K83" s="15" t="s">
        <v>1477</v>
      </c>
      <c r="L83" s="15">
        <v>-1.0</v>
      </c>
      <c r="M83" s="15" t="s">
        <v>635</v>
      </c>
      <c r="N83" s="15" t="s">
        <v>22</v>
      </c>
      <c r="O83" s="15" t="s">
        <v>894</v>
      </c>
      <c r="P83" s="15" t="s">
        <v>24</v>
      </c>
      <c r="Q83" s="16">
        <v>-0.25</v>
      </c>
      <c r="R83" s="16">
        <v>0.4</v>
      </c>
      <c r="S83" s="16">
        <v>0.4</v>
      </c>
      <c r="T83" s="55">
        <v>45493.0</v>
      </c>
      <c r="U83" s="18">
        <v>2.1</v>
      </c>
      <c r="V83" s="15" t="s">
        <v>4104</v>
      </c>
      <c r="W83" s="19">
        <f t="shared" si="1"/>
        <v>-0.2</v>
      </c>
      <c r="X83" s="19">
        <f t="shared" si="4"/>
        <v>1.0003</v>
      </c>
    </row>
    <row r="84">
      <c r="A84" s="8">
        <f t="shared" si="3"/>
        <v>83</v>
      </c>
      <c r="B84" s="8" t="s">
        <v>4225</v>
      </c>
      <c r="C84" s="8" t="s">
        <v>19</v>
      </c>
      <c r="D84" s="8">
        <v>45.0</v>
      </c>
      <c r="E84" s="8">
        <v>3.0</v>
      </c>
      <c r="F84" s="8" t="s">
        <v>5505</v>
      </c>
      <c r="G84" s="8">
        <v>5.0</v>
      </c>
      <c r="H84" s="8">
        <v>1.0</v>
      </c>
      <c r="I84" s="109">
        <v>0.5</v>
      </c>
      <c r="J84" s="8" t="s">
        <v>1473</v>
      </c>
      <c r="K84" s="8" t="s">
        <v>1477</v>
      </c>
      <c r="L84" s="8">
        <v>0.0</v>
      </c>
      <c r="M84" s="8" t="s">
        <v>82</v>
      </c>
      <c r="N84" s="8" t="s">
        <v>22</v>
      </c>
      <c r="O84" s="8" t="s">
        <v>892</v>
      </c>
      <c r="P84" s="8" t="s">
        <v>24</v>
      </c>
      <c r="Q84" s="9">
        <v>0.0</v>
      </c>
      <c r="R84" s="9">
        <v>0.5</v>
      </c>
      <c r="S84" s="9">
        <v>0.5</v>
      </c>
      <c r="T84" s="54">
        <v>45493.0</v>
      </c>
      <c r="U84" s="11">
        <v>1.675</v>
      </c>
      <c r="V84" s="8" t="s">
        <v>33</v>
      </c>
      <c r="W84" s="12">
        <f t="shared" si="1"/>
        <v>0.3375</v>
      </c>
      <c r="X84" s="12">
        <f t="shared" si="4"/>
        <v>1.3378</v>
      </c>
    </row>
    <row r="85">
      <c r="A85" s="15">
        <f t="shared" si="3"/>
        <v>84</v>
      </c>
      <c r="B85" s="15" t="s">
        <v>4225</v>
      </c>
      <c r="C85" s="15" t="s">
        <v>19</v>
      </c>
      <c r="D85" s="15">
        <v>55.0</v>
      </c>
      <c r="E85" s="15">
        <v>3.0</v>
      </c>
      <c r="F85" s="15" t="s">
        <v>5505</v>
      </c>
      <c r="G85" s="15">
        <v>5.0</v>
      </c>
      <c r="H85" s="15">
        <v>1.0</v>
      </c>
      <c r="I85" s="112">
        <v>0.5</v>
      </c>
      <c r="J85" s="15" t="s">
        <v>1473</v>
      </c>
      <c r="K85" s="15" t="s">
        <v>1477</v>
      </c>
      <c r="L85" s="15">
        <v>0.0</v>
      </c>
      <c r="M85" s="15" t="s">
        <v>82</v>
      </c>
      <c r="N85" s="15" t="s">
        <v>22</v>
      </c>
      <c r="O85" s="15" t="s">
        <v>892</v>
      </c>
      <c r="P85" s="15" t="s">
        <v>24</v>
      </c>
      <c r="Q85" s="16">
        <v>0.0</v>
      </c>
      <c r="R85" s="16">
        <v>0.25</v>
      </c>
      <c r="S85" s="16">
        <v>0.25</v>
      </c>
      <c r="T85" s="55">
        <v>45493.0</v>
      </c>
      <c r="U85" s="18">
        <v>1.7</v>
      </c>
      <c r="V85" s="15" t="s">
        <v>33</v>
      </c>
      <c r="W85" s="19">
        <f t="shared" si="1"/>
        <v>0.175</v>
      </c>
      <c r="X85" s="19">
        <f t="shared" si="4"/>
        <v>1.5128</v>
      </c>
    </row>
    <row r="86">
      <c r="A86" s="8">
        <f t="shared" si="3"/>
        <v>85</v>
      </c>
      <c r="B86" s="8" t="s">
        <v>18</v>
      </c>
      <c r="C86" s="8" t="s">
        <v>19</v>
      </c>
      <c r="D86" s="8">
        <v>80.0</v>
      </c>
      <c r="E86" s="8">
        <v>3.0</v>
      </c>
      <c r="F86" s="8" t="s">
        <v>5506</v>
      </c>
      <c r="G86" s="8">
        <v>1.0</v>
      </c>
      <c r="H86" s="8">
        <v>2.0</v>
      </c>
      <c r="I86" s="109">
        <v>0.9</v>
      </c>
      <c r="J86" s="8" t="s">
        <v>1479</v>
      </c>
      <c r="K86" s="8" t="s">
        <v>1480</v>
      </c>
      <c r="L86" s="8">
        <v>-1.0</v>
      </c>
      <c r="M86" s="8" t="s">
        <v>82</v>
      </c>
      <c r="N86" s="8" t="s">
        <v>22</v>
      </c>
      <c r="O86" s="8" t="s">
        <v>892</v>
      </c>
      <c r="P86" s="8" t="s">
        <v>1803</v>
      </c>
      <c r="Q86" s="9">
        <v>0.0</v>
      </c>
      <c r="R86" s="9">
        <v>0.5</v>
      </c>
      <c r="S86" s="9">
        <v>0.5</v>
      </c>
      <c r="T86" s="10">
        <v>45493.0</v>
      </c>
      <c r="U86" s="11">
        <v>1.85</v>
      </c>
      <c r="V86" s="8" t="s">
        <v>70</v>
      </c>
      <c r="W86" s="12">
        <f t="shared" si="1"/>
        <v>0</v>
      </c>
      <c r="X86" s="12">
        <f t="shared" si="4"/>
        <v>1.5128</v>
      </c>
    </row>
    <row r="87">
      <c r="A87" s="15">
        <f t="shared" si="3"/>
        <v>86</v>
      </c>
      <c r="B87" s="15" t="s">
        <v>4225</v>
      </c>
      <c r="C87" s="15" t="s">
        <v>19</v>
      </c>
      <c r="D87" s="15">
        <v>45.0</v>
      </c>
      <c r="E87" s="15">
        <v>5.0</v>
      </c>
      <c r="F87" s="15" t="s">
        <v>5507</v>
      </c>
      <c r="G87" s="15">
        <v>9.0</v>
      </c>
      <c r="H87" s="15">
        <v>3.0</v>
      </c>
      <c r="I87" s="112">
        <v>0.6818</v>
      </c>
      <c r="J87" s="15" t="s">
        <v>1473</v>
      </c>
      <c r="K87" s="15" t="s">
        <v>1477</v>
      </c>
      <c r="L87" s="15">
        <v>0.0</v>
      </c>
      <c r="M87" s="15" t="s">
        <v>513</v>
      </c>
      <c r="N87" s="15" t="s">
        <v>22</v>
      </c>
      <c r="O87" s="15" t="s">
        <v>894</v>
      </c>
      <c r="P87" s="15" t="s">
        <v>39</v>
      </c>
      <c r="Q87" s="16">
        <v>-0.5</v>
      </c>
      <c r="R87" s="16">
        <v>0.1</v>
      </c>
      <c r="S87" s="16">
        <v>0.06</v>
      </c>
      <c r="T87" s="55">
        <v>45494.0</v>
      </c>
      <c r="U87" s="18">
        <v>2.1</v>
      </c>
      <c r="V87" s="15" t="s">
        <v>33</v>
      </c>
      <c r="W87" s="19">
        <f t="shared" si="1"/>
        <v>0.066</v>
      </c>
      <c r="X87" s="19">
        <f t="shared" si="4"/>
        <v>1.5788</v>
      </c>
    </row>
    <row r="88">
      <c r="A88" s="8">
        <f t="shared" si="3"/>
        <v>87</v>
      </c>
      <c r="B88" s="8" t="s">
        <v>129</v>
      </c>
      <c r="C88" s="8" t="s">
        <v>19</v>
      </c>
      <c r="D88" s="8">
        <v>33.0</v>
      </c>
      <c r="E88" s="8">
        <v>3.0</v>
      </c>
      <c r="F88" s="8" t="s">
        <v>5508</v>
      </c>
      <c r="G88" s="8">
        <v>8.0</v>
      </c>
      <c r="H88" s="8">
        <v>2.0</v>
      </c>
      <c r="I88" s="109">
        <v>0.4333</v>
      </c>
      <c r="J88" s="8" t="s">
        <v>1473</v>
      </c>
      <c r="K88" s="8" t="s">
        <v>1480</v>
      </c>
      <c r="L88" s="8">
        <v>0.0</v>
      </c>
      <c r="M88" s="8" t="s">
        <v>5487</v>
      </c>
      <c r="N88" s="8" t="s">
        <v>22</v>
      </c>
      <c r="O88" s="8" t="s">
        <v>892</v>
      </c>
      <c r="P88" s="8" t="s">
        <v>24</v>
      </c>
      <c r="Q88" s="9">
        <v>0.0</v>
      </c>
      <c r="R88" s="9">
        <v>0.5</v>
      </c>
      <c r="S88" s="9">
        <v>0.5</v>
      </c>
      <c r="T88" s="10">
        <v>45494.0</v>
      </c>
      <c r="U88" s="11">
        <v>1.741</v>
      </c>
      <c r="V88" s="8" t="s">
        <v>70</v>
      </c>
      <c r="W88" s="12">
        <f t="shared" si="1"/>
        <v>0</v>
      </c>
      <c r="X88" s="12">
        <f t="shared" si="4"/>
        <v>1.5788</v>
      </c>
    </row>
    <row r="89">
      <c r="A89" s="15">
        <f t="shared" si="3"/>
        <v>88</v>
      </c>
      <c r="B89" s="15" t="s">
        <v>4225</v>
      </c>
      <c r="C89" s="15" t="s">
        <v>19</v>
      </c>
      <c r="D89" s="15">
        <v>33.0</v>
      </c>
      <c r="E89" s="15"/>
      <c r="F89" s="15" t="s">
        <v>5509</v>
      </c>
      <c r="G89" s="15">
        <v>8.0</v>
      </c>
      <c r="H89" s="15">
        <v>2.0</v>
      </c>
      <c r="I89" s="112">
        <v>0.4333</v>
      </c>
      <c r="J89" s="15" t="s">
        <v>1473</v>
      </c>
      <c r="K89" s="15" t="s">
        <v>1480</v>
      </c>
      <c r="L89" s="15">
        <v>0.0</v>
      </c>
      <c r="M89" s="15" t="s">
        <v>5487</v>
      </c>
      <c r="N89" s="15" t="s">
        <v>22</v>
      </c>
      <c r="O89" s="15" t="s">
        <v>440</v>
      </c>
      <c r="P89" s="15" t="s">
        <v>24</v>
      </c>
      <c r="Q89" s="16">
        <v>0.5</v>
      </c>
      <c r="R89" s="16">
        <v>0.25</v>
      </c>
      <c r="S89" s="16">
        <v>0.25</v>
      </c>
      <c r="T89" s="17">
        <v>45494.0</v>
      </c>
      <c r="U89" s="18">
        <v>1.825</v>
      </c>
      <c r="V89" s="15" t="s">
        <v>25</v>
      </c>
      <c r="W89" s="19">
        <f t="shared" si="1"/>
        <v>-0.25</v>
      </c>
      <c r="X89" s="19">
        <f t="shared" si="4"/>
        <v>1.3288</v>
      </c>
    </row>
    <row r="90">
      <c r="A90" s="8">
        <f t="shared" si="3"/>
        <v>89</v>
      </c>
      <c r="B90" s="8" t="s">
        <v>4225</v>
      </c>
      <c r="C90" s="8" t="s">
        <v>19</v>
      </c>
      <c r="D90" s="8">
        <v>30.0</v>
      </c>
      <c r="E90" s="8">
        <v>3.0</v>
      </c>
      <c r="F90" s="8" t="s">
        <v>5510</v>
      </c>
      <c r="G90" s="8">
        <v>9.0</v>
      </c>
      <c r="H90" s="8">
        <v>8.0</v>
      </c>
      <c r="I90" s="109">
        <v>0.53</v>
      </c>
      <c r="J90" s="8" t="s">
        <v>1479</v>
      </c>
      <c r="K90" s="8" t="s">
        <v>1480</v>
      </c>
      <c r="L90" s="8">
        <v>0.0</v>
      </c>
      <c r="M90" s="8" t="s">
        <v>2116</v>
      </c>
      <c r="N90" s="8" t="s">
        <v>22</v>
      </c>
      <c r="O90" s="8" t="s">
        <v>892</v>
      </c>
      <c r="P90" s="8" t="s">
        <v>24</v>
      </c>
      <c r="Q90" s="9">
        <v>0.0</v>
      </c>
      <c r="R90" s="9">
        <v>0.25</v>
      </c>
      <c r="S90" s="9">
        <v>0.25</v>
      </c>
      <c r="T90" s="10">
        <v>45494.0</v>
      </c>
      <c r="U90" s="11">
        <v>1.825</v>
      </c>
      <c r="V90" s="8" t="s">
        <v>25</v>
      </c>
      <c r="W90" s="12">
        <f t="shared" si="1"/>
        <v>-0.25</v>
      </c>
      <c r="X90" s="12">
        <f t="shared" si="4"/>
        <v>1.0788</v>
      </c>
    </row>
    <row r="91">
      <c r="A91" s="15">
        <f t="shared" si="3"/>
        <v>90</v>
      </c>
      <c r="B91" s="15" t="s">
        <v>4225</v>
      </c>
      <c r="C91" s="15" t="s">
        <v>19</v>
      </c>
      <c r="D91" s="15">
        <v>67.0</v>
      </c>
      <c r="E91" s="15">
        <v>5.0</v>
      </c>
      <c r="F91" s="15" t="s">
        <v>5511</v>
      </c>
      <c r="G91" s="15">
        <v>1.0</v>
      </c>
      <c r="H91" s="15">
        <v>12.0</v>
      </c>
      <c r="I91" s="112">
        <v>0.4333</v>
      </c>
      <c r="J91" s="15" t="s">
        <v>1479</v>
      </c>
      <c r="K91" s="15" t="s">
        <v>1477</v>
      </c>
      <c r="L91" s="15">
        <v>0.0</v>
      </c>
      <c r="M91" s="15" t="s">
        <v>5487</v>
      </c>
      <c r="N91" s="15" t="s">
        <v>22</v>
      </c>
      <c r="O91" s="15" t="s">
        <v>894</v>
      </c>
      <c r="P91" s="15" t="s">
        <v>24</v>
      </c>
      <c r="Q91" s="16">
        <v>-0.5</v>
      </c>
      <c r="R91" s="16">
        <v>0.25</v>
      </c>
      <c r="S91" s="16">
        <v>0.25</v>
      </c>
      <c r="T91" s="17">
        <v>45494.0</v>
      </c>
      <c r="U91" s="18">
        <v>1.825</v>
      </c>
      <c r="V91" s="15" t="s">
        <v>33</v>
      </c>
      <c r="W91" s="19">
        <f t="shared" si="1"/>
        <v>0.20625</v>
      </c>
      <c r="X91" s="19">
        <f t="shared" si="4"/>
        <v>1.28505</v>
      </c>
    </row>
    <row r="92">
      <c r="A92" s="8">
        <f t="shared" si="3"/>
        <v>91</v>
      </c>
      <c r="B92" s="8" t="s">
        <v>4225</v>
      </c>
      <c r="C92" s="8" t="s">
        <v>19</v>
      </c>
      <c r="D92" s="8">
        <v>0.0</v>
      </c>
      <c r="E92" s="8">
        <v>13.0</v>
      </c>
      <c r="F92" s="8" t="s">
        <v>5512</v>
      </c>
      <c r="G92" s="8">
        <v>9.0</v>
      </c>
      <c r="H92" s="8">
        <v>5.0</v>
      </c>
      <c r="I92" s="109">
        <v>0.4666</v>
      </c>
      <c r="J92" s="8" t="s">
        <v>1479</v>
      </c>
      <c r="K92" s="8" t="s">
        <v>1480</v>
      </c>
      <c r="L92" s="8">
        <v>0.0</v>
      </c>
      <c r="M92" s="8" t="s">
        <v>463</v>
      </c>
      <c r="N92" s="8" t="s">
        <v>598</v>
      </c>
      <c r="O92" s="8" t="s">
        <v>892</v>
      </c>
      <c r="P92" s="8" t="s">
        <v>1851</v>
      </c>
      <c r="Q92" s="9">
        <v>0.0</v>
      </c>
      <c r="R92" s="9">
        <v>0.1</v>
      </c>
      <c r="S92" s="9">
        <v>0.1</v>
      </c>
      <c r="T92" s="10">
        <v>45494.0</v>
      </c>
      <c r="U92" s="11">
        <v>1.89</v>
      </c>
      <c r="V92" s="8" t="s">
        <v>25</v>
      </c>
      <c r="W92" s="12">
        <f t="shared" si="1"/>
        <v>-0.1</v>
      </c>
      <c r="X92" s="12">
        <f t="shared" si="4"/>
        <v>1.18505</v>
      </c>
    </row>
    <row r="93">
      <c r="A93" s="15">
        <f t="shared" si="3"/>
        <v>92</v>
      </c>
      <c r="B93" s="15" t="s">
        <v>129</v>
      </c>
      <c r="C93" s="15" t="s">
        <v>19</v>
      </c>
      <c r="D93" s="15">
        <v>45.0</v>
      </c>
      <c r="E93" s="15">
        <v>3.0</v>
      </c>
      <c r="F93" s="15" t="s">
        <v>5513</v>
      </c>
      <c r="G93" s="15" t="s">
        <v>5553</v>
      </c>
      <c r="H93" s="15" t="s">
        <v>5553</v>
      </c>
      <c r="I93" s="15" t="s">
        <v>5553</v>
      </c>
      <c r="J93" s="15" t="s">
        <v>1473</v>
      </c>
      <c r="K93" s="15" t="s">
        <v>1480</v>
      </c>
      <c r="L93" s="15">
        <v>0.0</v>
      </c>
      <c r="M93" s="15" t="s">
        <v>84</v>
      </c>
      <c r="N93" s="15" t="s">
        <v>22</v>
      </c>
      <c r="O93" s="15" t="s">
        <v>892</v>
      </c>
      <c r="P93" s="15" t="s">
        <v>24</v>
      </c>
      <c r="Q93" s="16">
        <v>0.0</v>
      </c>
      <c r="R93" s="16">
        <v>0.25</v>
      </c>
      <c r="S93" s="16">
        <v>0.25</v>
      </c>
      <c r="T93" s="17">
        <v>45494.0</v>
      </c>
      <c r="U93" s="18">
        <v>1.85</v>
      </c>
      <c r="V93" s="15" t="s">
        <v>33</v>
      </c>
      <c r="W93" s="19">
        <f t="shared" si="1"/>
        <v>0.2125</v>
      </c>
      <c r="X93" s="19">
        <f t="shared" si="4"/>
        <v>1.39755</v>
      </c>
    </row>
    <row r="94">
      <c r="A94" s="8">
        <f t="shared" si="3"/>
        <v>93</v>
      </c>
      <c r="B94" s="8" t="s">
        <v>18</v>
      </c>
      <c r="C94" s="8" t="s">
        <v>19</v>
      </c>
      <c r="D94" s="8">
        <v>70.0</v>
      </c>
      <c r="E94" s="8">
        <v>3.0</v>
      </c>
      <c r="F94" s="8" t="s">
        <v>5514</v>
      </c>
      <c r="G94" s="8">
        <v>10.0</v>
      </c>
      <c r="H94" s="8">
        <v>11.0</v>
      </c>
      <c r="I94" s="109">
        <v>0.65</v>
      </c>
      <c r="J94" s="8" t="s">
        <v>1479</v>
      </c>
      <c r="K94" s="8" t="s">
        <v>1480</v>
      </c>
      <c r="L94" s="8">
        <v>0.0</v>
      </c>
      <c r="M94" s="8" t="s">
        <v>74</v>
      </c>
      <c r="N94" s="8" t="s">
        <v>22</v>
      </c>
      <c r="O94" s="8" t="s">
        <v>892</v>
      </c>
      <c r="P94" s="8" t="s">
        <v>24</v>
      </c>
      <c r="Q94" s="9">
        <v>0.0</v>
      </c>
      <c r="R94" s="9">
        <v>0.25</v>
      </c>
      <c r="S94" s="9">
        <v>0.25</v>
      </c>
      <c r="T94" s="54">
        <v>45494.0</v>
      </c>
      <c r="U94" s="11">
        <v>1.775</v>
      </c>
      <c r="V94" s="8" t="s">
        <v>70</v>
      </c>
      <c r="W94" s="12">
        <f t="shared" si="1"/>
        <v>0</v>
      </c>
      <c r="X94" s="12">
        <f t="shared" si="4"/>
        <v>1.39755</v>
      </c>
    </row>
    <row r="95">
      <c r="A95" s="15">
        <f t="shared" si="3"/>
        <v>94</v>
      </c>
      <c r="B95" s="15" t="s">
        <v>4225</v>
      </c>
      <c r="C95" s="15" t="s">
        <v>40</v>
      </c>
      <c r="D95" s="15">
        <v>45.0</v>
      </c>
      <c r="E95" s="15">
        <v>2.0</v>
      </c>
      <c r="F95" s="15" t="s">
        <v>5515</v>
      </c>
      <c r="G95" s="15">
        <v>2.0</v>
      </c>
      <c r="H95" s="15">
        <v>4.0</v>
      </c>
      <c r="I95" s="112">
        <v>0.764</v>
      </c>
      <c r="J95" s="15" t="s">
        <v>1479</v>
      </c>
      <c r="K95" s="15" t="s">
        <v>1474</v>
      </c>
      <c r="L95" s="15">
        <v>0.0</v>
      </c>
      <c r="M95" s="15" t="s">
        <v>1085</v>
      </c>
      <c r="N95" s="15" t="s">
        <v>22</v>
      </c>
      <c r="O95" s="15" t="s">
        <v>225</v>
      </c>
      <c r="P95" s="15" t="s">
        <v>24</v>
      </c>
      <c r="Q95" s="16">
        <v>0.5</v>
      </c>
      <c r="R95" s="16">
        <v>0.25</v>
      </c>
      <c r="S95" s="16">
        <v>0.25</v>
      </c>
      <c r="T95" s="17">
        <v>45494.0</v>
      </c>
      <c r="U95" s="18">
        <v>1.85</v>
      </c>
      <c r="V95" s="15" t="s">
        <v>33</v>
      </c>
      <c r="W95" s="19">
        <f t="shared" si="1"/>
        <v>0.2125</v>
      </c>
      <c r="X95" s="19">
        <f t="shared" si="4"/>
        <v>1.61005</v>
      </c>
    </row>
    <row r="96">
      <c r="A96" s="8">
        <f t="shared" si="3"/>
        <v>95</v>
      </c>
      <c r="B96" s="8" t="s">
        <v>137</v>
      </c>
      <c r="C96" s="8" t="s">
        <v>19</v>
      </c>
      <c r="D96" s="8">
        <v>20.0</v>
      </c>
      <c r="E96" s="8">
        <v>3.0</v>
      </c>
      <c r="F96" s="8" t="s">
        <v>5516</v>
      </c>
      <c r="G96" s="8">
        <v>2.0</v>
      </c>
      <c r="H96" s="8">
        <v>3.0</v>
      </c>
      <c r="I96" s="109">
        <v>0.6</v>
      </c>
      <c r="J96" s="8" t="s">
        <v>1479</v>
      </c>
      <c r="K96" s="8" t="s">
        <v>1480</v>
      </c>
      <c r="L96" s="8">
        <v>0.0</v>
      </c>
      <c r="M96" s="8" t="s">
        <v>82</v>
      </c>
      <c r="N96" s="8" t="s">
        <v>22</v>
      </c>
      <c r="O96" s="8" t="s">
        <v>892</v>
      </c>
      <c r="P96" s="8" t="s">
        <v>39</v>
      </c>
      <c r="Q96" s="9">
        <v>0.0</v>
      </c>
      <c r="R96" s="9">
        <v>0.5</v>
      </c>
      <c r="S96" s="9">
        <v>0.48</v>
      </c>
      <c r="T96" s="10">
        <v>45494.0</v>
      </c>
      <c r="U96" s="11">
        <v>1.725</v>
      </c>
      <c r="V96" s="8" t="s">
        <v>70</v>
      </c>
      <c r="W96" s="12">
        <f t="shared" si="1"/>
        <v>0</v>
      </c>
      <c r="X96" s="12">
        <f t="shared" si="4"/>
        <v>1.61005</v>
      </c>
    </row>
    <row r="97">
      <c r="A97" s="15">
        <f t="shared" si="3"/>
        <v>96</v>
      </c>
      <c r="B97" s="15" t="s">
        <v>4225</v>
      </c>
      <c r="C97" s="15" t="s">
        <v>19</v>
      </c>
      <c r="D97" s="15">
        <v>60.0</v>
      </c>
      <c r="E97" s="15">
        <v>3.0</v>
      </c>
      <c r="F97" s="15" t="s">
        <v>5517</v>
      </c>
      <c r="G97" s="15" t="s">
        <v>5553</v>
      </c>
      <c r="H97" s="15" t="s">
        <v>5553</v>
      </c>
      <c r="I97" s="15" t="s">
        <v>1479</v>
      </c>
      <c r="J97" s="15" t="s">
        <v>1479</v>
      </c>
      <c r="K97" s="15" t="s">
        <v>1477</v>
      </c>
      <c r="L97" s="15">
        <v>0.0</v>
      </c>
      <c r="M97" s="15" t="s">
        <v>82</v>
      </c>
      <c r="N97" s="15" t="s">
        <v>22</v>
      </c>
      <c r="O97" s="15" t="s">
        <v>941</v>
      </c>
      <c r="P97" s="15" t="s">
        <v>24</v>
      </c>
      <c r="Q97" s="16">
        <v>0.0</v>
      </c>
      <c r="R97" s="16">
        <v>0.25</v>
      </c>
      <c r="S97" s="16">
        <v>0.25</v>
      </c>
      <c r="T97" s="17">
        <v>45494.0</v>
      </c>
      <c r="U97" s="18">
        <v>1.67</v>
      </c>
      <c r="V97" s="15" t="s">
        <v>33</v>
      </c>
      <c r="W97" s="19">
        <f t="shared" si="1"/>
        <v>0.1675</v>
      </c>
      <c r="X97" s="19">
        <f t="shared" si="4"/>
        <v>1.77755</v>
      </c>
    </row>
    <row r="98">
      <c r="A98" s="8">
        <f t="shared" si="3"/>
        <v>97</v>
      </c>
      <c r="B98" s="8" t="s">
        <v>4225</v>
      </c>
      <c r="C98" s="8" t="s">
        <v>19</v>
      </c>
      <c r="D98" s="8">
        <v>0.0</v>
      </c>
      <c r="E98" s="8"/>
      <c r="F98" s="8" t="s">
        <v>5518</v>
      </c>
      <c r="G98" s="8">
        <v>7.0</v>
      </c>
      <c r="H98" s="8">
        <v>19.0</v>
      </c>
      <c r="I98" s="109">
        <v>0.421</v>
      </c>
      <c r="J98" s="8" t="s">
        <v>1479</v>
      </c>
      <c r="K98" s="8" t="s">
        <v>1477</v>
      </c>
      <c r="L98" s="8">
        <v>0.0</v>
      </c>
      <c r="M98" s="8" t="s">
        <v>82</v>
      </c>
      <c r="N98" s="8" t="s">
        <v>598</v>
      </c>
      <c r="O98" s="8" t="s">
        <v>1847</v>
      </c>
      <c r="P98" s="8" t="s">
        <v>39</v>
      </c>
      <c r="Q98" s="9">
        <v>-0.5</v>
      </c>
      <c r="R98" s="9">
        <v>0.1</v>
      </c>
      <c r="S98" s="9">
        <v>0.1</v>
      </c>
      <c r="T98" s="54">
        <v>45494.0</v>
      </c>
      <c r="U98" s="11">
        <v>1.72</v>
      </c>
      <c r="V98" s="8" t="s">
        <v>33</v>
      </c>
      <c r="W98" s="12">
        <f t="shared" si="1"/>
        <v>0.072</v>
      </c>
      <c r="X98" s="12">
        <f t="shared" si="4"/>
        <v>1.84955</v>
      </c>
    </row>
    <row r="99">
      <c r="A99" s="15">
        <f t="shared" si="3"/>
        <v>98</v>
      </c>
      <c r="B99" s="15" t="s">
        <v>18</v>
      </c>
      <c r="C99" s="15" t="s">
        <v>19</v>
      </c>
      <c r="D99" s="15">
        <v>7.0</v>
      </c>
      <c r="E99" s="15">
        <v>11.0</v>
      </c>
      <c r="F99" s="15" t="s">
        <v>5519</v>
      </c>
      <c r="G99" s="15">
        <v>6.0</v>
      </c>
      <c r="H99" s="15">
        <v>15.0</v>
      </c>
      <c r="I99" s="112">
        <f>13/(15*2)</f>
        <v>0.4333333333</v>
      </c>
      <c r="J99" s="15"/>
      <c r="K99" s="15"/>
      <c r="L99" s="15">
        <v>0.0</v>
      </c>
      <c r="M99" s="15" t="s">
        <v>5487</v>
      </c>
      <c r="N99" s="15" t="s">
        <v>22</v>
      </c>
      <c r="O99" s="15" t="s">
        <v>29</v>
      </c>
      <c r="P99" s="15" t="s">
        <v>24</v>
      </c>
      <c r="Q99" s="16">
        <v>-2.0</v>
      </c>
      <c r="R99" s="16">
        <v>0.25</v>
      </c>
      <c r="S99" s="16">
        <v>0.25</v>
      </c>
      <c r="T99" s="17">
        <v>45497.0</v>
      </c>
      <c r="U99" s="18">
        <v>1.675</v>
      </c>
      <c r="V99" s="15" t="s">
        <v>70</v>
      </c>
      <c r="W99" s="19">
        <f t="shared" si="1"/>
        <v>0</v>
      </c>
      <c r="X99" s="19">
        <f t="shared" si="4"/>
        <v>1.84955</v>
      </c>
    </row>
    <row r="100">
      <c r="A100" s="8">
        <f t="shared" si="3"/>
        <v>99</v>
      </c>
      <c r="B100" s="8" t="s">
        <v>26</v>
      </c>
      <c r="C100" s="8" t="s">
        <v>19</v>
      </c>
      <c r="D100" s="8">
        <v>80.0</v>
      </c>
      <c r="E100" s="8">
        <v>3.0</v>
      </c>
      <c r="F100" s="8" t="s">
        <v>5520</v>
      </c>
      <c r="G100" s="8" t="s">
        <v>5553</v>
      </c>
      <c r="H100" s="8" t="s">
        <v>5553</v>
      </c>
      <c r="I100" s="109" t="s">
        <v>5553</v>
      </c>
      <c r="J100" s="8" t="s">
        <v>1473</v>
      </c>
      <c r="K100" s="8" t="s">
        <v>1480</v>
      </c>
      <c r="L100" s="8">
        <v>1.0</v>
      </c>
      <c r="M100" s="8" t="s">
        <v>5521</v>
      </c>
      <c r="N100" s="8" t="s">
        <v>22</v>
      </c>
      <c r="O100" s="8" t="s">
        <v>892</v>
      </c>
      <c r="P100" s="8" t="s">
        <v>1851</v>
      </c>
      <c r="Q100" s="9">
        <v>0.0</v>
      </c>
      <c r="R100" s="9">
        <v>0.25</v>
      </c>
      <c r="S100" s="9">
        <v>0.25</v>
      </c>
      <c r="T100" s="10">
        <v>45498.0</v>
      </c>
      <c r="U100" s="11">
        <v>1.6</v>
      </c>
      <c r="V100" s="8" t="s">
        <v>70</v>
      </c>
      <c r="W100" s="12">
        <f t="shared" si="1"/>
        <v>0</v>
      </c>
      <c r="X100" s="12">
        <f t="shared" si="4"/>
        <v>1.84955</v>
      </c>
    </row>
    <row r="101">
      <c r="A101" s="15">
        <f t="shared" si="3"/>
        <v>100</v>
      </c>
      <c r="B101" s="15" t="s">
        <v>26</v>
      </c>
      <c r="C101" s="15" t="s">
        <v>19</v>
      </c>
      <c r="D101" s="15">
        <v>30.0</v>
      </c>
      <c r="E101" s="15">
        <v>3.0</v>
      </c>
      <c r="F101" s="15" t="s">
        <v>5522</v>
      </c>
      <c r="G101" s="15">
        <v>2.0</v>
      </c>
      <c r="H101" s="15">
        <v>2.0</v>
      </c>
      <c r="I101" s="112" t="s">
        <v>1479</v>
      </c>
      <c r="J101" s="15" t="s">
        <v>1479</v>
      </c>
      <c r="K101" s="15" t="s">
        <v>1480</v>
      </c>
      <c r="L101" s="15">
        <v>0.0</v>
      </c>
      <c r="M101" s="15" t="s">
        <v>82</v>
      </c>
      <c r="N101" s="15" t="s">
        <v>22</v>
      </c>
      <c r="O101" s="15" t="s">
        <v>892</v>
      </c>
      <c r="P101" s="15" t="s">
        <v>24</v>
      </c>
      <c r="Q101" s="16">
        <v>0.0</v>
      </c>
      <c r="R101" s="16">
        <v>0.75</v>
      </c>
      <c r="S101" s="16">
        <v>0.75</v>
      </c>
      <c r="T101" s="17">
        <v>45498.0</v>
      </c>
      <c r="U101" s="18">
        <v>1.9</v>
      </c>
      <c r="V101" s="15" t="s">
        <v>33</v>
      </c>
      <c r="W101" s="19">
        <f t="shared" si="1"/>
        <v>0.675</v>
      </c>
      <c r="X101" s="19">
        <f t="shared" si="4"/>
        <v>2.52455</v>
      </c>
    </row>
    <row r="102">
      <c r="A102" s="8">
        <f t="shared" si="3"/>
        <v>101</v>
      </c>
      <c r="B102" s="8" t="s">
        <v>129</v>
      </c>
      <c r="C102" s="8" t="s">
        <v>19</v>
      </c>
      <c r="D102" s="8">
        <v>82.0</v>
      </c>
      <c r="E102" s="8">
        <v>7.0</v>
      </c>
      <c r="F102" s="8" t="s">
        <v>5523</v>
      </c>
      <c r="G102" s="8" t="s">
        <v>5553</v>
      </c>
      <c r="H102" s="8" t="s">
        <v>5553</v>
      </c>
      <c r="I102" s="109" t="s">
        <v>5553</v>
      </c>
      <c r="J102" s="8" t="s">
        <v>1479</v>
      </c>
      <c r="K102" s="8" t="s">
        <v>1474</v>
      </c>
      <c r="L102" s="8">
        <v>1.0</v>
      </c>
      <c r="M102" s="8" t="s">
        <v>5524</v>
      </c>
      <c r="N102" s="8" t="s">
        <v>22</v>
      </c>
      <c r="O102" s="8" t="s">
        <v>225</v>
      </c>
      <c r="P102" s="8" t="s">
        <v>24</v>
      </c>
      <c r="Q102" s="9">
        <v>0.25</v>
      </c>
      <c r="R102" s="9">
        <v>0.25</v>
      </c>
      <c r="S102" s="9">
        <f>0.25*25/52</f>
        <v>0.1201923077</v>
      </c>
      <c r="T102" s="10">
        <v>45498.0</v>
      </c>
      <c r="U102" s="11">
        <v>1.95</v>
      </c>
      <c r="V102" s="8" t="s">
        <v>30</v>
      </c>
      <c r="W102" s="12">
        <f t="shared" si="1"/>
        <v>0.05709134615</v>
      </c>
      <c r="X102" s="12">
        <f t="shared" si="4"/>
        <v>2.581641346</v>
      </c>
    </row>
    <row r="103">
      <c r="A103" s="15">
        <f t="shared" si="3"/>
        <v>102</v>
      </c>
      <c r="B103" s="15" t="s">
        <v>26</v>
      </c>
      <c r="C103" s="15" t="s">
        <v>19</v>
      </c>
      <c r="D103" s="15">
        <v>84.0</v>
      </c>
      <c r="E103" s="15">
        <v>3.0</v>
      </c>
      <c r="F103" s="15" t="s">
        <v>5525</v>
      </c>
      <c r="G103" s="15" t="s">
        <v>5553</v>
      </c>
      <c r="H103" s="15" t="s">
        <v>5553</v>
      </c>
      <c r="I103" s="112" t="s">
        <v>5553</v>
      </c>
      <c r="J103" s="15" t="s">
        <v>1479</v>
      </c>
      <c r="K103" s="15" t="s">
        <v>1480</v>
      </c>
      <c r="L103" s="15">
        <v>0.0</v>
      </c>
      <c r="M103" s="15" t="s">
        <v>28</v>
      </c>
      <c r="N103" s="15" t="s">
        <v>22</v>
      </c>
      <c r="O103" s="15" t="s">
        <v>892</v>
      </c>
      <c r="P103" s="15" t="s">
        <v>24</v>
      </c>
      <c r="Q103" s="16">
        <v>0.0</v>
      </c>
      <c r="R103" s="16">
        <v>0.25</v>
      </c>
      <c r="S103" s="16">
        <v>0.25</v>
      </c>
      <c r="T103" s="17">
        <v>45499.0</v>
      </c>
      <c r="U103" s="18">
        <v>2.0</v>
      </c>
      <c r="V103" s="15" t="s">
        <v>70</v>
      </c>
      <c r="W103" s="19">
        <f t="shared" si="1"/>
        <v>0</v>
      </c>
      <c r="X103" s="19">
        <f t="shared" si="4"/>
        <v>2.581641346</v>
      </c>
    </row>
    <row r="104">
      <c r="A104" s="8">
        <f t="shared" si="3"/>
        <v>103</v>
      </c>
      <c r="B104" s="8" t="s">
        <v>26</v>
      </c>
      <c r="C104" s="8" t="s">
        <v>19</v>
      </c>
      <c r="D104" s="8">
        <v>81.0</v>
      </c>
      <c r="E104" s="8">
        <v>7.0</v>
      </c>
      <c r="F104" s="8" t="s">
        <v>5526</v>
      </c>
      <c r="G104" s="8">
        <v>7.0</v>
      </c>
      <c r="H104" s="8">
        <v>14.0</v>
      </c>
      <c r="I104" s="109">
        <f>1/38</f>
        <v>0.02631578947</v>
      </c>
      <c r="J104" s="8" t="s">
        <v>1473</v>
      </c>
      <c r="K104" s="8" t="s">
        <v>1474</v>
      </c>
      <c r="L104" s="8">
        <v>0.0</v>
      </c>
      <c r="M104" s="8" t="s">
        <v>44</v>
      </c>
      <c r="N104" s="8" t="s">
        <v>22</v>
      </c>
      <c r="O104" s="8" t="s">
        <v>225</v>
      </c>
      <c r="P104" s="8" t="s">
        <v>24</v>
      </c>
      <c r="Q104" s="9">
        <v>0.25</v>
      </c>
      <c r="R104" s="9">
        <v>0.25</v>
      </c>
      <c r="S104" s="9">
        <v>0.25</v>
      </c>
      <c r="T104" s="10">
        <v>45499.0</v>
      </c>
      <c r="U104" s="11">
        <v>1.8</v>
      </c>
      <c r="V104" s="8" t="s">
        <v>30</v>
      </c>
      <c r="W104" s="12">
        <f t="shared" si="1"/>
        <v>0.1</v>
      </c>
      <c r="X104" s="12">
        <f t="shared" si="4"/>
        <v>2.681641346</v>
      </c>
    </row>
    <row r="105">
      <c r="A105" s="15">
        <f t="shared" si="3"/>
        <v>104</v>
      </c>
      <c r="B105" s="15" t="s">
        <v>26</v>
      </c>
      <c r="C105" s="15" t="s">
        <v>19</v>
      </c>
      <c r="D105" s="15">
        <v>71.0</v>
      </c>
      <c r="E105" s="15">
        <v>2.0</v>
      </c>
      <c r="F105" s="15" t="s">
        <v>5527</v>
      </c>
      <c r="G105" s="15"/>
      <c r="H105" s="15"/>
      <c r="I105" s="112"/>
      <c r="J105" s="15" t="s">
        <v>1479</v>
      </c>
      <c r="K105" s="15" t="s">
        <v>1474</v>
      </c>
      <c r="L105" s="15">
        <v>-1.0</v>
      </c>
      <c r="M105" s="15" t="s">
        <v>28</v>
      </c>
      <c r="N105" s="15" t="s">
        <v>22</v>
      </c>
      <c r="O105" s="15" t="s">
        <v>225</v>
      </c>
      <c r="P105" s="15" t="s">
        <v>24</v>
      </c>
      <c r="Q105" s="16">
        <v>0.25</v>
      </c>
      <c r="R105" s="16">
        <v>0.25</v>
      </c>
      <c r="S105" s="16">
        <v>0.11</v>
      </c>
      <c r="T105" s="55">
        <v>45500.0</v>
      </c>
      <c r="U105" s="18">
        <v>1.95</v>
      </c>
      <c r="V105" s="15" t="s">
        <v>30</v>
      </c>
      <c r="W105" s="19">
        <f t="shared" si="1"/>
        <v>0.05225</v>
      </c>
      <c r="X105" s="19">
        <f t="shared" si="4"/>
        <v>2.733891346</v>
      </c>
    </row>
    <row r="106">
      <c r="A106" s="8">
        <f t="shared" si="3"/>
        <v>105</v>
      </c>
      <c r="B106" s="8" t="s">
        <v>137</v>
      </c>
      <c r="C106" s="8" t="s">
        <v>40</v>
      </c>
      <c r="D106" s="8">
        <v>29.0</v>
      </c>
      <c r="E106" s="8">
        <v>2.0</v>
      </c>
      <c r="F106" s="8" t="s">
        <v>5528</v>
      </c>
      <c r="G106" s="8" t="s">
        <v>5553</v>
      </c>
      <c r="H106" s="8" t="s">
        <v>5553</v>
      </c>
      <c r="I106" s="109" t="s">
        <v>5553</v>
      </c>
      <c r="J106" s="8" t="s">
        <v>1473</v>
      </c>
      <c r="K106" s="8" t="s">
        <v>1474</v>
      </c>
      <c r="L106" s="8">
        <v>0.0</v>
      </c>
      <c r="M106" s="8" t="s">
        <v>172</v>
      </c>
      <c r="N106" s="8" t="s">
        <v>22</v>
      </c>
      <c r="O106" s="8" t="s">
        <v>225</v>
      </c>
      <c r="P106" s="8" t="s">
        <v>24</v>
      </c>
      <c r="Q106" s="9">
        <v>0.5</v>
      </c>
      <c r="R106" s="9">
        <v>0.5</v>
      </c>
      <c r="S106" s="9">
        <v>0.5</v>
      </c>
      <c r="T106" s="54">
        <v>45500.0</v>
      </c>
      <c r="U106" s="11">
        <v>1.95</v>
      </c>
      <c r="V106" s="8" t="s">
        <v>25</v>
      </c>
      <c r="W106" s="12">
        <f t="shared" si="1"/>
        <v>-0.5</v>
      </c>
      <c r="X106" s="12">
        <f t="shared" si="4"/>
        <v>2.233891346</v>
      </c>
    </row>
    <row r="107">
      <c r="A107" s="15">
        <f t="shared" si="3"/>
        <v>106</v>
      </c>
      <c r="B107" s="15" t="s">
        <v>129</v>
      </c>
      <c r="C107" s="15" t="s">
        <v>19</v>
      </c>
      <c r="D107" s="15">
        <v>77.0</v>
      </c>
      <c r="E107" s="15">
        <v>3.0</v>
      </c>
      <c r="F107" s="15" t="s">
        <v>5529</v>
      </c>
      <c r="G107" s="15"/>
      <c r="H107" s="15"/>
      <c r="I107" s="112"/>
      <c r="J107" s="15" t="s">
        <v>1479</v>
      </c>
      <c r="K107" s="15" t="s">
        <v>1480</v>
      </c>
      <c r="L107" s="15">
        <v>0.0</v>
      </c>
      <c r="M107" s="15" t="s">
        <v>204</v>
      </c>
      <c r="N107" s="15" t="s">
        <v>22</v>
      </c>
      <c r="O107" s="15" t="s">
        <v>892</v>
      </c>
      <c r="P107" s="15" t="s">
        <v>24</v>
      </c>
      <c r="Q107" s="16">
        <v>0.0</v>
      </c>
      <c r="R107" s="16">
        <v>0.25</v>
      </c>
      <c r="S107" s="16">
        <v>0.15</v>
      </c>
      <c r="T107" s="17">
        <v>45500.0</v>
      </c>
      <c r="U107" s="18">
        <v>1.95</v>
      </c>
      <c r="V107" s="15" t="s">
        <v>70</v>
      </c>
      <c r="W107" s="19">
        <f t="shared" si="1"/>
        <v>0</v>
      </c>
      <c r="X107" s="19">
        <f t="shared" si="4"/>
        <v>2.233891346</v>
      </c>
    </row>
    <row r="108">
      <c r="A108" s="8">
        <f t="shared" si="3"/>
        <v>107</v>
      </c>
      <c r="B108" s="8" t="s">
        <v>26</v>
      </c>
      <c r="C108" s="8" t="s">
        <v>19</v>
      </c>
      <c r="D108" s="8">
        <v>79.0</v>
      </c>
      <c r="E108" s="8">
        <v>3.0</v>
      </c>
      <c r="F108" s="8" t="s">
        <v>5530</v>
      </c>
      <c r="G108" s="8"/>
      <c r="H108" s="8"/>
      <c r="I108" s="109"/>
      <c r="J108" s="8" t="s">
        <v>1473</v>
      </c>
      <c r="K108" s="8" t="s">
        <v>1480</v>
      </c>
      <c r="L108" s="8">
        <v>0.0</v>
      </c>
      <c r="M108" s="8" t="s">
        <v>28</v>
      </c>
      <c r="N108" s="8" t="s">
        <v>22</v>
      </c>
      <c r="O108" s="8" t="s">
        <v>892</v>
      </c>
      <c r="P108" s="8" t="s">
        <v>24</v>
      </c>
      <c r="Q108" s="9">
        <v>0.0</v>
      </c>
      <c r="R108" s="9">
        <v>0.5</v>
      </c>
      <c r="S108" s="9">
        <v>0.5</v>
      </c>
      <c r="T108" s="10">
        <v>45500.0</v>
      </c>
      <c r="U108" s="11">
        <v>1.75</v>
      </c>
      <c r="V108" s="8" t="s">
        <v>70</v>
      </c>
      <c r="W108" s="12">
        <f t="shared" si="1"/>
        <v>0</v>
      </c>
      <c r="X108" s="12">
        <f t="shared" si="4"/>
        <v>2.233891346</v>
      </c>
    </row>
    <row r="109">
      <c r="A109" s="15">
        <f t="shared" si="3"/>
        <v>108</v>
      </c>
      <c r="B109" s="15" t="s">
        <v>129</v>
      </c>
      <c r="C109" s="15" t="s">
        <v>19</v>
      </c>
      <c r="D109" s="15">
        <v>81.0</v>
      </c>
      <c r="E109" s="15">
        <v>3.0</v>
      </c>
      <c r="F109" s="15" t="s">
        <v>5531</v>
      </c>
      <c r="G109" s="113"/>
      <c r="H109" s="113"/>
      <c r="I109" s="112"/>
      <c r="J109" s="15" t="s">
        <v>1479</v>
      </c>
      <c r="K109" s="15" t="s">
        <v>1480</v>
      </c>
      <c r="L109" s="15">
        <v>1.0</v>
      </c>
      <c r="M109" s="15" t="s">
        <v>28</v>
      </c>
      <c r="N109" s="15" t="s">
        <v>22</v>
      </c>
      <c r="O109" s="15" t="s">
        <v>892</v>
      </c>
      <c r="P109" s="15" t="s">
        <v>24</v>
      </c>
      <c r="Q109" s="16">
        <v>0.0</v>
      </c>
      <c r="R109" s="16">
        <v>0.5</v>
      </c>
      <c r="S109" s="16">
        <v>0.5</v>
      </c>
      <c r="T109" s="17">
        <v>45500.0</v>
      </c>
      <c r="U109" s="18">
        <v>1.95</v>
      </c>
      <c r="V109" s="15" t="s">
        <v>70</v>
      </c>
      <c r="W109" s="19">
        <f t="shared" si="1"/>
        <v>0</v>
      </c>
      <c r="X109" s="19">
        <f t="shared" si="4"/>
        <v>2.233891346</v>
      </c>
    </row>
    <row r="110">
      <c r="A110" s="8">
        <f t="shared" si="3"/>
        <v>109</v>
      </c>
      <c r="B110" s="8" t="s">
        <v>18</v>
      </c>
      <c r="C110" s="8" t="s">
        <v>19</v>
      </c>
      <c r="D110" s="8">
        <v>72.0</v>
      </c>
      <c r="E110" s="8">
        <v>7.0</v>
      </c>
      <c r="F110" s="8" t="s">
        <v>5532</v>
      </c>
      <c r="G110" s="8" t="s">
        <v>5553</v>
      </c>
      <c r="H110" s="8" t="s">
        <v>5553</v>
      </c>
      <c r="I110" s="109" t="s">
        <v>1479</v>
      </c>
      <c r="J110" s="8" t="s">
        <v>1479</v>
      </c>
      <c r="K110" s="8" t="s">
        <v>1474</v>
      </c>
      <c r="L110" s="8">
        <v>2.0</v>
      </c>
      <c r="M110" s="8" t="s">
        <v>448</v>
      </c>
      <c r="N110" s="8" t="s">
        <v>22</v>
      </c>
      <c r="O110" s="8" t="s">
        <v>225</v>
      </c>
      <c r="P110" s="8" t="s">
        <v>24</v>
      </c>
      <c r="Q110" s="9">
        <v>0.5</v>
      </c>
      <c r="R110" s="9">
        <v>0.25</v>
      </c>
      <c r="S110" s="9">
        <v>0.25</v>
      </c>
      <c r="T110" s="10">
        <v>45500.0</v>
      </c>
      <c r="U110" s="11">
        <v>1.7</v>
      </c>
      <c r="V110" s="8" t="s">
        <v>33</v>
      </c>
      <c r="W110" s="12">
        <f t="shared" si="1"/>
        <v>0.175</v>
      </c>
      <c r="X110" s="12">
        <f t="shared" si="4"/>
        <v>2.408891346</v>
      </c>
    </row>
    <row r="111">
      <c r="A111" s="15">
        <f t="shared" si="3"/>
        <v>110</v>
      </c>
      <c r="B111" s="15" t="s">
        <v>129</v>
      </c>
      <c r="C111" s="15" t="s">
        <v>19</v>
      </c>
      <c r="D111" s="15">
        <v>85.0</v>
      </c>
      <c r="E111" s="15">
        <v>7.0</v>
      </c>
      <c r="F111" s="15" t="s">
        <v>5533</v>
      </c>
      <c r="G111" s="15">
        <v>10.0</v>
      </c>
      <c r="H111" s="15">
        <v>1.0</v>
      </c>
      <c r="I111" s="112">
        <v>0.005</v>
      </c>
      <c r="J111" s="15" t="s">
        <v>1479</v>
      </c>
      <c r="K111" s="15" t="s">
        <v>1474</v>
      </c>
      <c r="L111" s="15">
        <v>-2.0</v>
      </c>
      <c r="M111" s="15" t="s">
        <v>463</v>
      </c>
      <c r="N111" s="15" t="s">
        <v>22</v>
      </c>
      <c r="O111" s="15" t="s">
        <v>225</v>
      </c>
      <c r="P111" s="15" t="s">
        <v>24</v>
      </c>
      <c r="Q111" s="16">
        <v>0.5</v>
      </c>
      <c r="R111" s="16">
        <v>0.25</v>
      </c>
      <c r="S111" s="16">
        <v>0.25</v>
      </c>
      <c r="T111" s="17">
        <v>45500.0</v>
      </c>
      <c r="U111" s="18">
        <v>1.7</v>
      </c>
      <c r="V111" s="15" t="s">
        <v>33</v>
      </c>
      <c r="W111" s="19">
        <f t="shared" si="1"/>
        <v>0.175</v>
      </c>
      <c r="X111" s="19">
        <f t="shared" si="4"/>
        <v>2.583891346</v>
      </c>
    </row>
    <row r="112">
      <c r="A112" s="8">
        <f t="shared" si="3"/>
        <v>111</v>
      </c>
      <c r="B112" s="8" t="s">
        <v>129</v>
      </c>
      <c r="C112" s="8" t="s">
        <v>19</v>
      </c>
      <c r="D112" s="8">
        <v>86.0</v>
      </c>
      <c r="E112" s="8">
        <v>7.0</v>
      </c>
      <c r="F112" s="8" t="s">
        <v>5534</v>
      </c>
      <c r="G112" s="8">
        <v>10.0</v>
      </c>
      <c r="H112" s="8">
        <v>1.0</v>
      </c>
      <c r="I112" s="109">
        <v>0.005</v>
      </c>
      <c r="J112" s="8"/>
      <c r="K112" s="8"/>
      <c r="L112" s="8"/>
      <c r="M112" s="8" t="s">
        <v>463</v>
      </c>
      <c r="N112" s="8" t="s">
        <v>22</v>
      </c>
      <c r="O112" s="8" t="s">
        <v>29</v>
      </c>
      <c r="P112" s="8" t="s">
        <v>24</v>
      </c>
      <c r="Q112" s="9">
        <v>-6.5</v>
      </c>
      <c r="R112" s="9">
        <v>0.25</v>
      </c>
      <c r="S112" s="9">
        <v>0.25</v>
      </c>
      <c r="T112" s="10">
        <v>45500.0</v>
      </c>
      <c r="U112" s="11">
        <v>1.625</v>
      </c>
      <c r="V112" s="8" t="s">
        <v>33</v>
      </c>
      <c r="W112" s="12">
        <f t="shared" si="1"/>
        <v>0.15625</v>
      </c>
      <c r="X112" s="12">
        <f t="shared" si="4"/>
        <v>2.740141346</v>
      </c>
    </row>
    <row r="113">
      <c r="A113" s="15">
        <f t="shared" si="3"/>
        <v>112</v>
      </c>
      <c r="B113" s="15" t="s">
        <v>18</v>
      </c>
      <c r="C113" s="15" t="s">
        <v>19</v>
      </c>
      <c r="D113" s="15">
        <v>28.0</v>
      </c>
      <c r="E113" s="15">
        <v>2.0</v>
      </c>
      <c r="F113" s="15" t="s">
        <v>5535</v>
      </c>
      <c r="G113" s="15">
        <v>3.0</v>
      </c>
      <c r="H113" s="15">
        <v>1.0</v>
      </c>
      <c r="I113" s="112">
        <f>9/(14*2)</f>
        <v>0.3214285714</v>
      </c>
      <c r="J113" s="15" t="s">
        <v>1479</v>
      </c>
      <c r="K113" s="15" t="s">
        <v>1474</v>
      </c>
      <c r="L113" s="15">
        <v>0.0</v>
      </c>
      <c r="M113" s="15" t="s">
        <v>5536</v>
      </c>
      <c r="N113" s="15" t="s">
        <v>22</v>
      </c>
      <c r="O113" s="15" t="s">
        <v>225</v>
      </c>
      <c r="P113" s="15" t="s">
        <v>24</v>
      </c>
      <c r="Q113" s="16">
        <v>0.5</v>
      </c>
      <c r="R113" s="16">
        <v>0.25</v>
      </c>
      <c r="S113" s="16">
        <v>0.25</v>
      </c>
      <c r="T113" s="17">
        <v>45500.0</v>
      </c>
      <c r="U113" s="18">
        <v>1.8</v>
      </c>
      <c r="V113" s="15" t="s">
        <v>33</v>
      </c>
      <c r="W113" s="19">
        <f t="shared" si="1"/>
        <v>0.2</v>
      </c>
      <c r="X113" s="19">
        <f t="shared" si="4"/>
        <v>2.940141346</v>
      </c>
    </row>
    <row r="114">
      <c r="A114" s="8">
        <f t="shared" si="3"/>
        <v>113</v>
      </c>
      <c r="B114" s="8" t="s">
        <v>129</v>
      </c>
      <c r="C114" s="8" t="s">
        <v>19</v>
      </c>
      <c r="D114" s="8">
        <v>29.0</v>
      </c>
      <c r="E114" s="8">
        <v>3.0</v>
      </c>
      <c r="F114" s="8" t="s">
        <v>5537</v>
      </c>
      <c r="G114" s="8">
        <v>3.0</v>
      </c>
      <c r="H114" s="8">
        <v>4.0</v>
      </c>
      <c r="I114" s="109">
        <f>4/(4*2)</f>
        <v>0.5</v>
      </c>
      <c r="J114" s="8" t="s">
        <v>1473</v>
      </c>
      <c r="K114" s="8" t="s">
        <v>1480</v>
      </c>
      <c r="L114" s="8">
        <v>0.0</v>
      </c>
      <c r="M114" s="8" t="s">
        <v>372</v>
      </c>
      <c r="N114" s="8" t="s">
        <v>22</v>
      </c>
      <c r="O114" s="8" t="s">
        <v>892</v>
      </c>
      <c r="P114" s="8" t="s">
        <v>24</v>
      </c>
      <c r="Q114" s="9">
        <v>0.0</v>
      </c>
      <c r="R114" s="9">
        <v>0.75</v>
      </c>
      <c r="S114" s="9">
        <v>0.75</v>
      </c>
      <c r="T114" s="10">
        <v>45500.0</v>
      </c>
      <c r="U114" s="11">
        <v>1.9</v>
      </c>
      <c r="V114" s="8" t="s">
        <v>70</v>
      </c>
      <c r="W114" s="12">
        <f t="shared" si="1"/>
        <v>0</v>
      </c>
      <c r="X114" s="12">
        <f t="shared" si="4"/>
        <v>2.940141346</v>
      </c>
    </row>
    <row r="115">
      <c r="A115" s="15">
        <f t="shared" si="3"/>
        <v>114</v>
      </c>
      <c r="B115" s="15" t="s">
        <v>26</v>
      </c>
      <c r="C115" s="15" t="s">
        <v>19</v>
      </c>
      <c r="D115" s="15">
        <v>65.0</v>
      </c>
      <c r="E115" s="15">
        <v>3.0</v>
      </c>
      <c r="F115" s="15" t="s">
        <v>5538</v>
      </c>
      <c r="G115" s="15"/>
      <c r="H115" s="15"/>
      <c r="I115" s="112"/>
      <c r="J115" s="15" t="s">
        <v>1479</v>
      </c>
      <c r="K115" s="15" t="s">
        <v>1480</v>
      </c>
      <c r="L115" s="15">
        <v>-1.0</v>
      </c>
      <c r="M115" s="15" t="s">
        <v>28</v>
      </c>
      <c r="N115" s="15" t="s">
        <v>22</v>
      </c>
      <c r="O115" s="15" t="s">
        <v>892</v>
      </c>
      <c r="P115" s="15" t="s">
        <v>1851</v>
      </c>
      <c r="Q115" s="16">
        <v>0.0</v>
      </c>
      <c r="R115" s="16">
        <v>0.25</v>
      </c>
      <c r="S115" s="16">
        <v>0.15</v>
      </c>
      <c r="T115" s="17">
        <v>45500.0</v>
      </c>
      <c r="U115" s="18">
        <v>1.85</v>
      </c>
      <c r="V115" s="15" t="s">
        <v>70</v>
      </c>
      <c r="W115" s="19">
        <f t="shared" si="1"/>
        <v>0</v>
      </c>
      <c r="X115" s="19">
        <f t="shared" si="4"/>
        <v>2.940141346</v>
      </c>
    </row>
    <row r="116" ht="15.0" customHeight="1">
      <c r="A116" s="8">
        <f t="shared" si="3"/>
        <v>115</v>
      </c>
      <c r="B116" s="8" t="s">
        <v>129</v>
      </c>
      <c r="C116" s="8" t="s">
        <v>19</v>
      </c>
      <c r="D116" s="8">
        <v>65.0</v>
      </c>
      <c r="E116" s="8">
        <v>3.0</v>
      </c>
      <c r="F116" s="8" t="s">
        <v>5539</v>
      </c>
      <c r="G116" s="8"/>
      <c r="H116" s="8"/>
      <c r="I116" s="109"/>
      <c r="J116" s="8" t="s">
        <v>1473</v>
      </c>
      <c r="K116" s="8" t="s">
        <v>1480</v>
      </c>
      <c r="L116" s="8">
        <v>0.0</v>
      </c>
      <c r="M116" s="8" t="s">
        <v>768</v>
      </c>
      <c r="N116" s="8" t="s">
        <v>22</v>
      </c>
      <c r="O116" s="8" t="s">
        <v>892</v>
      </c>
      <c r="P116" s="8" t="s">
        <v>24</v>
      </c>
      <c r="Q116" s="9">
        <v>0.0</v>
      </c>
      <c r="R116" s="9">
        <v>0.25</v>
      </c>
      <c r="S116" s="9">
        <v>0.24</v>
      </c>
      <c r="T116" s="10">
        <v>45500.0</v>
      </c>
      <c r="U116" s="11">
        <v>1.725</v>
      </c>
      <c r="V116" s="8" t="s">
        <v>33</v>
      </c>
      <c r="W116" s="12">
        <f t="shared" si="1"/>
        <v>0.174</v>
      </c>
      <c r="X116" s="12">
        <f t="shared" si="4"/>
        <v>3.114141346</v>
      </c>
    </row>
    <row r="117">
      <c r="A117" s="15">
        <f t="shared" si="3"/>
        <v>116</v>
      </c>
      <c r="B117" s="15" t="s">
        <v>26</v>
      </c>
      <c r="C117" s="15" t="s">
        <v>19</v>
      </c>
      <c r="D117" s="15">
        <v>20.0</v>
      </c>
      <c r="E117" s="15"/>
      <c r="F117" s="15" t="s">
        <v>5540</v>
      </c>
      <c r="G117" s="15"/>
      <c r="H117" s="15"/>
      <c r="I117" s="112"/>
      <c r="J117" s="15"/>
      <c r="K117" s="15"/>
      <c r="L117" s="15"/>
      <c r="M117" s="15" t="s">
        <v>5487</v>
      </c>
      <c r="N117" s="15" t="s">
        <v>22</v>
      </c>
      <c r="O117" s="15" t="s">
        <v>29</v>
      </c>
      <c r="P117" s="15" t="s">
        <v>24</v>
      </c>
      <c r="Q117" s="16">
        <v>-3.0</v>
      </c>
      <c r="R117" s="16">
        <v>0.25</v>
      </c>
      <c r="S117" s="16">
        <v>0.22</v>
      </c>
      <c r="T117" s="17">
        <v>45501.0</v>
      </c>
      <c r="U117" s="18">
        <v>1.725</v>
      </c>
      <c r="V117" s="15" t="s">
        <v>70</v>
      </c>
      <c r="W117" s="19">
        <f t="shared" si="1"/>
        <v>0</v>
      </c>
      <c r="X117" s="19">
        <f t="shared" si="4"/>
        <v>3.114141346</v>
      </c>
    </row>
    <row r="118">
      <c r="A118" s="8">
        <f t="shared" si="3"/>
        <v>117</v>
      </c>
      <c r="B118" s="8" t="s">
        <v>18</v>
      </c>
      <c r="C118" s="8" t="s">
        <v>19</v>
      </c>
      <c r="D118" s="8">
        <v>70.0</v>
      </c>
      <c r="E118" s="8">
        <v>3.0</v>
      </c>
      <c r="F118" s="8" t="s">
        <v>5541</v>
      </c>
      <c r="G118" s="8">
        <v>10.0</v>
      </c>
      <c r="H118" s="8">
        <v>10.0</v>
      </c>
      <c r="I118" s="109">
        <v>0.0</v>
      </c>
      <c r="J118" s="8" t="s">
        <v>1479</v>
      </c>
      <c r="K118" s="8" t="s">
        <v>1480</v>
      </c>
      <c r="L118" s="8">
        <v>-1.0</v>
      </c>
      <c r="M118" s="8" t="s">
        <v>44</v>
      </c>
      <c r="N118" s="8" t="s">
        <v>22</v>
      </c>
      <c r="O118" s="8" t="s">
        <v>892</v>
      </c>
      <c r="P118" s="8" t="s">
        <v>1803</v>
      </c>
      <c r="Q118" s="9">
        <v>0.0</v>
      </c>
      <c r="R118" s="9">
        <v>0.5</v>
      </c>
      <c r="S118" s="9">
        <v>0.5</v>
      </c>
      <c r="T118" s="10">
        <v>45501.0</v>
      </c>
      <c r="U118" s="11">
        <f>(1.825+1.925)/2</f>
        <v>1.875</v>
      </c>
      <c r="V118" s="8" t="s">
        <v>33</v>
      </c>
      <c r="W118" s="12">
        <f t="shared" si="1"/>
        <v>0.4375</v>
      </c>
      <c r="X118" s="12">
        <f t="shared" si="4"/>
        <v>3.551641346</v>
      </c>
    </row>
    <row r="119">
      <c r="A119" s="15">
        <f t="shared" si="3"/>
        <v>118</v>
      </c>
      <c r="B119" s="15" t="s">
        <v>26</v>
      </c>
      <c r="C119" s="15" t="s">
        <v>19</v>
      </c>
      <c r="D119" s="15">
        <v>25.0</v>
      </c>
      <c r="E119" s="15">
        <v>2.0</v>
      </c>
      <c r="F119" s="15" t="s">
        <v>5542</v>
      </c>
      <c r="G119" s="15"/>
      <c r="H119" s="15"/>
      <c r="I119" s="15" t="s">
        <v>1479</v>
      </c>
      <c r="J119" s="15" t="s">
        <v>1479</v>
      </c>
      <c r="K119" s="15" t="s">
        <v>1474</v>
      </c>
      <c r="L119" s="15">
        <v>1.0</v>
      </c>
      <c r="M119" s="15" t="s">
        <v>448</v>
      </c>
      <c r="N119" s="15" t="s">
        <v>22</v>
      </c>
      <c r="O119" s="15" t="s">
        <v>225</v>
      </c>
      <c r="P119" s="15" t="s">
        <v>24</v>
      </c>
      <c r="Q119" s="16">
        <v>0.0</v>
      </c>
      <c r="R119" s="16">
        <v>0.25</v>
      </c>
      <c r="S119" s="16">
        <f>0.25*30/52</f>
        <v>0.1442307692</v>
      </c>
      <c r="T119" s="17">
        <v>45501.0</v>
      </c>
      <c r="U119" s="18">
        <v>2.025</v>
      </c>
      <c r="V119" s="15" t="s">
        <v>25</v>
      </c>
      <c r="W119" s="19">
        <f t="shared" si="1"/>
        <v>-0.1442307692</v>
      </c>
      <c r="X119" s="19">
        <f t="shared" si="4"/>
        <v>3.407410577</v>
      </c>
    </row>
    <row r="120">
      <c r="A120" s="8">
        <f t="shared" si="3"/>
        <v>119</v>
      </c>
      <c r="B120" s="8" t="s">
        <v>26</v>
      </c>
      <c r="C120" s="8" t="s">
        <v>19</v>
      </c>
      <c r="D120" s="8">
        <v>26.0</v>
      </c>
      <c r="E120" s="8">
        <v>2.0</v>
      </c>
      <c r="F120" s="8" t="s">
        <v>5543</v>
      </c>
      <c r="G120" s="8"/>
      <c r="H120" s="8"/>
      <c r="I120" s="8" t="s">
        <v>1479</v>
      </c>
      <c r="J120" s="8" t="s">
        <v>1479</v>
      </c>
      <c r="K120" s="8" t="s">
        <v>1474</v>
      </c>
      <c r="L120" s="8">
        <v>1.0</v>
      </c>
      <c r="M120" s="8" t="s">
        <v>448</v>
      </c>
      <c r="N120" s="8" t="s">
        <v>22</v>
      </c>
      <c r="O120" s="8" t="s">
        <v>225</v>
      </c>
      <c r="P120" s="8" t="s">
        <v>24</v>
      </c>
      <c r="Q120" s="9">
        <v>0.0</v>
      </c>
      <c r="R120" s="9">
        <v>0.25</v>
      </c>
      <c r="S120" s="9">
        <f>0.25*0.5</f>
        <v>0.125</v>
      </c>
      <c r="T120" s="10">
        <v>45501.0</v>
      </c>
      <c r="U120" s="11">
        <v>1.9</v>
      </c>
      <c r="V120" s="8" t="s">
        <v>25</v>
      </c>
      <c r="W120" s="12">
        <f t="shared" si="1"/>
        <v>-0.125</v>
      </c>
      <c r="X120" s="12">
        <f t="shared" si="4"/>
        <v>3.282410577</v>
      </c>
    </row>
    <row r="121">
      <c r="A121" s="15">
        <f t="shared" si="3"/>
        <v>120</v>
      </c>
      <c r="B121" s="15" t="s">
        <v>26</v>
      </c>
      <c r="C121" s="15" t="s">
        <v>19</v>
      </c>
      <c r="D121" s="15">
        <v>70.0</v>
      </c>
      <c r="E121" s="15">
        <v>2.0</v>
      </c>
      <c r="F121" s="15" t="s">
        <v>5544</v>
      </c>
      <c r="G121" s="15"/>
      <c r="H121" s="15"/>
      <c r="I121" s="15" t="s">
        <v>1479</v>
      </c>
      <c r="J121" s="15" t="s">
        <v>1473</v>
      </c>
      <c r="K121" s="15" t="s">
        <v>1480</v>
      </c>
      <c r="L121" s="15">
        <v>-1.0</v>
      </c>
      <c r="M121" s="15" t="s">
        <v>448</v>
      </c>
      <c r="N121" s="15" t="s">
        <v>22</v>
      </c>
      <c r="O121" s="15" t="s">
        <v>1023</v>
      </c>
      <c r="P121" s="15" t="s">
        <v>24</v>
      </c>
      <c r="Q121" s="16">
        <v>-0.5</v>
      </c>
      <c r="R121" s="16">
        <v>0.15</v>
      </c>
      <c r="S121" s="16">
        <f>0.15*44/48</f>
        <v>0.1375</v>
      </c>
      <c r="T121" s="17">
        <v>45501.0</v>
      </c>
      <c r="U121" s="18">
        <v>3.0</v>
      </c>
      <c r="V121" s="15" t="s">
        <v>33</v>
      </c>
      <c r="W121" s="19">
        <f t="shared" si="1"/>
        <v>0.275</v>
      </c>
      <c r="X121" s="19">
        <f t="shared" si="4"/>
        <v>3.557410577</v>
      </c>
    </row>
    <row r="122">
      <c r="A122" s="8">
        <f t="shared" si="3"/>
        <v>121</v>
      </c>
      <c r="B122" s="8" t="s">
        <v>26</v>
      </c>
      <c r="C122" s="8" t="s">
        <v>19</v>
      </c>
      <c r="D122" s="8">
        <v>80.0</v>
      </c>
      <c r="E122" s="8">
        <v>3.0</v>
      </c>
      <c r="F122" s="8" t="s">
        <v>5545</v>
      </c>
      <c r="G122" s="8"/>
      <c r="H122" s="8"/>
      <c r="I122" s="8" t="s">
        <v>1479</v>
      </c>
      <c r="J122" s="8" t="s">
        <v>1473</v>
      </c>
      <c r="K122" s="8" t="s">
        <v>1480</v>
      </c>
      <c r="L122" s="8">
        <v>0.0</v>
      </c>
      <c r="M122" s="8" t="s">
        <v>448</v>
      </c>
      <c r="N122" s="8" t="s">
        <v>22</v>
      </c>
      <c r="O122" s="8" t="s">
        <v>892</v>
      </c>
      <c r="P122" s="8" t="s">
        <v>24</v>
      </c>
      <c r="Q122" s="9">
        <v>0.0</v>
      </c>
      <c r="R122" s="9">
        <v>0.25</v>
      </c>
      <c r="S122" s="9">
        <f t="shared" ref="S122:S123" si="8">45/48*0.25</f>
        <v>0.234375</v>
      </c>
      <c r="T122" s="10">
        <v>45501.0</v>
      </c>
      <c r="U122" s="11">
        <v>1.975</v>
      </c>
      <c r="V122" s="8" t="s">
        <v>33</v>
      </c>
      <c r="W122" s="12">
        <f t="shared" si="1"/>
        <v>0.228515625</v>
      </c>
      <c r="X122" s="12">
        <f t="shared" si="4"/>
        <v>3.785926202</v>
      </c>
    </row>
    <row r="123">
      <c r="A123" s="15">
        <f t="shared" si="3"/>
        <v>122</v>
      </c>
      <c r="B123" s="15" t="s">
        <v>129</v>
      </c>
      <c r="C123" s="15" t="s">
        <v>19</v>
      </c>
      <c r="D123" s="15">
        <v>80.0</v>
      </c>
      <c r="E123" s="15">
        <v>3.0</v>
      </c>
      <c r="F123" s="15" t="s">
        <v>5545</v>
      </c>
      <c r="G123" s="15"/>
      <c r="H123" s="15"/>
      <c r="I123" s="15" t="s">
        <v>1479</v>
      </c>
      <c r="J123" s="15" t="s">
        <v>1473</v>
      </c>
      <c r="K123" s="15" t="s">
        <v>1480</v>
      </c>
      <c r="L123" s="15">
        <v>0.0</v>
      </c>
      <c r="M123" s="15" t="s">
        <v>448</v>
      </c>
      <c r="N123" s="15" t="s">
        <v>22</v>
      </c>
      <c r="O123" s="15" t="s">
        <v>892</v>
      </c>
      <c r="P123" s="15" t="s">
        <v>24</v>
      </c>
      <c r="Q123" s="16">
        <v>0.0</v>
      </c>
      <c r="R123" s="16">
        <v>0.25</v>
      </c>
      <c r="S123" s="16">
        <f t="shared" si="8"/>
        <v>0.234375</v>
      </c>
      <c r="T123" s="17">
        <v>45501.0</v>
      </c>
      <c r="U123" s="18">
        <v>1.975</v>
      </c>
      <c r="V123" s="15" t="s">
        <v>33</v>
      </c>
      <c r="W123" s="19">
        <f t="shared" si="1"/>
        <v>0.228515625</v>
      </c>
      <c r="X123" s="19">
        <f t="shared" si="4"/>
        <v>4.014441827</v>
      </c>
    </row>
    <row r="124">
      <c r="A124" s="8">
        <f t="shared" si="3"/>
        <v>123</v>
      </c>
      <c r="B124" s="8" t="s">
        <v>129</v>
      </c>
      <c r="C124" s="8" t="s">
        <v>19</v>
      </c>
      <c r="D124" s="8">
        <v>70.0</v>
      </c>
      <c r="E124" s="8">
        <v>3.0</v>
      </c>
      <c r="F124" s="8" t="s">
        <v>5546</v>
      </c>
      <c r="G124" s="8"/>
      <c r="H124" s="8"/>
      <c r="I124" s="109">
        <v>0.0</v>
      </c>
      <c r="J124" s="8" t="s">
        <v>1473</v>
      </c>
      <c r="K124" s="8" t="s">
        <v>1480</v>
      </c>
      <c r="L124" s="8">
        <v>0.0</v>
      </c>
      <c r="M124" s="8" t="s">
        <v>99</v>
      </c>
      <c r="N124" s="8" t="s">
        <v>22</v>
      </c>
      <c r="O124" s="8" t="s">
        <v>892</v>
      </c>
      <c r="P124" s="8" t="s">
        <v>24</v>
      </c>
      <c r="Q124" s="9">
        <v>0.0</v>
      </c>
      <c r="R124" s="9">
        <v>0.5</v>
      </c>
      <c r="S124" s="9">
        <v>0.5</v>
      </c>
      <c r="T124" s="10">
        <v>45501.0</v>
      </c>
      <c r="U124" s="11">
        <v>1.7</v>
      </c>
      <c r="V124" s="8" t="s">
        <v>33</v>
      </c>
      <c r="W124" s="12">
        <f t="shared" si="1"/>
        <v>0.35</v>
      </c>
      <c r="X124" s="12">
        <f t="shared" si="4"/>
        <v>4.364441827</v>
      </c>
    </row>
    <row r="125">
      <c r="A125" s="15">
        <f t="shared" si="3"/>
        <v>124</v>
      </c>
      <c r="B125" s="15" t="s">
        <v>129</v>
      </c>
      <c r="C125" s="15" t="s">
        <v>40</v>
      </c>
      <c r="D125" s="15">
        <v>70.0</v>
      </c>
      <c r="E125" s="15">
        <v>3.0</v>
      </c>
      <c r="F125" s="15" t="s">
        <v>5547</v>
      </c>
      <c r="G125" s="15"/>
      <c r="H125" s="15"/>
      <c r="I125" s="112"/>
      <c r="J125" s="15" t="s">
        <v>1473</v>
      </c>
      <c r="K125" s="15" t="s">
        <v>1480</v>
      </c>
      <c r="L125" s="15">
        <v>-1.0</v>
      </c>
      <c r="M125" s="15" t="s">
        <v>172</v>
      </c>
      <c r="N125" s="15" t="s">
        <v>22</v>
      </c>
      <c r="O125" s="15" t="s">
        <v>892</v>
      </c>
      <c r="P125" s="15" t="s">
        <v>24</v>
      </c>
      <c r="Q125" s="16">
        <v>0.0</v>
      </c>
      <c r="R125" s="16">
        <v>0.25</v>
      </c>
      <c r="S125" s="16">
        <v>0.25</v>
      </c>
      <c r="T125" s="17">
        <v>45501.0</v>
      </c>
      <c r="U125" s="18">
        <v>2.15</v>
      </c>
      <c r="V125" s="15" t="s">
        <v>70</v>
      </c>
      <c r="W125" s="19">
        <f t="shared" si="1"/>
        <v>0</v>
      </c>
      <c r="X125" s="19">
        <f t="shared" si="4"/>
        <v>4.364441827</v>
      </c>
    </row>
    <row r="126">
      <c r="A126" s="8">
        <f t="shared" si="3"/>
        <v>125</v>
      </c>
      <c r="B126" s="8" t="s">
        <v>26</v>
      </c>
      <c r="C126" s="8" t="s">
        <v>40</v>
      </c>
      <c r="D126" s="8">
        <v>85.0</v>
      </c>
      <c r="E126" s="8">
        <v>3.0</v>
      </c>
      <c r="F126" s="8" t="s">
        <v>5548</v>
      </c>
      <c r="G126" s="8"/>
      <c r="H126" s="8"/>
      <c r="I126" s="109"/>
      <c r="J126" s="8" t="s">
        <v>1479</v>
      </c>
      <c r="K126" s="8" t="s">
        <v>1480</v>
      </c>
      <c r="L126" s="8">
        <v>2.0</v>
      </c>
      <c r="M126" s="8" t="s">
        <v>487</v>
      </c>
      <c r="N126" s="8" t="s">
        <v>22</v>
      </c>
      <c r="O126" s="8" t="s">
        <v>892</v>
      </c>
      <c r="P126" s="8" t="s">
        <v>24</v>
      </c>
      <c r="Q126" s="9">
        <v>0.0</v>
      </c>
      <c r="R126" s="9">
        <v>0.25</v>
      </c>
      <c r="S126" s="9">
        <v>0.24</v>
      </c>
      <c r="T126" s="10">
        <v>45504.0</v>
      </c>
      <c r="U126" s="11">
        <v>1.9</v>
      </c>
      <c r="V126" s="8" t="s">
        <v>70</v>
      </c>
      <c r="W126" s="12">
        <f t="shared" si="1"/>
        <v>0</v>
      </c>
      <c r="X126" s="12">
        <f t="shared" si="4"/>
        <v>4.364441827</v>
      </c>
    </row>
    <row r="127">
      <c r="A127" s="15">
        <f t="shared" si="3"/>
        <v>126</v>
      </c>
      <c r="B127" s="15" t="s">
        <v>26</v>
      </c>
      <c r="C127" s="15" t="s">
        <v>19</v>
      </c>
      <c r="D127" s="15">
        <v>70.0</v>
      </c>
      <c r="E127" s="15">
        <v>2.0</v>
      </c>
      <c r="F127" s="15" t="s">
        <v>5549</v>
      </c>
      <c r="G127" s="15"/>
      <c r="H127" s="15"/>
      <c r="I127" s="112"/>
      <c r="J127" s="15" t="s">
        <v>1473</v>
      </c>
      <c r="K127" s="15" t="s">
        <v>1474</v>
      </c>
      <c r="L127" s="15">
        <v>1.0</v>
      </c>
      <c r="M127" s="15" t="s">
        <v>583</v>
      </c>
      <c r="N127" s="15" t="s">
        <v>22</v>
      </c>
      <c r="O127" s="15" t="s">
        <v>225</v>
      </c>
      <c r="P127" s="15" t="s">
        <v>24</v>
      </c>
      <c r="Q127" s="16">
        <v>0.75</v>
      </c>
      <c r="R127" s="16">
        <v>0.25</v>
      </c>
      <c r="S127" s="16">
        <v>0.09</v>
      </c>
      <c r="T127" s="55">
        <v>45504.0</v>
      </c>
      <c r="U127" s="18">
        <v>1.775</v>
      </c>
      <c r="V127" s="15" t="s">
        <v>33</v>
      </c>
      <c r="W127" s="19">
        <f t="shared" si="1"/>
        <v>0.06975</v>
      </c>
      <c r="X127" s="19">
        <f t="shared" si="4"/>
        <v>4.434191827</v>
      </c>
    </row>
    <row r="128">
      <c r="A128" s="8">
        <f t="shared" si="3"/>
        <v>127</v>
      </c>
      <c r="B128" s="8" t="s">
        <v>26</v>
      </c>
      <c r="C128" s="8" t="s">
        <v>19</v>
      </c>
      <c r="D128" s="8">
        <v>70.0</v>
      </c>
      <c r="E128" s="8">
        <v>2.0</v>
      </c>
      <c r="F128" s="8" t="s">
        <v>5550</v>
      </c>
      <c r="G128" s="8"/>
      <c r="H128" s="8"/>
      <c r="I128" s="8" t="s">
        <v>1479</v>
      </c>
      <c r="J128" s="8" t="s">
        <v>1473</v>
      </c>
      <c r="K128" s="8" t="s">
        <v>1474</v>
      </c>
      <c r="L128" s="8">
        <v>1.0</v>
      </c>
      <c r="M128" s="8" t="s">
        <v>583</v>
      </c>
      <c r="N128" s="8" t="s">
        <v>22</v>
      </c>
      <c r="O128" s="8" t="s">
        <v>1847</v>
      </c>
      <c r="P128" s="8" t="s">
        <v>24</v>
      </c>
      <c r="Q128" s="9">
        <v>-0.5</v>
      </c>
      <c r="R128" s="9">
        <v>0.25</v>
      </c>
      <c r="S128" s="9">
        <v>0.14</v>
      </c>
      <c r="T128" s="10">
        <v>45504.0</v>
      </c>
      <c r="U128" s="11">
        <v>1.825</v>
      </c>
      <c r="V128" s="8" t="s">
        <v>33</v>
      </c>
      <c r="W128" s="12">
        <f t="shared" si="1"/>
        <v>0.1155</v>
      </c>
      <c r="X128" s="12">
        <f t="shared" si="4"/>
        <v>4.549691827</v>
      </c>
    </row>
    <row r="129">
      <c r="A129" s="15">
        <f t="shared" si="3"/>
        <v>128</v>
      </c>
      <c r="B129" s="15" t="s">
        <v>18</v>
      </c>
      <c r="C129" s="15" t="s">
        <v>19</v>
      </c>
      <c r="D129" s="15">
        <v>30.0</v>
      </c>
      <c r="E129" s="15">
        <v>3.0</v>
      </c>
      <c r="F129" s="15" t="s">
        <v>5555</v>
      </c>
      <c r="G129" s="15"/>
      <c r="H129" s="15"/>
      <c r="I129" s="15"/>
      <c r="J129" s="15" t="s">
        <v>1473</v>
      </c>
      <c r="K129" s="15" t="s">
        <v>1480</v>
      </c>
      <c r="L129" s="15">
        <v>0.0</v>
      </c>
      <c r="M129" s="15" t="s">
        <v>5556</v>
      </c>
      <c r="N129" s="15" t="s">
        <v>22</v>
      </c>
      <c r="O129" s="15" t="s">
        <v>892</v>
      </c>
      <c r="P129" s="15" t="s">
        <v>24</v>
      </c>
      <c r="Q129" s="16">
        <v>0.0</v>
      </c>
      <c r="R129" s="16">
        <v>0.25</v>
      </c>
      <c r="S129" s="16">
        <v>0.25</v>
      </c>
      <c r="T129" s="17">
        <v>45504.0</v>
      </c>
      <c r="U129" s="18">
        <v>1.9</v>
      </c>
      <c r="V129" s="15" t="s">
        <v>70</v>
      </c>
      <c r="W129" s="19">
        <f t="shared" si="1"/>
        <v>0</v>
      </c>
      <c r="X129" s="19">
        <f t="shared" si="4"/>
        <v>4.549691827</v>
      </c>
    </row>
    <row r="130">
      <c r="A130" s="8">
        <f t="shared" si="3"/>
        <v>129</v>
      </c>
      <c r="B130" s="8" t="s">
        <v>26</v>
      </c>
      <c r="C130" s="8" t="s">
        <v>19</v>
      </c>
      <c r="D130" s="8">
        <v>91.0</v>
      </c>
      <c r="E130" s="8"/>
      <c r="F130" s="8" t="s">
        <v>5557</v>
      </c>
      <c r="G130" s="8"/>
      <c r="H130" s="8"/>
      <c r="I130" s="109"/>
      <c r="J130" s="8"/>
      <c r="K130" s="8"/>
      <c r="L130" s="8"/>
      <c r="M130" s="8" t="s">
        <v>5556</v>
      </c>
      <c r="N130" s="8" t="s">
        <v>22</v>
      </c>
      <c r="O130" s="8" t="s">
        <v>440</v>
      </c>
      <c r="P130" s="8" t="s">
        <v>24</v>
      </c>
      <c r="Q130" s="9">
        <v>0.5</v>
      </c>
      <c r="R130" s="9">
        <v>0.05</v>
      </c>
      <c r="S130" s="9">
        <v>0.05</v>
      </c>
      <c r="T130" s="10">
        <v>45504.0</v>
      </c>
      <c r="U130" s="11">
        <v>7.0</v>
      </c>
      <c r="V130" s="8" t="s">
        <v>25</v>
      </c>
      <c r="W130" s="12">
        <f t="shared" si="1"/>
        <v>-0.05</v>
      </c>
      <c r="X130" s="12">
        <f t="shared" si="4"/>
        <v>4.499691827</v>
      </c>
    </row>
    <row r="131">
      <c r="A131" s="15">
        <f t="shared" si="3"/>
        <v>130</v>
      </c>
      <c r="B131" s="15" t="s">
        <v>129</v>
      </c>
      <c r="C131" s="15" t="s">
        <v>19</v>
      </c>
      <c r="D131" s="15">
        <v>85.0</v>
      </c>
      <c r="E131" s="15">
        <v>3.0</v>
      </c>
      <c r="F131" s="15" t="s">
        <v>5558</v>
      </c>
      <c r="G131" s="15"/>
      <c r="H131" s="15"/>
      <c r="I131" s="15"/>
      <c r="J131" s="15" t="s">
        <v>1473</v>
      </c>
      <c r="K131" s="15" t="s">
        <v>1480</v>
      </c>
      <c r="L131" s="15">
        <v>-1.0</v>
      </c>
      <c r="M131" s="15" t="s">
        <v>93</v>
      </c>
      <c r="N131" s="15" t="s">
        <v>22</v>
      </c>
      <c r="O131" s="15" t="s">
        <v>892</v>
      </c>
      <c r="P131" s="15" t="s">
        <v>24</v>
      </c>
      <c r="Q131" s="16">
        <v>0.0</v>
      </c>
      <c r="R131" s="16">
        <v>0.25</v>
      </c>
      <c r="S131" s="16">
        <v>0.25</v>
      </c>
      <c r="T131" s="17">
        <v>45504.0</v>
      </c>
      <c r="U131" s="18">
        <v>1.75</v>
      </c>
      <c r="V131" s="15" t="s">
        <v>33</v>
      </c>
      <c r="W131" s="19">
        <f t="shared" si="1"/>
        <v>0.1875</v>
      </c>
      <c r="X131" s="19">
        <f t="shared" si="4"/>
        <v>4.687191827</v>
      </c>
    </row>
    <row r="132">
      <c r="A132" s="8">
        <f t="shared" si="3"/>
        <v>131</v>
      </c>
      <c r="B132" s="8"/>
      <c r="C132" s="8"/>
      <c r="D132" s="8"/>
      <c r="E132" s="8"/>
      <c r="F132" s="8"/>
      <c r="G132" s="8"/>
      <c r="H132" s="8"/>
      <c r="I132" s="109"/>
      <c r="J132" s="8"/>
      <c r="K132" s="8"/>
      <c r="L132" s="8"/>
      <c r="M132" s="8"/>
      <c r="N132" s="8"/>
      <c r="O132" s="8"/>
      <c r="P132" s="8"/>
      <c r="Q132" s="9"/>
      <c r="R132" s="9"/>
      <c r="S132" s="9"/>
      <c r="T132" s="10"/>
      <c r="U132" s="11"/>
      <c r="V132" s="8"/>
      <c r="W132" s="12" t="str">
        <f t="shared" si="1"/>
        <v/>
      </c>
      <c r="X132" s="12">
        <f t="shared" si="4"/>
        <v>4.687191827</v>
      </c>
    </row>
    <row r="133">
      <c r="A133" s="15">
        <f t="shared" si="3"/>
        <v>132</v>
      </c>
      <c r="B133" s="15"/>
      <c r="C133" s="15"/>
      <c r="D133" s="15"/>
      <c r="E133" s="138"/>
      <c r="F133" s="15"/>
      <c r="G133" s="15"/>
      <c r="H133" s="15"/>
      <c r="I133" s="112"/>
      <c r="J133" s="15"/>
      <c r="K133" s="15"/>
      <c r="L133" s="15"/>
      <c r="M133" s="15"/>
      <c r="N133" s="15"/>
      <c r="O133" s="15"/>
      <c r="P133" s="15"/>
      <c r="Q133" s="16"/>
      <c r="R133" s="16"/>
      <c r="S133" s="16"/>
      <c r="T133" s="17"/>
      <c r="U133" s="18"/>
      <c r="V133" s="15"/>
      <c r="W133" s="19" t="str">
        <f t="shared" si="1"/>
        <v/>
      </c>
      <c r="X133" s="19">
        <f t="shared" si="4"/>
        <v>4.687191827</v>
      </c>
    </row>
    <row r="134">
      <c r="A134" s="8">
        <f t="shared" si="3"/>
        <v>133</v>
      </c>
      <c r="B134" s="8"/>
      <c r="C134" s="8"/>
      <c r="D134" s="8"/>
      <c r="E134" s="8"/>
      <c r="F134" s="8"/>
      <c r="G134" s="8"/>
      <c r="H134" s="8"/>
      <c r="I134" s="109"/>
      <c r="J134" s="8"/>
      <c r="K134" s="8"/>
      <c r="L134" s="8"/>
      <c r="M134" s="8"/>
      <c r="N134" s="8"/>
      <c r="O134" s="8"/>
      <c r="P134" s="8"/>
      <c r="Q134" s="9"/>
      <c r="R134" s="9"/>
      <c r="S134" s="9"/>
      <c r="T134" s="10"/>
      <c r="U134" s="11"/>
      <c r="V134" s="8"/>
      <c r="W134" s="12" t="str">
        <f t="shared" si="1"/>
        <v/>
      </c>
      <c r="X134" s="12">
        <f t="shared" si="4"/>
        <v>4.687191827</v>
      </c>
    </row>
    <row r="135">
      <c r="A135" s="15">
        <f t="shared" si="3"/>
        <v>134</v>
      </c>
      <c r="B135" s="15"/>
      <c r="C135" s="15"/>
      <c r="D135" s="15"/>
      <c r="E135" s="15"/>
      <c r="F135" s="15"/>
      <c r="G135" s="15"/>
      <c r="H135" s="15"/>
      <c r="I135" s="112"/>
      <c r="J135" s="15"/>
      <c r="K135" s="15"/>
      <c r="L135" s="15"/>
      <c r="M135" s="15"/>
      <c r="N135" s="15"/>
      <c r="O135" s="15"/>
      <c r="P135" s="15"/>
      <c r="Q135" s="16"/>
      <c r="R135" s="16"/>
      <c r="S135" s="16"/>
      <c r="T135" s="17"/>
      <c r="U135" s="18"/>
      <c r="V135" s="15"/>
      <c r="W135" s="19" t="str">
        <f t="shared" si="1"/>
        <v/>
      </c>
      <c r="X135" s="19">
        <f t="shared" si="4"/>
        <v>4.687191827</v>
      </c>
    </row>
    <row r="136">
      <c r="A136" s="8">
        <f t="shared" si="3"/>
        <v>135</v>
      </c>
      <c r="B136" s="8"/>
      <c r="C136" s="8"/>
      <c r="D136" s="8"/>
      <c r="E136" s="8"/>
      <c r="F136" s="8"/>
      <c r="G136" s="8"/>
      <c r="H136" s="8"/>
      <c r="I136" s="109"/>
      <c r="J136" s="8"/>
      <c r="K136" s="8"/>
      <c r="L136" s="8"/>
      <c r="M136" s="8"/>
      <c r="N136" s="8"/>
      <c r="O136" s="8"/>
      <c r="P136" s="8"/>
      <c r="Q136" s="9"/>
      <c r="R136" s="9"/>
      <c r="S136" s="9"/>
      <c r="T136" s="10"/>
      <c r="U136" s="11"/>
      <c r="V136" s="8"/>
      <c r="W136" s="12" t="str">
        <f t="shared" si="1"/>
        <v/>
      </c>
      <c r="X136" s="12">
        <f t="shared" si="4"/>
        <v>4.687191827</v>
      </c>
    </row>
    <row r="137">
      <c r="A137" s="15">
        <f t="shared" si="3"/>
        <v>136</v>
      </c>
      <c r="B137" s="15"/>
      <c r="C137" s="15"/>
      <c r="D137" s="15"/>
      <c r="E137" s="15"/>
      <c r="F137" s="15"/>
      <c r="G137" s="15"/>
      <c r="H137" s="15"/>
      <c r="I137" s="112"/>
      <c r="J137" s="15"/>
      <c r="K137" s="15"/>
      <c r="L137" s="15"/>
      <c r="M137" s="15"/>
      <c r="N137" s="15"/>
      <c r="O137" s="15"/>
      <c r="P137" s="15"/>
      <c r="Q137" s="16"/>
      <c r="R137" s="16"/>
      <c r="S137" s="16"/>
      <c r="T137" s="17"/>
      <c r="U137" s="18"/>
      <c r="V137" s="15"/>
      <c r="W137" s="19" t="str">
        <f t="shared" si="1"/>
        <v/>
      </c>
      <c r="X137" s="19">
        <f t="shared" si="4"/>
        <v>4.687191827</v>
      </c>
    </row>
    <row r="138">
      <c r="A138" s="8">
        <f t="shared" si="3"/>
        <v>137</v>
      </c>
      <c r="B138" s="8"/>
      <c r="C138" s="8"/>
      <c r="D138" s="8"/>
      <c r="E138" s="8"/>
      <c r="F138" s="8"/>
      <c r="G138" s="8"/>
      <c r="H138" s="8"/>
      <c r="I138" s="109"/>
      <c r="J138" s="8"/>
      <c r="K138" s="8"/>
      <c r="L138" s="8"/>
      <c r="M138" s="8"/>
      <c r="N138" s="8"/>
      <c r="O138" s="8"/>
      <c r="P138" s="8"/>
      <c r="Q138" s="9"/>
      <c r="R138" s="9"/>
      <c r="S138" s="9"/>
      <c r="T138" s="10"/>
      <c r="U138" s="11"/>
      <c r="V138" s="8"/>
      <c r="W138" s="12" t="str">
        <f t="shared" si="1"/>
        <v/>
      </c>
      <c r="X138" s="12">
        <f t="shared" si="4"/>
        <v>4.687191827</v>
      </c>
    </row>
    <row r="139">
      <c r="A139" s="15">
        <f t="shared" si="3"/>
        <v>138</v>
      </c>
      <c r="B139" s="15"/>
      <c r="C139" s="15"/>
      <c r="D139" s="15"/>
      <c r="E139" s="139"/>
      <c r="F139" s="15"/>
      <c r="G139" s="15"/>
      <c r="H139" s="15"/>
      <c r="I139" s="112"/>
      <c r="J139" s="15"/>
      <c r="K139" s="15"/>
      <c r="L139" s="15"/>
      <c r="M139" s="15"/>
      <c r="N139" s="15"/>
      <c r="O139" s="15"/>
      <c r="P139" s="15"/>
      <c r="Q139" s="16"/>
      <c r="R139" s="16"/>
      <c r="S139" s="16"/>
      <c r="T139" s="17"/>
      <c r="U139" s="18"/>
      <c r="V139" s="15"/>
      <c r="W139" s="19" t="str">
        <f t="shared" si="1"/>
        <v/>
      </c>
      <c r="X139" s="19">
        <f t="shared" si="4"/>
        <v>4.687191827</v>
      </c>
    </row>
    <row r="140">
      <c r="A140" s="8">
        <f t="shared" si="3"/>
        <v>139</v>
      </c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9"/>
      <c r="R140" s="9"/>
      <c r="S140" s="9"/>
      <c r="T140" s="54"/>
      <c r="U140" s="11"/>
      <c r="V140" s="8"/>
      <c r="W140" s="12" t="str">
        <f t="shared" si="1"/>
        <v/>
      </c>
      <c r="X140" s="12">
        <f t="shared" si="4"/>
        <v>4.687191827</v>
      </c>
    </row>
    <row r="141">
      <c r="A141" s="15">
        <f t="shared" si="3"/>
        <v>140</v>
      </c>
      <c r="B141" s="15"/>
      <c r="C141" s="15"/>
      <c r="D141" s="15"/>
      <c r="E141" s="15"/>
      <c r="F141" s="15"/>
      <c r="G141" s="15"/>
      <c r="H141" s="15"/>
      <c r="I141" s="110"/>
      <c r="J141" s="15"/>
      <c r="K141" s="15"/>
      <c r="L141" s="15"/>
      <c r="M141" s="15"/>
      <c r="N141" s="15"/>
      <c r="O141" s="15"/>
      <c r="P141" s="15"/>
      <c r="Q141" s="16"/>
      <c r="R141" s="16"/>
      <c r="S141" s="16"/>
      <c r="T141" s="17"/>
      <c r="U141" s="18"/>
      <c r="V141" s="15"/>
      <c r="W141" s="19" t="str">
        <f t="shared" si="1"/>
        <v/>
      </c>
      <c r="X141" s="19">
        <f t="shared" si="4"/>
        <v>4.687191827</v>
      </c>
    </row>
    <row r="142">
      <c r="A142" s="8">
        <f t="shared" si="3"/>
        <v>141</v>
      </c>
      <c r="B142" s="8"/>
      <c r="C142" s="8"/>
      <c r="D142" s="8"/>
      <c r="E142" s="8"/>
      <c r="F142" s="8"/>
      <c r="G142" s="8"/>
      <c r="H142" s="8"/>
      <c r="I142" s="111"/>
      <c r="J142" s="8"/>
      <c r="K142" s="8"/>
      <c r="L142" s="8"/>
      <c r="M142" s="8"/>
      <c r="N142" s="8"/>
      <c r="O142" s="8"/>
      <c r="P142" s="8"/>
      <c r="Q142" s="9"/>
      <c r="R142" s="9"/>
      <c r="S142" s="9"/>
      <c r="T142" s="10"/>
      <c r="U142" s="11"/>
      <c r="V142" s="8"/>
      <c r="W142" s="12" t="str">
        <f t="shared" si="1"/>
        <v/>
      </c>
      <c r="X142" s="12">
        <f t="shared" si="4"/>
        <v>4.687191827</v>
      </c>
    </row>
    <row r="143">
      <c r="A143" s="15">
        <f t="shared" si="3"/>
        <v>142</v>
      </c>
      <c r="B143" s="15"/>
      <c r="C143" s="15"/>
      <c r="D143" s="15"/>
      <c r="E143" s="15"/>
      <c r="F143" s="15"/>
      <c r="G143" s="15"/>
      <c r="H143" s="15"/>
      <c r="I143" s="110"/>
      <c r="J143" s="15"/>
      <c r="K143" s="15"/>
      <c r="L143" s="15"/>
      <c r="M143" s="15"/>
      <c r="N143" s="15"/>
      <c r="O143" s="15"/>
      <c r="P143" s="15"/>
      <c r="Q143" s="16"/>
      <c r="R143" s="16"/>
      <c r="S143" s="16"/>
      <c r="T143" s="17"/>
      <c r="U143" s="18"/>
      <c r="V143" s="15"/>
      <c r="W143" s="19" t="str">
        <f t="shared" si="1"/>
        <v/>
      </c>
      <c r="X143" s="19">
        <f t="shared" si="4"/>
        <v>4.687191827</v>
      </c>
    </row>
    <row r="144">
      <c r="A144" s="8">
        <f t="shared" si="3"/>
        <v>143</v>
      </c>
      <c r="B144" s="8"/>
      <c r="C144" s="8"/>
      <c r="D144" s="8"/>
      <c r="E144" s="8"/>
      <c r="F144" s="8"/>
      <c r="G144" s="8"/>
      <c r="H144" s="8"/>
      <c r="I144" s="111"/>
      <c r="J144" s="8"/>
      <c r="K144" s="8"/>
      <c r="L144" s="8"/>
      <c r="M144" s="8"/>
      <c r="N144" s="8"/>
      <c r="O144" s="8"/>
      <c r="P144" s="8"/>
      <c r="Q144" s="9"/>
      <c r="R144" s="9"/>
      <c r="S144" s="9"/>
      <c r="T144" s="10"/>
      <c r="U144" s="11"/>
      <c r="V144" s="8"/>
      <c r="W144" s="12" t="str">
        <f t="shared" si="1"/>
        <v/>
      </c>
      <c r="X144" s="12">
        <f t="shared" si="4"/>
        <v>4.687191827</v>
      </c>
    </row>
    <row r="145">
      <c r="A145" s="15">
        <f t="shared" si="3"/>
        <v>144</v>
      </c>
      <c r="B145" s="15"/>
      <c r="C145" s="15"/>
      <c r="D145" s="15"/>
      <c r="E145" s="15"/>
      <c r="F145" s="15"/>
      <c r="G145" s="15"/>
      <c r="H145" s="15"/>
      <c r="I145" s="110"/>
      <c r="J145" s="15"/>
      <c r="K145" s="15"/>
      <c r="L145" s="15"/>
      <c r="M145" s="15"/>
      <c r="N145" s="15"/>
      <c r="O145" s="15"/>
      <c r="P145" s="15"/>
      <c r="Q145" s="16"/>
      <c r="R145" s="16"/>
      <c r="S145" s="16"/>
      <c r="T145" s="17"/>
      <c r="U145" s="18"/>
      <c r="V145" s="15"/>
      <c r="W145" s="19" t="str">
        <f t="shared" si="1"/>
        <v/>
      </c>
      <c r="X145" s="19">
        <f t="shared" si="4"/>
        <v>4.687191827</v>
      </c>
    </row>
    <row r="146">
      <c r="A146" s="8">
        <f t="shared" si="3"/>
        <v>145</v>
      </c>
      <c r="B146" s="8"/>
      <c r="C146" s="8"/>
      <c r="D146" s="8"/>
      <c r="E146" s="8"/>
      <c r="F146" s="8"/>
      <c r="G146" s="8"/>
      <c r="H146" s="8"/>
      <c r="I146" s="111"/>
      <c r="J146" s="8"/>
      <c r="K146" s="8"/>
      <c r="L146" s="8"/>
      <c r="M146" s="8"/>
      <c r="N146" s="8"/>
      <c r="O146" s="8"/>
      <c r="P146" s="8"/>
      <c r="Q146" s="9"/>
      <c r="R146" s="9"/>
      <c r="S146" s="9"/>
      <c r="T146" s="10"/>
      <c r="U146" s="11"/>
      <c r="V146" s="8"/>
      <c r="W146" s="12" t="str">
        <f t="shared" si="1"/>
        <v/>
      </c>
      <c r="X146" s="12">
        <f t="shared" si="4"/>
        <v>4.687191827</v>
      </c>
    </row>
    <row r="147">
      <c r="A147" s="15">
        <f t="shared" si="3"/>
        <v>146</v>
      </c>
      <c r="B147" s="15"/>
      <c r="C147" s="15"/>
      <c r="D147" s="15"/>
      <c r="E147" s="15"/>
      <c r="F147" s="15"/>
      <c r="G147" s="15"/>
      <c r="H147" s="15"/>
      <c r="I147" s="110"/>
      <c r="J147" s="15"/>
      <c r="K147" s="15"/>
      <c r="L147" s="15"/>
      <c r="M147" s="15"/>
      <c r="N147" s="15"/>
      <c r="O147" s="15"/>
      <c r="P147" s="15"/>
      <c r="Q147" s="16"/>
      <c r="R147" s="16"/>
      <c r="S147" s="16"/>
      <c r="T147" s="17"/>
      <c r="U147" s="18"/>
      <c r="V147" s="15"/>
      <c r="W147" s="19" t="str">
        <f t="shared" si="1"/>
        <v/>
      </c>
      <c r="X147" s="19">
        <f t="shared" si="4"/>
        <v>4.687191827</v>
      </c>
    </row>
    <row r="148">
      <c r="A148" s="8">
        <f t="shared" si="3"/>
        <v>147</v>
      </c>
      <c r="B148" s="8"/>
      <c r="C148" s="8"/>
      <c r="D148" s="8"/>
      <c r="E148" s="8"/>
      <c r="F148" s="8"/>
      <c r="G148" s="8"/>
      <c r="H148" s="8"/>
      <c r="I148" s="111"/>
      <c r="J148" s="8"/>
      <c r="K148" s="8"/>
      <c r="L148" s="8"/>
      <c r="M148" s="8"/>
      <c r="N148" s="8"/>
      <c r="O148" s="8"/>
      <c r="P148" s="8"/>
      <c r="Q148" s="9"/>
      <c r="R148" s="9"/>
      <c r="S148" s="9"/>
      <c r="T148" s="10"/>
      <c r="U148" s="11"/>
      <c r="V148" s="8"/>
      <c r="W148" s="12" t="str">
        <f t="shared" si="1"/>
        <v/>
      </c>
      <c r="X148" s="12">
        <f t="shared" si="4"/>
        <v>4.687191827</v>
      </c>
    </row>
    <row r="149">
      <c r="A149" s="15">
        <f t="shared" si="3"/>
        <v>148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6"/>
      <c r="R149" s="16"/>
      <c r="S149" s="16"/>
      <c r="T149" s="17"/>
      <c r="U149" s="18"/>
      <c r="V149" s="15"/>
      <c r="W149" s="19" t="str">
        <f t="shared" si="1"/>
        <v/>
      </c>
      <c r="X149" s="19">
        <f t="shared" si="4"/>
        <v>4.687191827</v>
      </c>
    </row>
    <row r="150">
      <c r="A150" s="8">
        <f t="shared" si="3"/>
        <v>149</v>
      </c>
      <c r="B150" s="8"/>
      <c r="C150" s="8"/>
      <c r="D150" s="8"/>
      <c r="E150" s="8"/>
      <c r="F150" s="8"/>
      <c r="G150" s="8"/>
      <c r="H150" s="8"/>
      <c r="I150" s="111"/>
      <c r="J150" s="8"/>
      <c r="K150" s="8"/>
      <c r="L150" s="8"/>
      <c r="M150" s="8"/>
      <c r="N150" s="8"/>
      <c r="O150" s="8"/>
      <c r="P150" s="8"/>
      <c r="Q150" s="9"/>
      <c r="R150" s="9"/>
      <c r="S150" s="9"/>
      <c r="T150" s="10"/>
      <c r="U150" s="11"/>
      <c r="V150" s="8"/>
      <c r="W150" s="12" t="str">
        <f t="shared" si="1"/>
        <v/>
      </c>
      <c r="X150" s="12">
        <f t="shared" si="4"/>
        <v>4.687191827</v>
      </c>
    </row>
    <row r="151">
      <c r="A151" s="15">
        <f t="shared" si="3"/>
        <v>150</v>
      </c>
      <c r="B151" s="15"/>
      <c r="C151" s="15"/>
      <c r="D151" s="15"/>
      <c r="E151" s="15"/>
      <c r="F151" s="15"/>
      <c r="G151" s="15"/>
      <c r="H151" s="15"/>
      <c r="I151" s="110"/>
      <c r="J151" s="15"/>
      <c r="K151" s="15"/>
      <c r="L151" s="15"/>
      <c r="M151" s="15"/>
      <c r="N151" s="15"/>
      <c r="O151" s="15"/>
      <c r="P151" s="15"/>
      <c r="Q151" s="16"/>
      <c r="R151" s="16"/>
      <c r="S151" s="16"/>
      <c r="T151" s="17"/>
      <c r="U151" s="18"/>
      <c r="V151" s="15"/>
      <c r="W151" s="19" t="str">
        <f t="shared" si="1"/>
        <v/>
      </c>
      <c r="X151" s="19">
        <f t="shared" si="4"/>
        <v>4.687191827</v>
      </c>
    </row>
    <row r="152">
      <c r="A152" s="8">
        <f t="shared" si="3"/>
        <v>151</v>
      </c>
      <c r="B152" s="8"/>
      <c r="C152" s="8"/>
      <c r="D152" s="8"/>
      <c r="E152" s="8"/>
      <c r="F152" s="8"/>
      <c r="G152" s="8"/>
      <c r="H152" s="8"/>
      <c r="I152" s="111"/>
      <c r="J152" s="8"/>
      <c r="K152" s="8"/>
      <c r="L152" s="8"/>
      <c r="M152" s="8"/>
      <c r="N152" s="8"/>
      <c r="O152" s="8"/>
      <c r="P152" s="8"/>
      <c r="Q152" s="9"/>
      <c r="R152" s="9"/>
      <c r="S152" s="9"/>
      <c r="T152" s="10"/>
      <c r="U152" s="11"/>
      <c r="V152" s="8"/>
      <c r="W152" s="12" t="str">
        <f t="shared" si="1"/>
        <v/>
      </c>
      <c r="X152" s="12">
        <f t="shared" si="4"/>
        <v>4.687191827</v>
      </c>
    </row>
    <row r="153">
      <c r="A153" s="15">
        <f t="shared" si="3"/>
        <v>152</v>
      </c>
      <c r="B153" s="15"/>
      <c r="C153" s="15"/>
      <c r="D153" s="15"/>
      <c r="E153" s="15"/>
      <c r="F153" s="15"/>
      <c r="G153" s="15"/>
      <c r="H153" s="15"/>
      <c r="I153" s="110"/>
      <c r="J153" s="15"/>
      <c r="K153" s="15"/>
      <c r="L153" s="15"/>
      <c r="M153" s="15"/>
      <c r="N153" s="15"/>
      <c r="O153" s="15"/>
      <c r="P153" s="15"/>
      <c r="Q153" s="16"/>
      <c r="R153" s="16"/>
      <c r="S153" s="16"/>
      <c r="T153" s="17"/>
      <c r="U153" s="18"/>
      <c r="V153" s="15"/>
      <c r="W153" s="19" t="str">
        <f t="shared" si="1"/>
        <v/>
      </c>
      <c r="X153" s="19">
        <f t="shared" si="4"/>
        <v>4.687191827</v>
      </c>
    </row>
    <row r="154">
      <c r="A154" s="8">
        <f t="shared" si="3"/>
        <v>153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9"/>
      <c r="R154" s="9"/>
      <c r="S154" s="9"/>
      <c r="T154" s="10"/>
      <c r="U154" s="11"/>
      <c r="V154" s="8"/>
      <c r="W154" s="12" t="str">
        <f t="shared" si="1"/>
        <v/>
      </c>
      <c r="X154" s="12">
        <f t="shared" si="4"/>
        <v>4.687191827</v>
      </c>
    </row>
    <row r="155">
      <c r="A155" s="15">
        <f t="shared" si="3"/>
        <v>154</v>
      </c>
      <c r="B155" s="15"/>
      <c r="C155" s="15"/>
      <c r="D155" s="15"/>
      <c r="E155" s="15"/>
      <c r="F155" s="15"/>
      <c r="G155" s="15"/>
      <c r="H155" s="15"/>
      <c r="I155" s="110"/>
      <c r="J155" s="15"/>
      <c r="K155" s="15"/>
      <c r="L155" s="15"/>
      <c r="M155" s="15"/>
      <c r="N155" s="15"/>
      <c r="O155" s="15"/>
      <c r="P155" s="15"/>
      <c r="Q155" s="16"/>
      <c r="R155" s="16"/>
      <c r="S155" s="16"/>
      <c r="T155" s="17"/>
      <c r="U155" s="18"/>
      <c r="V155" s="15"/>
      <c r="W155" s="19" t="str">
        <f t="shared" si="1"/>
        <v/>
      </c>
      <c r="X155" s="19">
        <f t="shared" si="4"/>
        <v>4.687191827</v>
      </c>
    </row>
    <row r="156">
      <c r="A156" s="8">
        <f t="shared" si="3"/>
        <v>155</v>
      </c>
      <c r="B156" s="8"/>
      <c r="C156" s="8"/>
      <c r="D156" s="8"/>
      <c r="E156" s="8"/>
      <c r="F156" s="8"/>
      <c r="G156" s="8"/>
      <c r="H156" s="8"/>
      <c r="I156" s="111"/>
      <c r="J156" s="8"/>
      <c r="K156" s="8"/>
      <c r="L156" s="8"/>
      <c r="M156" s="8"/>
      <c r="N156" s="8"/>
      <c r="O156" s="8"/>
      <c r="P156" s="8"/>
      <c r="Q156" s="9"/>
      <c r="R156" s="9"/>
      <c r="S156" s="9"/>
      <c r="T156" s="54"/>
      <c r="U156" s="11"/>
      <c r="V156" s="8"/>
      <c r="W156" s="12" t="str">
        <f t="shared" si="1"/>
        <v/>
      </c>
      <c r="X156" s="12">
        <f t="shared" si="4"/>
        <v>4.687191827</v>
      </c>
    </row>
    <row r="157">
      <c r="A157" s="15">
        <f t="shared" si="3"/>
        <v>156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6"/>
      <c r="R157" s="16"/>
      <c r="S157" s="16"/>
      <c r="T157" s="17"/>
      <c r="U157" s="18"/>
      <c r="V157" s="15"/>
      <c r="W157" s="19" t="str">
        <f t="shared" si="1"/>
        <v/>
      </c>
      <c r="X157" s="19">
        <f t="shared" si="4"/>
        <v>4.687191827</v>
      </c>
    </row>
    <row r="158">
      <c r="A158" s="8">
        <f t="shared" si="3"/>
        <v>157</v>
      </c>
      <c r="B158" s="8"/>
      <c r="C158" s="8"/>
      <c r="D158" s="8"/>
      <c r="E158" s="8"/>
      <c r="F158" s="8"/>
      <c r="G158" s="8"/>
      <c r="H158" s="8"/>
      <c r="I158" s="111"/>
      <c r="J158" s="8"/>
      <c r="K158" s="8"/>
      <c r="L158" s="8"/>
      <c r="M158" s="8"/>
      <c r="N158" s="8"/>
      <c r="O158" s="8"/>
      <c r="P158" s="8"/>
      <c r="Q158" s="9"/>
      <c r="R158" s="9"/>
      <c r="S158" s="9"/>
      <c r="T158" s="10"/>
      <c r="U158" s="11"/>
      <c r="V158" s="8"/>
      <c r="W158" s="12" t="str">
        <f t="shared" si="1"/>
        <v/>
      </c>
      <c r="X158" s="12">
        <f t="shared" si="4"/>
        <v>4.687191827</v>
      </c>
    </row>
    <row r="159">
      <c r="A159" s="15">
        <f t="shared" si="3"/>
        <v>158</v>
      </c>
      <c r="B159" s="15"/>
      <c r="C159" s="15"/>
      <c r="D159" s="15"/>
      <c r="E159" s="15"/>
      <c r="F159" s="15"/>
      <c r="G159" s="15"/>
      <c r="H159" s="15"/>
      <c r="I159" s="110"/>
      <c r="J159" s="15"/>
      <c r="K159" s="15"/>
      <c r="L159" s="15"/>
      <c r="M159" s="15"/>
      <c r="N159" s="15"/>
      <c r="O159" s="15"/>
      <c r="P159" s="15"/>
      <c r="Q159" s="16"/>
      <c r="R159" s="16"/>
      <c r="S159" s="16"/>
      <c r="T159" s="17"/>
      <c r="U159" s="18"/>
      <c r="V159" s="15"/>
      <c r="W159" s="19" t="str">
        <f t="shared" si="1"/>
        <v/>
      </c>
      <c r="X159" s="19">
        <f t="shared" si="4"/>
        <v>4.687191827</v>
      </c>
    </row>
    <row r="160">
      <c r="A160" s="8">
        <f t="shared" si="3"/>
        <v>159</v>
      </c>
      <c r="B160" s="8"/>
      <c r="C160" s="8"/>
      <c r="D160" s="8"/>
      <c r="E160" s="8"/>
      <c r="F160" s="8"/>
      <c r="G160" s="8"/>
      <c r="H160" s="8"/>
      <c r="I160" s="111"/>
      <c r="J160" s="8"/>
      <c r="K160" s="8"/>
      <c r="L160" s="8"/>
      <c r="M160" s="8"/>
      <c r="N160" s="8"/>
      <c r="O160" s="8"/>
      <c r="P160" s="8"/>
      <c r="Q160" s="9"/>
      <c r="R160" s="9"/>
      <c r="S160" s="9"/>
      <c r="T160" s="10"/>
      <c r="U160" s="11"/>
      <c r="V160" s="8"/>
      <c r="W160" s="12" t="str">
        <f t="shared" si="1"/>
        <v/>
      </c>
      <c r="X160" s="12">
        <f t="shared" si="4"/>
        <v>4.687191827</v>
      </c>
    </row>
    <row r="161">
      <c r="A161" s="15">
        <f t="shared" si="3"/>
        <v>160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6"/>
      <c r="R161" s="16"/>
      <c r="S161" s="16"/>
      <c r="T161" s="17"/>
      <c r="U161" s="18"/>
      <c r="V161" s="15"/>
      <c r="W161" s="19" t="str">
        <f t="shared" si="1"/>
        <v/>
      </c>
      <c r="X161" s="19">
        <f t="shared" si="4"/>
        <v>4.687191827</v>
      </c>
    </row>
    <row r="162">
      <c r="A162" s="8">
        <f t="shared" si="3"/>
        <v>161</v>
      </c>
      <c r="B162" s="8"/>
      <c r="C162" s="8"/>
      <c r="D162" s="8"/>
      <c r="E162" s="8"/>
      <c r="F162" s="8"/>
      <c r="G162" s="8"/>
      <c r="H162" s="8"/>
      <c r="I162" s="111"/>
      <c r="J162" s="8"/>
      <c r="K162" s="8"/>
      <c r="L162" s="8"/>
      <c r="M162" s="8"/>
      <c r="N162" s="8"/>
      <c r="O162" s="8"/>
      <c r="P162" s="8"/>
      <c r="Q162" s="9"/>
      <c r="R162" s="9"/>
      <c r="S162" s="9"/>
      <c r="T162" s="10"/>
      <c r="U162" s="11"/>
      <c r="V162" s="8"/>
      <c r="W162" s="12" t="str">
        <f t="shared" si="1"/>
        <v/>
      </c>
      <c r="X162" s="12">
        <f t="shared" si="4"/>
        <v>4.687191827</v>
      </c>
    </row>
    <row r="163">
      <c r="A163" s="15">
        <f t="shared" si="3"/>
        <v>162</v>
      </c>
      <c r="B163" s="15"/>
      <c r="C163" s="15"/>
      <c r="D163" s="15"/>
      <c r="E163" s="15"/>
      <c r="F163" s="15"/>
      <c r="G163" s="15"/>
      <c r="H163" s="15"/>
      <c r="I163" s="110"/>
      <c r="J163" s="15"/>
      <c r="K163" s="15"/>
      <c r="L163" s="15"/>
      <c r="M163" s="15"/>
      <c r="N163" s="15"/>
      <c r="O163" s="15"/>
      <c r="P163" s="15"/>
      <c r="Q163" s="16"/>
      <c r="R163" s="16"/>
      <c r="S163" s="16"/>
      <c r="T163" s="17"/>
      <c r="U163" s="18"/>
      <c r="V163" s="15"/>
      <c r="W163" s="19" t="str">
        <f t="shared" si="1"/>
        <v/>
      </c>
      <c r="X163" s="19">
        <f t="shared" si="4"/>
        <v>4.687191827</v>
      </c>
    </row>
    <row r="164">
      <c r="A164" s="8">
        <f t="shared" si="3"/>
        <v>163</v>
      </c>
      <c r="B164" s="8"/>
      <c r="C164" s="8"/>
      <c r="D164" s="8"/>
      <c r="E164" s="8"/>
      <c r="F164" s="8"/>
      <c r="G164" s="8"/>
      <c r="H164" s="8"/>
      <c r="I164" s="111"/>
      <c r="J164" s="8"/>
      <c r="K164" s="8"/>
      <c r="L164" s="8"/>
      <c r="M164" s="8"/>
      <c r="N164" s="8"/>
      <c r="O164" s="8"/>
      <c r="P164" s="8"/>
      <c r="Q164" s="9"/>
      <c r="R164" s="9"/>
      <c r="S164" s="9"/>
      <c r="T164" s="10"/>
      <c r="U164" s="11"/>
      <c r="V164" s="8"/>
      <c r="W164" s="12" t="str">
        <f t="shared" si="1"/>
        <v/>
      </c>
      <c r="X164" s="12">
        <f t="shared" si="4"/>
        <v>4.687191827</v>
      </c>
    </row>
    <row r="165">
      <c r="A165" s="15">
        <f t="shared" si="3"/>
        <v>164</v>
      </c>
      <c r="B165" s="15"/>
      <c r="C165" s="15"/>
      <c r="D165" s="15"/>
      <c r="E165" s="15"/>
      <c r="F165" s="15"/>
      <c r="G165" s="15"/>
      <c r="H165" s="15"/>
      <c r="I165" s="110"/>
      <c r="J165" s="15"/>
      <c r="K165" s="15"/>
      <c r="L165" s="15"/>
      <c r="M165" s="15"/>
      <c r="N165" s="15"/>
      <c r="O165" s="15"/>
      <c r="P165" s="15"/>
      <c r="Q165" s="16"/>
      <c r="R165" s="16"/>
      <c r="S165" s="16"/>
      <c r="T165" s="17"/>
      <c r="U165" s="18"/>
      <c r="V165" s="15"/>
      <c r="W165" s="19" t="str">
        <f t="shared" si="1"/>
        <v/>
      </c>
      <c r="X165" s="19">
        <f t="shared" si="4"/>
        <v>4.687191827</v>
      </c>
    </row>
    <row r="166">
      <c r="A166" s="8">
        <f t="shared" si="3"/>
        <v>165</v>
      </c>
      <c r="B166" s="8"/>
      <c r="C166" s="8"/>
      <c r="D166" s="8"/>
      <c r="E166" s="8"/>
      <c r="F166" s="8"/>
      <c r="G166" s="8"/>
      <c r="H166" s="8"/>
      <c r="I166" s="111"/>
      <c r="J166" s="8"/>
      <c r="K166" s="8"/>
      <c r="L166" s="8"/>
      <c r="M166" s="8"/>
      <c r="N166" s="8"/>
      <c r="O166" s="8"/>
      <c r="P166" s="8"/>
      <c r="Q166" s="9"/>
      <c r="R166" s="9"/>
      <c r="S166" s="9"/>
      <c r="T166" s="10"/>
      <c r="U166" s="11"/>
      <c r="V166" s="8"/>
      <c r="W166" s="12" t="str">
        <f t="shared" si="1"/>
        <v/>
      </c>
      <c r="X166" s="12">
        <f t="shared" si="4"/>
        <v>4.687191827</v>
      </c>
    </row>
    <row r="167">
      <c r="A167" s="15">
        <f t="shared" si="3"/>
        <v>166</v>
      </c>
      <c r="B167" s="15"/>
      <c r="C167" s="15"/>
      <c r="D167" s="15"/>
      <c r="E167" s="15"/>
      <c r="F167" s="15"/>
      <c r="G167" s="15"/>
      <c r="H167" s="15"/>
      <c r="I167" s="110"/>
      <c r="J167" s="15"/>
      <c r="K167" s="15"/>
      <c r="L167" s="15"/>
      <c r="M167" s="15"/>
      <c r="N167" s="15"/>
      <c r="O167" s="15"/>
      <c r="P167" s="15"/>
      <c r="Q167" s="16"/>
      <c r="R167" s="16"/>
      <c r="S167" s="16"/>
      <c r="T167" s="17"/>
      <c r="U167" s="18"/>
      <c r="V167" s="15"/>
      <c r="W167" s="19" t="str">
        <f t="shared" si="1"/>
        <v/>
      </c>
      <c r="X167" s="19">
        <f t="shared" si="4"/>
        <v>4.687191827</v>
      </c>
    </row>
    <row r="168">
      <c r="A168" s="8">
        <f t="shared" si="3"/>
        <v>167</v>
      </c>
      <c r="B168" s="8"/>
      <c r="C168" s="8"/>
      <c r="D168" s="8"/>
      <c r="E168" s="8"/>
      <c r="F168" s="8"/>
      <c r="G168" s="8"/>
      <c r="H168" s="8"/>
      <c r="I168" s="111"/>
      <c r="J168" s="8"/>
      <c r="K168" s="8"/>
      <c r="L168" s="8"/>
      <c r="M168" s="8"/>
      <c r="N168" s="8"/>
      <c r="O168" s="8"/>
      <c r="P168" s="8"/>
      <c r="Q168" s="9"/>
      <c r="R168" s="9"/>
      <c r="S168" s="9"/>
      <c r="T168" s="10"/>
      <c r="U168" s="11"/>
      <c r="V168" s="8"/>
      <c r="W168" s="12" t="str">
        <f t="shared" si="1"/>
        <v/>
      </c>
      <c r="X168" s="12">
        <f t="shared" si="4"/>
        <v>4.687191827</v>
      </c>
    </row>
    <row r="169">
      <c r="A169" s="15">
        <f t="shared" si="3"/>
        <v>168</v>
      </c>
      <c r="B169" s="15"/>
      <c r="C169" s="15"/>
      <c r="D169" s="15"/>
      <c r="E169" s="15"/>
      <c r="F169" s="15"/>
      <c r="G169" s="15"/>
      <c r="H169" s="15"/>
      <c r="I169" s="110"/>
      <c r="J169" s="15"/>
      <c r="K169" s="15"/>
      <c r="L169" s="15"/>
      <c r="M169" s="15"/>
      <c r="N169" s="15"/>
      <c r="O169" s="15"/>
      <c r="P169" s="15"/>
      <c r="Q169" s="16"/>
      <c r="R169" s="16"/>
      <c r="S169" s="16"/>
      <c r="T169" s="17"/>
      <c r="U169" s="18"/>
      <c r="V169" s="15"/>
      <c r="W169" s="19" t="str">
        <f t="shared" si="1"/>
        <v/>
      </c>
      <c r="X169" s="19">
        <f t="shared" si="4"/>
        <v>4.687191827</v>
      </c>
    </row>
    <row r="170">
      <c r="A170" s="8">
        <f t="shared" si="3"/>
        <v>169</v>
      </c>
      <c r="B170" s="8"/>
      <c r="C170" s="8"/>
      <c r="D170" s="8"/>
      <c r="E170" s="8"/>
      <c r="F170" s="8"/>
      <c r="G170" s="8"/>
      <c r="H170" s="8"/>
      <c r="I170" s="111"/>
      <c r="J170" s="8"/>
      <c r="K170" s="8"/>
      <c r="L170" s="8"/>
      <c r="M170" s="8"/>
      <c r="N170" s="8"/>
      <c r="O170" s="8"/>
      <c r="P170" s="8"/>
      <c r="Q170" s="9"/>
      <c r="R170" s="9"/>
      <c r="S170" s="9"/>
      <c r="T170" s="10"/>
      <c r="U170" s="11"/>
      <c r="V170" s="8"/>
      <c r="W170" s="12" t="str">
        <f t="shared" si="1"/>
        <v/>
      </c>
      <c r="X170" s="12">
        <f t="shared" si="4"/>
        <v>4.687191827</v>
      </c>
    </row>
    <row r="171">
      <c r="A171" s="15">
        <f t="shared" si="3"/>
        <v>170</v>
      </c>
      <c r="B171" s="15"/>
      <c r="C171" s="15"/>
      <c r="D171" s="15"/>
      <c r="E171" s="15"/>
      <c r="F171" s="15"/>
      <c r="G171" s="15"/>
      <c r="H171" s="15"/>
      <c r="I171" s="110"/>
      <c r="J171" s="15"/>
      <c r="K171" s="15"/>
      <c r="L171" s="15"/>
      <c r="M171" s="15"/>
      <c r="N171" s="15"/>
      <c r="O171" s="15"/>
      <c r="P171" s="15"/>
      <c r="Q171" s="16"/>
      <c r="R171" s="16"/>
      <c r="S171" s="16"/>
      <c r="T171" s="17"/>
      <c r="U171" s="18"/>
      <c r="V171" s="15"/>
      <c r="W171" s="19" t="str">
        <f t="shared" si="1"/>
        <v/>
      </c>
      <c r="X171" s="19">
        <f t="shared" si="4"/>
        <v>4.687191827</v>
      </c>
    </row>
    <row r="172">
      <c r="A172" s="8">
        <f t="shared" si="3"/>
        <v>171</v>
      </c>
      <c r="B172" s="8"/>
      <c r="C172" s="8"/>
      <c r="D172" s="8"/>
      <c r="E172" s="8"/>
      <c r="F172" s="8"/>
      <c r="G172" s="8"/>
      <c r="H172" s="8"/>
      <c r="I172" s="111"/>
      <c r="J172" s="8"/>
      <c r="K172" s="8"/>
      <c r="L172" s="8"/>
      <c r="M172" s="8"/>
      <c r="N172" s="8"/>
      <c r="O172" s="8"/>
      <c r="P172" s="8"/>
      <c r="Q172" s="9"/>
      <c r="R172" s="9"/>
      <c r="S172" s="9"/>
      <c r="T172" s="10"/>
      <c r="U172" s="11"/>
      <c r="V172" s="8"/>
      <c r="W172" s="12" t="str">
        <f t="shared" si="1"/>
        <v/>
      </c>
      <c r="X172" s="12">
        <f t="shared" si="4"/>
        <v>4.687191827</v>
      </c>
    </row>
    <row r="173">
      <c r="A173" s="15">
        <f t="shared" si="3"/>
        <v>172</v>
      </c>
      <c r="B173" s="15"/>
      <c r="C173" s="15"/>
      <c r="D173" s="15"/>
      <c r="E173" s="15"/>
      <c r="F173" s="15"/>
      <c r="G173" s="15"/>
      <c r="H173" s="15"/>
      <c r="I173" s="110"/>
      <c r="J173" s="15"/>
      <c r="K173" s="15"/>
      <c r="L173" s="15"/>
      <c r="M173" s="15"/>
      <c r="N173" s="15"/>
      <c r="O173" s="15"/>
      <c r="P173" s="15"/>
      <c r="Q173" s="16"/>
      <c r="R173" s="16"/>
      <c r="S173" s="16"/>
      <c r="T173" s="17"/>
      <c r="U173" s="18"/>
      <c r="V173" s="15"/>
      <c r="W173" s="19" t="str">
        <f t="shared" si="1"/>
        <v/>
      </c>
      <c r="X173" s="19">
        <f t="shared" si="4"/>
        <v>4.687191827</v>
      </c>
    </row>
    <row r="174">
      <c r="A174" s="8">
        <f t="shared" si="3"/>
        <v>173</v>
      </c>
      <c r="B174" s="8"/>
      <c r="C174" s="8"/>
      <c r="D174" s="8"/>
      <c r="E174" s="8"/>
      <c r="F174" s="8"/>
      <c r="G174" s="8"/>
      <c r="H174" s="8"/>
      <c r="I174" s="111"/>
      <c r="J174" s="8"/>
      <c r="K174" s="8"/>
      <c r="L174" s="8"/>
      <c r="M174" s="8"/>
      <c r="N174" s="8"/>
      <c r="O174" s="8"/>
      <c r="P174" s="8"/>
      <c r="Q174" s="9"/>
      <c r="R174" s="9"/>
      <c r="S174" s="9"/>
      <c r="T174" s="10"/>
      <c r="U174" s="11"/>
      <c r="V174" s="8"/>
      <c r="W174" s="12" t="str">
        <f t="shared" si="1"/>
        <v/>
      </c>
      <c r="X174" s="12">
        <f t="shared" si="4"/>
        <v>4.687191827</v>
      </c>
    </row>
    <row r="175">
      <c r="A175" s="15">
        <f t="shared" si="3"/>
        <v>174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6"/>
      <c r="R175" s="16"/>
      <c r="S175" s="16"/>
      <c r="T175" s="17"/>
      <c r="U175" s="18"/>
      <c r="V175" s="15"/>
      <c r="W175" s="19" t="str">
        <f t="shared" si="1"/>
        <v/>
      </c>
      <c r="X175" s="19">
        <f t="shared" si="4"/>
        <v>4.687191827</v>
      </c>
    </row>
    <row r="176">
      <c r="A176" s="8">
        <f t="shared" si="3"/>
        <v>175</v>
      </c>
      <c r="B176" s="8"/>
      <c r="C176" s="8"/>
      <c r="D176" s="8"/>
      <c r="E176" s="8"/>
      <c r="F176" s="8"/>
      <c r="G176" s="8"/>
      <c r="H176" s="8"/>
      <c r="I176" s="111"/>
      <c r="J176" s="8"/>
      <c r="K176" s="8"/>
      <c r="L176" s="8"/>
      <c r="M176" s="8"/>
      <c r="N176" s="8"/>
      <c r="O176" s="8"/>
      <c r="P176" s="8"/>
      <c r="Q176" s="9"/>
      <c r="R176" s="9"/>
      <c r="S176" s="9"/>
      <c r="T176" s="54"/>
      <c r="U176" s="11"/>
      <c r="V176" s="8"/>
      <c r="W176" s="12" t="str">
        <f t="shared" si="1"/>
        <v/>
      </c>
      <c r="X176" s="12">
        <f t="shared" si="4"/>
        <v>4.687191827</v>
      </c>
    </row>
    <row r="177">
      <c r="A177" s="15">
        <f t="shared" si="3"/>
        <v>176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6"/>
      <c r="R177" s="16"/>
      <c r="S177" s="16"/>
      <c r="T177" s="17"/>
      <c r="U177" s="18"/>
      <c r="V177" s="15"/>
      <c r="W177" s="19" t="str">
        <f t="shared" si="1"/>
        <v/>
      </c>
      <c r="X177" s="19">
        <f t="shared" si="4"/>
        <v>4.687191827</v>
      </c>
    </row>
    <row r="178">
      <c r="A178" s="8">
        <f t="shared" si="3"/>
        <v>177</v>
      </c>
      <c r="B178" s="8"/>
      <c r="C178" s="8"/>
      <c r="D178" s="8"/>
      <c r="E178" s="8"/>
      <c r="F178" s="8"/>
      <c r="G178" s="8"/>
      <c r="H178" s="8"/>
      <c r="I178" s="111"/>
      <c r="J178" s="8"/>
      <c r="K178" s="8"/>
      <c r="L178" s="8"/>
      <c r="M178" s="8"/>
      <c r="N178" s="8"/>
      <c r="O178" s="8"/>
      <c r="P178" s="8"/>
      <c r="Q178" s="9"/>
      <c r="R178" s="9"/>
      <c r="S178" s="9"/>
      <c r="T178" s="10"/>
      <c r="U178" s="11"/>
      <c r="V178" s="8"/>
      <c r="W178" s="12" t="str">
        <f t="shared" si="1"/>
        <v/>
      </c>
      <c r="X178" s="12">
        <f t="shared" si="4"/>
        <v>4.687191827</v>
      </c>
    </row>
    <row r="179">
      <c r="A179" s="15">
        <f t="shared" si="3"/>
        <v>178</v>
      </c>
      <c r="B179" s="15"/>
      <c r="C179" s="15"/>
      <c r="D179" s="15"/>
      <c r="E179" s="15"/>
      <c r="F179" s="15"/>
      <c r="G179" s="15"/>
      <c r="H179" s="15"/>
      <c r="I179" s="110"/>
      <c r="J179" s="15"/>
      <c r="K179" s="15"/>
      <c r="L179" s="15"/>
      <c r="M179" s="15"/>
      <c r="N179" s="15"/>
      <c r="O179" s="15"/>
      <c r="P179" s="15"/>
      <c r="Q179" s="16"/>
      <c r="R179" s="16"/>
      <c r="S179" s="16"/>
      <c r="T179" s="17"/>
      <c r="U179" s="18"/>
      <c r="V179" s="15"/>
      <c r="W179" s="19" t="str">
        <f t="shared" si="1"/>
        <v/>
      </c>
      <c r="X179" s="19">
        <f t="shared" si="4"/>
        <v>4.687191827</v>
      </c>
    </row>
    <row r="180">
      <c r="A180" s="8">
        <f t="shared" si="3"/>
        <v>179</v>
      </c>
      <c r="B180" s="8"/>
      <c r="C180" s="8"/>
      <c r="D180" s="8"/>
      <c r="E180" s="8"/>
      <c r="F180" s="8"/>
      <c r="G180" s="8"/>
      <c r="H180" s="8"/>
      <c r="I180" s="111"/>
      <c r="J180" s="8"/>
      <c r="K180" s="8"/>
      <c r="L180" s="8"/>
      <c r="M180" s="8"/>
      <c r="N180" s="8"/>
      <c r="O180" s="8"/>
      <c r="P180" s="8"/>
      <c r="Q180" s="9"/>
      <c r="R180" s="9"/>
      <c r="S180" s="9"/>
      <c r="T180" s="10"/>
      <c r="U180" s="11"/>
      <c r="V180" s="8"/>
      <c r="W180" s="12" t="str">
        <f t="shared" si="1"/>
        <v/>
      </c>
      <c r="X180" s="12">
        <f t="shared" si="4"/>
        <v>4.687191827</v>
      </c>
    </row>
    <row r="181">
      <c r="A181" s="15">
        <f t="shared" si="3"/>
        <v>180</v>
      </c>
      <c r="B181" s="15"/>
      <c r="C181" s="15"/>
      <c r="D181" s="15"/>
      <c r="E181" s="15"/>
      <c r="F181" s="15"/>
      <c r="G181" s="15"/>
      <c r="H181" s="15"/>
      <c r="I181" s="110"/>
      <c r="J181" s="15"/>
      <c r="K181" s="15"/>
      <c r="L181" s="15"/>
      <c r="M181" s="15"/>
      <c r="N181" s="15"/>
      <c r="O181" s="15"/>
      <c r="P181" s="15"/>
      <c r="Q181" s="16"/>
      <c r="R181" s="16"/>
      <c r="S181" s="16"/>
      <c r="T181" s="17"/>
      <c r="U181" s="18"/>
      <c r="V181" s="15"/>
      <c r="W181" s="19" t="str">
        <f t="shared" si="1"/>
        <v/>
      </c>
      <c r="X181" s="19">
        <f t="shared" si="4"/>
        <v>4.687191827</v>
      </c>
    </row>
    <row r="182">
      <c r="A182" s="8">
        <f t="shared" si="3"/>
        <v>181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9"/>
      <c r="R182" s="9"/>
      <c r="S182" s="9"/>
      <c r="T182" s="10"/>
      <c r="U182" s="11"/>
      <c r="V182" s="8"/>
      <c r="W182" s="12" t="str">
        <f t="shared" si="1"/>
        <v/>
      </c>
      <c r="X182" s="12">
        <f t="shared" si="4"/>
        <v>4.687191827</v>
      </c>
    </row>
    <row r="183">
      <c r="A183" s="15">
        <f t="shared" si="3"/>
        <v>182</v>
      </c>
      <c r="B183" s="15"/>
      <c r="C183" s="15"/>
      <c r="D183" s="15"/>
      <c r="E183" s="15"/>
      <c r="F183" s="15"/>
      <c r="G183" s="15"/>
      <c r="H183" s="15"/>
      <c r="I183" s="110"/>
      <c r="J183" s="15"/>
      <c r="K183" s="15"/>
      <c r="L183" s="15"/>
      <c r="M183" s="15"/>
      <c r="N183" s="15"/>
      <c r="O183" s="15"/>
      <c r="P183" s="15"/>
      <c r="Q183" s="16"/>
      <c r="R183" s="16"/>
      <c r="S183" s="16"/>
      <c r="T183" s="17"/>
      <c r="U183" s="18"/>
      <c r="V183" s="15"/>
      <c r="W183" s="19" t="str">
        <f t="shared" si="1"/>
        <v/>
      </c>
      <c r="X183" s="19">
        <f t="shared" si="4"/>
        <v>4.687191827</v>
      </c>
    </row>
    <row r="184">
      <c r="A184" s="8">
        <f t="shared" si="3"/>
        <v>183</v>
      </c>
      <c r="B184" s="8"/>
      <c r="C184" s="8"/>
      <c r="D184" s="8"/>
      <c r="E184" s="8"/>
      <c r="F184" s="8"/>
      <c r="G184" s="8"/>
      <c r="H184" s="8"/>
      <c r="I184" s="111"/>
      <c r="J184" s="8"/>
      <c r="K184" s="8"/>
      <c r="L184" s="8"/>
      <c r="M184" s="8"/>
      <c r="N184" s="8"/>
      <c r="O184" s="8"/>
      <c r="P184" s="8"/>
      <c r="Q184" s="9"/>
      <c r="R184" s="9"/>
      <c r="S184" s="9"/>
      <c r="T184" s="10"/>
      <c r="U184" s="11"/>
      <c r="V184" s="8"/>
      <c r="W184" s="12" t="str">
        <f t="shared" si="1"/>
        <v/>
      </c>
      <c r="X184" s="12">
        <f t="shared" si="4"/>
        <v>4.687191827</v>
      </c>
    </row>
    <row r="185">
      <c r="A185" s="15">
        <f t="shared" si="3"/>
        <v>184</v>
      </c>
      <c r="B185" s="15"/>
      <c r="C185" s="15"/>
      <c r="D185" s="15"/>
      <c r="E185" s="15"/>
      <c r="F185" s="15"/>
      <c r="G185" s="15"/>
      <c r="H185" s="15"/>
      <c r="I185" s="110"/>
      <c r="J185" s="15"/>
      <c r="K185" s="15"/>
      <c r="L185" s="15"/>
      <c r="M185" s="15"/>
      <c r="N185" s="15"/>
      <c r="O185" s="15"/>
      <c r="P185" s="15"/>
      <c r="Q185" s="16"/>
      <c r="R185" s="16"/>
      <c r="S185" s="16"/>
      <c r="T185" s="17"/>
      <c r="U185" s="18"/>
      <c r="V185" s="15"/>
      <c r="W185" s="19" t="str">
        <f t="shared" si="1"/>
        <v/>
      </c>
      <c r="X185" s="19">
        <f t="shared" si="4"/>
        <v>4.687191827</v>
      </c>
    </row>
    <row r="186">
      <c r="A186" s="8">
        <f t="shared" si="3"/>
        <v>185</v>
      </c>
      <c r="B186" s="8"/>
      <c r="C186" s="8"/>
      <c r="D186" s="8"/>
      <c r="E186" s="8"/>
      <c r="F186" s="8"/>
      <c r="G186" s="8"/>
      <c r="H186" s="8"/>
      <c r="I186" s="111"/>
      <c r="J186" s="8"/>
      <c r="K186" s="8"/>
      <c r="L186" s="8"/>
      <c r="M186" s="8"/>
      <c r="N186" s="8"/>
      <c r="O186" s="8"/>
      <c r="P186" s="8"/>
      <c r="Q186" s="9"/>
      <c r="R186" s="9"/>
      <c r="S186" s="9"/>
      <c r="T186" s="10"/>
      <c r="U186" s="11"/>
      <c r="V186" s="8"/>
      <c r="W186" s="12" t="str">
        <f t="shared" si="1"/>
        <v/>
      </c>
      <c r="X186" s="12">
        <f t="shared" si="4"/>
        <v>4.687191827</v>
      </c>
    </row>
    <row r="187">
      <c r="A187" s="15">
        <f t="shared" si="3"/>
        <v>186</v>
      </c>
      <c r="B187" s="15"/>
      <c r="C187" s="15"/>
      <c r="D187" s="15"/>
      <c r="E187" s="15"/>
      <c r="F187" s="15"/>
      <c r="G187" s="15"/>
      <c r="H187" s="15"/>
      <c r="I187" s="110"/>
      <c r="J187" s="15"/>
      <c r="K187" s="15"/>
      <c r="L187" s="15"/>
      <c r="M187" s="15"/>
      <c r="N187" s="15"/>
      <c r="O187" s="15"/>
      <c r="P187" s="15"/>
      <c r="Q187" s="16"/>
      <c r="R187" s="16"/>
      <c r="S187" s="16"/>
      <c r="T187" s="17"/>
      <c r="U187" s="18"/>
      <c r="V187" s="15"/>
      <c r="W187" s="19" t="str">
        <f t="shared" si="1"/>
        <v/>
      </c>
      <c r="X187" s="19">
        <f t="shared" si="4"/>
        <v>4.687191827</v>
      </c>
    </row>
    <row r="188">
      <c r="A188" s="8">
        <f t="shared" si="3"/>
        <v>187</v>
      </c>
      <c r="B188" s="8"/>
      <c r="C188" s="8"/>
      <c r="D188" s="8"/>
      <c r="E188" s="8"/>
      <c r="F188" s="8"/>
      <c r="G188" s="8"/>
      <c r="H188" s="8"/>
      <c r="I188" s="111"/>
      <c r="J188" s="8"/>
      <c r="K188" s="8"/>
      <c r="L188" s="8"/>
      <c r="M188" s="8"/>
      <c r="N188" s="8"/>
      <c r="O188" s="8"/>
      <c r="P188" s="8"/>
      <c r="Q188" s="9"/>
      <c r="R188" s="9"/>
      <c r="S188" s="9"/>
      <c r="T188" s="10"/>
      <c r="U188" s="11"/>
      <c r="V188" s="8"/>
      <c r="W188" s="12" t="str">
        <f t="shared" si="1"/>
        <v/>
      </c>
      <c r="X188" s="12">
        <f t="shared" si="4"/>
        <v>4.687191827</v>
      </c>
    </row>
    <row r="189">
      <c r="A189" s="15">
        <f t="shared" si="3"/>
        <v>188</v>
      </c>
      <c r="B189" s="15"/>
      <c r="C189" s="15"/>
      <c r="D189" s="15"/>
      <c r="E189" s="15"/>
      <c r="F189" s="15"/>
      <c r="G189" s="15"/>
      <c r="H189" s="15"/>
      <c r="I189" s="110"/>
      <c r="J189" s="15"/>
      <c r="K189" s="15"/>
      <c r="L189" s="15"/>
      <c r="M189" s="15"/>
      <c r="N189" s="15"/>
      <c r="O189" s="15"/>
      <c r="P189" s="15"/>
      <c r="Q189" s="16"/>
      <c r="R189" s="16"/>
      <c r="S189" s="16"/>
      <c r="T189" s="17"/>
      <c r="U189" s="18"/>
      <c r="V189" s="15"/>
      <c r="W189" s="19" t="str">
        <f t="shared" si="1"/>
        <v/>
      </c>
      <c r="X189" s="19">
        <f t="shared" si="4"/>
        <v>4.687191827</v>
      </c>
    </row>
    <row r="190">
      <c r="A190" s="8">
        <f t="shared" si="3"/>
        <v>189</v>
      </c>
      <c r="B190" s="8"/>
      <c r="C190" s="8"/>
      <c r="D190" s="8"/>
      <c r="E190" s="8"/>
      <c r="F190" s="8"/>
      <c r="G190" s="8"/>
      <c r="H190" s="8"/>
      <c r="I190" s="111"/>
      <c r="J190" s="8"/>
      <c r="K190" s="8"/>
      <c r="L190" s="8"/>
      <c r="M190" s="8"/>
      <c r="N190" s="8"/>
      <c r="O190" s="8"/>
      <c r="P190" s="8"/>
      <c r="Q190" s="9"/>
      <c r="R190" s="9"/>
      <c r="S190" s="9"/>
      <c r="T190" s="10"/>
      <c r="U190" s="11"/>
      <c r="V190" s="8"/>
      <c r="W190" s="12" t="str">
        <f t="shared" si="1"/>
        <v/>
      </c>
      <c r="X190" s="12">
        <f t="shared" si="4"/>
        <v>4.687191827</v>
      </c>
    </row>
    <row r="191">
      <c r="A191" s="15">
        <f t="shared" si="3"/>
        <v>190</v>
      </c>
      <c r="B191" s="15"/>
      <c r="C191" s="15"/>
      <c r="D191" s="15"/>
      <c r="E191" s="15"/>
      <c r="F191" s="15"/>
      <c r="G191" s="15"/>
      <c r="H191" s="15"/>
      <c r="I191" s="110"/>
      <c r="J191" s="15"/>
      <c r="K191" s="15"/>
      <c r="L191" s="15"/>
      <c r="M191" s="15"/>
      <c r="N191" s="15"/>
      <c r="O191" s="15"/>
      <c r="P191" s="15"/>
      <c r="Q191" s="16"/>
      <c r="R191" s="16"/>
      <c r="S191" s="16"/>
      <c r="T191" s="55"/>
      <c r="U191" s="18"/>
      <c r="V191" s="15"/>
      <c r="W191" s="19" t="str">
        <f t="shared" si="1"/>
        <v/>
      </c>
      <c r="X191" s="19">
        <f t="shared" si="4"/>
        <v>4.687191827</v>
      </c>
    </row>
    <row r="192">
      <c r="A192" s="8">
        <f t="shared" si="3"/>
        <v>191</v>
      </c>
      <c r="B192" s="8"/>
      <c r="C192" s="8"/>
      <c r="D192" s="8"/>
      <c r="E192" s="8"/>
      <c r="F192" s="8"/>
      <c r="G192" s="8"/>
      <c r="H192" s="8"/>
      <c r="I192" s="111"/>
      <c r="J192" s="8"/>
      <c r="K192" s="8"/>
      <c r="L192" s="8"/>
      <c r="M192" s="8"/>
      <c r="N192" s="8"/>
      <c r="O192" s="8"/>
      <c r="P192" s="8"/>
      <c r="Q192" s="9"/>
      <c r="R192" s="9"/>
      <c r="S192" s="9"/>
      <c r="T192" s="10"/>
      <c r="U192" s="11"/>
      <c r="V192" s="8"/>
      <c r="W192" s="12" t="str">
        <f t="shared" si="1"/>
        <v/>
      </c>
      <c r="X192" s="12">
        <f t="shared" si="4"/>
        <v>4.687191827</v>
      </c>
    </row>
    <row r="193">
      <c r="A193" s="15">
        <f t="shared" si="3"/>
        <v>192</v>
      </c>
      <c r="B193" s="15"/>
      <c r="C193" s="15"/>
      <c r="D193" s="15"/>
      <c r="E193" s="15"/>
      <c r="F193" s="15"/>
      <c r="G193" s="15"/>
      <c r="H193" s="15"/>
      <c r="I193" s="110"/>
      <c r="J193" s="15"/>
      <c r="K193" s="15"/>
      <c r="L193" s="15"/>
      <c r="M193" s="15"/>
      <c r="N193" s="15"/>
      <c r="O193" s="15"/>
      <c r="P193" s="15"/>
      <c r="Q193" s="16"/>
      <c r="R193" s="16"/>
      <c r="S193" s="16"/>
      <c r="T193" s="17"/>
      <c r="U193" s="18"/>
      <c r="V193" s="15"/>
      <c r="W193" s="19" t="str">
        <f t="shared" si="1"/>
        <v/>
      </c>
      <c r="X193" s="19">
        <f t="shared" si="4"/>
        <v>4.687191827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111"/>
      <c r="J194" s="8"/>
      <c r="K194" s="8"/>
      <c r="L194" s="8"/>
      <c r="M194" s="8"/>
      <c r="N194" s="8"/>
      <c r="O194" s="8"/>
      <c r="P194" s="8"/>
      <c r="Q194" s="9"/>
      <c r="R194" s="9"/>
      <c r="S194" s="9"/>
      <c r="T194" s="10"/>
      <c r="U194" s="11"/>
      <c r="V194" s="8"/>
      <c r="W194" s="12" t="str">
        <f t="shared" si="1"/>
        <v/>
      </c>
      <c r="X194" s="12">
        <f t="shared" si="4"/>
        <v>4.687191827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10"/>
      <c r="J195" s="15"/>
      <c r="K195" s="15"/>
      <c r="L195" s="15"/>
      <c r="M195" s="15"/>
      <c r="N195" s="15"/>
      <c r="O195" s="15"/>
      <c r="P195" s="15"/>
      <c r="Q195" s="16"/>
      <c r="R195" s="16"/>
      <c r="S195" s="16"/>
      <c r="T195" s="17"/>
      <c r="U195" s="18"/>
      <c r="V195" s="15"/>
      <c r="W195" s="19" t="str">
        <f t="shared" si="1"/>
        <v/>
      </c>
      <c r="X195" s="19">
        <f t="shared" si="4"/>
        <v>4.687191827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111"/>
      <c r="J196" s="8"/>
      <c r="K196" s="8"/>
      <c r="L196" s="8"/>
      <c r="M196" s="8"/>
      <c r="N196" s="8"/>
      <c r="O196" s="8"/>
      <c r="P196" s="8"/>
      <c r="Q196" s="9"/>
      <c r="R196" s="9"/>
      <c r="S196" s="9"/>
      <c r="T196" s="10"/>
      <c r="U196" s="11"/>
      <c r="V196" s="8"/>
      <c r="W196" s="12" t="str">
        <f t="shared" si="1"/>
        <v/>
      </c>
      <c r="X196" s="12">
        <f t="shared" si="4"/>
        <v>4.687191827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10"/>
      <c r="J197" s="15"/>
      <c r="K197" s="15"/>
      <c r="L197" s="15"/>
      <c r="M197" s="15"/>
      <c r="N197" s="15"/>
      <c r="O197" s="15"/>
      <c r="P197" s="15"/>
      <c r="Q197" s="16"/>
      <c r="R197" s="16"/>
      <c r="S197" s="16"/>
      <c r="T197" s="17"/>
      <c r="U197" s="18"/>
      <c r="V197" s="15"/>
      <c r="W197" s="19" t="str">
        <f t="shared" si="1"/>
        <v/>
      </c>
      <c r="X197" s="19">
        <f t="shared" si="4"/>
        <v>4.687191827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111"/>
      <c r="J198" s="8"/>
      <c r="K198" s="8"/>
      <c r="L198" s="8"/>
      <c r="M198" s="8"/>
      <c r="N198" s="8"/>
      <c r="O198" s="8"/>
      <c r="P198" s="8"/>
      <c r="Q198" s="9"/>
      <c r="R198" s="9"/>
      <c r="S198" s="9"/>
      <c r="T198" s="10"/>
      <c r="U198" s="11"/>
      <c r="V198" s="8"/>
      <c r="W198" s="12" t="str">
        <f t="shared" si="1"/>
        <v/>
      </c>
      <c r="X198" s="12">
        <f t="shared" si="4"/>
        <v>4.687191827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10"/>
      <c r="J199" s="15"/>
      <c r="K199" s="15"/>
      <c r="L199" s="15"/>
      <c r="M199" s="15"/>
      <c r="N199" s="15"/>
      <c r="O199" s="15"/>
      <c r="P199" s="15"/>
      <c r="Q199" s="16"/>
      <c r="R199" s="16"/>
      <c r="S199" s="16"/>
      <c r="T199" s="17"/>
      <c r="U199" s="18"/>
      <c r="V199" s="15"/>
      <c r="W199" s="19" t="str">
        <f t="shared" si="1"/>
        <v/>
      </c>
      <c r="X199" s="19">
        <f t="shared" si="4"/>
        <v>4.687191827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111"/>
      <c r="J200" s="8"/>
      <c r="K200" s="8"/>
      <c r="L200" s="8"/>
      <c r="M200" s="8"/>
      <c r="N200" s="8"/>
      <c r="O200" s="8"/>
      <c r="P200" s="8"/>
      <c r="Q200" s="9"/>
      <c r="R200" s="9"/>
      <c r="S200" s="9"/>
      <c r="T200" s="10"/>
      <c r="U200" s="11"/>
      <c r="V200" s="8"/>
      <c r="W200" s="12" t="str">
        <f t="shared" si="1"/>
        <v/>
      </c>
      <c r="X200" s="12">
        <f t="shared" si="4"/>
        <v>4.687191827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10"/>
      <c r="J201" s="15"/>
      <c r="K201" s="15"/>
      <c r="L201" s="15"/>
      <c r="M201" s="15"/>
      <c r="N201" s="15"/>
      <c r="O201" s="15"/>
      <c r="P201" s="15"/>
      <c r="Q201" s="16"/>
      <c r="R201" s="16"/>
      <c r="S201" s="16"/>
      <c r="T201" s="17"/>
      <c r="U201" s="18"/>
      <c r="V201" s="15"/>
      <c r="W201" s="19" t="str">
        <f t="shared" si="1"/>
        <v/>
      </c>
      <c r="X201" s="19">
        <f t="shared" si="4"/>
        <v>4.687191827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111"/>
      <c r="J202" s="8"/>
      <c r="K202" s="8"/>
      <c r="L202" s="8"/>
      <c r="M202" s="8"/>
      <c r="N202" s="8"/>
      <c r="O202" s="8"/>
      <c r="P202" s="8"/>
      <c r="Q202" s="9"/>
      <c r="R202" s="9"/>
      <c r="S202" s="9"/>
      <c r="T202" s="10"/>
      <c r="U202" s="11"/>
      <c r="V202" s="8"/>
      <c r="W202" s="12" t="str">
        <f t="shared" si="1"/>
        <v/>
      </c>
      <c r="X202" s="12">
        <f t="shared" si="4"/>
        <v>4.687191827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10"/>
      <c r="J203" s="15"/>
      <c r="K203" s="15"/>
      <c r="L203" s="15"/>
      <c r="M203" s="15"/>
      <c r="N203" s="15"/>
      <c r="O203" s="15"/>
      <c r="P203" s="15"/>
      <c r="Q203" s="16"/>
      <c r="R203" s="16"/>
      <c r="S203" s="16"/>
      <c r="T203" s="17"/>
      <c r="U203" s="18"/>
      <c r="V203" s="15"/>
      <c r="W203" s="19" t="str">
        <f t="shared" si="1"/>
        <v/>
      </c>
      <c r="X203" s="19">
        <f t="shared" si="4"/>
        <v>4.687191827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111"/>
      <c r="J204" s="8"/>
      <c r="K204" s="8"/>
      <c r="L204" s="8"/>
      <c r="M204" s="8"/>
      <c r="N204" s="8"/>
      <c r="O204" s="8"/>
      <c r="P204" s="8"/>
      <c r="Q204" s="9"/>
      <c r="R204" s="9"/>
      <c r="S204" s="9"/>
      <c r="T204" s="10"/>
      <c r="U204" s="11"/>
      <c r="V204" s="8"/>
      <c r="W204" s="12" t="str">
        <f t="shared" si="1"/>
        <v/>
      </c>
      <c r="X204" s="12">
        <f t="shared" si="4"/>
        <v>4.687191827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10"/>
      <c r="J205" s="15"/>
      <c r="K205" s="15"/>
      <c r="L205" s="15"/>
      <c r="M205" s="15"/>
      <c r="N205" s="15"/>
      <c r="O205" s="15"/>
      <c r="P205" s="15"/>
      <c r="Q205" s="16"/>
      <c r="R205" s="16"/>
      <c r="S205" s="16"/>
      <c r="T205" s="17"/>
      <c r="U205" s="18"/>
      <c r="V205" s="15"/>
      <c r="W205" s="19" t="str">
        <f t="shared" si="1"/>
        <v/>
      </c>
      <c r="X205" s="19">
        <f t="shared" si="4"/>
        <v>4.687191827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111"/>
      <c r="J206" s="8"/>
      <c r="K206" s="8"/>
      <c r="L206" s="8"/>
      <c r="M206" s="8"/>
      <c r="N206" s="8"/>
      <c r="O206" s="8"/>
      <c r="P206" s="8"/>
      <c r="Q206" s="9"/>
      <c r="R206" s="9"/>
      <c r="S206" s="9"/>
      <c r="T206" s="10"/>
      <c r="U206" s="11"/>
      <c r="V206" s="8"/>
      <c r="W206" s="12" t="str">
        <f t="shared" si="1"/>
        <v/>
      </c>
      <c r="X206" s="12">
        <f t="shared" si="4"/>
        <v>4.687191827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10"/>
      <c r="J207" s="15"/>
      <c r="K207" s="15"/>
      <c r="L207" s="15"/>
      <c r="M207" s="15"/>
      <c r="N207" s="15"/>
      <c r="O207" s="15"/>
      <c r="P207" s="15"/>
      <c r="Q207" s="16"/>
      <c r="R207" s="16"/>
      <c r="S207" s="16"/>
      <c r="T207" s="17"/>
      <c r="U207" s="18"/>
      <c r="V207" s="15"/>
      <c r="W207" s="19" t="str">
        <f t="shared" si="1"/>
        <v/>
      </c>
      <c r="X207" s="19">
        <f t="shared" si="4"/>
        <v>4.687191827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111"/>
      <c r="J208" s="8"/>
      <c r="K208" s="8"/>
      <c r="L208" s="8"/>
      <c r="M208" s="8"/>
      <c r="N208" s="8"/>
      <c r="O208" s="8"/>
      <c r="P208" s="8"/>
      <c r="Q208" s="9"/>
      <c r="R208" s="9"/>
      <c r="S208" s="9"/>
      <c r="T208" s="10"/>
      <c r="U208" s="11"/>
      <c r="V208" s="8"/>
      <c r="W208" s="12" t="str">
        <f t="shared" si="1"/>
        <v/>
      </c>
      <c r="X208" s="12">
        <f t="shared" si="4"/>
        <v>4.687191827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10"/>
      <c r="J209" s="15"/>
      <c r="K209" s="15"/>
      <c r="L209" s="15"/>
      <c r="M209" s="15"/>
      <c r="N209" s="15"/>
      <c r="O209" s="15"/>
      <c r="P209" s="15"/>
      <c r="Q209" s="16"/>
      <c r="R209" s="16"/>
      <c r="S209" s="16"/>
      <c r="T209" s="17"/>
      <c r="U209" s="18"/>
      <c r="V209" s="15"/>
      <c r="W209" s="19" t="str">
        <f t="shared" si="1"/>
        <v/>
      </c>
      <c r="X209" s="19">
        <f t="shared" si="4"/>
        <v>4.687191827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111"/>
      <c r="J210" s="8"/>
      <c r="K210" s="8"/>
      <c r="L210" s="8"/>
      <c r="M210" s="8"/>
      <c r="N210" s="8"/>
      <c r="O210" s="8"/>
      <c r="P210" s="8"/>
      <c r="Q210" s="9"/>
      <c r="R210" s="9"/>
      <c r="S210" s="9"/>
      <c r="T210" s="54"/>
      <c r="U210" s="11"/>
      <c r="V210" s="8"/>
      <c r="W210" s="12" t="str">
        <f t="shared" si="1"/>
        <v/>
      </c>
      <c r="X210" s="12">
        <f t="shared" si="4"/>
        <v>4.687191827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10"/>
      <c r="J211" s="15"/>
      <c r="K211" s="15"/>
      <c r="L211" s="15"/>
      <c r="M211" s="15"/>
      <c r="N211" s="15"/>
      <c r="O211" s="15"/>
      <c r="P211" s="15"/>
      <c r="Q211" s="16"/>
      <c r="R211" s="16"/>
      <c r="S211" s="16"/>
      <c r="T211" s="17"/>
      <c r="U211" s="18"/>
      <c r="V211" s="15"/>
      <c r="W211" s="19" t="str">
        <f t="shared" si="1"/>
        <v/>
      </c>
      <c r="X211" s="19">
        <f t="shared" si="4"/>
        <v>4.687191827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111"/>
      <c r="J212" s="8"/>
      <c r="K212" s="8"/>
      <c r="L212" s="8"/>
      <c r="M212" s="8"/>
      <c r="N212" s="8"/>
      <c r="O212" s="8"/>
      <c r="P212" s="8"/>
      <c r="Q212" s="9"/>
      <c r="R212" s="9"/>
      <c r="S212" s="9"/>
      <c r="T212" s="10"/>
      <c r="U212" s="11"/>
      <c r="V212" s="8"/>
      <c r="W212" s="12" t="str">
        <f t="shared" si="1"/>
        <v/>
      </c>
      <c r="X212" s="12">
        <f t="shared" si="4"/>
        <v>4.687191827</v>
      </c>
    </row>
    <row r="213">
      <c r="A213" s="15">
        <f t="shared" si="3"/>
        <v>212</v>
      </c>
      <c r="B213" s="15"/>
      <c r="C213" s="15"/>
      <c r="D213" s="15"/>
      <c r="E213" s="15"/>
      <c r="F213" s="37"/>
      <c r="G213" s="37"/>
      <c r="H213" s="37"/>
      <c r="I213" s="110"/>
      <c r="J213" s="15"/>
      <c r="K213" s="15"/>
      <c r="L213" s="15"/>
      <c r="M213" s="15"/>
      <c r="N213" s="15"/>
      <c r="O213" s="15"/>
      <c r="P213" s="15"/>
      <c r="Q213" s="16"/>
      <c r="R213" s="16"/>
      <c r="S213" s="16"/>
      <c r="T213" s="17"/>
      <c r="U213" s="18"/>
      <c r="V213" s="15"/>
      <c r="W213" s="19" t="str">
        <f t="shared" si="1"/>
        <v/>
      </c>
      <c r="X213" s="19">
        <f t="shared" si="4"/>
        <v>4.687191827</v>
      </c>
    </row>
    <row r="214">
      <c r="A214" s="8">
        <f t="shared" si="3"/>
        <v>213</v>
      </c>
      <c r="B214" s="8"/>
      <c r="C214" s="8"/>
      <c r="D214" s="8"/>
      <c r="E214" s="8"/>
      <c r="F214" s="47"/>
      <c r="G214" s="47"/>
      <c r="H214" s="47"/>
      <c r="I214" s="111"/>
      <c r="J214" s="8"/>
      <c r="K214" s="8"/>
      <c r="L214" s="8"/>
      <c r="M214" s="8"/>
      <c r="N214" s="8"/>
      <c r="O214" s="8"/>
      <c r="P214" s="8"/>
      <c r="Q214" s="9"/>
      <c r="R214" s="9"/>
      <c r="S214" s="9"/>
      <c r="T214" s="10"/>
      <c r="U214" s="11"/>
      <c r="V214" s="8"/>
      <c r="W214" s="12" t="str">
        <f t="shared" si="1"/>
        <v/>
      </c>
      <c r="X214" s="12">
        <f t="shared" si="4"/>
        <v>4.687191827</v>
      </c>
    </row>
    <row r="215">
      <c r="A215" s="15">
        <f t="shared" si="3"/>
        <v>214</v>
      </c>
      <c r="B215" s="15"/>
      <c r="C215" s="15"/>
      <c r="D215" s="15"/>
      <c r="E215" s="15"/>
      <c r="F215" s="42"/>
      <c r="G215" s="42"/>
      <c r="H215" s="42"/>
      <c r="I215" s="110"/>
      <c r="J215" s="15"/>
      <c r="K215" s="15"/>
      <c r="L215" s="15"/>
      <c r="M215" s="15"/>
      <c r="N215" s="15"/>
      <c r="O215" s="15"/>
      <c r="P215" s="15"/>
      <c r="Q215" s="16"/>
      <c r="R215" s="16"/>
      <c r="S215" s="16"/>
      <c r="T215" s="17"/>
      <c r="U215" s="18"/>
      <c r="V215" s="15"/>
      <c r="W215" s="19" t="str">
        <f t="shared" si="1"/>
        <v/>
      </c>
      <c r="X215" s="19">
        <f t="shared" si="4"/>
        <v>4.687191827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111"/>
      <c r="J216" s="8"/>
      <c r="K216" s="8"/>
      <c r="L216" s="8"/>
      <c r="M216" s="8"/>
      <c r="N216" s="8"/>
      <c r="O216" s="8"/>
      <c r="P216" s="8"/>
      <c r="Q216" s="9"/>
      <c r="R216" s="9"/>
      <c r="S216" s="9"/>
      <c r="T216" s="10"/>
      <c r="U216" s="11"/>
      <c r="V216" s="8"/>
      <c r="W216" s="12" t="str">
        <f t="shared" si="1"/>
        <v/>
      </c>
      <c r="X216" s="12">
        <f t="shared" si="4"/>
        <v>4.687191827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10"/>
      <c r="J217" s="15"/>
      <c r="K217" s="15"/>
      <c r="L217" s="15"/>
      <c r="M217" s="15"/>
      <c r="N217" s="15"/>
      <c r="O217" s="15"/>
      <c r="P217" s="15"/>
      <c r="Q217" s="16"/>
      <c r="R217" s="16"/>
      <c r="S217" s="16"/>
      <c r="T217" s="17"/>
      <c r="U217" s="18"/>
      <c r="V217" s="15"/>
      <c r="W217" s="19" t="str">
        <f t="shared" si="1"/>
        <v/>
      </c>
      <c r="X217" s="19">
        <f t="shared" si="4"/>
        <v>4.687191827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111"/>
      <c r="J218" s="8"/>
      <c r="K218" s="8"/>
      <c r="L218" s="8"/>
      <c r="M218" s="8"/>
      <c r="N218" s="8"/>
      <c r="O218" s="8"/>
      <c r="P218" s="8"/>
      <c r="Q218" s="9"/>
      <c r="R218" s="9"/>
      <c r="S218" s="9"/>
      <c r="T218" s="10"/>
      <c r="U218" s="11"/>
      <c r="V218" s="8"/>
      <c r="W218" s="12" t="str">
        <f t="shared" si="1"/>
        <v/>
      </c>
      <c r="X218" s="12">
        <f t="shared" si="4"/>
        <v>4.687191827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10"/>
      <c r="J219" s="15"/>
      <c r="K219" s="15"/>
      <c r="L219" s="15"/>
      <c r="M219" s="15"/>
      <c r="N219" s="15"/>
      <c r="O219" s="15"/>
      <c r="P219" s="15"/>
      <c r="Q219" s="16"/>
      <c r="R219" s="16"/>
      <c r="S219" s="16"/>
      <c r="T219" s="17"/>
      <c r="U219" s="18"/>
      <c r="V219" s="15"/>
      <c r="W219" s="19" t="str">
        <f t="shared" si="1"/>
        <v/>
      </c>
      <c r="X219" s="19">
        <f t="shared" si="4"/>
        <v>4.687191827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111"/>
      <c r="J220" s="8"/>
      <c r="K220" s="8"/>
      <c r="L220" s="8"/>
      <c r="M220" s="8"/>
      <c r="N220" s="8"/>
      <c r="O220" s="8"/>
      <c r="P220" s="8"/>
      <c r="Q220" s="9"/>
      <c r="R220" s="9"/>
      <c r="S220" s="9"/>
      <c r="T220" s="10"/>
      <c r="U220" s="11"/>
      <c r="V220" s="8"/>
      <c r="W220" s="12" t="str">
        <f t="shared" si="1"/>
        <v/>
      </c>
      <c r="X220" s="12">
        <f t="shared" si="4"/>
        <v>4.687191827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10"/>
      <c r="J221" s="15"/>
      <c r="K221" s="15"/>
      <c r="L221" s="15"/>
      <c r="M221" s="15"/>
      <c r="N221" s="15"/>
      <c r="O221" s="15"/>
      <c r="P221" s="15"/>
      <c r="Q221" s="16"/>
      <c r="R221" s="16"/>
      <c r="S221" s="16"/>
      <c r="T221" s="17"/>
      <c r="U221" s="18"/>
      <c r="V221" s="15"/>
      <c r="W221" s="19" t="str">
        <f t="shared" si="1"/>
        <v/>
      </c>
      <c r="X221" s="19">
        <f t="shared" si="4"/>
        <v>4.687191827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111"/>
      <c r="J222" s="8"/>
      <c r="K222" s="8"/>
      <c r="L222" s="8"/>
      <c r="M222" s="8"/>
      <c r="N222" s="8"/>
      <c r="O222" s="8"/>
      <c r="P222" s="8"/>
      <c r="Q222" s="9"/>
      <c r="R222" s="9"/>
      <c r="S222" s="9"/>
      <c r="T222" s="10"/>
      <c r="U222" s="11"/>
      <c r="V222" s="8"/>
      <c r="W222" s="12" t="str">
        <f t="shared" si="1"/>
        <v/>
      </c>
      <c r="X222" s="12">
        <f t="shared" si="4"/>
        <v>4.687191827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6"/>
      <c r="R223" s="16"/>
      <c r="S223" s="16"/>
      <c r="T223" s="17"/>
      <c r="U223" s="18"/>
      <c r="V223" s="15"/>
      <c r="W223" s="19" t="str">
        <f t="shared" si="1"/>
        <v/>
      </c>
      <c r="X223" s="19">
        <f t="shared" si="4"/>
        <v>4.687191827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9"/>
      <c r="R224" s="9"/>
      <c r="S224" s="9"/>
      <c r="T224" s="10"/>
      <c r="U224" s="11"/>
      <c r="V224" s="8"/>
      <c r="W224" s="12" t="str">
        <f t="shared" si="1"/>
        <v/>
      </c>
      <c r="X224" s="12">
        <f t="shared" si="4"/>
        <v>4.687191827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6"/>
      <c r="R225" s="16"/>
      <c r="S225" s="16"/>
      <c r="T225" s="17"/>
      <c r="U225" s="18"/>
      <c r="V225" s="15"/>
      <c r="W225" s="19" t="str">
        <f t="shared" si="1"/>
        <v/>
      </c>
      <c r="X225" s="19">
        <f t="shared" si="4"/>
        <v>4.687191827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9"/>
      <c r="R226" s="9"/>
      <c r="S226" s="9"/>
      <c r="T226" s="10"/>
      <c r="U226" s="11"/>
      <c r="V226" s="8"/>
      <c r="W226" s="12" t="str">
        <f t="shared" si="1"/>
        <v/>
      </c>
      <c r="X226" s="12">
        <f t="shared" si="4"/>
        <v>4.687191827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6"/>
      <c r="R227" s="16"/>
      <c r="S227" s="16"/>
      <c r="T227" s="17"/>
      <c r="U227" s="18"/>
      <c r="V227" s="15"/>
      <c r="W227" s="19" t="str">
        <f t="shared" si="1"/>
        <v/>
      </c>
      <c r="X227" s="19">
        <f t="shared" si="4"/>
        <v>4.687191827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9"/>
      <c r="R228" s="9"/>
      <c r="S228" s="9"/>
      <c r="T228" s="10"/>
      <c r="U228" s="11"/>
      <c r="V228" s="8"/>
      <c r="W228" s="12" t="str">
        <f t="shared" si="1"/>
        <v/>
      </c>
      <c r="X228" s="12">
        <f t="shared" si="4"/>
        <v>4.687191827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6"/>
      <c r="R229" s="16"/>
      <c r="S229" s="16"/>
      <c r="T229" s="17"/>
      <c r="U229" s="18"/>
      <c r="V229" s="15"/>
      <c r="W229" s="19" t="str">
        <f t="shared" si="1"/>
        <v/>
      </c>
      <c r="X229" s="19">
        <f t="shared" si="4"/>
        <v>4.687191827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9"/>
      <c r="R230" s="9"/>
      <c r="S230" s="9"/>
      <c r="T230" s="10"/>
      <c r="U230" s="11"/>
      <c r="V230" s="8"/>
      <c r="W230" s="12" t="str">
        <f t="shared" si="1"/>
        <v/>
      </c>
      <c r="X230" s="12">
        <f t="shared" si="4"/>
        <v>4.687191827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6"/>
      <c r="R231" s="16"/>
      <c r="S231" s="16"/>
      <c r="T231" s="17"/>
      <c r="U231" s="18"/>
      <c r="V231" s="15"/>
      <c r="W231" s="19" t="str">
        <f t="shared" si="1"/>
        <v/>
      </c>
      <c r="X231" s="19">
        <f t="shared" si="4"/>
        <v>4.687191827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9"/>
      <c r="R232" s="9"/>
      <c r="S232" s="9"/>
      <c r="T232" s="10"/>
      <c r="U232" s="11"/>
      <c r="V232" s="8"/>
      <c r="W232" s="12" t="str">
        <f t="shared" si="1"/>
        <v/>
      </c>
      <c r="X232" s="12">
        <f t="shared" si="4"/>
        <v>4.687191827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6"/>
      <c r="R233" s="16"/>
      <c r="S233" s="16"/>
      <c r="T233" s="17"/>
      <c r="U233" s="18"/>
      <c r="V233" s="15"/>
      <c r="W233" s="19" t="str">
        <f t="shared" si="1"/>
        <v/>
      </c>
      <c r="X233" s="19">
        <f t="shared" si="4"/>
        <v>4.687191827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9"/>
      <c r="R234" s="9"/>
      <c r="S234" s="9"/>
      <c r="T234" s="10"/>
      <c r="U234" s="11"/>
      <c r="V234" s="8"/>
      <c r="W234" s="12" t="str">
        <f t="shared" si="1"/>
        <v/>
      </c>
      <c r="X234" s="12">
        <f t="shared" si="4"/>
        <v>4.687191827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6"/>
      <c r="R235" s="16"/>
      <c r="S235" s="16"/>
      <c r="T235" s="17"/>
      <c r="U235" s="18"/>
      <c r="V235" s="15"/>
      <c r="W235" s="19" t="str">
        <f t="shared" si="1"/>
        <v/>
      </c>
      <c r="X235" s="19">
        <f t="shared" si="4"/>
        <v>4.687191827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9"/>
      <c r="R236" s="9"/>
      <c r="S236" s="9"/>
      <c r="T236" s="10"/>
      <c r="U236" s="11"/>
      <c r="V236" s="8"/>
      <c r="W236" s="12" t="str">
        <f t="shared" si="1"/>
        <v/>
      </c>
      <c r="X236" s="12">
        <f t="shared" si="4"/>
        <v>4.687191827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6"/>
      <c r="R237" s="16"/>
      <c r="S237" s="16"/>
      <c r="T237" s="17"/>
      <c r="U237" s="18"/>
      <c r="V237" s="15"/>
      <c r="W237" s="19" t="str">
        <f t="shared" si="1"/>
        <v/>
      </c>
      <c r="X237" s="19">
        <f t="shared" si="4"/>
        <v>4.687191827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9"/>
      <c r="R238" s="9"/>
      <c r="S238" s="9"/>
      <c r="T238" s="10"/>
      <c r="U238" s="11"/>
      <c r="V238" s="8"/>
      <c r="W238" s="12" t="str">
        <f t="shared" si="1"/>
        <v/>
      </c>
      <c r="X238" s="12">
        <f t="shared" si="4"/>
        <v>4.687191827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6"/>
      <c r="R239" s="16"/>
      <c r="S239" s="16"/>
      <c r="T239" s="17"/>
      <c r="U239" s="18"/>
      <c r="V239" s="15"/>
      <c r="W239" s="19" t="str">
        <f t="shared" si="1"/>
        <v/>
      </c>
      <c r="X239" s="19">
        <f t="shared" si="4"/>
        <v>4.687191827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9"/>
      <c r="R240" s="9"/>
      <c r="S240" s="9"/>
      <c r="T240" s="10"/>
      <c r="U240" s="11"/>
      <c r="V240" s="8"/>
      <c r="W240" s="12" t="str">
        <f t="shared" si="1"/>
        <v/>
      </c>
      <c r="X240" s="12">
        <f t="shared" si="4"/>
        <v>4.687191827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6"/>
      <c r="R241" s="16"/>
      <c r="S241" s="16"/>
      <c r="T241" s="17"/>
      <c r="U241" s="18"/>
      <c r="V241" s="15"/>
      <c r="W241" s="19" t="str">
        <f t="shared" si="1"/>
        <v/>
      </c>
      <c r="X241" s="19">
        <f t="shared" si="4"/>
        <v>4.687191827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9"/>
      <c r="R242" s="9"/>
      <c r="S242" s="9"/>
      <c r="T242" s="10"/>
      <c r="U242" s="11"/>
      <c r="V242" s="8"/>
      <c r="W242" s="12" t="str">
        <f t="shared" si="1"/>
        <v/>
      </c>
      <c r="X242" s="12">
        <f t="shared" si="4"/>
        <v>4.687191827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6"/>
      <c r="R243" s="16"/>
      <c r="S243" s="16"/>
      <c r="T243" s="55"/>
      <c r="U243" s="18"/>
      <c r="V243" s="15"/>
      <c r="W243" s="19" t="str">
        <f t="shared" si="1"/>
        <v/>
      </c>
      <c r="X243" s="19">
        <f t="shared" si="4"/>
        <v>4.687191827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9"/>
      <c r="R244" s="9"/>
      <c r="S244" s="9"/>
      <c r="T244" s="10"/>
      <c r="U244" s="11"/>
      <c r="V244" s="8"/>
      <c r="W244" s="12" t="str">
        <f t="shared" si="1"/>
        <v/>
      </c>
      <c r="X244" s="12">
        <f t="shared" si="4"/>
        <v>4.687191827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6"/>
      <c r="R245" s="16"/>
      <c r="S245" s="16"/>
      <c r="T245" s="17"/>
      <c r="U245" s="18"/>
      <c r="V245" s="15"/>
      <c r="W245" s="19" t="str">
        <f t="shared" si="1"/>
        <v/>
      </c>
      <c r="X245" s="19">
        <f t="shared" si="4"/>
        <v>4.687191827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  <c r="R246" s="9"/>
      <c r="S246" s="9"/>
      <c r="T246" s="10"/>
      <c r="U246" s="11"/>
      <c r="V246" s="8"/>
      <c r="W246" s="12" t="str">
        <f t="shared" si="1"/>
        <v/>
      </c>
      <c r="X246" s="12">
        <f t="shared" si="4"/>
        <v>4.687191827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6"/>
      <c r="R247" s="16"/>
      <c r="S247" s="16"/>
      <c r="T247" s="17"/>
      <c r="U247" s="18"/>
      <c r="V247" s="15"/>
      <c r="W247" s="19" t="str">
        <f t="shared" si="1"/>
        <v/>
      </c>
      <c r="X247" s="19">
        <f t="shared" si="4"/>
        <v>4.687191827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9"/>
      <c r="R248" s="9"/>
      <c r="S248" s="9"/>
      <c r="T248" s="10"/>
      <c r="U248" s="11"/>
      <c r="V248" s="8"/>
      <c r="W248" s="12" t="str">
        <f t="shared" si="1"/>
        <v/>
      </c>
      <c r="X248" s="12">
        <f t="shared" si="4"/>
        <v>4.687191827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6"/>
      <c r="R249" s="16"/>
      <c r="S249" s="16"/>
      <c r="T249" s="17"/>
      <c r="U249" s="18"/>
      <c r="V249" s="15"/>
      <c r="W249" s="19" t="str">
        <f t="shared" si="1"/>
        <v/>
      </c>
      <c r="X249" s="19">
        <f t="shared" si="4"/>
        <v>4.687191827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9"/>
      <c r="R250" s="9"/>
      <c r="S250" s="9"/>
      <c r="T250" s="10"/>
      <c r="U250" s="11"/>
      <c r="V250" s="8"/>
      <c r="W250" s="12" t="str">
        <f t="shared" si="1"/>
        <v/>
      </c>
      <c r="X250" s="12">
        <f t="shared" si="4"/>
        <v>4.687191827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6"/>
      <c r="R251" s="16"/>
      <c r="S251" s="16"/>
      <c r="T251" s="17"/>
      <c r="U251" s="18"/>
      <c r="V251" s="15"/>
      <c r="W251" s="19" t="str">
        <f t="shared" si="1"/>
        <v/>
      </c>
      <c r="X251" s="19">
        <f t="shared" si="4"/>
        <v>4.687191827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9"/>
      <c r="R252" s="9"/>
      <c r="S252" s="9"/>
      <c r="T252" s="10"/>
      <c r="U252" s="11"/>
      <c r="V252" s="8"/>
      <c r="W252" s="12" t="str">
        <f t="shared" si="1"/>
        <v/>
      </c>
      <c r="X252" s="12">
        <f t="shared" si="4"/>
        <v>4.687191827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6"/>
      <c r="R253" s="16"/>
      <c r="S253" s="16"/>
      <c r="T253" s="17"/>
      <c r="U253" s="18"/>
      <c r="V253" s="15"/>
      <c r="W253" s="19" t="str">
        <f t="shared" si="1"/>
        <v/>
      </c>
      <c r="X253" s="19">
        <f t="shared" si="4"/>
        <v>4.687191827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9"/>
      <c r="R254" s="9"/>
      <c r="S254" s="9"/>
      <c r="T254" s="10"/>
      <c r="U254" s="11"/>
      <c r="V254" s="8"/>
      <c r="W254" s="12" t="str">
        <f t="shared" si="1"/>
        <v/>
      </c>
      <c r="X254" s="12">
        <f t="shared" si="4"/>
        <v>4.687191827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6"/>
      <c r="R255" s="16"/>
      <c r="S255" s="16"/>
      <c r="T255" s="17"/>
      <c r="U255" s="18"/>
      <c r="V255" s="15"/>
      <c r="W255" s="19" t="str">
        <f t="shared" si="1"/>
        <v/>
      </c>
      <c r="X255" s="19">
        <f t="shared" si="4"/>
        <v>4.687191827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9"/>
      <c r="R256" s="9"/>
      <c r="S256" s="9"/>
      <c r="T256" s="10"/>
      <c r="U256" s="11"/>
      <c r="V256" s="8"/>
      <c r="W256" s="12" t="str">
        <f t="shared" si="1"/>
        <v/>
      </c>
      <c r="X256" s="12">
        <f t="shared" si="4"/>
        <v>4.687191827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6"/>
      <c r="R257" s="16"/>
      <c r="S257" s="16"/>
      <c r="T257" s="17"/>
      <c r="U257" s="18"/>
      <c r="V257" s="15"/>
      <c r="W257" s="19" t="str">
        <f t="shared" si="1"/>
        <v/>
      </c>
      <c r="X257" s="19">
        <f t="shared" si="4"/>
        <v>4.687191827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9"/>
      <c r="R258" s="9"/>
      <c r="S258" s="9"/>
      <c r="T258" s="10"/>
      <c r="U258" s="11"/>
      <c r="V258" s="8"/>
      <c r="W258" s="12" t="str">
        <f t="shared" si="1"/>
        <v/>
      </c>
      <c r="X258" s="12">
        <f t="shared" si="4"/>
        <v>4.687191827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6"/>
      <c r="R259" s="16"/>
      <c r="S259" s="16"/>
      <c r="T259" s="17"/>
      <c r="U259" s="18"/>
      <c r="V259" s="15"/>
      <c r="W259" s="19" t="str">
        <f t="shared" si="1"/>
        <v/>
      </c>
      <c r="X259" s="19">
        <f t="shared" si="4"/>
        <v>4.687191827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9"/>
      <c r="R260" s="9"/>
      <c r="S260" s="9"/>
      <c r="T260" s="10"/>
      <c r="U260" s="11"/>
      <c r="V260" s="8"/>
      <c r="W260" s="12" t="str">
        <f t="shared" si="1"/>
        <v/>
      </c>
      <c r="X260" s="12">
        <f t="shared" si="4"/>
        <v>4.687191827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6"/>
      <c r="R261" s="16"/>
      <c r="S261" s="16"/>
      <c r="T261" s="17"/>
      <c r="U261" s="18"/>
      <c r="V261" s="15"/>
      <c r="W261" s="19" t="str">
        <f t="shared" si="1"/>
        <v/>
      </c>
      <c r="X261" s="19">
        <f t="shared" si="4"/>
        <v>4.687191827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9"/>
      <c r="R262" s="9"/>
      <c r="S262" s="9"/>
      <c r="T262" s="10"/>
      <c r="U262" s="11"/>
      <c r="V262" s="8"/>
      <c r="W262" s="12" t="str">
        <f t="shared" si="1"/>
        <v/>
      </c>
      <c r="X262" s="12">
        <f t="shared" si="4"/>
        <v>4.687191827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6"/>
      <c r="R263" s="16"/>
      <c r="S263" s="16"/>
      <c r="T263" s="17"/>
      <c r="U263" s="18"/>
      <c r="V263" s="15"/>
      <c r="W263" s="19" t="str">
        <f t="shared" si="1"/>
        <v/>
      </c>
      <c r="X263" s="19">
        <f t="shared" si="4"/>
        <v>4.687191827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9"/>
      <c r="R264" s="9"/>
      <c r="S264" s="9"/>
      <c r="T264" s="10"/>
      <c r="U264" s="11"/>
      <c r="V264" s="8"/>
      <c r="W264" s="12" t="str">
        <f t="shared" si="1"/>
        <v/>
      </c>
      <c r="X264" s="12">
        <f t="shared" si="4"/>
        <v>4.687191827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6"/>
      <c r="R265" s="16"/>
      <c r="S265" s="16"/>
      <c r="T265" s="17"/>
      <c r="U265" s="18"/>
      <c r="V265" s="15"/>
      <c r="W265" s="19" t="str">
        <f t="shared" si="1"/>
        <v/>
      </c>
      <c r="X265" s="19">
        <f t="shared" si="4"/>
        <v>4.687191827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9"/>
      <c r="R266" s="9"/>
      <c r="S266" s="9"/>
      <c r="T266" s="10"/>
      <c r="U266" s="11"/>
      <c r="V266" s="8"/>
      <c r="W266" s="12" t="str">
        <f t="shared" si="1"/>
        <v/>
      </c>
      <c r="X266" s="12">
        <f t="shared" si="4"/>
        <v>4.687191827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6"/>
      <c r="R267" s="16"/>
      <c r="S267" s="16"/>
      <c r="T267" s="17"/>
      <c r="U267" s="18"/>
      <c r="V267" s="15"/>
      <c r="W267" s="19" t="str">
        <f t="shared" si="1"/>
        <v/>
      </c>
      <c r="X267" s="19">
        <f t="shared" si="4"/>
        <v>4.687191827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9"/>
      <c r="R268" s="9"/>
      <c r="S268" s="9"/>
      <c r="T268" s="10"/>
      <c r="U268" s="11"/>
      <c r="V268" s="8"/>
      <c r="W268" s="12" t="str">
        <f t="shared" si="1"/>
        <v/>
      </c>
      <c r="X268" s="12">
        <f t="shared" si="4"/>
        <v>4.687191827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6"/>
      <c r="R269" s="16"/>
      <c r="S269" s="16"/>
      <c r="T269" s="17"/>
      <c r="U269" s="18"/>
      <c r="V269" s="15"/>
      <c r="W269" s="19" t="str">
        <f t="shared" si="1"/>
        <v/>
      </c>
      <c r="X269" s="19">
        <f t="shared" si="4"/>
        <v>4.687191827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9"/>
      <c r="R270" s="9"/>
      <c r="S270" s="9"/>
      <c r="T270" s="10"/>
      <c r="U270" s="11"/>
      <c r="V270" s="8"/>
      <c r="W270" s="12" t="str">
        <f t="shared" si="1"/>
        <v/>
      </c>
      <c r="X270" s="12">
        <f t="shared" si="4"/>
        <v>4.687191827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6"/>
      <c r="R271" s="16"/>
      <c r="S271" s="16"/>
      <c r="T271" s="17"/>
      <c r="U271" s="18"/>
      <c r="V271" s="15"/>
      <c r="W271" s="19" t="str">
        <f t="shared" si="1"/>
        <v/>
      </c>
      <c r="X271" s="19">
        <f t="shared" si="4"/>
        <v>4.687191827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9"/>
      <c r="R272" s="9"/>
      <c r="S272" s="9"/>
      <c r="T272" s="10"/>
      <c r="U272" s="11"/>
      <c r="V272" s="8"/>
      <c r="W272" s="12" t="str">
        <f t="shared" si="1"/>
        <v/>
      </c>
      <c r="X272" s="12">
        <f t="shared" si="4"/>
        <v>4.687191827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6"/>
      <c r="R273" s="16"/>
      <c r="S273" s="16"/>
      <c r="T273" s="17"/>
      <c r="U273" s="18"/>
      <c r="V273" s="15"/>
      <c r="W273" s="19" t="str">
        <f t="shared" si="1"/>
        <v/>
      </c>
      <c r="X273" s="19">
        <f t="shared" si="4"/>
        <v>4.687191827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9"/>
      <c r="R274" s="9"/>
      <c r="S274" s="9"/>
      <c r="T274" s="10"/>
      <c r="U274" s="11"/>
      <c r="V274" s="8"/>
      <c r="W274" s="12" t="str">
        <f t="shared" si="1"/>
        <v/>
      </c>
      <c r="X274" s="12">
        <f t="shared" si="4"/>
        <v>4.687191827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6"/>
      <c r="R275" s="16"/>
      <c r="S275" s="16"/>
      <c r="T275" s="17"/>
      <c r="U275" s="18"/>
      <c r="V275" s="15"/>
      <c r="W275" s="19" t="str">
        <f t="shared" si="1"/>
        <v/>
      </c>
      <c r="X275" s="19">
        <f t="shared" si="4"/>
        <v>4.687191827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9"/>
      <c r="R276" s="9"/>
      <c r="S276" s="9"/>
      <c r="T276" s="10"/>
      <c r="U276" s="11"/>
      <c r="V276" s="8"/>
      <c r="W276" s="12" t="str">
        <f t="shared" si="1"/>
        <v/>
      </c>
      <c r="X276" s="12">
        <f t="shared" si="4"/>
        <v>4.687191827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6"/>
      <c r="R277" s="16"/>
      <c r="S277" s="16"/>
      <c r="T277" s="17"/>
      <c r="U277" s="18"/>
      <c r="V277" s="15"/>
      <c r="W277" s="19" t="str">
        <f t="shared" si="1"/>
        <v/>
      </c>
      <c r="X277" s="19">
        <f t="shared" si="4"/>
        <v>4.687191827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114"/>
      <c r="H278" s="114"/>
      <c r="I278" s="114"/>
      <c r="J278" s="114"/>
      <c r="K278" s="8"/>
      <c r="L278" s="8"/>
      <c r="M278" s="8"/>
      <c r="N278" s="8"/>
      <c r="O278" s="8"/>
      <c r="P278" s="8"/>
      <c r="Q278" s="9"/>
      <c r="R278" s="9"/>
      <c r="S278" s="9"/>
      <c r="T278" s="10"/>
      <c r="U278" s="11"/>
      <c r="V278" s="8"/>
      <c r="W278" s="12" t="str">
        <f t="shared" si="1"/>
        <v/>
      </c>
      <c r="X278" s="12">
        <f t="shared" si="4"/>
        <v>4.687191827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6"/>
      <c r="R279" s="16"/>
      <c r="S279" s="16"/>
      <c r="T279" s="17"/>
      <c r="U279" s="18"/>
      <c r="V279" s="15"/>
      <c r="W279" s="19" t="str">
        <f t="shared" si="1"/>
        <v/>
      </c>
      <c r="X279" s="19">
        <f t="shared" si="4"/>
        <v>4.687191827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9"/>
      <c r="R280" s="9"/>
      <c r="S280" s="9"/>
      <c r="T280" s="10"/>
      <c r="U280" s="11"/>
      <c r="V280" s="8"/>
      <c r="W280" s="12" t="str">
        <f t="shared" si="1"/>
        <v/>
      </c>
      <c r="X280" s="12">
        <f t="shared" si="4"/>
        <v>4.687191827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6"/>
      <c r="R281" s="16"/>
      <c r="S281" s="16"/>
      <c r="T281" s="17"/>
      <c r="U281" s="18"/>
      <c r="V281" s="15"/>
      <c r="W281" s="19" t="str">
        <f t="shared" si="1"/>
        <v/>
      </c>
      <c r="X281" s="19">
        <f t="shared" si="4"/>
        <v>4.687191827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9"/>
      <c r="R282" s="9"/>
      <c r="S282" s="9"/>
      <c r="T282" s="10"/>
      <c r="U282" s="11"/>
      <c r="V282" s="8"/>
      <c r="W282" s="12" t="str">
        <f t="shared" si="1"/>
        <v/>
      </c>
      <c r="X282" s="12">
        <f t="shared" si="4"/>
        <v>4.687191827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6"/>
      <c r="R283" s="16"/>
      <c r="S283" s="16"/>
      <c r="T283" s="17"/>
      <c r="U283" s="18"/>
      <c r="V283" s="15"/>
      <c r="W283" s="19" t="str">
        <f t="shared" si="1"/>
        <v/>
      </c>
      <c r="X283" s="19">
        <f t="shared" si="4"/>
        <v>4.687191827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9"/>
      <c r="R284" s="9"/>
      <c r="S284" s="9"/>
      <c r="T284" s="54"/>
      <c r="U284" s="11"/>
      <c r="V284" s="8"/>
      <c r="W284" s="12" t="str">
        <f t="shared" si="1"/>
        <v/>
      </c>
      <c r="X284" s="12">
        <f t="shared" si="4"/>
        <v>4.687191827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16"/>
      <c r="H285" s="116"/>
      <c r="I285" s="116"/>
      <c r="J285" s="37"/>
      <c r="K285" s="37"/>
      <c r="L285" s="37"/>
      <c r="M285" s="37"/>
      <c r="N285" s="37"/>
      <c r="O285" s="37"/>
      <c r="P285" s="37"/>
      <c r="Q285" s="24"/>
      <c r="R285" s="16"/>
      <c r="S285" s="16"/>
      <c r="T285" s="17"/>
      <c r="U285" s="18"/>
      <c r="V285" s="15"/>
      <c r="W285" s="19" t="str">
        <f t="shared" si="1"/>
        <v/>
      </c>
      <c r="X285" s="19">
        <f t="shared" si="4"/>
        <v>4.687191827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118"/>
      <c r="H286" s="118"/>
      <c r="I286" s="118"/>
      <c r="J286" s="32"/>
      <c r="K286" s="32"/>
      <c r="L286" s="32"/>
      <c r="M286" s="32"/>
      <c r="N286" s="32"/>
      <c r="O286" s="32"/>
      <c r="P286" s="32"/>
      <c r="Q286" s="33"/>
      <c r="R286" s="9"/>
      <c r="S286" s="9"/>
      <c r="T286" s="10"/>
      <c r="U286" s="11"/>
      <c r="V286" s="8"/>
      <c r="W286" s="12" t="str">
        <f t="shared" si="1"/>
        <v/>
      </c>
      <c r="X286" s="12">
        <f t="shared" si="4"/>
        <v>4.687191827</v>
      </c>
    </row>
    <row r="287">
      <c r="A287" s="15">
        <f t="shared" si="3"/>
        <v>286</v>
      </c>
      <c r="B287" s="15"/>
      <c r="C287" s="15"/>
      <c r="D287" s="120"/>
      <c r="E287" s="120"/>
      <c r="F287" s="15"/>
      <c r="G287" s="121"/>
      <c r="H287" s="121"/>
      <c r="I287" s="121"/>
      <c r="J287" s="42"/>
      <c r="K287" s="42"/>
      <c r="L287" s="42"/>
      <c r="M287" s="42"/>
      <c r="N287" s="42"/>
      <c r="O287" s="42"/>
      <c r="P287" s="37"/>
      <c r="Q287" s="16"/>
      <c r="R287" s="16"/>
      <c r="S287" s="16"/>
      <c r="T287" s="17"/>
      <c r="U287" s="18"/>
      <c r="V287" s="15"/>
      <c r="W287" s="19" t="str">
        <f t="shared" si="1"/>
        <v/>
      </c>
      <c r="X287" s="19">
        <f t="shared" si="4"/>
        <v>4.687191827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32"/>
      <c r="Q288" s="9"/>
      <c r="R288" s="9"/>
      <c r="S288" s="9"/>
      <c r="T288" s="10"/>
      <c r="U288" s="11"/>
      <c r="V288" s="8"/>
      <c r="W288" s="12" t="str">
        <f t="shared" si="1"/>
        <v/>
      </c>
      <c r="X288" s="12">
        <f t="shared" si="4"/>
        <v>4.687191827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37"/>
      <c r="Q289" s="16"/>
      <c r="R289" s="16"/>
      <c r="S289" s="16"/>
      <c r="T289" s="17"/>
      <c r="U289" s="18"/>
      <c r="V289" s="15"/>
      <c r="W289" s="19" t="str">
        <f t="shared" si="1"/>
        <v/>
      </c>
      <c r="X289" s="19">
        <f t="shared" si="4"/>
        <v>4.687191827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32"/>
      <c r="Q290" s="9"/>
      <c r="R290" s="9"/>
      <c r="S290" s="9"/>
      <c r="T290" s="10"/>
      <c r="U290" s="11"/>
      <c r="V290" s="8"/>
      <c r="W290" s="12" t="str">
        <f t="shared" si="1"/>
        <v/>
      </c>
      <c r="X290" s="12">
        <f t="shared" si="4"/>
        <v>4.687191827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37"/>
      <c r="Q291" s="16"/>
      <c r="R291" s="16"/>
      <c r="S291" s="16"/>
      <c r="T291" s="17"/>
      <c r="U291" s="18"/>
      <c r="V291" s="15"/>
      <c r="W291" s="19" t="str">
        <f t="shared" si="1"/>
        <v/>
      </c>
      <c r="X291" s="19">
        <f t="shared" si="4"/>
        <v>4.687191827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32"/>
      <c r="Q292" s="9"/>
      <c r="R292" s="9"/>
      <c r="S292" s="9"/>
      <c r="T292" s="10"/>
      <c r="U292" s="11"/>
      <c r="V292" s="8"/>
      <c r="W292" s="12" t="str">
        <f t="shared" si="1"/>
        <v/>
      </c>
      <c r="X292" s="12">
        <f t="shared" si="4"/>
        <v>4.687191827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37"/>
      <c r="Q293" s="16"/>
      <c r="R293" s="16"/>
      <c r="S293" s="16"/>
      <c r="T293" s="17"/>
      <c r="U293" s="18"/>
      <c r="V293" s="15"/>
      <c r="W293" s="19" t="str">
        <f t="shared" si="1"/>
        <v/>
      </c>
      <c r="X293" s="19">
        <f t="shared" si="4"/>
        <v>4.687191827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32"/>
      <c r="Q294" s="9"/>
      <c r="R294" s="9"/>
      <c r="S294" s="9"/>
      <c r="T294" s="10"/>
      <c r="U294" s="11"/>
      <c r="V294" s="8"/>
      <c r="W294" s="12" t="str">
        <f t="shared" si="1"/>
        <v/>
      </c>
      <c r="X294" s="12">
        <f t="shared" si="4"/>
        <v>4.687191827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37"/>
      <c r="Q295" s="16"/>
      <c r="R295" s="16"/>
      <c r="S295" s="16"/>
      <c r="T295" s="17"/>
      <c r="U295" s="18"/>
      <c r="V295" s="15"/>
      <c r="W295" s="19" t="str">
        <f t="shared" si="1"/>
        <v/>
      </c>
      <c r="X295" s="19">
        <f t="shared" si="4"/>
        <v>4.687191827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32"/>
      <c r="Q296" s="9"/>
      <c r="R296" s="9"/>
      <c r="S296" s="9"/>
      <c r="T296" s="10"/>
      <c r="U296" s="11"/>
      <c r="V296" s="8"/>
      <c r="W296" s="12" t="str">
        <f t="shared" si="1"/>
        <v/>
      </c>
      <c r="X296" s="12">
        <f t="shared" si="4"/>
        <v>4.687191827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37"/>
      <c r="Q297" s="16"/>
      <c r="R297" s="16"/>
      <c r="S297" s="16"/>
      <c r="T297" s="17"/>
      <c r="U297" s="18"/>
      <c r="V297" s="15"/>
      <c r="W297" s="19" t="str">
        <f t="shared" si="1"/>
        <v/>
      </c>
      <c r="X297" s="19">
        <f t="shared" si="4"/>
        <v>4.687191827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32"/>
      <c r="Q298" s="9"/>
      <c r="R298" s="9"/>
      <c r="S298" s="9"/>
      <c r="T298" s="10"/>
      <c r="U298" s="11"/>
      <c r="V298" s="8"/>
      <c r="W298" s="12" t="str">
        <f t="shared" si="1"/>
        <v/>
      </c>
      <c r="X298" s="12">
        <f t="shared" si="4"/>
        <v>4.687191827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37"/>
      <c r="Q299" s="16"/>
      <c r="R299" s="16"/>
      <c r="S299" s="16"/>
      <c r="T299" s="17"/>
      <c r="U299" s="18"/>
      <c r="V299" s="15"/>
      <c r="W299" s="19" t="str">
        <f t="shared" si="1"/>
        <v/>
      </c>
      <c r="X299" s="19">
        <f t="shared" si="4"/>
        <v>4.687191827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9"/>
      <c r="R300" s="9"/>
      <c r="S300" s="9"/>
      <c r="T300" s="10"/>
      <c r="U300" s="11"/>
      <c r="V300" s="8"/>
      <c r="W300" s="12" t="str">
        <f t="shared" si="1"/>
        <v/>
      </c>
      <c r="X300" s="12">
        <f t="shared" si="4"/>
        <v>4.687191827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6"/>
      <c r="R301" s="16"/>
      <c r="S301" s="16"/>
      <c r="T301" s="17"/>
      <c r="U301" s="18"/>
      <c r="V301" s="15"/>
      <c r="W301" s="19" t="str">
        <f t="shared" si="1"/>
        <v/>
      </c>
      <c r="X301" s="19">
        <f t="shared" si="4"/>
        <v>4.687191827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9"/>
      <c r="R302" s="9"/>
      <c r="S302" s="9"/>
      <c r="T302" s="10"/>
      <c r="U302" s="11"/>
      <c r="V302" s="8"/>
      <c r="W302" s="12" t="str">
        <f t="shared" si="1"/>
        <v/>
      </c>
      <c r="X302" s="12">
        <f t="shared" si="4"/>
        <v>4.687191827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6"/>
      <c r="R303" s="16"/>
      <c r="S303" s="16"/>
      <c r="T303" s="17"/>
      <c r="U303" s="18"/>
      <c r="V303" s="15"/>
      <c r="W303" s="19" t="str">
        <f t="shared" si="1"/>
        <v/>
      </c>
      <c r="X303" s="19">
        <f t="shared" si="4"/>
        <v>4.687191827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9"/>
      <c r="R304" s="9"/>
      <c r="S304" s="9"/>
      <c r="T304" s="10"/>
      <c r="U304" s="11"/>
      <c r="V304" s="8"/>
      <c r="W304" s="12" t="str">
        <f t="shared" si="1"/>
        <v/>
      </c>
      <c r="X304" s="12">
        <f t="shared" si="4"/>
        <v>4.687191827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6"/>
      <c r="R305" s="16"/>
      <c r="S305" s="16"/>
      <c r="T305" s="17"/>
      <c r="U305" s="18"/>
      <c r="V305" s="15"/>
      <c r="W305" s="19" t="str">
        <f t="shared" si="1"/>
        <v/>
      </c>
      <c r="X305" s="19">
        <f t="shared" si="4"/>
        <v>4.687191827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9"/>
      <c r="R306" s="9"/>
      <c r="S306" s="9"/>
      <c r="T306" s="10"/>
      <c r="U306" s="11"/>
      <c r="V306" s="8"/>
      <c r="W306" s="12" t="str">
        <f t="shared" si="1"/>
        <v/>
      </c>
      <c r="X306" s="12">
        <f t="shared" si="4"/>
        <v>4.687191827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6"/>
      <c r="R307" s="16"/>
      <c r="S307" s="16"/>
      <c r="T307" s="17"/>
      <c r="U307" s="18"/>
      <c r="V307" s="15"/>
      <c r="W307" s="19" t="str">
        <f t="shared" si="1"/>
        <v/>
      </c>
      <c r="X307" s="19">
        <f t="shared" si="4"/>
        <v>4.687191827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9"/>
      <c r="R308" s="9"/>
      <c r="S308" s="9"/>
      <c r="T308" s="10"/>
      <c r="U308" s="11"/>
      <c r="V308" s="8"/>
      <c r="W308" s="12" t="str">
        <f t="shared" si="1"/>
        <v/>
      </c>
      <c r="X308" s="12">
        <f t="shared" si="4"/>
        <v>4.687191827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6"/>
      <c r="R309" s="16"/>
      <c r="S309" s="16"/>
      <c r="T309" s="17"/>
      <c r="U309" s="18"/>
      <c r="V309" s="15"/>
      <c r="W309" s="19" t="str">
        <f t="shared" si="1"/>
        <v/>
      </c>
      <c r="X309" s="19">
        <f t="shared" si="4"/>
        <v>4.687191827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9"/>
      <c r="R310" s="9"/>
      <c r="S310" s="9"/>
      <c r="T310" s="10"/>
      <c r="U310" s="11"/>
      <c r="V310" s="8"/>
      <c r="W310" s="12" t="str">
        <f t="shared" si="1"/>
        <v/>
      </c>
      <c r="X310" s="12">
        <f t="shared" si="4"/>
        <v>4.687191827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6"/>
      <c r="R311" s="16"/>
      <c r="S311" s="16"/>
      <c r="T311" s="17"/>
      <c r="U311" s="18"/>
      <c r="V311" s="15"/>
      <c r="W311" s="19" t="str">
        <f t="shared" si="1"/>
        <v/>
      </c>
      <c r="X311" s="19">
        <f t="shared" si="4"/>
        <v>4.687191827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/>
      <c r="R312" s="9"/>
      <c r="S312" s="9"/>
      <c r="T312" s="10"/>
      <c r="U312" s="11"/>
      <c r="V312" s="8"/>
      <c r="W312" s="12" t="str">
        <f t="shared" si="1"/>
        <v/>
      </c>
      <c r="X312" s="12">
        <f t="shared" si="4"/>
        <v>4.687191827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6"/>
      <c r="R313" s="16"/>
      <c r="S313" s="16"/>
      <c r="T313" s="17"/>
      <c r="U313" s="18"/>
      <c r="V313" s="15"/>
      <c r="W313" s="19" t="str">
        <f t="shared" si="1"/>
        <v/>
      </c>
      <c r="X313" s="19">
        <f t="shared" si="4"/>
        <v>4.687191827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9"/>
      <c r="R314" s="9"/>
      <c r="S314" s="9"/>
      <c r="T314" s="10"/>
      <c r="U314" s="11"/>
      <c r="V314" s="8"/>
      <c r="W314" s="12" t="str">
        <f t="shared" si="1"/>
        <v/>
      </c>
      <c r="X314" s="12">
        <f t="shared" si="4"/>
        <v>4.687191827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6"/>
      <c r="R315" s="16"/>
      <c r="S315" s="16"/>
      <c r="T315" s="17"/>
      <c r="U315" s="18"/>
      <c r="V315" s="15"/>
      <c r="W315" s="19" t="str">
        <f t="shared" si="1"/>
        <v/>
      </c>
      <c r="X315" s="19">
        <f t="shared" si="4"/>
        <v>4.687191827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9"/>
      <c r="R316" s="9"/>
      <c r="S316" s="9"/>
      <c r="T316" s="10"/>
      <c r="U316" s="11"/>
      <c r="V316" s="8"/>
      <c r="W316" s="12" t="str">
        <f t="shared" si="1"/>
        <v/>
      </c>
      <c r="X316" s="12">
        <f t="shared" si="4"/>
        <v>4.687191827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6"/>
      <c r="R317" s="16"/>
      <c r="S317" s="16"/>
      <c r="T317" s="17"/>
      <c r="U317" s="18"/>
      <c r="V317" s="15"/>
      <c r="W317" s="19" t="str">
        <f t="shared" si="1"/>
        <v/>
      </c>
      <c r="X317" s="19">
        <f t="shared" si="4"/>
        <v>4.687191827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9"/>
      <c r="R318" s="9"/>
      <c r="S318" s="9"/>
      <c r="T318" s="10"/>
      <c r="U318" s="11"/>
      <c r="V318" s="8"/>
      <c r="W318" s="12" t="str">
        <f t="shared" si="1"/>
        <v/>
      </c>
      <c r="X318" s="12">
        <f t="shared" si="4"/>
        <v>4.687191827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6"/>
      <c r="R319" s="16"/>
      <c r="S319" s="16"/>
      <c r="T319" s="17"/>
      <c r="U319" s="18"/>
      <c r="V319" s="15"/>
      <c r="W319" s="19" t="str">
        <f t="shared" si="1"/>
        <v/>
      </c>
      <c r="X319" s="19">
        <f t="shared" si="4"/>
        <v>4.687191827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123"/>
      <c r="R320" s="9"/>
      <c r="S320" s="9"/>
      <c r="T320" s="10"/>
      <c r="U320" s="11"/>
      <c r="V320" s="8"/>
      <c r="W320" s="12" t="str">
        <f t="shared" si="1"/>
        <v/>
      </c>
      <c r="X320" s="12">
        <f t="shared" si="4"/>
        <v>4.687191827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6"/>
      <c r="R321" s="16"/>
      <c r="S321" s="16"/>
      <c r="T321" s="17"/>
      <c r="U321" s="18"/>
      <c r="V321" s="15"/>
      <c r="W321" s="19" t="str">
        <f t="shared" si="1"/>
        <v/>
      </c>
      <c r="X321" s="19">
        <f t="shared" si="4"/>
        <v>4.687191827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9"/>
      <c r="R322" s="9"/>
      <c r="S322" s="9"/>
      <c r="T322" s="10"/>
      <c r="U322" s="11"/>
      <c r="V322" s="8"/>
      <c r="W322" s="12" t="str">
        <f t="shared" si="1"/>
        <v/>
      </c>
      <c r="X322" s="12">
        <f t="shared" si="4"/>
        <v>4.687191827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24"/>
      <c r="R323" s="16"/>
      <c r="S323" s="16"/>
      <c r="T323" s="17"/>
      <c r="U323" s="18"/>
      <c r="V323" s="15"/>
      <c r="W323" s="19" t="str">
        <f t="shared" si="1"/>
        <v/>
      </c>
      <c r="X323" s="19">
        <f t="shared" si="4"/>
        <v>4.687191827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9"/>
      <c r="S324" s="9"/>
      <c r="T324" s="10"/>
      <c r="U324" s="11"/>
      <c r="V324" s="8"/>
      <c r="W324" s="12" t="str">
        <f t="shared" si="1"/>
        <v/>
      </c>
      <c r="X324" s="12">
        <f t="shared" si="4"/>
        <v>4.687191827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6"/>
      <c r="R325" s="16"/>
      <c r="S325" s="16"/>
      <c r="T325" s="17"/>
      <c r="U325" s="18"/>
      <c r="V325" s="15"/>
      <c r="W325" s="19" t="str">
        <f t="shared" si="1"/>
        <v/>
      </c>
      <c r="X325" s="19">
        <f t="shared" si="4"/>
        <v>4.687191827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9"/>
      <c r="R326" s="9"/>
      <c r="S326" s="9"/>
      <c r="T326" s="10"/>
      <c r="U326" s="8"/>
      <c r="V326" s="8"/>
      <c r="W326" s="12" t="str">
        <f t="shared" si="1"/>
        <v/>
      </c>
      <c r="X326" s="12">
        <f t="shared" si="4"/>
        <v>4.687191827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6"/>
      <c r="R327" s="16"/>
      <c r="S327" s="16"/>
      <c r="T327" s="17"/>
      <c r="U327" s="15"/>
      <c r="V327" s="15"/>
      <c r="W327" s="19" t="str">
        <f t="shared" si="1"/>
        <v/>
      </c>
      <c r="X327" s="19">
        <f t="shared" si="4"/>
        <v>4.687191827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9"/>
      <c r="R328" s="9"/>
      <c r="S328" s="9"/>
      <c r="T328" s="10"/>
      <c r="U328" s="8"/>
      <c r="V328" s="8"/>
      <c r="W328" s="12" t="str">
        <f t="shared" si="1"/>
        <v/>
      </c>
      <c r="X328" s="12">
        <f t="shared" si="4"/>
        <v>4.687191827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6"/>
      <c r="R329" s="16"/>
      <c r="S329" s="16"/>
      <c r="T329" s="17"/>
      <c r="U329" s="18"/>
      <c r="V329" s="15"/>
      <c r="W329" s="19" t="str">
        <f t="shared" si="1"/>
        <v/>
      </c>
      <c r="X329" s="19">
        <f t="shared" si="4"/>
        <v>4.687191827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9"/>
      <c r="R330" s="9"/>
      <c r="S330" s="9"/>
      <c r="T330" s="10"/>
      <c r="U330" s="11"/>
      <c r="V330" s="8"/>
      <c r="W330" s="12" t="str">
        <f t="shared" si="1"/>
        <v/>
      </c>
      <c r="X330" s="12">
        <f t="shared" si="4"/>
        <v>4.687191827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6"/>
      <c r="R331" s="16"/>
      <c r="S331" s="16"/>
      <c r="T331" s="17"/>
      <c r="U331" s="18"/>
      <c r="V331" s="15"/>
      <c r="W331" s="19" t="str">
        <f t="shared" si="1"/>
        <v/>
      </c>
      <c r="X331" s="19">
        <f t="shared" si="4"/>
        <v>4.687191827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9"/>
      <c r="R332" s="9"/>
      <c r="S332" s="9"/>
      <c r="T332" s="10"/>
      <c r="U332" s="11"/>
      <c r="V332" s="8"/>
      <c r="W332" s="12" t="str">
        <f t="shared" si="1"/>
        <v/>
      </c>
      <c r="X332" s="12">
        <f t="shared" si="4"/>
        <v>4.687191827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6"/>
      <c r="R333" s="16"/>
      <c r="S333" s="16"/>
      <c r="T333" s="17"/>
      <c r="U333" s="18"/>
      <c r="V333" s="15"/>
      <c r="W333" s="19" t="str">
        <f t="shared" si="1"/>
        <v/>
      </c>
      <c r="X333" s="19">
        <f t="shared" si="4"/>
        <v>4.687191827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9"/>
      <c r="S334" s="9"/>
      <c r="T334" s="10"/>
      <c r="U334" s="11"/>
      <c r="V334" s="8"/>
      <c r="W334" s="12" t="str">
        <f t="shared" si="1"/>
        <v/>
      </c>
      <c r="X334" s="12">
        <f t="shared" si="4"/>
        <v>4.687191827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6"/>
      <c r="R335" s="16"/>
      <c r="S335" s="16"/>
      <c r="T335" s="17"/>
      <c r="U335" s="18"/>
      <c r="V335" s="15"/>
      <c r="W335" s="19" t="str">
        <f t="shared" si="1"/>
        <v/>
      </c>
      <c r="X335" s="19">
        <f t="shared" si="4"/>
        <v>4.687191827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9"/>
      <c r="R336" s="9"/>
      <c r="S336" s="9"/>
      <c r="T336" s="10"/>
      <c r="U336" s="11"/>
      <c r="V336" s="8"/>
      <c r="W336" s="12" t="str">
        <f t="shared" si="1"/>
        <v/>
      </c>
      <c r="X336" s="12">
        <f t="shared" si="4"/>
        <v>4.687191827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6"/>
      <c r="R337" s="16"/>
      <c r="S337" s="16"/>
      <c r="T337" s="17"/>
      <c r="U337" s="18"/>
      <c r="V337" s="15"/>
      <c r="W337" s="19" t="str">
        <f t="shared" si="1"/>
        <v/>
      </c>
      <c r="X337" s="19">
        <f t="shared" si="4"/>
        <v>4.687191827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9"/>
      <c r="R338" s="9"/>
      <c r="S338" s="9"/>
      <c r="T338" s="10"/>
      <c r="U338" s="11"/>
      <c r="V338" s="8"/>
      <c r="W338" s="12" t="str">
        <f t="shared" si="1"/>
        <v/>
      </c>
      <c r="X338" s="12">
        <f t="shared" si="4"/>
        <v>4.687191827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6"/>
      <c r="R339" s="16"/>
      <c r="S339" s="16"/>
      <c r="T339" s="17"/>
      <c r="U339" s="18"/>
      <c r="V339" s="15"/>
      <c r="W339" s="19" t="str">
        <f t="shared" si="1"/>
        <v/>
      </c>
      <c r="X339" s="19">
        <f t="shared" si="4"/>
        <v>4.687191827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9"/>
      <c r="R340" s="9"/>
      <c r="S340" s="9"/>
      <c r="T340" s="10"/>
      <c r="U340" s="11"/>
      <c r="V340" s="8"/>
      <c r="W340" s="12" t="str">
        <f t="shared" si="1"/>
        <v/>
      </c>
      <c r="X340" s="12">
        <f t="shared" si="4"/>
        <v>4.687191827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6"/>
      <c r="R341" s="16"/>
      <c r="S341" s="16"/>
      <c r="T341" s="17"/>
      <c r="U341" s="18"/>
      <c r="V341" s="15"/>
      <c r="W341" s="19" t="str">
        <f t="shared" si="1"/>
        <v/>
      </c>
      <c r="X341" s="19">
        <f t="shared" si="4"/>
        <v>4.687191827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9"/>
      <c r="S342" s="9"/>
      <c r="T342" s="10"/>
      <c r="U342" s="11"/>
      <c r="V342" s="8"/>
      <c r="W342" s="12" t="str">
        <f t="shared" si="1"/>
        <v/>
      </c>
      <c r="X342" s="12">
        <f t="shared" si="4"/>
        <v>4.687191827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24"/>
      <c r="R343" s="16"/>
      <c r="S343" s="16"/>
      <c r="T343" s="17"/>
      <c r="U343" s="18"/>
      <c r="V343" s="15"/>
      <c r="W343" s="19" t="str">
        <f t="shared" si="1"/>
        <v/>
      </c>
      <c r="X343" s="19">
        <f t="shared" si="4"/>
        <v>4.687191827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123"/>
      <c r="R344" s="9"/>
      <c r="S344" s="9"/>
      <c r="T344" s="10"/>
      <c r="U344" s="11"/>
      <c r="V344" s="8"/>
      <c r="W344" s="12" t="str">
        <f t="shared" si="1"/>
        <v/>
      </c>
      <c r="X344" s="12">
        <f t="shared" si="4"/>
        <v>4.687191827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24"/>
      <c r="R345" s="16"/>
      <c r="S345" s="16"/>
      <c r="T345" s="17"/>
      <c r="U345" s="18"/>
      <c r="V345" s="15"/>
      <c r="W345" s="19" t="str">
        <f t="shared" si="1"/>
        <v/>
      </c>
      <c r="X345" s="19">
        <f t="shared" si="4"/>
        <v>4.687191827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123"/>
      <c r="R346" s="9"/>
      <c r="S346" s="9"/>
      <c r="T346" s="10"/>
      <c r="U346" s="11"/>
      <c r="V346" s="8"/>
      <c r="W346" s="12" t="str">
        <f t="shared" si="1"/>
        <v/>
      </c>
      <c r="X346" s="12">
        <f t="shared" si="4"/>
        <v>4.687191827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24"/>
      <c r="R347" s="16"/>
      <c r="S347" s="16"/>
      <c r="T347" s="17"/>
      <c r="U347" s="18"/>
      <c r="V347" s="15"/>
      <c r="W347" s="19" t="str">
        <f t="shared" si="1"/>
        <v/>
      </c>
      <c r="X347" s="19">
        <f t="shared" si="4"/>
        <v>4.687191827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123"/>
      <c r="R348" s="9"/>
      <c r="S348" s="9"/>
      <c r="T348" s="10"/>
      <c r="U348" s="11"/>
      <c r="V348" s="8"/>
      <c r="W348" s="12" t="str">
        <f t="shared" si="1"/>
        <v/>
      </c>
      <c r="X348" s="12">
        <f t="shared" si="4"/>
        <v>4.687191827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24"/>
      <c r="R349" s="16"/>
      <c r="S349" s="16"/>
      <c r="T349" s="17"/>
      <c r="U349" s="18"/>
      <c r="V349" s="15"/>
      <c r="W349" s="19" t="str">
        <f t="shared" si="1"/>
        <v/>
      </c>
      <c r="X349" s="19">
        <f t="shared" si="4"/>
        <v>4.687191827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123"/>
      <c r="R350" s="9"/>
      <c r="S350" s="9"/>
      <c r="T350" s="10"/>
      <c r="U350" s="11"/>
      <c r="V350" s="8"/>
      <c r="W350" s="12" t="str">
        <f t="shared" si="1"/>
        <v/>
      </c>
      <c r="X350" s="12">
        <f t="shared" si="4"/>
        <v>4.687191827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24"/>
      <c r="R351" s="16"/>
      <c r="S351" s="16"/>
      <c r="T351" s="17"/>
      <c r="U351" s="18"/>
      <c r="V351" s="15"/>
      <c r="W351" s="19" t="str">
        <f t="shared" si="1"/>
        <v/>
      </c>
      <c r="X351" s="19">
        <f t="shared" si="4"/>
        <v>4.687191827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123"/>
      <c r="R352" s="9"/>
      <c r="S352" s="9"/>
      <c r="T352" s="10"/>
      <c r="U352" s="11"/>
      <c r="V352" s="8"/>
      <c r="W352" s="12" t="str">
        <f t="shared" si="1"/>
        <v/>
      </c>
      <c r="X352" s="12">
        <f t="shared" si="4"/>
        <v>4.687191827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24"/>
      <c r="R353" s="16"/>
      <c r="S353" s="16"/>
      <c r="T353" s="17"/>
      <c r="U353" s="18"/>
      <c r="V353" s="15"/>
      <c r="W353" s="19" t="str">
        <f t="shared" si="1"/>
        <v/>
      </c>
      <c r="X353" s="19">
        <f t="shared" si="4"/>
        <v>4.687191827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123"/>
      <c r="R354" s="9"/>
      <c r="S354" s="9"/>
      <c r="T354" s="10"/>
      <c r="U354" s="11"/>
      <c r="V354" s="8"/>
      <c r="W354" s="12" t="str">
        <f t="shared" si="1"/>
        <v/>
      </c>
      <c r="X354" s="12">
        <f t="shared" si="4"/>
        <v>4.687191827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24"/>
      <c r="R355" s="16"/>
      <c r="S355" s="16"/>
      <c r="T355" s="17"/>
      <c r="U355" s="18"/>
      <c r="V355" s="15"/>
      <c r="W355" s="19" t="str">
        <f t="shared" si="1"/>
        <v/>
      </c>
      <c r="X355" s="19">
        <f t="shared" si="4"/>
        <v>4.687191827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123"/>
      <c r="R356" s="9"/>
      <c r="S356" s="9"/>
      <c r="T356" s="10"/>
      <c r="U356" s="11"/>
      <c r="V356" s="8"/>
      <c r="W356" s="12" t="str">
        <f t="shared" si="1"/>
        <v/>
      </c>
      <c r="X356" s="12">
        <f t="shared" si="4"/>
        <v>4.687191827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24"/>
      <c r="R357" s="16"/>
      <c r="S357" s="16"/>
      <c r="T357" s="17"/>
      <c r="U357" s="18"/>
      <c r="V357" s="15"/>
      <c r="W357" s="19" t="str">
        <f t="shared" si="1"/>
        <v/>
      </c>
      <c r="X357" s="19">
        <f t="shared" si="4"/>
        <v>4.687191827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123"/>
      <c r="R358" s="9"/>
      <c r="S358" s="9"/>
      <c r="T358" s="10"/>
      <c r="U358" s="11"/>
      <c r="V358" s="8"/>
      <c r="W358" s="12" t="str">
        <f t="shared" si="1"/>
        <v/>
      </c>
      <c r="X358" s="12">
        <f t="shared" si="4"/>
        <v>4.687191827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24"/>
      <c r="R359" s="16"/>
      <c r="S359" s="16"/>
      <c r="T359" s="17"/>
      <c r="U359" s="18"/>
      <c r="V359" s="15"/>
      <c r="W359" s="19" t="str">
        <f t="shared" si="1"/>
        <v/>
      </c>
      <c r="X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123"/>
      <c r="R360" s="9"/>
      <c r="S360" s="9"/>
      <c r="T360" s="10"/>
      <c r="U360" s="11"/>
      <c r="V360" s="8"/>
      <c r="W360" s="12" t="str">
        <f t="shared" si="1"/>
        <v/>
      </c>
      <c r="X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24"/>
      <c r="R361" s="16"/>
      <c r="S361" s="16"/>
      <c r="T361" s="17"/>
      <c r="U361" s="18"/>
      <c r="V361" s="15"/>
      <c r="W361" s="19" t="str">
        <f t="shared" si="1"/>
        <v/>
      </c>
      <c r="X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123"/>
      <c r="R362" s="9"/>
      <c r="S362" s="9"/>
      <c r="T362" s="10"/>
      <c r="U362" s="11"/>
      <c r="V362" s="8"/>
      <c r="W362" s="12" t="str">
        <f t="shared" si="1"/>
        <v/>
      </c>
      <c r="X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24"/>
      <c r="R363" s="16"/>
      <c r="S363" s="16"/>
      <c r="T363" s="17"/>
      <c r="U363" s="18"/>
      <c r="V363" s="15"/>
      <c r="W363" s="19" t="str">
        <f t="shared" si="1"/>
        <v/>
      </c>
      <c r="X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123"/>
      <c r="R364" s="9"/>
      <c r="S364" s="9"/>
      <c r="T364" s="10"/>
      <c r="U364" s="11"/>
      <c r="V364" s="8"/>
      <c r="W364" s="12" t="str">
        <f t="shared" si="1"/>
        <v/>
      </c>
      <c r="X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24"/>
      <c r="R365" s="16"/>
      <c r="S365" s="16"/>
      <c r="T365" s="17"/>
      <c r="U365" s="18"/>
      <c r="V365" s="15"/>
      <c r="W365" s="19" t="str">
        <f t="shared" si="1"/>
        <v/>
      </c>
      <c r="X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123"/>
      <c r="R366" s="9"/>
      <c r="S366" s="9"/>
      <c r="T366" s="10"/>
      <c r="U366" s="11"/>
      <c r="V366" s="8"/>
      <c r="W366" s="12" t="str">
        <f t="shared" si="1"/>
        <v/>
      </c>
      <c r="X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24"/>
      <c r="R367" s="16"/>
      <c r="S367" s="16"/>
      <c r="T367" s="17"/>
      <c r="U367" s="18"/>
      <c r="V367" s="15"/>
      <c r="W367" s="19" t="str">
        <f t="shared" si="1"/>
        <v/>
      </c>
      <c r="X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123"/>
      <c r="R368" s="9"/>
      <c r="S368" s="9"/>
      <c r="T368" s="10"/>
      <c r="U368" s="11"/>
      <c r="V368" s="8"/>
      <c r="W368" s="12" t="str">
        <f t="shared" si="1"/>
        <v/>
      </c>
      <c r="X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24"/>
      <c r="R369" s="16"/>
      <c r="S369" s="16"/>
      <c r="T369" s="17"/>
      <c r="U369" s="18"/>
      <c r="V369" s="15"/>
      <c r="W369" s="19" t="str">
        <f t="shared" si="1"/>
        <v/>
      </c>
      <c r="X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123"/>
      <c r="R370" s="9"/>
      <c r="S370" s="9"/>
      <c r="T370" s="10"/>
      <c r="U370" s="8"/>
      <c r="V370" s="8"/>
      <c r="W370" s="12" t="str">
        <f t="shared" si="1"/>
        <v/>
      </c>
      <c r="X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24"/>
      <c r="R371" s="16"/>
      <c r="S371" s="16"/>
      <c r="T371" s="17"/>
      <c r="U371" s="15"/>
      <c r="V371" s="15"/>
      <c r="W371" s="19" t="str">
        <f t="shared" si="1"/>
        <v/>
      </c>
      <c r="X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123"/>
      <c r="R372" s="9"/>
      <c r="S372" s="9"/>
      <c r="T372" s="10"/>
      <c r="U372" s="8"/>
      <c r="V372" s="8"/>
      <c r="W372" s="12" t="str">
        <f t="shared" si="1"/>
        <v/>
      </c>
      <c r="X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24"/>
      <c r="R373" s="16"/>
      <c r="S373" s="16"/>
      <c r="T373" s="17"/>
      <c r="U373" s="15"/>
      <c r="V373" s="15"/>
      <c r="W373" s="19" t="str">
        <f t="shared" si="1"/>
        <v/>
      </c>
      <c r="X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123"/>
      <c r="R374" s="9"/>
      <c r="S374" s="9"/>
      <c r="T374" s="10"/>
      <c r="U374" s="8"/>
      <c r="V374" s="8"/>
      <c r="W374" s="12" t="str">
        <f t="shared" si="1"/>
        <v/>
      </c>
      <c r="X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24"/>
      <c r="R375" s="16"/>
      <c r="S375" s="16"/>
      <c r="T375" s="17"/>
      <c r="U375" s="15"/>
      <c r="V375" s="15"/>
      <c r="W375" s="19" t="str">
        <f t="shared" si="1"/>
        <v/>
      </c>
      <c r="X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123"/>
      <c r="R376" s="9"/>
      <c r="S376" s="9"/>
      <c r="T376" s="10"/>
      <c r="U376" s="8"/>
      <c r="V376" s="8"/>
      <c r="W376" s="12" t="str">
        <f t="shared" si="1"/>
        <v/>
      </c>
      <c r="X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24"/>
      <c r="R377" s="16"/>
      <c r="S377" s="16"/>
      <c r="T377" s="17"/>
      <c r="U377" s="15"/>
      <c r="V377" s="15"/>
      <c r="W377" s="19" t="str">
        <f t="shared" si="1"/>
        <v/>
      </c>
      <c r="X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123"/>
      <c r="R378" s="9"/>
      <c r="S378" s="9"/>
      <c r="T378" s="10"/>
      <c r="U378" s="8"/>
      <c r="V378" s="8"/>
      <c r="W378" s="12" t="str">
        <f t="shared" si="1"/>
        <v/>
      </c>
      <c r="X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24"/>
      <c r="R379" s="16"/>
      <c r="S379" s="16"/>
      <c r="T379" s="17"/>
      <c r="U379" s="15"/>
      <c r="V379" s="15"/>
      <c r="W379" s="19" t="str">
        <f t="shared" si="1"/>
        <v/>
      </c>
      <c r="X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123"/>
      <c r="R380" s="9"/>
      <c r="S380" s="9"/>
      <c r="T380" s="10"/>
      <c r="U380" s="8"/>
      <c r="V380" s="8"/>
      <c r="W380" s="12" t="str">
        <f t="shared" si="1"/>
        <v/>
      </c>
      <c r="X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24"/>
      <c r="R381" s="16"/>
      <c r="S381" s="16"/>
      <c r="T381" s="17"/>
      <c r="U381" s="15"/>
      <c r="V381" s="15"/>
      <c r="W381" s="19" t="str">
        <f t="shared" si="1"/>
        <v/>
      </c>
      <c r="X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123"/>
      <c r="R382" s="9"/>
      <c r="S382" s="9"/>
      <c r="T382" s="10"/>
      <c r="U382" s="8"/>
      <c r="V382" s="8"/>
      <c r="W382" s="12" t="str">
        <f t="shared" si="1"/>
        <v/>
      </c>
      <c r="X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24"/>
      <c r="R383" s="16"/>
      <c r="S383" s="16"/>
      <c r="T383" s="17"/>
      <c r="U383" s="15"/>
      <c r="V383" s="15"/>
      <c r="W383" s="19" t="str">
        <f t="shared" si="1"/>
        <v/>
      </c>
      <c r="X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123"/>
      <c r="R384" s="9"/>
      <c r="S384" s="9"/>
      <c r="T384" s="10"/>
      <c r="U384" s="8"/>
      <c r="V384" s="8"/>
      <c r="W384" s="12" t="str">
        <f t="shared" si="1"/>
        <v/>
      </c>
      <c r="X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24"/>
      <c r="R385" s="16"/>
      <c r="S385" s="16"/>
      <c r="T385" s="17"/>
      <c r="U385" s="15"/>
      <c r="V385" s="15"/>
      <c r="W385" s="19" t="str">
        <f t="shared" si="1"/>
        <v/>
      </c>
      <c r="X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123"/>
      <c r="R386" s="9"/>
      <c r="S386" s="9"/>
      <c r="T386" s="10"/>
      <c r="U386" s="8"/>
      <c r="V386" s="8"/>
      <c r="W386" s="12" t="str">
        <f t="shared" si="1"/>
        <v/>
      </c>
      <c r="X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24"/>
      <c r="R387" s="16"/>
      <c r="S387" s="16"/>
      <c r="T387" s="17"/>
      <c r="U387" s="15"/>
      <c r="V387" s="15"/>
      <c r="W387" s="19" t="str">
        <f t="shared" si="1"/>
        <v/>
      </c>
      <c r="X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123"/>
      <c r="R388" s="9"/>
      <c r="S388" s="9"/>
      <c r="T388" s="10"/>
      <c r="U388" s="8"/>
      <c r="V388" s="8"/>
      <c r="W388" s="12" t="str">
        <f t="shared" si="1"/>
        <v/>
      </c>
      <c r="X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24"/>
      <c r="R389" s="16"/>
      <c r="S389" s="16"/>
      <c r="T389" s="17"/>
      <c r="U389" s="15"/>
      <c r="V389" s="15"/>
      <c r="W389" s="19" t="str">
        <f t="shared" si="1"/>
        <v/>
      </c>
      <c r="X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123"/>
      <c r="R390" s="9"/>
      <c r="S390" s="9"/>
      <c r="T390" s="10"/>
      <c r="U390" s="8"/>
      <c r="V390" s="8"/>
      <c r="W390" s="12" t="str">
        <f t="shared" si="1"/>
        <v/>
      </c>
      <c r="X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24"/>
      <c r="R391" s="16"/>
      <c r="S391" s="16"/>
      <c r="T391" s="17"/>
      <c r="U391" s="15"/>
      <c r="V391" s="15"/>
      <c r="W391" s="19" t="str">
        <f t="shared" si="1"/>
        <v/>
      </c>
      <c r="X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123"/>
      <c r="R392" s="9"/>
      <c r="S392" s="9"/>
      <c r="T392" s="10"/>
      <c r="U392" s="8"/>
      <c r="V392" s="8"/>
      <c r="W392" s="12" t="str">
        <f t="shared" ref="W392:W394" si="9">IF(V393="ganha",(S392*(U392-1)),IF(V393="perdida",-S392,IF(V393="devolvida",0,IF(V393="ganha/devolvida",((S392*(U392-1)))/2,IF(V393="perdida/devolvida",-S392/2,IF(V393="Aguardando",0,""))))))</f>
        <v/>
      </c>
      <c r="X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24"/>
      <c r="R393" s="16"/>
      <c r="S393" s="16"/>
      <c r="T393" s="17"/>
      <c r="U393" s="15"/>
      <c r="V393" s="15"/>
      <c r="W393" s="19" t="str">
        <f t="shared" si="9"/>
        <v/>
      </c>
      <c r="X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123"/>
      <c r="R394" s="9"/>
      <c r="S394" s="9"/>
      <c r="T394" s="10"/>
      <c r="U394" s="8"/>
      <c r="V394" s="8"/>
      <c r="W394" s="12" t="str">
        <f t="shared" si="9"/>
        <v/>
      </c>
      <c r="X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24"/>
      <c r="R395" s="16"/>
      <c r="S395" s="16"/>
      <c r="T395" s="17"/>
      <c r="U395" s="15"/>
      <c r="V395" s="15"/>
      <c r="W395" s="124"/>
      <c r="X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123"/>
      <c r="R396" s="9"/>
      <c r="S396" s="9"/>
      <c r="T396" s="10"/>
      <c r="U396" s="8"/>
      <c r="V396" s="8"/>
      <c r="W396" s="123"/>
      <c r="X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24"/>
      <c r="R397" s="16"/>
      <c r="S397" s="16"/>
      <c r="T397" s="17"/>
      <c r="U397" s="15"/>
      <c r="V397" s="15"/>
      <c r="W397" s="124"/>
      <c r="X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123"/>
      <c r="R398" s="9"/>
      <c r="S398" s="9"/>
      <c r="T398" s="10"/>
      <c r="U398" s="8"/>
      <c r="V398" s="8"/>
      <c r="W398" s="123"/>
      <c r="X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24"/>
      <c r="R399" s="16"/>
      <c r="S399" s="16"/>
      <c r="T399" s="17"/>
      <c r="U399" s="15"/>
      <c r="V399" s="15"/>
      <c r="W399" s="124"/>
      <c r="X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123"/>
      <c r="R400" s="9"/>
      <c r="S400" s="9"/>
      <c r="T400" s="10"/>
      <c r="U400" s="8"/>
      <c r="V400" s="8"/>
      <c r="W400" s="123"/>
      <c r="X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24"/>
      <c r="R401" s="16"/>
      <c r="S401" s="16"/>
      <c r="T401" s="17"/>
      <c r="U401" s="15"/>
      <c r="V401" s="15"/>
      <c r="W401" s="124"/>
      <c r="X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123"/>
      <c r="R402" s="9"/>
      <c r="S402" s="9"/>
      <c r="T402" s="10"/>
      <c r="U402" s="8"/>
      <c r="V402" s="8"/>
      <c r="W402" s="123"/>
      <c r="X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24"/>
      <c r="R403" s="16"/>
      <c r="S403" s="16"/>
      <c r="T403" s="17"/>
      <c r="U403" s="15"/>
      <c r="V403" s="15"/>
      <c r="W403" s="124"/>
      <c r="X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123"/>
      <c r="R404" s="9"/>
      <c r="S404" s="9"/>
      <c r="T404" s="10"/>
      <c r="U404" s="8"/>
      <c r="V404" s="8"/>
      <c r="W404" s="123"/>
      <c r="X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24"/>
      <c r="R405" s="16"/>
      <c r="S405" s="16"/>
      <c r="T405" s="17"/>
      <c r="U405" s="15"/>
      <c r="V405" s="15"/>
      <c r="W405" s="124"/>
      <c r="X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123"/>
      <c r="R406" s="9"/>
      <c r="S406" s="9"/>
      <c r="T406" s="10"/>
      <c r="U406" s="8"/>
      <c r="V406" s="8"/>
      <c r="W406" s="123"/>
      <c r="X406" s="123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 t="s">
        <v>5559</v>
      </c>
      <c r="P407" s="125"/>
      <c r="Q407" s="126"/>
      <c r="R407" s="127"/>
      <c r="S407" s="127"/>
      <c r="T407" s="128"/>
      <c r="U407" s="125"/>
      <c r="V407" s="15"/>
      <c r="W407" s="126"/>
      <c r="X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30"/>
      <c r="R408" s="131"/>
      <c r="S408" s="131"/>
      <c r="T408" s="132"/>
      <c r="U408" s="129"/>
      <c r="V408" s="129"/>
      <c r="W408" s="130"/>
      <c r="X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6"/>
      <c r="R409" s="127"/>
      <c r="S409" s="127"/>
      <c r="T409" s="128"/>
      <c r="U409" s="125"/>
      <c r="V409" s="125"/>
      <c r="W409" s="126"/>
      <c r="X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30"/>
      <c r="R410" s="131"/>
      <c r="S410" s="131"/>
      <c r="T410" s="132"/>
      <c r="U410" s="129"/>
      <c r="V410" s="129"/>
      <c r="W410" s="130"/>
      <c r="X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6"/>
      <c r="R411" s="127"/>
      <c r="S411" s="127"/>
      <c r="T411" s="128"/>
      <c r="U411" s="125"/>
      <c r="V411" s="125"/>
      <c r="W411" s="126"/>
      <c r="X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30"/>
      <c r="R412" s="131"/>
      <c r="S412" s="131"/>
      <c r="T412" s="132"/>
      <c r="U412" s="129"/>
      <c r="V412" s="129"/>
      <c r="W412" s="130"/>
      <c r="X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6"/>
      <c r="R413" s="127"/>
      <c r="S413" s="127"/>
      <c r="T413" s="128"/>
      <c r="U413" s="125"/>
      <c r="V413" s="125"/>
      <c r="W413" s="126"/>
      <c r="X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30"/>
      <c r="R414" s="131"/>
      <c r="S414" s="131"/>
      <c r="T414" s="132"/>
      <c r="U414" s="129"/>
      <c r="V414" s="129"/>
      <c r="W414" s="130"/>
      <c r="X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6"/>
      <c r="R415" s="127"/>
      <c r="S415" s="127"/>
      <c r="T415" s="128"/>
      <c r="U415" s="125"/>
      <c r="V415" s="125"/>
      <c r="W415" s="126"/>
      <c r="X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30"/>
      <c r="R416" s="131"/>
      <c r="S416" s="131"/>
      <c r="T416" s="132"/>
      <c r="U416" s="129"/>
      <c r="V416" s="129"/>
      <c r="W416" s="130"/>
      <c r="X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6"/>
      <c r="R417" s="127"/>
      <c r="S417" s="127"/>
      <c r="T417" s="128"/>
      <c r="U417" s="125"/>
      <c r="V417" s="125"/>
      <c r="W417" s="126"/>
      <c r="X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30"/>
      <c r="R418" s="131"/>
      <c r="S418" s="131"/>
      <c r="T418" s="132"/>
      <c r="U418" s="129"/>
      <c r="V418" s="129"/>
      <c r="W418" s="130"/>
      <c r="X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6"/>
      <c r="R419" s="127"/>
      <c r="S419" s="127"/>
      <c r="T419" s="128"/>
      <c r="U419" s="125"/>
      <c r="V419" s="125"/>
      <c r="W419" s="126"/>
      <c r="X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30"/>
      <c r="R420" s="131"/>
      <c r="S420" s="131"/>
      <c r="T420" s="132"/>
      <c r="U420" s="129"/>
      <c r="V420" s="129"/>
      <c r="W420" s="130"/>
      <c r="X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6"/>
      <c r="R421" s="127"/>
      <c r="S421" s="127"/>
      <c r="T421" s="128"/>
      <c r="U421" s="125"/>
      <c r="V421" s="125"/>
      <c r="W421" s="126"/>
      <c r="X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30"/>
      <c r="R422" s="131"/>
      <c r="S422" s="131"/>
      <c r="T422" s="132"/>
      <c r="U422" s="129"/>
      <c r="V422" s="129"/>
      <c r="W422" s="130"/>
      <c r="X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6"/>
      <c r="R423" s="127"/>
      <c r="S423" s="127"/>
      <c r="T423" s="128"/>
      <c r="U423" s="125"/>
      <c r="V423" s="125"/>
      <c r="W423" s="126"/>
      <c r="X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30"/>
      <c r="R424" s="131"/>
      <c r="S424" s="131"/>
      <c r="T424" s="132"/>
      <c r="U424" s="129"/>
      <c r="V424" s="129"/>
      <c r="W424" s="130"/>
      <c r="X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6"/>
      <c r="R425" s="127"/>
      <c r="S425" s="127"/>
      <c r="T425" s="128"/>
      <c r="U425" s="125"/>
      <c r="V425" s="125"/>
      <c r="W425" s="126"/>
      <c r="X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30"/>
      <c r="R426" s="131"/>
      <c r="S426" s="131"/>
      <c r="T426" s="132"/>
      <c r="U426" s="129"/>
      <c r="V426" s="129"/>
      <c r="W426" s="130"/>
      <c r="X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6"/>
      <c r="R427" s="127"/>
      <c r="S427" s="127"/>
      <c r="T427" s="128"/>
      <c r="U427" s="125"/>
      <c r="V427" s="125"/>
      <c r="W427" s="126"/>
      <c r="X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30"/>
      <c r="R428" s="131"/>
      <c r="S428" s="131"/>
      <c r="T428" s="132"/>
      <c r="U428" s="129"/>
      <c r="V428" s="129"/>
      <c r="W428" s="130"/>
      <c r="X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6"/>
      <c r="R429" s="127"/>
      <c r="S429" s="127"/>
      <c r="T429" s="128"/>
      <c r="U429" s="125"/>
      <c r="V429" s="125"/>
      <c r="W429" s="126"/>
      <c r="X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30"/>
      <c r="R430" s="131"/>
      <c r="S430" s="131"/>
      <c r="T430" s="132"/>
      <c r="U430" s="129"/>
      <c r="V430" s="129"/>
      <c r="W430" s="130"/>
      <c r="X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6"/>
      <c r="R431" s="127"/>
      <c r="S431" s="127"/>
      <c r="T431" s="128"/>
      <c r="U431" s="125"/>
      <c r="V431" s="125"/>
      <c r="W431" s="126"/>
      <c r="X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30"/>
      <c r="R432" s="131"/>
      <c r="S432" s="131"/>
      <c r="T432" s="132"/>
      <c r="U432" s="129"/>
      <c r="V432" s="129"/>
      <c r="W432" s="130"/>
      <c r="X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6"/>
      <c r="R433" s="127"/>
      <c r="S433" s="127"/>
      <c r="T433" s="128"/>
      <c r="U433" s="125"/>
      <c r="V433" s="125"/>
      <c r="W433" s="126"/>
      <c r="X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30"/>
      <c r="R434" s="131"/>
      <c r="S434" s="131"/>
      <c r="T434" s="132"/>
      <c r="U434" s="129"/>
      <c r="V434" s="129"/>
      <c r="W434" s="130"/>
      <c r="X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6"/>
      <c r="R435" s="127"/>
      <c r="S435" s="127"/>
      <c r="T435" s="128"/>
      <c r="U435" s="125"/>
      <c r="V435" s="125"/>
      <c r="W435" s="126"/>
      <c r="X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30"/>
      <c r="R436" s="131"/>
      <c r="S436" s="131"/>
      <c r="T436" s="132"/>
      <c r="U436" s="129"/>
      <c r="V436" s="129"/>
      <c r="W436" s="130"/>
      <c r="X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6"/>
      <c r="R437" s="127"/>
      <c r="S437" s="127"/>
      <c r="T437" s="128"/>
      <c r="U437" s="125"/>
      <c r="V437" s="125"/>
      <c r="W437" s="126"/>
      <c r="X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30"/>
      <c r="R438" s="131"/>
      <c r="S438" s="131"/>
      <c r="T438" s="132"/>
      <c r="U438" s="129"/>
      <c r="V438" s="129"/>
      <c r="W438" s="130"/>
      <c r="X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6"/>
      <c r="R439" s="127"/>
      <c r="S439" s="127"/>
      <c r="T439" s="128"/>
      <c r="U439" s="125"/>
      <c r="V439" s="125"/>
      <c r="W439" s="126"/>
      <c r="X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30"/>
      <c r="R440" s="131"/>
      <c r="S440" s="131"/>
      <c r="T440" s="132"/>
      <c r="U440" s="129"/>
      <c r="V440" s="129"/>
      <c r="W440" s="130"/>
      <c r="X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6"/>
      <c r="R441" s="127"/>
      <c r="S441" s="127"/>
      <c r="T441" s="128"/>
      <c r="U441" s="125"/>
      <c r="V441" s="125"/>
      <c r="W441" s="126"/>
      <c r="X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30"/>
      <c r="R442" s="131"/>
      <c r="S442" s="131"/>
      <c r="T442" s="132"/>
      <c r="U442" s="129"/>
      <c r="V442" s="129"/>
      <c r="W442" s="130"/>
      <c r="X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6"/>
      <c r="R443" s="127"/>
      <c r="S443" s="127"/>
      <c r="T443" s="128"/>
      <c r="U443" s="125"/>
      <c r="V443" s="125"/>
      <c r="W443" s="126"/>
      <c r="X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30"/>
      <c r="R444" s="131"/>
      <c r="S444" s="131"/>
      <c r="T444" s="132"/>
      <c r="U444" s="129"/>
      <c r="V444" s="129"/>
      <c r="W444" s="130"/>
      <c r="X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6"/>
      <c r="R445" s="127"/>
      <c r="S445" s="127"/>
      <c r="T445" s="128"/>
      <c r="U445" s="125"/>
      <c r="V445" s="125"/>
      <c r="W445" s="126"/>
      <c r="X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30"/>
      <c r="R446" s="131"/>
      <c r="S446" s="131"/>
      <c r="T446" s="132"/>
      <c r="U446" s="129"/>
      <c r="V446" s="129"/>
      <c r="W446" s="130"/>
      <c r="X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6"/>
      <c r="R447" s="127"/>
      <c r="S447" s="127"/>
      <c r="T447" s="128"/>
      <c r="U447" s="125"/>
      <c r="V447" s="125"/>
      <c r="W447" s="126"/>
      <c r="X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30"/>
      <c r="R448" s="131"/>
      <c r="S448" s="131"/>
      <c r="T448" s="132"/>
      <c r="U448" s="129"/>
      <c r="V448" s="129"/>
      <c r="W448" s="130"/>
      <c r="X448" s="130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125"/>
      <c r="W449" s="126"/>
      <c r="X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130"/>
      <c r="X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126"/>
      <c r="X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130"/>
      <c r="X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126"/>
      <c r="X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130"/>
      <c r="X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126"/>
      <c r="X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130"/>
      <c r="X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126"/>
      <c r="X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58"/>
      <c r="W999" s="29"/>
      <c r="X999" s="29"/>
    </row>
  </sheetData>
  <autoFilter ref="$A$1:$W$407"/>
  <customSheetViews>
    <customSheetView guid="{D9D1A42E-DDFC-4032-8664-60A2E47E0D40}" filter="1" showAutoFilter="1">
      <autoFilter ref="$A$1:$W$284"/>
    </customSheetView>
    <customSheetView guid="{F477B962-7F95-4B58-B796-7F91B20D0221}" filter="1" showAutoFilter="1">
      <autoFilter ref="$A$1:$AB$407">
        <filterColumn colId="14">
          <filters>
            <filter val="AH-"/>
            <filter val="Under"/>
            <filter val="ML"/>
            <filter val="Cantos+"/>
            <filter val="DC"/>
          </filters>
        </filterColumn>
      </autoFilter>
    </customSheetView>
    <customSheetView guid="{C0AB1544-F4B4-45C0-8975-97F745A006DC}" filter="1" showAutoFilter="1">
      <autoFilter ref="$A$1:$AB$407"/>
    </customSheetView>
    <customSheetView guid="{B1E9CC24-145D-4007-8A11-90FD9E435072}" filter="1" showAutoFilter="1">
      <autoFilter ref="$A$1:$AB$407">
        <filterColumn colId="12">
          <filters>
            <filter val="Hungria"/>
            <filter val="Bolívia"/>
            <filter val="Camp. Carioca"/>
            <filter val="Suécia"/>
            <filter val="Letônia"/>
            <filter val="Granada"/>
            <filter val="Vietnã"/>
            <filter val="EUA"/>
            <filter val="Butão"/>
            <filter val="Mali"/>
            <filter val="Amist. Intern."/>
            <filter val="Noruega"/>
            <filter val="Panamá"/>
            <filter val="Máli"/>
            <filter val="Camp. Mineiro"/>
            <filter val="Etiópia"/>
            <filter val="Romênia"/>
            <filter val="Chile"/>
            <filter val="Islândia"/>
            <filter val="Filipinas"/>
            <filter val="Malásia"/>
            <filter val="USA"/>
            <filter val="Argentina"/>
            <filter val="Japão"/>
            <filter val="Amistoso"/>
            <filter val="Moçambique"/>
            <filter val="Colômbia"/>
            <filter val="Cazaquistão"/>
            <filter val="Malauí"/>
            <filter val="Internacional"/>
            <filter val="Zimbábue"/>
            <filter val="Uruguai"/>
            <filter val="Quênia"/>
            <filter val="Eslováquia"/>
            <filter val="CECAFA"/>
            <filter val="Paraguai"/>
            <filter val="Peru"/>
          </filters>
        </filterColumn>
      </autoFilter>
    </customSheetView>
    <customSheetView guid="{9B5C888F-E11A-4842-8D0B-62F1614802A4}" filter="1" showAutoFilter="1">
      <autoFilter ref="$A$1:$W$284">
        <filterColumn colId="14">
          <filters>
            <filter val="AH+"/>
            <filter val="AH-"/>
            <filter val="DC"/>
          </filters>
        </filterColumn>
      </autoFilter>
    </customSheetView>
    <customSheetView guid="{8BE028A4-B37D-4082-AE82-07BBC89EBB11}" filter="1" showAutoFilter="1">
      <autoFilter ref="$A$1:$X$407"/>
    </customSheetView>
    <customSheetView guid="{9BA04A38-02DA-4F02-BBBB-302FC15326E0}" filter="1" showAutoFilter="1">
      <autoFilter ref="$A$1:$X$407">
        <filterColumn colId="14">
          <filters>
            <filter val="AH-"/>
            <filter val="DC"/>
          </filters>
        </filterColumn>
      </autoFilter>
    </customSheetView>
    <customSheetView guid="{BA551338-6311-4C02-9137-137E692B7D93}" filter="1" showAutoFilter="1">
      <autoFilter ref="$A$1:$X$407">
        <filterColumn colId="16">
          <filters>
            <filter val="4.00"/>
            <filter val="10.50"/>
            <filter val="10.00"/>
            <filter val="0.00"/>
            <filter val="0.75"/>
            <filter val="2.00"/>
            <filter val="1.00"/>
            <filter val="0.50"/>
            <filter val="-6.50"/>
            <filter val="-2.50"/>
            <filter val="-0.50"/>
            <filter val="-2.75"/>
            <filter val="0.25"/>
            <filter val="-2.00"/>
            <filter val="-0.75"/>
            <filter val="-3.00"/>
            <filter val="-2.25"/>
            <filter val="-0.25"/>
          </filters>
        </filterColumn>
      </autoFilter>
    </customSheetView>
    <customSheetView guid="{3D13BECD-F97B-4CC8-B9FC-728C2CBFEBF1}" filter="1" showAutoFilter="1">
      <autoFilter ref="$A$1:$X$407">
        <filterColumn colId="12">
          <filters>
            <filter val="Finlândia"/>
            <filter val="Camp. Carioca"/>
            <filter val="Suécia"/>
            <filter val="Letônia"/>
            <filter val="Granada"/>
            <filter val="Vietnã"/>
            <filter val="Mali"/>
            <filter val="Amist. Intern."/>
            <filter val="Panamá"/>
            <filter val="Máli"/>
            <filter val="Camp. Mineiro"/>
            <filter val="Islândia"/>
            <filter val="Filipinas"/>
            <filter val="Malásia"/>
            <filter val="USA"/>
            <filter val="Argentina"/>
            <filter val="Japão"/>
            <filter val="México"/>
            <filter val="Moçambique"/>
            <filter val="Colômbia"/>
            <filter val="Cazaquistão"/>
            <filter val="Malauí"/>
            <filter val="Zimbábue"/>
            <filter val="Uruguai"/>
            <filter val="Austrália"/>
            <filter val="CECAFA"/>
            <filter val="Paraguai"/>
            <filter val="Peru"/>
          </filters>
        </filterColumn>
      </autoFilter>
    </customSheetView>
    <customSheetView guid="{978C25F2-69C0-4E3B-8EFC-6A6EC3E48DD3}" filter="1" showAutoFilter="1">
      <autoFilter ref="$A$1:$AB$407"/>
    </customSheetView>
  </customSheetViews>
  <mergeCells count="14">
    <mergeCell ref="Z67:AB67"/>
    <mergeCell ref="Z68:AB68"/>
    <mergeCell ref="Z69:AB69"/>
    <mergeCell ref="Z70:AB70"/>
    <mergeCell ref="Z71:AB71"/>
    <mergeCell ref="Z72:AB72"/>
    <mergeCell ref="Z73:AB73"/>
    <mergeCell ref="Z60:AB60"/>
    <mergeCell ref="Z61:AB61"/>
    <mergeCell ref="Z62:AB62"/>
    <mergeCell ref="Z63:AB63"/>
    <mergeCell ref="Z64:AB64"/>
    <mergeCell ref="Z65:AB65"/>
    <mergeCell ref="Z66:AB66"/>
  </mergeCells>
  <conditionalFormatting sqref="V2:V500">
    <cfRule type="cellIs" dxfId="0" priority="1" operator="equal">
      <formula>"Ganha"</formula>
    </cfRule>
  </conditionalFormatting>
  <conditionalFormatting sqref="V2:V500">
    <cfRule type="cellIs" dxfId="1" priority="2" operator="equal">
      <formula>"Ganha/devolvida"</formula>
    </cfRule>
  </conditionalFormatting>
  <conditionalFormatting sqref="V2:V500">
    <cfRule type="cellIs" dxfId="2" priority="3" operator="equal">
      <formula>"Devolvida"</formula>
    </cfRule>
  </conditionalFormatting>
  <conditionalFormatting sqref="V2:V500">
    <cfRule type="cellIs" dxfId="3" priority="4" operator="equal">
      <formula>"Perdida/devolvida"</formula>
    </cfRule>
  </conditionalFormatting>
  <conditionalFormatting sqref="V2:V500">
    <cfRule type="cellIs" dxfId="4" priority="5" operator="equal">
      <formula>"Perdida"</formula>
    </cfRule>
  </conditionalFormatting>
  <conditionalFormatting sqref="W2:W457 X2:X999 AA2:AA35">
    <cfRule type="cellIs" dxfId="0" priority="6" operator="greaterThan">
      <formula>0</formula>
    </cfRule>
  </conditionalFormatting>
  <conditionalFormatting sqref="W2:W457 X2:X999 AA2:AA35">
    <cfRule type="cellIs" dxfId="4" priority="7" operator="lessThan">
      <formula>0</formula>
    </cfRule>
  </conditionalFormatting>
  <conditionalFormatting sqref="W2:W999 X2:X13 AA2:AA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3.75"/>
    <col customWidth="1" min="6" max="6" width="60.88"/>
    <col customWidth="1" min="7" max="10" width="6.38"/>
    <col customWidth="1" min="11" max="11" width="5.5"/>
    <col customWidth="1" min="12" max="12" width="8.0"/>
    <col customWidth="1" min="13" max="13" width="11.25"/>
    <col customWidth="1" min="14" max="14" width="4.5"/>
    <col customWidth="1" min="15" max="15" width="8.13"/>
    <col customWidth="1" min="16" max="16" width="9.5"/>
    <col customWidth="1" min="17" max="20" width="5.88"/>
    <col customWidth="1" min="21" max="21" width="6.5"/>
    <col customWidth="1" min="22" max="22" width="14.75"/>
    <col customWidth="1" min="23" max="23" width="10.75"/>
    <col customWidth="1" min="24" max="24" width="7.25"/>
    <col customWidth="1" min="25" max="25" width="4.13"/>
    <col customWidth="1" min="26" max="26" width="6.25"/>
    <col customWidth="1" min="27" max="27" width="6.5"/>
    <col customWidth="1" min="28" max="28" width="11.63"/>
  </cols>
  <sheetData>
    <row r="1">
      <c r="A1" s="1" t="s">
        <v>5560</v>
      </c>
      <c r="B1" s="2" t="s">
        <v>1</v>
      </c>
      <c r="C1" s="2" t="s">
        <v>2</v>
      </c>
      <c r="D1" s="2" t="s">
        <v>1462</v>
      </c>
      <c r="E1" s="2" t="s">
        <v>1480</v>
      </c>
      <c r="F1" s="3" t="s">
        <v>3</v>
      </c>
      <c r="G1" s="2" t="s">
        <v>1463</v>
      </c>
      <c r="H1" s="2" t="s">
        <v>1464</v>
      </c>
      <c r="I1" s="2" t="s">
        <v>1465</v>
      </c>
      <c r="J1" s="2" t="s">
        <v>1466</v>
      </c>
      <c r="K1" s="2" t="s">
        <v>1467</v>
      </c>
      <c r="L1" s="2" t="s">
        <v>1468</v>
      </c>
      <c r="M1" s="3" t="s">
        <v>4</v>
      </c>
      <c r="N1" s="3" t="s">
        <v>5</v>
      </c>
      <c r="O1" s="3" t="s">
        <v>6</v>
      </c>
      <c r="P1" s="2" t="s">
        <v>7</v>
      </c>
      <c r="Q1" s="4" t="s">
        <v>8</v>
      </c>
      <c r="R1" s="5" t="s">
        <v>9</v>
      </c>
      <c r="S1" s="4" t="s">
        <v>10</v>
      </c>
      <c r="T1" s="6" t="s">
        <v>11</v>
      </c>
      <c r="U1" s="97" t="s">
        <v>12</v>
      </c>
      <c r="V1" s="3" t="s">
        <v>13</v>
      </c>
      <c r="W1" s="4" t="s">
        <v>2372</v>
      </c>
      <c r="X1" s="4" t="s">
        <v>15</v>
      </c>
      <c r="Z1" s="3" t="s">
        <v>16</v>
      </c>
      <c r="AA1" s="3" t="s">
        <v>15</v>
      </c>
      <c r="AB1" s="3" t="s">
        <v>17</v>
      </c>
    </row>
    <row r="2">
      <c r="A2" s="8">
        <f>1</f>
        <v>1</v>
      </c>
      <c r="B2" s="8" t="s">
        <v>18</v>
      </c>
      <c r="C2" s="8" t="s">
        <v>40</v>
      </c>
      <c r="D2" s="8">
        <v>81.0</v>
      </c>
      <c r="E2" s="8">
        <v>3.0</v>
      </c>
      <c r="F2" s="8" t="s">
        <v>5270</v>
      </c>
      <c r="G2" s="8" t="s">
        <v>5553</v>
      </c>
      <c r="H2" s="8" t="s">
        <v>5553</v>
      </c>
      <c r="I2" s="8" t="s">
        <v>1</v>
      </c>
      <c r="J2" s="8" t="s">
        <v>1473</v>
      </c>
      <c r="K2" s="8" t="s">
        <v>1480</v>
      </c>
      <c r="L2" s="8">
        <v>-1.0</v>
      </c>
      <c r="M2" s="8" t="s">
        <v>28</v>
      </c>
      <c r="N2" s="8" t="s">
        <v>22</v>
      </c>
      <c r="O2" s="8" t="s">
        <v>892</v>
      </c>
      <c r="P2" s="8" t="s">
        <v>24</v>
      </c>
      <c r="Q2" s="9">
        <v>0.0</v>
      </c>
      <c r="R2" s="9">
        <v>0.4</v>
      </c>
      <c r="S2" s="9">
        <v>0.4</v>
      </c>
      <c r="T2" s="10">
        <v>45444.0</v>
      </c>
      <c r="U2" s="11">
        <v>2.5</v>
      </c>
      <c r="V2" s="8" t="s">
        <v>33</v>
      </c>
      <c r="W2" s="12">
        <f t="shared" ref="W2:W394" si="1">IF(V2="ganha",(S2*(U2-1)),IF(V2="perdida",-S2,IF(V2="devolvida",0,IF(V2="ganha/devolvida",((S2*(U2-1)))/2,IF(V2="perdida/devolvida",-S2/2,IF(V2="Aguardando",0,""))))))</f>
        <v>0.6</v>
      </c>
      <c r="X2" s="12">
        <f>W2</f>
        <v>0.6</v>
      </c>
      <c r="Z2" s="66">
        <v>45444.0</v>
      </c>
      <c r="AA2" s="13">
        <f t="shared" ref="AA2:AA32" si="2">SUMIF($T$2:$T$2981,Z2,$W$2:$W$2981)</f>
        <v>0.45625</v>
      </c>
      <c r="AB2" s="14">
        <f>SUMIF($V$2:$V$2981,"Aguardando",$S$2:$S$2981)</f>
        <v>0</v>
      </c>
    </row>
    <row r="3" ht="16.5" customHeight="1">
      <c r="A3" s="15">
        <f t="shared" ref="A3:A406" si="3">A2+1</f>
        <v>2</v>
      </c>
      <c r="B3" s="15" t="s">
        <v>129</v>
      </c>
      <c r="C3" s="15" t="s">
        <v>19</v>
      </c>
      <c r="D3" s="15">
        <v>77.0</v>
      </c>
      <c r="E3" s="15">
        <v>3.0</v>
      </c>
      <c r="F3" s="15" t="s">
        <v>5271</v>
      </c>
      <c r="G3" s="15">
        <v>8.0</v>
      </c>
      <c r="H3" s="15">
        <v>3.0</v>
      </c>
      <c r="I3" s="110">
        <f>26/(15*2)</f>
        <v>0.8666666667</v>
      </c>
      <c r="J3" s="15" t="s">
        <v>1479</v>
      </c>
      <c r="K3" s="15" t="s">
        <v>1480</v>
      </c>
      <c r="L3" s="15">
        <v>-2.0</v>
      </c>
      <c r="M3" s="15" t="s">
        <v>44</v>
      </c>
      <c r="N3" s="15" t="s">
        <v>22</v>
      </c>
      <c r="O3" s="15" t="s">
        <v>892</v>
      </c>
      <c r="P3" s="15" t="s">
        <v>24</v>
      </c>
      <c r="Q3" s="16">
        <v>0.0</v>
      </c>
      <c r="R3" s="16">
        <v>0.5</v>
      </c>
      <c r="S3" s="16">
        <v>0.48</v>
      </c>
      <c r="T3" s="17">
        <v>45444.0</v>
      </c>
      <c r="U3" s="18">
        <v>2.0</v>
      </c>
      <c r="V3" s="15" t="s">
        <v>70</v>
      </c>
      <c r="W3" s="19">
        <f t="shared" si="1"/>
        <v>0</v>
      </c>
      <c r="X3" s="19">
        <f t="shared" ref="X3:X358" si="4">X2+W3</f>
        <v>0.6</v>
      </c>
      <c r="Z3" s="66">
        <v>45445.0</v>
      </c>
      <c r="AA3" s="13">
        <f t="shared" si="2"/>
        <v>-0.05495</v>
      </c>
    </row>
    <row r="4">
      <c r="A4" s="8">
        <f t="shared" si="3"/>
        <v>3</v>
      </c>
      <c r="B4" s="8" t="s">
        <v>26</v>
      </c>
      <c r="C4" s="8" t="s">
        <v>19</v>
      </c>
      <c r="D4" s="8">
        <v>73.0</v>
      </c>
      <c r="E4" s="8">
        <v>9.0</v>
      </c>
      <c r="F4" s="8" t="s">
        <v>5272</v>
      </c>
      <c r="G4" s="8"/>
      <c r="H4" s="8"/>
      <c r="I4" s="111"/>
      <c r="J4" s="8"/>
      <c r="K4" s="8"/>
      <c r="L4" s="8"/>
      <c r="M4" s="8" t="s">
        <v>1368</v>
      </c>
      <c r="N4" s="8" t="s">
        <v>22</v>
      </c>
      <c r="O4" s="8" t="s">
        <v>440</v>
      </c>
      <c r="P4" s="8" t="s">
        <v>24</v>
      </c>
      <c r="Q4" s="9">
        <v>6.75</v>
      </c>
      <c r="R4" s="9">
        <v>0.1</v>
      </c>
      <c r="S4" s="9">
        <v>0.1</v>
      </c>
      <c r="T4" s="10">
        <v>45444.0</v>
      </c>
      <c r="U4" s="11">
        <v>1.775</v>
      </c>
      <c r="V4" s="8" t="s">
        <v>33</v>
      </c>
      <c r="W4" s="12">
        <f t="shared" si="1"/>
        <v>0.0775</v>
      </c>
      <c r="X4" s="12">
        <f t="shared" si="4"/>
        <v>0.6775</v>
      </c>
      <c r="Z4" s="66">
        <v>45446.0</v>
      </c>
      <c r="AA4" s="13">
        <f t="shared" si="2"/>
        <v>0</v>
      </c>
      <c r="AB4" s="3" t="s">
        <v>34</v>
      </c>
    </row>
    <row r="5">
      <c r="A5" s="15">
        <f t="shared" si="3"/>
        <v>4</v>
      </c>
      <c r="B5" s="15" t="s">
        <v>18</v>
      </c>
      <c r="C5" s="15" t="s">
        <v>19</v>
      </c>
      <c r="D5" s="15">
        <v>25.0</v>
      </c>
      <c r="E5" s="15">
        <v>2.0</v>
      </c>
      <c r="F5" s="15" t="s">
        <v>5273</v>
      </c>
      <c r="G5" s="15" t="s">
        <v>5553</v>
      </c>
      <c r="H5" s="15" t="s">
        <v>5553</v>
      </c>
      <c r="I5" s="15" t="s">
        <v>5553</v>
      </c>
      <c r="J5" s="15" t="s">
        <v>1473</v>
      </c>
      <c r="K5" s="15" t="s">
        <v>1474</v>
      </c>
      <c r="L5" s="15">
        <v>3.0</v>
      </c>
      <c r="M5" s="15" t="s">
        <v>93</v>
      </c>
      <c r="N5" s="15" t="s">
        <v>22</v>
      </c>
      <c r="O5" s="15" t="s">
        <v>225</v>
      </c>
      <c r="P5" s="15" t="s">
        <v>24</v>
      </c>
      <c r="Q5" s="16">
        <v>0.5</v>
      </c>
      <c r="R5" s="16">
        <v>0.6</v>
      </c>
      <c r="S5" s="16">
        <v>0.3</v>
      </c>
      <c r="T5" s="17">
        <v>45444.0</v>
      </c>
      <c r="U5" s="18">
        <v>1.75</v>
      </c>
      <c r="V5" s="15" t="s">
        <v>25</v>
      </c>
      <c r="W5" s="19">
        <f t="shared" si="1"/>
        <v>-0.3</v>
      </c>
      <c r="X5" s="19">
        <f t="shared" si="4"/>
        <v>0.3775</v>
      </c>
      <c r="Z5" s="66">
        <v>45447.0</v>
      </c>
      <c r="AA5" s="13">
        <f t="shared" si="2"/>
        <v>-0.03914</v>
      </c>
      <c r="AB5" s="20">
        <f>sum(S2:S1014)</f>
        <v>46.14698925</v>
      </c>
    </row>
    <row r="6">
      <c r="A6" s="8">
        <f t="shared" si="3"/>
        <v>5</v>
      </c>
      <c r="B6" s="8" t="s">
        <v>26</v>
      </c>
      <c r="C6" s="8" t="s">
        <v>19</v>
      </c>
      <c r="D6" s="8">
        <v>65.0</v>
      </c>
      <c r="E6" s="8">
        <v>9.0</v>
      </c>
      <c r="F6" s="8" t="s">
        <v>5274</v>
      </c>
      <c r="G6" s="8">
        <v>2.0</v>
      </c>
      <c r="H6" s="8">
        <v>8.0</v>
      </c>
      <c r="I6" s="111">
        <f>34/(19*2)</f>
        <v>0.8947368421</v>
      </c>
      <c r="J6" s="8"/>
      <c r="K6" s="8"/>
      <c r="L6" s="8"/>
      <c r="M6" s="8" t="s">
        <v>191</v>
      </c>
      <c r="N6" s="8" t="s">
        <v>22</v>
      </c>
      <c r="O6" s="8" t="s">
        <v>440</v>
      </c>
      <c r="P6" s="8" t="s">
        <v>39</v>
      </c>
      <c r="Q6" s="9">
        <v>2.75</v>
      </c>
      <c r="R6" s="9">
        <v>0.1</v>
      </c>
      <c r="S6" s="9">
        <v>0.1</v>
      </c>
      <c r="T6" s="10">
        <v>45444.0</v>
      </c>
      <c r="U6" s="11">
        <v>1.7</v>
      </c>
      <c r="V6" s="8" t="s">
        <v>30</v>
      </c>
      <c r="W6" s="12">
        <f t="shared" si="1"/>
        <v>0.035</v>
      </c>
      <c r="X6" s="12">
        <f t="shared" si="4"/>
        <v>0.4125</v>
      </c>
      <c r="Z6" s="66">
        <v>45448.0</v>
      </c>
      <c r="AA6" s="13">
        <f t="shared" si="2"/>
        <v>0</v>
      </c>
    </row>
    <row r="7">
      <c r="A7" s="15">
        <f t="shared" si="3"/>
        <v>6</v>
      </c>
      <c r="B7" s="15" t="s">
        <v>4225</v>
      </c>
      <c r="C7" s="15" t="s">
        <v>19</v>
      </c>
      <c r="D7" s="15">
        <v>17.0</v>
      </c>
      <c r="E7" s="15">
        <v>13.0</v>
      </c>
      <c r="F7" s="15" t="s">
        <v>5275</v>
      </c>
      <c r="G7" s="15">
        <v>14.0</v>
      </c>
      <c r="H7" s="15">
        <v>4.0</v>
      </c>
      <c r="I7" s="110">
        <f>26/(15*2)</f>
        <v>0.8666666667</v>
      </c>
      <c r="J7" s="15" t="s">
        <v>1473</v>
      </c>
      <c r="K7" s="15" t="s">
        <v>1474</v>
      </c>
      <c r="L7" s="15">
        <v>0.0</v>
      </c>
      <c r="M7" s="15" t="s">
        <v>248</v>
      </c>
      <c r="N7" s="15" t="s">
        <v>22</v>
      </c>
      <c r="O7" s="15" t="s">
        <v>225</v>
      </c>
      <c r="P7" s="15" t="s">
        <v>24</v>
      </c>
      <c r="Q7" s="16">
        <v>0.5</v>
      </c>
      <c r="R7" s="16">
        <v>0.2</v>
      </c>
      <c r="S7" s="16">
        <v>0.2</v>
      </c>
      <c r="T7" s="17">
        <v>45444.0</v>
      </c>
      <c r="U7" s="18">
        <v>1.775</v>
      </c>
      <c r="V7" s="15" t="s">
        <v>25</v>
      </c>
      <c r="W7" s="19">
        <f t="shared" si="1"/>
        <v>-0.2</v>
      </c>
      <c r="X7" s="19">
        <f t="shared" si="4"/>
        <v>0.2125</v>
      </c>
      <c r="Z7" s="66">
        <v>45449.0</v>
      </c>
      <c r="AA7" s="13">
        <f t="shared" si="2"/>
        <v>0</v>
      </c>
      <c r="AB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>
        <v>67.0</v>
      </c>
      <c r="E8" s="8">
        <v>9.0</v>
      </c>
      <c r="F8" s="8" t="s">
        <v>5276</v>
      </c>
      <c r="G8" s="8">
        <v>2.0</v>
      </c>
      <c r="H8" s="8">
        <v>10.0</v>
      </c>
      <c r="I8" s="109">
        <v>1.0</v>
      </c>
      <c r="J8" s="8"/>
      <c r="K8" s="8"/>
      <c r="L8" s="8"/>
      <c r="M8" s="8" t="s">
        <v>231</v>
      </c>
      <c r="N8" s="8" t="s">
        <v>22</v>
      </c>
      <c r="O8" s="8" t="s">
        <v>440</v>
      </c>
      <c r="P8" s="8" t="s">
        <v>1803</v>
      </c>
      <c r="Q8" s="9">
        <v>0.75</v>
      </c>
      <c r="R8" s="9">
        <v>0.25</v>
      </c>
      <c r="S8" s="9">
        <v>0.25</v>
      </c>
      <c r="T8" s="10">
        <v>45444.0</v>
      </c>
      <c r="U8" s="11">
        <v>1.75</v>
      </c>
      <c r="V8" s="8" t="s">
        <v>30</v>
      </c>
      <c r="W8" s="12">
        <f t="shared" si="1"/>
        <v>0.09375</v>
      </c>
      <c r="X8" s="12">
        <f t="shared" si="4"/>
        <v>0.30625</v>
      </c>
      <c r="Z8" s="66">
        <v>45450.0</v>
      </c>
      <c r="AA8" s="13">
        <f t="shared" si="2"/>
        <v>0.6167</v>
      </c>
      <c r="AB8" s="21">
        <f>AA33/(SUM(S2:S4934)-AB2)</f>
        <v>0.1281479457</v>
      </c>
    </row>
    <row r="9">
      <c r="A9" s="15">
        <f t="shared" si="3"/>
        <v>8</v>
      </c>
      <c r="B9" s="15" t="s">
        <v>26</v>
      </c>
      <c r="C9" s="15" t="s">
        <v>19</v>
      </c>
      <c r="D9" s="15">
        <v>60.0</v>
      </c>
      <c r="E9" s="15">
        <v>2.0</v>
      </c>
      <c r="F9" s="15" t="s">
        <v>5277</v>
      </c>
      <c r="G9" s="15">
        <v>3.0</v>
      </c>
      <c r="H9" s="15">
        <v>1.0</v>
      </c>
      <c r="I9" s="110">
        <v>1.0</v>
      </c>
      <c r="J9" s="15" t="s">
        <v>1473</v>
      </c>
      <c r="K9" s="15" t="s">
        <v>1474</v>
      </c>
      <c r="L9" s="15">
        <v>1.0</v>
      </c>
      <c r="M9" s="15" t="s">
        <v>635</v>
      </c>
      <c r="N9" s="15" t="s">
        <v>22</v>
      </c>
      <c r="O9" s="15" t="s">
        <v>225</v>
      </c>
      <c r="P9" s="15" t="s">
        <v>24</v>
      </c>
      <c r="Q9" s="16">
        <v>0.5</v>
      </c>
      <c r="R9" s="16">
        <v>0.2</v>
      </c>
      <c r="S9" s="16">
        <v>0.2</v>
      </c>
      <c r="T9" s="17">
        <v>45444.0</v>
      </c>
      <c r="U9" s="18">
        <v>1.75</v>
      </c>
      <c r="V9" s="15" t="s">
        <v>33</v>
      </c>
      <c r="W9" s="19">
        <f t="shared" si="1"/>
        <v>0.15</v>
      </c>
      <c r="X9" s="19">
        <f t="shared" si="4"/>
        <v>0.45625</v>
      </c>
      <c r="Z9" s="66">
        <v>45451.0</v>
      </c>
      <c r="AA9" s="13">
        <f t="shared" si="2"/>
        <v>0.48275</v>
      </c>
    </row>
    <row r="10">
      <c r="A10" s="8">
        <f t="shared" si="3"/>
        <v>9</v>
      </c>
      <c r="B10" s="8" t="s">
        <v>26</v>
      </c>
      <c r="C10" s="8" t="s">
        <v>19</v>
      </c>
      <c r="D10" s="8">
        <v>70.0</v>
      </c>
      <c r="E10" s="8">
        <v>2.0</v>
      </c>
      <c r="F10" s="8" t="s">
        <v>5278</v>
      </c>
      <c r="G10" s="8"/>
      <c r="H10" s="8"/>
      <c r="I10" s="8"/>
      <c r="J10" s="8" t="s">
        <v>1479</v>
      </c>
      <c r="K10" s="8" t="s">
        <v>1474</v>
      </c>
      <c r="L10" s="8">
        <v>-2.0</v>
      </c>
      <c r="M10" s="8" t="s">
        <v>316</v>
      </c>
      <c r="N10" s="8" t="s">
        <v>22</v>
      </c>
      <c r="O10" s="8" t="s">
        <v>225</v>
      </c>
      <c r="P10" s="8" t="s">
        <v>24</v>
      </c>
      <c r="Q10" s="9">
        <v>0.25</v>
      </c>
      <c r="R10" s="9">
        <v>0.5</v>
      </c>
      <c r="S10" s="9">
        <v>0.5</v>
      </c>
      <c r="T10" s="10">
        <v>45445.0</v>
      </c>
      <c r="U10" s="11">
        <v>1.9</v>
      </c>
      <c r="V10" s="8" t="s">
        <v>33</v>
      </c>
      <c r="W10" s="12">
        <f t="shared" si="1"/>
        <v>0.45</v>
      </c>
      <c r="X10" s="12">
        <f t="shared" si="4"/>
        <v>0.90625</v>
      </c>
      <c r="Z10" s="66">
        <v>45452.0</v>
      </c>
      <c r="AA10" s="13">
        <f t="shared" si="2"/>
        <v>0.12</v>
      </c>
      <c r="AB10" s="2" t="s">
        <v>51</v>
      </c>
    </row>
    <row r="11">
      <c r="A11" s="15">
        <f t="shared" si="3"/>
        <v>10</v>
      </c>
      <c r="B11" s="15" t="s">
        <v>129</v>
      </c>
      <c r="C11" s="15" t="s">
        <v>19</v>
      </c>
      <c r="D11" s="15">
        <v>71.0</v>
      </c>
      <c r="E11" s="15">
        <v>3.0</v>
      </c>
      <c r="F11" s="15" t="s">
        <v>5279</v>
      </c>
      <c r="G11" s="15"/>
      <c r="H11" s="15"/>
      <c r="I11" s="110"/>
      <c r="J11" s="15" t="s">
        <v>1473</v>
      </c>
      <c r="K11" s="15" t="s">
        <v>1480</v>
      </c>
      <c r="L11" s="15">
        <v>-1.0</v>
      </c>
      <c r="M11" s="15" t="s">
        <v>42</v>
      </c>
      <c r="N11" s="15" t="s">
        <v>22</v>
      </c>
      <c r="O11" s="15" t="s">
        <v>892</v>
      </c>
      <c r="P11" s="15" t="s">
        <v>24</v>
      </c>
      <c r="Q11" s="16">
        <v>0.0</v>
      </c>
      <c r="R11" s="16">
        <v>0.2</v>
      </c>
      <c r="S11" s="16">
        <v>0.2</v>
      </c>
      <c r="T11" s="17">
        <v>45445.0</v>
      </c>
      <c r="U11" s="18">
        <v>1.9</v>
      </c>
      <c r="V11" s="15" t="s">
        <v>70</v>
      </c>
      <c r="W11" s="19">
        <f t="shared" si="1"/>
        <v>0</v>
      </c>
      <c r="X11" s="19">
        <f t="shared" si="4"/>
        <v>0.90625</v>
      </c>
      <c r="Z11" s="66">
        <v>45453.0</v>
      </c>
      <c r="AA11" s="13">
        <f t="shared" si="2"/>
        <v>0.4625</v>
      </c>
      <c r="AB11" s="14">
        <f>average(S2:S1000)</f>
        <v>0.3160752688</v>
      </c>
    </row>
    <row r="12">
      <c r="A12" s="8">
        <f t="shared" si="3"/>
        <v>11</v>
      </c>
      <c r="B12" s="8" t="s">
        <v>18</v>
      </c>
      <c r="C12" s="8" t="s">
        <v>19</v>
      </c>
      <c r="D12" s="8">
        <v>26.0</v>
      </c>
      <c r="E12" s="8">
        <v>3.0</v>
      </c>
      <c r="F12" s="8" t="s">
        <v>5280</v>
      </c>
      <c r="G12" s="8">
        <v>11.0</v>
      </c>
      <c r="H12" s="8">
        <v>8.0</v>
      </c>
      <c r="I12" s="111">
        <v>0.955</v>
      </c>
      <c r="J12" s="8" t="s">
        <v>1473</v>
      </c>
      <c r="K12" s="8" t="s">
        <v>1480</v>
      </c>
      <c r="L12" s="8">
        <v>-1.0</v>
      </c>
      <c r="M12" s="8" t="s">
        <v>316</v>
      </c>
      <c r="N12" s="8" t="s">
        <v>22</v>
      </c>
      <c r="O12" s="8" t="s">
        <v>1150</v>
      </c>
      <c r="P12" s="8" t="s">
        <v>24</v>
      </c>
      <c r="Q12" s="9">
        <v>0.0</v>
      </c>
      <c r="R12" s="9">
        <v>0.2</v>
      </c>
      <c r="S12" s="9">
        <v>0.2</v>
      </c>
      <c r="T12" s="10">
        <v>45445.0</v>
      </c>
      <c r="U12" s="11">
        <v>2.0</v>
      </c>
      <c r="V12" s="8" t="s">
        <v>25</v>
      </c>
      <c r="W12" s="12">
        <f t="shared" si="1"/>
        <v>-0.2</v>
      </c>
      <c r="X12" s="12">
        <f t="shared" si="4"/>
        <v>0.70625</v>
      </c>
      <c r="Z12" s="66">
        <v>45454.0</v>
      </c>
      <c r="AA12" s="13">
        <f t="shared" si="2"/>
        <v>-0.02739285714</v>
      </c>
    </row>
    <row r="13">
      <c r="A13" s="15">
        <f t="shared" si="3"/>
        <v>12</v>
      </c>
      <c r="B13" s="15" t="s">
        <v>26</v>
      </c>
      <c r="C13" s="15" t="s">
        <v>40</v>
      </c>
      <c r="D13" s="15">
        <v>56.0</v>
      </c>
      <c r="E13" s="15">
        <v>3.0</v>
      </c>
      <c r="F13" s="15" t="s">
        <v>5281</v>
      </c>
      <c r="G13" s="15"/>
      <c r="H13" s="15"/>
      <c r="I13" s="110"/>
      <c r="J13" s="15" t="s">
        <v>1479</v>
      </c>
      <c r="K13" s="15" t="s">
        <v>1480</v>
      </c>
      <c r="L13" s="15">
        <v>3.0</v>
      </c>
      <c r="M13" s="15" t="s">
        <v>683</v>
      </c>
      <c r="N13" s="15" t="s">
        <v>22</v>
      </c>
      <c r="O13" s="15" t="s">
        <v>892</v>
      </c>
      <c r="P13" s="15" t="s">
        <v>24</v>
      </c>
      <c r="Q13" s="16">
        <v>0.0</v>
      </c>
      <c r="R13" s="16">
        <v>0.6</v>
      </c>
      <c r="S13" s="16">
        <v>0.46</v>
      </c>
      <c r="T13" s="17">
        <v>45445.0</v>
      </c>
      <c r="U13" s="18">
        <v>1.8</v>
      </c>
      <c r="V13" s="15" t="s">
        <v>70</v>
      </c>
      <c r="W13" s="19">
        <f t="shared" si="1"/>
        <v>0</v>
      </c>
      <c r="X13" s="19">
        <f t="shared" si="4"/>
        <v>0.70625</v>
      </c>
      <c r="Z13" s="66">
        <v>45455.0</v>
      </c>
      <c r="AA13" s="13">
        <f t="shared" si="2"/>
        <v>-0.35</v>
      </c>
      <c r="AB13" s="2" t="s">
        <v>55</v>
      </c>
    </row>
    <row r="14">
      <c r="A14" s="8">
        <f t="shared" si="3"/>
        <v>13</v>
      </c>
      <c r="B14" s="8" t="s">
        <v>26</v>
      </c>
      <c r="C14" s="8" t="s">
        <v>19</v>
      </c>
      <c r="D14" s="8">
        <v>35.0</v>
      </c>
      <c r="E14" s="8">
        <v>3.0</v>
      </c>
      <c r="F14" s="8" t="s">
        <v>5282</v>
      </c>
      <c r="G14" s="8">
        <v>4.0</v>
      </c>
      <c r="H14" s="8">
        <v>3.0</v>
      </c>
      <c r="I14" s="111">
        <f>8/(13*2)</f>
        <v>0.3076923077</v>
      </c>
      <c r="J14" s="8" t="s">
        <v>1479</v>
      </c>
      <c r="K14" s="8" t="s">
        <v>1480</v>
      </c>
      <c r="L14" s="8">
        <v>0.0</v>
      </c>
      <c r="M14" s="8" t="s">
        <v>463</v>
      </c>
      <c r="N14" s="8" t="s">
        <v>22</v>
      </c>
      <c r="O14" s="8" t="s">
        <v>1150</v>
      </c>
      <c r="P14" s="8" t="s">
        <v>24</v>
      </c>
      <c r="Q14" s="9">
        <v>0.0</v>
      </c>
      <c r="R14" s="9">
        <v>0.75</v>
      </c>
      <c r="S14" s="9">
        <v>0.75</v>
      </c>
      <c r="T14" s="10">
        <v>45445.0</v>
      </c>
      <c r="U14" s="11">
        <v>1.8</v>
      </c>
      <c r="V14" s="8" t="s">
        <v>70</v>
      </c>
      <c r="W14" s="12">
        <f t="shared" si="1"/>
        <v>0</v>
      </c>
      <c r="X14" s="12">
        <f t="shared" si="4"/>
        <v>0.70625</v>
      </c>
      <c r="Z14" s="66">
        <v>45456.0</v>
      </c>
      <c r="AA14" s="13">
        <f t="shared" si="2"/>
        <v>1.072161905</v>
      </c>
      <c r="AB14" s="21">
        <f>(SUMPRODUCT(--(R2:R1000 = S2:S1000))-countif(R2:R1000,""))/countif(R2:R1000,"&gt;0")</f>
        <v>0.8356164384</v>
      </c>
    </row>
    <row r="15">
      <c r="A15" s="15">
        <f t="shared" si="3"/>
        <v>14</v>
      </c>
      <c r="B15" s="15" t="s">
        <v>26</v>
      </c>
      <c r="C15" s="15" t="s">
        <v>19</v>
      </c>
      <c r="D15" s="15">
        <v>83.0</v>
      </c>
      <c r="E15" s="15">
        <v>3.0</v>
      </c>
      <c r="F15" s="15" t="s">
        <v>5283</v>
      </c>
      <c r="G15" s="15">
        <v>16.0</v>
      </c>
      <c r="H15" s="15">
        <v>5.0</v>
      </c>
      <c r="I15" s="110">
        <f>31/(17*2)</f>
        <v>0.9117647059</v>
      </c>
      <c r="J15" s="15" t="s">
        <v>1479</v>
      </c>
      <c r="K15" s="15" t="s">
        <v>1480</v>
      </c>
      <c r="L15" s="15">
        <v>0.0</v>
      </c>
      <c r="M15" s="15" t="s">
        <v>44</v>
      </c>
      <c r="N15" s="15" t="s">
        <v>22</v>
      </c>
      <c r="O15" s="15" t="s">
        <v>892</v>
      </c>
      <c r="P15" s="15" t="s">
        <v>24</v>
      </c>
      <c r="Q15" s="16">
        <v>0.0</v>
      </c>
      <c r="R15" s="16">
        <v>0.25</v>
      </c>
      <c r="S15" s="16">
        <v>0.25</v>
      </c>
      <c r="T15" s="17">
        <v>45445.0</v>
      </c>
      <c r="U15" s="18">
        <v>1.675</v>
      </c>
      <c r="V15" s="15" t="s">
        <v>33</v>
      </c>
      <c r="W15" s="19">
        <f t="shared" si="1"/>
        <v>0.16875</v>
      </c>
      <c r="X15" s="19">
        <f t="shared" si="4"/>
        <v>0.875</v>
      </c>
      <c r="Z15" s="66">
        <v>45457.0</v>
      </c>
      <c r="AA15" s="13">
        <f t="shared" si="2"/>
        <v>0.3816</v>
      </c>
    </row>
    <row r="16">
      <c r="A16" s="8">
        <f t="shared" si="3"/>
        <v>15</v>
      </c>
      <c r="B16" s="8" t="s">
        <v>26</v>
      </c>
      <c r="C16" s="8" t="s">
        <v>19</v>
      </c>
      <c r="D16" s="8">
        <v>37.0</v>
      </c>
      <c r="E16" s="8">
        <v>3.0</v>
      </c>
      <c r="F16" s="8" t="s">
        <v>5284</v>
      </c>
      <c r="G16" s="8" t="s">
        <v>5553</v>
      </c>
      <c r="H16" s="8" t="s">
        <v>5553</v>
      </c>
      <c r="I16" s="8" t="s">
        <v>1479</v>
      </c>
      <c r="J16" s="8" t="s">
        <v>1473</v>
      </c>
      <c r="K16" s="8" t="s">
        <v>1480</v>
      </c>
      <c r="L16" s="8">
        <v>0.0</v>
      </c>
      <c r="M16" s="8" t="s">
        <v>93</v>
      </c>
      <c r="N16" s="8" t="s">
        <v>22</v>
      </c>
      <c r="O16" s="8" t="s">
        <v>1150</v>
      </c>
      <c r="P16" s="8" t="s">
        <v>24</v>
      </c>
      <c r="Q16" s="9">
        <v>0.0</v>
      </c>
      <c r="R16" s="9">
        <v>0.2</v>
      </c>
      <c r="S16" s="9">
        <v>0.2</v>
      </c>
      <c r="T16" s="10">
        <v>45445.0</v>
      </c>
      <c r="U16" s="11">
        <v>1.9</v>
      </c>
      <c r="V16" s="8" t="s">
        <v>70</v>
      </c>
      <c r="W16" s="12">
        <f t="shared" si="1"/>
        <v>0</v>
      </c>
      <c r="X16" s="12">
        <f t="shared" si="4"/>
        <v>0.875</v>
      </c>
      <c r="Z16" s="66">
        <v>45458.0</v>
      </c>
      <c r="AA16" s="13">
        <f t="shared" si="2"/>
        <v>0.9575</v>
      </c>
      <c r="AB16" s="2" t="s">
        <v>61</v>
      </c>
    </row>
    <row r="17">
      <c r="A17" s="15">
        <f t="shared" si="3"/>
        <v>16</v>
      </c>
      <c r="B17" s="15" t="s">
        <v>26</v>
      </c>
      <c r="C17" s="15" t="s">
        <v>19</v>
      </c>
      <c r="D17" s="15">
        <v>61.0</v>
      </c>
      <c r="E17" s="15">
        <v>9.0</v>
      </c>
      <c r="F17" s="15" t="s">
        <v>5285</v>
      </c>
      <c r="G17" s="15">
        <v>4.0</v>
      </c>
      <c r="H17" s="15">
        <v>12.0</v>
      </c>
      <c r="I17" s="110">
        <f>34/(19*2)</f>
        <v>0.8947368421</v>
      </c>
      <c r="J17" s="15"/>
      <c r="K17" s="15"/>
      <c r="L17" s="15"/>
      <c r="M17" s="15" t="s">
        <v>191</v>
      </c>
      <c r="N17" s="15" t="s">
        <v>22</v>
      </c>
      <c r="O17" s="15" t="s">
        <v>440</v>
      </c>
      <c r="P17" s="15" t="s">
        <v>39</v>
      </c>
      <c r="Q17" s="16">
        <v>0.75</v>
      </c>
      <c r="R17" s="16">
        <v>0.2</v>
      </c>
      <c r="S17" s="16">
        <v>0.2</v>
      </c>
      <c r="T17" s="17">
        <v>45445.0</v>
      </c>
      <c r="U17" s="18">
        <v>1.7</v>
      </c>
      <c r="V17" s="15" t="s">
        <v>33</v>
      </c>
      <c r="W17" s="19">
        <f t="shared" si="1"/>
        <v>0.14</v>
      </c>
      <c r="X17" s="19">
        <f t="shared" si="4"/>
        <v>1.015</v>
      </c>
      <c r="Z17" s="66">
        <v>45459.0</v>
      </c>
      <c r="AA17" s="13">
        <f t="shared" si="2"/>
        <v>-0.08261693548</v>
      </c>
      <c r="AB17" s="22">
        <f>average(U2:U200)</f>
        <v>1.786040745</v>
      </c>
    </row>
    <row r="18">
      <c r="A18" s="8">
        <f t="shared" si="3"/>
        <v>17</v>
      </c>
      <c r="B18" s="8" t="s">
        <v>18</v>
      </c>
      <c r="C18" s="8" t="s">
        <v>19</v>
      </c>
      <c r="D18" s="8">
        <v>19.0</v>
      </c>
      <c r="E18" s="8">
        <v>3.0</v>
      </c>
      <c r="F18" s="8" t="s">
        <v>5286</v>
      </c>
      <c r="G18" s="8">
        <v>5.0</v>
      </c>
      <c r="H18" s="8">
        <v>1.0</v>
      </c>
      <c r="I18" s="111">
        <f t="shared" ref="I18:I19" si="5">7/(5*2)</f>
        <v>0.7</v>
      </c>
      <c r="J18" s="8" t="s">
        <v>1473</v>
      </c>
      <c r="K18" s="8" t="s">
        <v>1480</v>
      </c>
      <c r="L18" s="8">
        <v>0.0</v>
      </c>
      <c r="M18" s="8" t="s">
        <v>82</v>
      </c>
      <c r="N18" s="8" t="s">
        <v>22</v>
      </c>
      <c r="O18" s="8" t="s">
        <v>1150</v>
      </c>
      <c r="P18" s="8" t="s">
        <v>24</v>
      </c>
      <c r="Q18" s="9">
        <v>0.0</v>
      </c>
      <c r="R18" s="9">
        <v>0.6</v>
      </c>
      <c r="S18" s="9">
        <v>0.57</v>
      </c>
      <c r="T18" s="10">
        <v>45445.0</v>
      </c>
      <c r="U18" s="11">
        <v>1.75</v>
      </c>
      <c r="V18" s="8" t="s">
        <v>25</v>
      </c>
      <c r="W18" s="12">
        <f t="shared" si="1"/>
        <v>-0.57</v>
      </c>
      <c r="X18" s="12">
        <f t="shared" si="4"/>
        <v>0.445</v>
      </c>
      <c r="Z18" s="66">
        <v>45460.0</v>
      </c>
      <c r="AA18" s="13">
        <f t="shared" si="2"/>
        <v>0</v>
      </c>
    </row>
    <row r="19">
      <c r="A19" s="15">
        <f t="shared" si="3"/>
        <v>18</v>
      </c>
      <c r="B19" s="15" t="s">
        <v>18</v>
      </c>
      <c r="C19" s="15" t="s">
        <v>19</v>
      </c>
      <c r="D19" s="15">
        <v>25.0</v>
      </c>
      <c r="E19" s="15">
        <v>3.0</v>
      </c>
      <c r="F19" s="15" t="s">
        <v>5287</v>
      </c>
      <c r="G19" s="15">
        <v>5.0</v>
      </c>
      <c r="H19" s="15">
        <v>1.0</v>
      </c>
      <c r="I19" s="110">
        <f t="shared" si="5"/>
        <v>0.7</v>
      </c>
      <c r="J19" s="15" t="s">
        <v>1473</v>
      </c>
      <c r="K19" s="15" t="s">
        <v>1480</v>
      </c>
      <c r="L19" s="15">
        <v>0.0</v>
      </c>
      <c r="M19" s="15" t="s">
        <v>82</v>
      </c>
      <c r="N19" s="15" t="s">
        <v>22</v>
      </c>
      <c r="O19" s="15" t="s">
        <v>892</v>
      </c>
      <c r="P19" s="15" t="s">
        <v>24</v>
      </c>
      <c r="Q19" s="16">
        <v>0.0</v>
      </c>
      <c r="R19" s="16">
        <v>0.2</v>
      </c>
      <c r="S19" s="16">
        <v>0.19</v>
      </c>
      <c r="T19" s="17">
        <v>45445.0</v>
      </c>
      <c r="U19" s="18">
        <v>1.75</v>
      </c>
      <c r="V19" s="15" t="s">
        <v>25</v>
      </c>
      <c r="W19" s="19">
        <f t="shared" si="1"/>
        <v>-0.19</v>
      </c>
      <c r="X19" s="19">
        <f t="shared" si="4"/>
        <v>0.255</v>
      </c>
      <c r="Z19" s="66">
        <v>45461.0</v>
      </c>
      <c r="AA19" s="13">
        <f t="shared" si="2"/>
        <v>0.39375</v>
      </c>
    </row>
    <row r="20">
      <c r="A20" s="8">
        <f t="shared" si="3"/>
        <v>19</v>
      </c>
      <c r="B20" s="8" t="s">
        <v>26</v>
      </c>
      <c r="C20" s="8" t="s">
        <v>19</v>
      </c>
      <c r="D20" s="8">
        <v>73.0</v>
      </c>
      <c r="E20" s="8">
        <v>7.0</v>
      </c>
      <c r="F20" s="8" t="s">
        <v>5288</v>
      </c>
      <c r="G20" s="8" t="s">
        <v>5553</v>
      </c>
      <c r="H20" s="8" t="s">
        <v>5553</v>
      </c>
      <c r="I20" s="8" t="s">
        <v>1479</v>
      </c>
      <c r="J20" s="8" t="s">
        <v>1473</v>
      </c>
      <c r="K20" s="8" t="s">
        <v>1474</v>
      </c>
      <c r="L20" s="8">
        <v>-1.0</v>
      </c>
      <c r="M20" s="8" t="s">
        <v>794</v>
      </c>
      <c r="N20" s="8" t="s">
        <v>22</v>
      </c>
      <c r="O20" s="8" t="s">
        <v>225</v>
      </c>
      <c r="P20" s="8" t="s">
        <v>24</v>
      </c>
      <c r="Q20" s="9">
        <v>0.5</v>
      </c>
      <c r="R20" s="9">
        <v>0.2</v>
      </c>
      <c r="S20" s="9">
        <v>0.19</v>
      </c>
      <c r="T20" s="54">
        <v>45445.0</v>
      </c>
      <c r="U20" s="11">
        <v>1.725</v>
      </c>
      <c r="V20" s="8" t="s">
        <v>25</v>
      </c>
      <c r="W20" s="12">
        <f t="shared" si="1"/>
        <v>-0.19</v>
      </c>
      <c r="X20" s="12">
        <f t="shared" si="4"/>
        <v>0.065</v>
      </c>
      <c r="Z20" s="66">
        <v>45462.0</v>
      </c>
      <c r="AA20" s="13">
        <f t="shared" si="2"/>
        <v>0.641</v>
      </c>
    </row>
    <row r="21">
      <c r="A21" s="15">
        <f t="shared" si="3"/>
        <v>20</v>
      </c>
      <c r="B21" s="15" t="s">
        <v>26</v>
      </c>
      <c r="C21" s="15" t="s">
        <v>19</v>
      </c>
      <c r="D21" s="15">
        <v>23.0</v>
      </c>
      <c r="E21" s="15">
        <v>2.0</v>
      </c>
      <c r="F21" s="15" t="s">
        <v>5289</v>
      </c>
      <c r="G21" s="15"/>
      <c r="H21" s="15"/>
      <c r="I21" s="15"/>
      <c r="J21" s="15" t="s">
        <v>1479</v>
      </c>
      <c r="K21" s="15" t="s">
        <v>1474</v>
      </c>
      <c r="L21" s="15">
        <v>1.0</v>
      </c>
      <c r="M21" s="15" t="s">
        <v>372</v>
      </c>
      <c r="N21" s="15" t="s">
        <v>22</v>
      </c>
      <c r="O21" s="15" t="s">
        <v>225</v>
      </c>
      <c r="P21" s="15" t="s">
        <v>1522</v>
      </c>
      <c r="Q21" s="16">
        <v>0.5</v>
      </c>
      <c r="R21" s="16">
        <v>0.6</v>
      </c>
      <c r="S21" s="16">
        <v>0.57</v>
      </c>
      <c r="T21" s="17">
        <v>45445.0</v>
      </c>
      <c r="U21" s="18">
        <v>1.59</v>
      </c>
      <c r="V21" s="15" t="s">
        <v>33</v>
      </c>
      <c r="W21" s="19">
        <f t="shared" si="1"/>
        <v>0.3363</v>
      </c>
      <c r="X21" s="19">
        <f t="shared" si="4"/>
        <v>0.4013</v>
      </c>
      <c r="Z21" s="66">
        <v>45463.0</v>
      </c>
      <c r="AA21" s="13">
        <f t="shared" si="2"/>
        <v>0.255</v>
      </c>
    </row>
    <row r="22">
      <c r="A22" s="8">
        <f t="shared" si="3"/>
        <v>21</v>
      </c>
      <c r="B22" s="8" t="s">
        <v>129</v>
      </c>
      <c r="C22" s="8" t="s">
        <v>40</v>
      </c>
      <c r="D22" s="8">
        <v>45.0</v>
      </c>
      <c r="E22" s="8">
        <v>3.0</v>
      </c>
      <c r="F22" s="8" t="s">
        <v>5290</v>
      </c>
      <c r="G22" s="8">
        <v>4.0</v>
      </c>
      <c r="H22" s="8">
        <v>1.0</v>
      </c>
      <c r="I22" s="111">
        <f>6/(6*2)</f>
        <v>0.5</v>
      </c>
      <c r="J22" s="8" t="s">
        <v>1473</v>
      </c>
      <c r="K22" s="8" t="s">
        <v>1480</v>
      </c>
      <c r="L22" s="8">
        <v>1.0</v>
      </c>
      <c r="M22" s="8" t="s">
        <v>768</v>
      </c>
      <c r="N22" s="8" t="s">
        <v>22</v>
      </c>
      <c r="O22" s="8" t="s">
        <v>892</v>
      </c>
      <c r="P22" s="8" t="s">
        <v>24</v>
      </c>
      <c r="Q22" s="9">
        <v>0.0</v>
      </c>
      <c r="R22" s="9">
        <v>0.4</v>
      </c>
      <c r="S22" s="9">
        <v>0.38</v>
      </c>
      <c r="T22" s="10">
        <v>45445.0</v>
      </c>
      <c r="U22" s="11">
        <v>1.8</v>
      </c>
      <c r="V22" s="8" t="s">
        <v>70</v>
      </c>
      <c r="W22" s="12">
        <f t="shared" si="1"/>
        <v>0</v>
      </c>
      <c r="X22" s="12">
        <f t="shared" si="4"/>
        <v>0.4013</v>
      </c>
      <c r="Z22" s="66">
        <v>45464.0</v>
      </c>
      <c r="AA22" s="13">
        <f t="shared" si="2"/>
        <v>0</v>
      </c>
    </row>
    <row r="23">
      <c r="A23" s="15">
        <f t="shared" si="3"/>
        <v>22</v>
      </c>
      <c r="B23" s="15" t="s">
        <v>4225</v>
      </c>
      <c r="C23" s="15" t="s">
        <v>19</v>
      </c>
      <c r="D23" s="15">
        <v>0.0</v>
      </c>
      <c r="E23" s="15">
        <v>11.0</v>
      </c>
      <c r="F23" s="15" t="s">
        <v>5291</v>
      </c>
      <c r="G23" s="15">
        <v>6.0</v>
      </c>
      <c r="H23" s="15">
        <v>5.0</v>
      </c>
      <c r="I23" s="110">
        <f>21/(11*2)</f>
        <v>0.9545454545</v>
      </c>
      <c r="J23" s="15"/>
      <c r="K23" s="15"/>
      <c r="L23" s="15"/>
      <c r="M23" s="15" t="s">
        <v>84</v>
      </c>
      <c r="N23" s="15" t="s">
        <v>598</v>
      </c>
      <c r="O23" s="15" t="s">
        <v>29</v>
      </c>
      <c r="P23" s="15" t="s">
        <v>2201</v>
      </c>
      <c r="Q23" s="16">
        <v>-2.25</v>
      </c>
      <c r="R23" s="16">
        <v>0.25</v>
      </c>
      <c r="S23" s="16">
        <v>0.25</v>
      </c>
      <c r="T23" s="17">
        <v>45447.0</v>
      </c>
      <c r="U23" s="18">
        <v>1.825</v>
      </c>
      <c r="V23" s="15" t="s">
        <v>25</v>
      </c>
      <c r="W23" s="19">
        <f t="shared" si="1"/>
        <v>-0.25</v>
      </c>
      <c r="X23" s="19">
        <f t="shared" si="4"/>
        <v>0.1513</v>
      </c>
      <c r="Z23" s="66">
        <v>45465.0</v>
      </c>
      <c r="AA23" s="13">
        <f t="shared" si="2"/>
        <v>0.7052047619</v>
      </c>
    </row>
    <row r="24">
      <c r="A24" s="8">
        <f t="shared" si="3"/>
        <v>23</v>
      </c>
      <c r="B24" s="8" t="s">
        <v>26</v>
      </c>
      <c r="C24" s="8" t="s">
        <v>19</v>
      </c>
      <c r="D24" s="8">
        <v>0.0</v>
      </c>
      <c r="E24" s="8">
        <v>11.0</v>
      </c>
      <c r="F24" s="8" t="s">
        <v>5292</v>
      </c>
      <c r="G24" s="8">
        <v>2.0</v>
      </c>
      <c r="H24" s="8">
        <v>13.0</v>
      </c>
      <c r="I24" s="111">
        <v>0.833</v>
      </c>
      <c r="J24" s="8"/>
      <c r="K24" s="8"/>
      <c r="L24" s="8"/>
      <c r="M24" s="8" t="s">
        <v>248</v>
      </c>
      <c r="N24" s="8" t="s">
        <v>598</v>
      </c>
      <c r="O24" s="8" t="s">
        <v>29</v>
      </c>
      <c r="P24" s="8" t="s">
        <v>24</v>
      </c>
      <c r="Q24" s="9">
        <v>-2.0</v>
      </c>
      <c r="R24" s="98">
        <v>0.2</v>
      </c>
      <c r="S24" s="33">
        <v>0.2</v>
      </c>
      <c r="T24" s="10">
        <v>45447.0</v>
      </c>
      <c r="U24" s="11">
        <v>2.0</v>
      </c>
      <c r="V24" s="8" t="s">
        <v>33</v>
      </c>
      <c r="W24" s="12">
        <f t="shared" si="1"/>
        <v>0.2</v>
      </c>
      <c r="X24" s="12">
        <f t="shared" si="4"/>
        <v>0.3513</v>
      </c>
      <c r="Z24" s="66">
        <v>45466.0</v>
      </c>
      <c r="AA24" s="13">
        <f t="shared" si="2"/>
        <v>0.08</v>
      </c>
    </row>
    <row r="25">
      <c r="A25" s="15">
        <f t="shared" si="3"/>
        <v>24</v>
      </c>
      <c r="B25" s="15" t="s">
        <v>26</v>
      </c>
      <c r="C25" s="15" t="s">
        <v>19</v>
      </c>
      <c r="D25" s="15">
        <v>0.0</v>
      </c>
      <c r="E25" s="15">
        <v>11.0</v>
      </c>
      <c r="F25" s="15" t="s">
        <v>5293</v>
      </c>
      <c r="G25" s="15">
        <v>2.0</v>
      </c>
      <c r="H25" s="15">
        <v>13.0</v>
      </c>
      <c r="I25" s="110">
        <v>0.833</v>
      </c>
      <c r="J25" s="15"/>
      <c r="K25" s="15"/>
      <c r="L25" s="15"/>
      <c r="M25" s="15" t="s">
        <v>248</v>
      </c>
      <c r="N25" s="15" t="s">
        <v>598</v>
      </c>
      <c r="O25" s="15" t="s">
        <v>29</v>
      </c>
      <c r="P25" s="15" t="s">
        <v>24</v>
      </c>
      <c r="Q25" s="16">
        <v>-2.25</v>
      </c>
      <c r="R25" s="99">
        <v>0.2</v>
      </c>
      <c r="S25" s="43">
        <v>0.2</v>
      </c>
      <c r="T25" s="17">
        <v>45447.0</v>
      </c>
      <c r="U25" s="18">
        <v>1.7</v>
      </c>
      <c r="V25" s="15" t="s">
        <v>33</v>
      </c>
      <c r="W25" s="19">
        <f t="shared" si="1"/>
        <v>0.14</v>
      </c>
      <c r="X25" s="19">
        <f t="shared" si="4"/>
        <v>0.4913</v>
      </c>
      <c r="Z25" s="66">
        <v>45467.0</v>
      </c>
      <c r="AA25" s="13">
        <f t="shared" si="2"/>
        <v>0</v>
      </c>
    </row>
    <row r="26">
      <c r="A26" s="8">
        <f t="shared" si="3"/>
        <v>25</v>
      </c>
      <c r="B26" s="8" t="s">
        <v>131</v>
      </c>
      <c r="C26" s="8" t="s">
        <v>19</v>
      </c>
      <c r="D26" s="8">
        <v>23.0</v>
      </c>
      <c r="E26" s="8">
        <v>2.0</v>
      </c>
      <c r="F26" s="8" t="s">
        <v>5294</v>
      </c>
      <c r="G26" s="8" t="s">
        <v>5553</v>
      </c>
      <c r="H26" s="8" t="s">
        <v>5553</v>
      </c>
      <c r="I26" s="8" t="s">
        <v>1479</v>
      </c>
      <c r="J26" s="8" t="s">
        <v>1473</v>
      </c>
      <c r="K26" s="8" t="s">
        <v>1474</v>
      </c>
      <c r="L26" s="8">
        <v>1.0</v>
      </c>
      <c r="M26" s="8" t="s">
        <v>316</v>
      </c>
      <c r="N26" s="8" t="s">
        <v>22</v>
      </c>
      <c r="O26" s="8" t="s">
        <v>941</v>
      </c>
      <c r="P26" s="8" t="s">
        <v>24</v>
      </c>
      <c r="Q26" s="9">
        <v>0.0</v>
      </c>
      <c r="R26" s="9">
        <v>0.2</v>
      </c>
      <c r="S26" s="9">
        <v>0.18</v>
      </c>
      <c r="T26" s="10">
        <v>45447.0</v>
      </c>
      <c r="U26" s="11">
        <v>1.727</v>
      </c>
      <c r="V26" s="8" t="s">
        <v>33</v>
      </c>
      <c r="W26" s="12">
        <f t="shared" si="1"/>
        <v>0.13086</v>
      </c>
      <c r="X26" s="12">
        <f t="shared" si="4"/>
        <v>0.62216</v>
      </c>
      <c r="Z26" s="66">
        <v>45468.0</v>
      </c>
      <c r="AA26" s="13">
        <f t="shared" si="2"/>
        <v>-1</v>
      </c>
    </row>
    <row r="27">
      <c r="A27" s="15">
        <f t="shared" si="3"/>
        <v>26</v>
      </c>
      <c r="B27" s="15" t="s">
        <v>131</v>
      </c>
      <c r="C27" s="15" t="s">
        <v>19</v>
      </c>
      <c r="D27" s="15">
        <v>25.0</v>
      </c>
      <c r="E27" s="15">
        <v>2.0</v>
      </c>
      <c r="F27" s="15" t="s">
        <v>5295</v>
      </c>
      <c r="G27" s="160" t="s">
        <v>5553</v>
      </c>
      <c r="H27" s="160" t="s">
        <v>5553</v>
      </c>
      <c r="I27" s="15" t="s">
        <v>1479</v>
      </c>
      <c r="J27" s="15" t="s">
        <v>1473</v>
      </c>
      <c r="K27" s="15" t="s">
        <v>1474</v>
      </c>
      <c r="L27" s="15">
        <v>1.0</v>
      </c>
      <c r="M27" s="15" t="s">
        <v>316</v>
      </c>
      <c r="N27" s="15" t="s">
        <v>22</v>
      </c>
      <c r="O27" s="15" t="s">
        <v>1150</v>
      </c>
      <c r="P27" s="15" t="s">
        <v>24</v>
      </c>
      <c r="Q27" s="16">
        <v>0.25</v>
      </c>
      <c r="R27" s="16">
        <v>0.4</v>
      </c>
      <c r="S27" s="16">
        <v>0.4</v>
      </c>
      <c r="T27" s="17">
        <v>45447.0</v>
      </c>
      <c r="U27" s="18">
        <v>1.7</v>
      </c>
      <c r="V27" s="15" t="s">
        <v>25</v>
      </c>
      <c r="W27" s="19">
        <f t="shared" si="1"/>
        <v>-0.4</v>
      </c>
      <c r="X27" s="19">
        <f t="shared" si="4"/>
        <v>0.22216</v>
      </c>
      <c r="Z27" s="66">
        <v>45469.0</v>
      </c>
      <c r="AA27" s="13">
        <f t="shared" si="2"/>
        <v>0.72585</v>
      </c>
    </row>
    <row r="28">
      <c r="A28" s="8">
        <f t="shared" si="3"/>
        <v>27</v>
      </c>
      <c r="B28" s="8" t="s">
        <v>131</v>
      </c>
      <c r="C28" s="8" t="s">
        <v>19</v>
      </c>
      <c r="D28" s="8">
        <v>75.0</v>
      </c>
      <c r="E28" s="8">
        <v>2.0</v>
      </c>
      <c r="F28" s="8" t="s">
        <v>5296</v>
      </c>
      <c r="G28" s="8" t="s">
        <v>5553</v>
      </c>
      <c r="H28" s="8" t="s">
        <v>5553</v>
      </c>
      <c r="I28" s="8" t="s">
        <v>1479</v>
      </c>
      <c r="J28" s="8" t="s">
        <v>1479</v>
      </c>
      <c r="K28" s="8" t="s">
        <v>1474</v>
      </c>
      <c r="L28" s="8">
        <v>-2.0</v>
      </c>
      <c r="M28" s="8" t="s">
        <v>316</v>
      </c>
      <c r="N28" s="8" t="s">
        <v>22</v>
      </c>
      <c r="O28" s="8" t="s">
        <v>225</v>
      </c>
      <c r="P28" s="8" t="s">
        <v>24</v>
      </c>
      <c r="Q28" s="9">
        <v>0.25</v>
      </c>
      <c r="R28" s="9">
        <v>0.4</v>
      </c>
      <c r="S28" s="9">
        <v>0.4</v>
      </c>
      <c r="T28" s="10">
        <v>45447.0</v>
      </c>
      <c r="U28" s="11">
        <v>1.7</v>
      </c>
      <c r="V28" s="8" t="s">
        <v>30</v>
      </c>
      <c r="W28" s="12">
        <f t="shared" si="1"/>
        <v>0.14</v>
      </c>
      <c r="X28" s="12">
        <f t="shared" si="4"/>
        <v>0.36216</v>
      </c>
      <c r="Z28" s="66">
        <v>45470.0</v>
      </c>
      <c r="AA28" s="13">
        <f t="shared" si="2"/>
        <v>-0.1665</v>
      </c>
    </row>
    <row r="29">
      <c r="A29" s="15">
        <f t="shared" si="3"/>
        <v>28</v>
      </c>
      <c r="B29" s="15" t="s">
        <v>18</v>
      </c>
      <c r="C29" s="15" t="s">
        <v>19</v>
      </c>
      <c r="D29" s="15">
        <v>71.0</v>
      </c>
      <c r="E29" s="15">
        <v>3.0</v>
      </c>
      <c r="F29" s="15" t="s">
        <v>5297</v>
      </c>
      <c r="G29" s="15" t="s">
        <v>5553</v>
      </c>
      <c r="H29" s="15" t="s">
        <v>5553</v>
      </c>
      <c r="I29" s="15" t="s">
        <v>1</v>
      </c>
      <c r="J29" s="15" t="s">
        <v>1479</v>
      </c>
      <c r="K29" s="15" t="s">
        <v>1480</v>
      </c>
      <c r="L29" s="15">
        <v>0.0</v>
      </c>
      <c r="M29" s="15" t="s">
        <v>794</v>
      </c>
      <c r="N29" s="15" t="s">
        <v>22</v>
      </c>
      <c r="O29" s="15" t="s">
        <v>892</v>
      </c>
      <c r="P29" s="15" t="s">
        <v>24</v>
      </c>
      <c r="Q29" s="16">
        <v>0.0</v>
      </c>
      <c r="R29" s="16">
        <v>0.4</v>
      </c>
      <c r="S29" s="16">
        <v>0.28</v>
      </c>
      <c r="T29" s="17">
        <v>45449.0</v>
      </c>
      <c r="U29" s="18">
        <v>1.8</v>
      </c>
      <c r="V29" s="15" t="s">
        <v>70</v>
      </c>
      <c r="W29" s="19">
        <f t="shared" si="1"/>
        <v>0</v>
      </c>
      <c r="X29" s="19">
        <f t="shared" si="4"/>
        <v>0.36216</v>
      </c>
      <c r="Z29" s="66">
        <v>45471.0</v>
      </c>
      <c r="AA29" s="13">
        <f t="shared" si="2"/>
        <v>0.2775</v>
      </c>
    </row>
    <row r="30">
      <c r="A30" s="8">
        <f t="shared" si="3"/>
        <v>29</v>
      </c>
      <c r="B30" s="8" t="s">
        <v>18</v>
      </c>
      <c r="C30" s="8" t="s">
        <v>19</v>
      </c>
      <c r="D30" s="8">
        <v>68.0</v>
      </c>
      <c r="E30" s="8">
        <v>3.0</v>
      </c>
      <c r="F30" s="8" t="s">
        <v>5298</v>
      </c>
      <c r="G30" s="8" t="s">
        <v>5553</v>
      </c>
      <c r="H30" s="8" t="s">
        <v>5553</v>
      </c>
      <c r="I30" s="8" t="s">
        <v>1479</v>
      </c>
      <c r="J30" s="8" t="s">
        <v>1479</v>
      </c>
      <c r="K30" s="8" t="s">
        <v>1480</v>
      </c>
      <c r="L30" s="8">
        <v>0.0</v>
      </c>
      <c r="M30" s="8" t="s">
        <v>121</v>
      </c>
      <c r="N30" s="8" t="s">
        <v>22</v>
      </c>
      <c r="O30" s="8" t="s">
        <v>892</v>
      </c>
      <c r="P30" s="8" t="s">
        <v>24</v>
      </c>
      <c r="Q30" s="9">
        <v>0.0</v>
      </c>
      <c r="R30" s="9">
        <v>0.6</v>
      </c>
      <c r="S30" s="9">
        <v>0.51</v>
      </c>
      <c r="T30" s="10">
        <v>45449.0</v>
      </c>
      <c r="U30" s="11">
        <v>1.65</v>
      </c>
      <c r="V30" s="8" t="s">
        <v>70</v>
      </c>
      <c r="W30" s="12">
        <f t="shared" si="1"/>
        <v>0</v>
      </c>
      <c r="X30" s="12">
        <f t="shared" si="4"/>
        <v>0.36216</v>
      </c>
      <c r="Z30" s="66">
        <v>45472.0</v>
      </c>
      <c r="AA30" s="13">
        <f t="shared" si="2"/>
        <v>-0.48</v>
      </c>
    </row>
    <row r="31">
      <c r="A31" s="15">
        <f t="shared" si="3"/>
        <v>30</v>
      </c>
      <c r="B31" s="15" t="s">
        <v>137</v>
      </c>
      <c r="C31" s="15" t="s">
        <v>19</v>
      </c>
      <c r="D31" s="15">
        <v>25.0</v>
      </c>
      <c r="E31" s="15">
        <v>3.0</v>
      </c>
      <c r="F31" s="15" t="s">
        <v>5299</v>
      </c>
      <c r="G31" s="15" t="s">
        <v>5553</v>
      </c>
      <c r="H31" s="15" t="s">
        <v>5553</v>
      </c>
      <c r="I31" s="110"/>
      <c r="J31" s="15" t="s">
        <v>1473</v>
      </c>
      <c r="K31" s="15" t="s">
        <v>1480</v>
      </c>
      <c r="L31" s="15">
        <v>0.0</v>
      </c>
      <c r="M31" s="15" t="s">
        <v>78</v>
      </c>
      <c r="N31" s="15" t="s">
        <v>22</v>
      </c>
      <c r="O31" s="15" t="s">
        <v>1150</v>
      </c>
      <c r="P31" s="15" t="s">
        <v>24</v>
      </c>
      <c r="Q31" s="16">
        <v>0.0</v>
      </c>
      <c r="R31" s="16">
        <v>0.75</v>
      </c>
      <c r="S31" s="16">
        <v>0.74</v>
      </c>
      <c r="T31" s="17">
        <v>45450.0</v>
      </c>
      <c r="U31" s="18">
        <v>1.7</v>
      </c>
      <c r="V31" s="15" t="s">
        <v>70</v>
      </c>
      <c r="W31" s="19">
        <f t="shared" si="1"/>
        <v>0</v>
      </c>
      <c r="X31" s="19">
        <f t="shared" si="4"/>
        <v>0.36216</v>
      </c>
      <c r="Z31" s="66">
        <v>45473.0</v>
      </c>
      <c r="AA31" s="13">
        <f t="shared" si="2"/>
        <v>0.486475</v>
      </c>
    </row>
    <row r="32">
      <c r="A32" s="8">
        <f t="shared" si="3"/>
        <v>31</v>
      </c>
      <c r="B32" s="8" t="s">
        <v>26</v>
      </c>
      <c r="C32" s="8" t="s">
        <v>19</v>
      </c>
      <c r="D32" s="8">
        <v>39.0</v>
      </c>
      <c r="E32" s="8">
        <v>3.0</v>
      </c>
      <c r="F32" s="8" t="s">
        <v>5300</v>
      </c>
      <c r="G32" s="8">
        <v>9.0</v>
      </c>
      <c r="H32" s="8">
        <v>6.0</v>
      </c>
      <c r="I32" s="111">
        <f>23/30</f>
        <v>0.7666666667</v>
      </c>
      <c r="J32" s="8" t="s">
        <v>1479</v>
      </c>
      <c r="K32" s="8" t="s">
        <v>1480</v>
      </c>
      <c r="L32" s="8">
        <v>0.0</v>
      </c>
      <c r="M32" s="8" t="s">
        <v>96</v>
      </c>
      <c r="N32" s="8" t="s">
        <v>22</v>
      </c>
      <c r="O32" s="8" t="s">
        <v>892</v>
      </c>
      <c r="P32" s="8" t="s">
        <v>24</v>
      </c>
      <c r="Q32" s="9">
        <v>0.0</v>
      </c>
      <c r="R32" s="9">
        <v>0.6</v>
      </c>
      <c r="S32" s="9">
        <v>0.6</v>
      </c>
      <c r="T32" s="10">
        <v>45450.0</v>
      </c>
      <c r="U32" s="11">
        <v>1.507</v>
      </c>
      <c r="V32" s="8" t="s">
        <v>33</v>
      </c>
      <c r="W32" s="12">
        <f t="shared" si="1"/>
        <v>0.3042</v>
      </c>
      <c r="X32" s="12">
        <f t="shared" si="4"/>
        <v>0.66636</v>
      </c>
      <c r="Z32" s="66"/>
      <c r="AA32" s="13">
        <f t="shared" si="2"/>
        <v>0</v>
      </c>
    </row>
    <row r="33">
      <c r="A33" s="15">
        <f t="shared" si="3"/>
        <v>32</v>
      </c>
      <c r="B33" s="15" t="s">
        <v>4225</v>
      </c>
      <c r="C33" s="15" t="s">
        <v>19</v>
      </c>
      <c r="D33" s="15">
        <v>0.0</v>
      </c>
      <c r="E33" s="15">
        <v>13.0</v>
      </c>
      <c r="F33" s="15" t="s">
        <v>5301</v>
      </c>
      <c r="G33" s="15">
        <v>3.0</v>
      </c>
      <c r="H33" s="15">
        <v>1.0</v>
      </c>
      <c r="I33" s="110">
        <f>33/(17*2)</f>
        <v>0.9705882353</v>
      </c>
      <c r="J33" s="15" t="s">
        <v>1479</v>
      </c>
      <c r="K33" s="15" t="s">
        <v>1474</v>
      </c>
      <c r="L33" s="15">
        <v>0.0</v>
      </c>
      <c r="M33" s="15" t="s">
        <v>432</v>
      </c>
      <c r="N33" s="15" t="s">
        <v>598</v>
      </c>
      <c r="O33" s="15" t="s">
        <v>225</v>
      </c>
      <c r="P33" s="15" t="s">
        <v>1851</v>
      </c>
      <c r="Q33" s="16">
        <v>0.5</v>
      </c>
      <c r="R33" s="16">
        <v>0.1</v>
      </c>
      <c r="S33" s="16">
        <v>0.1</v>
      </c>
      <c r="T33" s="17">
        <v>45450.0</v>
      </c>
      <c r="U33" s="18">
        <v>1.975</v>
      </c>
      <c r="V33" s="15" t="s">
        <v>33</v>
      </c>
      <c r="W33" s="19">
        <f t="shared" si="1"/>
        <v>0.0975</v>
      </c>
      <c r="X33" s="19">
        <f t="shared" si="4"/>
        <v>0.76386</v>
      </c>
      <c r="Z33" s="94" t="s">
        <v>89</v>
      </c>
      <c r="AA33" s="28">
        <f>SUM(AA2:AA32)</f>
        <v>5.913641874</v>
      </c>
    </row>
    <row r="34">
      <c r="A34" s="8">
        <f t="shared" si="3"/>
        <v>33</v>
      </c>
      <c r="B34" s="8" t="s">
        <v>18</v>
      </c>
      <c r="C34" s="8" t="s">
        <v>19</v>
      </c>
      <c r="D34" s="8">
        <v>79.0</v>
      </c>
      <c r="E34" s="8">
        <v>3.0</v>
      </c>
      <c r="F34" s="8" t="s">
        <v>5302</v>
      </c>
      <c r="G34" s="8">
        <v>8.0</v>
      </c>
      <c r="H34" s="8">
        <v>1.0</v>
      </c>
      <c r="I34" s="111">
        <f>23/30</f>
        <v>0.7666666667</v>
      </c>
      <c r="J34" s="8" t="s">
        <v>1473</v>
      </c>
      <c r="K34" s="8" t="s">
        <v>1480</v>
      </c>
      <c r="L34" s="8">
        <v>-2.0</v>
      </c>
      <c r="M34" s="8" t="s">
        <v>96</v>
      </c>
      <c r="N34" s="8" t="s">
        <v>22</v>
      </c>
      <c r="O34" s="8" t="s">
        <v>892</v>
      </c>
      <c r="P34" s="8" t="s">
        <v>24</v>
      </c>
      <c r="Q34" s="9">
        <v>0.0</v>
      </c>
      <c r="R34" s="9">
        <v>0.4</v>
      </c>
      <c r="S34" s="9">
        <v>0.4</v>
      </c>
      <c r="T34" s="10">
        <v>45450.0</v>
      </c>
      <c r="U34" s="11">
        <v>1.625</v>
      </c>
      <c r="V34" s="8" t="s">
        <v>70</v>
      </c>
      <c r="W34" s="12">
        <f t="shared" si="1"/>
        <v>0</v>
      </c>
      <c r="X34" s="12">
        <f t="shared" si="4"/>
        <v>0.76386</v>
      </c>
    </row>
    <row r="35">
      <c r="A35" s="15">
        <f t="shared" si="3"/>
        <v>34</v>
      </c>
      <c r="B35" s="15" t="s">
        <v>26</v>
      </c>
      <c r="C35" s="15" t="s">
        <v>40</v>
      </c>
      <c r="D35" s="15">
        <v>54.0</v>
      </c>
      <c r="E35" s="15">
        <v>5.0</v>
      </c>
      <c r="F35" s="15" t="s">
        <v>5303</v>
      </c>
      <c r="G35" s="15">
        <v>4.0</v>
      </c>
      <c r="H35" s="15">
        <v>5.0</v>
      </c>
      <c r="I35" s="110">
        <v>0.33</v>
      </c>
      <c r="J35" s="15" t="s">
        <v>1479</v>
      </c>
      <c r="K35" s="15" t="s">
        <v>1477</v>
      </c>
      <c r="L35" s="15">
        <v>1.0</v>
      </c>
      <c r="M35" s="15" t="s">
        <v>920</v>
      </c>
      <c r="N35" s="15" t="s">
        <v>22</v>
      </c>
      <c r="O35" s="15" t="s">
        <v>894</v>
      </c>
      <c r="P35" s="15" t="s">
        <v>24</v>
      </c>
      <c r="Q35" s="16">
        <v>-0.75</v>
      </c>
      <c r="R35" s="16">
        <v>0.25</v>
      </c>
      <c r="S35" s="16">
        <v>0.25</v>
      </c>
      <c r="T35" s="17">
        <v>45450.0</v>
      </c>
      <c r="U35" s="18">
        <f>0.396*2+1</f>
        <v>1.792</v>
      </c>
      <c r="V35" s="15" t="s">
        <v>30</v>
      </c>
      <c r="W35" s="19">
        <f t="shared" si="1"/>
        <v>0.099</v>
      </c>
      <c r="X35" s="19">
        <f t="shared" si="4"/>
        <v>0.86286</v>
      </c>
      <c r="Z35" s="29"/>
    </row>
    <row r="36">
      <c r="A36" s="8">
        <f t="shared" si="3"/>
        <v>35</v>
      </c>
      <c r="B36" s="8" t="s">
        <v>18</v>
      </c>
      <c r="C36" s="8" t="s">
        <v>19</v>
      </c>
      <c r="D36" s="8">
        <v>43.0</v>
      </c>
      <c r="E36" s="8">
        <v>7.0</v>
      </c>
      <c r="F36" s="8" t="s">
        <v>5304</v>
      </c>
      <c r="G36" s="8">
        <v>11.0</v>
      </c>
      <c r="H36" s="8">
        <v>12.0</v>
      </c>
      <c r="I36" s="111">
        <f>7/(11*2)</f>
        <v>0.3181818182</v>
      </c>
      <c r="J36" s="8"/>
      <c r="K36" s="8"/>
      <c r="L36" s="8"/>
      <c r="M36" s="8" t="s">
        <v>513</v>
      </c>
      <c r="N36" s="8" t="s">
        <v>22</v>
      </c>
      <c r="O36" s="8" t="s">
        <v>29</v>
      </c>
      <c r="P36" s="8" t="s">
        <v>24</v>
      </c>
      <c r="Q36" s="9">
        <v>-2.25</v>
      </c>
      <c r="R36" s="9">
        <v>0.1</v>
      </c>
      <c r="S36" s="9">
        <v>0.1</v>
      </c>
      <c r="T36" s="10">
        <v>45450.0</v>
      </c>
      <c r="U36" s="11">
        <v>1.8</v>
      </c>
      <c r="V36" s="8" t="s">
        <v>33</v>
      </c>
      <c r="W36" s="12">
        <f t="shared" si="1"/>
        <v>0.08</v>
      </c>
      <c r="X36" s="12">
        <f t="shared" si="4"/>
        <v>0.94286</v>
      </c>
      <c r="Z36" s="30"/>
    </row>
    <row r="37">
      <c r="A37" s="15">
        <f t="shared" si="3"/>
        <v>36</v>
      </c>
      <c r="B37" s="15" t="s">
        <v>131</v>
      </c>
      <c r="C37" s="15" t="s">
        <v>19</v>
      </c>
      <c r="D37" s="15">
        <v>73.0</v>
      </c>
      <c r="E37" s="15">
        <v>2.0</v>
      </c>
      <c r="F37" s="15" t="s">
        <v>5305</v>
      </c>
      <c r="G37" s="15">
        <v>11.0</v>
      </c>
      <c r="H37" s="15">
        <v>8.0</v>
      </c>
      <c r="I37" s="110">
        <f>29/(15*2)</f>
        <v>0.9666666667</v>
      </c>
      <c r="J37" s="15" t="s">
        <v>1473</v>
      </c>
      <c r="K37" s="15" t="s">
        <v>1474</v>
      </c>
      <c r="L37" s="15">
        <v>0.0</v>
      </c>
      <c r="M37" s="15" t="s">
        <v>316</v>
      </c>
      <c r="N37" s="15" t="s">
        <v>22</v>
      </c>
      <c r="O37" s="15" t="s">
        <v>225</v>
      </c>
      <c r="P37" s="15" t="s">
        <v>24</v>
      </c>
      <c r="Q37" s="16">
        <v>0.25</v>
      </c>
      <c r="R37" s="16">
        <v>0.4</v>
      </c>
      <c r="S37" s="16">
        <v>0.4</v>
      </c>
      <c r="T37" s="17">
        <v>45450.0</v>
      </c>
      <c r="U37" s="18">
        <v>1.725</v>
      </c>
      <c r="V37" s="15" t="s">
        <v>70</v>
      </c>
      <c r="W37" s="19">
        <f t="shared" si="1"/>
        <v>0</v>
      </c>
      <c r="X37" s="19">
        <f t="shared" si="4"/>
        <v>0.94286</v>
      </c>
      <c r="Z37" s="30"/>
    </row>
    <row r="38">
      <c r="A38" s="8">
        <f t="shared" si="3"/>
        <v>37</v>
      </c>
      <c r="B38" s="8" t="s">
        <v>26</v>
      </c>
      <c r="C38" s="8" t="s">
        <v>19</v>
      </c>
      <c r="D38" s="8">
        <v>66.0</v>
      </c>
      <c r="E38" s="8">
        <v>3.0</v>
      </c>
      <c r="F38" s="8" t="s">
        <v>5306</v>
      </c>
      <c r="G38" s="8">
        <v>3.0</v>
      </c>
      <c r="H38" s="8">
        <v>4.0</v>
      </c>
      <c r="I38" s="8">
        <f>8/(5*2)</f>
        <v>0.8</v>
      </c>
      <c r="J38" s="8" t="s">
        <v>1479</v>
      </c>
      <c r="K38" s="8" t="s">
        <v>1480</v>
      </c>
      <c r="L38" s="8">
        <v>-1.0</v>
      </c>
      <c r="M38" s="8" t="s">
        <v>82</v>
      </c>
      <c r="N38" s="8" t="s">
        <v>22</v>
      </c>
      <c r="O38" s="8" t="s">
        <v>892</v>
      </c>
      <c r="P38" s="8" t="s">
        <v>24</v>
      </c>
      <c r="Q38" s="9">
        <v>0.0</v>
      </c>
      <c r="R38" s="9">
        <v>0.5</v>
      </c>
      <c r="S38" s="9">
        <v>0.5</v>
      </c>
      <c r="T38" s="10">
        <v>45450.0</v>
      </c>
      <c r="U38" s="11">
        <v>1.8</v>
      </c>
      <c r="V38" s="8" t="s">
        <v>70</v>
      </c>
      <c r="W38" s="12">
        <f t="shared" si="1"/>
        <v>0</v>
      </c>
      <c r="X38" s="12">
        <f t="shared" si="4"/>
        <v>0.94286</v>
      </c>
      <c r="Z38" s="30"/>
    </row>
    <row r="39">
      <c r="A39" s="15">
        <f t="shared" si="3"/>
        <v>38</v>
      </c>
      <c r="B39" s="15" t="s">
        <v>26</v>
      </c>
      <c r="C39" s="15" t="s">
        <v>19</v>
      </c>
      <c r="D39" s="15">
        <v>65.0</v>
      </c>
      <c r="E39" s="15">
        <v>9.0</v>
      </c>
      <c r="F39" s="15" t="s">
        <v>5307</v>
      </c>
      <c r="G39" s="15"/>
      <c r="H39" s="15"/>
      <c r="I39" s="15"/>
      <c r="J39" s="15"/>
      <c r="K39" s="15"/>
      <c r="L39" s="15"/>
      <c r="M39" s="15" t="s">
        <v>82</v>
      </c>
      <c r="N39" s="15" t="s">
        <v>22</v>
      </c>
      <c r="O39" s="15" t="s">
        <v>440</v>
      </c>
      <c r="P39" s="15" t="s">
        <v>39</v>
      </c>
      <c r="Q39" s="16">
        <v>4.25</v>
      </c>
      <c r="R39" s="16">
        <v>0.1</v>
      </c>
      <c r="S39" s="16">
        <v>0.06</v>
      </c>
      <c r="T39" s="17">
        <v>45450.0</v>
      </c>
      <c r="U39" s="18">
        <v>1.6</v>
      </c>
      <c r="V39" s="15" t="s">
        <v>33</v>
      </c>
      <c r="W39" s="19">
        <f t="shared" si="1"/>
        <v>0.036</v>
      </c>
      <c r="X39" s="19">
        <f t="shared" si="4"/>
        <v>0.97886</v>
      </c>
      <c r="Z39" s="30"/>
    </row>
    <row r="40">
      <c r="A40" s="8">
        <f t="shared" si="3"/>
        <v>39</v>
      </c>
      <c r="B40" s="8" t="s">
        <v>129</v>
      </c>
      <c r="C40" s="8" t="s">
        <v>19</v>
      </c>
      <c r="D40" s="8">
        <v>16.0</v>
      </c>
      <c r="E40" s="8">
        <v>3.0</v>
      </c>
      <c r="F40" s="8" t="s">
        <v>5308</v>
      </c>
      <c r="G40" s="8">
        <v>8.0</v>
      </c>
      <c r="H40" s="8">
        <v>7.0</v>
      </c>
      <c r="I40" s="111">
        <f>29/(15*2)</f>
        <v>0.9666666667</v>
      </c>
      <c r="J40" s="8" t="s">
        <v>1479</v>
      </c>
      <c r="K40" s="8" t="s">
        <v>1480</v>
      </c>
      <c r="L40" s="8">
        <v>0.0</v>
      </c>
      <c r="M40" s="8" t="s">
        <v>44</v>
      </c>
      <c r="N40" s="8" t="s">
        <v>22</v>
      </c>
      <c r="O40" s="8" t="s">
        <v>1150</v>
      </c>
      <c r="P40" s="8" t="s">
        <v>24</v>
      </c>
      <c r="Q40" s="9">
        <v>0.0</v>
      </c>
      <c r="R40" s="9">
        <v>0.6</v>
      </c>
      <c r="S40" s="9">
        <v>0.6</v>
      </c>
      <c r="T40" s="10">
        <v>45451.0</v>
      </c>
      <c r="U40" s="11">
        <v>1.675</v>
      </c>
      <c r="V40" s="8" t="s">
        <v>25</v>
      </c>
      <c r="W40" s="12">
        <f t="shared" si="1"/>
        <v>-0.6</v>
      </c>
      <c r="X40" s="12">
        <f t="shared" si="4"/>
        <v>0.37886</v>
      </c>
      <c r="Z40" s="30"/>
    </row>
    <row r="41">
      <c r="A41" s="15">
        <f t="shared" si="3"/>
        <v>40</v>
      </c>
      <c r="B41" s="15" t="s">
        <v>131</v>
      </c>
      <c r="C41" s="15" t="s">
        <v>40</v>
      </c>
      <c r="D41" s="15">
        <v>18.0</v>
      </c>
      <c r="E41" s="15">
        <v>7.0</v>
      </c>
      <c r="F41" s="15" t="s">
        <v>5309</v>
      </c>
      <c r="G41" s="15"/>
      <c r="H41" s="15"/>
      <c r="I41" s="110"/>
      <c r="J41" s="15"/>
      <c r="K41" s="15"/>
      <c r="L41" s="15"/>
      <c r="M41" s="15" t="s">
        <v>2667</v>
      </c>
      <c r="N41" s="15" t="s">
        <v>22</v>
      </c>
      <c r="O41" s="15" t="s">
        <v>29</v>
      </c>
      <c r="P41" s="15" t="s">
        <v>24</v>
      </c>
      <c r="Q41" s="16">
        <v>-3.25</v>
      </c>
      <c r="R41" s="16">
        <v>0.2</v>
      </c>
      <c r="S41" s="16">
        <v>0.08</v>
      </c>
      <c r="T41" s="17">
        <v>45451.0</v>
      </c>
      <c r="U41" s="18">
        <v>1.8</v>
      </c>
      <c r="V41" s="15" t="s">
        <v>25</v>
      </c>
      <c r="W41" s="19">
        <f t="shared" si="1"/>
        <v>-0.08</v>
      </c>
      <c r="X41" s="19">
        <f t="shared" si="4"/>
        <v>0.29886</v>
      </c>
      <c r="Z41" s="30"/>
    </row>
    <row r="42">
      <c r="A42" s="8">
        <f t="shared" si="3"/>
        <v>41</v>
      </c>
      <c r="B42" s="8" t="s">
        <v>131</v>
      </c>
      <c r="C42" s="8" t="s">
        <v>40</v>
      </c>
      <c r="D42" s="8">
        <v>27.0</v>
      </c>
      <c r="E42" s="8">
        <v>3.0</v>
      </c>
      <c r="F42" s="8" t="s">
        <v>5310</v>
      </c>
      <c r="G42" s="8">
        <v>7.0</v>
      </c>
      <c r="H42" s="8">
        <v>6.0</v>
      </c>
      <c r="I42" s="111">
        <f>9/18</f>
        <v>0.5</v>
      </c>
      <c r="J42" s="8" t="s">
        <v>1473</v>
      </c>
      <c r="K42" s="8" t="s">
        <v>1480</v>
      </c>
      <c r="L42" s="8">
        <v>0.0</v>
      </c>
      <c r="M42" s="8" t="s">
        <v>2667</v>
      </c>
      <c r="N42" s="8" t="s">
        <v>22</v>
      </c>
      <c r="O42" s="8" t="s">
        <v>892</v>
      </c>
      <c r="P42" s="8" t="s">
        <v>24</v>
      </c>
      <c r="Q42" s="9">
        <v>0.0</v>
      </c>
      <c r="R42" s="9">
        <v>0.2</v>
      </c>
      <c r="S42" s="9">
        <v>0.04</v>
      </c>
      <c r="T42" s="10">
        <v>45451.0</v>
      </c>
      <c r="U42" s="11">
        <v>1.9</v>
      </c>
      <c r="V42" s="8" t="s">
        <v>33</v>
      </c>
      <c r="W42" s="12">
        <f t="shared" si="1"/>
        <v>0.036</v>
      </c>
      <c r="X42" s="12">
        <f t="shared" si="4"/>
        <v>0.33486</v>
      </c>
      <c r="Z42" s="30"/>
    </row>
    <row r="43">
      <c r="A43" s="15">
        <f t="shared" si="3"/>
        <v>42</v>
      </c>
      <c r="B43" s="15" t="s">
        <v>26</v>
      </c>
      <c r="C43" s="15" t="s">
        <v>19</v>
      </c>
      <c r="D43" s="15">
        <v>50.0</v>
      </c>
      <c r="E43" s="15">
        <v>2.0</v>
      </c>
      <c r="F43" s="15" t="s">
        <v>5311</v>
      </c>
      <c r="G43" s="15">
        <v>1.0</v>
      </c>
      <c r="H43" s="15">
        <v>4.0</v>
      </c>
      <c r="I43" s="110">
        <f>6/(7*2)</f>
        <v>0.4285714286</v>
      </c>
      <c r="J43" s="15" t="s">
        <v>1473</v>
      </c>
      <c r="K43" s="15" t="s">
        <v>1474</v>
      </c>
      <c r="L43" s="15">
        <v>1.0</v>
      </c>
      <c r="M43" s="15" t="s">
        <v>513</v>
      </c>
      <c r="N43" s="15" t="s">
        <v>22</v>
      </c>
      <c r="O43" s="15" t="s">
        <v>225</v>
      </c>
      <c r="P43" s="15" t="s">
        <v>24</v>
      </c>
      <c r="Q43" s="16">
        <v>0.25</v>
      </c>
      <c r="R43" s="16">
        <v>0.6</v>
      </c>
      <c r="S43" s="16">
        <v>0.6</v>
      </c>
      <c r="T43" s="17">
        <v>45451.0</v>
      </c>
      <c r="U43" s="18">
        <v>1.775</v>
      </c>
      <c r="V43" s="15" t="s">
        <v>25</v>
      </c>
      <c r="W43" s="19">
        <f t="shared" si="1"/>
        <v>-0.6</v>
      </c>
      <c r="X43" s="19">
        <f t="shared" si="4"/>
        <v>-0.26514</v>
      </c>
      <c r="Z43" s="30"/>
    </row>
    <row r="44">
      <c r="A44" s="8">
        <f t="shared" si="3"/>
        <v>43</v>
      </c>
      <c r="B44" s="8" t="s">
        <v>137</v>
      </c>
      <c r="C44" s="8" t="s">
        <v>19</v>
      </c>
      <c r="D44" s="8">
        <v>66.0</v>
      </c>
      <c r="E44" s="8">
        <v>3.0</v>
      </c>
      <c r="F44" s="8" t="s">
        <v>5312</v>
      </c>
      <c r="G44" s="8">
        <v>2.0</v>
      </c>
      <c r="H44" s="8">
        <v>3.0</v>
      </c>
      <c r="I44" s="111">
        <f>3/(5*2)</f>
        <v>0.3</v>
      </c>
      <c r="J44" s="8" t="s">
        <v>1473</v>
      </c>
      <c r="K44" s="8" t="s">
        <v>1480</v>
      </c>
      <c r="L44" s="8">
        <v>0.0</v>
      </c>
      <c r="M44" s="8" t="s">
        <v>178</v>
      </c>
      <c r="N44" s="8" t="s">
        <v>22</v>
      </c>
      <c r="O44" s="8" t="s">
        <v>892</v>
      </c>
      <c r="P44" s="8" t="s">
        <v>24</v>
      </c>
      <c r="Q44" s="9">
        <v>0.0</v>
      </c>
      <c r="R44" s="9">
        <v>0.2</v>
      </c>
      <c r="S44" s="9">
        <v>0.16</v>
      </c>
      <c r="T44" s="10">
        <v>45451.0</v>
      </c>
      <c r="U44" s="11">
        <v>1.675</v>
      </c>
      <c r="V44" s="8" t="s">
        <v>25</v>
      </c>
      <c r="W44" s="12">
        <f t="shared" si="1"/>
        <v>-0.16</v>
      </c>
      <c r="X44" s="12">
        <f t="shared" si="4"/>
        <v>-0.42514</v>
      </c>
      <c r="Z44" s="30"/>
    </row>
    <row r="45">
      <c r="A45" s="15">
        <f t="shared" si="3"/>
        <v>44</v>
      </c>
      <c r="B45" s="15" t="s">
        <v>129</v>
      </c>
      <c r="C45" s="15" t="s">
        <v>40</v>
      </c>
      <c r="D45" s="15">
        <v>54.0</v>
      </c>
      <c r="E45" s="15">
        <v>3.0</v>
      </c>
      <c r="F45" s="15" t="s">
        <v>5313</v>
      </c>
      <c r="G45" s="15">
        <v>4.0</v>
      </c>
      <c r="H45" s="15">
        <v>1.0</v>
      </c>
      <c r="I45" s="110">
        <f>23/(24)</f>
        <v>0.9583333333</v>
      </c>
      <c r="J45" s="15" t="s">
        <v>1473</v>
      </c>
      <c r="K45" s="15" t="s">
        <v>1480</v>
      </c>
      <c r="L45" s="15">
        <v>-1.0</v>
      </c>
      <c r="M45" s="15" t="s">
        <v>908</v>
      </c>
      <c r="N45" s="15" t="s">
        <v>22</v>
      </c>
      <c r="O45" s="15" t="s">
        <v>892</v>
      </c>
      <c r="P45" s="15" t="s">
        <v>24</v>
      </c>
      <c r="Q45" s="16">
        <v>0.0</v>
      </c>
      <c r="R45" s="16">
        <v>1.0</v>
      </c>
      <c r="S45" s="16">
        <v>1.0</v>
      </c>
      <c r="T45" s="17">
        <v>45451.0</v>
      </c>
      <c r="U45" s="18">
        <v>1.75</v>
      </c>
      <c r="V45" s="15" t="s">
        <v>33</v>
      </c>
      <c r="W45" s="19">
        <f t="shared" si="1"/>
        <v>0.75</v>
      </c>
      <c r="X45" s="19">
        <f t="shared" si="4"/>
        <v>0.32486</v>
      </c>
    </row>
    <row r="46">
      <c r="A46" s="8">
        <f t="shared" si="3"/>
        <v>45</v>
      </c>
      <c r="B46" s="8" t="s">
        <v>1915</v>
      </c>
      <c r="C46" s="8" t="s">
        <v>19</v>
      </c>
      <c r="D46" s="8">
        <v>0.0</v>
      </c>
      <c r="E46" s="8">
        <v>11.0</v>
      </c>
      <c r="F46" s="8" t="s">
        <v>5314</v>
      </c>
      <c r="G46" s="8" t="s">
        <v>5553</v>
      </c>
      <c r="H46" s="8" t="s">
        <v>5553</v>
      </c>
      <c r="I46" s="8" t="s">
        <v>1479</v>
      </c>
      <c r="J46" s="8"/>
      <c r="K46" s="8"/>
      <c r="L46" s="8"/>
      <c r="M46" s="8" t="s">
        <v>93</v>
      </c>
      <c r="N46" s="8" t="s">
        <v>598</v>
      </c>
      <c r="O46" s="8" t="s">
        <v>29</v>
      </c>
      <c r="P46" s="8" t="s">
        <v>39</v>
      </c>
      <c r="Q46" s="9">
        <v>-2.25</v>
      </c>
      <c r="R46" s="9">
        <v>0.4</v>
      </c>
      <c r="S46" s="9">
        <v>0.4</v>
      </c>
      <c r="T46" s="10">
        <v>45451.0</v>
      </c>
      <c r="U46" s="11">
        <v>1.825</v>
      </c>
      <c r="V46" s="8" t="s">
        <v>25</v>
      </c>
      <c r="W46" s="12">
        <f t="shared" si="1"/>
        <v>-0.4</v>
      </c>
      <c r="X46" s="12">
        <f t="shared" si="4"/>
        <v>-0.07514</v>
      </c>
    </row>
    <row r="47">
      <c r="A47" s="15">
        <f t="shared" si="3"/>
        <v>46</v>
      </c>
      <c r="B47" s="15" t="s">
        <v>129</v>
      </c>
      <c r="C47" s="15" t="s">
        <v>19</v>
      </c>
      <c r="D47" s="15">
        <v>78.0</v>
      </c>
      <c r="E47" s="15">
        <v>2.0</v>
      </c>
      <c r="F47" s="15" t="s">
        <v>5315</v>
      </c>
      <c r="G47" s="15">
        <v>8.0</v>
      </c>
      <c r="H47" s="15">
        <v>10.0</v>
      </c>
      <c r="I47" s="110">
        <f>10/(10*2)</f>
        <v>0.5</v>
      </c>
      <c r="J47" s="15" t="s">
        <v>1479</v>
      </c>
      <c r="K47" s="15" t="s">
        <v>1474</v>
      </c>
      <c r="L47" s="15">
        <v>0.0</v>
      </c>
      <c r="M47" s="15" t="s">
        <v>513</v>
      </c>
      <c r="N47" s="15" t="s">
        <v>22</v>
      </c>
      <c r="O47" s="15" t="s">
        <v>225</v>
      </c>
      <c r="P47" s="15" t="s">
        <v>24</v>
      </c>
      <c r="Q47" s="16">
        <v>0.25</v>
      </c>
      <c r="R47" s="16">
        <v>0.75</v>
      </c>
      <c r="S47" s="16">
        <v>0.73</v>
      </c>
      <c r="T47" s="17">
        <v>45451.0</v>
      </c>
      <c r="U47" s="18">
        <v>2.0</v>
      </c>
      <c r="V47" s="15" t="s">
        <v>33</v>
      </c>
      <c r="W47" s="19">
        <f t="shared" si="1"/>
        <v>0.73</v>
      </c>
      <c r="X47" s="19">
        <f t="shared" si="4"/>
        <v>0.65486</v>
      </c>
    </row>
    <row r="48">
      <c r="A48" s="8">
        <f t="shared" si="3"/>
        <v>47</v>
      </c>
      <c r="B48" s="8" t="s">
        <v>26</v>
      </c>
      <c r="C48" s="8" t="s">
        <v>40</v>
      </c>
      <c r="D48" s="8">
        <v>61.0</v>
      </c>
      <c r="E48" s="8">
        <v>5.0</v>
      </c>
      <c r="F48" s="8" t="s">
        <v>5316</v>
      </c>
      <c r="G48" s="8">
        <v>3.0</v>
      </c>
      <c r="H48" s="8">
        <v>5.0</v>
      </c>
      <c r="I48" s="111">
        <f>10/(9*2)</f>
        <v>0.5555555556</v>
      </c>
      <c r="J48" s="8" t="s">
        <v>1479</v>
      </c>
      <c r="K48" s="8" t="s">
        <v>1480</v>
      </c>
      <c r="L48" s="8">
        <v>0.0</v>
      </c>
      <c r="M48" s="8" t="s">
        <v>463</v>
      </c>
      <c r="N48" s="8" t="s">
        <v>22</v>
      </c>
      <c r="O48" s="8" t="s">
        <v>1847</v>
      </c>
      <c r="P48" s="8" t="s">
        <v>24</v>
      </c>
      <c r="Q48" s="9">
        <v>-0.5</v>
      </c>
      <c r="R48" s="9">
        <v>0.25</v>
      </c>
      <c r="S48" s="9">
        <v>0.25</v>
      </c>
      <c r="T48" s="10">
        <v>45451.0</v>
      </c>
      <c r="U48" s="11">
        <v>1.727</v>
      </c>
      <c r="V48" s="8" t="s">
        <v>33</v>
      </c>
      <c r="W48" s="12">
        <f t="shared" si="1"/>
        <v>0.18175</v>
      </c>
      <c r="X48" s="12">
        <f t="shared" si="4"/>
        <v>0.83661</v>
      </c>
    </row>
    <row r="49">
      <c r="A49" s="15">
        <f t="shared" si="3"/>
        <v>48</v>
      </c>
      <c r="B49" s="15" t="s">
        <v>1915</v>
      </c>
      <c r="C49" s="15" t="s">
        <v>19</v>
      </c>
      <c r="D49" s="15">
        <v>0.0</v>
      </c>
      <c r="E49" s="15">
        <v>11.0</v>
      </c>
      <c r="F49" s="95" t="s">
        <v>5317</v>
      </c>
      <c r="G49" s="15">
        <v>2.0</v>
      </c>
      <c r="H49" s="15">
        <v>3.0</v>
      </c>
      <c r="I49" s="110">
        <v>0.8</v>
      </c>
      <c r="J49" s="15"/>
      <c r="K49" s="15"/>
      <c r="L49" s="15"/>
      <c r="M49" s="15" t="s">
        <v>82</v>
      </c>
      <c r="N49" s="15" t="s">
        <v>598</v>
      </c>
      <c r="O49" s="15" t="s">
        <v>29</v>
      </c>
      <c r="P49" s="15" t="s">
        <v>39</v>
      </c>
      <c r="Q49" s="16">
        <v>-2.5</v>
      </c>
      <c r="R49" s="16">
        <v>0.5</v>
      </c>
      <c r="S49" s="16">
        <v>0.5</v>
      </c>
      <c r="T49" s="17">
        <v>45451.0</v>
      </c>
      <c r="U49" s="18">
        <v>1.65</v>
      </c>
      <c r="V49" s="15" t="s">
        <v>33</v>
      </c>
      <c r="W49" s="19">
        <f t="shared" si="1"/>
        <v>0.325</v>
      </c>
      <c r="X49" s="19">
        <f t="shared" si="4"/>
        <v>1.16161</v>
      </c>
    </row>
    <row r="50">
      <c r="A50" s="8">
        <f t="shared" si="3"/>
        <v>49</v>
      </c>
      <c r="B50" s="8" t="s">
        <v>26</v>
      </c>
      <c r="C50" s="8" t="s">
        <v>19</v>
      </c>
      <c r="D50" s="8">
        <v>35.0</v>
      </c>
      <c r="E50" s="8">
        <v>11.0</v>
      </c>
      <c r="F50" s="8" t="s">
        <v>5318</v>
      </c>
      <c r="G50" s="8"/>
      <c r="H50" s="8"/>
      <c r="I50" s="111"/>
      <c r="J50" s="8"/>
      <c r="K50" s="8"/>
      <c r="L50" s="8"/>
      <c r="M50" s="8" t="s">
        <v>82</v>
      </c>
      <c r="N50" s="8" t="s">
        <v>22</v>
      </c>
      <c r="O50" s="8" t="s">
        <v>29</v>
      </c>
      <c r="P50" s="8" t="s">
        <v>1522</v>
      </c>
      <c r="Q50" s="9">
        <v>-2.0</v>
      </c>
      <c r="R50" s="9">
        <v>0.3</v>
      </c>
      <c r="S50" s="9">
        <v>0.3</v>
      </c>
      <c r="T50" s="10">
        <v>45451.0</v>
      </c>
      <c r="U50" s="11">
        <v>2.0</v>
      </c>
      <c r="V50" s="8" t="s">
        <v>33</v>
      </c>
      <c r="W50" s="12">
        <f t="shared" si="1"/>
        <v>0.3</v>
      </c>
      <c r="X50" s="12">
        <f t="shared" si="4"/>
        <v>1.46161</v>
      </c>
    </row>
    <row r="51">
      <c r="A51" s="15">
        <f t="shared" si="3"/>
        <v>50</v>
      </c>
      <c r="B51" s="15" t="s">
        <v>18</v>
      </c>
      <c r="C51" s="15" t="s">
        <v>19</v>
      </c>
      <c r="D51" s="15">
        <v>34.0</v>
      </c>
      <c r="E51" s="15">
        <v>2.0</v>
      </c>
      <c r="F51" s="15" t="s">
        <v>5319</v>
      </c>
      <c r="G51" s="15" t="s">
        <v>5553</v>
      </c>
      <c r="H51" s="15" t="s">
        <v>5553</v>
      </c>
      <c r="I51" s="110"/>
      <c r="J51" s="15" t="s">
        <v>1473</v>
      </c>
      <c r="K51" s="15" t="s">
        <v>1474</v>
      </c>
      <c r="L51" s="15">
        <v>0.0</v>
      </c>
      <c r="M51" s="15" t="s">
        <v>101</v>
      </c>
      <c r="N51" s="15" t="s">
        <v>22</v>
      </c>
      <c r="O51" s="15" t="s">
        <v>225</v>
      </c>
      <c r="P51" s="15" t="s">
        <v>24</v>
      </c>
      <c r="Q51" s="16">
        <v>0.25</v>
      </c>
      <c r="R51" s="16">
        <v>0.2</v>
      </c>
      <c r="S51" s="16">
        <v>0.2</v>
      </c>
      <c r="T51" s="17">
        <v>45452.0</v>
      </c>
      <c r="U51" s="18">
        <v>1.6</v>
      </c>
      <c r="V51" s="15" t="s">
        <v>33</v>
      </c>
      <c r="W51" s="19">
        <f t="shared" si="1"/>
        <v>0.12</v>
      </c>
      <c r="X51" s="19">
        <f t="shared" si="4"/>
        <v>1.58161</v>
      </c>
      <c r="Y51" s="40"/>
      <c r="Z51" s="41" t="s">
        <v>125</v>
      </c>
      <c r="AA51" s="41" t="s">
        <v>126</v>
      </c>
      <c r="AB51" s="41" t="s">
        <v>45</v>
      </c>
    </row>
    <row r="52">
      <c r="A52" s="8">
        <f t="shared" si="3"/>
        <v>51</v>
      </c>
      <c r="B52" s="8" t="s">
        <v>26</v>
      </c>
      <c r="C52" s="8" t="s">
        <v>19</v>
      </c>
      <c r="D52" s="8">
        <v>0.0</v>
      </c>
      <c r="E52" s="8">
        <v>11.0</v>
      </c>
      <c r="F52" s="8" t="s">
        <v>5320</v>
      </c>
      <c r="G52" s="8"/>
      <c r="H52" s="8"/>
      <c r="I52" s="111"/>
      <c r="J52" s="8"/>
      <c r="K52" s="8"/>
      <c r="L52" s="8"/>
      <c r="M52" s="8" t="s">
        <v>248</v>
      </c>
      <c r="N52" s="8" t="s">
        <v>22</v>
      </c>
      <c r="O52" s="8" t="s">
        <v>29</v>
      </c>
      <c r="P52" s="8" t="s">
        <v>24</v>
      </c>
      <c r="Q52" s="9">
        <v>-2.0</v>
      </c>
      <c r="R52" s="9">
        <v>0.5</v>
      </c>
      <c r="S52" s="9">
        <v>0.5</v>
      </c>
      <c r="T52" s="10">
        <v>45453.0</v>
      </c>
      <c r="U52" s="11">
        <v>1.925</v>
      </c>
      <c r="V52" s="8" t="s">
        <v>33</v>
      </c>
      <c r="W52" s="12">
        <f t="shared" si="1"/>
        <v>0.4625</v>
      </c>
      <c r="X52" s="12">
        <f t="shared" si="4"/>
        <v>2.04411</v>
      </c>
      <c r="Y52" s="41" t="s">
        <v>129</v>
      </c>
      <c r="Z52" s="45">
        <f t="shared" ref="Z52:Z58" si="6">SUMIF($B$2:$B$2981,Y52,$W$2:$W$2981)</f>
        <v>0.2809571429</v>
      </c>
      <c r="AA52" s="45">
        <f t="shared" ref="AA52:AA58" si="7">SUMIF($B$2:$B$2981,Y52,$S$2:$S$2981)</f>
        <v>7.03</v>
      </c>
      <c r="AB52" s="46">
        <f t="shared" ref="AB52:AB58" si="8">Z52/AA52</f>
        <v>0.03996545418</v>
      </c>
    </row>
    <row r="53">
      <c r="A53" s="15">
        <f t="shared" si="3"/>
        <v>52</v>
      </c>
      <c r="B53" s="149" t="s">
        <v>1915</v>
      </c>
      <c r="C53" s="150" t="s">
        <v>19</v>
      </c>
      <c r="D53" s="15">
        <v>0.0</v>
      </c>
      <c r="E53" s="15">
        <v>11.0</v>
      </c>
      <c r="F53" s="150" t="s">
        <v>5321</v>
      </c>
      <c r="G53" s="177"/>
      <c r="H53" s="177"/>
      <c r="I53" s="178" t="s">
        <v>1479</v>
      </c>
      <c r="J53" s="177"/>
      <c r="K53" s="177"/>
      <c r="L53" s="177"/>
      <c r="M53" s="150" t="s">
        <v>794</v>
      </c>
      <c r="N53" s="150" t="s">
        <v>22</v>
      </c>
      <c r="O53" s="150" t="s">
        <v>29</v>
      </c>
      <c r="P53" s="15" t="s">
        <v>39</v>
      </c>
      <c r="Q53" s="151">
        <v>-2.5</v>
      </c>
      <c r="R53" s="151">
        <v>0.25</v>
      </c>
      <c r="S53" s="151">
        <v>0.25</v>
      </c>
      <c r="T53" s="168">
        <v>45454.0</v>
      </c>
      <c r="U53" s="169">
        <v>1.825</v>
      </c>
      <c r="V53" s="150" t="s">
        <v>33</v>
      </c>
      <c r="W53" s="19">
        <f t="shared" si="1"/>
        <v>0.20625</v>
      </c>
      <c r="X53" s="19">
        <f t="shared" si="4"/>
        <v>2.25036</v>
      </c>
      <c r="Y53" s="41" t="s">
        <v>26</v>
      </c>
      <c r="Z53" s="45">
        <f t="shared" si="6"/>
        <v>2.546108065</v>
      </c>
      <c r="AA53" s="45">
        <f t="shared" si="7"/>
        <v>13.54032258</v>
      </c>
      <c r="AB53" s="46">
        <f t="shared" si="8"/>
        <v>0.1880389518</v>
      </c>
    </row>
    <row r="54">
      <c r="A54" s="8">
        <f t="shared" si="3"/>
        <v>53</v>
      </c>
      <c r="B54" s="8" t="s">
        <v>18</v>
      </c>
      <c r="C54" s="153" t="s">
        <v>19</v>
      </c>
      <c r="D54" s="153">
        <v>58.0</v>
      </c>
      <c r="E54" s="179"/>
      <c r="F54" s="153" t="s">
        <v>5322</v>
      </c>
      <c r="G54" s="179"/>
      <c r="H54" s="179"/>
      <c r="I54" s="153" t="s">
        <v>1</v>
      </c>
      <c r="J54" s="153" t="s">
        <v>1473</v>
      </c>
      <c r="K54" s="153" t="s">
        <v>1477</v>
      </c>
      <c r="L54" s="153">
        <v>3.0</v>
      </c>
      <c r="M54" s="153" t="s">
        <v>794</v>
      </c>
      <c r="N54" s="153" t="s">
        <v>22</v>
      </c>
      <c r="O54" s="153" t="s">
        <v>894</v>
      </c>
      <c r="P54" s="8" t="s">
        <v>39</v>
      </c>
      <c r="Q54" s="180">
        <v>-0.75</v>
      </c>
      <c r="R54" s="180">
        <v>0.1</v>
      </c>
      <c r="S54" s="180">
        <v>0.1</v>
      </c>
      <c r="T54" s="173">
        <v>45454.0</v>
      </c>
      <c r="U54" s="181">
        <v>1.925</v>
      </c>
      <c r="V54" s="47" t="s">
        <v>25</v>
      </c>
      <c r="W54" s="12">
        <f t="shared" si="1"/>
        <v>-0.1</v>
      </c>
      <c r="X54" s="12">
        <f t="shared" si="4"/>
        <v>2.15036</v>
      </c>
      <c r="Y54" s="41" t="s">
        <v>4225</v>
      </c>
      <c r="Z54" s="45">
        <f t="shared" si="6"/>
        <v>1.120933333</v>
      </c>
      <c r="AA54" s="45">
        <f t="shared" si="7"/>
        <v>8.076666667</v>
      </c>
      <c r="AB54" s="46">
        <f t="shared" si="8"/>
        <v>0.1387866281</v>
      </c>
    </row>
    <row r="55">
      <c r="A55" s="15">
        <f t="shared" si="3"/>
        <v>54</v>
      </c>
      <c r="B55" s="15" t="s">
        <v>137</v>
      </c>
      <c r="C55" s="15" t="s">
        <v>19</v>
      </c>
      <c r="D55" s="15">
        <v>21.0</v>
      </c>
      <c r="E55" s="15">
        <v>3.0</v>
      </c>
      <c r="F55" s="15" t="s">
        <v>5323</v>
      </c>
      <c r="G55" s="15">
        <v>4.0</v>
      </c>
      <c r="H55" s="15">
        <v>3.0</v>
      </c>
      <c r="I55" s="112">
        <f t="shared" ref="I55:I56" si="9">5/6</f>
        <v>0.8333333333</v>
      </c>
      <c r="J55" s="15" t="s">
        <v>1479</v>
      </c>
      <c r="K55" s="15" t="s">
        <v>1480</v>
      </c>
      <c r="L55" s="15">
        <v>0.0</v>
      </c>
      <c r="M55" s="15" t="s">
        <v>82</v>
      </c>
      <c r="N55" s="15" t="s">
        <v>22</v>
      </c>
      <c r="O55" s="15" t="s">
        <v>1150</v>
      </c>
      <c r="P55" s="15" t="s">
        <v>1522</v>
      </c>
      <c r="Q55" s="16">
        <v>0.0</v>
      </c>
      <c r="R55" s="16">
        <v>0.2</v>
      </c>
      <c r="S55" s="16">
        <v>0.2</v>
      </c>
      <c r="T55" s="55">
        <v>45454.0</v>
      </c>
      <c r="U55" s="18">
        <v>1.7</v>
      </c>
      <c r="V55" s="15" t="s">
        <v>25</v>
      </c>
      <c r="W55" s="19">
        <f t="shared" si="1"/>
        <v>-0.2</v>
      </c>
      <c r="X55" s="19">
        <f t="shared" si="4"/>
        <v>1.95036</v>
      </c>
      <c r="Y55" s="41" t="s">
        <v>137</v>
      </c>
      <c r="Z55" s="45">
        <f t="shared" si="6"/>
        <v>-0.4</v>
      </c>
      <c r="AA55" s="45">
        <f t="shared" si="7"/>
        <v>2.1</v>
      </c>
      <c r="AB55" s="46">
        <f t="shared" si="8"/>
        <v>-0.1904761905</v>
      </c>
    </row>
    <row r="56">
      <c r="A56" s="8">
        <f t="shared" si="3"/>
        <v>55</v>
      </c>
      <c r="B56" s="8" t="s">
        <v>26</v>
      </c>
      <c r="C56" s="8" t="s">
        <v>19</v>
      </c>
      <c r="D56" s="8">
        <v>40.0</v>
      </c>
      <c r="E56" s="8">
        <v>3.0</v>
      </c>
      <c r="F56" s="8" t="s">
        <v>5323</v>
      </c>
      <c r="G56" s="8">
        <v>4.0</v>
      </c>
      <c r="H56" s="8">
        <v>3.0</v>
      </c>
      <c r="I56" s="109">
        <f t="shared" si="9"/>
        <v>0.8333333333</v>
      </c>
      <c r="J56" s="8" t="s">
        <v>1479</v>
      </c>
      <c r="K56" s="8" t="s">
        <v>1480</v>
      </c>
      <c r="L56" s="8">
        <v>-1.0</v>
      </c>
      <c r="M56" s="8" t="s">
        <v>82</v>
      </c>
      <c r="N56" s="8" t="s">
        <v>22</v>
      </c>
      <c r="O56" s="8" t="s">
        <v>1150</v>
      </c>
      <c r="P56" s="8" t="s">
        <v>1522</v>
      </c>
      <c r="Q56" s="9">
        <v>0.0</v>
      </c>
      <c r="R56" s="9">
        <v>0.2</v>
      </c>
      <c r="S56" s="9">
        <v>0.12</v>
      </c>
      <c r="T56" s="54">
        <v>45454.0</v>
      </c>
      <c r="U56" s="11">
        <v>1.625</v>
      </c>
      <c r="V56" s="8" t="s">
        <v>70</v>
      </c>
      <c r="W56" s="12">
        <f t="shared" si="1"/>
        <v>0</v>
      </c>
      <c r="X56" s="12">
        <f t="shared" si="4"/>
        <v>1.95036</v>
      </c>
      <c r="Y56" s="41" t="s">
        <v>18</v>
      </c>
      <c r="Z56" s="45">
        <f t="shared" si="6"/>
        <v>1.0315</v>
      </c>
      <c r="AA56" s="45">
        <f t="shared" si="7"/>
        <v>8.7</v>
      </c>
      <c r="AB56" s="46">
        <f t="shared" si="8"/>
        <v>0.1185632184</v>
      </c>
    </row>
    <row r="57">
      <c r="A57" s="15">
        <f t="shared" si="3"/>
        <v>56</v>
      </c>
      <c r="B57" s="15" t="s">
        <v>129</v>
      </c>
      <c r="C57" s="15" t="s">
        <v>40</v>
      </c>
      <c r="D57" s="15">
        <v>25.0</v>
      </c>
      <c r="E57" s="15">
        <v>5.0</v>
      </c>
      <c r="F57" s="15" t="s">
        <v>5324</v>
      </c>
      <c r="G57" s="15"/>
      <c r="H57" s="15"/>
      <c r="I57" s="110"/>
      <c r="J57" s="15" t="s">
        <v>1473</v>
      </c>
      <c r="K57" s="15" t="s">
        <v>1477</v>
      </c>
      <c r="L57" s="15">
        <v>0.0</v>
      </c>
      <c r="M57" s="15" t="s">
        <v>1003</v>
      </c>
      <c r="N57" s="15" t="s">
        <v>22</v>
      </c>
      <c r="O57" s="15" t="s">
        <v>894</v>
      </c>
      <c r="P57" s="15" t="s">
        <v>24</v>
      </c>
      <c r="Q57" s="16">
        <v>-0.5</v>
      </c>
      <c r="R57" s="16">
        <v>0.2</v>
      </c>
      <c r="S57" s="16">
        <v>0.2</v>
      </c>
      <c r="T57" s="17">
        <v>45454.0</v>
      </c>
      <c r="U57" s="18">
        <f>186.45/140</f>
        <v>1.331785714</v>
      </c>
      <c r="V57" s="150" t="s">
        <v>33</v>
      </c>
      <c r="W57" s="19">
        <f t="shared" si="1"/>
        <v>0.06635714286</v>
      </c>
      <c r="X57" s="19">
        <f t="shared" si="4"/>
        <v>2.016717143</v>
      </c>
      <c r="Y57" s="41" t="s">
        <v>131</v>
      </c>
      <c r="Z57" s="45">
        <f t="shared" si="6"/>
        <v>0.8802314286</v>
      </c>
      <c r="AA57" s="45">
        <f t="shared" si="7"/>
        <v>3.85</v>
      </c>
      <c r="AB57" s="46">
        <f t="shared" si="8"/>
        <v>0.2286315399</v>
      </c>
    </row>
    <row r="58">
      <c r="A58" s="8">
        <f t="shared" si="3"/>
        <v>57</v>
      </c>
      <c r="B58" s="8" t="s">
        <v>26</v>
      </c>
      <c r="C58" s="8" t="s">
        <v>19</v>
      </c>
      <c r="D58" s="8">
        <v>65.0</v>
      </c>
      <c r="E58" s="8">
        <v>5.0</v>
      </c>
      <c r="F58" s="8" t="s">
        <v>5325</v>
      </c>
      <c r="G58" s="8">
        <v>3.0</v>
      </c>
      <c r="H58" s="8">
        <v>16.0</v>
      </c>
      <c r="I58" s="111">
        <f>36/(19*2)</f>
        <v>0.9473684211</v>
      </c>
      <c r="J58" s="8" t="s">
        <v>1479</v>
      </c>
      <c r="K58" s="8" t="s">
        <v>1477</v>
      </c>
      <c r="L58" s="8">
        <v>0.0</v>
      </c>
      <c r="M58" s="8" t="s">
        <v>191</v>
      </c>
      <c r="N58" s="8" t="s">
        <v>22</v>
      </c>
      <c r="O58" s="8" t="s">
        <v>894</v>
      </c>
      <c r="P58" s="8" t="s">
        <v>39</v>
      </c>
      <c r="Q58" s="9">
        <v>-0.75</v>
      </c>
      <c r="R58" s="9">
        <v>0.25</v>
      </c>
      <c r="S58" s="9">
        <v>0.25</v>
      </c>
      <c r="T58" s="10">
        <v>45455.0</v>
      </c>
      <c r="U58" s="11">
        <v>1.8</v>
      </c>
      <c r="V58" s="8" t="s">
        <v>25</v>
      </c>
      <c r="W58" s="12">
        <f t="shared" si="1"/>
        <v>-0.25</v>
      </c>
      <c r="X58" s="12">
        <f t="shared" si="4"/>
        <v>1.766717143</v>
      </c>
      <c r="Y58" s="41" t="s">
        <v>1915</v>
      </c>
      <c r="Z58" s="45">
        <f t="shared" si="6"/>
        <v>0.4539119048</v>
      </c>
      <c r="AA58" s="45">
        <f t="shared" si="7"/>
        <v>2.85</v>
      </c>
      <c r="AB58" s="46">
        <f t="shared" si="8"/>
        <v>0.159267335</v>
      </c>
    </row>
    <row r="59">
      <c r="A59" s="15">
        <f t="shared" si="3"/>
        <v>58</v>
      </c>
      <c r="B59" s="15" t="s">
        <v>4225</v>
      </c>
      <c r="C59" s="15" t="s">
        <v>19</v>
      </c>
      <c r="D59" s="15">
        <v>0.0</v>
      </c>
      <c r="E59" s="15"/>
      <c r="F59" s="15" t="s">
        <v>5326</v>
      </c>
      <c r="G59" s="15">
        <v>8.0</v>
      </c>
      <c r="H59" s="15">
        <v>12.0</v>
      </c>
      <c r="I59" s="110">
        <f>10/(15*2)</f>
        <v>0.3333333333</v>
      </c>
      <c r="J59" s="15" t="s">
        <v>1473</v>
      </c>
      <c r="K59" s="15" t="s">
        <v>1474</v>
      </c>
      <c r="L59" s="15">
        <v>0.0</v>
      </c>
      <c r="M59" s="15" t="s">
        <v>463</v>
      </c>
      <c r="N59" s="15" t="s">
        <v>598</v>
      </c>
      <c r="O59" s="15" t="s">
        <v>892</v>
      </c>
      <c r="P59" s="15" t="s">
        <v>2201</v>
      </c>
      <c r="Q59" s="16">
        <v>0.75</v>
      </c>
      <c r="R59" s="16">
        <v>0.1</v>
      </c>
      <c r="S59" s="16">
        <v>0.1</v>
      </c>
      <c r="T59" s="17">
        <v>45455.0</v>
      </c>
      <c r="U59" s="18">
        <v>1.925</v>
      </c>
      <c r="V59" s="15" t="s">
        <v>25</v>
      </c>
      <c r="W59" s="19">
        <f t="shared" si="1"/>
        <v>-0.1</v>
      </c>
      <c r="X59" s="49">
        <f t="shared" si="4"/>
        <v>1.666717143</v>
      </c>
    </row>
    <row r="60">
      <c r="A60" s="8">
        <f t="shared" si="3"/>
        <v>59</v>
      </c>
      <c r="B60" s="8" t="s">
        <v>4225</v>
      </c>
      <c r="C60" s="8" t="s">
        <v>19</v>
      </c>
      <c r="D60" s="8">
        <v>61.0</v>
      </c>
      <c r="E60" s="8"/>
      <c r="F60" s="8" t="s">
        <v>5327</v>
      </c>
      <c r="G60" s="8"/>
      <c r="H60" s="8"/>
      <c r="I60" s="111"/>
      <c r="J60" s="8" t="s">
        <v>1479</v>
      </c>
      <c r="K60" s="8" t="s">
        <v>1480</v>
      </c>
      <c r="L60" s="8">
        <v>0.0</v>
      </c>
      <c r="M60" s="8" t="s">
        <v>463</v>
      </c>
      <c r="N60" s="8" t="s">
        <v>22</v>
      </c>
      <c r="O60" s="8" t="s">
        <v>941</v>
      </c>
      <c r="P60" s="8" t="s">
        <v>24</v>
      </c>
      <c r="Q60" s="9">
        <v>0.0</v>
      </c>
      <c r="R60" s="9">
        <v>0.5</v>
      </c>
      <c r="S60" s="9">
        <v>0.5</v>
      </c>
      <c r="T60" s="10">
        <v>45455.0</v>
      </c>
      <c r="U60" s="11">
        <v>2.1</v>
      </c>
      <c r="V60" s="8" t="s">
        <v>70</v>
      </c>
      <c r="W60" s="12">
        <f t="shared" si="1"/>
        <v>0</v>
      </c>
      <c r="X60" s="48">
        <f t="shared" si="4"/>
        <v>1.666717143</v>
      </c>
      <c r="Y60" s="100" t="s">
        <v>0</v>
      </c>
      <c r="Z60" s="101" t="s">
        <v>960</v>
      </c>
      <c r="AA60" s="102"/>
      <c r="AB60" s="103"/>
    </row>
    <row r="61">
      <c r="A61" s="15">
        <f t="shared" si="3"/>
        <v>60</v>
      </c>
      <c r="B61" s="15" t="s">
        <v>4225</v>
      </c>
      <c r="C61" s="15" t="s">
        <v>19</v>
      </c>
      <c r="D61" s="15">
        <v>73.0</v>
      </c>
      <c r="E61" s="15"/>
      <c r="F61" s="15" t="s">
        <v>5328</v>
      </c>
      <c r="G61" s="15"/>
      <c r="H61" s="15"/>
      <c r="I61" s="110"/>
      <c r="J61" s="15" t="s">
        <v>1473</v>
      </c>
      <c r="K61" s="15" t="s">
        <v>1480</v>
      </c>
      <c r="L61" s="15">
        <v>0.0</v>
      </c>
      <c r="M61" s="15" t="s">
        <v>463</v>
      </c>
      <c r="N61" s="15" t="s">
        <v>22</v>
      </c>
      <c r="O61" s="15" t="s">
        <v>892</v>
      </c>
      <c r="P61" s="15" t="s">
        <v>24</v>
      </c>
      <c r="Q61" s="16">
        <v>0.0</v>
      </c>
      <c r="R61" s="16">
        <v>0.55</v>
      </c>
      <c r="S61" s="16">
        <v>0.55</v>
      </c>
      <c r="T61" s="17">
        <v>45455.0</v>
      </c>
      <c r="U61" s="18">
        <v>1.7</v>
      </c>
      <c r="V61" s="15" t="s">
        <v>70</v>
      </c>
      <c r="W61" s="19">
        <f t="shared" si="1"/>
        <v>0</v>
      </c>
      <c r="X61" s="49">
        <f t="shared" si="4"/>
        <v>1.666717143</v>
      </c>
      <c r="Y61" s="41">
        <v>1.0</v>
      </c>
      <c r="Z61" s="104" t="s">
        <v>962</v>
      </c>
      <c r="AA61" s="102"/>
      <c r="AB61" s="103"/>
    </row>
    <row r="62">
      <c r="A62" s="8">
        <f t="shared" si="3"/>
        <v>61</v>
      </c>
      <c r="B62" s="8" t="s">
        <v>18</v>
      </c>
      <c r="C62" s="8" t="s">
        <v>19</v>
      </c>
      <c r="D62" s="8">
        <v>34.0</v>
      </c>
      <c r="E62" s="8"/>
      <c r="F62" s="8" t="s">
        <v>5329</v>
      </c>
      <c r="G62" s="8">
        <v>7.0</v>
      </c>
      <c r="H62" s="8">
        <v>5.0</v>
      </c>
      <c r="I62" s="109">
        <f t="shared" ref="I62:I63" si="10">5/6</f>
        <v>0.8333333333</v>
      </c>
      <c r="J62" s="8" t="s">
        <v>1473</v>
      </c>
      <c r="K62" s="8" t="s">
        <v>1474</v>
      </c>
      <c r="L62" s="8">
        <v>0.0</v>
      </c>
      <c r="M62" s="8" t="s">
        <v>96</v>
      </c>
      <c r="N62" s="8" t="s">
        <v>22</v>
      </c>
      <c r="O62" s="8" t="s">
        <v>892</v>
      </c>
      <c r="P62" s="8" t="s">
        <v>24</v>
      </c>
      <c r="Q62" s="9">
        <v>0.5</v>
      </c>
      <c r="R62" s="9">
        <v>0.4</v>
      </c>
      <c r="S62" s="9">
        <v>0.4</v>
      </c>
      <c r="T62" s="10">
        <v>45456.0</v>
      </c>
      <c r="U62" s="11">
        <v>1.505</v>
      </c>
      <c r="V62" s="8" t="s">
        <v>33</v>
      </c>
      <c r="W62" s="12">
        <f t="shared" si="1"/>
        <v>0.202</v>
      </c>
      <c r="X62" s="48">
        <f t="shared" si="4"/>
        <v>1.868717143</v>
      </c>
      <c r="Y62" s="41">
        <v>2.0</v>
      </c>
      <c r="Z62" s="104" t="s">
        <v>965</v>
      </c>
      <c r="AA62" s="102"/>
      <c r="AB62" s="103"/>
    </row>
    <row r="63">
      <c r="A63" s="15">
        <f t="shared" si="3"/>
        <v>62</v>
      </c>
      <c r="B63" s="15" t="s">
        <v>18</v>
      </c>
      <c r="C63" s="15" t="s">
        <v>19</v>
      </c>
      <c r="D63" s="15">
        <v>36.0</v>
      </c>
      <c r="E63" s="15"/>
      <c r="F63" s="15" t="s">
        <v>5330</v>
      </c>
      <c r="G63" s="15">
        <v>7.0</v>
      </c>
      <c r="H63" s="15">
        <v>5.0</v>
      </c>
      <c r="I63" s="112">
        <f t="shared" si="10"/>
        <v>0.8333333333</v>
      </c>
      <c r="J63" s="15" t="s">
        <v>1473</v>
      </c>
      <c r="K63" s="15"/>
      <c r="L63" s="15">
        <v>0.0</v>
      </c>
      <c r="M63" s="15" t="s">
        <v>96</v>
      </c>
      <c r="N63" s="15" t="s">
        <v>22</v>
      </c>
      <c r="O63" s="15" t="s">
        <v>1165</v>
      </c>
      <c r="P63" s="15" t="s">
        <v>24</v>
      </c>
      <c r="Q63" s="16"/>
      <c r="R63" s="16">
        <v>0.1</v>
      </c>
      <c r="S63" s="16">
        <v>0.1</v>
      </c>
      <c r="T63" s="17">
        <v>45456.0</v>
      </c>
      <c r="U63" s="18">
        <v>4.0</v>
      </c>
      <c r="V63" s="15" t="s">
        <v>33</v>
      </c>
      <c r="W63" s="19">
        <f t="shared" si="1"/>
        <v>0.3</v>
      </c>
      <c r="X63" s="49">
        <f t="shared" si="4"/>
        <v>2.168717143</v>
      </c>
      <c r="Y63" s="41">
        <v>3.0</v>
      </c>
      <c r="Z63" s="104" t="s">
        <v>967</v>
      </c>
      <c r="AA63" s="102"/>
      <c r="AB63" s="103"/>
    </row>
    <row r="64">
      <c r="A64" s="8">
        <f t="shared" si="3"/>
        <v>63</v>
      </c>
      <c r="B64" s="8" t="s">
        <v>4225</v>
      </c>
      <c r="C64" s="8" t="s">
        <v>19</v>
      </c>
      <c r="D64" s="8">
        <v>0.0</v>
      </c>
      <c r="E64" s="8"/>
      <c r="F64" s="8" t="s">
        <v>5331</v>
      </c>
      <c r="G64" s="8">
        <v>1.0</v>
      </c>
      <c r="H64" s="8">
        <v>2.0</v>
      </c>
      <c r="I64" s="111">
        <f>0/(3*2)</f>
        <v>0</v>
      </c>
      <c r="J64" s="8" t="s">
        <v>1473</v>
      </c>
      <c r="K64" s="8" t="s">
        <v>1474</v>
      </c>
      <c r="L64" s="8">
        <v>0.0</v>
      </c>
      <c r="M64" s="8" t="s">
        <v>5332</v>
      </c>
      <c r="N64" s="8" t="s">
        <v>598</v>
      </c>
      <c r="O64" s="8" t="s">
        <v>225</v>
      </c>
      <c r="P64" s="8" t="s">
        <v>1851</v>
      </c>
      <c r="Q64" s="9">
        <v>1.5</v>
      </c>
      <c r="R64" s="9">
        <v>0.1</v>
      </c>
      <c r="S64" s="9">
        <v>0.1</v>
      </c>
      <c r="T64" s="10">
        <v>45457.0</v>
      </c>
      <c r="U64" s="11">
        <v>2.0</v>
      </c>
      <c r="V64" s="8" t="s">
        <v>25</v>
      </c>
      <c r="W64" s="12">
        <f t="shared" si="1"/>
        <v>-0.1</v>
      </c>
      <c r="X64" s="48">
        <f t="shared" si="4"/>
        <v>2.068717143</v>
      </c>
      <c r="Y64" s="41">
        <v>4.0</v>
      </c>
      <c r="Z64" s="104" t="s">
        <v>969</v>
      </c>
      <c r="AA64" s="102"/>
      <c r="AB64" s="103"/>
    </row>
    <row r="65">
      <c r="A65" s="15">
        <f t="shared" si="3"/>
        <v>64</v>
      </c>
      <c r="B65" s="15" t="s">
        <v>4225</v>
      </c>
      <c r="C65" s="15" t="s">
        <v>19</v>
      </c>
      <c r="D65" s="15">
        <v>6.0</v>
      </c>
      <c r="E65" s="15">
        <v>11.0</v>
      </c>
      <c r="F65" s="15" t="s">
        <v>5333</v>
      </c>
      <c r="G65" s="15"/>
      <c r="H65" s="15"/>
      <c r="I65" s="110"/>
      <c r="J65" s="15"/>
      <c r="K65" s="15"/>
      <c r="L65" s="15"/>
      <c r="M65" s="15" t="s">
        <v>248</v>
      </c>
      <c r="N65" s="15" t="s">
        <v>22</v>
      </c>
      <c r="O65" s="15" t="s">
        <v>29</v>
      </c>
      <c r="P65" s="15" t="s">
        <v>24</v>
      </c>
      <c r="Q65" s="16">
        <v>-2.0</v>
      </c>
      <c r="R65" s="16">
        <v>0.5</v>
      </c>
      <c r="S65" s="16">
        <v>0.155</v>
      </c>
      <c r="T65" s="55">
        <v>45456.0</v>
      </c>
      <c r="U65" s="18">
        <v>1.775</v>
      </c>
      <c r="V65" s="15" t="s">
        <v>25</v>
      </c>
      <c r="W65" s="19">
        <f t="shared" si="1"/>
        <v>-0.155</v>
      </c>
      <c r="X65" s="49">
        <f t="shared" si="4"/>
        <v>1.913717143</v>
      </c>
      <c r="Y65" s="41">
        <v>5.0</v>
      </c>
      <c r="Z65" s="104" t="s">
        <v>971</v>
      </c>
      <c r="AA65" s="102"/>
      <c r="AB65" s="103"/>
    </row>
    <row r="66">
      <c r="A66" s="8">
        <f t="shared" si="3"/>
        <v>65</v>
      </c>
      <c r="B66" s="8" t="s">
        <v>26</v>
      </c>
      <c r="C66" s="8" t="s">
        <v>19</v>
      </c>
      <c r="D66" s="8">
        <v>69.0</v>
      </c>
      <c r="E66" s="8"/>
      <c r="F66" s="8" t="s">
        <v>5334</v>
      </c>
      <c r="G66" s="8"/>
      <c r="H66" s="8"/>
      <c r="I66" s="111"/>
      <c r="J66" s="8" t="s">
        <v>1479</v>
      </c>
      <c r="K66" s="8" t="s">
        <v>1480</v>
      </c>
      <c r="L66" s="8">
        <v>0.0</v>
      </c>
      <c r="M66" s="8" t="s">
        <v>78</v>
      </c>
      <c r="N66" s="8" t="s">
        <v>22</v>
      </c>
      <c r="O66" s="8" t="s">
        <v>892</v>
      </c>
      <c r="P66" s="8" t="s">
        <v>24</v>
      </c>
      <c r="Q66" s="9">
        <v>0.0</v>
      </c>
      <c r="R66" s="9">
        <v>0.5</v>
      </c>
      <c r="S66" s="9">
        <v>0.5</v>
      </c>
      <c r="T66" s="10">
        <v>45456.0</v>
      </c>
      <c r="U66" s="11">
        <v>1.7</v>
      </c>
      <c r="V66" s="8" t="s">
        <v>33</v>
      </c>
      <c r="W66" s="12">
        <f t="shared" si="1"/>
        <v>0.35</v>
      </c>
      <c r="X66" s="48">
        <f t="shared" si="4"/>
        <v>2.263717143</v>
      </c>
      <c r="Y66" s="41">
        <v>6.0</v>
      </c>
      <c r="Z66" s="104" t="s">
        <v>973</v>
      </c>
      <c r="AA66" s="102"/>
      <c r="AB66" s="103"/>
    </row>
    <row r="67">
      <c r="A67" s="15">
        <f t="shared" si="3"/>
        <v>66</v>
      </c>
      <c r="B67" s="15" t="s">
        <v>1915</v>
      </c>
      <c r="C67" s="15" t="s">
        <v>19</v>
      </c>
      <c r="D67" s="15">
        <v>0.0</v>
      </c>
      <c r="E67" s="15">
        <v>11.0</v>
      </c>
      <c r="F67" s="15" t="s">
        <v>5335</v>
      </c>
      <c r="G67" s="15"/>
      <c r="H67" s="15"/>
      <c r="I67" s="110"/>
      <c r="J67" s="15"/>
      <c r="K67" s="15"/>
      <c r="L67" s="15"/>
      <c r="M67" s="15" t="s">
        <v>82</v>
      </c>
      <c r="N67" s="15" t="s">
        <v>598</v>
      </c>
      <c r="O67" s="15" t="s">
        <v>29</v>
      </c>
      <c r="P67" s="15" t="s">
        <v>1522</v>
      </c>
      <c r="Q67" s="16">
        <v>-2.5</v>
      </c>
      <c r="R67" s="16">
        <v>0.5</v>
      </c>
      <c r="S67" s="16">
        <v>0.5</v>
      </c>
      <c r="T67" s="17">
        <v>45456.0</v>
      </c>
      <c r="U67" s="18">
        <f>(176/120*0.2+2*0.2+127.28/70*0.1)/0.5</f>
        <v>1.75032381</v>
      </c>
      <c r="V67" s="15" t="s">
        <v>33</v>
      </c>
      <c r="W67" s="19">
        <f t="shared" si="1"/>
        <v>0.3751619048</v>
      </c>
      <c r="X67" s="19">
        <f t="shared" si="4"/>
        <v>2.638879048</v>
      </c>
      <c r="Y67" s="41">
        <v>7.0</v>
      </c>
      <c r="Z67" s="104" t="s">
        <v>975</v>
      </c>
      <c r="AA67" s="102"/>
      <c r="AB67" s="103"/>
    </row>
    <row r="68">
      <c r="A68" s="8">
        <f t="shared" si="3"/>
        <v>67</v>
      </c>
      <c r="B68" s="8" t="s">
        <v>26</v>
      </c>
      <c r="C68" s="8" t="s">
        <v>19</v>
      </c>
      <c r="D68" s="8">
        <v>86.0</v>
      </c>
      <c r="E68" s="8">
        <v>3.0</v>
      </c>
      <c r="F68" s="8" t="s">
        <v>5336</v>
      </c>
      <c r="G68" s="8" t="s">
        <v>5553</v>
      </c>
      <c r="H68" s="8" t="s">
        <v>5553</v>
      </c>
      <c r="I68" s="8" t="s">
        <v>5553</v>
      </c>
      <c r="J68" s="8" t="s">
        <v>1479</v>
      </c>
      <c r="K68" s="8" t="s">
        <v>1480</v>
      </c>
      <c r="L68" s="8">
        <v>-2.0</v>
      </c>
      <c r="M68" s="8" t="s">
        <v>463</v>
      </c>
      <c r="N68" s="8" t="s">
        <v>22</v>
      </c>
      <c r="O68" s="8" t="s">
        <v>892</v>
      </c>
      <c r="P68" s="8" t="s">
        <v>24</v>
      </c>
      <c r="Q68" s="9">
        <v>0.0</v>
      </c>
      <c r="R68" s="9">
        <v>0.2</v>
      </c>
      <c r="S68" s="9">
        <v>0.2</v>
      </c>
      <c r="T68" s="54">
        <v>45456.0</v>
      </c>
      <c r="U68" s="11">
        <v>2.25</v>
      </c>
      <c r="V68" s="8" t="s">
        <v>70</v>
      </c>
      <c r="W68" s="12">
        <f t="shared" si="1"/>
        <v>0</v>
      </c>
      <c r="X68" s="12">
        <f t="shared" si="4"/>
        <v>2.638879048</v>
      </c>
      <c r="Y68" s="41">
        <v>8.0</v>
      </c>
      <c r="Z68" s="104" t="s">
        <v>977</v>
      </c>
      <c r="AA68" s="102"/>
      <c r="AB68" s="103"/>
    </row>
    <row r="69">
      <c r="A69" s="15">
        <f t="shared" si="3"/>
        <v>68</v>
      </c>
      <c r="B69" s="15" t="s">
        <v>131</v>
      </c>
      <c r="C69" s="15" t="s">
        <v>40</v>
      </c>
      <c r="D69" s="15">
        <v>86.0</v>
      </c>
      <c r="E69" s="15">
        <v>7.0</v>
      </c>
      <c r="F69" s="15" t="s">
        <v>5337</v>
      </c>
      <c r="G69" s="15"/>
      <c r="H69" s="15"/>
      <c r="I69" s="110"/>
      <c r="J69" s="15"/>
      <c r="K69" s="15"/>
      <c r="L69" s="15"/>
      <c r="M69" s="15" t="s">
        <v>877</v>
      </c>
      <c r="N69" s="15" t="s">
        <v>22</v>
      </c>
      <c r="O69" s="15" t="s">
        <v>29</v>
      </c>
      <c r="P69" s="15" t="s">
        <v>24</v>
      </c>
      <c r="Q69" s="16">
        <v>-3.5</v>
      </c>
      <c r="R69" s="16">
        <v>0.2</v>
      </c>
      <c r="S69" s="16">
        <v>0.2</v>
      </c>
      <c r="T69" s="17">
        <v>45457.0</v>
      </c>
      <c r="U69" s="18">
        <v>1.289</v>
      </c>
      <c r="V69" s="15" t="s">
        <v>33</v>
      </c>
      <c r="W69" s="19">
        <f t="shared" si="1"/>
        <v>0.0578</v>
      </c>
      <c r="X69" s="19">
        <f t="shared" si="4"/>
        <v>2.696679048</v>
      </c>
      <c r="Y69" s="41">
        <v>9.0</v>
      </c>
      <c r="Z69" s="104" t="s">
        <v>979</v>
      </c>
      <c r="AA69" s="102"/>
      <c r="AB69" s="103"/>
    </row>
    <row r="70">
      <c r="A70" s="8">
        <f t="shared" si="3"/>
        <v>69</v>
      </c>
      <c r="B70" s="8" t="s">
        <v>131</v>
      </c>
      <c r="C70" s="8" t="s">
        <v>19</v>
      </c>
      <c r="D70" s="8">
        <v>36.0</v>
      </c>
      <c r="E70" s="8"/>
      <c r="F70" s="8" t="s">
        <v>5338</v>
      </c>
      <c r="G70" s="8">
        <v>3.0</v>
      </c>
      <c r="H70" s="8">
        <v>14.0</v>
      </c>
      <c r="I70" s="111">
        <f>11/(13*2)</f>
        <v>0.4230769231</v>
      </c>
      <c r="J70" s="8" t="s">
        <v>1479</v>
      </c>
      <c r="K70" s="8" t="s">
        <v>1477</v>
      </c>
      <c r="L70" s="8">
        <v>0.0</v>
      </c>
      <c r="M70" s="8" t="s">
        <v>940</v>
      </c>
      <c r="N70" s="8" t="s">
        <v>22</v>
      </c>
      <c r="O70" s="8" t="s">
        <v>894</v>
      </c>
      <c r="P70" s="8" t="s">
        <v>1803</v>
      </c>
      <c r="Q70" s="9">
        <v>-0.25</v>
      </c>
      <c r="R70" s="9">
        <v>0.4</v>
      </c>
      <c r="S70" s="9">
        <v>0.4</v>
      </c>
      <c r="T70" s="10">
        <v>45457.0</v>
      </c>
      <c r="U70" s="11">
        <v>1.778</v>
      </c>
      <c r="V70" s="8" t="s">
        <v>33</v>
      </c>
      <c r="W70" s="12">
        <f t="shared" si="1"/>
        <v>0.3112</v>
      </c>
      <c r="X70" s="12">
        <f t="shared" si="4"/>
        <v>3.007879048</v>
      </c>
      <c r="Y70" s="41">
        <v>10.0</v>
      </c>
      <c r="Z70" s="104" t="s">
        <v>981</v>
      </c>
      <c r="AA70" s="102"/>
      <c r="AB70" s="103"/>
    </row>
    <row r="71">
      <c r="A71" s="15">
        <f t="shared" si="3"/>
        <v>70</v>
      </c>
      <c r="B71" s="15" t="s">
        <v>4225</v>
      </c>
      <c r="C71" s="15" t="s">
        <v>40</v>
      </c>
      <c r="D71" s="15">
        <v>85.0</v>
      </c>
      <c r="E71" s="15"/>
      <c r="F71" s="15" t="s">
        <v>5339</v>
      </c>
      <c r="G71" s="15"/>
      <c r="H71" s="15"/>
      <c r="I71" s="110"/>
      <c r="J71" s="15"/>
      <c r="K71" s="15"/>
      <c r="L71" s="15"/>
      <c r="M71" s="15" t="s">
        <v>877</v>
      </c>
      <c r="N71" s="15" t="s">
        <v>22</v>
      </c>
      <c r="O71" s="15" t="s">
        <v>29</v>
      </c>
      <c r="P71" s="15" t="s">
        <v>24</v>
      </c>
      <c r="Q71" s="16">
        <v>-0.5</v>
      </c>
      <c r="R71" s="16">
        <v>0.2</v>
      </c>
      <c r="S71" s="16">
        <v>0.2</v>
      </c>
      <c r="T71" s="17">
        <v>45457.0</v>
      </c>
      <c r="U71" s="18">
        <v>1.063</v>
      </c>
      <c r="V71" s="15" t="s">
        <v>33</v>
      </c>
      <c r="W71" s="19">
        <f t="shared" si="1"/>
        <v>0.0126</v>
      </c>
      <c r="X71" s="19">
        <f t="shared" si="4"/>
        <v>3.020479048</v>
      </c>
      <c r="Y71" s="41">
        <v>11.0</v>
      </c>
      <c r="Z71" s="104" t="s">
        <v>983</v>
      </c>
      <c r="AA71" s="102"/>
      <c r="AB71" s="103"/>
    </row>
    <row r="72">
      <c r="A72" s="8">
        <f t="shared" si="3"/>
        <v>71</v>
      </c>
      <c r="B72" s="8" t="s">
        <v>4225</v>
      </c>
      <c r="C72" s="8" t="s">
        <v>19</v>
      </c>
      <c r="D72" s="8">
        <v>10.0</v>
      </c>
      <c r="E72" s="8"/>
      <c r="F72" s="8" t="s">
        <v>5340</v>
      </c>
      <c r="G72" s="8" t="s">
        <v>5553</v>
      </c>
      <c r="H72" s="8" t="s">
        <v>5553</v>
      </c>
      <c r="I72" s="111">
        <v>0.0</v>
      </c>
      <c r="J72" s="8" t="s">
        <v>1479</v>
      </c>
      <c r="K72" s="8" t="s">
        <v>1477</v>
      </c>
      <c r="L72" s="8">
        <v>0.0</v>
      </c>
      <c r="M72" s="8" t="s">
        <v>5332</v>
      </c>
      <c r="N72" s="8" t="s">
        <v>22</v>
      </c>
      <c r="O72" s="8" t="s">
        <v>894</v>
      </c>
      <c r="P72" s="8" t="s">
        <v>39</v>
      </c>
      <c r="Q72" s="9">
        <v>-1.5</v>
      </c>
      <c r="R72" s="9">
        <v>0.1</v>
      </c>
      <c r="S72" s="9">
        <v>0.1</v>
      </c>
      <c r="T72" s="10">
        <v>45457.0</v>
      </c>
      <c r="U72" s="11">
        <v>2.0</v>
      </c>
      <c r="V72" s="8" t="s">
        <v>33</v>
      </c>
      <c r="W72" s="12">
        <f t="shared" si="1"/>
        <v>0.1</v>
      </c>
      <c r="X72" s="12">
        <f t="shared" si="4"/>
        <v>3.120479048</v>
      </c>
      <c r="Y72" s="41">
        <v>12.0</v>
      </c>
      <c r="Z72" s="104" t="s">
        <v>985</v>
      </c>
      <c r="AA72" s="102"/>
      <c r="AB72" s="103"/>
    </row>
    <row r="73">
      <c r="A73" s="15">
        <f t="shared" si="3"/>
        <v>72</v>
      </c>
      <c r="B73" s="15" t="s">
        <v>4225</v>
      </c>
      <c r="C73" s="15" t="s">
        <v>19</v>
      </c>
      <c r="D73" s="15">
        <v>0.0</v>
      </c>
      <c r="E73" s="15"/>
      <c r="F73" s="15" t="s">
        <v>5341</v>
      </c>
      <c r="G73" s="15">
        <v>9.0</v>
      </c>
      <c r="H73" s="15">
        <v>3.0</v>
      </c>
      <c r="I73" s="110">
        <f>10/(13*2)</f>
        <v>0.3846153846</v>
      </c>
      <c r="J73" s="15" t="s">
        <v>1473</v>
      </c>
      <c r="K73" s="15" t="s">
        <v>1474</v>
      </c>
      <c r="L73" s="15">
        <v>0.0</v>
      </c>
      <c r="M73" s="15" t="s">
        <v>463</v>
      </c>
      <c r="N73" s="15" t="s">
        <v>598</v>
      </c>
      <c r="O73" s="15" t="s">
        <v>225</v>
      </c>
      <c r="P73" s="15" t="s">
        <v>1851</v>
      </c>
      <c r="Q73" s="16">
        <v>0.25</v>
      </c>
      <c r="R73" s="16">
        <v>0.1</v>
      </c>
      <c r="S73" s="16">
        <v>0.1</v>
      </c>
      <c r="T73" s="17">
        <v>45458.0</v>
      </c>
      <c r="U73" s="18">
        <v>1.8</v>
      </c>
      <c r="V73" s="15" t="s">
        <v>70</v>
      </c>
      <c r="W73" s="19">
        <f t="shared" si="1"/>
        <v>0</v>
      </c>
      <c r="X73" s="19">
        <f t="shared" si="4"/>
        <v>3.120479048</v>
      </c>
      <c r="Y73" s="41">
        <v>13.0</v>
      </c>
      <c r="Z73" s="104" t="s">
        <v>987</v>
      </c>
      <c r="AA73" s="102"/>
      <c r="AB73" s="103"/>
    </row>
    <row r="74">
      <c r="A74" s="8">
        <f t="shared" si="3"/>
        <v>73</v>
      </c>
      <c r="B74" s="8" t="s">
        <v>4225</v>
      </c>
      <c r="C74" s="8" t="s">
        <v>19</v>
      </c>
      <c r="D74" s="8">
        <v>63.0</v>
      </c>
      <c r="E74" s="8"/>
      <c r="F74" s="8" t="s">
        <v>5342</v>
      </c>
      <c r="G74" s="8">
        <v>1.0</v>
      </c>
      <c r="H74" s="8">
        <v>5.0</v>
      </c>
      <c r="I74" s="111">
        <v>1.0</v>
      </c>
      <c r="J74" s="8" t="s">
        <v>1479</v>
      </c>
      <c r="K74" s="8" t="s">
        <v>1477</v>
      </c>
      <c r="L74" s="8">
        <v>1.0</v>
      </c>
      <c r="M74" s="8" t="s">
        <v>908</v>
      </c>
      <c r="N74" s="8" t="s">
        <v>22</v>
      </c>
      <c r="O74" s="8" t="s">
        <v>894</v>
      </c>
      <c r="P74" s="8" t="s">
        <v>24</v>
      </c>
      <c r="Q74" s="9">
        <v>-0.75</v>
      </c>
      <c r="R74" s="9">
        <v>0.25</v>
      </c>
      <c r="S74" s="9">
        <v>0.25</v>
      </c>
      <c r="T74" s="10">
        <v>45458.0</v>
      </c>
      <c r="U74" s="11">
        <v>1.9</v>
      </c>
      <c r="V74" s="8" t="s">
        <v>33</v>
      </c>
      <c r="W74" s="12">
        <f t="shared" si="1"/>
        <v>0.225</v>
      </c>
      <c r="X74" s="12">
        <f t="shared" si="4"/>
        <v>3.345479048</v>
      </c>
    </row>
    <row r="75">
      <c r="A75" s="15">
        <f t="shared" si="3"/>
        <v>74</v>
      </c>
      <c r="B75" s="15" t="s">
        <v>4225</v>
      </c>
      <c r="C75" s="15" t="s">
        <v>19</v>
      </c>
      <c r="D75" s="15">
        <v>67.0</v>
      </c>
      <c r="E75" s="15">
        <v>3.0</v>
      </c>
      <c r="F75" s="15" t="s">
        <v>5343</v>
      </c>
      <c r="G75" s="15">
        <v>6.0</v>
      </c>
      <c r="H75" s="15">
        <v>5.0</v>
      </c>
      <c r="I75" s="110">
        <v>1.0</v>
      </c>
      <c r="J75" s="15" t="s">
        <v>1473</v>
      </c>
      <c r="K75" s="15" t="s">
        <v>1480</v>
      </c>
      <c r="L75" s="15">
        <v>1.0</v>
      </c>
      <c r="M75" s="15" t="s">
        <v>908</v>
      </c>
      <c r="N75" s="15" t="s">
        <v>22</v>
      </c>
      <c r="O75" s="15" t="s">
        <v>892</v>
      </c>
      <c r="P75" s="15" t="s">
        <v>24</v>
      </c>
      <c r="Q75" s="16">
        <v>0.0</v>
      </c>
      <c r="R75" s="16">
        <v>0.6</v>
      </c>
      <c r="S75" s="16">
        <v>0.6</v>
      </c>
      <c r="T75" s="17">
        <v>45458.0</v>
      </c>
      <c r="U75" s="18">
        <v>1.8</v>
      </c>
      <c r="V75" s="15" t="s">
        <v>70</v>
      </c>
      <c r="W75" s="19">
        <f t="shared" si="1"/>
        <v>0</v>
      </c>
      <c r="X75" s="19">
        <f t="shared" si="4"/>
        <v>3.345479048</v>
      </c>
    </row>
    <row r="76">
      <c r="A76" s="8">
        <f t="shared" si="3"/>
        <v>75</v>
      </c>
      <c r="B76" s="8" t="s">
        <v>26</v>
      </c>
      <c r="C76" s="8" t="s">
        <v>19</v>
      </c>
      <c r="D76" s="8">
        <v>70.0</v>
      </c>
      <c r="E76" s="8">
        <v>2.0</v>
      </c>
      <c r="F76" s="8" t="s">
        <v>5344</v>
      </c>
      <c r="G76" s="8">
        <v>4.0</v>
      </c>
      <c r="H76" s="8">
        <v>1.0</v>
      </c>
      <c r="I76" s="111">
        <f>17/18</f>
        <v>0.9444444444</v>
      </c>
      <c r="J76" s="8" t="s">
        <v>1473</v>
      </c>
      <c r="K76" s="8" t="s">
        <v>1474</v>
      </c>
      <c r="L76" s="8">
        <v>1.0</v>
      </c>
      <c r="M76" s="8" t="s">
        <v>513</v>
      </c>
      <c r="N76" s="8" t="s">
        <v>22</v>
      </c>
      <c r="O76" s="8" t="s">
        <v>225</v>
      </c>
      <c r="P76" s="8" t="s">
        <v>1851</v>
      </c>
      <c r="Q76" s="9">
        <v>0.25</v>
      </c>
      <c r="R76" s="9">
        <v>0.2</v>
      </c>
      <c r="S76" s="9">
        <v>0.2</v>
      </c>
      <c r="T76" s="10">
        <v>45458.0</v>
      </c>
      <c r="U76" s="11">
        <v>2.025</v>
      </c>
      <c r="V76" s="8" t="s">
        <v>33</v>
      </c>
      <c r="W76" s="12">
        <f t="shared" si="1"/>
        <v>0.205</v>
      </c>
      <c r="X76" s="12">
        <f t="shared" si="4"/>
        <v>3.550479048</v>
      </c>
    </row>
    <row r="77">
      <c r="A77" s="15">
        <f t="shared" si="3"/>
        <v>76</v>
      </c>
      <c r="B77" s="15" t="s">
        <v>4225</v>
      </c>
      <c r="C77" s="15" t="s">
        <v>19</v>
      </c>
      <c r="D77" s="15">
        <v>0.0</v>
      </c>
      <c r="E77" s="15">
        <v>11.0</v>
      </c>
      <c r="F77" s="15" t="s">
        <v>5345</v>
      </c>
      <c r="G77" s="15">
        <v>6.0</v>
      </c>
      <c r="H77" s="15">
        <v>2.0</v>
      </c>
      <c r="I77" s="110">
        <v>0.866</v>
      </c>
      <c r="J77" s="15"/>
      <c r="K77" s="15"/>
      <c r="L77" s="15"/>
      <c r="M77" s="15" t="s">
        <v>224</v>
      </c>
      <c r="N77" s="15" t="s">
        <v>22</v>
      </c>
      <c r="O77" s="15" t="s">
        <v>29</v>
      </c>
      <c r="P77" s="15" t="s">
        <v>24</v>
      </c>
      <c r="Q77" s="16">
        <v>-2.0</v>
      </c>
      <c r="R77" s="16">
        <v>0.5</v>
      </c>
      <c r="S77" s="16">
        <v>0.5</v>
      </c>
      <c r="T77" s="17">
        <v>45458.0</v>
      </c>
      <c r="U77" s="18">
        <v>1.925</v>
      </c>
      <c r="V77" s="15" t="s">
        <v>33</v>
      </c>
      <c r="W77" s="19">
        <f t="shared" si="1"/>
        <v>0.4625</v>
      </c>
      <c r="X77" s="19">
        <f t="shared" si="4"/>
        <v>4.012979048</v>
      </c>
    </row>
    <row r="78">
      <c r="A78" s="8">
        <f t="shared" si="3"/>
        <v>77</v>
      </c>
      <c r="B78" s="8" t="s">
        <v>18</v>
      </c>
      <c r="C78" s="8" t="s">
        <v>19</v>
      </c>
      <c r="D78" s="8">
        <v>68.0</v>
      </c>
      <c r="E78" s="8"/>
      <c r="F78" s="8" t="s">
        <v>5346</v>
      </c>
      <c r="G78" s="8">
        <v>4.0</v>
      </c>
      <c r="H78" s="8">
        <v>2.0</v>
      </c>
      <c r="I78" s="111">
        <f>17/18</f>
        <v>0.9444444444</v>
      </c>
      <c r="J78" s="8" t="s">
        <v>1479</v>
      </c>
      <c r="K78" s="8" t="s">
        <v>1480</v>
      </c>
      <c r="L78" s="8">
        <v>0.0</v>
      </c>
      <c r="M78" s="8" t="s">
        <v>231</v>
      </c>
      <c r="N78" s="8" t="s">
        <v>22</v>
      </c>
      <c r="O78" s="8" t="s">
        <v>892</v>
      </c>
      <c r="P78" s="8" t="s">
        <v>24</v>
      </c>
      <c r="Q78" s="9">
        <v>0.0</v>
      </c>
      <c r="R78" s="9">
        <v>0.1</v>
      </c>
      <c r="S78" s="9">
        <v>0.1</v>
      </c>
      <c r="T78" s="10">
        <v>45458.0</v>
      </c>
      <c r="U78" s="11">
        <v>1.625</v>
      </c>
      <c r="V78" s="8" t="s">
        <v>70</v>
      </c>
      <c r="W78" s="12">
        <f t="shared" si="1"/>
        <v>0</v>
      </c>
      <c r="X78" s="12">
        <f t="shared" si="4"/>
        <v>4.012979048</v>
      </c>
    </row>
    <row r="79">
      <c r="A79" s="15">
        <f t="shared" si="3"/>
        <v>78</v>
      </c>
      <c r="B79" s="15" t="s">
        <v>18</v>
      </c>
      <c r="C79" s="15" t="s">
        <v>19</v>
      </c>
      <c r="D79" s="15">
        <v>19.0</v>
      </c>
      <c r="E79" s="15"/>
      <c r="F79" s="15" t="s">
        <v>5347</v>
      </c>
      <c r="G79" s="15">
        <v>3.0</v>
      </c>
      <c r="H79" s="15">
        <v>4.0</v>
      </c>
      <c r="I79" s="110">
        <f>1/(4*2)</f>
        <v>0.125</v>
      </c>
      <c r="J79" s="15" t="s">
        <v>1479</v>
      </c>
      <c r="K79" s="15" t="s">
        <v>1474</v>
      </c>
      <c r="L79" s="15">
        <v>0.0</v>
      </c>
      <c r="M79" s="15" t="s">
        <v>82</v>
      </c>
      <c r="N79" s="15" t="s">
        <v>22</v>
      </c>
      <c r="O79" s="15" t="s">
        <v>225</v>
      </c>
      <c r="P79" s="15" t="s">
        <v>24</v>
      </c>
      <c r="Q79" s="16">
        <v>0.25</v>
      </c>
      <c r="R79" s="16">
        <v>0.5</v>
      </c>
      <c r="S79" s="16">
        <v>0.5</v>
      </c>
      <c r="T79" s="17">
        <v>45458.0</v>
      </c>
      <c r="U79" s="18">
        <v>1.13</v>
      </c>
      <c r="V79" s="15" t="s">
        <v>33</v>
      </c>
      <c r="W79" s="19">
        <f t="shared" si="1"/>
        <v>0.065</v>
      </c>
      <c r="X79" s="19">
        <f t="shared" si="4"/>
        <v>4.077979048</v>
      </c>
    </row>
    <row r="80">
      <c r="A80" s="8">
        <f t="shared" si="3"/>
        <v>79</v>
      </c>
      <c r="B80" s="8" t="s">
        <v>26</v>
      </c>
      <c r="C80" s="8" t="s">
        <v>19</v>
      </c>
      <c r="D80" s="8">
        <v>33.0</v>
      </c>
      <c r="E80" s="8"/>
      <c r="F80" s="8" t="s">
        <v>5348</v>
      </c>
      <c r="G80" s="8">
        <v>10.0</v>
      </c>
      <c r="H80" s="8">
        <v>3.0</v>
      </c>
      <c r="I80" s="111">
        <f>12/18</f>
        <v>0.6666666667</v>
      </c>
      <c r="J80" s="8" t="s">
        <v>1473</v>
      </c>
      <c r="K80" s="8" t="s">
        <v>1477</v>
      </c>
      <c r="L80" s="8">
        <v>0.0</v>
      </c>
      <c r="M80" s="8" t="s">
        <v>2898</v>
      </c>
      <c r="N80" s="8" t="s">
        <v>22</v>
      </c>
      <c r="O80" s="8" t="s">
        <v>894</v>
      </c>
      <c r="P80" s="8" t="s">
        <v>39</v>
      </c>
      <c r="Q80" s="9">
        <v>-0.5</v>
      </c>
      <c r="R80" s="9">
        <v>0.2</v>
      </c>
      <c r="S80" s="9">
        <f>0.2*59/62</f>
        <v>0.1903225806</v>
      </c>
      <c r="T80" s="10">
        <v>45459.0</v>
      </c>
      <c r="U80" s="11">
        <v>1.8</v>
      </c>
      <c r="V80" s="8" t="s">
        <v>33</v>
      </c>
      <c r="W80" s="12">
        <f t="shared" si="1"/>
        <v>0.1522580645</v>
      </c>
      <c r="X80" s="12">
        <f t="shared" si="4"/>
        <v>4.230237112</v>
      </c>
    </row>
    <row r="81">
      <c r="A81" s="15">
        <f t="shared" si="3"/>
        <v>80</v>
      </c>
      <c r="B81" s="15" t="s">
        <v>18</v>
      </c>
      <c r="C81" s="15" t="s">
        <v>19</v>
      </c>
      <c r="D81" s="15">
        <v>70.0</v>
      </c>
      <c r="E81" s="15"/>
      <c r="F81" s="15" t="s">
        <v>5349</v>
      </c>
      <c r="G81" s="15">
        <v>5.0</v>
      </c>
      <c r="H81" s="15">
        <v>3.0</v>
      </c>
      <c r="I81" s="110">
        <f>12/14</f>
        <v>0.8571428571</v>
      </c>
      <c r="J81" s="15" t="s">
        <v>1479</v>
      </c>
      <c r="K81" s="15" t="s">
        <v>1474</v>
      </c>
      <c r="L81" s="15">
        <v>0.0</v>
      </c>
      <c r="M81" s="15" t="s">
        <v>683</v>
      </c>
      <c r="N81" s="15" t="s">
        <v>22</v>
      </c>
      <c r="O81" s="15" t="s">
        <v>225</v>
      </c>
      <c r="P81" s="15" t="s">
        <v>24</v>
      </c>
      <c r="Q81" s="16">
        <v>0.25</v>
      </c>
      <c r="R81" s="16">
        <v>0.5</v>
      </c>
      <c r="S81" s="16">
        <v>0.5</v>
      </c>
      <c r="T81" s="55">
        <v>45459.0</v>
      </c>
      <c r="U81" s="18">
        <v>1.7905</v>
      </c>
      <c r="V81" s="15" t="s">
        <v>30</v>
      </c>
      <c r="W81" s="19">
        <f t="shared" si="1"/>
        <v>0.197625</v>
      </c>
      <c r="X81" s="19">
        <f t="shared" si="4"/>
        <v>4.427862112</v>
      </c>
    </row>
    <row r="82">
      <c r="A82" s="8">
        <f t="shared" si="3"/>
        <v>81</v>
      </c>
      <c r="B82" s="8" t="s">
        <v>129</v>
      </c>
      <c r="C82" s="8" t="s">
        <v>19</v>
      </c>
      <c r="D82" s="8">
        <v>15.0</v>
      </c>
      <c r="E82" s="8"/>
      <c r="F82" s="8" t="s">
        <v>5350</v>
      </c>
      <c r="G82" s="8"/>
      <c r="H82" s="8"/>
      <c r="I82" s="111"/>
      <c r="J82" s="8" t="s">
        <v>1473</v>
      </c>
      <c r="K82" s="8" t="s">
        <v>1480</v>
      </c>
      <c r="L82" s="8">
        <v>0.0</v>
      </c>
      <c r="M82" s="8" t="s">
        <v>316</v>
      </c>
      <c r="N82" s="8" t="s">
        <v>22</v>
      </c>
      <c r="O82" s="8" t="s">
        <v>892</v>
      </c>
      <c r="P82" s="8" t="s">
        <v>24</v>
      </c>
      <c r="Q82" s="9">
        <v>0.4</v>
      </c>
      <c r="R82" s="9">
        <v>0.4</v>
      </c>
      <c r="S82" s="9">
        <v>0.4</v>
      </c>
      <c r="T82" s="54">
        <v>45459.0</v>
      </c>
      <c r="U82" s="11">
        <v>1.95</v>
      </c>
      <c r="V82" s="8" t="s">
        <v>25</v>
      </c>
      <c r="W82" s="12">
        <f t="shared" si="1"/>
        <v>-0.4</v>
      </c>
      <c r="X82" s="12">
        <f t="shared" si="4"/>
        <v>4.027862112</v>
      </c>
    </row>
    <row r="83">
      <c r="A83" s="15">
        <f t="shared" si="3"/>
        <v>82</v>
      </c>
      <c r="B83" s="15" t="s">
        <v>129</v>
      </c>
      <c r="C83" s="15" t="s">
        <v>19</v>
      </c>
      <c r="D83" s="15">
        <v>80.0</v>
      </c>
      <c r="E83" s="15"/>
      <c r="F83" s="15" t="s">
        <v>5351</v>
      </c>
      <c r="G83" s="15">
        <v>10.0</v>
      </c>
      <c r="H83" s="15">
        <v>9.0</v>
      </c>
      <c r="I83" s="110">
        <f>11/(13*2)</f>
        <v>0.4230769231</v>
      </c>
      <c r="J83" s="15" t="s">
        <v>1479</v>
      </c>
      <c r="K83" s="15" t="s">
        <v>1480</v>
      </c>
      <c r="L83" s="15">
        <v>-1.0</v>
      </c>
      <c r="M83" s="15" t="s">
        <v>908</v>
      </c>
      <c r="N83" s="15" t="s">
        <v>22</v>
      </c>
      <c r="O83" s="15" t="s">
        <v>892</v>
      </c>
      <c r="P83" s="15" t="s">
        <v>24</v>
      </c>
      <c r="Q83" s="16">
        <v>0.0</v>
      </c>
      <c r="R83" s="16">
        <v>0.2</v>
      </c>
      <c r="S83" s="16">
        <v>0.2</v>
      </c>
      <c r="T83" s="55">
        <v>45459.0</v>
      </c>
      <c r="U83" s="18">
        <v>1.8</v>
      </c>
      <c r="V83" s="15" t="s">
        <v>70</v>
      </c>
      <c r="W83" s="19">
        <f t="shared" si="1"/>
        <v>0</v>
      </c>
      <c r="X83" s="19">
        <f t="shared" si="4"/>
        <v>4.027862112</v>
      </c>
    </row>
    <row r="84">
      <c r="A84" s="8">
        <f t="shared" si="3"/>
        <v>83</v>
      </c>
      <c r="B84" s="8" t="s">
        <v>131</v>
      </c>
      <c r="C84" s="8" t="s">
        <v>19</v>
      </c>
      <c r="D84" s="8">
        <v>80.0</v>
      </c>
      <c r="E84" s="8"/>
      <c r="F84" s="8" t="s">
        <v>5352</v>
      </c>
      <c r="G84" s="8"/>
      <c r="H84" s="8"/>
      <c r="I84" s="111"/>
      <c r="J84" s="8" t="s">
        <v>1479</v>
      </c>
      <c r="K84" s="8" t="s">
        <v>1474</v>
      </c>
      <c r="L84" s="8">
        <v>-1.0</v>
      </c>
      <c r="M84" s="8" t="s">
        <v>1085</v>
      </c>
      <c r="N84" s="8" t="s">
        <v>22</v>
      </c>
      <c r="O84" s="8" t="s">
        <v>225</v>
      </c>
      <c r="P84" s="8" t="s">
        <v>24</v>
      </c>
      <c r="Q84" s="9">
        <v>0.25</v>
      </c>
      <c r="R84" s="9">
        <v>0.2</v>
      </c>
      <c r="S84" s="9">
        <v>0.2</v>
      </c>
      <c r="T84" s="54">
        <v>45459.0</v>
      </c>
      <c r="U84" s="11">
        <v>1.675</v>
      </c>
      <c r="V84" s="8" t="s">
        <v>30</v>
      </c>
      <c r="W84" s="12">
        <f t="shared" si="1"/>
        <v>0.0675</v>
      </c>
      <c r="X84" s="12">
        <f t="shared" si="4"/>
        <v>4.095362112</v>
      </c>
    </row>
    <row r="85">
      <c r="A85" s="15">
        <f t="shared" si="3"/>
        <v>84</v>
      </c>
      <c r="B85" s="15" t="s">
        <v>26</v>
      </c>
      <c r="C85" s="15" t="s">
        <v>19</v>
      </c>
      <c r="D85" s="15">
        <v>65.0</v>
      </c>
      <c r="E85" s="15"/>
      <c r="F85" s="15" t="s">
        <v>5353</v>
      </c>
      <c r="G85" s="15"/>
      <c r="H85" s="15"/>
      <c r="I85" s="110"/>
      <c r="J85" s="15"/>
      <c r="K85" s="15"/>
      <c r="L85" s="15"/>
      <c r="M85" s="15" t="s">
        <v>82</v>
      </c>
      <c r="N85" s="15" t="s">
        <v>22</v>
      </c>
      <c r="O85" s="15" t="s">
        <v>440</v>
      </c>
      <c r="P85" s="15" t="s">
        <v>39</v>
      </c>
      <c r="Q85" s="16">
        <v>2.5</v>
      </c>
      <c r="R85" s="16">
        <v>0.1</v>
      </c>
      <c r="S85" s="16">
        <v>0.1</v>
      </c>
      <c r="T85" s="17">
        <v>45459.0</v>
      </c>
      <c r="U85" s="18">
        <v>1.625</v>
      </c>
      <c r="V85" s="15" t="s">
        <v>25</v>
      </c>
      <c r="W85" s="19">
        <f t="shared" si="1"/>
        <v>-0.1</v>
      </c>
      <c r="X85" s="19">
        <f t="shared" si="4"/>
        <v>3.995362112</v>
      </c>
    </row>
    <row r="86">
      <c r="A86" s="8">
        <f t="shared" si="3"/>
        <v>85</v>
      </c>
      <c r="B86" s="8" t="s">
        <v>4225</v>
      </c>
      <c r="C86" s="8" t="s">
        <v>40</v>
      </c>
      <c r="D86" s="8">
        <v>18.0</v>
      </c>
      <c r="E86" s="8"/>
      <c r="F86" s="8" t="s">
        <v>5354</v>
      </c>
      <c r="G86" s="8">
        <v>12.0</v>
      </c>
      <c r="H86" s="8">
        <v>8.0</v>
      </c>
      <c r="I86" s="111"/>
      <c r="J86" s="8" t="s">
        <v>1473</v>
      </c>
      <c r="K86" s="8" t="s">
        <v>1477</v>
      </c>
      <c r="L86" s="8">
        <v>1.0</v>
      </c>
      <c r="M86" s="8" t="s">
        <v>193</v>
      </c>
      <c r="N86" s="8" t="s">
        <v>22</v>
      </c>
      <c r="O86" s="8" t="s">
        <v>894</v>
      </c>
      <c r="P86" s="8" t="s">
        <v>24</v>
      </c>
      <c r="Q86" s="9">
        <v>-0.25</v>
      </c>
      <c r="R86" s="9">
        <v>0.5</v>
      </c>
      <c r="S86" s="9">
        <v>0.5</v>
      </c>
      <c r="T86" s="10">
        <v>45461.0</v>
      </c>
      <c r="U86" s="11">
        <v>1.975</v>
      </c>
      <c r="V86" s="8" t="s">
        <v>70</v>
      </c>
      <c r="W86" s="12">
        <f t="shared" si="1"/>
        <v>0</v>
      </c>
      <c r="X86" s="12">
        <f t="shared" si="4"/>
        <v>3.995362112</v>
      </c>
    </row>
    <row r="87">
      <c r="A87" s="15">
        <f t="shared" si="3"/>
        <v>86</v>
      </c>
      <c r="B87" s="15" t="s">
        <v>4225</v>
      </c>
      <c r="C87" s="15" t="s">
        <v>19</v>
      </c>
      <c r="D87" s="15">
        <v>2.0</v>
      </c>
      <c r="E87" s="15"/>
      <c r="F87" s="15" t="s">
        <v>5355</v>
      </c>
      <c r="G87" s="15">
        <v>5.0</v>
      </c>
      <c r="H87" s="15">
        <v>10.0</v>
      </c>
      <c r="I87" s="110">
        <f>32/(19*2)</f>
        <v>0.8421052632</v>
      </c>
      <c r="J87" s="15"/>
      <c r="K87" s="15"/>
      <c r="L87" s="15"/>
      <c r="M87" s="15" t="s">
        <v>174</v>
      </c>
      <c r="N87" s="15" t="s">
        <v>22</v>
      </c>
      <c r="O87" s="15" t="s">
        <v>29</v>
      </c>
      <c r="P87" s="15" t="s">
        <v>24</v>
      </c>
      <c r="Q87" s="16">
        <v>-2.0</v>
      </c>
      <c r="R87" s="16">
        <v>0.5</v>
      </c>
      <c r="S87" s="16">
        <v>0.5</v>
      </c>
      <c r="T87" s="55">
        <v>45461.0</v>
      </c>
      <c r="U87" s="18">
        <v>1.7</v>
      </c>
      <c r="V87" s="15" t="s">
        <v>33</v>
      </c>
      <c r="W87" s="19">
        <f t="shared" si="1"/>
        <v>0.35</v>
      </c>
      <c r="X87" s="19">
        <f t="shared" si="4"/>
        <v>4.345362112</v>
      </c>
    </row>
    <row r="88">
      <c r="A88" s="8">
        <f t="shared" si="3"/>
        <v>87</v>
      </c>
      <c r="B88" s="8" t="s">
        <v>26</v>
      </c>
      <c r="C88" s="8" t="s">
        <v>19</v>
      </c>
      <c r="D88" s="8">
        <v>45.0</v>
      </c>
      <c r="E88" s="8"/>
      <c r="F88" s="8" t="s">
        <v>5356</v>
      </c>
      <c r="G88" s="8">
        <v>3.0</v>
      </c>
      <c r="H88" s="8">
        <v>2.0</v>
      </c>
      <c r="I88" s="111">
        <f>1/(3*2)</f>
        <v>0.1666666667</v>
      </c>
      <c r="J88" s="8" t="s">
        <v>1479</v>
      </c>
      <c r="K88" s="8" t="s">
        <v>1477</v>
      </c>
      <c r="L88" s="8">
        <v>0.0</v>
      </c>
      <c r="M88" s="8" t="s">
        <v>5332</v>
      </c>
      <c r="N88" s="8" t="s">
        <v>22</v>
      </c>
      <c r="O88" s="8" t="s">
        <v>894</v>
      </c>
      <c r="P88" s="8" t="s">
        <v>39</v>
      </c>
      <c r="Q88" s="9">
        <v>-0.75</v>
      </c>
      <c r="R88" s="9">
        <v>0.1</v>
      </c>
      <c r="S88" s="9">
        <v>0.1</v>
      </c>
      <c r="T88" s="10">
        <v>45461.0</v>
      </c>
      <c r="U88" s="11">
        <v>1.875</v>
      </c>
      <c r="V88" s="8" t="s">
        <v>30</v>
      </c>
      <c r="W88" s="12">
        <f t="shared" si="1"/>
        <v>0.04375</v>
      </c>
      <c r="X88" s="12">
        <f t="shared" si="4"/>
        <v>4.389112112</v>
      </c>
    </row>
    <row r="89">
      <c r="A89" s="15">
        <f t="shared" si="3"/>
        <v>88</v>
      </c>
      <c r="B89" s="15" t="s">
        <v>26</v>
      </c>
      <c r="C89" s="15" t="s">
        <v>40</v>
      </c>
      <c r="D89" s="15">
        <v>0.0</v>
      </c>
      <c r="E89" s="15"/>
      <c r="F89" s="15" t="s">
        <v>5357</v>
      </c>
      <c r="G89" s="15"/>
      <c r="H89" s="15"/>
      <c r="I89" s="110"/>
      <c r="J89" s="15"/>
      <c r="K89" s="15"/>
      <c r="L89" s="15"/>
      <c r="M89" s="15" t="s">
        <v>193</v>
      </c>
      <c r="N89" s="15" t="s">
        <v>22</v>
      </c>
      <c r="O89" s="15" t="s">
        <v>29</v>
      </c>
      <c r="P89" s="15" t="s">
        <v>24</v>
      </c>
      <c r="Q89" s="16">
        <v>-2.5</v>
      </c>
      <c r="R89" s="16">
        <v>0.4</v>
      </c>
      <c r="S89" s="16">
        <v>0.4</v>
      </c>
      <c r="T89" s="17">
        <v>45462.0</v>
      </c>
      <c r="U89" s="18">
        <v>1.74</v>
      </c>
      <c r="V89" s="15" t="s">
        <v>33</v>
      </c>
      <c r="W89" s="19">
        <f t="shared" si="1"/>
        <v>0.296</v>
      </c>
      <c r="X89" s="19">
        <f t="shared" si="4"/>
        <v>4.685112112</v>
      </c>
    </row>
    <row r="90">
      <c r="A90" s="8">
        <f t="shared" si="3"/>
        <v>89</v>
      </c>
      <c r="B90" s="8" t="s">
        <v>26</v>
      </c>
      <c r="C90" s="8" t="s">
        <v>40</v>
      </c>
      <c r="D90" s="8">
        <v>0.0</v>
      </c>
      <c r="E90" s="8"/>
      <c r="F90" s="8" t="s">
        <v>5358</v>
      </c>
      <c r="G90" s="8"/>
      <c r="H90" s="8"/>
      <c r="I90" s="111"/>
      <c r="J90" s="8"/>
      <c r="K90" s="8"/>
      <c r="L90" s="8"/>
      <c r="M90" s="8" t="s">
        <v>193</v>
      </c>
      <c r="N90" s="8" t="s">
        <v>22</v>
      </c>
      <c r="O90" s="8" t="s">
        <v>29</v>
      </c>
      <c r="P90" s="8" t="s">
        <v>24</v>
      </c>
      <c r="Q90" s="9">
        <v>-2.5</v>
      </c>
      <c r="R90" s="9">
        <v>0.1</v>
      </c>
      <c r="S90" s="9">
        <v>0.1</v>
      </c>
      <c r="T90" s="10">
        <v>45462.0</v>
      </c>
      <c r="U90" s="11">
        <v>1.95</v>
      </c>
      <c r="V90" s="8" t="s">
        <v>25</v>
      </c>
      <c r="W90" s="12">
        <f t="shared" si="1"/>
        <v>-0.1</v>
      </c>
      <c r="X90" s="12">
        <f t="shared" si="4"/>
        <v>4.585112112</v>
      </c>
    </row>
    <row r="91">
      <c r="A91" s="15">
        <f t="shared" si="3"/>
        <v>90</v>
      </c>
      <c r="B91" s="15" t="s">
        <v>4225</v>
      </c>
      <c r="C91" s="15" t="s">
        <v>19</v>
      </c>
      <c r="D91" s="15">
        <v>4.0</v>
      </c>
      <c r="E91" s="15"/>
      <c r="F91" s="15" t="s">
        <v>5359</v>
      </c>
      <c r="G91" s="15">
        <v>2.0</v>
      </c>
      <c r="H91" s="15">
        <v>2.0</v>
      </c>
      <c r="I91" s="112">
        <v>1.0</v>
      </c>
      <c r="J91" s="15"/>
      <c r="K91" s="15"/>
      <c r="L91" s="15"/>
      <c r="M91" s="15" t="s">
        <v>174</v>
      </c>
      <c r="N91" s="15" t="s">
        <v>22</v>
      </c>
      <c r="O91" s="15" t="s">
        <v>29</v>
      </c>
      <c r="P91" s="15" t="s">
        <v>24</v>
      </c>
      <c r="Q91" s="16">
        <v>-2.0</v>
      </c>
      <c r="R91" s="16">
        <v>0.5</v>
      </c>
      <c r="S91" s="16">
        <v>0.5</v>
      </c>
      <c r="T91" s="17">
        <v>45462.0</v>
      </c>
      <c r="U91" s="18">
        <v>1.214</v>
      </c>
      <c r="V91" s="15" t="s">
        <v>33</v>
      </c>
      <c r="W91" s="19">
        <f t="shared" si="1"/>
        <v>0.107</v>
      </c>
      <c r="X91" s="19">
        <f t="shared" si="4"/>
        <v>4.692112112</v>
      </c>
    </row>
    <row r="92">
      <c r="A92" s="8">
        <f t="shared" si="3"/>
        <v>91</v>
      </c>
      <c r="B92" s="8" t="s">
        <v>26</v>
      </c>
      <c r="C92" s="8" t="s">
        <v>19</v>
      </c>
      <c r="D92" s="8">
        <v>0.0</v>
      </c>
      <c r="E92" s="8"/>
      <c r="F92" s="8" t="s">
        <v>5360</v>
      </c>
      <c r="G92" s="8"/>
      <c r="H92" s="8"/>
      <c r="I92" s="111"/>
      <c r="J92" s="8"/>
      <c r="K92" s="8"/>
      <c r="L92" s="8"/>
      <c r="M92" s="8" t="s">
        <v>82</v>
      </c>
      <c r="N92" s="8" t="s">
        <v>598</v>
      </c>
      <c r="O92" s="8" t="s">
        <v>2415</v>
      </c>
      <c r="P92" s="8" t="s">
        <v>39</v>
      </c>
      <c r="Q92" s="9">
        <v>9.5</v>
      </c>
      <c r="R92" s="9">
        <v>0.1</v>
      </c>
      <c r="S92" s="9">
        <v>0.1</v>
      </c>
      <c r="T92" s="10">
        <v>45462.0</v>
      </c>
      <c r="U92" s="11">
        <v>1.875</v>
      </c>
      <c r="V92" s="8" t="s">
        <v>33</v>
      </c>
      <c r="W92" s="12">
        <f t="shared" si="1"/>
        <v>0.0875</v>
      </c>
      <c r="X92" s="12">
        <f t="shared" si="4"/>
        <v>4.779612112</v>
      </c>
    </row>
    <row r="93">
      <c r="A93" s="15">
        <f t="shared" si="3"/>
        <v>92</v>
      </c>
      <c r="B93" s="15" t="s">
        <v>4225</v>
      </c>
      <c r="C93" s="15" t="s">
        <v>19</v>
      </c>
      <c r="D93" s="15">
        <v>44.0</v>
      </c>
      <c r="E93" s="15"/>
      <c r="F93" s="15" t="s">
        <v>5361</v>
      </c>
      <c r="G93" s="15">
        <v>5.0</v>
      </c>
      <c r="H93" s="15">
        <v>1.0</v>
      </c>
      <c r="I93" s="110">
        <f>32/(19*2)</f>
        <v>0.8421052632</v>
      </c>
      <c r="J93" s="15" t="s">
        <v>1479</v>
      </c>
      <c r="K93" s="15" t="s">
        <v>1474</v>
      </c>
      <c r="L93" s="15">
        <v>0.0</v>
      </c>
      <c r="M93" s="15" t="s">
        <v>174</v>
      </c>
      <c r="N93" s="15" t="s">
        <v>22</v>
      </c>
      <c r="O93" s="15" t="s">
        <v>225</v>
      </c>
      <c r="P93" s="15" t="s">
        <v>24</v>
      </c>
      <c r="Q93" s="16">
        <v>0.5</v>
      </c>
      <c r="R93" s="16">
        <v>0.2</v>
      </c>
      <c r="S93" s="16">
        <v>0.08</v>
      </c>
      <c r="T93" s="17">
        <v>45462.0</v>
      </c>
      <c r="U93" s="18">
        <v>1.725</v>
      </c>
      <c r="V93" s="15" t="s">
        <v>33</v>
      </c>
      <c r="W93" s="19">
        <f t="shared" si="1"/>
        <v>0.058</v>
      </c>
      <c r="X93" s="19">
        <f t="shared" si="4"/>
        <v>4.837612112</v>
      </c>
    </row>
    <row r="94">
      <c r="A94" s="8">
        <f t="shared" si="3"/>
        <v>93</v>
      </c>
      <c r="B94" s="8" t="s">
        <v>137</v>
      </c>
      <c r="C94" s="8" t="s">
        <v>19</v>
      </c>
      <c r="D94" s="8">
        <v>0.0</v>
      </c>
      <c r="E94" s="8"/>
      <c r="F94" s="8" t="s">
        <v>5362</v>
      </c>
      <c r="G94" s="8">
        <v>13.0</v>
      </c>
      <c r="H94" s="8">
        <v>18.0</v>
      </c>
      <c r="I94" s="111">
        <f>8/(19*2)</f>
        <v>0.2105263158</v>
      </c>
      <c r="J94" s="8"/>
      <c r="K94" s="8"/>
      <c r="L94" s="8"/>
      <c r="M94" s="8" t="s">
        <v>82</v>
      </c>
      <c r="N94" s="8" t="s">
        <v>598</v>
      </c>
      <c r="O94" s="8" t="s">
        <v>23</v>
      </c>
      <c r="P94" s="8" t="s">
        <v>39</v>
      </c>
      <c r="Q94" s="9">
        <v>-10.0</v>
      </c>
      <c r="R94" s="9">
        <v>0.1</v>
      </c>
      <c r="S94" s="9">
        <v>0.1</v>
      </c>
      <c r="T94" s="54">
        <v>45462.0</v>
      </c>
      <c r="U94" s="11">
        <v>2.0</v>
      </c>
      <c r="V94" s="8" t="s">
        <v>33</v>
      </c>
      <c r="W94" s="12">
        <f t="shared" si="1"/>
        <v>0.1</v>
      </c>
      <c r="X94" s="12">
        <f t="shared" si="4"/>
        <v>4.937612112</v>
      </c>
    </row>
    <row r="95">
      <c r="A95" s="15">
        <f t="shared" si="3"/>
        <v>94</v>
      </c>
      <c r="B95" s="15" t="s">
        <v>26</v>
      </c>
      <c r="C95" s="15" t="s">
        <v>19</v>
      </c>
      <c r="D95" s="15">
        <v>0.0</v>
      </c>
      <c r="E95" s="15"/>
      <c r="F95" s="15" t="s">
        <v>5363</v>
      </c>
      <c r="G95" s="15">
        <v>6.0</v>
      </c>
      <c r="H95" s="15">
        <v>4.0</v>
      </c>
      <c r="I95" s="110">
        <f>18/(7*2)</f>
        <v>1.285714286</v>
      </c>
      <c r="J95" s="15"/>
      <c r="K95" s="15"/>
      <c r="L95" s="15"/>
      <c r="M95" s="15" t="s">
        <v>5364</v>
      </c>
      <c r="N95" s="15" t="s">
        <v>598</v>
      </c>
      <c r="O95" s="15" t="s">
        <v>29</v>
      </c>
      <c r="P95" s="15" t="s">
        <v>24</v>
      </c>
      <c r="Q95" s="16">
        <v>-2.25</v>
      </c>
      <c r="R95" s="16">
        <v>0.2</v>
      </c>
      <c r="S95" s="16">
        <v>0.2</v>
      </c>
      <c r="T95" s="17">
        <v>45462.0</v>
      </c>
      <c r="U95" s="18">
        <v>1.925</v>
      </c>
      <c r="V95" s="15" t="s">
        <v>30</v>
      </c>
      <c r="W95" s="19">
        <f t="shared" si="1"/>
        <v>0.0925</v>
      </c>
      <c r="X95" s="19">
        <f t="shared" si="4"/>
        <v>5.030112112</v>
      </c>
    </row>
    <row r="96">
      <c r="A96" s="8">
        <f t="shared" si="3"/>
        <v>95</v>
      </c>
      <c r="B96" s="8" t="s">
        <v>137</v>
      </c>
      <c r="C96" s="8" t="s">
        <v>19</v>
      </c>
      <c r="D96" s="8">
        <v>0.0</v>
      </c>
      <c r="E96" s="8"/>
      <c r="F96" s="8" t="s">
        <v>5365</v>
      </c>
      <c r="G96" s="8">
        <v>2.0</v>
      </c>
      <c r="H96" s="8">
        <v>9.0</v>
      </c>
      <c r="I96" s="111">
        <v>0.263</v>
      </c>
      <c r="J96" s="8"/>
      <c r="K96" s="8"/>
      <c r="L96" s="8"/>
      <c r="M96" s="8" t="s">
        <v>82</v>
      </c>
      <c r="N96" s="8" t="s">
        <v>598</v>
      </c>
      <c r="O96" s="8" t="s">
        <v>2415</v>
      </c>
      <c r="P96" s="8" t="s">
        <v>39</v>
      </c>
      <c r="Q96" s="9">
        <v>10.5</v>
      </c>
      <c r="R96" s="9">
        <v>0.1</v>
      </c>
      <c r="S96" s="9">
        <v>0.1</v>
      </c>
      <c r="T96" s="10">
        <v>45463.0</v>
      </c>
      <c r="U96" s="11">
        <v>1.8</v>
      </c>
      <c r="V96" s="8" t="s">
        <v>33</v>
      </c>
      <c r="W96" s="12">
        <f t="shared" si="1"/>
        <v>0.08</v>
      </c>
      <c r="X96" s="12">
        <f t="shared" si="4"/>
        <v>5.110112112</v>
      </c>
    </row>
    <row r="97">
      <c r="A97" s="15">
        <f t="shared" si="3"/>
        <v>96</v>
      </c>
      <c r="B97" s="15" t="s">
        <v>18</v>
      </c>
      <c r="C97" s="15" t="s">
        <v>19</v>
      </c>
      <c r="D97" s="15">
        <v>36.0</v>
      </c>
      <c r="E97" s="15"/>
      <c r="F97" s="15" t="s">
        <v>5366</v>
      </c>
      <c r="G97" s="15"/>
      <c r="H97" s="15"/>
      <c r="I97" s="110"/>
      <c r="J97" s="15" t="s">
        <v>1479</v>
      </c>
      <c r="K97" s="15" t="s">
        <v>1474</v>
      </c>
      <c r="L97" s="15">
        <v>-1.0</v>
      </c>
      <c r="M97" s="15" t="s">
        <v>714</v>
      </c>
      <c r="N97" s="15" t="s">
        <v>22</v>
      </c>
      <c r="O97" s="15" t="s">
        <v>225</v>
      </c>
      <c r="P97" s="15" t="s">
        <v>24</v>
      </c>
      <c r="Q97" s="16">
        <v>0.25</v>
      </c>
      <c r="R97" s="16">
        <v>0.5</v>
      </c>
      <c r="S97" s="16">
        <v>0.5</v>
      </c>
      <c r="T97" s="17">
        <v>45463.0</v>
      </c>
      <c r="U97" s="18">
        <v>1.7</v>
      </c>
      <c r="V97" s="15" t="s">
        <v>30</v>
      </c>
      <c r="W97" s="19">
        <f t="shared" si="1"/>
        <v>0.175</v>
      </c>
      <c r="X97" s="19">
        <f t="shared" si="4"/>
        <v>5.285112112</v>
      </c>
    </row>
    <row r="98">
      <c r="A98" s="8">
        <f t="shared" si="3"/>
        <v>97</v>
      </c>
      <c r="B98" s="8" t="s">
        <v>4225</v>
      </c>
      <c r="C98" s="8" t="s">
        <v>19</v>
      </c>
      <c r="D98" s="8">
        <v>0.0</v>
      </c>
      <c r="E98" s="8"/>
      <c r="F98" s="8" t="s">
        <v>5367</v>
      </c>
      <c r="G98" s="8">
        <v>2.0</v>
      </c>
      <c r="H98" s="8">
        <v>4.0</v>
      </c>
      <c r="I98" s="111">
        <v>0.666</v>
      </c>
      <c r="J98" s="8" t="s">
        <v>5368</v>
      </c>
      <c r="K98" s="8" t="s">
        <v>1474</v>
      </c>
      <c r="L98" s="8">
        <v>0.0</v>
      </c>
      <c r="M98" s="8" t="s">
        <v>5332</v>
      </c>
      <c r="N98" s="8" t="s">
        <v>22</v>
      </c>
      <c r="O98" s="8" t="s">
        <v>225</v>
      </c>
      <c r="P98" s="8" t="s">
        <v>2201</v>
      </c>
      <c r="Q98" s="9">
        <v>0.25</v>
      </c>
      <c r="R98" s="9">
        <v>0.1</v>
      </c>
      <c r="S98" s="9">
        <v>0.1</v>
      </c>
      <c r="T98" s="54">
        <v>45464.0</v>
      </c>
      <c r="U98" s="11">
        <v>1.89</v>
      </c>
      <c r="V98" s="8" t="s">
        <v>70</v>
      </c>
      <c r="W98" s="12">
        <f t="shared" si="1"/>
        <v>0</v>
      </c>
      <c r="X98" s="12">
        <f t="shared" si="4"/>
        <v>5.285112112</v>
      </c>
    </row>
    <row r="99">
      <c r="A99" s="15">
        <f t="shared" si="3"/>
        <v>98</v>
      </c>
      <c r="B99" s="15" t="s">
        <v>18</v>
      </c>
      <c r="C99" s="15" t="s">
        <v>19</v>
      </c>
      <c r="D99" s="15">
        <v>69.0</v>
      </c>
      <c r="E99" s="15"/>
      <c r="F99" s="15" t="s">
        <v>5369</v>
      </c>
      <c r="G99" s="15" t="s">
        <v>5553</v>
      </c>
      <c r="H99" s="15" t="s">
        <v>5553</v>
      </c>
      <c r="I99" s="110"/>
      <c r="J99" s="15" t="s">
        <v>1479</v>
      </c>
      <c r="K99" s="15" t="s">
        <v>1480</v>
      </c>
      <c r="L99" s="15">
        <v>-1.0</v>
      </c>
      <c r="M99" s="15" t="s">
        <v>616</v>
      </c>
      <c r="N99" s="15" t="s">
        <v>22</v>
      </c>
      <c r="O99" s="15" t="s">
        <v>892</v>
      </c>
      <c r="P99" s="15" t="s">
        <v>24</v>
      </c>
      <c r="Q99" s="16">
        <v>0.0</v>
      </c>
      <c r="R99" s="16">
        <v>0.6</v>
      </c>
      <c r="S99" s="16">
        <v>0.6</v>
      </c>
      <c r="T99" s="17">
        <v>45464.0</v>
      </c>
      <c r="U99" s="18">
        <v>1.9</v>
      </c>
      <c r="V99" s="15" t="s">
        <v>70</v>
      </c>
      <c r="W99" s="19">
        <f t="shared" si="1"/>
        <v>0</v>
      </c>
      <c r="X99" s="19">
        <f t="shared" si="4"/>
        <v>5.285112112</v>
      </c>
    </row>
    <row r="100">
      <c r="A100" s="8">
        <f t="shared" si="3"/>
        <v>99</v>
      </c>
      <c r="B100" s="8" t="s">
        <v>18</v>
      </c>
      <c r="C100" s="8" t="s">
        <v>19</v>
      </c>
      <c r="D100" s="8">
        <v>80.0</v>
      </c>
      <c r="E100" s="8"/>
      <c r="F100" s="8" t="s">
        <v>5370</v>
      </c>
      <c r="G100" s="8" t="s">
        <v>5553</v>
      </c>
      <c r="H100" s="8" t="s">
        <v>5553</v>
      </c>
      <c r="I100" s="111"/>
      <c r="J100" s="8" t="s">
        <v>1473</v>
      </c>
      <c r="K100" s="8" t="s">
        <v>1480</v>
      </c>
      <c r="L100" s="8">
        <v>1.0</v>
      </c>
      <c r="M100" s="8" t="s">
        <v>616</v>
      </c>
      <c r="N100" s="8" t="s">
        <v>22</v>
      </c>
      <c r="O100" s="8" t="s">
        <v>892</v>
      </c>
      <c r="P100" s="8" t="s">
        <v>24</v>
      </c>
      <c r="Q100" s="9">
        <v>0.0</v>
      </c>
      <c r="R100" s="9">
        <v>0.25</v>
      </c>
      <c r="S100" s="9">
        <v>0.25</v>
      </c>
      <c r="T100" s="10">
        <v>45464.0</v>
      </c>
      <c r="U100" s="11">
        <v>1.9</v>
      </c>
      <c r="V100" s="8" t="s">
        <v>70</v>
      </c>
      <c r="W100" s="12">
        <f t="shared" si="1"/>
        <v>0</v>
      </c>
      <c r="X100" s="12">
        <f t="shared" si="4"/>
        <v>5.285112112</v>
      </c>
    </row>
    <row r="101">
      <c r="A101" s="15">
        <f t="shared" si="3"/>
        <v>100</v>
      </c>
      <c r="B101" s="15" t="s">
        <v>26</v>
      </c>
      <c r="C101" s="15" t="s">
        <v>19</v>
      </c>
      <c r="D101" s="15">
        <v>81.0</v>
      </c>
      <c r="E101" s="15"/>
      <c r="F101" s="15" t="s">
        <v>5371</v>
      </c>
      <c r="G101" s="15"/>
      <c r="H101" s="15"/>
      <c r="I101" s="110"/>
      <c r="J101" s="15" t="s">
        <v>1479</v>
      </c>
      <c r="K101" s="15" t="s">
        <v>1480</v>
      </c>
      <c r="L101" s="15">
        <v>-2.0</v>
      </c>
      <c r="M101" s="15" t="s">
        <v>82</v>
      </c>
      <c r="N101" s="15" t="s">
        <v>22</v>
      </c>
      <c r="O101" s="15" t="s">
        <v>892</v>
      </c>
      <c r="P101" s="15" t="s">
        <v>24</v>
      </c>
      <c r="Q101" s="16">
        <v>0.0</v>
      </c>
      <c r="R101" s="16">
        <v>0.2</v>
      </c>
      <c r="S101" s="16">
        <v>0.2</v>
      </c>
      <c r="T101" s="17">
        <v>45464.0</v>
      </c>
      <c r="U101" s="18">
        <v>1.7</v>
      </c>
      <c r="V101" s="15" t="s">
        <v>70</v>
      </c>
      <c r="W101" s="19">
        <f t="shared" si="1"/>
        <v>0</v>
      </c>
      <c r="X101" s="19">
        <f t="shared" si="4"/>
        <v>5.285112112</v>
      </c>
    </row>
    <row r="102">
      <c r="A102" s="8">
        <f t="shared" si="3"/>
        <v>101</v>
      </c>
      <c r="B102" s="8" t="s">
        <v>4225</v>
      </c>
      <c r="C102" s="8" t="s">
        <v>19</v>
      </c>
      <c r="D102" s="8">
        <v>54.0</v>
      </c>
      <c r="E102" s="8"/>
      <c r="F102" s="8" t="s">
        <v>5372</v>
      </c>
      <c r="G102" s="8"/>
      <c r="H102" s="8"/>
      <c r="I102" s="111"/>
      <c r="J102" s="8" t="s">
        <v>1473</v>
      </c>
      <c r="K102" s="8" t="s">
        <v>1477</v>
      </c>
      <c r="L102" s="8">
        <v>0.0</v>
      </c>
      <c r="M102" s="8" t="s">
        <v>463</v>
      </c>
      <c r="N102" s="8" t="s">
        <v>22</v>
      </c>
      <c r="O102" s="8" t="s">
        <v>894</v>
      </c>
      <c r="P102" s="8" t="s">
        <v>39</v>
      </c>
      <c r="Q102" s="9">
        <v>-0.75</v>
      </c>
      <c r="R102" s="9">
        <v>0.25</v>
      </c>
      <c r="S102" s="9">
        <f>0.25*11/30</f>
        <v>0.09166666667</v>
      </c>
      <c r="T102" s="10">
        <v>45465.0</v>
      </c>
      <c r="U102" s="11">
        <v>1.925</v>
      </c>
      <c r="V102" s="8" t="s">
        <v>25</v>
      </c>
      <c r="W102" s="12">
        <f t="shared" si="1"/>
        <v>-0.09166666667</v>
      </c>
      <c r="X102" s="12">
        <f t="shared" si="4"/>
        <v>5.193445445</v>
      </c>
    </row>
    <row r="103">
      <c r="A103" s="15">
        <f t="shared" si="3"/>
        <v>102</v>
      </c>
      <c r="B103" s="15" t="s">
        <v>4225</v>
      </c>
      <c r="C103" s="15" t="s">
        <v>40</v>
      </c>
      <c r="D103" s="15">
        <v>85.0</v>
      </c>
      <c r="E103" s="15"/>
      <c r="F103" s="15" t="s">
        <v>5373</v>
      </c>
      <c r="G103" s="15">
        <v>1.0</v>
      </c>
      <c r="H103" s="15">
        <v>15.0</v>
      </c>
      <c r="I103" s="15"/>
      <c r="J103" s="15"/>
      <c r="K103" s="15"/>
      <c r="L103" s="15">
        <v>0.0</v>
      </c>
      <c r="M103" s="15" t="s">
        <v>683</v>
      </c>
      <c r="N103" s="15" t="s">
        <v>22</v>
      </c>
      <c r="O103" s="15" t="s">
        <v>1165</v>
      </c>
      <c r="P103" s="15" t="s">
        <v>24</v>
      </c>
      <c r="Q103" s="16">
        <v>-0.5</v>
      </c>
      <c r="R103" s="16">
        <v>0.25</v>
      </c>
      <c r="S103" s="16">
        <v>0.25</v>
      </c>
      <c r="T103" s="17">
        <v>45465.0</v>
      </c>
      <c r="U103" s="18">
        <v>1.5</v>
      </c>
      <c r="V103" s="15" t="s">
        <v>33</v>
      </c>
      <c r="W103" s="19">
        <f t="shared" si="1"/>
        <v>0.125</v>
      </c>
      <c r="X103" s="19">
        <f t="shared" si="4"/>
        <v>5.318445445</v>
      </c>
    </row>
    <row r="104">
      <c r="A104" s="8">
        <f t="shared" si="3"/>
        <v>103</v>
      </c>
      <c r="B104" s="8" t="s">
        <v>26</v>
      </c>
      <c r="C104" s="8" t="s">
        <v>19</v>
      </c>
      <c r="D104" s="8">
        <v>16.0</v>
      </c>
      <c r="E104" s="8"/>
      <c r="F104" s="8" t="s">
        <v>5374</v>
      </c>
      <c r="G104" s="8" t="s">
        <v>5553</v>
      </c>
      <c r="H104" s="8" t="s">
        <v>5553</v>
      </c>
      <c r="I104" s="8" t="s">
        <v>5553</v>
      </c>
      <c r="J104" s="8" t="s">
        <v>1473</v>
      </c>
      <c r="K104" s="8" t="s">
        <v>1477</v>
      </c>
      <c r="L104" s="8">
        <v>0.0</v>
      </c>
      <c r="M104" s="8" t="s">
        <v>5332</v>
      </c>
      <c r="N104" s="8" t="s">
        <v>22</v>
      </c>
      <c r="O104" s="8" t="s">
        <v>894</v>
      </c>
      <c r="P104" s="8" t="s">
        <v>39</v>
      </c>
      <c r="Q104" s="9">
        <v>-0.75</v>
      </c>
      <c r="R104" s="9">
        <v>0.1</v>
      </c>
      <c r="S104" s="9">
        <v>0.1</v>
      </c>
      <c r="T104" s="10">
        <v>45465.0</v>
      </c>
      <c r="U104" s="11">
        <v>1.875</v>
      </c>
      <c r="V104" s="8" t="s">
        <v>25</v>
      </c>
      <c r="W104" s="12">
        <f t="shared" si="1"/>
        <v>-0.1</v>
      </c>
      <c r="X104" s="12">
        <f t="shared" si="4"/>
        <v>5.218445445</v>
      </c>
    </row>
    <row r="105">
      <c r="A105" s="15">
        <f t="shared" si="3"/>
        <v>104</v>
      </c>
      <c r="B105" s="15" t="s">
        <v>18</v>
      </c>
      <c r="C105" s="15" t="s">
        <v>19</v>
      </c>
      <c r="D105" s="15">
        <v>40.0</v>
      </c>
      <c r="E105" s="15"/>
      <c r="F105" s="15" t="s">
        <v>5375</v>
      </c>
      <c r="G105" s="15">
        <v>8.0</v>
      </c>
      <c r="H105" s="15">
        <v>4.0</v>
      </c>
      <c r="I105" s="110">
        <f>15/(17*2)</f>
        <v>0.4411764706</v>
      </c>
      <c r="J105" s="15" t="s">
        <v>1473</v>
      </c>
      <c r="K105" s="15" t="s">
        <v>1480</v>
      </c>
      <c r="L105" s="15">
        <v>0.0</v>
      </c>
      <c r="M105" s="15" t="s">
        <v>3476</v>
      </c>
      <c r="N105" s="15" t="s">
        <v>22</v>
      </c>
      <c r="O105" s="15" t="s">
        <v>892</v>
      </c>
      <c r="P105" s="15" t="s">
        <v>24</v>
      </c>
      <c r="Q105" s="16">
        <v>0.0</v>
      </c>
      <c r="R105" s="16">
        <v>0.5</v>
      </c>
      <c r="S105" s="16">
        <v>0.5</v>
      </c>
      <c r="T105" s="55">
        <v>45465.0</v>
      </c>
      <c r="U105" s="18">
        <v>1.86</v>
      </c>
      <c r="V105" s="15" t="s">
        <v>33</v>
      </c>
      <c r="W105" s="19">
        <f t="shared" si="1"/>
        <v>0.43</v>
      </c>
      <c r="X105" s="19">
        <f t="shared" si="4"/>
        <v>5.648445445</v>
      </c>
    </row>
    <row r="106">
      <c r="A106" s="8">
        <f t="shared" si="3"/>
        <v>105</v>
      </c>
      <c r="B106" s="8" t="s">
        <v>131</v>
      </c>
      <c r="C106" s="8" t="s">
        <v>19</v>
      </c>
      <c r="D106" s="8">
        <v>25.0</v>
      </c>
      <c r="E106" s="8"/>
      <c r="F106" s="8" t="s">
        <v>5376</v>
      </c>
      <c r="G106" s="8" t="s">
        <v>5553</v>
      </c>
      <c r="H106" s="8" t="s">
        <v>5553</v>
      </c>
      <c r="I106" s="8" t="s">
        <v>1479</v>
      </c>
      <c r="J106" s="8" t="s">
        <v>1473</v>
      </c>
      <c r="K106" s="8" t="s">
        <v>1474</v>
      </c>
      <c r="L106" s="8">
        <v>0.0</v>
      </c>
      <c r="M106" s="8" t="s">
        <v>93</v>
      </c>
      <c r="N106" s="8" t="s">
        <v>22</v>
      </c>
      <c r="O106" s="8" t="s">
        <v>225</v>
      </c>
      <c r="P106" s="8" t="s">
        <v>24</v>
      </c>
      <c r="Q106" s="9">
        <v>0.5</v>
      </c>
      <c r="R106" s="9">
        <v>0.8</v>
      </c>
      <c r="S106" s="9">
        <v>0.8</v>
      </c>
      <c r="T106" s="54">
        <v>45465.0</v>
      </c>
      <c r="U106" s="11">
        <f>(248.5+223.65+220.1+247.06)/(700*0.8)</f>
        <v>1.677339286</v>
      </c>
      <c r="V106" s="8" t="s">
        <v>33</v>
      </c>
      <c r="W106" s="12">
        <f t="shared" si="1"/>
        <v>0.5418714286</v>
      </c>
      <c r="X106" s="12">
        <f t="shared" si="4"/>
        <v>6.190316874</v>
      </c>
    </row>
    <row r="107">
      <c r="A107" s="15">
        <f t="shared" si="3"/>
        <v>106</v>
      </c>
      <c r="B107" s="15" t="s">
        <v>26</v>
      </c>
      <c r="C107" s="15" t="s">
        <v>40</v>
      </c>
      <c r="D107" s="15"/>
      <c r="E107" s="15"/>
      <c r="F107" s="15" t="s">
        <v>5377</v>
      </c>
      <c r="G107" s="15"/>
      <c r="H107" s="15"/>
      <c r="I107" s="110"/>
      <c r="J107" s="15" t="s">
        <v>1479</v>
      </c>
      <c r="K107" s="15" t="s">
        <v>1477</v>
      </c>
      <c r="L107" s="15">
        <v>0.0</v>
      </c>
      <c r="M107" s="15" t="s">
        <v>245</v>
      </c>
      <c r="N107" s="15" t="s">
        <v>22</v>
      </c>
      <c r="O107" s="15" t="s">
        <v>894</v>
      </c>
      <c r="P107" s="15" t="s">
        <v>24</v>
      </c>
      <c r="Q107" s="16">
        <v>-0.5</v>
      </c>
      <c r="R107" s="16">
        <v>0.2</v>
      </c>
      <c r="S107" s="16">
        <v>0.2</v>
      </c>
      <c r="T107" s="17">
        <v>45465.0</v>
      </c>
      <c r="U107" s="18">
        <v>1.825</v>
      </c>
      <c r="V107" s="15" t="s">
        <v>25</v>
      </c>
      <c r="W107" s="19">
        <f t="shared" si="1"/>
        <v>-0.2</v>
      </c>
      <c r="X107" s="19">
        <f t="shared" si="4"/>
        <v>5.990316874</v>
      </c>
    </row>
    <row r="108">
      <c r="A108" s="8">
        <f t="shared" si="3"/>
        <v>107</v>
      </c>
      <c r="B108" s="8" t="s">
        <v>137</v>
      </c>
      <c r="C108" s="8" t="s">
        <v>19</v>
      </c>
      <c r="D108" s="8">
        <v>0.0</v>
      </c>
      <c r="E108" s="8"/>
      <c r="F108" s="8" t="s">
        <v>5378</v>
      </c>
      <c r="G108" s="8">
        <v>4.0</v>
      </c>
      <c r="H108" s="8">
        <v>12.0</v>
      </c>
      <c r="I108" s="111">
        <v>0.315</v>
      </c>
      <c r="J108" s="8"/>
      <c r="K108" s="8"/>
      <c r="L108" s="8"/>
      <c r="M108" s="8" t="s">
        <v>82</v>
      </c>
      <c r="N108" s="8" t="s">
        <v>598</v>
      </c>
      <c r="O108" s="8" t="s">
        <v>23</v>
      </c>
      <c r="P108" s="8" t="s">
        <v>39</v>
      </c>
      <c r="Q108" s="9">
        <v>-10.0</v>
      </c>
      <c r="R108" s="9">
        <v>0.1</v>
      </c>
      <c r="S108" s="9">
        <v>0.1</v>
      </c>
      <c r="T108" s="10">
        <v>45465.0</v>
      </c>
      <c r="U108" s="11">
        <v>1.95</v>
      </c>
      <c r="V108" s="8" t="s">
        <v>70</v>
      </c>
      <c r="W108" s="12">
        <f t="shared" si="1"/>
        <v>0</v>
      </c>
      <c r="X108" s="12">
        <f t="shared" si="4"/>
        <v>5.990316874</v>
      </c>
    </row>
    <row r="109">
      <c r="A109" s="15">
        <f t="shared" si="3"/>
        <v>108</v>
      </c>
      <c r="B109" s="15" t="s">
        <v>26</v>
      </c>
      <c r="C109" s="15" t="s">
        <v>19</v>
      </c>
      <c r="D109" s="15">
        <v>18.0</v>
      </c>
      <c r="E109" s="15"/>
      <c r="F109" s="15" t="s">
        <v>5379</v>
      </c>
      <c r="G109" s="113"/>
      <c r="H109" s="113"/>
      <c r="I109" s="110"/>
      <c r="J109" s="15" t="s">
        <v>1479</v>
      </c>
      <c r="K109" s="15" t="s">
        <v>1480</v>
      </c>
      <c r="L109" s="15">
        <v>0.0</v>
      </c>
      <c r="M109" s="15" t="s">
        <v>82</v>
      </c>
      <c r="N109" s="15" t="s">
        <v>22</v>
      </c>
      <c r="O109" s="15" t="s">
        <v>892</v>
      </c>
      <c r="P109" s="15" t="s">
        <v>1851</v>
      </c>
      <c r="Q109" s="16">
        <v>0.0</v>
      </c>
      <c r="R109" s="16">
        <v>0.2</v>
      </c>
      <c r="S109" s="16">
        <v>0.2</v>
      </c>
      <c r="T109" s="17">
        <v>45465.0</v>
      </c>
      <c r="U109" s="18">
        <v>1.725</v>
      </c>
      <c r="V109" s="15" t="s">
        <v>70</v>
      </c>
      <c r="W109" s="19">
        <f t="shared" si="1"/>
        <v>0</v>
      </c>
      <c r="X109" s="19">
        <f t="shared" si="4"/>
        <v>5.990316874</v>
      </c>
    </row>
    <row r="110">
      <c r="A110" s="8">
        <f t="shared" si="3"/>
        <v>109</v>
      </c>
      <c r="B110" s="8" t="s">
        <v>4225</v>
      </c>
      <c r="C110" s="8" t="s">
        <v>19</v>
      </c>
      <c r="D110" s="8">
        <v>5.0</v>
      </c>
      <c r="E110" s="8">
        <v>12.0</v>
      </c>
      <c r="F110" s="8" t="s">
        <v>5380</v>
      </c>
      <c r="G110" s="8">
        <v>12.0</v>
      </c>
      <c r="H110" s="8">
        <v>6.0</v>
      </c>
      <c r="I110" s="111">
        <v>0.187</v>
      </c>
      <c r="J110" s="8"/>
      <c r="K110" s="8"/>
      <c r="L110" s="8">
        <v>0.0</v>
      </c>
      <c r="M110" s="8" t="s">
        <v>3476</v>
      </c>
      <c r="N110" s="8" t="s">
        <v>22</v>
      </c>
      <c r="O110" s="8" t="s">
        <v>440</v>
      </c>
      <c r="P110" s="8" t="s">
        <v>24</v>
      </c>
      <c r="Q110" s="9">
        <v>1.5</v>
      </c>
      <c r="R110" s="9">
        <v>0.25</v>
      </c>
      <c r="S110" s="9">
        <v>0.25</v>
      </c>
      <c r="T110" s="10">
        <v>45466.0</v>
      </c>
      <c r="U110" s="11">
        <v>1.72</v>
      </c>
      <c r="V110" s="8" t="s">
        <v>33</v>
      </c>
      <c r="W110" s="12">
        <f t="shared" si="1"/>
        <v>0.18</v>
      </c>
      <c r="X110" s="12">
        <f t="shared" si="4"/>
        <v>6.170316874</v>
      </c>
    </row>
    <row r="111">
      <c r="A111" s="15">
        <f t="shared" si="3"/>
        <v>110</v>
      </c>
      <c r="B111" s="15" t="s">
        <v>129</v>
      </c>
      <c r="C111" s="15" t="s">
        <v>40</v>
      </c>
      <c r="D111" s="15"/>
      <c r="E111" s="15"/>
      <c r="F111" s="15" t="s">
        <v>5381</v>
      </c>
      <c r="G111" s="15" t="s">
        <v>5553</v>
      </c>
      <c r="H111" s="15" t="s">
        <v>5553</v>
      </c>
      <c r="I111" s="15" t="s">
        <v>1479</v>
      </c>
      <c r="J111" s="15" t="s">
        <v>1473</v>
      </c>
      <c r="K111" s="15" t="s">
        <v>1480</v>
      </c>
      <c r="L111" s="15">
        <v>0.0</v>
      </c>
      <c r="M111" s="15" t="s">
        <v>1031</v>
      </c>
      <c r="N111" s="15" t="s">
        <v>22</v>
      </c>
      <c r="O111" s="15" t="s">
        <v>892</v>
      </c>
      <c r="P111" s="15" t="s">
        <v>24</v>
      </c>
      <c r="Q111" s="16">
        <v>0.0</v>
      </c>
      <c r="R111" s="16">
        <v>0.4</v>
      </c>
      <c r="S111" s="16">
        <v>0.4</v>
      </c>
      <c r="T111" s="17">
        <v>45466.0</v>
      </c>
      <c r="U111" s="18">
        <v>1.7</v>
      </c>
      <c r="V111" s="15" t="s">
        <v>70</v>
      </c>
      <c r="W111" s="19">
        <f t="shared" si="1"/>
        <v>0</v>
      </c>
      <c r="X111" s="19">
        <f t="shared" si="4"/>
        <v>6.170316874</v>
      </c>
    </row>
    <row r="112">
      <c r="A112" s="8">
        <f t="shared" si="3"/>
        <v>111</v>
      </c>
      <c r="B112" s="8" t="s">
        <v>137</v>
      </c>
      <c r="C112" s="8" t="s">
        <v>19</v>
      </c>
      <c r="D112" s="8">
        <v>0.0</v>
      </c>
      <c r="E112" s="8"/>
      <c r="F112" s="8" t="s">
        <v>5382</v>
      </c>
      <c r="G112" s="8"/>
      <c r="H112" s="8"/>
      <c r="I112" s="111"/>
      <c r="J112" s="8"/>
      <c r="K112" s="8"/>
      <c r="L112" s="8"/>
      <c r="M112" s="8" t="s">
        <v>82</v>
      </c>
      <c r="N112" s="8" t="s">
        <v>22</v>
      </c>
      <c r="O112" s="8" t="s">
        <v>23</v>
      </c>
      <c r="P112" s="8" t="s">
        <v>39</v>
      </c>
      <c r="Q112" s="9">
        <v>-10.5</v>
      </c>
      <c r="R112" s="9">
        <v>0.1</v>
      </c>
      <c r="S112" s="9">
        <v>0.1</v>
      </c>
      <c r="T112" s="10">
        <v>45466.0</v>
      </c>
      <c r="U112" s="11">
        <v>1.72</v>
      </c>
      <c r="V112" s="8" t="s">
        <v>25</v>
      </c>
      <c r="W112" s="12">
        <f t="shared" si="1"/>
        <v>-0.1</v>
      </c>
      <c r="X112" s="12">
        <f t="shared" si="4"/>
        <v>6.070316874</v>
      </c>
    </row>
    <row r="113">
      <c r="A113" s="15">
        <f t="shared" si="3"/>
        <v>112</v>
      </c>
      <c r="B113" s="15" t="s">
        <v>18</v>
      </c>
      <c r="C113" s="15" t="s">
        <v>19</v>
      </c>
      <c r="D113" s="15"/>
      <c r="E113" s="15"/>
      <c r="F113" s="15" t="s">
        <v>5383</v>
      </c>
      <c r="G113" s="15" t="s">
        <v>5553</v>
      </c>
      <c r="H113" s="15" t="s">
        <v>5553</v>
      </c>
      <c r="I113" s="110"/>
      <c r="J113" s="15" t="s">
        <v>1479</v>
      </c>
      <c r="K113" s="15" t="s">
        <v>1474</v>
      </c>
      <c r="L113" s="15">
        <v>0.0</v>
      </c>
      <c r="M113" s="15" t="s">
        <v>78</v>
      </c>
      <c r="N113" s="15" t="s">
        <v>22</v>
      </c>
      <c r="O113" s="15" t="s">
        <v>225</v>
      </c>
      <c r="P113" s="15" t="s">
        <v>24</v>
      </c>
      <c r="Q113" s="16">
        <v>0.25</v>
      </c>
      <c r="R113" s="16">
        <v>0.5</v>
      </c>
      <c r="S113" s="16">
        <v>0.5</v>
      </c>
      <c r="T113" s="17">
        <v>45468.0</v>
      </c>
      <c r="U113" s="18">
        <v>1.75</v>
      </c>
      <c r="V113" s="15" t="s">
        <v>25</v>
      </c>
      <c r="W113" s="19">
        <f t="shared" si="1"/>
        <v>-0.5</v>
      </c>
      <c r="X113" s="19">
        <f t="shared" si="4"/>
        <v>5.570316874</v>
      </c>
    </row>
    <row r="114">
      <c r="A114" s="8">
        <f t="shared" si="3"/>
        <v>113</v>
      </c>
      <c r="B114" s="8" t="s">
        <v>4225</v>
      </c>
      <c r="C114" s="8" t="s">
        <v>19</v>
      </c>
      <c r="D114" s="8">
        <v>0.0</v>
      </c>
      <c r="E114" s="8">
        <v>11.0</v>
      </c>
      <c r="F114" s="8" t="s">
        <v>5384</v>
      </c>
      <c r="G114" s="8">
        <v>10.0</v>
      </c>
      <c r="H114" s="8">
        <v>17.0</v>
      </c>
      <c r="I114" s="182">
        <v>0.9</v>
      </c>
      <c r="J114" s="8"/>
      <c r="K114" s="8"/>
      <c r="L114" s="8"/>
      <c r="M114" s="8" t="s">
        <v>248</v>
      </c>
      <c r="N114" s="8" t="s">
        <v>22</v>
      </c>
      <c r="O114" s="8" t="s">
        <v>29</v>
      </c>
      <c r="P114" s="8" t="s">
        <v>24</v>
      </c>
      <c r="Q114" s="9">
        <v>-2.0</v>
      </c>
      <c r="R114" s="9">
        <v>0.5</v>
      </c>
      <c r="S114" s="9">
        <v>0.5</v>
      </c>
      <c r="T114" s="10">
        <v>45468.0</v>
      </c>
      <c r="U114" s="11">
        <v>1.8</v>
      </c>
      <c r="V114" s="8" t="s">
        <v>33</v>
      </c>
      <c r="W114" s="12">
        <f t="shared" si="1"/>
        <v>0.4</v>
      </c>
      <c r="X114" s="12">
        <f t="shared" si="4"/>
        <v>5.970316874</v>
      </c>
    </row>
    <row r="115">
      <c r="A115" s="15">
        <f t="shared" si="3"/>
        <v>114</v>
      </c>
      <c r="B115" s="15" t="s">
        <v>26</v>
      </c>
      <c r="C115" s="15" t="s">
        <v>19</v>
      </c>
      <c r="D115" s="15"/>
      <c r="E115" s="15"/>
      <c r="F115" s="15" t="s">
        <v>5385</v>
      </c>
      <c r="G115" s="15" t="s">
        <v>5553</v>
      </c>
      <c r="H115" s="15" t="s">
        <v>5553</v>
      </c>
      <c r="I115" s="110"/>
      <c r="J115" s="15" t="s">
        <v>1473</v>
      </c>
      <c r="K115" s="15" t="s">
        <v>1480</v>
      </c>
      <c r="L115" s="15">
        <v>0.0</v>
      </c>
      <c r="M115" s="15" t="s">
        <v>78</v>
      </c>
      <c r="N115" s="15" t="s">
        <v>22</v>
      </c>
      <c r="O115" s="15" t="s">
        <v>892</v>
      </c>
      <c r="P115" s="15" t="s">
        <v>24</v>
      </c>
      <c r="Q115" s="16">
        <v>0.0</v>
      </c>
      <c r="R115" s="16">
        <v>0.7</v>
      </c>
      <c r="S115" s="16">
        <v>0.7</v>
      </c>
      <c r="T115" s="17">
        <v>45468.0</v>
      </c>
      <c r="U115" s="18">
        <v>1.725</v>
      </c>
      <c r="V115" s="15" t="s">
        <v>25</v>
      </c>
      <c r="W115" s="19">
        <f t="shared" si="1"/>
        <v>-0.7</v>
      </c>
      <c r="X115" s="19">
        <f t="shared" si="4"/>
        <v>5.270316874</v>
      </c>
    </row>
    <row r="116" ht="15.0" customHeight="1">
      <c r="A116" s="8">
        <f t="shared" si="3"/>
        <v>115</v>
      </c>
      <c r="B116" s="8" t="s">
        <v>137</v>
      </c>
      <c r="C116" s="8" t="s">
        <v>19</v>
      </c>
      <c r="D116" s="8"/>
      <c r="E116" s="8"/>
      <c r="F116" s="8" t="s">
        <v>5386</v>
      </c>
      <c r="G116" s="8">
        <v>3.0</v>
      </c>
      <c r="H116" s="8">
        <v>1.0</v>
      </c>
      <c r="I116" s="111">
        <v>0.315</v>
      </c>
      <c r="J116" s="8"/>
      <c r="K116" s="8"/>
      <c r="L116" s="8"/>
      <c r="M116" s="8" t="s">
        <v>82</v>
      </c>
      <c r="N116" s="8" t="s">
        <v>598</v>
      </c>
      <c r="O116" s="8" t="s">
        <v>23</v>
      </c>
      <c r="P116" s="8" t="s">
        <v>39</v>
      </c>
      <c r="Q116" s="9">
        <v>-10.0</v>
      </c>
      <c r="R116" s="9">
        <v>0.2</v>
      </c>
      <c r="S116" s="9">
        <v>0.2</v>
      </c>
      <c r="T116" s="10">
        <v>45468.0</v>
      </c>
      <c r="U116" s="11">
        <v>1.8</v>
      </c>
      <c r="V116" s="8" t="s">
        <v>25</v>
      </c>
      <c r="W116" s="12">
        <f t="shared" si="1"/>
        <v>-0.2</v>
      </c>
      <c r="X116" s="12">
        <f t="shared" si="4"/>
        <v>5.070316874</v>
      </c>
    </row>
    <row r="117">
      <c r="A117" s="15">
        <f t="shared" si="3"/>
        <v>116</v>
      </c>
      <c r="B117" s="15" t="s">
        <v>18</v>
      </c>
      <c r="C117" s="15" t="s">
        <v>19</v>
      </c>
      <c r="D117" s="15">
        <v>10.0</v>
      </c>
      <c r="E117" s="15"/>
      <c r="F117" s="15" t="s">
        <v>5387</v>
      </c>
      <c r="G117" s="15">
        <v>12.0</v>
      </c>
      <c r="H117" s="15">
        <v>3.0</v>
      </c>
      <c r="I117" s="110">
        <f>8/(11*2)</f>
        <v>0.3636363636</v>
      </c>
      <c r="J117" s="15" t="s">
        <v>1473</v>
      </c>
      <c r="K117" s="15" t="s">
        <v>1474</v>
      </c>
      <c r="L117" s="15">
        <v>0.0</v>
      </c>
      <c r="M117" s="15" t="s">
        <v>1175</v>
      </c>
      <c r="N117" s="15" t="s">
        <v>22</v>
      </c>
      <c r="O117" s="15" t="s">
        <v>225</v>
      </c>
      <c r="P117" s="15" t="s">
        <v>24</v>
      </c>
      <c r="Q117" s="16">
        <v>0.5</v>
      </c>
      <c r="R117" s="16">
        <v>1.0</v>
      </c>
      <c r="S117" s="16">
        <v>1.0</v>
      </c>
      <c r="T117" s="17">
        <v>45469.0</v>
      </c>
      <c r="U117" s="18">
        <v>1.875</v>
      </c>
      <c r="V117" s="15" t="s">
        <v>33</v>
      </c>
      <c r="W117" s="19">
        <f t="shared" si="1"/>
        <v>0.875</v>
      </c>
      <c r="X117" s="19">
        <f t="shared" si="4"/>
        <v>5.945316874</v>
      </c>
    </row>
    <row r="118">
      <c r="A118" s="8">
        <f t="shared" si="3"/>
        <v>117</v>
      </c>
      <c r="B118" s="8" t="s">
        <v>18</v>
      </c>
      <c r="C118" s="8" t="s">
        <v>40</v>
      </c>
      <c r="D118" s="8"/>
      <c r="E118" s="8"/>
      <c r="F118" s="8" t="s">
        <v>5388</v>
      </c>
      <c r="G118" s="8">
        <v>15.0</v>
      </c>
      <c r="H118" s="8">
        <v>10.0</v>
      </c>
      <c r="I118" s="111">
        <v>0.88</v>
      </c>
      <c r="J118" s="8" t="s">
        <v>1479</v>
      </c>
      <c r="K118" s="8" t="s">
        <v>1477</v>
      </c>
      <c r="L118" s="8">
        <v>0.0</v>
      </c>
      <c r="M118" s="8" t="s">
        <v>463</v>
      </c>
      <c r="N118" s="8" t="s">
        <v>22</v>
      </c>
      <c r="O118" s="8" t="s">
        <v>894</v>
      </c>
      <c r="P118" s="8" t="s">
        <v>24</v>
      </c>
      <c r="Q118" s="9">
        <v>-0.5</v>
      </c>
      <c r="R118" s="9">
        <v>0.25</v>
      </c>
      <c r="S118" s="9">
        <v>0.25</v>
      </c>
      <c r="T118" s="10">
        <v>45469.0</v>
      </c>
      <c r="U118" s="11">
        <v>1.8</v>
      </c>
      <c r="V118" s="8" t="s">
        <v>25</v>
      </c>
      <c r="W118" s="12">
        <f t="shared" si="1"/>
        <v>-0.25</v>
      </c>
      <c r="X118" s="12">
        <f t="shared" si="4"/>
        <v>5.695316874</v>
      </c>
    </row>
    <row r="119">
      <c r="A119" s="15">
        <f t="shared" si="3"/>
        <v>118</v>
      </c>
      <c r="B119" s="15" t="s">
        <v>26</v>
      </c>
      <c r="C119" s="15" t="s">
        <v>19</v>
      </c>
      <c r="D119" s="15">
        <v>10.0</v>
      </c>
      <c r="E119" s="15"/>
      <c r="F119" s="15" t="s">
        <v>5389</v>
      </c>
      <c r="G119" s="15"/>
      <c r="H119" s="15"/>
      <c r="I119" s="110"/>
      <c r="J119" s="15" t="s">
        <v>1473</v>
      </c>
      <c r="K119" s="15" t="s">
        <v>1474</v>
      </c>
      <c r="L119" s="15">
        <v>1.0</v>
      </c>
      <c r="M119" s="15" t="s">
        <v>768</v>
      </c>
      <c r="N119" s="15" t="s">
        <v>22</v>
      </c>
      <c r="O119" s="15" t="s">
        <v>225</v>
      </c>
      <c r="P119" s="15" t="s">
        <v>24</v>
      </c>
      <c r="Q119" s="16">
        <v>1.0</v>
      </c>
      <c r="R119" s="16">
        <v>0.25</v>
      </c>
      <c r="S119" s="16">
        <v>0.05</v>
      </c>
      <c r="T119" s="17">
        <v>45469.0</v>
      </c>
      <c r="U119" s="18">
        <v>1.167</v>
      </c>
      <c r="V119" s="15" t="s">
        <v>33</v>
      </c>
      <c r="W119" s="19">
        <f t="shared" si="1"/>
        <v>0.00835</v>
      </c>
      <c r="X119" s="19">
        <f t="shared" si="4"/>
        <v>5.703666874</v>
      </c>
    </row>
    <row r="120">
      <c r="A120" s="8">
        <f t="shared" si="3"/>
        <v>119</v>
      </c>
      <c r="B120" s="8" t="s">
        <v>137</v>
      </c>
      <c r="C120" s="8" t="s">
        <v>19</v>
      </c>
      <c r="D120" s="8">
        <v>0.0</v>
      </c>
      <c r="E120" s="8"/>
      <c r="F120" s="8" t="s">
        <v>5390</v>
      </c>
      <c r="G120" s="8">
        <v>3.0</v>
      </c>
      <c r="H120" s="8">
        <v>9.0</v>
      </c>
      <c r="I120" s="111">
        <v>0.315</v>
      </c>
      <c r="J120" s="8"/>
      <c r="K120" s="8"/>
      <c r="L120" s="8"/>
      <c r="M120" s="8" t="s">
        <v>82</v>
      </c>
      <c r="N120" s="8" t="s">
        <v>598</v>
      </c>
      <c r="O120" s="8" t="s">
        <v>2415</v>
      </c>
      <c r="P120" s="8" t="s">
        <v>39</v>
      </c>
      <c r="Q120" s="9">
        <v>10.5</v>
      </c>
      <c r="R120" s="9">
        <v>0.15</v>
      </c>
      <c r="S120" s="9">
        <v>0.15</v>
      </c>
      <c r="T120" s="10">
        <v>45469.0</v>
      </c>
      <c r="U120" s="11">
        <v>1.9</v>
      </c>
      <c r="V120" s="8" t="s">
        <v>33</v>
      </c>
      <c r="W120" s="12">
        <f t="shared" si="1"/>
        <v>0.135</v>
      </c>
      <c r="X120" s="12">
        <f t="shared" si="4"/>
        <v>5.838666874</v>
      </c>
    </row>
    <row r="121">
      <c r="A121" s="15">
        <f t="shared" si="3"/>
        <v>120</v>
      </c>
      <c r="B121" s="15" t="s">
        <v>137</v>
      </c>
      <c r="C121" s="15" t="s">
        <v>19</v>
      </c>
      <c r="D121" s="15">
        <v>0.0</v>
      </c>
      <c r="E121" s="15"/>
      <c r="F121" s="15" t="s">
        <v>5391</v>
      </c>
      <c r="G121" s="15">
        <v>17.0</v>
      </c>
      <c r="H121" s="15">
        <v>18.0</v>
      </c>
      <c r="I121" s="110">
        <v>0.315</v>
      </c>
      <c r="J121" s="15"/>
      <c r="K121" s="15"/>
      <c r="L121" s="15"/>
      <c r="M121" s="15" t="s">
        <v>82</v>
      </c>
      <c r="N121" s="15" t="s">
        <v>598</v>
      </c>
      <c r="O121" s="15" t="s">
        <v>23</v>
      </c>
      <c r="P121" s="15" t="s">
        <v>39</v>
      </c>
      <c r="Q121" s="16">
        <v>-11.0</v>
      </c>
      <c r="R121" s="16">
        <v>0.15</v>
      </c>
      <c r="S121" s="16">
        <v>0.15</v>
      </c>
      <c r="T121" s="17">
        <v>45469.0</v>
      </c>
      <c r="U121" s="18">
        <v>1.725</v>
      </c>
      <c r="V121" s="15" t="s">
        <v>25</v>
      </c>
      <c r="W121" s="19">
        <f t="shared" si="1"/>
        <v>-0.15</v>
      </c>
      <c r="X121" s="19">
        <f t="shared" si="4"/>
        <v>5.688666874</v>
      </c>
    </row>
    <row r="122">
      <c r="A122" s="8">
        <f t="shared" si="3"/>
        <v>121</v>
      </c>
      <c r="B122" s="8" t="s">
        <v>26</v>
      </c>
      <c r="C122" s="8" t="s">
        <v>40</v>
      </c>
      <c r="D122" s="8">
        <v>71.0</v>
      </c>
      <c r="E122" s="8"/>
      <c r="F122" s="8" t="s">
        <v>5392</v>
      </c>
      <c r="G122" s="8">
        <v>7.0</v>
      </c>
      <c r="H122" s="8">
        <v>4.0</v>
      </c>
      <c r="I122" s="111">
        <f>8/(9*2)</f>
        <v>0.4444444444</v>
      </c>
      <c r="J122" s="8" t="s">
        <v>1473</v>
      </c>
      <c r="K122" s="8" t="s">
        <v>1474</v>
      </c>
      <c r="L122" s="8">
        <v>-2.0</v>
      </c>
      <c r="M122" s="8" t="s">
        <v>169</v>
      </c>
      <c r="N122" s="8" t="s">
        <v>22</v>
      </c>
      <c r="O122" s="8" t="s">
        <v>225</v>
      </c>
      <c r="P122" s="8" t="s">
        <v>24</v>
      </c>
      <c r="Q122" s="9">
        <v>0.25</v>
      </c>
      <c r="R122" s="9">
        <v>0.2</v>
      </c>
      <c r="S122" s="9">
        <v>0.2</v>
      </c>
      <c r="T122" s="10">
        <v>45469.0</v>
      </c>
      <c r="U122" s="11">
        <v>2.075</v>
      </c>
      <c r="V122" s="8" t="s">
        <v>30</v>
      </c>
      <c r="W122" s="12">
        <f t="shared" si="1"/>
        <v>0.1075</v>
      </c>
      <c r="X122" s="12">
        <f t="shared" si="4"/>
        <v>5.796166874</v>
      </c>
    </row>
    <row r="123">
      <c r="A123" s="15">
        <f t="shared" si="3"/>
        <v>122</v>
      </c>
      <c r="B123" s="15" t="s">
        <v>26</v>
      </c>
      <c r="C123" s="15" t="s">
        <v>40</v>
      </c>
      <c r="D123" s="15">
        <v>0.0</v>
      </c>
      <c r="E123" s="15">
        <v>11.0</v>
      </c>
      <c r="F123" s="15" t="s">
        <v>5393</v>
      </c>
      <c r="G123" s="15"/>
      <c r="H123" s="15"/>
      <c r="I123" s="15"/>
      <c r="J123" s="15"/>
      <c r="K123" s="15"/>
      <c r="L123" s="15"/>
      <c r="M123" s="15" t="s">
        <v>193</v>
      </c>
      <c r="N123" s="15" t="s">
        <v>598</v>
      </c>
      <c r="O123" s="15" t="s">
        <v>29</v>
      </c>
      <c r="P123" s="15" t="s">
        <v>24</v>
      </c>
      <c r="Q123" s="16">
        <v>-2.5</v>
      </c>
      <c r="R123" s="16">
        <v>0.5</v>
      </c>
      <c r="S123" s="16">
        <v>0.5</v>
      </c>
      <c r="T123" s="17">
        <v>45470.0</v>
      </c>
      <c r="U123" s="18">
        <v>2.0</v>
      </c>
      <c r="V123" s="15" t="s">
        <v>25</v>
      </c>
      <c r="W123" s="19">
        <f t="shared" si="1"/>
        <v>-0.5</v>
      </c>
      <c r="X123" s="19">
        <f t="shared" si="4"/>
        <v>5.296166874</v>
      </c>
    </row>
    <row r="124">
      <c r="A124" s="8">
        <f t="shared" si="3"/>
        <v>123</v>
      </c>
      <c r="B124" s="8" t="s">
        <v>4225</v>
      </c>
      <c r="C124" s="8" t="s">
        <v>40</v>
      </c>
      <c r="D124" s="8">
        <v>0.0</v>
      </c>
      <c r="E124" s="8">
        <v>13.0</v>
      </c>
      <c r="F124" s="8" t="s">
        <v>5394</v>
      </c>
      <c r="G124" s="8">
        <v>12.0</v>
      </c>
      <c r="H124" s="8">
        <v>2.0</v>
      </c>
      <c r="I124" s="111">
        <v>0.85</v>
      </c>
      <c r="J124" s="8" t="s">
        <v>1473</v>
      </c>
      <c r="K124" s="8" t="s">
        <v>1480</v>
      </c>
      <c r="L124" s="8">
        <v>0.0</v>
      </c>
      <c r="M124" s="8" t="s">
        <v>82</v>
      </c>
      <c r="N124" s="8" t="s">
        <v>598</v>
      </c>
      <c r="O124" s="8" t="s">
        <v>892</v>
      </c>
      <c r="P124" s="8" t="s">
        <v>39</v>
      </c>
      <c r="Q124" s="9">
        <v>0.0</v>
      </c>
      <c r="R124" s="9">
        <v>0.5</v>
      </c>
      <c r="S124" s="9">
        <v>0.5</v>
      </c>
      <c r="T124" s="54">
        <v>45470.0</v>
      </c>
      <c r="U124" s="11">
        <v>1.8</v>
      </c>
      <c r="V124" s="8" t="s">
        <v>70</v>
      </c>
      <c r="W124" s="12">
        <f t="shared" si="1"/>
        <v>0</v>
      </c>
      <c r="X124" s="12">
        <f t="shared" si="4"/>
        <v>5.296166874</v>
      </c>
    </row>
    <row r="125">
      <c r="A125" s="15">
        <f t="shared" si="3"/>
        <v>124</v>
      </c>
      <c r="B125" s="15" t="s">
        <v>26</v>
      </c>
      <c r="C125" s="15" t="s">
        <v>19</v>
      </c>
      <c r="D125" s="15">
        <v>26.0</v>
      </c>
      <c r="E125" s="15"/>
      <c r="F125" s="15" t="s">
        <v>5395</v>
      </c>
      <c r="G125" s="15"/>
      <c r="H125" s="15"/>
      <c r="I125" s="15"/>
      <c r="J125" s="15" t="s">
        <v>1473</v>
      </c>
      <c r="K125" s="15" t="s">
        <v>1480</v>
      </c>
      <c r="L125" s="15">
        <v>2.0</v>
      </c>
      <c r="M125" s="15" t="s">
        <v>82</v>
      </c>
      <c r="N125" s="15" t="s">
        <v>22</v>
      </c>
      <c r="O125" s="15" t="s">
        <v>1847</v>
      </c>
      <c r="P125" s="15" t="s">
        <v>24</v>
      </c>
      <c r="Q125" s="16">
        <v>-0.5</v>
      </c>
      <c r="R125" s="16">
        <v>0.75</v>
      </c>
      <c r="S125" s="16">
        <v>0.75</v>
      </c>
      <c r="T125" s="17">
        <v>45470.0</v>
      </c>
      <c r="U125" s="18">
        <v>1.578</v>
      </c>
      <c r="V125" s="15" t="s">
        <v>33</v>
      </c>
      <c r="W125" s="19">
        <f t="shared" si="1"/>
        <v>0.4335</v>
      </c>
      <c r="X125" s="19">
        <f t="shared" si="4"/>
        <v>5.729666874</v>
      </c>
    </row>
    <row r="126">
      <c r="A126" s="8">
        <f t="shared" si="3"/>
        <v>125</v>
      </c>
      <c r="B126" s="8" t="s">
        <v>4225</v>
      </c>
      <c r="C126" s="8" t="s">
        <v>19</v>
      </c>
      <c r="D126" s="8">
        <v>0.0</v>
      </c>
      <c r="E126" s="8">
        <v>13.0</v>
      </c>
      <c r="F126" s="8" t="s">
        <v>5396</v>
      </c>
      <c r="G126" s="8">
        <v>12.0</v>
      </c>
      <c r="H126" s="8">
        <v>7.0</v>
      </c>
      <c r="I126" s="111">
        <f>11/30</f>
        <v>0.3666666667</v>
      </c>
      <c r="J126" s="8" t="s">
        <v>1473</v>
      </c>
      <c r="K126" s="8" t="s">
        <v>1474</v>
      </c>
      <c r="L126" s="8">
        <v>0.0</v>
      </c>
      <c r="M126" s="8" t="s">
        <v>463</v>
      </c>
      <c r="N126" s="8" t="s">
        <v>598</v>
      </c>
      <c r="O126" s="8" t="s">
        <v>225</v>
      </c>
      <c r="P126" s="8" t="s">
        <v>1851</v>
      </c>
      <c r="Q126" s="9">
        <v>0.5</v>
      </c>
      <c r="R126" s="9">
        <v>0.1</v>
      </c>
      <c r="S126" s="9">
        <v>0.1</v>
      </c>
      <c r="T126" s="10">
        <v>45470.0</v>
      </c>
      <c r="U126" s="11">
        <v>1.825</v>
      </c>
      <c r="V126" s="8" t="s">
        <v>25</v>
      </c>
      <c r="W126" s="12">
        <f t="shared" si="1"/>
        <v>-0.1</v>
      </c>
      <c r="X126" s="12">
        <f t="shared" si="4"/>
        <v>5.629666874</v>
      </c>
    </row>
    <row r="127">
      <c r="A127" s="15">
        <f t="shared" si="3"/>
        <v>126</v>
      </c>
      <c r="B127" s="15" t="s">
        <v>4225</v>
      </c>
      <c r="C127" s="15" t="s">
        <v>40</v>
      </c>
      <c r="D127" s="15">
        <v>80.0</v>
      </c>
      <c r="E127" s="15">
        <v>10.0</v>
      </c>
      <c r="F127" s="15" t="s">
        <v>5397</v>
      </c>
      <c r="G127" s="15">
        <v>12.0</v>
      </c>
      <c r="H127" s="15">
        <v>2.0</v>
      </c>
      <c r="I127" s="110">
        <v>0.85</v>
      </c>
      <c r="J127" s="15" t="s">
        <v>1479</v>
      </c>
      <c r="K127" s="15" t="s">
        <v>1480</v>
      </c>
      <c r="L127" s="15">
        <v>0.0</v>
      </c>
      <c r="M127" s="15" t="s">
        <v>82</v>
      </c>
      <c r="N127" s="15" t="s">
        <v>22</v>
      </c>
      <c r="O127" s="15" t="s">
        <v>892</v>
      </c>
      <c r="P127" s="15" t="s">
        <v>39</v>
      </c>
      <c r="Q127" s="16">
        <v>0.0</v>
      </c>
      <c r="R127" s="16">
        <v>0.5</v>
      </c>
      <c r="S127" s="16">
        <v>0.5</v>
      </c>
      <c r="T127" s="55">
        <v>45470.0</v>
      </c>
      <c r="U127" s="18">
        <v>1.8</v>
      </c>
      <c r="V127" s="15" t="s">
        <v>70</v>
      </c>
      <c r="W127" s="19">
        <f t="shared" si="1"/>
        <v>0</v>
      </c>
      <c r="X127" s="19">
        <f t="shared" si="4"/>
        <v>5.629666874</v>
      </c>
    </row>
    <row r="128">
      <c r="A128" s="8">
        <f t="shared" si="3"/>
        <v>127</v>
      </c>
      <c r="B128" s="8" t="s">
        <v>1915</v>
      </c>
      <c r="C128" s="8" t="s">
        <v>19</v>
      </c>
      <c r="D128" s="8">
        <v>0.0</v>
      </c>
      <c r="E128" s="8"/>
      <c r="F128" s="8" t="s">
        <v>5398</v>
      </c>
      <c r="G128" s="8"/>
      <c r="H128" s="8"/>
      <c r="I128" s="111"/>
      <c r="J128" s="8"/>
      <c r="K128" s="8"/>
      <c r="L128" s="8"/>
      <c r="M128" s="8" t="s">
        <v>952</v>
      </c>
      <c r="N128" s="8" t="s">
        <v>598</v>
      </c>
      <c r="O128" s="8" t="s">
        <v>29</v>
      </c>
      <c r="P128" s="8" t="s">
        <v>1522</v>
      </c>
      <c r="Q128" s="9">
        <v>-2.5</v>
      </c>
      <c r="R128" s="9">
        <v>0.2</v>
      </c>
      <c r="S128" s="9">
        <v>0.2</v>
      </c>
      <c r="T128" s="10">
        <v>45471.0</v>
      </c>
      <c r="U128" s="11">
        <v>1.725</v>
      </c>
      <c r="V128" s="8" t="s">
        <v>25</v>
      </c>
      <c r="W128" s="12">
        <f t="shared" si="1"/>
        <v>-0.2</v>
      </c>
      <c r="X128" s="12">
        <f t="shared" si="4"/>
        <v>5.429666874</v>
      </c>
    </row>
    <row r="129">
      <c r="A129" s="15">
        <f t="shared" si="3"/>
        <v>128</v>
      </c>
      <c r="B129" s="15" t="s">
        <v>1915</v>
      </c>
      <c r="C129" s="15" t="s">
        <v>19</v>
      </c>
      <c r="D129" s="15">
        <v>0.0</v>
      </c>
      <c r="E129" s="15"/>
      <c r="F129" s="15" t="s">
        <v>5399</v>
      </c>
      <c r="G129" s="15"/>
      <c r="H129" s="15"/>
      <c r="I129" s="183"/>
      <c r="J129" s="15"/>
      <c r="K129" s="15"/>
      <c r="L129" s="15"/>
      <c r="M129" s="15" t="s">
        <v>28</v>
      </c>
      <c r="N129" s="15" t="s">
        <v>598</v>
      </c>
      <c r="O129" s="15" t="s">
        <v>29</v>
      </c>
      <c r="P129" s="15" t="s">
        <v>39</v>
      </c>
      <c r="Q129" s="16">
        <v>-2.75</v>
      </c>
      <c r="R129" s="16">
        <v>0.25</v>
      </c>
      <c r="S129" s="16">
        <v>0.25</v>
      </c>
      <c r="T129" s="17">
        <v>45471.0</v>
      </c>
      <c r="U129" s="18">
        <v>1.85</v>
      </c>
      <c r="V129" s="15" t="s">
        <v>33</v>
      </c>
      <c r="W129" s="19">
        <f t="shared" si="1"/>
        <v>0.2125</v>
      </c>
      <c r="X129" s="19">
        <f t="shared" si="4"/>
        <v>5.642166874</v>
      </c>
    </row>
    <row r="130">
      <c r="A130" s="8">
        <f t="shared" si="3"/>
        <v>129</v>
      </c>
      <c r="B130" s="8" t="s">
        <v>26</v>
      </c>
      <c r="C130" s="8" t="s">
        <v>19</v>
      </c>
      <c r="D130" s="8">
        <v>70.0</v>
      </c>
      <c r="E130" s="8"/>
      <c r="F130" s="8" t="s">
        <v>5400</v>
      </c>
      <c r="G130" s="8">
        <v>9.0</v>
      </c>
      <c r="H130" s="8">
        <v>2.0</v>
      </c>
      <c r="I130" s="111">
        <f>14/(9*2)</f>
        <v>0.7777777778</v>
      </c>
      <c r="J130" s="8" t="s">
        <v>1473</v>
      </c>
      <c r="K130" s="8" t="s">
        <v>1477</v>
      </c>
      <c r="L130" s="8">
        <v>-1.0</v>
      </c>
      <c r="M130" s="8" t="s">
        <v>2667</v>
      </c>
      <c r="N130" s="8" t="s">
        <v>22</v>
      </c>
      <c r="O130" s="8" t="s">
        <v>894</v>
      </c>
      <c r="P130" s="8" t="s">
        <v>39</v>
      </c>
      <c r="Q130" s="9">
        <v>-0.75</v>
      </c>
      <c r="R130" s="9">
        <v>0.1</v>
      </c>
      <c r="S130" s="9">
        <v>0.1</v>
      </c>
      <c r="T130" s="10">
        <v>45471.0</v>
      </c>
      <c r="U130" s="11">
        <v>1.6</v>
      </c>
      <c r="V130" s="8" t="s">
        <v>25</v>
      </c>
      <c r="W130" s="12">
        <f t="shared" si="1"/>
        <v>-0.1</v>
      </c>
      <c r="X130" s="12">
        <f t="shared" si="4"/>
        <v>5.542166874</v>
      </c>
    </row>
    <row r="131">
      <c r="A131" s="15">
        <f t="shared" si="3"/>
        <v>130</v>
      </c>
      <c r="B131" s="15" t="s">
        <v>26</v>
      </c>
      <c r="C131" s="15" t="s">
        <v>19</v>
      </c>
      <c r="D131" s="15">
        <v>49.0</v>
      </c>
      <c r="E131" s="15"/>
      <c r="F131" s="15" t="s">
        <v>5401</v>
      </c>
      <c r="G131" s="15"/>
      <c r="H131" s="15"/>
      <c r="I131" s="110"/>
      <c r="J131" s="15" t="s">
        <v>1479</v>
      </c>
      <c r="K131" s="15" t="s">
        <v>1480</v>
      </c>
      <c r="L131" s="15">
        <v>0.0</v>
      </c>
      <c r="M131" s="15" t="s">
        <v>82</v>
      </c>
      <c r="N131" s="15" t="s">
        <v>22</v>
      </c>
      <c r="O131" s="15" t="s">
        <v>892</v>
      </c>
      <c r="P131" s="15" t="s">
        <v>1522</v>
      </c>
      <c r="Q131" s="16">
        <v>0.0</v>
      </c>
      <c r="R131" s="16">
        <v>0.5</v>
      </c>
      <c r="S131" s="16">
        <v>0.5</v>
      </c>
      <c r="T131" s="17">
        <v>45471.0</v>
      </c>
      <c r="U131" s="18">
        <v>1.73</v>
      </c>
      <c r="V131" s="15" t="s">
        <v>33</v>
      </c>
      <c r="W131" s="19">
        <f t="shared" si="1"/>
        <v>0.365</v>
      </c>
      <c r="X131" s="19">
        <f t="shared" si="4"/>
        <v>5.907166874</v>
      </c>
    </row>
    <row r="132">
      <c r="A132" s="8">
        <f t="shared" si="3"/>
        <v>131</v>
      </c>
      <c r="B132" s="8" t="s">
        <v>129</v>
      </c>
      <c r="C132" s="8" t="s">
        <v>19</v>
      </c>
      <c r="D132" s="8">
        <v>25.0</v>
      </c>
      <c r="E132" s="8"/>
      <c r="F132" s="8" t="s">
        <v>5402</v>
      </c>
      <c r="G132" s="8"/>
      <c r="H132" s="8"/>
      <c r="I132" s="8"/>
      <c r="J132" s="8"/>
      <c r="K132" s="8"/>
      <c r="L132" s="8"/>
      <c r="M132" s="8" t="s">
        <v>463</v>
      </c>
      <c r="N132" s="8" t="s">
        <v>22</v>
      </c>
      <c r="O132" s="8" t="s">
        <v>5403</v>
      </c>
      <c r="P132" s="8" t="s">
        <v>24</v>
      </c>
      <c r="Q132" s="9">
        <v>0.25</v>
      </c>
      <c r="R132" s="9">
        <v>0.5</v>
      </c>
      <c r="S132" s="9">
        <v>0.5</v>
      </c>
      <c r="T132" s="10">
        <v>45472.0</v>
      </c>
      <c r="U132" s="11">
        <v>1.825</v>
      </c>
      <c r="V132" s="8" t="s">
        <v>70</v>
      </c>
      <c r="W132" s="12">
        <f t="shared" si="1"/>
        <v>0</v>
      </c>
      <c r="X132" s="12">
        <f t="shared" si="4"/>
        <v>5.907166874</v>
      </c>
    </row>
    <row r="133">
      <c r="A133" s="15">
        <f t="shared" si="3"/>
        <v>132</v>
      </c>
      <c r="B133" s="15" t="s">
        <v>4225</v>
      </c>
      <c r="C133" s="15" t="s">
        <v>19</v>
      </c>
      <c r="D133" s="15">
        <v>0.0</v>
      </c>
      <c r="E133" s="138">
        <v>11.0</v>
      </c>
      <c r="F133" s="15" t="s">
        <v>5404</v>
      </c>
      <c r="G133" s="15">
        <v>16.0</v>
      </c>
      <c r="H133" s="15">
        <v>14.0</v>
      </c>
      <c r="I133" s="110">
        <v>0.3333</v>
      </c>
      <c r="J133" s="15"/>
      <c r="K133" s="15"/>
      <c r="L133" s="15"/>
      <c r="M133" s="15" t="s">
        <v>1470</v>
      </c>
      <c r="N133" s="15" t="s">
        <v>598</v>
      </c>
      <c r="O133" s="15" t="s">
        <v>29</v>
      </c>
      <c r="P133" s="15" t="s">
        <v>24</v>
      </c>
      <c r="Q133" s="16">
        <v>-2.0</v>
      </c>
      <c r="R133" s="16">
        <v>0.5</v>
      </c>
      <c r="S133" s="16">
        <v>0.5</v>
      </c>
      <c r="T133" s="17">
        <v>45472.0</v>
      </c>
      <c r="U133" s="18">
        <v>1.825</v>
      </c>
      <c r="V133" s="15" t="s">
        <v>70</v>
      </c>
      <c r="W133" s="19">
        <f t="shared" si="1"/>
        <v>0</v>
      </c>
      <c r="X133" s="19">
        <f t="shared" si="4"/>
        <v>5.907166874</v>
      </c>
    </row>
    <row r="134">
      <c r="A134" s="8">
        <f t="shared" si="3"/>
        <v>133</v>
      </c>
      <c r="B134" s="8" t="s">
        <v>129</v>
      </c>
      <c r="C134" s="8" t="s">
        <v>19</v>
      </c>
      <c r="D134" s="8">
        <v>20.0</v>
      </c>
      <c r="E134" s="8"/>
      <c r="F134" s="8" t="s">
        <v>5405</v>
      </c>
      <c r="G134" s="8">
        <v>14.0</v>
      </c>
      <c r="H134" s="8">
        <v>5.0</v>
      </c>
      <c r="I134" s="111">
        <f>17/34</f>
        <v>0.5</v>
      </c>
      <c r="J134" s="8" t="s">
        <v>1473</v>
      </c>
      <c r="K134" s="8" t="s">
        <v>1480</v>
      </c>
      <c r="L134" s="8">
        <v>0.0</v>
      </c>
      <c r="M134" s="8" t="s">
        <v>3476</v>
      </c>
      <c r="N134" s="8" t="s">
        <v>22</v>
      </c>
      <c r="O134" s="8" t="s">
        <v>892</v>
      </c>
      <c r="P134" s="8" t="s">
        <v>24</v>
      </c>
      <c r="Q134" s="9">
        <v>0.0</v>
      </c>
      <c r="R134" s="9">
        <v>0.5</v>
      </c>
      <c r="S134" s="9">
        <v>0.5</v>
      </c>
      <c r="T134" s="10">
        <v>45472.0</v>
      </c>
      <c r="U134" s="11">
        <v>1.95</v>
      </c>
      <c r="V134" s="8" t="s">
        <v>25</v>
      </c>
      <c r="W134" s="12">
        <f t="shared" si="1"/>
        <v>-0.5</v>
      </c>
      <c r="X134" s="12">
        <f t="shared" si="4"/>
        <v>5.407166874</v>
      </c>
    </row>
    <row r="135">
      <c r="A135" s="15">
        <f t="shared" si="3"/>
        <v>134</v>
      </c>
      <c r="B135" s="15" t="s">
        <v>129</v>
      </c>
      <c r="C135" s="15" t="s">
        <v>40</v>
      </c>
      <c r="D135" s="15">
        <v>25.0</v>
      </c>
      <c r="E135" s="15"/>
      <c r="F135" s="15" t="s">
        <v>5406</v>
      </c>
      <c r="G135" s="15">
        <v>9.0</v>
      </c>
      <c r="H135" s="15">
        <v>5.0</v>
      </c>
      <c r="I135" s="110">
        <f>12/18</f>
        <v>0.6666666667</v>
      </c>
      <c r="J135" s="15" t="s">
        <v>1473</v>
      </c>
      <c r="K135" s="15" t="s">
        <v>1480</v>
      </c>
      <c r="L135" s="15">
        <v>0.0</v>
      </c>
      <c r="M135" s="15" t="s">
        <v>463</v>
      </c>
      <c r="N135" s="15" t="s">
        <v>22</v>
      </c>
      <c r="O135" s="15" t="s">
        <v>892</v>
      </c>
      <c r="P135" s="15" t="s">
        <v>24</v>
      </c>
      <c r="Q135" s="16">
        <v>0.0</v>
      </c>
      <c r="R135" s="16">
        <v>0.5</v>
      </c>
      <c r="S135" s="16">
        <v>0.5</v>
      </c>
      <c r="T135" s="17">
        <v>45472.0</v>
      </c>
      <c r="U135" s="18">
        <v>1.75</v>
      </c>
      <c r="V135" s="15" t="s">
        <v>70</v>
      </c>
      <c r="W135" s="19">
        <f t="shared" si="1"/>
        <v>0</v>
      </c>
      <c r="X135" s="19">
        <f t="shared" si="4"/>
        <v>5.407166874</v>
      </c>
    </row>
    <row r="136">
      <c r="A136" s="8">
        <f t="shared" si="3"/>
        <v>135</v>
      </c>
      <c r="B136" s="8" t="s">
        <v>129</v>
      </c>
      <c r="C136" s="8" t="s">
        <v>19</v>
      </c>
      <c r="D136" s="8">
        <v>70.0</v>
      </c>
      <c r="E136" s="8"/>
      <c r="F136" s="8" t="s">
        <v>5407</v>
      </c>
      <c r="G136" s="8" t="s">
        <v>5553</v>
      </c>
      <c r="H136" s="8" t="s">
        <v>5553</v>
      </c>
      <c r="I136" s="8" t="s">
        <v>5553</v>
      </c>
      <c r="J136" s="8" t="s">
        <v>1479</v>
      </c>
      <c r="K136" s="8" t="s">
        <v>1480</v>
      </c>
      <c r="L136" s="8">
        <v>1.0</v>
      </c>
      <c r="M136" s="8" t="s">
        <v>28</v>
      </c>
      <c r="N136" s="8" t="s">
        <v>22</v>
      </c>
      <c r="O136" s="8" t="s">
        <v>892</v>
      </c>
      <c r="P136" s="8" t="s">
        <v>24</v>
      </c>
      <c r="Q136" s="9">
        <v>0.0</v>
      </c>
      <c r="R136" s="9">
        <v>0.25</v>
      </c>
      <c r="S136" s="9">
        <v>0.25</v>
      </c>
      <c r="T136" s="10">
        <v>45472.0</v>
      </c>
      <c r="U136" s="11">
        <v>1.625</v>
      </c>
      <c r="V136" s="8" t="s">
        <v>70</v>
      </c>
      <c r="W136" s="12">
        <f t="shared" si="1"/>
        <v>0</v>
      </c>
      <c r="X136" s="12">
        <f t="shared" si="4"/>
        <v>5.407166874</v>
      </c>
    </row>
    <row r="137">
      <c r="A137" s="15">
        <f t="shared" si="3"/>
        <v>136</v>
      </c>
      <c r="B137" s="15" t="s">
        <v>26</v>
      </c>
      <c r="C137" s="15" t="s">
        <v>19</v>
      </c>
      <c r="D137" s="15">
        <v>88.0</v>
      </c>
      <c r="E137" s="15"/>
      <c r="F137" s="15" t="s">
        <v>5408</v>
      </c>
      <c r="G137" s="15" t="s">
        <v>5553</v>
      </c>
      <c r="H137" s="15" t="s">
        <v>5553</v>
      </c>
      <c r="I137" s="15" t="s">
        <v>5553</v>
      </c>
      <c r="J137" s="15" t="s">
        <v>1479</v>
      </c>
      <c r="K137" s="15" t="s">
        <v>1480</v>
      </c>
      <c r="L137" s="15">
        <v>1.0</v>
      </c>
      <c r="M137" s="15" t="s">
        <v>28</v>
      </c>
      <c r="N137" s="15" t="s">
        <v>22</v>
      </c>
      <c r="O137" s="15" t="s">
        <v>23</v>
      </c>
      <c r="P137" s="15" t="s">
        <v>24</v>
      </c>
      <c r="Q137" s="16">
        <v>-10.5</v>
      </c>
      <c r="R137" s="16">
        <v>0.1</v>
      </c>
      <c r="S137" s="16">
        <v>0.1</v>
      </c>
      <c r="T137" s="17">
        <v>45472.0</v>
      </c>
      <c r="U137" s="18">
        <v>1.7</v>
      </c>
      <c r="V137" s="15" t="s">
        <v>33</v>
      </c>
      <c r="W137" s="19">
        <f t="shared" si="1"/>
        <v>0.07</v>
      </c>
      <c r="X137" s="19">
        <f t="shared" si="4"/>
        <v>5.477166874</v>
      </c>
    </row>
    <row r="138">
      <c r="A138" s="8">
        <f t="shared" si="3"/>
        <v>137</v>
      </c>
      <c r="B138" s="8" t="s">
        <v>129</v>
      </c>
      <c r="C138" s="8" t="s">
        <v>19</v>
      </c>
      <c r="D138" s="8">
        <v>30.0</v>
      </c>
      <c r="E138" s="8"/>
      <c r="F138" s="8" t="s">
        <v>5409</v>
      </c>
      <c r="G138" s="8" t="s">
        <v>5553</v>
      </c>
      <c r="H138" s="8" t="s">
        <v>5553</v>
      </c>
      <c r="I138" s="8" t="s">
        <v>1479</v>
      </c>
      <c r="J138" s="8" t="s">
        <v>1479</v>
      </c>
      <c r="K138" s="8" t="s">
        <v>1480</v>
      </c>
      <c r="L138" s="8">
        <v>0.0</v>
      </c>
      <c r="M138" s="8" t="s">
        <v>5410</v>
      </c>
      <c r="N138" s="8" t="s">
        <v>22</v>
      </c>
      <c r="O138" s="8" t="s">
        <v>892</v>
      </c>
      <c r="P138" s="8" t="s">
        <v>39</v>
      </c>
      <c r="Q138" s="9">
        <v>0.0</v>
      </c>
      <c r="R138" s="9">
        <v>0.05</v>
      </c>
      <c r="S138" s="9">
        <v>0.05</v>
      </c>
      <c r="T138" s="10">
        <v>45472.0</v>
      </c>
      <c r="U138" s="11">
        <v>1.9</v>
      </c>
      <c r="V138" s="8" t="s">
        <v>33</v>
      </c>
      <c r="W138" s="12">
        <f t="shared" si="1"/>
        <v>0.045</v>
      </c>
      <c r="X138" s="12">
        <f t="shared" si="4"/>
        <v>5.522166874</v>
      </c>
    </row>
    <row r="139">
      <c r="A139" s="15">
        <f t="shared" si="3"/>
        <v>138</v>
      </c>
      <c r="B139" s="15" t="s">
        <v>1915</v>
      </c>
      <c r="C139" s="15" t="s">
        <v>19</v>
      </c>
      <c r="D139" s="15">
        <v>0.0</v>
      </c>
      <c r="E139" s="139"/>
      <c r="F139" s="15" t="s">
        <v>5411</v>
      </c>
      <c r="G139" s="15">
        <v>2.0</v>
      </c>
      <c r="H139" s="15">
        <v>3.0</v>
      </c>
      <c r="I139" s="15"/>
      <c r="J139" s="15"/>
      <c r="K139" s="15"/>
      <c r="L139" s="15"/>
      <c r="M139" s="15" t="s">
        <v>82</v>
      </c>
      <c r="N139" s="15" t="s">
        <v>22</v>
      </c>
      <c r="O139" s="15" t="s">
        <v>29</v>
      </c>
      <c r="P139" s="15" t="s">
        <v>24</v>
      </c>
      <c r="Q139" s="16">
        <v>-2.25</v>
      </c>
      <c r="R139" s="16">
        <v>0.5</v>
      </c>
      <c r="S139" s="16">
        <v>0.5</v>
      </c>
      <c r="T139" s="17">
        <v>45472.0</v>
      </c>
      <c r="U139" s="18">
        <v>1.37</v>
      </c>
      <c r="V139" s="15" t="s">
        <v>33</v>
      </c>
      <c r="W139" s="19">
        <f t="shared" si="1"/>
        <v>0.185</v>
      </c>
      <c r="X139" s="19">
        <f t="shared" si="4"/>
        <v>5.707166874</v>
      </c>
    </row>
    <row r="140">
      <c r="A140" s="8">
        <f t="shared" si="3"/>
        <v>139</v>
      </c>
      <c r="B140" s="8" t="s">
        <v>1915</v>
      </c>
      <c r="C140" s="8" t="s">
        <v>19</v>
      </c>
      <c r="D140" s="8">
        <v>0.0</v>
      </c>
      <c r="E140" s="8"/>
      <c r="F140" s="8" t="s">
        <v>5412</v>
      </c>
      <c r="G140" s="8"/>
      <c r="H140" s="8"/>
      <c r="I140" s="8"/>
      <c r="J140" s="8"/>
      <c r="K140" s="8"/>
      <c r="L140" s="8"/>
      <c r="M140" s="8" t="s">
        <v>768</v>
      </c>
      <c r="N140" s="8" t="s">
        <v>22</v>
      </c>
      <c r="O140" s="8" t="s">
        <v>29</v>
      </c>
      <c r="P140" s="8" t="s">
        <v>39</v>
      </c>
      <c r="Q140" s="9">
        <v>-2.5</v>
      </c>
      <c r="R140" s="9">
        <v>0.25</v>
      </c>
      <c r="S140" s="9">
        <v>0.25</v>
      </c>
      <c r="T140" s="54">
        <v>45472.0</v>
      </c>
      <c r="U140" s="11">
        <v>1.9</v>
      </c>
      <c r="V140" s="8" t="s">
        <v>25</v>
      </c>
      <c r="W140" s="12">
        <f t="shared" si="1"/>
        <v>-0.25</v>
      </c>
      <c r="X140" s="12">
        <f t="shared" si="4"/>
        <v>5.457166874</v>
      </c>
    </row>
    <row r="141">
      <c r="A141" s="15">
        <f t="shared" si="3"/>
        <v>140</v>
      </c>
      <c r="B141" s="15" t="s">
        <v>26</v>
      </c>
      <c r="C141" s="15" t="s">
        <v>19</v>
      </c>
      <c r="D141" s="15">
        <v>75.0</v>
      </c>
      <c r="E141" s="15"/>
      <c r="F141" s="15" t="s">
        <v>5413</v>
      </c>
      <c r="G141" s="15"/>
      <c r="H141" s="15"/>
      <c r="I141" s="110"/>
      <c r="J141" s="15" t="s">
        <v>1479</v>
      </c>
      <c r="K141" s="15" t="s">
        <v>1480</v>
      </c>
      <c r="L141" s="15">
        <v>1.0</v>
      </c>
      <c r="M141" s="15" t="s">
        <v>117</v>
      </c>
      <c r="N141" s="15" t="s">
        <v>22</v>
      </c>
      <c r="O141" s="15" t="s">
        <v>892</v>
      </c>
      <c r="P141" s="15" t="s">
        <v>24</v>
      </c>
      <c r="Q141" s="16">
        <v>0.0</v>
      </c>
      <c r="R141" s="16">
        <v>0.25</v>
      </c>
      <c r="S141" s="16">
        <v>0.25</v>
      </c>
      <c r="T141" s="17">
        <v>45472.0</v>
      </c>
      <c r="U141" s="18">
        <v>1.725</v>
      </c>
      <c r="V141" s="15" t="s">
        <v>70</v>
      </c>
      <c r="W141" s="19">
        <f t="shared" si="1"/>
        <v>0</v>
      </c>
      <c r="X141" s="19">
        <f t="shared" si="4"/>
        <v>5.457166874</v>
      </c>
    </row>
    <row r="142">
      <c r="A142" s="8">
        <f t="shared" si="3"/>
        <v>141</v>
      </c>
      <c r="B142" s="8" t="s">
        <v>131</v>
      </c>
      <c r="C142" s="8" t="s">
        <v>19</v>
      </c>
      <c r="D142" s="8">
        <v>25.0</v>
      </c>
      <c r="E142" s="8"/>
      <c r="F142" s="8" t="s">
        <v>5414</v>
      </c>
      <c r="G142" s="8">
        <v>4.0</v>
      </c>
      <c r="H142" s="8">
        <v>3.0</v>
      </c>
      <c r="I142" s="111">
        <f>2/(4*2)</f>
        <v>0.25</v>
      </c>
      <c r="J142" s="8" t="s">
        <v>1479</v>
      </c>
      <c r="K142" s="8" t="s">
        <v>1474</v>
      </c>
      <c r="L142" s="8">
        <v>0.0</v>
      </c>
      <c r="M142" s="8" t="s">
        <v>82</v>
      </c>
      <c r="N142" s="8" t="s">
        <v>22</v>
      </c>
      <c r="O142" s="8" t="s">
        <v>225</v>
      </c>
      <c r="P142" s="8" t="s">
        <v>24</v>
      </c>
      <c r="Q142" s="9">
        <v>0.75</v>
      </c>
      <c r="R142" s="9">
        <v>0.25</v>
      </c>
      <c r="S142" s="9">
        <v>0.25</v>
      </c>
      <c r="T142" s="10">
        <v>45472.0</v>
      </c>
      <c r="U142" s="11">
        <v>1.85</v>
      </c>
      <c r="V142" s="8" t="s">
        <v>79</v>
      </c>
      <c r="W142" s="12">
        <f t="shared" si="1"/>
        <v>-0.125</v>
      </c>
      <c r="X142" s="12">
        <f t="shared" si="4"/>
        <v>5.332166874</v>
      </c>
    </row>
    <row r="143">
      <c r="A143" s="15">
        <f t="shared" si="3"/>
        <v>142</v>
      </c>
      <c r="B143" s="15" t="s">
        <v>137</v>
      </c>
      <c r="C143" s="15" t="s">
        <v>19</v>
      </c>
      <c r="D143" s="15">
        <v>0.0</v>
      </c>
      <c r="E143" s="15"/>
      <c r="F143" s="15" t="s">
        <v>5415</v>
      </c>
      <c r="G143" s="15">
        <v>8.0</v>
      </c>
      <c r="H143" s="15">
        <v>19.0</v>
      </c>
      <c r="I143" s="110">
        <v>0.342</v>
      </c>
      <c r="J143" s="15"/>
      <c r="K143" s="15"/>
      <c r="L143" s="15"/>
      <c r="M143" s="15" t="s">
        <v>82</v>
      </c>
      <c r="N143" s="15" t="s">
        <v>598</v>
      </c>
      <c r="O143" s="15" t="s">
        <v>2415</v>
      </c>
      <c r="P143" s="15" t="s">
        <v>39</v>
      </c>
      <c r="Q143" s="16">
        <v>10.0</v>
      </c>
      <c r="R143" s="16">
        <v>0.1</v>
      </c>
      <c r="S143" s="16">
        <v>0.1</v>
      </c>
      <c r="T143" s="17">
        <v>45472.0</v>
      </c>
      <c r="U143" s="18">
        <v>1.95</v>
      </c>
      <c r="V143" s="15" t="s">
        <v>33</v>
      </c>
      <c r="W143" s="19">
        <f t="shared" si="1"/>
        <v>0.095</v>
      </c>
      <c r="X143" s="19">
        <f t="shared" si="4"/>
        <v>5.427166874</v>
      </c>
    </row>
    <row r="144">
      <c r="A144" s="8">
        <f t="shared" si="3"/>
        <v>143</v>
      </c>
      <c r="B144" s="8" t="s">
        <v>18</v>
      </c>
      <c r="C144" s="8" t="s">
        <v>19</v>
      </c>
      <c r="D144" s="8">
        <v>10.0</v>
      </c>
      <c r="E144" s="8"/>
      <c r="F144" s="8" t="s">
        <v>5416</v>
      </c>
      <c r="G144" s="8">
        <v>7.0</v>
      </c>
      <c r="H144" s="8">
        <v>1.0</v>
      </c>
      <c r="I144" s="111">
        <f>10/(15*2)</f>
        <v>0.3333333333</v>
      </c>
      <c r="J144" s="8"/>
      <c r="K144" s="8"/>
      <c r="L144" s="8"/>
      <c r="M144" s="8" t="s">
        <v>1470</v>
      </c>
      <c r="N144" s="8" t="s">
        <v>22</v>
      </c>
      <c r="O144" s="8" t="s">
        <v>440</v>
      </c>
      <c r="P144" s="8" t="s">
        <v>24</v>
      </c>
      <c r="Q144" s="9">
        <v>1.75</v>
      </c>
      <c r="R144" s="9">
        <v>0.25</v>
      </c>
      <c r="S144" s="9">
        <v>0.25</v>
      </c>
      <c r="T144" s="10">
        <v>45473.0</v>
      </c>
      <c r="U144" s="11">
        <v>1.775</v>
      </c>
      <c r="V144" s="8" t="s">
        <v>30</v>
      </c>
      <c r="W144" s="12">
        <f t="shared" si="1"/>
        <v>0.096875</v>
      </c>
      <c r="X144" s="12">
        <f t="shared" si="4"/>
        <v>5.524041874</v>
      </c>
    </row>
    <row r="145">
      <c r="A145" s="15">
        <f t="shared" si="3"/>
        <v>144</v>
      </c>
      <c r="B145" s="15" t="s">
        <v>131</v>
      </c>
      <c r="C145" s="15" t="s">
        <v>19</v>
      </c>
      <c r="D145" s="15">
        <v>32.0</v>
      </c>
      <c r="E145" s="15"/>
      <c r="F145" s="15" t="s">
        <v>5417</v>
      </c>
      <c r="G145" s="15">
        <v>2.0</v>
      </c>
      <c r="H145" s="15">
        <v>1.0</v>
      </c>
      <c r="I145" s="110">
        <f>3/8</f>
        <v>0.375</v>
      </c>
      <c r="J145" s="15" t="s">
        <v>1473</v>
      </c>
      <c r="K145" s="15" t="s">
        <v>1477</v>
      </c>
      <c r="L145" s="15">
        <v>1.0</v>
      </c>
      <c r="M145" s="15" t="s">
        <v>82</v>
      </c>
      <c r="N145" s="15" t="s">
        <v>22</v>
      </c>
      <c r="O145" s="15" t="s">
        <v>894</v>
      </c>
      <c r="P145" s="15" t="s">
        <v>1522</v>
      </c>
      <c r="Q145" s="16">
        <v>-0.75</v>
      </c>
      <c r="R145" s="16">
        <v>0.5</v>
      </c>
      <c r="S145" s="16">
        <v>0.5</v>
      </c>
      <c r="T145" s="17">
        <v>45473.0</v>
      </c>
      <c r="U145" s="18">
        <v>1.8</v>
      </c>
      <c r="V145" s="15" t="s">
        <v>30</v>
      </c>
      <c r="W145" s="19">
        <f t="shared" si="1"/>
        <v>0.2</v>
      </c>
      <c r="X145" s="19">
        <f t="shared" si="4"/>
        <v>5.724041874</v>
      </c>
    </row>
    <row r="146">
      <c r="A146" s="8">
        <f t="shared" si="3"/>
        <v>145</v>
      </c>
      <c r="B146" s="8" t="s">
        <v>129</v>
      </c>
      <c r="C146" s="8" t="s">
        <v>19</v>
      </c>
      <c r="D146" s="8">
        <v>45.0</v>
      </c>
      <c r="E146" s="8"/>
      <c r="F146" s="8" t="s">
        <v>5418</v>
      </c>
      <c r="G146" s="8">
        <v>10.0</v>
      </c>
      <c r="H146" s="8">
        <v>12.0</v>
      </c>
      <c r="I146" s="111">
        <f>10/(15*2)</f>
        <v>0.3333333333</v>
      </c>
      <c r="J146" s="8" t="s">
        <v>1473</v>
      </c>
      <c r="K146" s="8" t="s">
        <v>1474</v>
      </c>
      <c r="L146" s="8">
        <v>-1.0</v>
      </c>
      <c r="M146" s="8" t="s">
        <v>1470</v>
      </c>
      <c r="N146" s="8" t="s">
        <v>22</v>
      </c>
      <c r="O146" s="8" t="s">
        <v>225</v>
      </c>
      <c r="P146" s="8" t="s">
        <v>24</v>
      </c>
      <c r="Q146" s="9">
        <v>0.5</v>
      </c>
      <c r="R146" s="9">
        <v>0.5</v>
      </c>
      <c r="S146" s="9">
        <v>0.44</v>
      </c>
      <c r="T146" s="10">
        <v>45473.0</v>
      </c>
      <c r="U146" s="11">
        <v>1.09</v>
      </c>
      <c r="V146" s="8" t="s">
        <v>33</v>
      </c>
      <c r="W146" s="12">
        <f t="shared" si="1"/>
        <v>0.0396</v>
      </c>
      <c r="X146" s="12">
        <f t="shared" si="4"/>
        <v>5.763641874</v>
      </c>
    </row>
    <row r="147">
      <c r="A147" s="15">
        <f t="shared" si="3"/>
        <v>146</v>
      </c>
      <c r="B147" s="15" t="s">
        <v>129</v>
      </c>
      <c r="C147" s="15" t="s">
        <v>19</v>
      </c>
      <c r="D147" s="15">
        <v>60.0</v>
      </c>
      <c r="E147" s="15"/>
      <c r="F147" s="15" t="s">
        <v>5419</v>
      </c>
      <c r="G147" s="15">
        <v>8.0</v>
      </c>
      <c r="H147" s="15">
        <v>17.0</v>
      </c>
      <c r="I147" s="110">
        <f>35/(19*2)</f>
        <v>0.9210526316</v>
      </c>
      <c r="J147" s="15" t="s">
        <v>1479</v>
      </c>
      <c r="K147" s="15" t="s">
        <v>1480</v>
      </c>
      <c r="L147" s="15">
        <v>-1.0</v>
      </c>
      <c r="M147" s="15" t="s">
        <v>174</v>
      </c>
      <c r="N147" s="15" t="s">
        <v>22</v>
      </c>
      <c r="O147" s="15" t="s">
        <v>892</v>
      </c>
      <c r="P147" s="15"/>
      <c r="Q147" s="16">
        <v>0.0</v>
      </c>
      <c r="R147" s="16">
        <v>0.2</v>
      </c>
      <c r="S147" s="16">
        <v>0.2</v>
      </c>
      <c r="T147" s="17">
        <v>45473.0</v>
      </c>
      <c r="U147" s="18">
        <v>1.75</v>
      </c>
      <c r="V147" s="15" t="s">
        <v>33</v>
      </c>
      <c r="W147" s="19">
        <f t="shared" si="1"/>
        <v>0.15</v>
      </c>
      <c r="X147" s="19">
        <f t="shared" si="4"/>
        <v>5.913641874</v>
      </c>
    </row>
    <row r="148">
      <c r="A148" s="8">
        <f t="shared" si="3"/>
        <v>147</v>
      </c>
      <c r="B148" s="8"/>
      <c r="C148" s="8"/>
      <c r="D148" s="8"/>
      <c r="E148" s="8"/>
      <c r="F148" s="8"/>
      <c r="G148" s="8"/>
      <c r="H148" s="8"/>
      <c r="I148" s="111"/>
      <c r="J148" s="8"/>
      <c r="K148" s="8"/>
      <c r="L148" s="8"/>
      <c r="M148" s="8"/>
      <c r="N148" s="8"/>
      <c r="O148" s="8"/>
      <c r="P148" s="8"/>
      <c r="Q148" s="9"/>
      <c r="R148" s="9"/>
      <c r="S148" s="9"/>
      <c r="T148" s="10"/>
      <c r="U148" s="11"/>
      <c r="V148" s="8"/>
      <c r="W148" s="12" t="str">
        <f t="shared" si="1"/>
        <v/>
      </c>
      <c r="X148" s="12">
        <f t="shared" si="4"/>
        <v>5.913641874</v>
      </c>
    </row>
    <row r="149">
      <c r="A149" s="15">
        <f t="shared" si="3"/>
        <v>148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6"/>
      <c r="R149" s="16"/>
      <c r="S149" s="16"/>
      <c r="T149" s="17"/>
      <c r="U149" s="18"/>
      <c r="V149" s="15"/>
      <c r="W149" s="19" t="str">
        <f t="shared" si="1"/>
        <v/>
      </c>
      <c r="X149" s="19">
        <f t="shared" si="4"/>
        <v>5.913641874</v>
      </c>
    </row>
    <row r="150">
      <c r="A150" s="8">
        <f t="shared" si="3"/>
        <v>149</v>
      </c>
      <c r="B150" s="8"/>
      <c r="C150" s="8"/>
      <c r="D150" s="8"/>
      <c r="E150" s="8"/>
      <c r="F150" s="8"/>
      <c r="G150" s="8"/>
      <c r="H150" s="8"/>
      <c r="I150" s="111"/>
      <c r="J150" s="8"/>
      <c r="K150" s="8"/>
      <c r="L150" s="8"/>
      <c r="M150" s="8"/>
      <c r="N150" s="8"/>
      <c r="O150" s="8"/>
      <c r="P150" s="8"/>
      <c r="Q150" s="9"/>
      <c r="R150" s="9"/>
      <c r="S150" s="9"/>
      <c r="T150" s="10"/>
      <c r="U150" s="11"/>
      <c r="V150" s="8"/>
      <c r="W150" s="12" t="str">
        <f t="shared" si="1"/>
        <v/>
      </c>
      <c r="X150" s="12">
        <f t="shared" si="4"/>
        <v>5.913641874</v>
      </c>
    </row>
    <row r="151">
      <c r="A151" s="15">
        <f t="shared" si="3"/>
        <v>150</v>
      </c>
      <c r="B151" s="15"/>
      <c r="C151" s="15"/>
      <c r="D151" s="15"/>
      <c r="E151" s="15"/>
      <c r="F151" s="15"/>
      <c r="G151" s="15"/>
      <c r="H151" s="15"/>
      <c r="I151" s="110"/>
      <c r="J151" s="15"/>
      <c r="K151" s="15"/>
      <c r="L151" s="15"/>
      <c r="M151" s="15"/>
      <c r="N151" s="15"/>
      <c r="O151" s="15"/>
      <c r="P151" s="15"/>
      <c r="Q151" s="16"/>
      <c r="R151" s="16"/>
      <c r="S151" s="16"/>
      <c r="T151" s="17"/>
      <c r="U151" s="18"/>
      <c r="V151" s="15"/>
      <c r="W151" s="19" t="str">
        <f t="shared" si="1"/>
        <v/>
      </c>
      <c r="X151" s="19">
        <f t="shared" si="4"/>
        <v>5.913641874</v>
      </c>
    </row>
    <row r="152">
      <c r="A152" s="8">
        <f t="shared" si="3"/>
        <v>151</v>
      </c>
      <c r="B152" s="8"/>
      <c r="C152" s="8"/>
      <c r="D152" s="8"/>
      <c r="E152" s="8"/>
      <c r="F152" s="8"/>
      <c r="G152" s="8"/>
      <c r="H152" s="8"/>
      <c r="I152" s="111"/>
      <c r="J152" s="8"/>
      <c r="K152" s="8"/>
      <c r="L152" s="8"/>
      <c r="M152" s="8"/>
      <c r="N152" s="8"/>
      <c r="O152" s="8"/>
      <c r="P152" s="8"/>
      <c r="Q152" s="9"/>
      <c r="R152" s="9"/>
      <c r="S152" s="9"/>
      <c r="T152" s="10"/>
      <c r="U152" s="11"/>
      <c r="V152" s="8"/>
      <c r="W152" s="12" t="str">
        <f t="shared" si="1"/>
        <v/>
      </c>
      <c r="X152" s="12">
        <f t="shared" si="4"/>
        <v>5.913641874</v>
      </c>
    </row>
    <row r="153">
      <c r="A153" s="15">
        <f t="shared" si="3"/>
        <v>152</v>
      </c>
      <c r="B153" s="15"/>
      <c r="C153" s="15"/>
      <c r="D153" s="15"/>
      <c r="E153" s="15"/>
      <c r="F153" s="15"/>
      <c r="G153" s="15"/>
      <c r="H153" s="15"/>
      <c r="I153" s="110"/>
      <c r="J153" s="15"/>
      <c r="K153" s="15"/>
      <c r="L153" s="15"/>
      <c r="M153" s="15"/>
      <c r="N153" s="15"/>
      <c r="O153" s="15"/>
      <c r="P153" s="15"/>
      <c r="Q153" s="16"/>
      <c r="R153" s="16"/>
      <c r="S153" s="16"/>
      <c r="T153" s="17"/>
      <c r="U153" s="18"/>
      <c r="V153" s="15"/>
      <c r="W153" s="19" t="str">
        <f t="shared" si="1"/>
        <v/>
      </c>
      <c r="X153" s="19">
        <f t="shared" si="4"/>
        <v>5.913641874</v>
      </c>
    </row>
    <row r="154">
      <c r="A154" s="8">
        <f t="shared" si="3"/>
        <v>153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9"/>
      <c r="R154" s="9"/>
      <c r="S154" s="9"/>
      <c r="T154" s="10"/>
      <c r="U154" s="11"/>
      <c r="V154" s="8"/>
      <c r="W154" s="12" t="str">
        <f t="shared" si="1"/>
        <v/>
      </c>
      <c r="X154" s="12">
        <f t="shared" si="4"/>
        <v>5.913641874</v>
      </c>
    </row>
    <row r="155">
      <c r="A155" s="15">
        <f t="shared" si="3"/>
        <v>154</v>
      </c>
      <c r="B155" s="15"/>
      <c r="C155" s="15"/>
      <c r="D155" s="15"/>
      <c r="E155" s="15"/>
      <c r="F155" s="15"/>
      <c r="G155" s="15"/>
      <c r="H155" s="15"/>
      <c r="I155" s="110"/>
      <c r="J155" s="15"/>
      <c r="K155" s="15"/>
      <c r="L155" s="15"/>
      <c r="M155" s="15"/>
      <c r="N155" s="15"/>
      <c r="O155" s="15"/>
      <c r="P155" s="15"/>
      <c r="Q155" s="16"/>
      <c r="R155" s="16"/>
      <c r="S155" s="16"/>
      <c r="T155" s="17"/>
      <c r="U155" s="18"/>
      <c r="V155" s="15"/>
      <c r="W155" s="19" t="str">
        <f t="shared" si="1"/>
        <v/>
      </c>
      <c r="X155" s="19">
        <f t="shared" si="4"/>
        <v>5.913641874</v>
      </c>
    </row>
    <row r="156">
      <c r="A156" s="8">
        <f t="shared" si="3"/>
        <v>155</v>
      </c>
      <c r="B156" s="8"/>
      <c r="C156" s="8"/>
      <c r="D156" s="8"/>
      <c r="E156" s="8"/>
      <c r="F156" s="8"/>
      <c r="G156" s="8"/>
      <c r="H156" s="8"/>
      <c r="I156" s="111"/>
      <c r="J156" s="8"/>
      <c r="K156" s="8"/>
      <c r="L156" s="8"/>
      <c r="M156" s="8"/>
      <c r="N156" s="8"/>
      <c r="O156" s="8"/>
      <c r="P156" s="8"/>
      <c r="Q156" s="9"/>
      <c r="R156" s="9"/>
      <c r="S156" s="9"/>
      <c r="T156" s="54"/>
      <c r="U156" s="11"/>
      <c r="V156" s="8"/>
      <c r="W156" s="12" t="str">
        <f t="shared" si="1"/>
        <v/>
      </c>
      <c r="X156" s="12">
        <f t="shared" si="4"/>
        <v>5.913641874</v>
      </c>
    </row>
    <row r="157">
      <c r="A157" s="15">
        <f t="shared" si="3"/>
        <v>156</v>
      </c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6"/>
      <c r="R157" s="16"/>
      <c r="S157" s="16"/>
      <c r="T157" s="17"/>
      <c r="U157" s="18"/>
      <c r="V157" s="15"/>
      <c r="W157" s="19" t="str">
        <f t="shared" si="1"/>
        <v/>
      </c>
      <c r="X157" s="19">
        <f t="shared" si="4"/>
        <v>5.913641874</v>
      </c>
    </row>
    <row r="158">
      <c r="A158" s="8">
        <f t="shared" si="3"/>
        <v>157</v>
      </c>
      <c r="B158" s="8"/>
      <c r="C158" s="8"/>
      <c r="D158" s="8"/>
      <c r="E158" s="8"/>
      <c r="F158" s="8"/>
      <c r="G158" s="8"/>
      <c r="H158" s="8"/>
      <c r="I158" s="111"/>
      <c r="J158" s="8"/>
      <c r="K158" s="8"/>
      <c r="L158" s="8"/>
      <c r="M158" s="8"/>
      <c r="N158" s="8"/>
      <c r="O158" s="8"/>
      <c r="P158" s="8"/>
      <c r="Q158" s="9"/>
      <c r="R158" s="9"/>
      <c r="S158" s="9"/>
      <c r="T158" s="10"/>
      <c r="U158" s="11"/>
      <c r="V158" s="8"/>
      <c r="W158" s="12" t="str">
        <f t="shared" si="1"/>
        <v/>
      </c>
      <c r="X158" s="12">
        <f t="shared" si="4"/>
        <v>5.913641874</v>
      </c>
    </row>
    <row r="159">
      <c r="A159" s="15">
        <f t="shared" si="3"/>
        <v>158</v>
      </c>
      <c r="B159" s="15"/>
      <c r="C159" s="15"/>
      <c r="D159" s="15"/>
      <c r="E159" s="15"/>
      <c r="F159" s="15"/>
      <c r="G159" s="15"/>
      <c r="H159" s="15"/>
      <c r="I159" s="110"/>
      <c r="J159" s="15"/>
      <c r="K159" s="15"/>
      <c r="L159" s="15"/>
      <c r="M159" s="15"/>
      <c r="N159" s="15"/>
      <c r="O159" s="15"/>
      <c r="P159" s="15"/>
      <c r="Q159" s="16"/>
      <c r="R159" s="16"/>
      <c r="S159" s="16"/>
      <c r="T159" s="17"/>
      <c r="U159" s="18"/>
      <c r="V159" s="15"/>
      <c r="W159" s="19" t="str">
        <f t="shared" si="1"/>
        <v/>
      </c>
      <c r="X159" s="19">
        <f t="shared" si="4"/>
        <v>5.913641874</v>
      </c>
    </row>
    <row r="160">
      <c r="A160" s="8">
        <f t="shared" si="3"/>
        <v>159</v>
      </c>
      <c r="B160" s="8"/>
      <c r="C160" s="8"/>
      <c r="D160" s="8"/>
      <c r="E160" s="8"/>
      <c r="F160" s="8"/>
      <c r="G160" s="8"/>
      <c r="H160" s="8"/>
      <c r="I160" s="111"/>
      <c r="J160" s="8"/>
      <c r="K160" s="8"/>
      <c r="L160" s="8"/>
      <c r="M160" s="8"/>
      <c r="N160" s="8"/>
      <c r="O160" s="8"/>
      <c r="P160" s="8"/>
      <c r="Q160" s="9"/>
      <c r="R160" s="9"/>
      <c r="S160" s="9"/>
      <c r="T160" s="10"/>
      <c r="U160" s="11"/>
      <c r="V160" s="8"/>
      <c r="W160" s="12" t="str">
        <f t="shared" si="1"/>
        <v/>
      </c>
      <c r="X160" s="12">
        <f t="shared" si="4"/>
        <v>5.913641874</v>
      </c>
    </row>
    <row r="161">
      <c r="A161" s="15">
        <f t="shared" si="3"/>
        <v>160</v>
      </c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6"/>
      <c r="R161" s="16"/>
      <c r="S161" s="16"/>
      <c r="T161" s="17"/>
      <c r="U161" s="18"/>
      <c r="V161" s="15"/>
      <c r="W161" s="19" t="str">
        <f t="shared" si="1"/>
        <v/>
      </c>
      <c r="X161" s="19">
        <f t="shared" si="4"/>
        <v>5.913641874</v>
      </c>
    </row>
    <row r="162">
      <c r="A162" s="8">
        <f t="shared" si="3"/>
        <v>161</v>
      </c>
      <c r="B162" s="8"/>
      <c r="C162" s="8"/>
      <c r="D162" s="8"/>
      <c r="E162" s="8"/>
      <c r="F162" s="8"/>
      <c r="G162" s="8"/>
      <c r="H162" s="8"/>
      <c r="I162" s="111"/>
      <c r="J162" s="8"/>
      <c r="K162" s="8"/>
      <c r="L162" s="8"/>
      <c r="M162" s="8"/>
      <c r="N162" s="8"/>
      <c r="O162" s="8"/>
      <c r="P162" s="8"/>
      <c r="Q162" s="9"/>
      <c r="R162" s="9"/>
      <c r="S162" s="9"/>
      <c r="T162" s="10"/>
      <c r="U162" s="11"/>
      <c r="V162" s="8"/>
      <c r="W162" s="12" t="str">
        <f t="shared" si="1"/>
        <v/>
      </c>
      <c r="X162" s="12">
        <f t="shared" si="4"/>
        <v>5.913641874</v>
      </c>
    </row>
    <row r="163">
      <c r="A163" s="15">
        <f t="shared" si="3"/>
        <v>162</v>
      </c>
      <c r="B163" s="15"/>
      <c r="C163" s="15"/>
      <c r="D163" s="15"/>
      <c r="E163" s="15"/>
      <c r="F163" s="15"/>
      <c r="G163" s="15"/>
      <c r="H163" s="15"/>
      <c r="I163" s="110"/>
      <c r="J163" s="15"/>
      <c r="K163" s="15"/>
      <c r="L163" s="15"/>
      <c r="M163" s="15"/>
      <c r="N163" s="15"/>
      <c r="O163" s="15"/>
      <c r="P163" s="15"/>
      <c r="Q163" s="16"/>
      <c r="R163" s="16"/>
      <c r="S163" s="16"/>
      <c r="T163" s="17"/>
      <c r="U163" s="18"/>
      <c r="V163" s="15"/>
      <c r="W163" s="19" t="str">
        <f t="shared" si="1"/>
        <v/>
      </c>
      <c r="X163" s="19">
        <f t="shared" si="4"/>
        <v>5.913641874</v>
      </c>
    </row>
    <row r="164">
      <c r="A164" s="8">
        <f t="shared" si="3"/>
        <v>163</v>
      </c>
      <c r="B164" s="8"/>
      <c r="C164" s="8"/>
      <c r="D164" s="8"/>
      <c r="E164" s="8"/>
      <c r="F164" s="8"/>
      <c r="G164" s="8"/>
      <c r="H164" s="8"/>
      <c r="I164" s="111"/>
      <c r="J164" s="8"/>
      <c r="K164" s="8"/>
      <c r="L164" s="8"/>
      <c r="M164" s="8"/>
      <c r="N164" s="8"/>
      <c r="O164" s="8"/>
      <c r="P164" s="8"/>
      <c r="Q164" s="9"/>
      <c r="R164" s="9"/>
      <c r="S164" s="9"/>
      <c r="T164" s="10"/>
      <c r="U164" s="11"/>
      <c r="V164" s="8"/>
      <c r="W164" s="12" t="str">
        <f t="shared" si="1"/>
        <v/>
      </c>
      <c r="X164" s="12">
        <f t="shared" si="4"/>
        <v>5.913641874</v>
      </c>
    </row>
    <row r="165">
      <c r="A165" s="15">
        <f t="shared" si="3"/>
        <v>164</v>
      </c>
      <c r="B165" s="15"/>
      <c r="C165" s="15"/>
      <c r="D165" s="15"/>
      <c r="E165" s="15"/>
      <c r="F165" s="15"/>
      <c r="G165" s="15"/>
      <c r="H165" s="15"/>
      <c r="I165" s="110"/>
      <c r="J165" s="15"/>
      <c r="K165" s="15"/>
      <c r="L165" s="15"/>
      <c r="M165" s="15"/>
      <c r="N165" s="15"/>
      <c r="O165" s="15"/>
      <c r="P165" s="15"/>
      <c r="Q165" s="16"/>
      <c r="R165" s="16"/>
      <c r="S165" s="16"/>
      <c r="T165" s="17"/>
      <c r="U165" s="18"/>
      <c r="V165" s="15"/>
      <c r="W165" s="19" t="str">
        <f t="shared" si="1"/>
        <v/>
      </c>
      <c r="X165" s="19">
        <f t="shared" si="4"/>
        <v>5.913641874</v>
      </c>
    </row>
    <row r="166">
      <c r="A166" s="8">
        <f t="shared" si="3"/>
        <v>165</v>
      </c>
      <c r="B166" s="8"/>
      <c r="C166" s="8"/>
      <c r="D166" s="8"/>
      <c r="E166" s="8"/>
      <c r="F166" s="8"/>
      <c r="G166" s="8"/>
      <c r="H166" s="8"/>
      <c r="I166" s="111"/>
      <c r="J166" s="8"/>
      <c r="K166" s="8"/>
      <c r="L166" s="8"/>
      <c r="M166" s="8"/>
      <c r="N166" s="8"/>
      <c r="O166" s="8"/>
      <c r="P166" s="8"/>
      <c r="Q166" s="9"/>
      <c r="R166" s="9"/>
      <c r="S166" s="9"/>
      <c r="T166" s="10"/>
      <c r="U166" s="11"/>
      <c r="V166" s="8"/>
      <c r="W166" s="12" t="str">
        <f t="shared" si="1"/>
        <v/>
      </c>
      <c r="X166" s="12">
        <f t="shared" si="4"/>
        <v>5.913641874</v>
      </c>
    </row>
    <row r="167">
      <c r="A167" s="15">
        <f t="shared" si="3"/>
        <v>166</v>
      </c>
      <c r="B167" s="15"/>
      <c r="C167" s="15"/>
      <c r="D167" s="15"/>
      <c r="E167" s="15"/>
      <c r="F167" s="15"/>
      <c r="G167" s="15"/>
      <c r="H167" s="15"/>
      <c r="I167" s="110"/>
      <c r="J167" s="15"/>
      <c r="K167" s="15"/>
      <c r="L167" s="15"/>
      <c r="M167" s="15"/>
      <c r="N167" s="15"/>
      <c r="O167" s="15"/>
      <c r="P167" s="15"/>
      <c r="Q167" s="16"/>
      <c r="R167" s="16"/>
      <c r="S167" s="16"/>
      <c r="T167" s="17"/>
      <c r="U167" s="18"/>
      <c r="V167" s="15"/>
      <c r="W167" s="19" t="str">
        <f t="shared" si="1"/>
        <v/>
      </c>
      <c r="X167" s="19">
        <f t="shared" si="4"/>
        <v>5.913641874</v>
      </c>
    </row>
    <row r="168">
      <c r="A168" s="8">
        <f t="shared" si="3"/>
        <v>167</v>
      </c>
      <c r="B168" s="8"/>
      <c r="C168" s="8"/>
      <c r="D168" s="8"/>
      <c r="E168" s="8"/>
      <c r="F168" s="8"/>
      <c r="G168" s="8"/>
      <c r="H168" s="8"/>
      <c r="I168" s="111"/>
      <c r="J168" s="8"/>
      <c r="K168" s="8"/>
      <c r="L168" s="8"/>
      <c r="M168" s="8"/>
      <c r="N168" s="8"/>
      <c r="O168" s="8"/>
      <c r="P168" s="8"/>
      <c r="Q168" s="9"/>
      <c r="R168" s="9"/>
      <c r="S168" s="9"/>
      <c r="T168" s="10"/>
      <c r="U168" s="11"/>
      <c r="V168" s="8"/>
      <c r="W168" s="12" t="str">
        <f t="shared" si="1"/>
        <v/>
      </c>
      <c r="X168" s="12">
        <f t="shared" si="4"/>
        <v>5.913641874</v>
      </c>
    </row>
    <row r="169">
      <c r="A169" s="15">
        <f t="shared" si="3"/>
        <v>168</v>
      </c>
      <c r="B169" s="15"/>
      <c r="C169" s="15"/>
      <c r="D169" s="15"/>
      <c r="E169" s="15"/>
      <c r="F169" s="15"/>
      <c r="G169" s="15"/>
      <c r="H169" s="15"/>
      <c r="I169" s="110"/>
      <c r="J169" s="15"/>
      <c r="K169" s="15"/>
      <c r="L169" s="15"/>
      <c r="M169" s="15"/>
      <c r="N169" s="15"/>
      <c r="O169" s="15"/>
      <c r="P169" s="15"/>
      <c r="Q169" s="16"/>
      <c r="R169" s="16"/>
      <c r="S169" s="16"/>
      <c r="T169" s="17"/>
      <c r="U169" s="18"/>
      <c r="V169" s="15"/>
      <c r="W169" s="19" t="str">
        <f t="shared" si="1"/>
        <v/>
      </c>
      <c r="X169" s="19">
        <f t="shared" si="4"/>
        <v>5.913641874</v>
      </c>
    </row>
    <row r="170">
      <c r="A170" s="8">
        <f t="shared" si="3"/>
        <v>169</v>
      </c>
      <c r="B170" s="8"/>
      <c r="C170" s="8"/>
      <c r="D170" s="8"/>
      <c r="E170" s="8"/>
      <c r="F170" s="8"/>
      <c r="G170" s="8"/>
      <c r="H170" s="8"/>
      <c r="I170" s="111"/>
      <c r="J170" s="8"/>
      <c r="K170" s="8"/>
      <c r="L170" s="8"/>
      <c r="M170" s="8"/>
      <c r="N170" s="8"/>
      <c r="O170" s="8"/>
      <c r="P170" s="8"/>
      <c r="Q170" s="9"/>
      <c r="R170" s="9"/>
      <c r="S170" s="9"/>
      <c r="T170" s="10"/>
      <c r="U170" s="11"/>
      <c r="V170" s="8"/>
      <c r="W170" s="12" t="str">
        <f t="shared" si="1"/>
        <v/>
      </c>
      <c r="X170" s="12">
        <f t="shared" si="4"/>
        <v>5.913641874</v>
      </c>
    </row>
    <row r="171">
      <c r="A171" s="15">
        <f t="shared" si="3"/>
        <v>170</v>
      </c>
      <c r="B171" s="15"/>
      <c r="C171" s="15"/>
      <c r="D171" s="15"/>
      <c r="E171" s="15"/>
      <c r="F171" s="15"/>
      <c r="G171" s="15"/>
      <c r="H171" s="15"/>
      <c r="I171" s="110"/>
      <c r="J171" s="15"/>
      <c r="K171" s="15"/>
      <c r="L171" s="15"/>
      <c r="M171" s="15"/>
      <c r="N171" s="15"/>
      <c r="O171" s="15"/>
      <c r="P171" s="15"/>
      <c r="Q171" s="16"/>
      <c r="R171" s="16"/>
      <c r="S171" s="16"/>
      <c r="T171" s="17"/>
      <c r="U171" s="18"/>
      <c r="V171" s="15"/>
      <c r="W171" s="19" t="str">
        <f t="shared" si="1"/>
        <v/>
      </c>
      <c r="X171" s="19">
        <f t="shared" si="4"/>
        <v>5.913641874</v>
      </c>
    </row>
    <row r="172">
      <c r="A172" s="8">
        <f t="shared" si="3"/>
        <v>171</v>
      </c>
      <c r="B172" s="8"/>
      <c r="C172" s="8"/>
      <c r="D172" s="8"/>
      <c r="E172" s="8"/>
      <c r="F172" s="8"/>
      <c r="G172" s="8"/>
      <c r="H172" s="8"/>
      <c r="I172" s="111"/>
      <c r="J172" s="8"/>
      <c r="K172" s="8"/>
      <c r="L172" s="8"/>
      <c r="M172" s="8"/>
      <c r="N172" s="8"/>
      <c r="O172" s="8"/>
      <c r="P172" s="8"/>
      <c r="Q172" s="9"/>
      <c r="R172" s="9"/>
      <c r="S172" s="9"/>
      <c r="T172" s="10"/>
      <c r="U172" s="11"/>
      <c r="V172" s="8"/>
      <c r="W172" s="12" t="str">
        <f t="shared" si="1"/>
        <v/>
      </c>
      <c r="X172" s="12">
        <f t="shared" si="4"/>
        <v>5.913641874</v>
      </c>
    </row>
    <row r="173">
      <c r="A173" s="15">
        <f t="shared" si="3"/>
        <v>172</v>
      </c>
      <c r="B173" s="15"/>
      <c r="C173" s="15"/>
      <c r="D173" s="15"/>
      <c r="E173" s="15"/>
      <c r="F173" s="15"/>
      <c r="G173" s="15"/>
      <c r="H173" s="15"/>
      <c r="I173" s="110"/>
      <c r="J173" s="15"/>
      <c r="K173" s="15"/>
      <c r="L173" s="15"/>
      <c r="M173" s="15"/>
      <c r="N173" s="15"/>
      <c r="O173" s="15"/>
      <c r="P173" s="15"/>
      <c r="Q173" s="16"/>
      <c r="R173" s="16"/>
      <c r="S173" s="16"/>
      <c r="T173" s="17"/>
      <c r="U173" s="18"/>
      <c r="V173" s="15"/>
      <c r="W173" s="19" t="str">
        <f t="shared" si="1"/>
        <v/>
      </c>
      <c r="X173" s="19">
        <f t="shared" si="4"/>
        <v>5.913641874</v>
      </c>
    </row>
    <row r="174">
      <c r="A174" s="8">
        <f t="shared" si="3"/>
        <v>173</v>
      </c>
      <c r="B174" s="8"/>
      <c r="C174" s="8"/>
      <c r="D174" s="8"/>
      <c r="E174" s="8"/>
      <c r="F174" s="8"/>
      <c r="G174" s="8"/>
      <c r="H174" s="8"/>
      <c r="I174" s="111"/>
      <c r="J174" s="8"/>
      <c r="K174" s="8"/>
      <c r="L174" s="8"/>
      <c r="M174" s="8"/>
      <c r="N174" s="8"/>
      <c r="O174" s="8"/>
      <c r="P174" s="8"/>
      <c r="Q174" s="9"/>
      <c r="R174" s="9"/>
      <c r="S174" s="9"/>
      <c r="T174" s="10"/>
      <c r="U174" s="11"/>
      <c r="V174" s="8"/>
      <c r="W174" s="12" t="str">
        <f t="shared" si="1"/>
        <v/>
      </c>
      <c r="X174" s="12">
        <f t="shared" si="4"/>
        <v>5.913641874</v>
      </c>
    </row>
    <row r="175">
      <c r="A175" s="15">
        <f t="shared" si="3"/>
        <v>174</v>
      </c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6"/>
      <c r="R175" s="16"/>
      <c r="S175" s="16"/>
      <c r="T175" s="17"/>
      <c r="U175" s="18"/>
      <c r="V175" s="15"/>
      <c r="W175" s="19" t="str">
        <f t="shared" si="1"/>
        <v/>
      </c>
      <c r="X175" s="19">
        <f t="shared" si="4"/>
        <v>5.913641874</v>
      </c>
    </row>
    <row r="176">
      <c r="A176" s="8">
        <f t="shared" si="3"/>
        <v>175</v>
      </c>
      <c r="B176" s="8"/>
      <c r="C176" s="8"/>
      <c r="D176" s="8"/>
      <c r="E176" s="8"/>
      <c r="F176" s="8"/>
      <c r="G176" s="8"/>
      <c r="H176" s="8"/>
      <c r="I176" s="111"/>
      <c r="J176" s="8"/>
      <c r="K176" s="8"/>
      <c r="L176" s="8"/>
      <c r="M176" s="8"/>
      <c r="N176" s="8"/>
      <c r="O176" s="8"/>
      <c r="P176" s="8"/>
      <c r="Q176" s="9"/>
      <c r="R176" s="9"/>
      <c r="S176" s="9"/>
      <c r="T176" s="54"/>
      <c r="U176" s="11"/>
      <c r="V176" s="8"/>
      <c r="W176" s="12" t="str">
        <f t="shared" si="1"/>
        <v/>
      </c>
      <c r="X176" s="12">
        <f t="shared" si="4"/>
        <v>5.913641874</v>
      </c>
    </row>
    <row r="177">
      <c r="A177" s="15">
        <f t="shared" si="3"/>
        <v>176</v>
      </c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6"/>
      <c r="R177" s="16"/>
      <c r="S177" s="16"/>
      <c r="T177" s="17"/>
      <c r="U177" s="18"/>
      <c r="V177" s="15"/>
      <c r="W177" s="19" t="str">
        <f t="shared" si="1"/>
        <v/>
      </c>
      <c r="X177" s="19">
        <f t="shared" si="4"/>
        <v>5.913641874</v>
      </c>
    </row>
    <row r="178">
      <c r="A178" s="8">
        <f t="shared" si="3"/>
        <v>177</v>
      </c>
      <c r="B178" s="8"/>
      <c r="C178" s="8"/>
      <c r="D178" s="8"/>
      <c r="E178" s="8"/>
      <c r="F178" s="8"/>
      <c r="G178" s="8"/>
      <c r="H178" s="8"/>
      <c r="I178" s="111"/>
      <c r="J178" s="8"/>
      <c r="K178" s="8"/>
      <c r="L178" s="8"/>
      <c r="M178" s="8"/>
      <c r="N178" s="8"/>
      <c r="O178" s="8"/>
      <c r="P178" s="8"/>
      <c r="Q178" s="9"/>
      <c r="R178" s="9"/>
      <c r="S178" s="9"/>
      <c r="T178" s="10"/>
      <c r="U178" s="11"/>
      <c r="V178" s="8"/>
      <c r="W178" s="12" t="str">
        <f t="shared" si="1"/>
        <v/>
      </c>
      <c r="X178" s="12">
        <f t="shared" si="4"/>
        <v>5.913641874</v>
      </c>
    </row>
    <row r="179">
      <c r="A179" s="15">
        <f t="shared" si="3"/>
        <v>178</v>
      </c>
      <c r="B179" s="15"/>
      <c r="C179" s="15"/>
      <c r="D179" s="15"/>
      <c r="E179" s="15"/>
      <c r="F179" s="15"/>
      <c r="G179" s="15"/>
      <c r="H179" s="15"/>
      <c r="I179" s="110"/>
      <c r="J179" s="15"/>
      <c r="K179" s="15"/>
      <c r="L179" s="15"/>
      <c r="M179" s="15"/>
      <c r="N179" s="15"/>
      <c r="O179" s="15"/>
      <c r="P179" s="15"/>
      <c r="Q179" s="16"/>
      <c r="R179" s="16"/>
      <c r="S179" s="16"/>
      <c r="T179" s="17"/>
      <c r="U179" s="18"/>
      <c r="V179" s="15"/>
      <c r="W179" s="19" t="str">
        <f t="shared" si="1"/>
        <v/>
      </c>
      <c r="X179" s="19">
        <f t="shared" si="4"/>
        <v>5.913641874</v>
      </c>
    </row>
    <row r="180">
      <c r="A180" s="8">
        <f t="shared" si="3"/>
        <v>179</v>
      </c>
      <c r="B180" s="8"/>
      <c r="C180" s="8"/>
      <c r="D180" s="8"/>
      <c r="E180" s="8"/>
      <c r="F180" s="8"/>
      <c r="G180" s="8"/>
      <c r="H180" s="8"/>
      <c r="I180" s="111"/>
      <c r="J180" s="8"/>
      <c r="K180" s="8"/>
      <c r="L180" s="8"/>
      <c r="M180" s="8"/>
      <c r="N180" s="8"/>
      <c r="O180" s="8"/>
      <c r="P180" s="8"/>
      <c r="Q180" s="9"/>
      <c r="R180" s="9"/>
      <c r="S180" s="9"/>
      <c r="T180" s="10"/>
      <c r="U180" s="11"/>
      <c r="V180" s="8"/>
      <c r="W180" s="12" t="str">
        <f t="shared" si="1"/>
        <v/>
      </c>
      <c r="X180" s="12">
        <f t="shared" si="4"/>
        <v>5.913641874</v>
      </c>
    </row>
    <row r="181">
      <c r="A181" s="15">
        <f t="shared" si="3"/>
        <v>180</v>
      </c>
      <c r="B181" s="15"/>
      <c r="C181" s="15"/>
      <c r="D181" s="15"/>
      <c r="E181" s="15"/>
      <c r="F181" s="15"/>
      <c r="G181" s="15"/>
      <c r="H181" s="15"/>
      <c r="I181" s="110"/>
      <c r="J181" s="15"/>
      <c r="K181" s="15"/>
      <c r="L181" s="15"/>
      <c r="M181" s="15"/>
      <c r="N181" s="15"/>
      <c r="O181" s="15"/>
      <c r="P181" s="15"/>
      <c r="Q181" s="16"/>
      <c r="R181" s="16"/>
      <c r="S181" s="16"/>
      <c r="T181" s="17"/>
      <c r="U181" s="18"/>
      <c r="V181" s="15"/>
      <c r="W181" s="19" t="str">
        <f t="shared" si="1"/>
        <v/>
      </c>
      <c r="X181" s="19">
        <f t="shared" si="4"/>
        <v>5.913641874</v>
      </c>
    </row>
    <row r="182">
      <c r="A182" s="8">
        <f t="shared" si="3"/>
        <v>181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9"/>
      <c r="R182" s="9"/>
      <c r="S182" s="9"/>
      <c r="T182" s="10"/>
      <c r="U182" s="11"/>
      <c r="V182" s="8"/>
      <c r="W182" s="12" t="str">
        <f t="shared" si="1"/>
        <v/>
      </c>
      <c r="X182" s="12">
        <f t="shared" si="4"/>
        <v>5.913641874</v>
      </c>
    </row>
    <row r="183">
      <c r="A183" s="15">
        <f t="shared" si="3"/>
        <v>182</v>
      </c>
      <c r="B183" s="15"/>
      <c r="C183" s="15"/>
      <c r="D183" s="15"/>
      <c r="E183" s="15"/>
      <c r="F183" s="15"/>
      <c r="G183" s="15"/>
      <c r="H183" s="15"/>
      <c r="I183" s="110"/>
      <c r="J183" s="15"/>
      <c r="K183" s="15"/>
      <c r="L183" s="15"/>
      <c r="M183" s="15"/>
      <c r="N183" s="15"/>
      <c r="O183" s="15"/>
      <c r="P183" s="15"/>
      <c r="Q183" s="16"/>
      <c r="R183" s="16"/>
      <c r="S183" s="16"/>
      <c r="T183" s="17"/>
      <c r="U183" s="18"/>
      <c r="V183" s="15"/>
      <c r="W183" s="19" t="str">
        <f t="shared" si="1"/>
        <v/>
      </c>
      <c r="X183" s="19">
        <f t="shared" si="4"/>
        <v>5.913641874</v>
      </c>
    </row>
    <row r="184">
      <c r="A184" s="8">
        <f t="shared" si="3"/>
        <v>183</v>
      </c>
      <c r="B184" s="8"/>
      <c r="C184" s="8"/>
      <c r="D184" s="8"/>
      <c r="E184" s="8"/>
      <c r="F184" s="8"/>
      <c r="G184" s="8"/>
      <c r="H184" s="8"/>
      <c r="I184" s="111"/>
      <c r="J184" s="8"/>
      <c r="K184" s="8"/>
      <c r="L184" s="8"/>
      <c r="M184" s="8"/>
      <c r="N184" s="8"/>
      <c r="O184" s="8"/>
      <c r="P184" s="8"/>
      <c r="Q184" s="9"/>
      <c r="R184" s="9"/>
      <c r="S184" s="9"/>
      <c r="T184" s="10"/>
      <c r="U184" s="11"/>
      <c r="V184" s="8"/>
      <c r="W184" s="12" t="str">
        <f t="shared" si="1"/>
        <v/>
      </c>
      <c r="X184" s="12">
        <f t="shared" si="4"/>
        <v>5.913641874</v>
      </c>
    </row>
    <row r="185">
      <c r="A185" s="15">
        <f t="shared" si="3"/>
        <v>184</v>
      </c>
      <c r="B185" s="15"/>
      <c r="C185" s="15"/>
      <c r="D185" s="15"/>
      <c r="E185" s="15"/>
      <c r="F185" s="15"/>
      <c r="G185" s="15"/>
      <c r="H185" s="15"/>
      <c r="I185" s="110"/>
      <c r="J185" s="15"/>
      <c r="K185" s="15"/>
      <c r="L185" s="15"/>
      <c r="M185" s="15"/>
      <c r="N185" s="15"/>
      <c r="O185" s="15"/>
      <c r="P185" s="15"/>
      <c r="Q185" s="16"/>
      <c r="R185" s="16"/>
      <c r="S185" s="16"/>
      <c r="T185" s="17"/>
      <c r="U185" s="18"/>
      <c r="V185" s="15"/>
      <c r="W185" s="19" t="str">
        <f t="shared" si="1"/>
        <v/>
      </c>
      <c r="X185" s="19">
        <f t="shared" si="4"/>
        <v>5.913641874</v>
      </c>
    </row>
    <row r="186">
      <c r="A186" s="8">
        <f t="shared" si="3"/>
        <v>185</v>
      </c>
      <c r="B186" s="8"/>
      <c r="C186" s="8"/>
      <c r="D186" s="8"/>
      <c r="E186" s="8"/>
      <c r="F186" s="8"/>
      <c r="G186" s="8"/>
      <c r="H186" s="8"/>
      <c r="I186" s="111"/>
      <c r="J186" s="8"/>
      <c r="K186" s="8"/>
      <c r="L186" s="8"/>
      <c r="M186" s="8"/>
      <c r="N186" s="8"/>
      <c r="O186" s="8"/>
      <c r="P186" s="8"/>
      <c r="Q186" s="9"/>
      <c r="R186" s="9"/>
      <c r="S186" s="9"/>
      <c r="T186" s="10"/>
      <c r="U186" s="11"/>
      <c r="V186" s="8"/>
      <c r="W186" s="12" t="str">
        <f t="shared" si="1"/>
        <v/>
      </c>
      <c r="X186" s="12">
        <f t="shared" si="4"/>
        <v>5.913641874</v>
      </c>
    </row>
    <row r="187">
      <c r="A187" s="15">
        <f t="shared" si="3"/>
        <v>186</v>
      </c>
      <c r="B187" s="15"/>
      <c r="C187" s="15"/>
      <c r="D187" s="15"/>
      <c r="E187" s="15"/>
      <c r="F187" s="15"/>
      <c r="G187" s="15"/>
      <c r="H187" s="15"/>
      <c r="I187" s="110"/>
      <c r="J187" s="15"/>
      <c r="K187" s="15"/>
      <c r="L187" s="15"/>
      <c r="M187" s="15"/>
      <c r="N187" s="15"/>
      <c r="O187" s="15"/>
      <c r="P187" s="15"/>
      <c r="Q187" s="16"/>
      <c r="R187" s="16"/>
      <c r="S187" s="16"/>
      <c r="T187" s="17"/>
      <c r="U187" s="18"/>
      <c r="V187" s="15"/>
      <c r="W187" s="19" t="str">
        <f t="shared" si="1"/>
        <v/>
      </c>
      <c r="X187" s="19">
        <f t="shared" si="4"/>
        <v>5.913641874</v>
      </c>
    </row>
    <row r="188">
      <c r="A188" s="8">
        <f t="shared" si="3"/>
        <v>187</v>
      </c>
      <c r="B188" s="8"/>
      <c r="C188" s="8"/>
      <c r="D188" s="8"/>
      <c r="E188" s="8"/>
      <c r="F188" s="8"/>
      <c r="G188" s="8"/>
      <c r="H188" s="8"/>
      <c r="I188" s="111"/>
      <c r="J188" s="8"/>
      <c r="K188" s="8"/>
      <c r="L188" s="8"/>
      <c r="M188" s="8"/>
      <c r="N188" s="8"/>
      <c r="O188" s="8"/>
      <c r="P188" s="8"/>
      <c r="Q188" s="9"/>
      <c r="R188" s="9"/>
      <c r="S188" s="9"/>
      <c r="T188" s="10"/>
      <c r="U188" s="11"/>
      <c r="V188" s="8"/>
      <c r="W188" s="12" t="str">
        <f t="shared" si="1"/>
        <v/>
      </c>
      <c r="X188" s="12">
        <f t="shared" si="4"/>
        <v>5.913641874</v>
      </c>
    </row>
    <row r="189">
      <c r="A189" s="15">
        <f t="shared" si="3"/>
        <v>188</v>
      </c>
      <c r="B189" s="15"/>
      <c r="C189" s="15"/>
      <c r="D189" s="15"/>
      <c r="E189" s="15"/>
      <c r="F189" s="15"/>
      <c r="G189" s="15"/>
      <c r="H189" s="15"/>
      <c r="I189" s="110"/>
      <c r="J189" s="15"/>
      <c r="K189" s="15"/>
      <c r="L189" s="15"/>
      <c r="M189" s="15"/>
      <c r="N189" s="15"/>
      <c r="O189" s="15"/>
      <c r="P189" s="15"/>
      <c r="Q189" s="16"/>
      <c r="R189" s="16"/>
      <c r="S189" s="16"/>
      <c r="T189" s="17"/>
      <c r="U189" s="18"/>
      <c r="V189" s="15"/>
      <c r="W189" s="19" t="str">
        <f t="shared" si="1"/>
        <v/>
      </c>
      <c r="X189" s="19">
        <f t="shared" si="4"/>
        <v>5.913641874</v>
      </c>
    </row>
    <row r="190">
      <c r="A190" s="8">
        <f t="shared" si="3"/>
        <v>189</v>
      </c>
      <c r="B190" s="8"/>
      <c r="C190" s="8"/>
      <c r="D190" s="8"/>
      <c r="E190" s="8"/>
      <c r="F190" s="8"/>
      <c r="G190" s="8"/>
      <c r="H190" s="8"/>
      <c r="I190" s="111"/>
      <c r="J190" s="8"/>
      <c r="K190" s="8"/>
      <c r="L190" s="8"/>
      <c r="M190" s="8"/>
      <c r="N190" s="8"/>
      <c r="O190" s="8"/>
      <c r="P190" s="8"/>
      <c r="Q190" s="9"/>
      <c r="R190" s="9"/>
      <c r="S190" s="9"/>
      <c r="T190" s="10"/>
      <c r="U190" s="11"/>
      <c r="V190" s="8"/>
      <c r="W190" s="12" t="str">
        <f t="shared" si="1"/>
        <v/>
      </c>
      <c r="X190" s="12">
        <f t="shared" si="4"/>
        <v>5.913641874</v>
      </c>
    </row>
    <row r="191">
      <c r="A191" s="15">
        <f t="shared" si="3"/>
        <v>190</v>
      </c>
      <c r="B191" s="15"/>
      <c r="C191" s="15"/>
      <c r="D191" s="15"/>
      <c r="E191" s="15"/>
      <c r="F191" s="15"/>
      <c r="G191" s="15"/>
      <c r="H191" s="15"/>
      <c r="I191" s="110"/>
      <c r="J191" s="15"/>
      <c r="K191" s="15"/>
      <c r="L191" s="15"/>
      <c r="M191" s="15"/>
      <c r="N191" s="15"/>
      <c r="O191" s="15"/>
      <c r="P191" s="15"/>
      <c r="Q191" s="16"/>
      <c r="R191" s="16"/>
      <c r="S191" s="16"/>
      <c r="T191" s="55"/>
      <c r="U191" s="18"/>
      <c r="V191" s="15"/>
      <c r="W191" s="19" t="str">
        <f t="shared" si="1"/>
        <v/>
      </c>
      <c r="X191" s="19">
        <f t="shared" si="4"/>
        <v>5.913641874</v>
      </c>
    </row>
    <row r="192">
      <c r="A192" s="8">
        <f t="shared" si="3"/>
        <v>191</v>
      </c>
      <c r="B192" s="8"/>
      <c r="C192" s="8"/>
      <c r="D192" s="8"/>
      <c r="E192" s="8"/>
      <c r="F192" s="8"/>
      <c r="G192" s="8"/>
      <c r="H192" s="8"/>
      <c r="I192" s="111"/>
      <c r="J192" s="8"/>
      <c r="K192" s="8"/>
      <c r="L192" s="8"/>
      <c r="M192" s="8"/>
      <c r="N192" s="8"/>
      <c r="O192" s="8"/>
      <c r="P192" s="8"/>
      <c r="Q192" s="9"/>
      <c r="R192" s="9"/>
      <c r="S192" s="9"/>
      <c r="T192" s="10"/>
      <c r="U192" s="11"/>
      <c r="V192" s="8"/>
      <c r="W192" s="12" t="str">
        <f t="shared" si="1"/>
        <v/>
      </c>
      <c r="X192" s="12">
        <f t="shared" si="4"/>
        <v>5.913641874</v>
      </c>
    </row>
    <row r="193">
      <c r="A193" s="15">
        <f t="shared" si="3"/>
        <v>192</v>
      </c>
      <c r="B193" s="15"/>
      <c r="C193" s="15"/>
      <c r="D193" s="15"/>
      <c r="E193" s="15"/>
      <c r="F193" s="15"/>
      <c r="G193" s="15"/>
      <c r="H193" s="15"/>
      <c r="I193" s="110"/>
      <c r="J193" s="15"/>
      <c r="K193" s="15"/>
      <c r="L193" s="15"/>
      <c r="M193" s="15"/>
      <c r="N193" s="15"/>
      <c r="O193" s="15"/>
      <c r="P193" s="15"/>
      <c r="Q193" s="16"/>
      <c r="R193" s="16"/>
      <c r="S193" s="16"/>
      <c r="T193" s="17"/>
      <c r="U193" s="18"/>
      <c r="V193" s="15"/>
      <c r="W193" s="19" t="str">
        <f t="shared" si="1"/>
        <v/>
      </c>
      <c r="X193" s="19">
        <f t="shared" si="4"/>
        <v>5.913641874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111"/>
      <c r="J194" s="8"/>
      <c r="K194" s="8"/>
      <c r="L194" s="8"/>
      <c r="M194" s="8"/>
      <c r="N194" s="8"/>
      <c r="O194" s="8"/>
      <c r="P194" s="8"/>
      <c r="Q194" s="9"/>
      <c r="R194" s="9"/>
      <c r="S194" s="9"/>
      <c r="T194" s="10"/>
      <c r="U194" s="11"/>
      <c r="V194" s="8"/>
      <c r="W194" s="12" t="str">
        <f t="shared" si="1"/>
        <v/>
      </c>
      <c r="X194" s="12">
        <f t="shared" si="4"/>
        <v>5.913641874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10"/>
      <c r="J195" s="15"/>
      <c r="K195" s="15"/>
      <c r="L195" s="15"/>
      <c r="M195" s="15"/>
      <c r="N195" s="15"/>
      <c r="O195" s="15"/>
      <c r="P195" s="15"/>
      <c r="Q195" s="16"/>
      <c r="R195" s="16"/>
      <c r="S195" s="16"/>
      <c r="T195" s="17"/>
      <c r="U195" s="18"/>
      <c r="V195" s="15"/>
      <c r="W195" s="19" t="str">
        <f t="shared" si="1"/>
        <v/>
      </c>
      <c r="X195" s="19">
        <f t="shared" si="4"/>
        <v>5.913641874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111"/>
      <c r="J196" s="8"/>
      <c r="K196" s="8"/>
      <c r="L196" s="8"/>
      <c r="M196" s="8"/>
      <c r="N196" s="8"/>
      <c r="O196" s="8"/>
      <c r="P196" s="8"/>
      <c r="Q196" s="9"/>
      <c r="R196" s="9"/>
      <c r="S196" s="9"/>
      <c r="T196" s="10"/>
      <c r="U196" s="11"/>
      <c r="V196" s="8"/>
      <c r="W196" s="12" t="str">
        <f t="shared" si="1"/>
        <v/>
      </c>
      <c r="X196" s="12">
        <f t="shared" si="4"/>
        <v>5.913641874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10"/>
      <c r="J197" s="15"/>
      <c r="K197" s="15"/>
      <c r="L197" s="15"/>
      <c r="M197" s="15"/>
      <c r="N197" s="15"/>
      <c r="O197" s="15"/>
      <c r="P197" s="15"/>
      <c r="Q197" s="16"/>
      <c r="R197" s="16"/>
      <c r="S197" s="16"/>
      <c r="T197" s="17"/>
      <c r="U197" s="18"/>
      <c r="V197" s="15"/>
      <c r="W197" s="19" t="str">
        <f t="shared" si="1"/>
        <v/>
      </c>
      <c r="X197" s="19">
        <f t="shared" si="4"/>
        <v>5.913641874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111"/>
      <c r="J198" s="8"/>
      <c r="K198" s="8"/>
      <c r="L198" s="8"/>
      <c r="M198" s="8"/>
      <c r="N198" s="8"/>
      <c r="O198" s="8"/>
      <c r="P198" s="8"/>
      <c r="Q198" s="9"/>
      <c r="R198" s="9"/>
      <c r="S198" s="9"/>
      <c r="T198" s="10"/>
      <c r="U198" s="11"/>
      <c r="V198" s="8"/>
      <c r="W198" s="12" t="str">
        <f t="shared" si="1"/>
        <v/>
      </c>
      <c r="X198" s="12">
        <f t="shared" si="4"/>
        <v>5.913641874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10"/>
      <c r="J199" s="15"/>
      <c r="K199" s="15"/>
      <c r="L199" s="15"/>
      <c r="M199" s="15"/>
      <c r="N199" s="15"/>
      <c r="O199" s="15"/>
      <c r="P199" s="15"/>
      <c r="Q199" s="16"/>
      <c r="R199" s="16"/>
      <c r="S199" s="16"/>
      <c r="T199" s="17"/>
      <c r="U199" s="18"/>
      <c r="V199" s="15"/>
      <c r="W199" s="19" t="str">
        <f t="shared" si="1"/>
        <v/>
      </c>
      <c r="X199" s="19">
        <f t="shared" si="4"/>
        <v>5.913641874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111"/>
      <c r="J200" s="8"/>
      <c r="K200" s="8"/>
      <c r="L200" s="8"/>
      <c r="M200" s="8"/>
      <c r="N200" s="8"/>
      <c r="O200" s="8"/>
      <c r="P200" s="8"/>
      <c r="Q200" s="9"/>
      <c r="R200" s="9"/>
      <c r="S200" s="9"/>
      <c r="T200" s="10"/>
      <c r="U200" s="11"/>
      <c r="V200" s="8"/>
      <c r="W200" s="12" t="str">
        <f t="shared" si="1"/>
        <v/>
      </c>
      <c r="X200" s="12">
        <f t="shared" si="4"/>
        <v>5.913641874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10"/>
      <c r="J201" s="15"/>
      <c r="K201" s="15"/>
      <c r="L201" s="15"/>
      <c r="M201" s="15"/>
      <c r="N201" s="15"/>
      <c r="O201" s="15"/>
      <c r="P201" s="15"/>
      <c r="Q201" s="16"/>
      <c r="R201" s="16"/>
      <c r="S201" s="16"/>
      <c r="T201" s="17"/>
      <c r="U201" s="18"/>
      <c r="V201" s="15"/>
      <c r="W201" s="19" t="str">
        <f t="shared" si="1"/>
        <v/>
      </c>
      <c r="X201" s="19">
        <f t="shared" si="4"/>
        <v>5.913641874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111"/>
      <c r="J202" s="8"/>
      <c r="K202" s="8"/>
      <c r="L202" s="8"/>
      <c r="M202" s="8"/>
      <c r="N202" s="8"/>
      <c r="O202" s="8"/>
      <c r="P202" s="8"/>
      <c r="Q202" s="9"/>
      <c r="R202" s="9"/>
      <c r="S202" s="9"/>
      <c r="T202" s="10"/>
      <c r="U202" s="11"/>
      <c r="V202" s="8"/>
      <c r="W202" s="12" t="str">
        <f t="shared" si="1"/>
        <v/>
      </c>
      <c r="X202" s="12">
        <f t="shared" si="4"/>
        <v>5.913641874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10"/>
      <c r="J203" s="15"/>
      <c r="K203" s="15"/>
      <c r="L203" s="15"/>
      <c r="M203" s="15"/>
      <c r="N203" s="15"/>
      <c r="O203" s="15"/>
      <c r="P203" s="15"/>
      <c r="Q203" s="16"/>
      <c r="R203" s="16"/>
      <c r="S203" s="16"/>
      <c r="T203" s="17"/>
      <c r="U203" s="18"/>
      <c r="V203" s="15"/>
      <c r="W203" s="19" t="str">
        <f t="shared" si="1"/>
        <v/>
      </c>
      <c r="X203" s="19">
        <f t="shared" si="4"/>
        <v>5.913641874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111"/>
      <c r="J204" s="8"/>
      <c r="K204" s="8"/>
      <c r="L204" s="8"/>
      <c r="M204" s="8"/>
      <c r="N204" s="8"/>
      <c r="O204" s="8"/>
      <c r="P204" s="8"/>
      <c r="Q204" s="9"/>
      <c r="R204" s="9"/>
      <c r="S204" s="9"/>
      <c r="T204" s="10"/>
      <c r="U204" s="11"/>
      <c r="V204" s="8"/>
      <c r="W204" s="12" t="str">
        <f t="shared" si="1"/>
        <v/>
      </c>
      <c r="X204" s="12">
        <f t="shared" si="4"/>
        <v>5.913641874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10"/>
      <c r="J205" s="15"/>
      <c r="K205" s="15"/>
      <c r="L205" s="15"/>
      <c r="M205" s="15"/>
      <c r="N205" s="15"/>
      <c r="O205" s="15"/>
      <c r="P205" s="15"/>
      <c r="Q205" s="16"/>
      <c r="R205" s="16"/>
      <c r="S205" s="16"/>
      <c r="T205" s="17"/>
      <c r="U205" s="18"/>
      <c r="V205" s="15"/>
      <c r="W205" s="19" t="str">
        <f t="shared" si="1"/>
        <v/>
      </c>
      <c r="X205" s="19">
        <f t="shared" si="4"/>
        <v>5.913641874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111"/>
      <c r="J206" s="8"/>
      <c r="K206" s="8"/>
      <c r="L206" s="8"/>
      <c r="M206" s="8"/>
      <c r="N206" s="8"/>
      <c r="O206" s="8"/>
      <c r="P206" s="8"/>
      <c r="Q206" s="9"/>
      <c r="R206" s="9"/>
      <c r="S206" s="9"/>
      <c r="T206" s="10"/>
      <c r="U206" s="11"/>
      <c r="V206" s="8"/>
      <c r="W206" s="12" t="str">
        <f t="shared" si="1"/>
        <v/>
      </c>
      <c r="X206" s="12">
        <f t="shared" si="4"/>
        <v>5.913641874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10"/>
      <c r="J207" s="15"/>
      <c r="K207" s="15"/>
      <c r="L207" s="15"/>
      <c r="M207" s="15"/>
      <c r="N207" s="15"/>
      <c r="O207" s="15"/>
      <c r="P207" s="15"/>
      <c r="Q207" s="16"/>
      <c r="R207" s="16"/>
      <c r="S207" s="16"/>
      <c r="T207" s="17"/>
      <c r="U207" s="18"/>
      <c r="V207" s="15"/>
      <c r="W207" s="19" t="str">
        <f t="shared" si="1"/>
        <v/>
      </c>
      <c r="X207" s="19">
        <f t="shared" si="4"/>
        <v>5.913641874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111"/>
      <c r="J208" s="8"/>
      <c r="K208" s="8"/>
      <c r="L208" s="8"/>
      <c r="M208" s="8"/>
      <c r="N208" s="8"/>
      <c r="O208" s="8"/>
      <c r="P208" s="8"/>
      <c r="Q208" s="9"/>
      <c r="R208" s="9"/>
      <c r="S208" s="9"/>
      <c r="T208" s="10"/>
      <c r="U208" s="11"/>
      <c r="V208" s="8"/>
      <c r="W208" s="12" t="str">
        <f t="shared" si="1"/>
        <v/>
      </c>
      <c r="X208" s="12">
        <f t="shared" si="4"/>
        <v>5.913641874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10"/>
      <c r="J209" s="15"/>
      <c r="K209" s="15"/>
      <c r="L209" s="15"/>
      <c r="M209" s="15"/>
      <c r="N209" s="15"/>
      <c r="O209" s="15"/>
      <c r="P209" s="15"/>
      <c r="Q209" s="16"/>
      <c r="R209" s="16"/>
      <c r="S209" s="16"/>
      <c r="T209" s="17"/>
      <c r="U209" s="18"/>
      <c r="V209" s="15"/>
      <c r="W209" s="19" t="str">
        <f t="shared" si="1"/>
        <v/>
      </c>
      <c r="X209" s="19">
        <f t="shared" si="4"/>
        <v>5.913641874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111"/>
      <c r="J210" s="8"/>
      <c r="K210" s="8"/>
      <c r="L210" s="8"/>
      <c r="M210" s="8"/>
      <c r="N210" s="8"/>
      <c r="O210" s="8"/>
      <c r="P210" s="8"/>
      <c r="Q210" s="9"/>
      <c r="R210" s="9"/>
      <c r="S210" s="9"/>
      <c r="T210" s="54"/>
      <c r="U210" s="11"/>
      <c r="V210" s="8"/>
      <c r="W210" s="12" t="str">
        <f t="shared" si="1"/>
        <v/>
      </c>
      <c r="X210" s="12">
        <f t="shared" si="4"/>
        <v>5.913641874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10"/>
      <c r="J211" s="15"/>
      <c r="K211" s="15"/>
      <c r="L211" s="15"/>
      <c r="M211" s="15"/>
      <c r="N211" s="15"/>
      <c r="O211" s="15"/>
      <c r="P211" s="15"/>
      <c r="Q211" s="16"/>
      <c r="R211" s="16"/>
      <c r="S211" s="16"/>
      <c r="T211" s="17"/>
      <c r="U211" s="18"/>
      <c r="V211" s="15"/>
      <c r="W211" s="19" t="str">
        <f t="shared" si="1"/>
        <v/>
      </c>
      <c r="X211" s="19">
        <f t="shared" si="4"/>
        <v>5.913641874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111"/>
      <c r="J212" s="8"/>
      <c r="K212" s="8"/>
      <c r="L212" s="8"/>
      <c r="M212" s="8"/>
      <c r="N212" s="8"/>
      <c r="O212" s="8"/>
      <c r="P212" s="8"/>
      <c r="Q212" s="9"/>
      <c r="R212" s="9"/>
      <c r="S212" s="9"/>
      <c r="T212" s="10"/>
      <c r="U212" s="11"/>
      <c r="V212" s="8"/>
      <c r="W212" s="12" t="str">
        <f t="shared" si="1"/>
        <v/>
      </c>
      <c r="X212" s="12">
        <f t="shared" si="4"/>
        <v>5.913641874</v>
      </c>
    </row>
    <row r="213">
      <c r="A213" s="15">
        <f t="shared" si="3"/>
        <v>212</v>
      </c>
      <c r="B213" s="15"/>
      <c r="C213" s="15"/>
      <c r="D213" s="15"/>
      <c r="E213" s="15"/>
      <c r="F213" s="37"/>
      <c r="G213" s="37"/>
      <c r="H213" s="37"/>
      <c r="I213" s="110"/>
      <c r="J213" s="15"/>
      <c r="K213" s="15"/>
      <c r="L213" s="15"/>
      <c r="M213" s="15"/>
      <c r="N213" s="15"/>
      <c r="O213" s="15"/>
      <c r="P213" s="15"/>
      <c r="Q213" s="16"/>
      <c r="R213" s="16"/>
      <c r="S213" s="16"/>
      <c r="T213" s="17"/>
      <c r="U213" s="18"/>
      <c r="V213" s="15"/>
      <c r="W213" s="19" t="str">
        <f t="shared" si="1"/>
        <v/>
      </c>
      <c r="X213" s="19">
        <f t="shared" si="4"/>
        <v>5.913641874</v>
      </c>
    </row>
    <row r="214">
      <c r="A214" s="8">
        <f t="shared" si="3"/>
        <v>213</v>
      </c>
      <c r="B214" s="8"/>
      <c r="C214" s="8"/>
      <c r="D214" s="8"/>
      <c r="E214" s="8"/>
      <c r="F214" s="47"/>
      <c r="G214" s="47"/>
      <c r="H214" s="47"/>
      <c r="I214" s="111"/>
      <c r="J214" s="8"/>
      <c r="K214" s="8"/>
      <c r="L214" s="8"/>
      <c r="M214" s="8"/>
      <c r="N214" s="8"/>
      <c r="O214" s="8"/>
      <c r="P214" s="8"/>
      <c r="Q214" s="9"/>
      <c r="R214" s="9"/>
      <c r="S214" s="9"/>
      <c r="T214" s="10"/>
      <c r="U214" s="11"/>
      <c r="V214" s="8"/>
      <c r="W214" s="12" t="str">
        <f t="shared" si="1"/>
        <v/>
      </c>
      <c r="X214" s="12">
        <f t="shared" si="4"/>
        <v>5.913641874</v>
      </c>
    </row>
    <row r="215">
      <c r="A215" s="15">
        <f t="shared" si="3"/>
        <v>214</v>
      </c>
      <c r="B215" s="15"/>
      <c r="C215" s="15"/>
      <c r="D215" s="15"/>
      <c r="E215" s="15"/>
      <c r="F215" s="42"/>
      <c r="G215" s="42"/>
      <c r="H215" s="42"/>
      <c r="I215" s="110"/>
      <c r="J215" s="15"/>
      <c r="K215" s="15"/>
      <c r="L215" s="15"/>
      <c r="M215" s="15"/>
      <c r="N215" s="15"/>
      <c r="O215" s="15"/>
      <c r="P215" s="15"/>
      <c r="Q215" s="16"/>
      <c r="R215" s="16"/>
      <c r="S215" s="16"/>
      <c r="T215" s="17"/>
      <c r="U215" s="18"/>
      <c r="V215" s="15"/>
      <c r="W215" s="19" t="str">
        <f t="shared" si="1"/>
        <v/>
      </c>
      <c r="X215" s="19">
        <f t="shared" si="4"/>
        <v>5.913641874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111"/>
      <c r="J216" s="8"/>
      <c r="K216" s="8"/>
      <c r="L216" s="8"/>
      <c r="M216" s="8"/>
      <c r="N216" s="8"/>
      <c r="O216" s="8"/>
      <c r="P216" s="8"/>
      <c r="Q216" s="9"/>
      <c r="R216" s="9"/>
      <c r="S216" s="9"/>
      <c r="T216" s="10"/>
      <c r="U216" s="11"/>
      <c r="V216" s="8"/>
      <c r="W216" s="12" t="str">
        <f t="shared" si="1"/>
        <v/>
      </c>
      <c r="X216" s="12">
        <f t="shared" si="4"/>
        <v>5.913641874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10"/>
      <c r="J217" s="15"/>
      <c r="K217" s="15"/>
      <c r="L217" s="15"/>
      <c r="M217" s="15"/>
      <c r="N217" s="15"/>
      <c r="O217" s="15"/>
      <c r="P217" s="15"/>
      <c r="Q217" s="16"/>
      <c r="R217" s="16"/>
      <c r="S217" s="16"/>
      <c r="T217" s="17"/>
      <c r="U217" s="18"/>
      <c r="V217" s="15"/>
      <c r="W217" s="19" t="str">
        <f t="shared" si="1"/>
        <v/>
      </c>
      <c r="X217" s="19">
        <f t="shared" si="4"/>
        <v>5.913641874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111"/>
      <c r="J218" s="8"/>
      <c r="K218" s="8"/>
      <c r="L218" s="8"/>
      <c r="M218" s="8"/>
      <c r="N218" s="8"/>
      <c r="O218" s="8"/>
      <c r="P218" s="8"/>
      <c r="Q218" s="9"/>
      <c r="R218" s="9"/>
      <c r="S218" s="9"/>
      <c r="T218" s="10"/>
      <c r="U218" s="11"/>
      <c r="V218" s="8"/>
      <c r="W218" s="12" t="str">
        <f t="shared" si="1"/>
        <v/>
      </c>
      <c r="X218" s="12">
        <f t="shared" si="4"/>
        <v>5.913641874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10"/>
      <c r="J219" s="15"/>
      <c r="K219" s="15"/>
      <c r="L219" s="15"/>
      <c r="M219" s="15"/>
      <c r="N219" s="15"/>
      <c r="O219" s="15"/>
      <c r="P219" s="15"/>
      <c r="Q219" s="16"/>
      <c r="R219" s="16"/>
      <c r="S219" s="16"/>
      <c r="T219" s="17"/>
      <c r="U219" s="18"/>
      <c r="V219" s="15"/>
      <c r="W219" s="19" t="str">
        <f t="shared" si="1"/>
        <v/>
      </c>
      <c r="X219" s="19">
        <f t="shared" si="4"/>
        <v>5.913641874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111"/>
      <c r="J220" s="8"/>
      <c r="K220" s="8"/>
      <c r="L220" s="8"/>
      <c r="M220" s="8"/>
      <c r="N220" s="8"/>
      <c r="O220" s="8"/>
      <c r="P220" s="8"/>
      <c r="Q220" s="9"/>
      <c r="R220" s="9"/>
      <c r="S220" s="9"/>
      <c r="T220" s="10"/>
      <c r="U220" s="11"/>
      <c r="V220" s="8"/>
      <c r="W220" s="12" t="str">
        <f t="shared" si="1"/>
        <v/>
      </c>
      <c r="X220" s="12">
        <f t="shared" si="4"/>
        <v>5.913641874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10"/>
      <c r="J221" s="15"/>
      <c r="K221" s="15"/>
      <c r="L221" s="15"/>
      <c r="M221" s="15"/>
      <c r="N221" s="15"/>
      <c r="O221" s="15"/>
      <c r="P221" s="15"/>
      <c r="Q221" s="16"/>
      <c r="R221" s="16"/>
      <c r="S221" s="16"/>
      <c r="T221" s="17"/>
      <c r="U221" s="18"/>
      <c r="V221" s="15"/>
      <c r="W221" s="19" t="str">
        <f t="shared" si="1"/>
        <v/>
      </c>
      <c r="X221" s="19">
        <f t="shared" si="4"/>
        <v>5.913641874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111"/>
      <c r="J222" s="8"/>
      <c r="K222" s="8"/>
      <c r="L222" s="8"/>
      <c r="M222" s="8"/>
      <c r="N222" s="8"/>
      <c r="O222" s="8"/>
      <c r="P222" s="8"/>
      <c r="Q222" s="9"/>
      <c r="R222" s="9"/>
      <c r="S222" s="9"/>
      <c r="T222" s="10"/>
      <c r="U222" s="11"/>
      <c r="V222" s="8"/>
      <c r="W222" s="12" t="str">
        <f t="shared" si="1"/>
        <v/>
      </c>
      <c r="X222" s="12">
        <f t="shared" si="4"/>
        <v>5.913641874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6"/>
      <c r="R223" s="16"/>
      <c r="S223" s="16"/>
      <c r="T223" s="17"/>
      <c r="U223" s="18"/>
      <c r="V223" s="15"/>
      <c r="W223" s="19" t="str">
        <f t="shared" si="1"/>
        <v/>
      </c>
      <c r="X223" s="19">
        <f t="shared" si="4"/>
        <v>5.913641874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9"/>
      <c r="R224" s="9"/>
      <c r="S224" s="9"/>
      <c r="T224" s="10"/>
      <c r="U224" s="11"/>
      <c r="V224" s="8"/>
      <c r="W224" s="12" t="str">
        <f t="shared" si="1"/>
        <v/>
      </c>
      <c r="X224" s="12">
        <f t="shared" si="4"/>
        <v>5.913641874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6"/>
      <c r="R225" s="16"/>
      <c r="S225" s="16"/>
      <c r="T225" s="17"/>
      <c r="U225" s="18"/>
      <c r="V225" s="15"/>
      <c r="W225" s="19" t="str">
        <f t="shared" si="1"/>
        <v/>
      </c>
      <c r="X225" s="19">
        <f t="shared" si="4"/>
        <v>5.913641874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9"/>
      <c r="R226" s="9"/>
      <c r="S226" s="9"/>
      <c r="T226" s="10"/>
      <c r="U226" s="11"/>
      <c r="V226" s="8"/>
      <c r="W226" s="12" t="str">
        <f t="shared" si="1"/>
        <v/>
      </c>
      <c r="X226" s="12">
        <f t="shared" si="4"/>
        <v>5.913641874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6"/>
      <c r="R227" s="16"/>
      <c r="S227" s="16"/>
      <c r="T227" s="17"/>
      <c r="U227" s="18"/>
      <c r="V227" s="15"/>
      <c r="W227" s="19" t="str">
        <f t="shared" si="1"/>
        <v/>
      </c>
      <c r="X227" s="19">
        <f t="shared" si="4"/>
        <v>5.913641874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9"/>
      <c r="R228" s="9"/>
      <c r="S228" s="9"/>
      <c r="T228" s="10"/>
      <c r="U228" s="11"/>
      <c r="V228" s="8"/>
      <c r="W228" s="12" t="str">
        <f t="shared" si="1"/>
        <v/>
      </c>
      <c r="X228" s="12">
        <f t="shared" si="4"/>
        <v>5.913641874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6"/>
      <c r="R229" s="16"/>
      <c r="S229" s="16"/>
      <c r="T229" s="17"/>
      <c r="U229" s="18"/>
      <c r="V229" s="15"/>
      <c r="W229" s="19" t="str">
        <f t="shared" si="1"/>
        <v/>
      </c>
      <c r="X229" s="19">
        <f t="shared" si="4"/>
        <v>5.913641874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9"/>
      <c r="R230" s="9"/>
      <c r="S230" s="9"/>
      <c r="T230" s="10"/>
      <c r="U230" s="11"/>
      <c r="V230" s="8"/>
      <c r="W230" s="12" t="str">
        <f t="shared" si="1"/>
        <v/>
      </c>
      <c r="X230" s="12">
        <f t="shared" si="4"/>
        <v>5.913641874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6"/>
      <c r="R231" s="16"/>
      <c r="S231" s="16"/>
      <c r="T231" s="17"/>
      <c r="U231" s="18"/>
      <c r="V231" s="15"/>
      <c r="W231" s="19" t="str">
        <f t="shared" si="1"/>
        <v/>
      </c>
      <c r="X231" s="19">
        <f t="shared" si="4"/>
        <v>5.913641874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9"/>
      <c r="R232" s="9"/>
      <c r="S232" s="9"/>
      <c r="T232" s="10"/>
      <c r="U232" s="11"/>
      <c r="V232" s="8"/>
      <c r="W232" s="12" t="str">
        <f t="shared" si="1"/>
        <v/>
      </c>
      <c r="X232" s="12">
        <f t="shared" si="4"/>
        <v>5.913641874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6"/>
      <c r="R233" s="16"/>
      <c r="S233" s="16"/>
      <c r="T233" s="17"/>
      <c r="U233" s="18"/>
      <c r="V233" s="15"/>
      <c r="W233" s="19" t="str">
        <f t="shared" si="1"/>
        <v/>
      </c>
      <c r="X233" s="19">
        <f t="shared" si="4"/>
        <v>5.913641874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9"/>
      <c r="R234" s="9"/>
      <c r="S234" s="9"/>
      <c r="T234" s="10"/>
      <c r="U234" s="11"/>
      <c r="V234" s="8"/>
      <c r="W234" s="12" t="str">
        <f t="shared" si="1"/>
        <v/>
      </c>
      <c r="X234" s="12">
        <f t="shared" si="4"/>
        <v>5.913641874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6"/>
      <c r="R235" s="16"/>
      <c r="S235" s="16"/>
      <c r="T235" s="17"/>
      <c r="U235" s="18"/>
      <c r="V235" s="15"/>
      <c r="W235" s="19" t="str">
        <f t="shared" si="1"/>
        <v/>
      </c>
      <c r="X235" s="19">
        <f t="shared" si="4"/>
        <v>5.913641874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9"/>
      <c r="R236" s="9"/>
      <c r="S236" s="9"/>
      <c r="T236" s="10"/>
      <c r="U236" s="11"/>
      <c r="V236" s="8"/>
      <c r="W236" s="12" t="str">
        <f t="shared" si="1"/>
        <v/>
      </c>
      <c r="X236" s="12">
        <f t="shared" si="4"/>
        <v>5.913641874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6"/>
      <c r="R237" s="16"/>
      <c r="S237" s="16"/>
      <c r="T237" s="17"/>
      <c r="U237" s="18"/>
      <c r="V237" s="15"/>
      <c r="W237" s="19" t="str">
        <f t="shared" si="1"/>
        <v/>
      </c>
      <c r="X237" s="19">
        <f t="shared" si="4"/>
        <v>5.913641874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9"/>
      <c r="R238" s="9"/>
      <c r="S238" s="9"/>
      <c r="T238" s="10"/>
      <c r="U238" s="11"/>
      <c r="V238" s="8"/>
      <c r="W238" s="12" t="str">
        <f t="shared" si="1"/>
        <v/>
      </c>
      <c r="X238" s="12">
        <f t="shared" si="4"/>
        <v>5.913641874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6"/>
      <c r="R239" s="16"/>
      <c r="S239" s="16"/>
      <c r="T239" s="17"/>
      <c r="U239" s="18"/>
      <c r="V239" s="15"/>
      <c r="W239" s="19" t="str">
        <f t="shared" si="1"/>
        <v/>
      </c>
      <c r="X239" s="19">
        <f t="shared" si="4"/>
        <v>5.913641874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9"/>
      <c r="R240" s="9"/>
      <c r="S240" s="9"/>
      <c r="T240" s="10"/>
      <c r="U240" s="11"/>
      <c r="V240" s="8"/>
      <c r="W240" s="12" t="str">
        <f t="shared" si="1"/>
        <v/>
      </c>
      <c r="X240" s="12">
        <f t="shared" si="4"/>
        <v>5.913641874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6"/>
      <c r="R241" s="16"/>
      <c r="S241" s="16"/>
      <c r="T241" s="17"/>
      <c r="U241" s="18"/>
      <c r="V241" s="15"/>
      <c r="W241" s="19" t="str">
        <f t="shared" si="1"/>
        <v/>
      </c>
      <c r="X241" s="19">
        <f t="shared" si="4"/>
        <v>5.913641874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9"/>
      <c r="R242" s="9"/>
      <c r="S242" s="9"/>
      <c r="T242" s="10"/>
      <c r="U242" s="11"/>
      <c r="V242" s="8"/>
      <c r="W242" s="12" t="str">
        <f t="shared" si="1"/>
        <v/>
      </c>
      <c r="X242" s="12">
        <f t="shared" si="4"/>
        <v>5.913641874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6"/>
      <c r="R243" s="16"/>
      <c r="S243" s="16"/>
      <c r="T243" s="55"/>
      <c r="U243" s="18"/>
      <c r="V243" s="15"/>
      <c r="W243" s="19" t="str">
        <f t="shared" si="1"/>
        <v/>
      </c>
      <c r="X243" s="19">
        <f t="shared" si="4"/>
        <v>5.913641874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9"/>
      <c r="R244" s="9"/>
      <c r="S244" s="9"/>
      <c r="T244" s="10"/>
      <c r="U244" s="11"/>
      <c r="V244" s="8"/>
      <c r="W244" s="12" t="str">
        <f t="shared" si="1"/>
        <v/>
      </c>
      <c r="X244" s="12">
        <f t="shared" si="4"/>
        <v>5.913641874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6"/>
      <c r="R245" s="16"/>
      <c r="S245" s="16"/>
      <c r="T245" s="17"/>
      <c r="U245" s="18"/>
      <c r="V245" s="15"/>
      <c r="W245" s="19" t="str">
        <f t="shared" si="1"/>
        <v/>
      </c>
      <c r="X245" s="19">
        <f t="shared" si="4"/>
        <v>5.913641874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  <c r="R246" s="9"/>
      <c r="S246" s="9"/>
      <c r="T246" s="10"/>
      <c r="U246" s="11"/>
      <c r="V246" s="8"/>
      <c r="W246" s="12" t="str">
        <f t="shared" si="1"/>
        <v/>
      </c>
      <c r="X246" s="12">
        <f t="shared" si="4"/>
        <v>5.913641874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6"/>
      <c r="R247" s="16"/>
      <c r="S247" s="16"/>
      <c r="T247" s="17"/>
      <c r="U247" s="18"/>
      <c r="V247" s="15"/>
      <c r="W247" s="19" t="str">
        <f t="shared" si="1"/>
        <v/>
      </c>
      <c r="X247" s="19">
        <f t="shared" si="4"/>
        <v>5.913641874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9"/>
      <c r="R248" s="9"/>
      <c r="S248" s="9"/>
      <c r="T248" s="10"/>
      <c r="U248" s="11"/>
      <c r="V248" s="8"/>
      <c r="W248" s="12" t="str">
        <f t="shared" si="1"/>
        <v/>
      </c>
      <c r="X248" s="12">
        <f t="shared" si="4"/>
        <v>5.913641874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6"/>
      <c r="R249" s="16"/>
      <c r="S249" s="16"/>
      <c r="T249" s="17"/>
      <c r="U249" s="18"/>
      <c r="V249" s="15"/>
      <c r="W249" s="19" t="str">
        <f t="shared" si="1"/>
        <v/>
      </c>
      <c r="X249" s="19">
        <f t="shared" si="4"/>
        <v>5.913641874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9"/>
      <c r="R250" s="9"/>
      <c r="S250" s="9"/>
      <c r="T250" s="10"/>
      <c r="U250" s="11"/>
      <c r="V250" s="8"/>
      <c r="W250" s="12" t="str">
        <f t="shared" si="1"/>
        <v/>
      </c>
      <c r="X250" s="12">
        <f t="shared" si="4"/>
        <v>5.913641874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6"/>
      <c r="R251" s="16"/>
      <c r="S251" s="16"/>
      <c r="T251" s="17"/>
      <c r="U251" s="18"/>
      <c r="V251" s="15"/>
      <c r="W251" s="19" t="str">
        <f t="shared" si="1"/>
        <v/>
      </c>
      <c r="X251" s="19">
        <f t="shared" si="4"/>
        <v>5.913641874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9"/>
      <c r="R252" s="9"/>
      <c r="S252" s="9"/>
      <c r="T252" s="10"/>
      <c r="U252" s="11"/>
      <c r="V252" s="8"/>
      <c r="W252" s="12" t="str">
        <f t="shared" si="1"/>
        <v/>
      </c>
      <c r="X252" s="12">
        <f t="shared" si="4"/>
        <v>5.913641874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6"/>
      <c r="R253" s="16"/>
      <c r="S253" s="16"/>
      <c r="T253" s="17"/>
      <c r="U253" s="18"/>
      <c r="V253" s="15"/>
      <c r="W253" s="19" t="str">
        <f t="shared" si="1"/>
        <v/>
      </c>
      <c r="X253" s="19">
        <f t="shared" si="4"/>
        <v>5.913641874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9"/>
      <c r="R254" s="9"/>
      <c r="S254" s="9"/>
      <c r="T254" s="10"/>
      <c r="U254" s="11"/>
      <c r="V254" s="8"/>
      <c r="W254" s="12" t="str">
        <f t="shared" si="1"/>
        <v/>
      </c>
      <c r="X254" s="12">
        <f t="shared" si="4"/>
        <v>5.913641874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6"/>
      <c r="R255" s="16"/>
      <c r="S255" s="16"/>
      <c r="T255" s="17"/>
      <c r="U255" s="18"/>
      <c r="V255" s="15"/>
      <c r="W255" s="19" t="str">
        <f t="shared" si="1"/>
        <v/>
      </c>
      <c r="X255" s="19">
        <f t="shared" si="4"/>
        <v>5.913641874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9"/>
      <c r="R256" s="9"/>
      <c r="S256" s="9"/>
      <c r="T256" s="10"/>
      <c r="U256" s="11"/>
      <c r="V256" s="8"/>
      <c r="W256" s="12" t="str">
        <f t="shared" si="1"/>
        <v/>
      </c>
      <c r="X256" s="12">
        <f t="shared" si="4"/>
        <v>5.913641874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6"/>
      <c r="R257" s="16"/>
      <c r="S257" s="16"/>
      <c r="T257" s="17"/>
      <c r="U257" s="18"/>
      <c r="V257" s="15"/>
      <c r="W257" s="19" t="str">
        <f t="shared" si="1"/>
        <v/>
      </c>
      <c r="X257" s="19">
        <f t="shared" si="4"/>
        <v>5.913641874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9"/>
      <c r="R258" s="9"/>
      <c r="S258" s="9"/>
      <c r="T258" s="10"/>
      <c r="U258" s="11"/>
      <c r="V258" s="8"/>
      <c r="W258" s="12" t="str">
        <f t="shared" si="1"/>
        <v/>
      </c>
      <c r="X258" s="12">
        <f t="shared" si="4"/>
        <v>5.913641874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6"/>
      <c r="R259" s="16"/>
      <c r="S259" s="16"/>
      <c r="T259" s="17"/>
      <c r="U259" s="18"/>
      <c r="V259" s="15"/>
      <c r="W259" s="19" t="str">
        <f t="shared" si="1"/>
        <v/>
      </c>
      <c r="X259" s="19">
        <f t="shared" si="4"/>
        <v>5.913641874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9"/>
      <c r="R260" s="9"/>
      <c r="S260" s="9"/>
      <c r="T260" s="10"/>
      <c r="U260" s="11"/>
      <c r="V260" s="8"/>
      <c r="W260" s="12" t="str">
        <f t="shared" si="1"/>
        <v/>
      </c>
      <c r="X260" s="12">
        <f t="shared" si="4"/>
        <v>5.913641874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6"/>
      <c r="R261" s="16"/>
      <c r="S261" s="16"/>
      <c r="T261" s="17"/>
      <c r="U261" s="18"/>
      <c r="V261" s="15"/>
      <c r="W261" s="19" t="str">
        <f t="shared" si="1"/>
        <v/>
      </c>
      <c r="X261" s="19">
        <f t="shared" si="4"/>
        <v>5.913641874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9"/>
      <c r="R262" s="9"/>
      <c r="S262" s="9"/>
      <c r="T262" s="10"/>
      <c r="U262" s="11"/>
      <c r="V262" s="8"/>
      <c r="W262" s="12" t="str">
        <f t="shared" si="1"/>
        <v/>
      </c>
      <c r="X262" s="12">
        <f t="shared" si="4"/>
        <v>5.913641874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6"/>
      <c r="R263" s="16"/>
      <c r="S263" s="16"/>
      <c r="T263" s="17"/>
      <c r="U263" s="18"/>
      <c r="V263" s="15"/>
      <c r="W263" s="19" t="str">
        <f t="shared" si="1"/>
        <v/>
      </c>
      <c r="X263" s="19">
        <f t="shared" si="4"/>
        <v>5.913641874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9"/>
      <c r="R264" s="9"/>
      <c r="S264" s="9"/>
      <c r="T264" s="10"/>
      <c r="U264" s="11"/>
      <c r="V264" s="8"/>
      <c r="W264" s="12" t="str">
        <f t="shared" si="1"/>
        <v/>
      </c>
      <c r="X264" s="12">
        <f t="shared" si="4"/>
        <v>5.913641874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6"/>
      <c r="R265" s="16"/>
      <c r="S265" s="16"/>
      <c r="T265" s="17"/>
      <c r="U265" s="18"/>
      <c r="V265" s="15"/>
      <c r="W265" s="19" t="str">
        <f t="shared" si="1"/>
        <v/>
      </c>
      <c r="X265" s="19">
        <f t="shared" si="4"/>
        <v>5.913641874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9"/>
      <c r="R266" s="9"/>
      <c r="S266" s="9"/>
      <c r="T266" s="10"/>
      <c r="U266" s="11"/>
      <c r="V266" s="8"/>
      <c r="W266" s="12" t="str">
        <f t="shared" si="1"/>
        <v/>
      </c>
      <c r="X266" s="12">
        <f t="shared" si="4"/>
        <v>5.913641874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6"/>
      <c r="R267" s="16"/>
      <c r="S267" s="16"/>
      <c r="T267" s="17"/>
      <c r="U267" s="18"/>
      <c r="V267" s="15"/>
      <c r="W267" s="19" t="str">
        <f t="shared" si="1"/>
        <v/>
      </c>
      <c r="X267" s="19">
        <f t="shared" si="4"/>
        <v>5.913641874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9"/>
      <c r="R268" s="9"/>
      <c r="S268" s="9"/>
      <c r="T268" s="10"/>
      <c r="U268" s="11"/>
      <c r="V268" s="8"/>
      <c r="W268" s="12" t="str">
        <f t="shared" si="1"/>
        <v/>
      </c>
      <c r="X268" s="12">
        <f t="shared" si="4"/>
        <v>5.913641874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6"/>
      <c r="R269" s="16"/>
      <c r="S269" s="16"/>
      <c r="T269" s="17"/>
      <c r="U269" s="18"/>
      <c r="V269" s="15"/>
      <c r="W269" s="19" t="str">
        <f t="shared" si="1"/>
        <v/>
      </c>
      <c r="X269" s="19">
        <f t="shared" si="4"/>
        <v>5.913641874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9"/>
      <c r="R270" s="9"/>
      <c r="S270" s="9"/>
      <c r="T270" s="10"/>
      <c r="U270" s="11"/>
      <c r="V270" s="8"/>
      <c r="W270" s="12" t="str">
        <f t="shared" si="1"/>
        <v/>
      </c>
      <c r="X270" s="12">
        <f t="shared" si="4"/>
        <v>5.913641874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6"/>
      <c r="R271" s="16"/>
      <c r="S271" s="16"/>
      <c r="T271" s="17"/>
      <c r="U271" s="18"/>
      <c r="V271" s="15"/>
      <c r="W271" s="19" t="str">
        <f t="shared" si="1"/>
        <v/>
      </c>
      <c r="X271" s="19">
        <f t="shared" si="4"/>
        <v>5.913641874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9"/>
      <c r="R272" s="9"/>
      <c r="S272" s="9"/>
      <c r="T272" s="10"/>
      <c r="U272" s="11"/>
      <c r="V272" s="8"/>
      <c r="W272" s="12" t="str">
        <f t="shared" si="1"/>
        <v/>
      </c>
      <c r="X272" s="12">
        <f t="shared" si="4"/>
        <v>5.913641874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6"/>
      <c r="R273" s="16"/>
      <c r="S273" s="16"/>
      <c r="T273" s="17"/>
      <c r="U273" s="18"/>
      <c r="V273" s="15"/>
      <c r="W273" s="19" t="str">
        <f t="shared" si="1"/>
        <v/>
      </c>
      <c r="X273" s="19">
        <f t="shared" si="4"/>
        <v>5.913641874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9"/>
      <c r="R274" s="9"/>
      <c r="S274" s="9"/>
      <c r="T274" s="10"/>
      <c r="U274" s="11"/>
      <c r="V274" s="8"/>
      <c r="W274" s="12" t="str">
        <f t="shared" si="1"/>
        <v/>
      </c>
      <c r="X274" s="12">
        <f t="shared" si="4"/>
        <v>5.913641874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6"/>
      <c r="R275" s="16"/>
      <c r="S275" s="16"/>
      <c r="T275" s="17"/>
      <c r="U275" s="18"/>
      <c r="V275" s="15"/>
      <c r="W275" s="19" t="str">
        <f t="shared" si="1"/>
        <v/>
      </c>
      <c r="X275" s="19">
        <f t="shared" si="4"/>
        <v>5.913641874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9"/>
      <c r="R276" s="9"/>
      <c r="S276" s="9"/>
      <c r="T276" s="10"/>
      <c r="U276" s="11"/>
      <c r="V276" s="8"/>
      <c r="W276" s="12" t="str">
        <f t="shared" si="1"/>
        <v/>
      </c>
      <c r="X276" s="12">
        <f t="shared" si="4"/>
        <v>5.913641874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6"/>
      <c r="R277" s="16"/>
      <c r="S277" s="16"/>
      <c r="T277" s="17"/>
      <c r="U277" s="18"/>
      <c r="V277" s="15"/>
      <c r="W277" s="19" t="str">
        <f t="shared" si="1"/>
        <v/>
      </c>
      <c r="X277" s="19">
        <f t="shared" si="4"/>
        <v>5.913641874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114"/>
      <c r="H278" s="114"/>
      <c r="I278" s="114"/>
      <c r="J278" s="114"/>
      <c r="K278" s="8"/>
      <c r="L278" s="8"/>
      <c r="M278" s="8"/>
      <c r="N278" s="8"/>
      <c r="O278" s="8"/>
      <c r="P278" s="8"/>
      <c r="Q278" s="9"/>
      <c r="R278" s="9"/>
      <c r="S278" s="9"/>
      <c r="T278" s="10"/>
      <c r="U278" s="11"/>
      <c r="V278" s="8"/>
      <c r="W278" s="12" t="str">
        <f t="shared" si="1"/>
        <v/>
      </c>
      <c r="X278" s="12">
        <f t="shared" si="4"/>
        <v>5.913641874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6"/>
      <c r="R279" s="16"/>
      <c r="S279" s="16"/>
      <c r="T279" s="17"/>
      <c r="U279" s="18"/>
      <c r="V279" s="15"/>
      <c r="W279" s="19" t="str">
        <f t="shared" si="1"/>
        <v/>
      </c>
      <c r="X279" s="19">
        <f t="shared" si="4"/>
        <v>5.913641874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9"/>
      <c r="R280" s="9"/>
      <c r="S280" s="9"/>
      <c r="T280" s="10"/>
      <c r="U280" s="11"/>
      <c r="V280" s="8"/>
      <c r="W280" s="12" t="str">
        <f t="shared" si="1"/>
        <v/>
      </c>
      <c r="X280" s="12">
        <f t="shared" si="4"/>
        <v>5.913641874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6"/>
      <c r="R281" s="16"/>
      <c r="S281" s="16"/>
      <c r="T281" s="17"/>
      <c r="U281" s="18"/>
      <c r="V281" s="15"/>
      <c r="W281" s="19" t="str">
        <f t="shared" si="1"/>
        <v/>
      </c>
      <c r="X281" s="19">
        <f t="shared" si="4"/>
        <v>5.913641874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9"/>
      <c r="R282" s="9"/>
      <c r="S282" s="9"/>
      <c r="T282" s="10"/>
      <c r="U282" s="11"/>
      <c r="V282" s="8"/>
      <c r="W282" s="12" t="str">
        <f t="shared" si="1"/>
        <v/>
      </c>
      <c r="X282" s="12">
        <f t="shared" si="4"/>
        <v>5.913641874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6"/>
      <c r="R283" s="16"/>
      <c r="S283" s="16"/>
      <c r="T283" s="17"/>
      <c r="U283" s="18"/>
      <c r="V283" s="15"/>
      <c r="W283" s="19" t="str">
        <f t="shared" si="1"/>
        <v/>
      </c>
      <c r="X283" s="19">
        <f t="shared" si="4"/>
        <v>5.913641874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9"/>
      <c r="R284" s="9"/>
      <c r="S284" s="9"/>
      <c r="T284" s="54"/>
      <c r="U284" s="11"/>
      <c r="V284" s="8"/>
      <c r="W284" s="12" t="str">
        <f t="shared" si="1"/>
        <v/>
      </c>
      <c r="X284" s="12">
        <f t="shared" si="4"/>
        <v>5.913641874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16"/>
      <c r="H285" s="116"/>
      <c r="I285" s="116"/>
      <c r="J285" s="37"/>
      <c r="K285" s="37"/>
      <c r="L285" s="37"/>
      <c r="M285" s="37"/>
      <c r="N285" s="37"/>
      <c r="O285" s="37"/>
      <c r="P285" s="37"/>
      <c r="Q285" s="24"/>
      <c r="R285" s="16"/>
      <c r="S285" s="16"/>
      <c r="T285" s="17"/>
      <c r="U285" s="18"/>
      <c r="V285" s="15"/>
      <c r="W285" s="19" t="str">
        <f t="shared" si="1"/>
        <v/>
      </c>
      <c r="X285" s="19">
        <f t="shared" si="4"/>
        <v>5.913641874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118"/>
      <c r="H286" s="118"/>
      <c r="I286" s="118"/>
      <c r="J286" s="32"/>
      <c r="K286" s="32"/>
      <c r="L286" s="32"/>
      <c r="M286" s="32"/>
      <c r="N286" s="32"/>
      <c r="O286" s="32"/>
      <c r="P286" s="32"/>
      <c r="Q286" s="33"/>
      <c r="R286" s="9"/>
      <c r="S286" s="9"/>
      <c r="T286" s="10"/>
      <c r="U286" s="11"/>
      <c r="V286" s="8"/>
      <c r="W286" s="12" t="str">
        <f t="shared" si="1"/>
        <v/>
      </c>
      <c r="X286" s="12">
        <f t="shared" si="4"/>
        <v>5.913641874</v>
      </c>
    </row>
    <row r="287">
      <c r="A287" s="15">
        <f t="shared" si="3"/>
        <v>286</v>
      </c>
      <c r="B287" s="15"/>
      <c r="C287" s="15"/>
      <c r="D287" s="120"/>
      <c r="E287" s="120"/>
      <c r="F287" s="15"/>
      <c r="G287" s="121"/>
      <c r="H287" s="121"/>
      <c r="I287" s="121"/>
      <c r="J287" s="42"/>
      <c r="K287" s="42"/>
      <c r="L287" s="42"/>
      <c r="M287" s="42"/>
      <c r="N287" s="42"/>
      <c r="O287" s="42"/>
      <c r="P287" s="37"/>
      <c r="Q287" s="16"/>
      <c r="R287" s="16"/>
      <c r="S287" s="16"/>
      <c r="T287" s="17"/>
      <c r="U287" s="18"/>
      <c r="V287" s="15"/>
      <c r="W287" s="19" t="str">
        <f t="shared" si="1"/>
        <v/>
      </c>
      <c r="X287" s="19">
        <f t="shared" si="4"/>
        <v>5.913641874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32"/>
      <c r="Q288" s="9"/>
      <c r="R288" s="9"/>
      <c r="S288" s="9"/>
      <c r="T288" s="10"/>
      <c r="U288" s="11"/>
      <c r="V288" s="8"/>
      <c r="W288" s="12" t="str">
        <f t="shared" si="1"/>
        <v/>
      </c>
      <c r="X288" s="12">
        <f t="shared" si="4"/>
        <v>5.913641874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37"/>
      <c r="Q289" s="16"/>
      <c r="R289" s="16"/>
      <c r="S289" s="16"/>
      <c r="T289" s="17"/>
      <c r="U289" s="18"/>
      <c r="V289" s="15"/>
      <c r="W289" s="19" t="str">
        <f t="shared" si="1"/>
        <v/>
      </c>
      <c r="X289" s="19">
        <f t="shared" si="4"/>
        <v>5.913641874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32"/>
      <c r="Q290" s="9"/>
      <c r="R290" s="9"/>
      <c r="S290" s="9"/>
      <c r="T290" s="10"/>
      <c r="U290" s="11"/>
      <c r="V290" s="8"/>
      <c r="W290" s="12" t="str">
        <f t="shared" si="1"/>
        <v/>
      </c>
      <c r="X290" s="12">
        <f t="shared" si="4"/>
        <v>5.913641874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37"/>
      <c r="Q291" s="16"/>
      <c r="R291" s="16"/>
      <c r="S291" s="16"/>
      <c r="T291" s="17"/>
      <c r="U291" s="18"/>
      <c r="V291" s="15"/>
      <c r="W291" s="19" t="str">
        <f t="shared" si="1"/>
        <v/>
      </c>
      <c r="X291" s="19">
        <f t="shared" si="4"/>
        <v>5.913641874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32"/>
      <c r="Q292" s="9"/>
      <c r="R292" s="9"/>
      <c r="S292" s="9"/>
      <c r="T292" s="10"/>
      <c r="U292" s="11"/>
      <c r="V292" s="8"/>
      <c r="W292" s="12" t="str">
        <f t="shared" si="1"/>
        <v/>
      </c>
      <c r="X292" s="12">
        <f t="shared" si="4"/>
        <v>5.913641874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37"/>
      <c r="Q293" s="16"/>
      <c r="R293" s="16"/>
      <c r="S293" s="16"/>
      <c r="T293" s="17"/>
      <c r="U293" s="18"/>
      <c r="V293" s="15"/>
      <c r="W293" s="19" t="str">
        <f t="shared" si="1"/>
        <v/>
      </c>
      <c r="X293" s="19">
        <f t="shared" si="4"/>
        <v>5.913641874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32"/>
      <c r="Q294" s="9"/>
      <c r="R294" s="9"/>
      <c r="S294" s="9"/>
      <c r="T294" s="10"/>
      <c r="U294" s="11"/>
      <c r="V294" s="8"/>
      <c r="W294" s="12" t="str">
        <f t="shared" si="1"/>
        <v/>
      </c>
      <c r="X294" s="12">
        <f t="shared" si="4"/>
        <v>5.913641874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37"/>
      <c r="Q295" s="16"/>
      <c r="R295" s="16"/>
      <c r="S295" s="16"/>
      <c r="T295" s="17"/>
      <c r="U295" s="18"/>
      <c r="V295" s="15"/>
      <c r="W295" s="19" t="str">
        <f t="shared" si="1"/>
        <v/>
      </c>
      <c r="X295" s="19">
        <f t="shared" si="4"/>
        <v>5.913641874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32"/>
      <c r="Q296" s="9"/>
      <c r="R296" s="9"/>
      <c r="S296" s="9"/>
      <c r="T296" s="10"/>
      <c r="U296" s="11"/>
      <c r="V296" s="8"/>
      <c r="W296" s="12" t="str">
        <f t="shared" si="1"/>
        <v/>
      </c>
      <c r="X296" s="12">
        <f t="shared" si="4"/>
        <v>5.913641874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37"/>
      <c r="Q297" s="16"/>
      <c r="R297" s="16"/>
      <c r="S297" s="16"/>
      <c r="T297" s="17"/>
      <c r="U297" s="18"/>
      <c r="V297" s="15"/>
      <c r="W297" s="19" t="str">
        <f t="shared" si="1"/>
        <v/>
      </c>
      <c r="X297" s="19">
        <f t="shared" si="4"/>
        <v>5.913641874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32"/>
      <c r="Q298" s="9"/>
      <c r="R298" s="9"/>
      <c r="S298" s="9"/>
      <c r="T298" s="10"/>
      <c r="U298" s="11"/>
      <c r="V298" s="8"/>
      <c r="W298" s="12" t="str">
        <f t="shared" si="1"/>
        <v/>
      </c>
      <c r="X298" s="12">
        <f t="shared" si="4"/>
        <v>5.913641874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37"/>
      <c r="Q299" s="16"/>
      <c r="R299" s="16"/>
      <c r="S299" s="16"/>
      <c r="T299" s="17"/>
      <c r="U299" s="18"/>
      <c r="V299" s="15"/>
      <c r="W299" s="19" t="str">
        <f t="shared" si="1"/>
        <v/>
      </c>
      <c r="X299" s="19">
        <f t="shared" si="4"/>
        <v>5.913641874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9"/>
      <c r="R300" s="9"/>
      <c r="S300" s="9"/>
      <c r="T300" s="10"/>
      <c r="U300" s="11"/>
      <c r="V300" s="8"/>
      <c r="W300" s="12" t="str">
        <f t="shared" si="1"/>
        <v/>
      </c>
      <c r="X300" s="12">
        <f t="shared" si="4"/>
        <v>5.913641874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6"/>
      <c r="R301" s="16"/>
      <c r="S301" s="16"/>
      <c r="T301" s="17"/>
      <c r="U301" s="18"/>
      <c r="V301" s="15"/>
      <c r="W301" s="19" t="str">
        <f t="shared" si="1"/>
        <v/>
      </c>
      <c r="X301" s="19">
        <f t="shared" si="4"/>
        <v>5.913641874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9"/>
      <c r="R302" s="9"/>
      <c r="S302" s="9"/>
      <c r="T302" s="10"/>
      <c r="U302" s="11"/>
      <c r="V302" s="8"/>
      <c r="W302" s="12" t="str">
        <f t="shared" si="1"/>
        <v/>
      </c>
      <c r="X302" s="12">
        <f t="shared" si="4"/>
        <v>5.913641874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6"/>
      <c r="R303" s="16"/>
      <c r="S303" s="16"/>
      <c r="T303" s="17"/>
      <c r="U303" s="18"/>
      <c r="V303" s="15"/>
      <c r="W303" s="19" t="str">
        <f t="shared" si="1"/>
        <v/>
      </c>
      <c r="X303" s="19">
        <f t="shared" si="4"/>
        <v>5.913641874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9"/>
      <c r="R304" s="9"/>
      <c r="S304" s="9"/>
      <c r="T304" s="10"/>
      <c r="U304" s="11"/>
      <c r="V304" s="8"/>
      <c r="W304" s="12" t="str">
        <f t="shared" si="1"/>
        <v/>
      </c>
      <c r="X304" s="12">
        <f t="shared" si="4"/>
        <v>5.913641874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6"/>
      <c r="R305" s="16"/>
      <c r="S305" s="16"/>
      <c r="T305" s="17"/>
      <c r="U305" s="18"/>
      <c r="V305" s="15"/>
      <c r="W305" s="19" t="str">
        <f t="shared" si="1"/>
        <v/>
      </c>
      <c r="X305" s="19">
        <f t="shared" si="4"/>
        <v>5.913641874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9"/>
      <c r="R306" s="9"/>
      <c r="S306" s="9"/>
      <c r="T306" s="10"/>
      <c r="U306" s="11"/>
      <c r="V306" s="8"/>
      <c r="W306" s="12" t="str">
        <f t="shared" si="1"/>
        <v/>
      </c>
      <c r="X306" s="12">
        <f t="shared" si="4"/>
        <v>5.913641874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6"/>
      <c r="R307" s="16"/>
      <c r="S307" s="16"/>
      <c r="T307" s="17"/>
      <c r="U307" s="18"/>
      <c r="V307" s="15"/>
      <c r="W307" s="19" t="str">
        <f t="shared" si="1"/>
        <v/>
      </c>
      <c r="X307" s="19">
        <f t="shared" si="4"/>
        <v>5.913641874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9"/>
      <c r="R308" s="9"/>
      <c r="S308" s="9"/>
      <c r="T308" s="10"/>
      <c r="U308" s="11"/>
      <c r="V308" s="8"/>
      <c r="W308" s="12" t="str">
        <f t="shared" si="1"/>
        <v/>
      </c>
      <c r="X308" s="12">
        <f t="shared" si="4"/>
        <v>5.913641874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6"/>
      <c r="R309" s="16"/>
      <c r="S309" s="16"/>
      <c r="T309" s="17"/>
      <c r="U309" s="18"/>
      <c r="V309" s="15"/>
      <c r="W309" s="19" t="str">
        <f t="shared" si="1"/>
        <v/>
      </c>
      <c r="X309" s="19">
        <f t="shared" si="4"/>
        <v>5.913641874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9"/>
      <c r="R310" s="9"/>
      <c r="S310" s="9"/>
      <c r="T310" s="10"/>
      <c r="U310" s="11"/>
      <c r="V310" s="8"/>
      <c r="W310" s="12" t="str">
        <f t="shared" si="1"/>
        <v/>
      </c>
      <c r="X310" s="12">
        <f t="shared" si="4"/>
        <v>5.913641874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6"/>
      <c r="R311" s="16"/>
      <c r="S311" s="16"/>
      <c r="T311" s="17"/>
      <c r="U311" s="18"/>
      <c r="V311" s="15"/>
      <c r="W311" s="19" t="str">
        <f t="shared" si="1"/>
        <v/>
      </c>
      <c r="X311" s="19">
        <f t="shared" si="4"/>
        <v>5.913641874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/>
      <c r="R312" s="9"/>
      <c r="S312" s="9"/>
      <c r="T312" s="10"/>
      <c r="U312" s="11"/>
      <c r="V312" s="8"/>
      <c r="W312" s="12" t="str">
        <f t="shared" si="1"/>
        <v/>
      </c>
      <c r="X312" s="12">
        <f t="shared" si="4"/>
        <v>5.913641874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6"/>
      <c r="R313" s="16"/>
      <c r="S313" s="16"/>
      <c r="T313" s="17"/>
      <c r="U313" s="18"/>
      <c r="V313" s="15"/>
      <c r="W313" s="19" t="str">
        <f t="shared" si="1"/>
        <v/>
      </c>
      <c r="X313" s="19">
        <f t="shared" si="4"/>
        <v>5.913641874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9"/>
      <c r="R314" s="9"/>
      <c r="S314" s="9"/>
      <c r="T314" s="10"/>
      <c r="U314" s="11"/>
      <c r="V314" s="8"/>
      <c r="W314" s="12" t="str">
        <f t="shared" si="1"/>
        <v/>
      </c>
      <c r="X314" s="12">
        <f t="shared" si="4"/>
        <v>5.913641874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6"/>
      <c r="R315" s="16"/>
      <c r="S315" s="16"/>
      <c r="T315" s="17"/>
      <c r="U315" s="18"/>
      <c r="V315" s="15"/>
      <c r="W315" s="19" t="str">
        <f t="shared" si="1"/>
        <v/>
      </c>
      <c r="X315" s="19">
        <f t="shared" si="4"/>
        <v>5.913641874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9"/>
      <c r="R316" s="9"/>
      <c r="S316" s="9"/>
      <c r="T316" s="10"/>
      <c r="U316" s="11"/>
      <c r="V316" s="8"/>
      <c r="W316" s="12" t="str">
        <f t="shared" si="1"/>
        <v/>
      </c>
      <c r="X316" s="12">
        <f t="shared" si="4"/>
        <v>5.913641874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6"/>
      <c r="R317" s="16"/>
      <c r="S317" s="16"/>
      <c r="T317" s="17"/>
      <c r="U317" s="18"/>
      <c r="V317" s="15"/>
      <c r="W317" s="19" t="str">
        <f t="shared" si="1"/>
        <v/>
      </c>
      <c r="X317" s="19">
        <f t="shared" si="4"/>
        <v>5.913641874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9"/>
      <c r="R318" s="9"/>
      <c r="S318" s="9"/>
      <c r="T318" s="10"/>
      <c r="U318" s="11"/>
      <c r="V318" s="8"/>
      <c r="W318" s="12" t="str">
        <f t="shared" si="1"/>
        <v/>
      </c>
      <c r="X318" s="12">
        <f t="shared" si="4"/>
        <v>5.913641874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6"/>
      <c r="R319" s="16"/>
      <c r="S319" s="16"/>
      <c r="T319" s="17"/>
      <c r="U319" s="18"/>
      <c r="V319" s="15"/>
      <c r="W319" s="19" t="str">
        <f t="shared" si="1"/>
        <v/>
      </c>
      <c r="X319" s="19">
        <f t="shared" si="4"/>
        <v>5.913641874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123"/>
      <c r="R320" s="9"/>
      <c r="S320" s="9"/>
      <c r="T320" s="10"/>
      <c r="U320" s="11"/>
      <c r="V320" s="8"/>
      <c r="W320" s="12" t="str">
        <f t="shared" si="1"/>
        <v/>
      </c>
      <c r="X320" s="12">
        <f t="shared" si="4"/>
        <v>5.913641874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6"/>
      <c r="R321" s="16"/>
      <c r="S321" s="16"/>
      <c r="T321" s="17"/>
      <c r="U321" s="18"/>
      <c r="V321" s="15"/>
      <c r="W321" s="19" t="str">
        <f t="shared" si="1"/>
        <v/>
      </c>
      <c r="X321" s="19">
        <f t="shared" si="4"/>
        <v>5.913641874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9"/>
      <c r="R322" s="9"/>
      <c r="S322" s="9"/>
      <c r="T322" s="10"/>
      <c r="U322" s="11"/>
      <c r="V322" s="8"/>
      <c r="W322" s="12" t="str">
        <f t="shared" si="1"/>
        <v/>
      </c>
      <c r="X322" s="12">
        <f t="shared" si="4"/>
        <v>5.913641874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24"/>
      <c r="R323" s="16"/>
      <c r="S323" s="16"/>
      <c r="T323" s="17"/>
      <c r="U323" s="18"/>
      <c r="V323" s="15"/>
      <c r="W323" s="19" t="str">
        <f t="shared" si="1"/>
        <v/>
      </c>
      <c r="X323" s="19">
        <f t="shared" si="4"/>
        <v>5.913641874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9"/>
      <c r="S324" s="9"/>
      <c r="T324" s="10"/>
      <c r="U324" s="11"/>
      <c r="V324" s="8"/>
      <c r="W324" s="12" t="str">
        <f t="shared" si="1"/>
        <v/>
      </c>
      <c r="X324" s="12">
        <f t="shared" si="4"/>
        <v>5.913641874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6"/>
      <c r="R325" s="16"/>
      <c r="S325" s="16"/>
      <c r="T325" s="17"/>
      <c r="U325" s="18"/>
      <c r="V325" s="15"/>
      <c r="W325" s="19" t="str">
        <f t="shared" si="1"/>
        <v/>
      </c>
      <c r="X325" s="19">
        <f t="shared" si="4"/>
        <v>5.913641874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9"/>
      <c r="R326" s="9"/>
      <c r="S326" s="9"/>
      <c r="T326" s="10"/>
      <c r="U326" s="8"/>
      <c r="V326" s="8"/>
      <c r="W326" s="12" t="str">
        <f t="shared" si="1"/>
        <v/>
      </c>
      <c r="X326" s="12">
        <f t="shared" si="4"/>
        <v>5.913641874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6"/>
      <c r="R327" s="16"/>
      <c r="S327" s="16"/>
      <c r="T327" s="17"/>
      <c r="U327" s="15"/>
      <c r="V327" s="15"/>
      <c r="W327" s="19" t="str">
        <f t="shared" si="1"/>
        <v/>
      </c>
      <c r="X327" s="19">
        <f t="shared" si="4"/>
        <v>5.913641874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9"/>
      <c r="R328" s="9"/>
      <c r="S328" s="9"/>
      <c r="T328" s="10"/>
      <c r="U328" s="8"/>
      <c r="V328" s="8"/>
      <c r="W328" s="12" t="str">
        <f t="shared" si="1"/>
        <v/>
      </c>
      <c r="X328" s="12">
        <f t="shared" si="4"/>
        <v>5.913641874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6"/>
      <c r="R329" s="16"/>
      <c r="S329" s="16"/>
      <c r="T329" s="17"/>
      <c r="U329" s="18"/>
      <c r="V329" s="15"/>
      <c r="W329" s="19" t="str">
        <f t="shared" si="1"/>
        <v/>
      </c>
      <c r="X329" s="19">
        <f t="shared" si="4"/>
        <v>5.913641874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9"/>
      <c r="R330" s="9"/>
      <c r="S330" s="9"/>
      <c r="T330" s="10"/>
      <c r="U330" s="11"/>
      <c r="V330" s="8"/>
      <c r="W330" s="12" t="str">
        <f t="shared" si="1"/>
        <v/>
      </c>
      <c r="X330" s="12">
        <f t="shared" si="4"/>
        <v>5.913641874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6"/>
      <c r="R331" s="16"/>
      <c r="S331" s="16"/>
      <c r="T331" s="17"/>
      <c r="U331" s="18"/>
      <c r="V331" s="15"/>
      <c r="W331" s="19" t="str">
        <f t="shared" si="1"/>
        <v/>
      </c>
      <c r="X331" s="19">
        <f t="shared" si="4"/>
        <v>5.913641874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9"/>
      <c r="R332" s="9"/>
      <c r="S332" s="9"/>
      <c r="T332" s="10"/>
      <c r="U332" s="11"/>
      <c r="V332" s="8"/>
      <c r="W332" s="12" t="str">
        <f t="shared" si="1"/>
        <v/>
      </c>
      <c r="X332" s="12">
        <f t="shared" si="4"/>
        <v>5.913641874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6"/>
      <c r="R333" s="16"/>
      <c r="S333" s="16"/>
      <c r="T333" s="17"/>
      <c r="U333" s="18"/>
      <c r="V333" s="15"/>
      <c r="W333" s="19" t="str">
        <f t="shared" si="1"/>
        <v/>
      </c>
      <c r="X333" s="19">
        <f t="shared" si="4"/>
        <v>5.913641874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9"/>
      <c r="S334" s="9"/>
      <c r="T334" s="10"/>
      <c r="U334" s="11"/>
      <c r="V334" s="8"/>
      <c r="W334" s="12" t="str">
        <f t="shared" si="1"/>
        <v/>
      </c>
      <c r="X334" s="12">
        <f t="shared" si="4"/>
        <v>5.913641874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6"/>
      <c r="R335" s="16"/>
      <c r="S335" s="16"/>
      <c r="T335" s="17"/>
      <c r="U335" s="18"/>
      <c r="V335" s="15"/>
      <c r="W335" s="19" t="str">
        <f t="shared" si="1"/>
        <v/>
      </c>
      <c r="X335" s="19">
        <f t="shared" si="4"/>
        <v>5.913641874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9"/>
      <c r="R336" s="9"/>
      <c r="S336" s="9"/>
      <c r="T336" s="10"/>
      <c r="U336" s="11"/>
      <c r="V336" s="8"/>
      <c r="W336" s="12" t="str">
        <f t="shared" si="1"/>
        <v/>
      </c>
      <c r="X336" s="12">
        <f t="shared" si="4"/>
        <v>5.913641874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6"/>
      <c r="R337" s="16"/>
      <c r="S337" s="16"/>
      <c r="T337" s="17"/>
      <c r="U337" s="18"/>
      <c r="V337" s="15"/>
      <c r="W337" s="19" t="str">
        <f t="shared" si="1"/>
        <v/>
      </c>
      <c r="X337" s="19">
        <f t="shared" si="4"/>
        <v>5.913641874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9"/>
      <c r="R338" s="9"/>
      <c r="S338" s="9"/>
      <c r="T338" s="10"/>
      <c r="U338" s="11"/>
      <c r="V338" s="8"/>
      <c r="W338" s="12" t="str">
        <f t="shared" si="1"/>
        <v/>
      </c>
      <c r="X338" s="12">
        <f t="shared" si="4"/>
        <v>5.913641874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6"/>
      <c r="R339" s="16"/>
      <c r="S339" s="16"/>
      <c r="T339" s="17"/>
      <c r="U339" s="18"/>
      <c r="V339" s="15"/>
      <c r="W339" s="19" t="str">
        <f t="shared" si="1"/>
        <v/>
      </c>
      <c r="X339" s="19">
        <f t="shared" si="4"/>
        <v>5.913641874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9"/>
      <c r="R340" s="9"/>
      <c r="S340" s="9"/>
      <c r="T340" s="10"/>
      <c r="U340" s="11"/>
      <c r="V340" s="8"/>
      <c r="W340" s="12" t="str">
        <f t="shared" si="1"/>
        <v/>
      </c>
      <c r="X340" s="12">
        <f t="shared" si="4"/>
        <v>5.913641874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6"/>
      <c r="R341" s="16"/>
      <c r="S341" s="16"/>
      <c r="T341" s="17"/>
      <c r="U341" s="18"/>
      <c r="V341" s="15"/>
      <c r="W341" s="19" t="str">
        <f t="shared" si="1"/>
        <v/>
      </c>
      <c r="X341" s="19">
        <f t="shared" si="4"/>
        <v>5.913641874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9"/>
      <c r="S342" s="9"/>
      <c r="T342" s="10"/>
      <c r="U342" s="11"/>
      <c r="V342" s="8"/>
      <c r="W342" s="12" t="str">
        <f t="shared" si="1"/>
        <v/>
      </c>
      <c r="X342" s="12">
        <f t="shared" si="4"/>
        <v>5.913641874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24"/>
      <c r="R343" s="16"/>
      <c r="S343" s="16"/>
      <c r="T343" s="17"/>
      <c r="U343" s="18"/>
      <c r="V343" s="15"/>
      <c r="W343" s="19" t="str">
        <f t="shared" si="1"/>
        <v/>
      </c>
      <c r="X343" s="19">
        <f t="shared" si="4"/>
        <v>5.913641874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123"/>
      <c r="R344" s="9"/>
      <c r="S344" s="9"/>
      <c r="T344" s="10"/>
      <c r="U344" s="11"/>
      <c r="V344" s="8"/>
      <c r="W344" s="12" t="str">
        <f t="shared" si="1"/>
        <v/>
      </c>
      <c r="X344" s="12">
        <f t="shared" si="4"/>
        <v>5.913641874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24"/>
      <c r="R345" s="16"/>
      <c r="S345" s="16"/>
      <c r="T345" s="17"/>
      <c r="U345" s="18"/>
      <c r="V345" s="15"/>
      <c r="W345" s="19" t="str">
        <f t="shared" si="1"/>
        <v/>
      </c>
      <c r="X345" s="19">
        <f t="shared" si="4"/>
        <v>5.913641874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123"/>
      <c r="R346" s="9"/>
      <c r="S346" s="9"/>
      <c r="T346" s="10"/>
      <c r="U346" s="11"/>
      <c r="V346" s="8"/>
      <c r="W346" s="12" t="str">
        <f t="shared" si="1"/>
        <v/>
      </c>
      <c r="X346" s="12">
        <f t="shared" si="4"/>
        <v>5.913641874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24"/>
      <c r="R347" s="16"/>
      <c r="S347" s="16"/>
      <c r="T347" s="17"/>
      <c r="U347" s="18"/>
      <c r="V347" s="15"/>
      <c r="W347" s="19" t="str">
        <f t="shared" si="1"/>
        <v/>
      </c>
      <c r="X347" s="19">
        <f t="shared" si="4"/>
        <v>5.913641874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123"/>
      <c r="R348" s="9"/>
      <c r="S348" s="9"/>
      <c r="T348" s="10"/>
      <c r="U348" s="11"/>
      <c r="V348" s="8"/>
      <c r="W348" s="12" t="str">
        <f t="shared" si="1"/>
        <v/>
      </c>
      <c r="X348" s="12">
        <f t="shared" si="4"/>
        <v>5.913641874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24"/>
      <c r="R349" s="16"/>
      <c r="S349" s="16"/>
      <c r="T349" s="17"/>
      <c r="U349" s="18"/>
      <c r="V349" s="15"/>
      <c r="W349" s="19" t="str">
        <f t="shared" si="1"/>
        <v/>
      </c>
      <c r="X349" s="19">
        <f t="shared" si="4"/>
        <v>5.913641874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123"/>
      <c r="R350" s="9"/>
      <c r="S350" s="9"/>
      <c r="T350" s="10"/>
      <c r="U350" s="11"/>
      <c r="V350" s="8"/>
      <c r="W350" s="12" t="str">
        <f t="shared" si="1"/>
        <v/>
      </c>
      <c r="X350" s="12">
        <f t="shared" si="4"/>
        <v>5.913641874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24"/>
      <c r="R351" s="16"/>
      <c r="S351" s="16"/>
      <c r="T351" s="17"/>
      <c r="U351" s="18"/>
      <c r="V351" s="15"/>
      <c r="W351" s="19" t="str">
        <f t="shared" si="1"/>
        <v/>
      </c>
      <c r="X351" s="19">
        <f t="shared" si="4"/>
        <v>5.913641874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123"/>
      <c r="R352" s="9"/>
      <c r="S352" s="9"/>
      <c r="T352" s="10"/>
      <c r="U352" s="11"/>
      <c r="V352" s="8"/>
      <c r="W352" s="12" t="str">
        <f t="shared" si="1"/>
        <v/>
      </c>
      <c r="X352" s="12">
        <f t="shared" si="4"/>
        <v>5.913641874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24"/>
      <c r="R353" s="16"/>
      <c r="S353" s="16"/>
      <c r="T353" s="17"/>
      <c r="U353" s="18"/>
      <c r="V353" s="15"/>
      <c r="W353" s="19" t="str">
        <f t="shared" si="1"/>
        <v/>
      </c>
      <c r="X353" s="19">
        <f t="shared" si="4"/>
        <v>5.913641874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123"/>
      <c r="R354" s="9"/>
      <c r="S354" s="9"/>
      <c r="T354" s="10"/>
      <c r="U354" s="11"/>
      <c r="V354" s="8"/>
      <c r="W354" s="12" t="str">
        <f t="shared" si="1"/>
        <v/>
      </c>
      <c r="X354" s="12">
        <f t="shared" si="4"/>
        <v>5.913641874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24"/>
      <c r="R355" s="16"/>
      <c r="S355" s="16"/>
      <c r="T355" s="17"/>
      <c r="U355" s="18"/>
      <c r="V355" s="15"/>
      <c r="W355" s="19" t="str">
        <f t="shared" si="1"/>
        <v/>
      </c>
      <c r="X355" s="19">
        <f t="shared" si="4"/>
        <v>5.913641874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123"/>
      <c r="R356" s="9"/>
      <c r="S356" s="9"/>
      <c r="T356" s="10"/>
      <c r="U356" s="11"/>
      <c r="V356" s="8"/>
      <c r="W356" s="12" t="str">
        <f t="shared" si="1"/>
        <v/>
      </c>
      <c r="X356" s="12">
        <f t="shared" si="4"/>
        <v>5.913641874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24"/>
      <c r="R357" s="16"/>
      <c r="S357" s="16"/>
      <c r="T357" s="17"/>
      <c r="U357" s="18"/>
      <c r="V357" s="15"/>
      <c r="W357" s="19" t="str">
        <f t="shared" si="1"/>
        <v/>
      </c>
      <c r="X357" s="19">
        <f t="shared" si="4"/>
        <v>5.913641874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123"/>
      <c r="R358" s="9"/>
      <c r="S358" s="9"/>
      <c r="T358" s="10"/>
      <c r="U358" s="11"/>
      <c r="V358" s="8"/>
      <c r="W358" s="12" t="str">
        <f t="shared" si="1"/>
        <v/>
      </c>
      <c r="X358" s="12">
        <f t="shared" si="4"/>
        <v>5.913641874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24"/>
      <c r="R359" s="16"/>
      <c r="S359" s="16"/>
      <c r="T359" s="17"/>
      <c r="U359" s="18"/>
      <c r="V359" s="15"/>
      <c r="W359" s="19" t="str">
        <f t="shared" si="1"/>
        <v/>
      </c>
      <c r="X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123"/>
      <c r="R360" s="9"/>
      <c r="S360" s="9"/>
      <c r="T360" s="10"/>
      <c r="U360" s="11"/>
      <c r="V360" s="8"/>
      <c r="W360" s="12" t="str">
        <f t="shared" si="1"/>
        <v/>
      </c>
      <c r="X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24"/>
      <c r="R361" s="16"/>
      <c r="S361" s="16"/>
      <c r="T361" s="17"/>
      <c r="U361" s="18"/>
      <c r="V361" s="15"/>
      <c r="W361" s="19" t="str">
        <f t="shared" si="1"/>
        <v/>
      </c>
      <c r="X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123"/>
      <c r="R362" s="9"/>
      <c r="S362" s="9"/>
      <c r="T362" s="10"/>
      <c r="U362" s="11"/>
      <c r="V362" s="8"/>
      <c r="W362" s="12" t="str">
        <f t="shared" si="1"/>
        <v/>
      </c>
      <c r="X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24"/>
      <c r="R363" s="16"/>
      <c r="S363" s="16"/>
      <c r="T363" s="17"/>
      <c r="U363" s="18"/>
      <c r="V363" s="15"/>
      <c r="W363" s="19" t="str">
        <f t="shared" si="1"/>
        <v/>
      </c>
      <c r="X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123"/>
      <c r="R364" s="9"/>
      <c r="S364" s="9"/>
      <c r="T364" s="10"/>
      <c r="U364" s="11"/>
      <c r="V364" s="8"/>
      <c r="W364" s="12" t="str">
        <f t="shared" si="1"/>
        <v/>
      </c>
      <c r="X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24"/>
      <c r="R365" s="16"/>
      <c r="S365" s="16"/>
      <c r="T365" s="17"/>
      <c r="U365" s="18"/>
      <c r="V365" s="15"/>
      <c r="W365" s="19" t="str">
        <f t="shared" si="1"/>
        <v/>
      </c>
      <c r="X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123"/>
      <c r="R366" s="9"/>
      <c r="S366" s="9"/>
      <c r="T366" s="10"/>
      <c r="U366" s="11"/>
      <c r="V366" s="8"/>
      <c r="W366" s="12" t="str">
        <f t="shared" si="1"/>
        <v/>
      </c>
      <c r="X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24"/>
      <c r="R367" s="16"/>
      <c r="S367" s="16"/>
      <c r="T367" s="17"/>
      <c r="U367" s="18"/>
      <c r="V367" s="15"/>
      <c r="W367" s="19" t="str">
        <f t="shared" si="1"/>
        <v/>
      </c>
      <c r="X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123"/>
      <c r="R368" s="9"/>
      <c r="S368" s="9"/>
      <c r="T368" s="10"/>
      <c r="U368" s="11"/>
      <c r="V368" s="8"/>
      <c r="W368" s="12" t="str">
        <f t="shared" si="1"/>
        <v/>
      </c>
      <c r="X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24"/>
      <c r="R369" s="16"/>
      <c r="S369" s="16"/>
      <c r="T369" s="17"/>
      <c r="U369" s="18"/>
      <c r="V369" s="15"/>
      <c r="W369" s="19" t="str">
        <f t="shared" si="1"/>
        <v/>
      </c>
      <c r="X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123"/>
      <c r="R370" s="9"/>
      <c r="S370" s="9"/>
      <c r="T370" s="10"/>
      <c r="U370" s="8"/>
      <c r="V370" s="8"/>
      <c r="W370" s="12" t="str">
        <f t="shared" si="1"/>
        <v/>
      </c>
      <c r="X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24"/>
      <c r="R371" s="16"/>
      <c r="S371" s="16"/>
      <c r="T371" s="17"/>
      <c r="U371" s="15"/>
      <c r="V371" s="15"/>
      <c r="W371" s="19" t="str">
        <f t="shared" si="1"/>
        <v/>
      </c>
      <c r="X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123"/>
      <c r="R372" s="9"/>
      <c r="S372" s="9"/>
      <c r="T372" s="10"/>
      <c r="U372" s="8"/>
      <c r="V372" s="8"/>
      <c r="W372" s="12" t="str">
        <f t="shared" si="1"/>
        <v/>
      </c>
      <c r="X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24"/>
      <c r="R373" s="16"/>
      <c r="S373" s="16"/>
      <c r="T373" s="17"/>
      <c r="U373" s="15"/>
      <c r="V373" s="15"/>
      <c r="W373" s="19" t="str">
        <f t="shared" si="1"/>
        <v/>
      </c>
      <c r="X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123"/>
      <c r="R374" s="9"/>
      <c r="S374" s="9"/>
      <c r="T374" s="10"/>
      <c r="U374" s="8"/>
      <c r="V374" s="8"/>
      <c r="W374" s="12" t="str">
        <f t="shared" si="1"/>
        <v/>
      </c>
      <c r="X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24"/>
      <c r="R375" s="16"/>
      <c r="S375" s="16"/>
      <c r="T375" s="17"/>
      <c r="U375" s="15"/>
      <c r="V375" s="15"/>
      <c r="W375" s="19" t="str">
        <f t="shared" si="1"/>
        <v/>
      </c>
      <c r="X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123"/>
      <c r="R376" s="9"/>
      <c r="S376" s="9"/>
      <c r="T376" s="10"/>
      <c r="U376" s="8"/>
      <c r="V376" s="8"/>
      <c r="W376" s="12" t="str">
        <f t="shared" si="1"/>
        <v/>
      </c>
      <c r="X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24"/>
      <c r="R377" s="16"/>
      <c r="S377" s="16"/>
      <c r="T377" s="17"/>
      <c r="U377" s="15"/>
      <c r="V377" s="15"/>
      <c r="W377" s="19" t="str">
        <f t="shared" si="1"/>
        <v/>
      </c>
      <c r="X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123"/>
      <c r="R378" s="9"/>
      <c r="S378" s="9"/>
      <c r="T378" s="10"/>
      <c r="U378" s="8"/>
      <c r="V378" s="8"/>
      <c r="W378" s="12" t="str">
        <f t="shared" si="1"/>
        <v/>
      </c>
      <c r="X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24"/>
      <c r="R379" s="16"/>
      <c r="S379" s="16"/>
      <c r="T379" s="17"/>
      <c r="U379" s="15"/>
      <c r="V379" s="15"/>
      <c r="W379" s="19" t="str">
        <f t="shared" si="1"/>
        <v/>
      </c>
      <c r="X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123"/>
      <c r="R380" s="9"/>
      <c r="S380" s="9"/>
      <c r="T380" s="10"/>
      <c r="U380" s="8"/>
      <c r="V380" s="8"/>
      <c r="W380" s="12" t="str">
        <f t="shared" si="1"/>
        <v/>
      </c>
      <c r="X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24"/>
      <c r="R381" s="16"/>
      <c r="S381" s="16"/>
      <c r="T381" s="17"/>
      <c r="U381" s="15"/>
      <c r="V381" s="15"/>
      <c r="W381" s="19" t="str">
        <f t="shared" si="1"/>
        <v/>
      </c>
      <c r="X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123"/>
      <c r="R382" s="9"/>
      <c r="S382" s="9"/>
      <c r="T382" s="10"/>
      <c r="U382" s="8"/>
      <c r="V382" s="8"/>
      <c r="W382" s="12" t="str">
        <f t="shared" si="1"/>
        <v/>
      </c>
      <c r="X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24"/>
      <c r="R383" s="16"/>
      <c r="S383" s="16"/>
      <c r="T383" s="17"/>
      <c r="U383" s="15"/>
      <c r="V383" s="15"/>
      <c r="W383" s="19" t="str">
        <f t="shared" si="1"/>
        <v/>
      </c>
      <c r="X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123"/>
      <c r="R384" s="9"/>
      <c r="S384" s="9"/>
      <c r="T384" s="10"/>
      <c r="U384" s="8"/>
      <c r="V384" s="8"/>
      <c r="W384" s="12" t="str">
        <f t="shared" si="1"/>
        <v/>
      </c>
      <c r="X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24"/>
      <c r="R385" s="16"/>
      <c r="S385" s="16"/>
      <c r="T385" s="17"/>
      <c r="U385" s="15"/>
      <c r="V385" s="15"/>
      <c r="W385" s="19" t="str">
        <f t="shared" si="1"/>
        <v/>
      </c>
      <c r="X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123"/>
      <c r="R386" s="9"/>
      <c r="S386" s="9"/>
      <c r="T386" s="10"/>
      <c r="U386" s="8"/>
      <c r="V386" s="8"/>
      <c r="W386" s="12" t="str">
        <f t="shared" si="1"/>
        <v/>
      </c>
      <c r="X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24"/>
      <c r="R387" s="16"/>
      <c r="S387" s="16"/>
      <c r="T387" s="17"/>
      <c r="U387" s="15"/>
      <c r="V387" s="15"/>
      <c r="W387" s="19" t="str">
        <f t="shared" si="1"/>
        <v/>
      </c>
      <c r="X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123"/>
      <c r="R388" s="9"/>
      <c r="S388" s="9"/>
      <c r="T388" s="10"/>
      <c r="U388" s="8"/>
      <c r="V388" s="8"/>
      <c r="W388" s="12" t="str">
        <f t="shared" si="1"/>
        <v/>
      </c>
      <c r="X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24"/>
      <c r="R389" s="16"/>
      <c r="S389" s="16"/>
      <c r="T389" s="17"/>
      <c r="U389" s="15"/>
      <c r="V389" s="15"/>
      <c r="W389" s="19" t="str">
        <f t="shared" si="1"/>
        <v/>
      </c>
      <c r="X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123"/>
      <c r="R390" s="9"/>
      <c r="S390" s="9"/>
      <c r="T390" s="10"/>
      <c r="U390" s="8"/>
      <c r="V390" s="8"/>
      <c r="W390" s="12" t="str">
        <f t="shared" si="1"/>
        <v/>
      </c>
      <c r="X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24"/>
      <c r="R391" s="16"/>
      <c r="S391" s="16"/>
      <c r="T391" s="17"/>
      <c r="U391" s="15"/>
      <c r="V391" s="15"/>
      <c r="W391" s="19" t="str">
        <f t="shared" si="1"/>
        <v/>
      </c>
      <c r="X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123"/>
      <c r="R392" s="9"/>
      <c r="S392" s="9"/>
      <c r="T392" s="10"/>
      <c r="U392" s="8"/>
      <c r="V392" s="8"/>
      <c r="W392" s="12" t="str">
        <f t="shared" si="1"/>
        <v/>
      </c>
      <c r="X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24"/>
      <c r="R393" s="16"/>
      <c r="S393" s="16"/>
      <c r="T393" s="17"/>
      <c r="U393" s="15"/>
      <c r="V393" s="15"/>
      <c r="W393" s="19" t="str">
        <f t="shared" si="1"/>
        <v/>
      </c>
      <c r="X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123"/>
      <c r="R394" s="9"/>
      <c r="S394" s="9"/>
      <c r="T394" s="10"/>
      <c r="U394" s="8"/>
      <c r="V394" s="8"/>
      <c r="W394" s="12" t="str">
        <f t="shared" si="1"/>
        <v/>
      </c>
      <c r="X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24"/>
      <c r="R395" s="16"/>
      <c r="S395" s="16"/>
      <c r="T395" s="17"/>
      <c r="U395" s="15"/>
      <c r="V395" s="15"/>
      <c r="W395" s="124"/>
      <c r="X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123"/>
      <c r="R396" s="9"/>
      <c r="S396" s="9"/>
      <c r="T396" s="10"/>
      <c r="U396" s="8"/>
      <c r="V396" s="8"/>
      <c r="W396" s="123"/>
      <c r="X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24"/>
      <c r="R397" s="16"/>
      <c r="S397" s="16"/>
      <c r="T397" s="17"/>
      <c r="U397" s="15"/>
      <c r="V397" s="15"/>
      <c r="W397" s="124"/>
      <c r="X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123"/>
      <c r="R398" s="9"/>
      <c r="S398" s="9"/>
      <c r="T398" s="10"/>
      <c r="U398" s="8"/>
      <c r="V398" s="8"/>
      <c r="W398" s="123"/>
      <c r="X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24"/>
      <c r="R399" s="16"/>
      <c r="S399" s="16"/>
      <c r="T399" s="17"/>
      <c r="U399" s="15"/>
      <c r="V399" s="15"/>
      <c r="W399" s="124"/>
      <c r="X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123"/>
      <c r="R400" s="9"/>
      <c r="S400" s="9"/>
      <c r="T400" s="10"/>
      <c r="U400" s="8"/>
      <c r="V400" s="8"/>
      <c r="W400" s="123"/>
      <c r="X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24"/>
      <c r="R401" s="16"/>
      <c r="S401" s="16"/>
      <c r="T401" s="17"/>
      <c r="U401" s="15"/>
      <c r="V401" s="15"/>
      <c r="W401" s="124"/>
      <c r="X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123"/>
      <c r="R402" s="9"/>
      <c r="S402" s="9"/>
      <c r="T402" s="10"/>
      <c r="U402" s="8"/>
      <c r="V402" s="8"/>
      <c r="W402" s="123"/>
      <c r="X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24"/>
      <c r="R403" s="16"/>
      <c r="S403" s="16"/>
      <c r="T403" s="17"/>
      <c r="U403" s="15"/>
      <c r="V403" s="15"/>
      <c r="W403" s="124"/>
      <c r="X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123"/>
      <c r="R404" s="9"/>
      <c r="S404" s="9"/>
      <c r="T404" s="10"/>
      <c r="U404" s="8"/>
      <c r="V404" s="8"/>
      <c r="W404" s="123"/>
      <c r="X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24"/>
      <c r="R405" s="16"/>
      <c r="S405" s="16"/>
      <c r="T405" s="17"/>
      <c r="U405" s="15"/>
      <c r="V405" s="15"/>
      <c r="W405" s="124"/>
      <c r="X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123"/>
      <c r="R406" s="9"/>
      <c r="S406" s="9"/>
      <c r="T406" s="10"/>
      <c r="U406" s="8"/>
      <c r="V406" s="8"/>
      <c r="W406" s="123"/>
      <c r="X406" s="123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6"/>
      <c r="R407" s="127"/>
      <c r="S407" s="127"/>
      <c r="T407" s="128"/>
      <c r="U407" s="125"/>
      <c r="V407" s="125"/>
      <c r="W407" s="126"/>
      <c r="X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30"/>
      <c r="R408" s="131"/>
      <c r="S408" s="131"/>
      <c r="T408" s="132"/>
      <c r="U408" s="129"/>
      <c r="V408" s="129"/>
      <c r="W408" s="130"/>
      <c r="X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6"/>
      <c r="R409" s="127"/>
      <c r="S409" s="127"/>
      <c r="T409" s="128"/>
      <c r="U409" s="125"/>
      <c r="V409" s="125"/>
      <c r="W409" s="126"/>
      <c r="X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30"/>
      <c r="R410" s="131"/>
      <c r="S410" s="131"/>
      <c r="T410" s="132"/>
      <c r="U410" s="129"/>
      <c r="V410" s="129"/>
      <c r="W410" s="130"/>
      <c r="X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6"/>
      <c r="R411" s="127"/>
      <c r="S411" s="127"/>
      <c r="T411" s="128"/>
      <c r="U411" s="125"/>
      <c r="V411" s="125"/>
      <c r="W411" s="126"/>
      <c r="X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30"/>
      <c r="R412" s="131"/>
      <c r="S412" s="131"/>
      <c r="T412" s="132"/>
      <c r="U412" s="129"/>
      <c r="V412" s="129"/>
      <c r="W412" s="130"/>
      <c r="X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6"/>
      <c r="R413" s="127"/>
      <c r="S413" s="127"/>
      <c r="T413" s="128"/>
      <c r="U413" s="125"/>
      <c r="V413" s="125"/>
      <c r="W413" s="126"/>
      <c r="X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30"/>
      <c r="R414" s="131"/>
      <c r="S414" s="131"/>
      <c r="T414" s="132"/>
      <c r="U414" s="129"/>
      <c r="V414" s="129"/>
      <c r="W414" s="130"/>
      <c r="X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6"/>
      <c r="R415" s="127"/>
      <c r="S415" s="127"/>
      <c r="T415" s="128"/>
      <c r="U415" s="125"/>
      <c r="V415" s="125"/>
      <c r="W415" s="126"/>
      <c r="X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30"/>
      <c r="R416" s="131"/>
      <c r="S416" s="131"/>
      <c r="T416" s="132"/>
      <c r="U416" s="129"/>
      <c r="V416" s="129"/>
      <c r="W416" s="130"/>
      <c r="X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6"/>
      <c r="R417" s="127"/>
      <c r="S417" s="127"/>
      <c r="T417" s="128"/>
      <c r="U417" s="125"/>
      <c r="V417" s="125"/>
      <c r="W417" s="126"/>
      <c r="X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30"/>
      <c r="R418" s="131"/>
      <c r="S418" s="131"/>
      <c r="T418" s="132"/>
      <c r="U418" s="129"/>
      <c r="V418" s="129"/>
      <c r="W418" s="130"/>
      <c r="X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6"/>
      <c r="R419" s="127"/>
      <c r="S419" s="127"/>
      <c r="T419" s="128"/>
      <c r="U419" s="125"/>
      <c r="V419" s="125"/>
      <c r="W419" s="126"/>
      <c r="X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30"/>
      <c r="R420" s="131"/>
      <c r="S420" s="131"/>
      <c r="T420" s="132"/>
      <c r="U420" s="129"/>
      <c r="V420" s="129"/>
      <c r="W420" s="130"/>
      <c r="X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6"/>
      <c r="R421" s="127"/>
      <c r="S421" s="127"/>
      <c r="T421" s="128"/>
      <c r="U421" s="125"/>
      <c r="V421" s="125"/>
      <c r="W421" s="126"/>
      <c r="X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30"/>
      <c r="R422" s="131"/>
      <c r="S422" s="131"/>
      <c r="T422" s="132"/>
      <c r="U422" s="129"/>
      <c r="V422" s="129"/>
      <c r="W422" s="130"/>
      <c r="X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6"/>
      <c r="R423" s="127"/>
      <c r="S423" s="127"/>
      <c r="T423" s="128"/>
      <c r="U423" s="125"/>
      <c r="V423" s="125"/>
      <c r="W423" s="126"/>
      <c r="X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30"/>
      <c r="R424" s="131"/>
      <c r="S424" s="131"/>
      <c r="T424" s="132"/>
      <c r="U424" s="129"/>
      <c r="V424" s="129"/>
      <c r="W424" s="130"/>
      <c r="X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6"/>
      <c r="R425" s="127"/>
      <c r="S425" s="127"/>
      <c r="T425" s="128"/>
      <c r="U425" s="125"/>
      <c r="V425" s="125"/>
      <c r="W425" s="126"/>
      <c r="X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30"/>
      <c r="R426" s="131"/>
      <c r="S426" s="131"/>
      <c r="T426" s="132"/>
      <c r="U426" s="129"/>
      <c r="V426" s="129"/>
      <c r="W426" s="130"/>
      <c r="X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6"/>
      <c r="R427" s="127"/>
      <c r="S427" s="127"/>
      <c r="T427" s="128"/>
      <c r="U427" s="125"/>
      <c r="V427" s="125"/>
      <c r="W427" s="126"/>
      <c r="X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30"/>
      <c r="R428" s="131"/>
      <c r="S428" s="131"/>
      <c r="T428" s="132"/>
      <c r="U428" s="129"/>
      <c r="V428" s="129"/>
      <c r="W428" s="130"/>
      <c r="X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6"/>
      <c r="R429" s="127"/>
      <c r="S429" s="127"/>
      <c r="T429" s="128"/>
      <c r="U429" s="125"/>
      <c r="V429" s="125"/>
      <c r="W429" s="126"/>
      <c r="X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30"/>
      <c r="R430" s="131"/>
      <c r="S430" s="131"/>
      <c r="T430" s="132"/>
      <c r="U430" s="129"/>
      <c r="V430" s="129"/>
      <c r="W430" s="130"/>
      <c r="X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6"/>
      <c r="R431" s="127"/>
      <c r="S431" s="127"/>
      <c r="T431" s="128"/>
      <c r="U431" s="125"/>
      <c r="V431" s="125"/>
      <c r="W431" s="126"/>
      <c r="X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30"/>
      <c r="R432" s="131"/>
      <c r="S432" s="131"/>
      <c r="T432" s="132"/>
      <c r="U432" s="129"/>
      <c r="V432" s="129"/>
      <c r="W432" s="130"/>
      <c r="X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6"/>
      <c r="R433" s="127"/>
      <c r="S433" s="127"/>
      <c r="T433" s="128"/>
      <c r="U433" s="125"/>
      <c r="V433" s="125"/>
      <c r="W433" s="126"/>
      <c r="X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30"/>
      <c r="R434" s="131"/>
      <c r="S434" s="131"/>
      <c r="T434" s="132"/>
      <c r="U434" s="129"/>
      <c r="V434" s="129"/>
      <c r="W434" s="130"/>
      <c r="X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6"/>
      <c r="R435" s="127"/>
      <c r="S435" s="127"/>
      <c r="T435" s="128"/>
      <c r="U435" s="125"/>
      <c r="V435" s="125"/>
      <c r="W435" s="126"/>
      <c r="X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30"/>
      <c r="R436" s="131"/>
      <c r="S436" s="131"/>
      <c r="T436" s="132"/>
      <c r="U436" s="129"/>
      <c r="V436" s="129"/>
      <c r="W436" s="130"/>
      <c r="X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6"/>
      <c r="R437" s="127"/>
      <c r="S437" s="127"/>
      <c r="T437" s="128"/>
      <c r="U437" s="125"/>
      <c r="V437" s="125"/>
      <c r="W437" s="126"/>
      <c r="X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30"/>
      <c r="R438" s="131"/>
      <c r="S438" s="131"/>
      <c r="T438" s="132"/>
      <c r="U438" s="129"/>
      <c r="V438" s="129"/>
      <c r="W438" s="130"/>
      <c r="X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6"/>
      <c r="R439" s="127"/>
      <c r="S439" s="127"/>
      <c r="T439" s="128"/>
      <c r="U439" s="125"/>
      <c r="V439" s="125"/>
      <c r="W439" s="126"/>
      <c r="X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30"/>
      <c r="R440" s="131"/>
      <c r="S440" s="131"/>
      <c r="T440" s="132"/>
      <c r="U440" s="129"/>
      <c r="V440" s="129"/>
      <c r="W440" s="130"/>
      <c r="X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6"/>
      <c r="R441" s="127"/>
      <c r="S441" s="127"/>
      <c r="T441" s="128"/>
      <c r="U441" s="125"/>
      <c r="V441" s="125"/>
      <c r="W441" s="126"/>
      <c r="X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30"/>
      <c r="R442" s="131"/>
      <c r="S442" s="131"/>
      <c r="T442" s="132"/>
      <c r="U442" s="129"/>
      <c r="V442" s="129"/>
      <c r="W442" s="130"/>
      <c r="X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6"/>
      <c r="R443" s="127"/>
      <c r="S443" s="127"/>
      <c r="T443" s="128"/>
      <c r="U443" s="125"/>
      <c r="V443" s="125"/>
      <c r="W443" s="126"/>
      <c r="X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30"/>
      <c r="R444" s="131"/>
      <c r="S444" s="131"/>
      <c r="T444" s="132"/>
      <c r="U444" s="129"/>
      <c r="V444" s="129"/>
      <c r="W444" s="130"/>
      <c r="X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6"/>
      <c r="R445" s="127"/>
      <c r="S445" s="127"/>
      <c r="T445" s="128"/>
      <c r="U445" s="125"/>
      <c r="V445" s="125"/>
      <c r="W445" s="126"/>
      <c r="X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30"/>
      <c r="R446" s="131"/>
      <c r="S446" s="131"/>
      <c r="T446" s="132"/>
      <c r="U446" s="129"/>
      <c r="V446" s="129"/>
      <c r="W446" s="130"/>
      <c r="X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6"/>
      <c r="R447" s="127"/>
      <c r="S447" s="127"/>
      <c r="T447" s="128"/>
      <c r="U447" s="125"/>
      <c r="V447" s="125"/>
      <c r="W447" s="126"/>
      <c r="X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30"/>
      <c r="R448" s="131"/>
      <c r="S448" s="131"/>
      <c r="T448" s="132"/>
      <c r="U448" s="129"/>
      <c r="V448" s="129"/>
      <c r="W448" s="130"/>
      <c r="X448" s="130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126"/>
      <c r="X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130"/>
      <c r="X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126"/>
      <c r="X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130"/>
      <c r="X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126"/>
      <c r="X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130"/>
      <c r="X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126"/>
      <c r="X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130"/>
      <c r="X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126"/>
      <c r="X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</row>
  </sheetData>
  <autoFilter ref="$A$1:$W$406"/>
  <customSheetViews>
    <customSheetView guid="{F477B962-7F95-4B58-B796-7F91B20D0221}" filter="1" showAutoFilter="1">
      <autoFilter ref="$A$1:$AB$406">
        <filterColumn colId="14">
          <filters>
            <filter val="AH-"/>
            <filter val="AH +"/>
            <filter val="Cantos+"/>
            <filter val="Under"/>
            <filter val="NG"/>
            <filter val="ML"/>
          </filters>
        </filterColumn>
      </autoFilter>
    </customSheetView>
    <customSheetView guid="{B1E9CC24-145D-4007-8A11-90FD9E435072}" filter="1" showAutoFilter="1">
      <autoFilter ref="$A$1:$AB$406">
        <filterColumn colId="12">
          <filters>
            <filter val="Polônia"/>
            <filter val="Nigéria"/>
            <filter val="Bolívia"/>
            <filter val="Tunísia"/>
            <filter val="África Sul"/>
            <filter val="EUA"/>
            <filter val="Malaui"/>
            <filter val="Euro 2024"/>
            <filter val="Noruega"/>
            <filter val="Etiópia"/>
            <filter val="Chile"/>
            <filter val="Argentina"/>
            <filter val="Costa Marfim"/>
            <filter val="Moçambique"/>
            <filter val="Zimbabué"/>
            <filter val="Croácia"/>
            <filter val="Rep. Tcheca"/>
            <filter val="Paraguai"/>
            <filter val="Peru"/>
            <filter val="Ilhas Faroé"/>
            <filter val="Suécia"/>
            <filter val="Irlanda Norte"/>
            <filter val="China"/>
            <filter val="Eurocopa"/>
            <filter val="Filipinas"/>
            <filter val="USA"/>
            <filter val="Togo"/>
            <filter val="Amistoso"/>
            <filter val="Estônia"/>
            <filter val="Jordânia"/>
            <filter val="Rep. Dominic."/>
            <filter val="Internacional"/>
            <filter val="Áustria"/>
            <filter val="Uruguai"/>
            <filter val="Camarões"/>
          </filters>
        </filterColumn>
      </autoFilter>
    </customSheetView>
    <customSheetView guid="{C0AB1544-F4B4-45C0-8975-97F745A006DC}" filter="1" showAutoFilter="1">
      <autoFilter ref="$A$1:$AB$406"/>
    </customSheetView>
    <customSheetView guid="{978C25F2-69C0-4E3B-8EFC-6A6EC3E48DD3}" filter="1" showAutoFilter="1">
      <autoFilter ref="$A$1:$AB$406"/>
    </customSheetView>
    <customSheetView guid="{3D13BECD-F97B-4CC8-B9FC-728C2CBFEBF1}" filter="1" showAutoFilter="1">
      <autoFilter ref="$A$1:$X$406">
        <filterColumn colId="12">
          <filters>
            <filter val="Finlândia"/>
            <filter val="Nigéria"/>
            <filter val="Tunísia"/>
            <filter val="Euro 2024"/>
            <filter val="Argentina"/>
            <filter val="Moçambique"/>
            <filter val="Zimbabué"/>
            <filter val="Paraguai"/>
            <filter val="Peru"/>
            <filter val="Ilhas Faroé"/>
            <filter val="Suécia"/>
            <filter val="Mauritânia"/>
            <filter val="China"/>
            <filter val="Eurocopa"/>
            <filter val="Filipinas"/>
            <filter val="USA"/>
            <filter val="Togo"/>
            <filter val="Jordânia"/>
            <filter val="Rep. Dominic."/>
            <filter val="Uruguai"/>
            <filter val="Camarões"/>
          </filters>
        </filterColumn>
      </autoFilter>
    </customSheetView>
    <customSheetView guid="{BA551338-6311-4C02-9137-137E692B7D93}" filter="1" showAutoFilter="1">
      <autoFilter ref="$A$1:$X$406">
        <filterColumn colId="16">
          <filters>
            <filter val="2.50"/>
            <filter val="10.50"/>
            <filter val="0.75"/>
            <filter val="1.00"/>
            <filter val="2.75"/>
            <filter val="6.75"/>
            <filter val="0.50"/>
            <filter val="-11.00"/>
            <filter val="-2.50"/>
            <filter val="-0.50"/>
            <filter val="-2.75"/>
            <filter val="0.25"/>
            <filter val="-0.75"/>
            <filter val="-3.25"/>
            <filter val="4.25"/>
            <filter val="10.00"/>
            <filter val="0.00"/>
            <filter val="9.50"/>
            <filter val="0.40"/>
            <filter val="1.75"/>
            <filter val="1.50"/>
            <filter val="-10.50"/>
            <filter val="-3.50"/>
            <filter val="-10.00"/>
            <filter val="-1.50"/>
            <filter val="-2.00"/>
            <filter val="-2.25"/>
            <filter val="-0.25"/>
          </filters>
        </filterColumn>
      </autoFilter>
    </customSheetView>
    <customSheetView guid="{9BA04A38-02DA-4F02-BBBB-302FC15326E0}" filter="1" showAutoFilter="1">
      <autoFilter ref="$A$1:$X$406">
        <filterColumn colId="14">
          <filters>
            <filter val="AH-"/>
            <filter val="AH +"/>
            <filter val="NG"/>
          </filters>
        </filterColumn>
      </autoFilter>
    </customSheetView>
    <customSheetView guid="{8BE028A4-B37D-4082-AE82-07BBC89EBB11}" filter="1" showAutoFilter="1">
      <autoFilter ref="$A$1:$X$406"/>
    </customSheetView>
    <customSheetView guid="{D9D1A42E-DDFC-4032-8664-60A2E47E0D40}" filter="1" showAutoFilter="1">
      <autoFilter ref="$A$1:$W$284"/>
    </customSheetView>
    <customSheetView guid="{9B5C888F-E11A-4842-8D0B-62F1614802A4}" filter="1" showAutoFilter="1">
      <autoFilter ref="$A$1:$W$284">
        <filterColumn colId="14">
          <filters>
            <filter val="AH+"/>
            <filter val="AH-"/>
            <filter val="AH +"/>
          </filters>
        </filterColumn>
      </autoFilter>
    </customSheetView>
  </customSheetViews>
  <mergeCells count="14">
    <mergeCell ref="Z67:AB67"/>
    <mergeCell ref="Z68:AB68"/>
    <mergeCell ref="Z69:AB69"/>
    <mergeCell ref="Z70:AB70"/>
    <mergeCell ref="Z71:AB71"/>
    <mergeCell ref="Z72:AB72"/>
    <mergeCell ref="Z73:AB73"/>
    <mergeCell ref="Z60:AB60"/>
    <mergeCell ref="Z61:AB61"/>
    <mergeCell ref="Z62:AB62"/>
    <mergeCell ref="Z63:AB63"/>
    <mergeCell ref="Z64:AB64"/>
    <mergeCell ref="Z65:AB65"/>
    <mergeCell ref="Z66:AB66"/>
  </mergeCells>
  <conditionalFormatting sqref="V2:V499">
    <cfRule type="cellIs" dxfId="0" priority="1" operator="equal">
      <formula>"Ganha"</formula>
    </cfRule>
  </conditionalFormatting>
  <conditionalFormatting sqref="V2:V499">
    <cfRule type="cellIs" dxfId="1" priority="2" operator="equal">
      <formula>"Ganha/devolvida"</formula>
    </cfRule>
  </conditionalFormatting>
  <conditionalFormatting sqref="V2:V499">
    <cfRule type="cellIs" dxfId="2" priority="3" operator="equal">
      <formula>"Devolvida"</formula>
    </cfRule>
  </conditionalFormatting>
  <conditionalFormatting sqref="V2:V499">
    <cfRule type="cellIs" dxfId="3" priority="4" operator="equal">
      <formula>"Perdida/devolvida"</formula>
    </cfRule>
  </conditionalFormatting>
  <conditionalFormatting sqref="V2:V499">
    <cfRule type="cellIs" dxfId="4" priority="5" operator="equal">
      <formula>"Perdida"</formula>
    </cfRule>
  </conditionalFormatting>
  <conditionalFormatting sqref="W2:W457 X2:X998 AA2:AA35">
    <cfRule type="cellIs" dxfId="0" priority="6" operator="greaterThan">
      <formula>0</formula>
    </cfRule>
  </conditionalFormatting>
  <conditionalFormatting sqref="W2:W457 X2:X998 AA2:AA35">
    <cfRule type="cellIs" dxfId="4" priority="7" operator="lessThan">
      <formula>0</formula>
    </cfRule>
  </conditionalFormatting>
  <conditionalFormatting sqref="W2:W998 X2:X13 AA2:AA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3.75"/>
    <col customWidth="1" min="6" max="6" width="60.88"/>
    <col customWidth="1" min="7" max="10" width="6.38"/>
    <col customWidth="1" min="11" max="11" width="5.5"/>
    <col customWidth="1" min="12" max="12" width="8.0"/>
    <col customWidth="1" min="13" max="13" width="11.25"/>
    <col customWidth="1" min="14" max="14" width="4.5"/>
    <col customWidth="1" min="15" max="15" width="8.13"/>
    <col customWidth="1" min="16" max="16" width="9.5"/>
    <col customWidth="1" min="17" max="20" width="5.88"/>
    <col customWidth="1" min="21" max="21" width="6.5"/>
    <col customWidth="1" min="22" max="22" width="14.75"/>
    <col customWidth="1" min="23" max="23" width="10.75"/>
    <col customWidth="1" min="24" max="24" width="7.25"/>
    <col customWidth="1" min="25" max="25" width="4.13"/>
    <col customWidth="1" min="26" max="26" width="6.25"/>
    <col customWidth="1" min="27" max="27" width="6.5"/>
    <col customWidth="1" min="28" max="28" width="11.63"/>
  </cols>
  <sheetData>
    <row r="1">
      <c r="A1" s="1" t="s">
        <v>5560</v>
      </c>
      <c r="B1" s="2" t="s">
        <v>1</v>
      </c>
      <c r="C1" s="2" t="s">
        <v>2</v>
      </c>
      <c r="D1" s="2" t="s">
        <v>1462</v>
      </c>
      <c r="E1" s="2" t="s">
        <v>1480</v>
      </c>
      <c r="F1" s="3" t="s">
        <v>3</v>
      </c>
      <c r="G1" s="2" t="s">
        <v>1463</v>
      </c>
      <c r="H1" s="2" t="s">
        <v>1464</v>
      </c>
      <c r="I1" s="2" t="s">
        <v>1465</v>
      </c>
      <c r="J1" s="2" t="s">
        <v>1466</v>
      </c>
      <c r="K1" s="2" t="s">
        <v>1467</v>
      </c>
      <c r="L1" s="2" t="s">
        <v>1468</v>
      </c>
      <c r="M1" s="3" t="s">
        <v>4</v>
      </c>
      <c r="N1" s="3" t="s">
        <v>5</v>
      </c>
      <c r="O1" s="3" t="s">
        <v>6</v>
      </c>
      <c r="P1" s="2" t="s">
        <v>7</v>
      </c>
      <c r="Q1" s="4" t="s">
        <v>8</v>
      </c>
      <c r="R1" s="5" t="s">
        <v>9</v>
      </c>
      <c r="S1" s="4" t="s">
        <v>10</v>
      </c>
      <c r="T1" s="6" t="s">
        <v>11</v>
      </c>
      <c r="U1" s="97" t="s">
        <v>12</v>
      </c>
      <c r="V1" s="3" t="s">
        <v>13</v>
      </c>
      <c r="W1" s="4" t="s">
        <v>2372</v>
      </c>
      <c r="X1" s="4" t="s">
        <v>15</v>
      </c>
      <c r="Z1" s="3" t="s">
        <v>16</v>
      </c>
      <c r="AA1" s="3" t="s">
        <v>15</v>
      </c>
      <c r="AB1" s="3" t="s">
        <v>17</v>
      </c>
    </row>
    <row r="2">
      <c r="A2" s="8">
        <f>1</f>
        <v>1</v>
      </c>
      <c r="B2" s="8" t="s">
        <v>26</v>
      </c>
      <c r="C2" s="8" t="s">
        <v>19</v>
      </c>
      <c r="D2" s="8">
        <v>80.0</v>
      </c>
      <c r="E2" s="8">
        <v>3.0</v>
      </c>
      <c r="F2" s="8" t="s">
        <v>5083</v>
      </c>
      <c r="G2" s="8">
        <v>8.0</v>
      </c>
      <c r="H2" s="8">
        <v>13.0</v>
      </c>
      <c r="I2" s="111">
        <f>28/30</f>
        <v>0.9333333333</v>
      </c>
      <c r="J2" s="8" t="s">
        <v>1479</v>
      </c>
      <c r="K2" s="8" t="s">
        <v>1480</v>
      </c>
      <c r="L2" s="8">
        <f>4</f>
        <v>4</v>
      </c>
      <c r="M2" s="8" t="s">
        <v>44</v>
      </c>
      <c r="N2" s="8" t="s">
        <v>22</v>
      </c>
      <c r="O2" s="8" t="s">
        <v>892</v>
      </c>
      <c r="P2" s="8" t="s">
        <v>24</v>
      </c>
      <c r="Q2" s="9">
        <v>0.0</v>
      </c>
      <c r="R2" s="9">
        <v>0.25</v>
      </c>
      <c r="S2" s="9">
        <v>0.25</v>
      </c>
      <c r="T2" s="10">
        <v>45413.0</v>
      </c>
      <c r="U2" s="11">
        <v>1.6</v>
      </c>
      <c r="V2" s="8" t="s">
        <v>33</v>
      </c>
      <c r="W2" s="12">
        <f t="shared" ref="W2:W394" si="1">IF(V2="ganha",(S2*(U2-1)),IF(V2="perdida",-S2,IF(V2="devolvida",0,IF(V2="ganha/devolvida",((S2*(U2-1)))/2,IF(V2="perdida/devolvida",-S2/2,IF(V2="Aguardando",0,""))))))</f>
        <v>0.15</v>
      </c>
      <c r="X2" s="12">
        <f>W2</f>
        <v>0.15</v>
      </c>
      <c r="Z2" s="10">
        <v>45413.0</v>
      </c>
      <c r="AA2" s="13">
        <f t="shared" ref="AA2:AA32" si="2">SUMIF($T$2:$T$2981,Z2,$W$2:$W$2981)</f>
        <v>-1.02</v>
      </c>
      <c r="AB2" s="14">
        <f>SUMIF($V$2:$V$2981,"Aguardando",$S$2:$S$2981)</f>
        <v>0</v>
      </c>
    </row>
    <row r="3" ht="16.5" customHeight="1">
      <c r="A3" s="15">
        <f t="shared" ref="A3:A406" si="3">A2+1</f>
        <v>2</v>
      </c>
      <c r="B3" s="15" t="s">
        <v>26</v>
      </c>
      <c r="C3" s="15" t="s">
        <v>19</v>
      </c>
      <c r="D3" s="15">
        <v>21.0</v>
      </c>
      <c r="E3" s="15">
        <v>3.0</v>
      </c>
      <c r="F3" s="15" t="s">
        <v>5084</v>
      </c>
      <c r="G3" s="15">
        <v>15.0</v>
      </c>
      <c r="H3" s="15">
        <v>10.0</v>
      </c>
      <c r="I3" s="110">
        <f>24/30</f>
        <v>0.8</v>
      </c>
      <c r="J3" s="15" t="s">
        <v>1473</v>
      </c>
      <c r="K3" s="15" t="s">
        <v>1480</v>
      </c>
      <c r="L3" s="15">
        <v>0.0</v>
      </c>
      <c r="M3" s="15" t="s">
        <v>221</v>
      </c>
      <c r="N3" s="15" t="s">
        <v>22</v>
      </c>
      <c r="O3" s="15" t="s">
        <v>1150</v>
      </c>
      <c r="P3" s="15" t="s">
        <v>24</v>
      </c>
      <c r="Q3" s="16">
        <v>0.0</v>
      </c>
      <c r="R3" s="16">
        <v>1.0</v>
      </c>
      <c r="S3" s="16">
        <v>1.0</v>
      </c>
      <c r="T3" s="17">
        <v>45413.0</v>
      </c>
      <c r="U3" s="18">
        <v>1.9</v>
      </c>
      <c r="V3" s="15" t="s">
        <v>70</v>
      </c>
      <c r="W3" s="19">
        <f t="shared" si="1"/>
        <v>0</v>
      </c>
      <c r="X3" s="19">
        <f t="shared" ref="X3:X358" si="4">X2+W3</f>
        <v>0.15</v>
      </c>
      <c r="Z3" s="17">
        <v>45414.0</v>
      </c>
      <c r="AA3" s="13">
        <f t="shared" si="2"/>
        <v>0.29</v>
      </c>
    </row>
    <row r="4">
      <c r="A4" s="8">
        <f t="shared" si="3"/>
        <v>3</v>
      </c>
      <c r="B4" s="8" t="s">
        <v>4225</v>
      </c>
      <c r="C4" s="8" t="s">
        <v>19</v>
      </c>
      <c r="D4" s="8">
        <v>65.0</v>
      </c>
      <c r="E4" s="8">
        <v>1.0</v>
      </c>
      <c r="F4" s="8" t="s">
        <v>5085</v>
      </c>
      <c r="G4" s="8">
        <v>11.0</v>
      </c>
      <c r="H4" s="8">
        <v>1.0</v>
      </c>
      <c r="I4" s="111">
        <f>18/26</f>
        <v>0.6923076923</v>
      </c>
      <c r="J4" s="8" t="s">
        <v>1473</v>
      </c>
      <c r="K4" s="8" t="s">
        <v>1480</v>
      </c>
      <c r="L4" s="8">
        <v>-2.0</v>
      </c>
      <c r="M4" s="8" t="s">
        <v>316</v>
      </c>
      <c r="N4" s="8" t="s">
        <v>22</v>
      </c>
      <c r="O4" s="8" t="s">
        <v>892</v>
      </c>
      <c r="P4" s="8" t="s">
        <v>24</v>
      </c>
      <c r="Q4" s="9">
        <v>0.0</v>
      </c>
      <c r="R4" s="9">
        <v>0.2</v>
      </c>
      <c r="S4" s="9">
        <v>0.13</v>
      </c>
      <c r="T4" s="10">
        <v>45413.0</v>
      </c>
      <c r="U4" s="11">
        <v>1.925</v>
      </c>
      <c r="V4" s="8" t="s">
        <v>25</v>
      </c>
      <c r="W4" s="12">
        <f t="shared" si="1"/>
        <v>-0.13</v>
      </c>
      <c r="X4" s="12">
        <f t="shared" si="4"/>
        <v>0.02</v>
      </c>
      <c r="Z4" s="10">
        <v>45415.0</v>
      </c>
      <c r="AA4" s="13">
        <f t="shared" si="2"/>
        <v>-0.417</v>
      </c>
      <c r="AB4" s="3" t="s">
        <v>34</v>
      </c>
    </row>
    <row r="5">
      <c r="A5" s="15">
        <f t="shared" si="3"/>
        <v>4</v>
      </c>
      <c r="B5" s="15" t="s">
        <v>26</v>
      </c>
      <c r="C5" s="15" t="s">
        <v>19</v>
      </c>
      <c r="D5" s="15">
        <v>69.0</v>
      </c>
      <c r="E5" s="15">
        <v>3.0</v>
      </c>
      <c r="F5" s="15" t="s">
        <v>5086</v>
      </c>
      <c r="G5" s="15">
        <v>15.0</v>
      </c>
      <c r="H5" s="15">
        <v>6.0</v>
      </c>
      <c r="I5" s="110">
        <f>28/32</f>
        <v>0.875</v>
      </c>
      <c r="J5" s="15" t="s">
        <v>1479</v>
      </c>
      <c r="K5" s="15" t="s">
        <v>1480</v>
      </c>
      <c r="L5" s="15">
        <v>-1.0</v>
      </c>
      <c r="M5" s="15" t="s">
        <v>44</v>
      </c>
      <c r="N5" s="15" t="s">
        <v>22</v>
      </c>
      <c r="O5" s="15" t="s">
        <v>892</v>
      </c>
      <c r="P5" s="15" t="s">
        <v>24</v>
      </c>
      <c r="Q5" s="16">
        <v>0.0</v>
      </c>
      <c r="R5" s="16">
        <v>0.6</v>
      </c>
      <c r="S5" s="16">
        <v>0.58</v>
      </c>
      <c r="T5" s="17">
        <v>45413.0</v>
      </c>
      <c r="U5" s="18">
        <v>1.75</v>
      </c>
      <c r="V5" s="15" t="s">
        <v>25</v>
      </c>
      <c r="W5" s="19">
        <f t="shared" si="1"/>
        <v>-0.58</v>
      </c>
      <c r="X5" s="19">
        <f t="shared" si="4"/>
        <v>-0.56</v>
      </c>
      <c r="Z5" s="17">
        <v>45416.0</v>
      </c>
      <c r="AA5" s="13">
        <f t="shared" si="2"/>
        <v>-1.328875</v>
      </c>
      <c r="AB5" s="20">
        <f>sum(S2:S1014)</f>
        <v>57.28864516</v>
      </c>
    </row>
    <row r="6">
      <c r="A6" s="8">
        <f t="shared" si="3"/>
        <v>5</v>
      </c>
      <c r="B6" s="8" t="s">
        <v>26</v>
      </c>
      <c r="C6" s="8" t="s">
        <v>19</v>
      </c>
      <c r="D6" s="8">
        <v>46.0</v>
      </c>
      <c r="E6" s="8">
        <v>7.0</v>
      </c>
      <c r="F6" s="8" t="s">
        <v>5087</v>
      </c>
      <c r="G6" s="8">
        <v>6.0</v>
      </c>
      <c r="H6" s="8">
        <v>17.0</v>
      </c>
      <c r="I6" s="111">
        <f>30/34</f>
        <v>0.8823529412</v>
      </c>
      <c r="J6" s="8" t="s">
        <v>1473</v>
      </c>
      <c r="K6" s="8" t="s">
        <v>1474</v>
      </c>
      <c r="L6" s="8">
        <v>0.0</v>
      </c>
      <c r="M6" s="8" t="s">
        <v>93</v>
      </c>
      <c r="N6" s="8" t="s">
        <v>22</v>
      </c>
      <c r="O6" s="8" t="s">
        <v>225</v>
      </c>
      <c r="P6" s="8" t="s">
        <v>24</v>
      </c>
      <c r="Q6" s="9">
        <v>1.0</v>
      </c>
      <c r="R6" s="9">
        <v>0.1</v>
      </c>
      <c r="S6" s="9">
        <v>0.09</v>
      </c>
      <c r="T6" s="10">
        <v>45413.0</v>
      </c>
      <c r="U6" s="11">
        <v>1.9</v>
      </c>
      <c r="V6" s="8" t="s">
        <v>25</v>
      </c>
      <c r="W6" s="12">
        <f t="shared" si="1"/>
        <v>-0.09</v>
      </c>
      <c r="X6" s="12">
        <f t="shared" si="4"/>
        <v>-0.65</v>
      </c>
      <c r="Z6" s="10">
        <v>45417.0</v>
      </c>
      <c r="AA6" s="13">
        <f t="shared" si="2"/>
        <v>0.40315</v>
      </c>
    </row>
    <row r="7">
      <c r="A7" s="15">
        <f t="shared" si="3"/>
        <v>6</v>
      </c>
      <c r="B7" s="15" t="s">
        <v>26</v>
      </c>
      <c r="C7" s="15" t="s">
        <v>19</v>
      </c>
      <c r="D7" s="15">
        <v>45.0</v>
      </c>
      <c r="E7" s="15">
        <v>2.0</v>
      </c>
      <c r="F7" s="15" t="s">
        <v>5088</v>
      </c>
      <c r="G7" s="15">
        <v>6.0</v>
      </c>
      <c r="H7" s="15">
        <v>4.0</v>
      </c>
      <c r="I7" s="110">
        <f>25/30</f>
        <v>0.8333333333</v>
      </c>
      <c r="J7" s="15" t="s">
        <v>1473</v>
      </c>
      <c r="K7" s="15" t="s">
        <v>1474</v>
      </c>
      <c r="L7" s="15">
        <v>0.0</v>
      </c>
      <c r="M7" s="15" t="s">
        <v>1031</v>
      </c>
      <c r="N7" s="15" t="s">
        <v>22</v>
      </c>
      <c r="O7" s="15" t="s">
        <v>225</v>
      </c>
      <c r="P7" s="15" t="s">
        <v>24</v>
      </c>
      <c r="Q7" s="16">
        <v>0.25</v>
      </c>
      <c r="R7" s="16">
        <v>0.4</v>
      </c>
      <c r="S7" s="16">
        <v>0.37</v>
      </c>
      <c r="T7" s="17">
        <v>45413.0</v>
      </c>
      <c r="U7" s="18">
        <v>1.7</v>
      </c>
      <c r="V7" s="15" t="s">
        <v>25</v>
      </c>
      <c r="W7" s="19">
        <f t="shared" si="1"/>
        <v>-0.37</v>
      </c>
      <c r="X7" s="19">
        <f t="shared" si="4"/>
        <v>-1.02</v>
      </c>
      <c r="Z7" s="17">
        <v>45418.0</v>
      </c>
      <c r="AA7" s="13">
        <f t="shared" si="2"/>
        <v>0.20625</v>
      </c>
      <c r="AB7" s="3" t="s">
        <v>45</v>
      </c>
    </row>
    <row r="8">
      <c r="A8" s="8">
        <f t="shared" si="3"/>
        <v>7</v>
      </c>
      <c r="B8" s="8" t="s">
        <v>26</v>
      </c>
      <c r="C8" s="8" t="s">
        <v>40</v>
      </c>
      <c r="D8" s="8">
        <v>75.0</v>
      </c>
      <c r="E8" s="8">
        <v>3.0</v>
      </c>
      <c r="F8" s="8" t="s">
        <v>5089</v>
      </c>
      <c r="G8" s="8" t="s">
        <v>5553</v>
      </c>
      <c r="H8" s="8" t="s">
        <v>5553</v>
      </c>
      <c r="I8" s="8" t="s">
        <v>5553</v>
      </c>
      <c r="J8" s="8" t="s">
        <v>1473</v>
      </c>
      <c r="K8" s="8" t="s">
        <v>1480</v>
      </c>
      <c r="L8" s="8">
        <v>-1.0</v>
      </c>
      <c r="M8" s="8" t="s">
        <v>233</v>
      </c>
      <c r="N8" s="8" t="s">
        <v>22</v>
      </c>
      <c r="O8" s="8" t="s">
        <v>892</v>
      </c>
      <c r="P8" s="8" t="s">
        <v>24</v>
      </c>
      <c r="Q8" s="9">
        <v>0.0</v>
      </c>
      <c r="R8" s="9">
        <v>0.6</v>
      </c>
      <c r="S8" s="9">
        <v>0.57</v>
      </c>
      <c r="T8" s="10">
        <v>45413.0</v>
      </c>
      <c r="U8" s="11">
        <v>1.95</v>
      </c>
      <c r="V8" s="8" t="s">
        <v>70</v>
      </c>
      <c r="W8" s="12">
        <f t="shared" si="1"/>
        <v>0</v>
      </c>
      <c r="X8" s="12">
        <f t="shared" si="4"/>
        <v>-1.02</v>
      </c>
      <c r="Z8" s="10">
        <v>45419.0</v>
      </c>
      <c r="AA8" s="13">
        <f t="shared" si="2"/>
        <v>0.3936</v>
      </c>
      <c r="AB8" s="21">
        <f>AA33/(SUM(S2:S4934)-AB2)</f>
        <v>0.04291062209</v>
      </c>
    </row>
    <row r="9">
      <c r="A9" s="15">
        <f t="shared" si="3"/>
        <v>8</v>
      </c>
      <c r="B9" s="15" t="s">
        <v>26</v>
      </c>
      <c r="C9" s="15" t="s">
        <v>19</v>
      </c>
      <c r="D9" s="15">
        <v>38.0</v>
      </c>
      <c r="E9" s="15">
        <v>3.0</v>
      </c>
      <c r="F9" s="15" t="s">
        <v>5090</v>
      </c>
      <c r="G9" s="15">
        <v>4.0</v>
      </c>
      <c r="H9" s="15">
        <v>5.0</v>
      </c>
      <c r="I9" s="110">
        <f>11/19</f>
        <v>0.5789473684</v>
      </c>
      <c r="J9" s="15" t="s">
        <v>1473</v>
      </c>
      <c r="K9" s="15" t="s">
        <v>1480</v>
      </c>
      <c r="L9" s="15">
        <v>0.0</v>
      </c>
      <c r="M9" s="15" t="s">
        <v>740</v>
      </c>
      <c r="N9" s="15" t="s">
        <v>22</v>
      </c>
      <c r="O9" s="15" t="s">
        <v>1150</v>
      </c>
      <c r="P9" s="15" t="s">
        <v>24</v>
      </c>
      <c r="Q9" s="16">
        <v>0.0</v>
      </c>
      <c r="R9" s="16">
        <v>0.1</v>
      </c>
      <c r="S9" s="16">
        <v>0.09</v>
      </c>
      <c r="T9" s="17">
        <v>45414.0</v>
      </c>
      <c r="U9" s="18">
        <v>1.775</v>
      </c>
      <c r="V9" s="15" t="s">
        <v>70</v>
      </c>
      <c r="W9" s="19">
        <f t="shared" si="1"/>
        <v>0</v>
      </c>
      <c r="X9" s="19">
        <f t="shared" si="4"/>
        <v>-1.02</v>
      </c>
      <c r="Z9" s="17">
        <v>45420.0</v>
      </c>
      <c r="AA9" s="13">
        <f t="shared" si="2"/>
        <v>0.6558</v>
      </c>
    </row>
    <row r="10">
      <c r="A10" s="8">
        <f t="shared" si="3"/>
        <v>9</v>
      </c>
      <c r="B10" s="8" t="s">
        <v>129</v>
      </c>
      <c r="C10" s="8" t="s">
        <v>19</v>
      </c>
      <c r="D10" s="8">
        <v>70.0</v>
      </c>
      <c r="E10" s="8">
        <v>2.0</v>
      </c>
      <c r="F10" s="8" t="s">
        <v>5091</v>
      </c>
      <c r="G10" s="8" t="s">
        <v>5553</v>
      </c>
      <c r="H10" s="8" t="s">
        <v>5553</v>
      </c>
      <c r="I10" s="8" t="s">
        <v>5553</v>
      </c>
      <c r="J10" s="8" t="s">
        <v>1473</v>
      </c>
      <c r="K10" s="8" t="s">
        <v>1474</v>
      </c>
      <c r="L10" s="8">
        <v>-1.0</v>
      </c>
      <c r="M10" s="8" t="s">
        <v>5092</v>
      </c>
      <c r="N10" s="8" t="s">
        <v>22</v>
      </c>
      <c r="O10" s="8" t="s">
        <v>225</v>
      </c>
      <c r="P10" s="8" t="s">
        <v>24</v>
      </c>
      <c r="Q10" s="9">
        <v>0.25</v>
      </c>
      <c r="R10" s="9">
        <v>0.4</v>
      </c>
      <c r="S10" s="9">
        <v>0.4</v>
      </c>
      <c r="T10" s="10">
        <v>45414.0</v>
      </c>
      <c r="U10" s="11">
        <v>1.725</v>
      </c>
      <c r="V10" s="8" t="s">
        <v>33</v>
      </c>
      <c r="W10" s="12">
        <f t="shared" si="1"/>
        <v>0.29</v>
      </c>
      <c r="X10" s="12">
        <f t="shared" si="4"/>
        <v>-0.73</v>
      </c>
      <c r="Z10" s="10">
        <v>45421.0</v>
      </c>
      <c r="AA10" s="13">
        <f t="shared" si="2"/>
        <v>0.155</v>
      </c>
      <c r="AB10" s="2" t="s">
        <v>51</v>
      </c>
    </row>
    <row r="11">
      <c r="A11" s="15">
        <f t="shared" si="3"/>
        <v>10</v>
      </c>
      <c r="B11" s="15" t="s">
        <v>129</v>
      </c>
      <c r="C11" s="15" t="s">
        <v>19</v>
      </c>
      <c r="D11" s="15">
        <v>70.0</v>
      </c>
      <c r="E11" s="15">
        <v>3.0</v>
      </c>
      <c r="F11" s="15" t="s">
        <v>5093</v>
      </c>
      <c r="G11" s="15">
        <v>4.0</v>
      </c>
      <c r="H11" s="15">
        <v>6.0</v>
      </c>
      <c r="I11" s="110">
        <f>6/10</f>
        <v>0.6</v>
      </c>
      <c r="J11" s="15" t="s">
        <v>1473</v>
      </c>
      <c r="K11" s="15" t="s">
        <v>1480</v>
      </c>
      <c r="L11" s="15">
        <v>0.0</v>
      </c>
      <c r="M11" s="15" t="s">
        <v>820</v>
      </c>
      <c r="N11" s="15" t="s">
        <v>22</v>
      </c>
      <c r="O11" s="15" t="s">
        <v>892</v>
      </c>
      <c r="P11" s="15" t="s">
        <v>24</v>
      </c>
      <c r="Q11" s="16">
        <v>0.0</v>
      </c>
      <c r="R11" s="16">
        <v>0.3</v>
      </c>
      <c r="S11" s="16">
        <v>0.3</v>
      </c>
      <c r="T11" s="17">
        <v>45415.0</v>
      </c>
      <c r="U11" s="18">
        <v>1.8</v>
      </c>
      <c r="V11" s="15" t="s">
        <v>33</v>
      </c>
      <c r="W11" s="19">
        <f t="shared" si="1"/>
        <v>0.24</v>
      </c>
      <c r="X11" s="19">
        <f t="shared" si="4"/>
        <v>-0.49</v>
      </c>
      <c r="Z11" s="17">
        <v>45422.0</v>
      </c>
      <c r="AA11" s="13">
        <f t="shared" si="2"/>
        <v>0.13</v>
      </c>
      <c r="AB11" s="14">
        <f>average(S2:S1000)</f>
        <v>0.3096683522</v>
      </c>
    </row>
    <row r="12">
      <c r="A12" s="8">
        <f t="shared" si="3"/>
        <v>11</v>
      </c>
      <c r="B12" s="8" t="s">
        <v>26</v>
      </c>
      <c r="C12" s="8" t="s">
        <v>19</v>
      </c>
      <c r="D12" s="8">
        <v>0.0</v>
      </c>
      <c r="E12" s="8">
        <v>12.0</v>
      </c>
      <c r="F12" s="8" t="s">
        <v>5094</v>
      </c>
      <c r="G12" s="8"/>
      <c r="H12" s="8"/>
      <c r="I12" s="111"/>
      <c r="J12" s="8"/>
      <c r="K12" s="8"/>
      <c r="L12" s="8">
        <v>0.0</v>
      </c>
      <c r="M12" s="8" t="s">
        <v>487</v>
      </c>
      <c r="N12" s="8" t="s">
        <v>598</v>
      </c>
      <c r="O12" s="8" t="s">
        <v>440</v>
      </c>
      <c r="P12" s="8" t="s">
        <v>24</v>
      </c>
      <c r="Q12" s="9">
        <v>2.5</v>
      </c>
      <c r="R12" s="9">
        <v>0.05</v>
      </c>
      <c r="S12" s="9">
        <v>0.04</v>
      </c>
      <c r="T12" s="10">
        <v>45415.0</v>
      </c>
      <c r="U12" s="11">
        <v>1.7</v>
      </c>
      <c r="V12" s="8" t="s">
        <v>33</v>
      </c>
      <c r="W12" s="12">
        <f t="shared" si="1"/>
        <v>0.028</v>
      </c>
      <c r="X12" s="12">
        <f t="shared" si="4"/>
        <v>-0.462</v>
      </c>
      <c r="Z12" s="10">
        <v>45423.0</v>
      </c>
      <c r="AA12" s="13">
        <f t="shared" si="2"/>
        <v>1.180294355</v>
      </c>
    </row>
    <row r="13">
      <c r="A13" s="15">
        <f t="shared" si="3"/>
        <v>12</v>
      </c>
      <c r="B13" s="15" t="s">
        <v>18</v>
      </c>
      <c r="C13" s="15" t="s">
        <v>19</v>
      </c>
      <c r="D13" s="15">
        <v>63.0</v>
      </c>
      <c r="E13" s="15">
        <v>3.0</v>
      </c>
      <c r="F13" s="15" t="s">
        <v>5095</v>
      </c>
      <c r="G13" s="15">
        <v>2.0</v>
      </c>
      <c r="H13" s="15">
        <v>1.0</v>
      </c>
      <c r="I13" s="110">
        <v>0.6</v>
      </c>
      <c r="J13" s="15" t="s">
        <v>1473</v>
      </c>
      <c r="K13" s="15" t="s">
        <v>1474</v>
      </c>
      <c r="L13" s="15">
        <f>1</f>
        <v>1</v>
      </c>
      <c r="M13" s="15" t="s">
        <v>583</v>
      </c>
      <c r="N13" s="15" t="s">
        <v>22</v>
      </c>
      <c r="O13" s="15" t="s">
        <v>225</v>
      </c>
      <c r="P13" s="15" t="s">
        <v>24</v>
      </c>
      <c r="Q13" s="16">
        <v>0.25</v>
      </c>
      <c r="R13" s="16">
        <v>0.6</v>
      </c>
      <c r="S13" s="16">
        <v>0.6</v>
      </c>
      <c r="T13" s="17">
        <v>45415.0</v>
      </c>
      <c r="U13" s="18">
        <v>1.725</v>
      </c>
      <c r="V13" s="15" t="s">
        <v>33</v>
      </c>
      <c r="W13" s="19">
        <f t="shared" si="1"/>
        <v>0.435</v>
      </c>
      <c r="X13" s="19">
        <f t="shared" si="4"/>
        <v>-0.027</v>
      </c>
      <c r="Z13" s="17">
        <v>45424.0</v>
      </c>
      <c r="AA13" s="13">
        <f t="shared" si="2"/>
        <v>-0.43074</v>
      </c>
      <c r="AB13" s="2" t="s">
        <v>55</v>
      </c>
    </row>
    <row r="14">
      <c r="A14" s="8">
        <f t="shared" si="3"/>
        <v>13</v>
      </c>
      <c r="B14" s="8" t="s">
        <v>18</v>
      </c>
      <c r="C14" s="8" t="s">
        <v>40</v>
      </c>
      <c r="D14" s="8">
        <v>71.0</v>
      </c>
      <c r="E14" s="8">
        <v>7.0</v>
      </c>
      <c r="F14" s="8" t="s">
        <v>5096</v>
      </c>
      <c r="G14" s="8">
        <v>5.0</v>
      </c>
      <c r="H14" s="8">
        <v>3.0</v>
      </c>
      <c r="I14" s="111">
        <v>0.23</v>
      </c>
      <c r="J14" s="8" t="s">
        <v>1479</v>
      </c>
      <c r="K14" s="8" t="s">
        <v>1474</v>
      </c>
      <c r="L14" s="8">
        <v>-1.0</v>
      </c>
      <c r="M14" s="8" t="s">
        <v>513</v>
      </c>
      <c r="N14" s="8" t="s">
        <v>22</v>
      </c>
      <c r="O14" s="8" t="s">
        <v>225</v>
      </c>
      <c r="P14" s="8" t="s">
        <v>24</v>
      </c>
      <c r="Q14" s="9">
        <v>0.75</v>
      </c>
      <c r="R14" s="9">
        <v>0.2</v>
      </c>
      <c r="S14" s="9">
        <v>0.2</v>
      </c>
      <c r="T14" s="10">
        <v>45415.0</v>
      </c>
      <c r="U14" s="11">
        <v>1.825</v>
      </c>
      <c r="V14" s="8" t="s">
        <v>79</v>
      </c>
      <c r="W14" s="12">
        <f t="shared" si="1"/>
        <v>-0.1</v>
      </c>
      <c r="X14" s="12">
        <f t="shared" si="4"/>
        <v>-0.127</v>
      </c>
      <c r="Z14" s="10">
        <v>45425.0</v>
      </c>
      <c r="AA14" s="13">
        <f t="shared" si="2"/>
        <v>0</v>
      </c>
      <c r="AB14" s="21">
        <f>(SUMPRODUCT(--(R2:R1000 = S2:S1000))-countif(R2:R1000,""))/countif(R2:R1000,"&gt;0")</f>
        <v>0.5243243243</v>
      </c>
    </row>
    <row r="15">
      <c r="A15" s="15">
        <f t="shared" si="3"/>
        <v>14</v>
      </c>
      <c r="B15" s="15" t="s">
        <v>18</v>
      </c>
      <c r="C15" s="15" t="s">
        <v>40</v>
      </c>
      <c r="D15" s="15">
        <v>73.0</v>
      </c>
      <c r="E15" s="15">
        <v>7.0</v>
      </c>
      <c r="F15" s="15" t="s">
        <v>5097</v>
      </c>
      <c r="G15" s="15">
        <v>5.0</v>
      </c>
      <c r="H15" s="15">
        <v>3.0</v>
      </c>
      <c r="I15" s="110">
        <v>0.23</v>
      </c>
      <c r="J15" s="15" t="s">
        <v>1479</v>
      </c>
      <c r="K15" s="15" t="s">
        <v>1474</v>
      </c>
      <c r="L15" s="15">
        <v>-1.0</v>
      </c>
      <c r="M15" s="15" t="s">
        <v>513</v>
      </c>
      <c r="N15" s="15" t="s">
        <v>22</v>
      </c>
      <c r="O15" s="15" t="s">
        <v>941</v>
      </c>
      <c r="P15" s="15" t="s">
        <v>24</v>
      </c>
      <c r="Q15" s="16">
        <v>0.0</v>
      </c>
      <c r="R15" s="16">
        <v>0.1</v>
      </c>
      <c r="S15" s="16">
        <v>0.1</v>
      </c>
      <c r="T15" s="17">
        <v>45415.0</v>
      </c>
      <c r="U15" s="18">
        <v>7.5</v>
      </c>
      <c r="V15" s="15" t="s">
        <v>25</v>
      </c>
      <c r="W15" s="19">
        <f t="shared" si="1"/>
        <v>-0.1</v>
      </c>
      <c r="X15" s="19">
        <f t="shared" si="4"/>
        <v>-0.227</v>
      </c>
      <c r="Z15" s="17">
        <v>45426.0</v>
      </c>
      <c r="AA15" s="13">
        <f t="shared" si="2"/>
        <v>0.25</v>
      </c>
    </row>
    <row r="16">
      <c r="A16" s="8">
        <f t="shared" si="3"/>
        <v>15</v>
      </c>
      <c r="B16" s="8" t="s">
        <v>137</v>
      </c>
      <c r="C16" s="8" t="s">
        <v>19</v>
      </c>
      <c r="D16" s="8">
        <v>41.0</v>
      </c>
      <c r="E16" s="8"/>
      <c r="F16" s="8" t="s">
        <v>5098</v>
      </c>
      <c r="G16" s="8">
        <v>5.0</v>
      </c>
      <c r="H16" s="8">
        <v>7.0</v>
      </c>
      <c r="I16" s="111">
        <f>31/38</f>
        <v>0.8157894737</v>
      </c>
      <c r="J16" s="8" t="s">
        <v>1473</v>
      </c>
      <c r="K16" s="8" t="s">
        <v>1474</v>
      </c>
      <c r="L16" s="8">
        <v>0.0</v>
      </c>
      <c r="M16" s="8" t="s">
        <v>44</v>
      </c>
      <c r="N16" s="8" t="s">
        <v>22</v>
      </c>
      <c r="O16" s="8" t="s">
        <v>225</v>
      </c>
      <c r="P16" s="8" t="s">
        <v>24</v>
      </c>
      <c r="Q16" s="9">
        <v>0.25</v>
      </c>
      <c r="R16" s="9">
        <v>0.25</v>
      </c>
      <c r="S16" s="9">
        <v>0.19</v>
      </c>
      <c r="T16" s="10">
        <v>45415.0</v>
      </c>
      <c r="U16" s="11">
        <v>1.775</v>
      </c>
      <c r="V16" s="8" t="s">
        <v>25</v>
      </c>
      <c r="W16" s="12">
        <f t="shared" si="1"/>
        <v>-0.19</v>
      </c>
      <c r="X16" s="12">
        <f t="shared" si="4"/>
        <v>-0.417</v>
      </c>
      <c r="Z16" s="10">
        <v>45427.0</v>
      </c>
      <c r="AA16" s="13">
        <f t="shared" si="2"/>
        <v>-1.17</v>
      </c>
      <c r="AB16" s="2" t="s">
        <v>61</v>
      </c>
    </row>
    <row r="17">
      <c r="A17" s="15">
        <f t="shared" si="3"/>
        <v>16</v>
      </c>
      <c r="B17" s="15" t="s">
        <v>26</v>
      </c>
      <c r="C17" s="15" t="s">
        <v>19</v>
      </c>
      <c r="D17" s="15">
        <v>45.0</v>
      </c>
      <c r="E17" s="15">
        <v>6.0</v>
      </c>
      <c r="F17" s="15" t="s">
        <v>5099</v>
      </c>
      <c r="G17" s="15">
        <v>5.0</v>
      </c>
      <c r="H17" s="15">
        <v>6.0</v>
      </c>
      <c r="I17" s="110">
        <f>3/10</f>
        <v>0.3</v>
      </c>
      <c r="J17" s="15" t="s">
        <v>1473</v>
      </c>
      <c r="K17" s="15" t="s">
        <v>1474</v>
      </c>
      <c r="L17" s="15">
        <v>-1.0</v>
      </c>
      <c r="M17" s="15" t="s">
        <v>82</v>
      </c>
      <c r="N17" s="15" t="s">
        <v>22</v>
      </c>
      <c r="O17" s="15" t="s">
        <v>225</v>
      </c>
      <c r="P17" s="15" t="s">
        <v>24</v>
      </c>
      <c r="Q17" s="16">
        <v>0.25</v>
      </c>
      <c r="R17" s="16">
        <v>0.75</v>
      </c>
      <c r="S17" s="16">
        <v>0.73</v>
      </c>
      <c r="T17" s="17">
        <v>45415.0</v>
      </c>
      <c r="U17" s="18">
        <v>1.75</v>
      </c>
      <c r="V17" s="15" t="s">
        <v>25</v>
      </c>
      <c r="W17" s="19">
        <f t="shared" si="1"/>
        <v>-0.73</v>
      </c>
      <c r="X17" s="19">
        <f t="shared" si="4"/>
        <v>-1.147</v>
      </c>
      <c r="Z17" s="17">
        <v>45428.0</v>
      </c>
      <c r="AA17" s="13">
        <f t="shared" si="2"/>
        <v>0.058543</v>
      </c>
      <c r="AB17" s="22">
        <f>average(U2:U200)</f>
        <v>1.896018867</v>
      </c>
    </row>
    <row r="18">
      <c r="A18" s="8">
        <f t="shared" si="3"/>
        <v>17</v>
      </c>
      <c r="B18" s="8" t="s">
        <v>26</v>
      </c>
      <c r="C18" s="8" t="s">
        <v>19</v>
      </c>
      <c r="D18" s="8">
        <v>80.0</v>
      </c>
      <c r="E18" s="8">
        <v>7.0</v>
      </c>
      <c r="F18" s="8" t="s">
        <v>5100</v>
      </c>
      <c r="G18" s="8">
        <v>3.0</v>
      </c>
      <c r="H18" s="8">
        <v>4.0</v>
      </c>
      <c r="I18" s="111">
        <f>5/14</f>
        <v>0.3571428571</v>
      </c>
      <c r="J18" s="8" t="s">
        <v>1479</v>
      </c>
      <c r="K18" s="8" t="s">
        <v>1474</v>
      </c>
      <c r="L18" s="8">
        <v>-3.0</v>
      </c>
      <c r="M18" s="8" t="s">
        <v>487</v>
      </c>
      <c r="N18" s="8" t="s">
        <v>22</v>
      </c>
      <c r="O18" s="8" t="s">
        <v>225</v>
      </c>
      <c r="P18" s="8" t="s">
        <v>24</v>
      </c>
      <c r="Q18" s="9">
        <v>0.25</v>
      </c>
      <c r="R18" s="9">
        <v>0.6</v>
      </c>
      <c r="S18" s="9">
        <v>0.54</v>
      </c>
      <c r="T18" s="10">
        <v>45416.0</v>
      </c>
      <c r="U18" s="11">
        <v>1.9</v>
      </c>
      <c r="V18" s="8" t="s">
        <v>25</v>
      </c>
      <c r="W18" s="12">
        <f t="shared" si="1"/>
        <v>-0.54</v>
      </c>
      <c r="X18" s="12">
        <f t="shared" si="4"/>
        <v>-1.687</v>
      </c>
      <c r="Z18" s="10">
        <v>45429.0</v>
      </c>
      <c r="AA18" s="13">
        <f t="shared" si="2"/>
        <v>0.3475</v>
      </c>
    </row>
    <row r="19">
      <c r="A19" s="15">
        <f t="shared" si="3"/>
        <v>18</v>
      </c>
      <c r="B19" s="15" t="s">
        <v>26</v>
      </c>
      <c r="C19" s="15" t="s">
        <v>19</v>
      </c>
      <c r="D19" s="15">
        <v>60.0</v>
      </c>
      <c r="E19" s="15">
        <v>2.0</v>
      </c>
      <c r="F19" s="15" t="s">
        <v>5101</v>
      </c>
      <c r="G19" s="15">
        <v>4.0</v>
      </c>
      <c r="H19" s="15">
        <v>6.0</v>
      </c>
      <c r="I19" s="110">
        <f>11/28</f>
        <v>0.3928571429</v>
      </c>
      <c r="J19" s="15" t="s">
        <v>1473</v>
      </c>
      <c r="K19" s="15" t="s">
        <v>1474</v>
      </c>
      <c r="L19" s="15">
        <v>0.0</v>
      </c>
      <c r="M19" s="15" t="s">
        <v>487</v>
      </c>
      <c r="N19" s="15" t="s">
        <v>22</v>
      </c>
      <c r="O19" s="15" t="s">
        <v>225</v>
      </c>
      <c r="P19" s="15" t="s">
        <v>24</v>
      </c>
      <c r="Q19" s="16">
        <v>0.25</v>
      </c>
      <c r="R19" s="16">
        <v>0.2</v>
      </c>
      <c r="S19" s="16">
        <v>0.19</v>
      </c>
      <c r="T19" s="17">
        <v>45416.0</v>
      </c>
      <c r="U19" s="18">
        <v>1.825</v>
      </c>
      <c r="V19" s="15" t="s">
        <v>25</v>
      </c>
      <c r="W19" s="19">
        <f t="shared" si="1"/>
        <v>-0.19</v>
      </c>
      <c r="X19" s="19">
        <f t="shared" si="4"/>
        <v>-1.877</v>
      </c>
      <c r="Z19" s="17">
        <v>45430.0</v>
      </c>
      <c r="AA19" s="13">
        <f t="shared" si="2"/>
        <v>0.6025</v>
      </c>
    </row>
    <row r="20">
      <c r="A20" s="8">
        <f t="shared" si="3"/>
        <v>19</v>
      </c>
      <c r="B20" s="8" t="s">
        <v>18</v>
      </c>
      <c r="C20" s="8" t="s">
        <v>19</v>
      </c>
      <c r="D20" s="8">
        <v>60.0</v>
      </c>
      <c r="E20" s="8">
        <v>7.0</v>
      </c>
      <c r="F20" s="8" t="s">
        <v>5102</v>
      </c>
      <c r="G20" s="8">
        <v>1.0</v>
      </c>
      <c r="H20" s="8">
        <v>5.0</v>
      </c>
      <c r="I20" s="111">
        <v>0.64</v>
      </c>
      <c r="J20" s="8" t="s">
        <v>1473</v>
      </c>
      <c r="K20" s="8" t="s">
        <v>1474</v>
      </c>
      <c r="L20" s="8">
        <v>-1.0</v>
      </c>
      <c r="M20" s="8" t="s">
        <v>66</v>
      </c>
      <c r="N20" s="8" t="s">
        <v>22</v>
      </c>
      <c r="O20" s="8" t="s">
        <v>225</v>
      </c>
      <c r="P20" s="8" t="s">
        <v>24</v>
      </c>
      <c r="Q20" s="9">
        <v>0.5</v>
      </c>
      <c r="R20" s="9">
        <v>0.2</v>
      </c>
      <c r="S20" s="9">
        <v>0.19</v>
      </c>
      <c r="T20" s="54">
        <v>45416.0</v>
      </c>
      <c r="U20" s="11">
        <v>1.775</v>
      </c>
      <c r="V20" s="8" t="s">
        <v>33</v>
      </c>
      <c r="W20" s="12">
        <f t="shared" si="1"/>
        <v>0.14725</v>
      </c>
      <c r="X20" s="12">
        <f t="shared" si="4"/>
        <v>-1.72975</v>
      </c>
      <c r="Z20" s="10">
        <v>45431.0</v>
      </c>
      <c r="AA20" s="13">
        <f t="shared" si="2"/>
        <v>0.9114133333</v>
      </c>
    </row>
    <row r="21">
      <c r="A21" s="15">
        <f t="shared" si="3"/>
        <v>20</v>
      </c>
      <c r="B21" s="15" t="s">
        <v>18</v>
      </c>
      <c r="C21" s="15" t="s">
        <v>19</v>
      </c>
      <c r="D21" s="15">
        <v>76.0</v>
      </c>
      <c r="E21" s="15">
        <v>7.0</v>
      </c>
      <c r="F21" s="15" t="s">
        <v>5103</v>
      </c>
      <c r="G21" s="15" t="s">
        <v>5553</v>
      </c>
      <c r="H21" s="15" t="s">
        <v>5553</v>
      </c>
      <c r="I21" s="15" t="s">
        <v>5553</v>
      </c>
      <c r="J21" s="15"/>
      <c r="K21" s="15"/>
      <c r="L21" s="15">
        <v>0.0</v>
      </c>
      <c r="M21" s="15" t="s">
        <v>683</v>
      </c>
      <c r="N21" s="15" t="s">
        <v>22</v>
      </c>
      <c r="O21" s="15" t="s">
        <v>29</v>
      </c>
      <c r="P21" s="15" t="s">
        <v>24</v>
      </c>
      <c r="Q21" s="16">
        <v>-2.75</v>
      </c>
      <c r="R21" s="16">
        <v>0.1</v>
      </c>
      <c r="S21" s="16">
        <v>0.09</v>
      </c>
      <c r="T21" s="17">
        <v>45416.0</v>
      </c>
      <c r="U21" s="18">
        <v>2.0</v>
      </c>
      <c r="V21" s="15" t="s">
        <v>33</v>
      </c>
      <c r="W21" s="19">
        <f t="shared" si="1"/>
        <v>0.09</v>
      </c>
      <c r="X21" s="19">
        <f t="shared" si="4"/>
        <v>-1.63975</v>
      </c>
      <c r="Z21" s="17">
        <v>45432.0</v>
      </c>
      <c r="AA21" s="13">
        <f t="shared" si="2"/>
        <v>0</v>
      </c>
    </row>
    <row r="22">
      <c r="A22" s="8">
        <f t="shared" si="3"/>
        <v>21</v>
      </c>
      <c r="B22" s="8" t="s">
        <v>18</v>
      </c>
      <c r="C22" s="8" t="s">
        <v>19</v>
      </c>
      <c r="D22" s="8">
        <v>59.0</v>
      </c>
      <c r="E22" s="8">
        <v>3.0</v>
      </c>
      <c r="F22" s="8" t="s">
        <v>5104</v>
      </c>
      <c r="G22" s="8">
        <v>2.0</v>
      </c>
      <c r="H22" s="8">
        <v>8.0</v>
      </c>
      <c r="I22" s="111">
        <v>0.8</v>
      </c>
      <c r="J22" s="8" t="s">
        <v>1473</v>
      </c>
      <c r="K22" s="8" t="s">
        <v>1477</v>
      </c>
      <c r="L22" s="8">
        <v>2.0</v>
      </c>
      <c r="M22" s="8" t="s">
        <v>44</v>
      </c>
      <c r="N22" s="8" t="s">
        <v>22</v>
      </c>
      <c r="O22" s="8" t="s">
        <v>894</v>
      </c>
      <c r="P22" s="8" t="s">
        <v>24</v>
      </c>
      <c r="Q22" s="9">
        <v>-0.25</v>
      </c>
      <c r="R22" s="9">
        <v>0.1</v>
      </c>
      <c r="S22" s="9">
        <v>0.1</v>
      </c>
      <c r="T22" s="10">
        <v>45416.0</v>
      </c>
      <c r="U22" s="11">
        <v>1.75</v>
      </c>
      <c r="V22" s="8" t="s">
        <v>33</v>
      </c>
      <c r="W22" s="12">
        <f t="shared" si="1"/>
        <v>0.075</v>
      </c>
      <c r="X22" s="12">
        <f t="shared" si="4"/>
        <v>-1.56475</v>
      </c>
      <c r="Z22" s="10">
        <v>45433.0</v>
      </c>
      <c r="AA22" s="13">
        <f t="shared" si="2"/>
        <v>0.44424</v>
      </c>
    </row>
    <row r="23">
      <c r="A23" s="15">
        <f t="shared" si="3"/>
        <v>22</v>
      </c>
      <c r="B23" s="15" t="s">
        <v>137</v>
      </c>
      <c r="C23" s="15" t="s">
        <v>19</v>
      </c>
      <c r="D23" s="15">
        <v>26.0</v>
      </c>
      <c r="E23" s="15">
        <v>7.0</v>
      </c>
      <c r="F23" s="15" t="s">
        <v>5105</v>
      </c>
      <c r="G23" s="15">
        <v>1.0</v>
      </c>
      <c r="H23" s="15">
        <v>2.0</v>
      </c>
      <c r="I23" s="110">
        <v>0.833</v>
      </c>
      <c r="J23" s="15" t="s">
        <v>1473</v>
      </c>
      <c r="K23" s="15" t="s">
        <v>1474</v>
      </c>
      <c r="L23" s="15">
        <v>0.0</v>
      </c>
      <c r="M23" s="15" t="s">
        <v>341</v>
      </c>
      <c r="N23" s="15" t="s">
        <v>22</v>
      </c>
      <c r="O23" s="15" t="s">
        <v>225</v>
      </c>
      <c r="P23" s="15" t="s">
        <v>24</v>
      </c>
      <c r="Q23" s="16">
        <v>0.5</v>
      </c>
      <c r="R23" s="16">
        <v>0.2</v>
      </c>
      <c r="S23" s="16">
        <v>0.2</v>
      </c>
      <c r="T23" s="17">
        <v>45416.0</v>
      </c>
      <c r="U23" s="18">
        <v>1.775</v>
      </c>
      <c r="V23" s="15" t="s">
        <v>33</v>
      </c>
      <c r="W23" s="19">
        <f t="shared" si="1"/>
        <v>0.155</v>
      </c>
      <c r="X23" s="19">
        <f t="shared" si="4"/>
        <v>-1.40975</v>
      </c>
      <c r="Z23" s="17">
        <v>45434.0</v>
      </c>
      <c r="AA23" s="13">
        <f t="shared" si="2"/>
        <v>0.7338357143</v>
      </c>
    </row>
    <row r="24">
      <c r="A24" s="8">
        <f t="shared" si="3"/>
        <v>23</v>
      </c>
      <c r="B24" s="8" t="s">
        <v>129</v>
      </c>
      <c r="C24" s="8" t="s">
        <v>19</v>
      </c>
      <c r="D24" s="8">
        <v>72.0</v>
      </c>
      <c r="E24" s="8">
        <v>3.0</v>
      </c>
      <c r="F24" s="8" t="s">
        <v>5106</v>
      </c>
      <c r="G24" s="8">
        <v>1.0</v>
      </c>
      <c r="H24" s="8">
        <v>2.0</v>
      </c>
      <c r="I24" s="111">
        <v>1.0</v>
      </c>
      <c r="J24" s="8" t="s">
        <v>1479</v>
      </c>
      <c r="K24" s="8" t="s">
        <v>1480</v>
      </c>
      <c r="L24" s="8">
        <v>0.0</v>
      </c>
      <c r="M24" s="8" t="s">
        <v>1493</v>
      </c>
      <c r="N24" s="8" t="s">
        <v>22</v>
      </c>
      <c r="O24" s="8" t="s">
        <v>892</v>
      </c>
      <c r="P24" s="8" t="s">
        <v>24</v>
      </c>
      <c r="Q24" s="9">
        <v>0.0</v>
      </c>
      <c r="R24" s="98">
        <v>0.6</v>
      </c>
      <c r="S24" s="33">
        <v>0.59</v>
      </c>
      <c r="T24" s="10">
        <v>45416.0</v>
      </c>
      <c r="U24" s="11">
        <v>1.65</v>
      </c>
      <c r="V24" s="8" t="s">
        <v>25</v>
      </c>
      <c r="W24" s="12">
        <f t="shared" si="1"/>
        <v>-0.59</v>
      </c>
      <c r="X24" s="12">
        <f t="shared" si="4"/>
        <v>-1.99975</v>
      </c>
      <c r="Z24" s="10">
        <v>45435.0</v>
      </c>
      <c r="AA24" s="13">
        <f t="shared" si="2"/>
        <v>-0.1</v>
      </c>
    </row>
    <row r="25">
      <c r="A25" s="15">
        <f t="shared" si="3"/>
        <v>24</v>
      </c>
      <c r="B25" s="15" t="s">
        <v>26</v>
      </c>
      <c r="C25" s="15" t="s">
        <v>19</v>
      </c>
      <c r="D25" s="15">
        <v>83.0</v>
      </c>
      <c r="E25" s="15">
        <v>3.0</v>
      </c>
      <c r="F25" s="15" t="s">
        <v>5107</v>
      </c>
      <c r="G25" s="15">
        <v>8.0</v>
      </c>
      <c r="H25" s="15">
        <v>9.0</v>
      </c>
      <c r="I25" s="110">
        <f>5/26</f>
        <v>0.1923076923</v>
      </c>
      <c r="J25" s="15" t="s">
        <v>1479</v>
      </c>
      <c r="K25" s="15" t="s">
        <v>1480</v>
      </c>
      <c r="L25" s="15">
        <v>-3.0</v>
      </c>
      <c r="M25" s="15" t="s">
        <v>463</v>
      </c>
      <c r="N25" s="15" t="s">
        <v>22</v>
      </c>
      <c r="O25" s="15" t="s">
        <v>892</v>
      </c>
      <c r="P25" s="15" t="s">
        <v>24</v>
      </c>
      <c r="Q25" s="16">
        <v>0.0</v>
      </c>
      <c r="R25" s="99">
        <v>0.35</v>
      </c>
      <c r="S25" s="43">
        <v>0.35</v>
      </c>
      <c r="T25" s="17">
        <v>45416.0</v>
      </c>
      <c r="U25" s="18">
        <v>1.9</v>
      </c>
      <c r="V25" s="15" t="s">
        <v>70</v>
      </c>
      <c r="W25" s="19">
        <f t="shared" si="1"/>
        <v>0</v>
      </c>
      <c r="X25" s="19">
        <f t="shared" si="4"/>
        <v>-1.99975</v>
      </c>
      <c r="Z25" s="17">
        <v>45436.0</v>
      </c>
      <c r="AA25" s="13">
        <f t="shared" si="2"/>
        <v>0.1575</v>
      </c>
    </row>
    <row r="26">
      <c r="A26" s="8">
        <f t="shared" si="3"/>
        <v>25</v>
      </c>
      <c r="B26" s="8" t="s">
        <v>26</v>
      </c>
      <c r="C26" s="8" t="s">
        <v>19</v>
      </c>
      <c r="D26" s="8">
        <v>42.0</v>
      </c>
      <c r="E26" s="8">
        <v>3.0</v>
      </c>
      <c r="F26" s="8" t="s">
        <v>5108</v>
      </c>
      <c r="G26" s="8"/>
      <c r="H26" s="8"/>
      <c r="I26" s="8" t="s">
        <v>5561</v>
      </c>
      <c r="J26" s="8" t="s">
        <v>1473</v>
      </c>
      <c r="K26" s="8" t="s">
        <v>1480</v>
      </c>
      <c r="L26" s="8">
        <v>0.0</v>
      </c>
      <c r="M26" s="8" t="s">
        <v>50</v>
      </c>
      <c r="N26" s="8" t="s">
        <v>22</v>
      </c>
      <c r="O26" s="8" t="s">
        <v>892</v>
      </c>
      <c r="P26" s="8" t="s">
        <v>24</v>
      </c>
      <c r="Q26" s="9">
        <v>0.0</v>
      </c>
      <c r="R26" s="9">
        <v>0.1</v>
      </c>
      <c r="S26" s="9">
        <v>0.1</v>
      </c>
      <c r="T26" s="10">
        <v>45416.0</v>
      </c>
      <c r="U26" s="11">
        <v>1.825</v>
      </c>
      <c r="V26" s="8" t="s">
        <v>70</v>
      </c>
      <c r="W26" s="12">
        <f t="shared" si="1"/>
        <v>0</v>
      </c>
      <c r="X26" s="12">
        <f t="shared" si="4"/>
        <v>-1.99975</v>
      </c>
      <c r="Z26" s="66">
        <v>45437.0</v>
      </c>
      <c r="AA26" s="13">
        <f t="shared" si="2"/>
        <v>0.93341</v>
      </c>
    </row>
    <row r="27">
      <c r="A27" s="15">
        <f t="shared" si="3"/>
        <v>26</v>
      </c>
      <c r="B27" s="15" t="s">
        <v>26</v>
      </c>
      <c r="C27" s="15" t="s">
        <v>19</v>
      </c>
      <c r="D27" s="15">
        <v>25.0</v>
      </c>
      <c r="E27" s="15">
        <v>3.0</v>
      </c>
      <c r="F27" s="160" t="s">
        <v>5109</v>
      </c>
      <c r="G27" s="160">
        <v>3.0</v>
      </c>
      <c r="H27" s="160">
        <v>4.0</v>
      </c>
      <c r="I27" s="110">
        <f>24/30</f>
        <v>0.8</v>
      </c>
      <c r="J27" s="15" t="s">
        <v>1479</v>
      </c>
      <c r="K27" s="15" t="s">
        <v>1480</v>
      </c>
      <c r="L27" s="15">
        <v>0.0</v>
      </c>
      <c r="M27" s="15" t="s">
        <v>101</v>
      </c>
      <c r="N27" s="15" t="s">
        <v>22</v>
      </c>
      <c r="O27" s="15" t="s">
        <v>1150</v>
      </c>
      <c r="P27" s="15" t="s">
        <v>24</v>
      </c>
      <c r="Q27" s="16">
        <v>0.0</v>
      </c>
      <c r="R27" s="16">
        <v>0.1</v>
      </c>
      <c r="S27" s="16">
        <v>0.4</v>
      </c>
      <c r="T27" s="17">
        <v>45416.0</v>
      </c>
      <c r="U27" s="18">
        <v>1.7</v>
      </c>
      <c r="V27" s="15" t="s">
        <v>70</v>
      </c>
      <c r="W27" s="19">
        <f t="shared" si="1"/>
        <v>0</v>
      </c>
      <c r="X27" s="19">
        <f t="shared" si="4"/>
        <v>-1.99975</v>
      </c>
      <c r="Z27" s="66">
        <v>45438.0</v>
      </c>
      <c r="AA27" s="13">
        <f t="shared" si="2"/>
        <v>-1.85</v>
      </c>
    </row>
    <row r="28">
      <c r="A28" s="8">
        <f t="shared" si="3"/>
        <v>27</v>
      </c>
      <c r="B28" s="8" t="s">
        <v>18</v>
      </c>
      <c r="C28" s="8" t="s">
        <v>19</v>
      </c>
      <c r="D28" s="8">
        <v>73.0</v>
      </c>
      <c r="E28" s="8">
        <v>3.0</v>
      </c>
      <c r="F28" s="8" t="s">
        <v>5110</v>
      </c>
      <c r="G28" s="8">
        <v>2.0</v>
      </c>
      <c r="H28" s="8">
        <v>7.0</v>
      </c>
      <c r="I28" s="8" t="s">
        <v>5562</v>
      </c>
      <c r="J28" s="8" t="s">
        <v>1479</v>
      </c>
      <c r="K28" s="8" t="s">
        <v>1480</v>
      </c>
      <c r="L28" s="8">
        <v>-1.0</v>
      </c>
      <c r="M28" s="8" t="s">
        <v>463</v>
      </c>
      <c r="N28" s="8" t="s">
        <v>22</v>
      </c>
      <c r="O28" s="8" t="s">
        <v>892</v>
      </c>
      <c r="P28" s="8" t="s">
        <v>24</v>
      </c>
      <c r="Q28" s="9">
        <v>0.0</v>
      </c>
      <c r="R28" s="9">
        <v>0.3</v>
      </c>
      <c r="S28" s="9">
        <v>0.3</v>
      </c>
      <c r="T28" s="10">
        <v>45416.0</v>
      </c>
      <c r="U28" s="11">
        <v>1.775</v>
      </c>
      <c r="V28" s="8" t="s">
        <v>33</v>
      </c>
      <c r="W28" s="12">
        <f t="shared" si="1"/>
        <v>0.2325</v>
      </c>
      <c r="X28" s="12">
        <f t="shared" si="4"/>
        <v>-1.76725</v>
      </c>
      <c r="Z28" s="66">
        <v>45439.0</v>
      </c>
      <c r="AA28" s="13">
        <f t="shared" si="2"/>
        <v>0</v>
      </c>
    </row>
    <row r="29">
      <c r="A29" s="15">
        <f t="shared" si="3"/>
        <v>28</v>
      </c>
      <c r="B29" s="15" t="s">
        <v>26</v>
      </c>
      <c r="C29" s="15" t="s">
        <v>19</v>
      </c>
      <c r="D29" s="15">
        <v>58.0</v>
      </c>
      <c r="E29" s="15">
        <v>5.0</v>
      </c>
      <c r="F29" s="15" t="s">
        <v>5111</v>
      </c>
      <c r="G29" s="15">
        <v>1.0</v>
      </c>
      <c r="H29" s="15">
        <v>5.0</v>
      </c>
      <c r="I29" s="110">
        <f>24/30</f>
        <v>0.8</v>
      </c>
      <c r="J29" s="15" t="s">
        <v>1479</v>
      </c>
      <c r="K29" s="15" t="s">
        <v>1477</v>
      </c>
      <c r="L29" s="15">
        <v>0.0</v>
      </c>
      <c r="M29" s="15" t="s">
        <v>3017</v>
      </c>
      <c r="N29" s="15" t="s">
        <v>22</v>
      </c>
      <c r="O29" s="15" t="s">
        <v>894</v>
      </c>
      <c r="P29" s="15" t="s">
        <v>24</v>
      </c>
      <c r="Q29" s="16">
        <v>-0.75</v>
      </c>
      <c r="R29" s="16">
        <v>0.1</v>
      </c>
      <c r="S29" s="16">
        <v>0.09</v>
      </c>
      <c r="T29" s="17">
        <v>45416.0</v>
      </c>
      <c r="U29" s="18">
        <v>1.95</v>
      </c>
      <c r="V29" s="15" t="s">
        <v>30</v>
      </c>
      <c r="W29" s="19">
        <f t="shared" si="1"/>
        <v>0.04275</v>
      </c>
      <c r="X29" s="19">
        <f t="shared" si="4"/>
        <v>-1.7245</v>
      </c>
      <c r="Z29" s="66">
        <v>45440.0</v>
      </c>
      <c r="AA29" s="13">
        <f t="shared" si="2"/>
        <v>0.2915</v>
      </c>
    </row>
    <row r="30">
      <c r="A30" s="8">
        <f t="shared" si="3"/>
        <v>29</v>
      </c>
      <c r="B30" s="8" t="s">
        <v>26</v>
      </c>
      <c r="C30" s="8" t="s">
        <v>40</v>
      </c>
      <c r="D30" s="8">
        <v>69.0</v>
      </c>
      <c r="E30" s="8">
        <v>3.0</v>
      </c>
      <c r="F30" s="8" t="s">
        <v>5112</v>
      </c>
      <c r="G30" s="8">
        <v>8.0</v>
      </c>
      <c r="H30" s="8">
        <v>7.0</v>
      </c>
      <c r="I30" s="111">
        <f t="shared" ref="I30:I32" si="5">29/30</f>
        <v>0.9666666667</v>
      </c>
      <c r="J30" s="8" t="s">
        <v>1473</v>
      </c>
      <c r="K30" s="8" t="s">
        <v>1480</v>
      </c>
      <c r="L30" s="8">
        <v>0.0</v>
      </c>
      <c r="M30" s="8" t="s">
        <v>60</v>
      </c>
      <c r="N30" s="8" t="s">
        <v>22</v>
      </c>
      <c r="O30" s="8" t="s">
        <v>892</v>
      </c>
      <c r="P30" s="8" t="s">
        <v>24</v>
      </c>
      <c r="Q30" s="9">
        <v>0.0</v>
      </c>
      <c r="R30" s="9">
        <v>0.5</v>
      </c>
      <c r="S30" s="9">
        <v>0.5</v>
      </c>
      <c r="T30" s="10">
        <v>45416.0</v>
      </c>
      <c r="U30" s="11">
        <v>1.95</v>
      </c>
      <c r="V30" s="8" t="s">
        <v>25</v>
      </c>
      <c r="W30" s="12">
        <f t="shared" si="1"/>
        <v>-0.5</v>
      </c>
      <c r="X30" s="12">
        <f t="shared" si="4"/>
        <v>-2.2245</v>
      </c>
      <c r="Z30" s="66">
        <v>45441.0</v>
      </c>
      <c r="AA30" s="13">
        <f t="shared" si="2"/>
        <v>0.55037</v>
      </c>
    </row>
    <row r="31">
      <c r="A31" s="15">
        <f t="shared" si="3"/>
        <v>30</v>
      </c>
      <c r="B31" s="15" t="s">
        <v>26</v>
      </c>
      <c r="C31" s="15" t="s">
        <v>19</v>
      </c>
      <c r="D31" s="15">
        <v>79.0</v>
      </c>
      <c r="E31" s="15">
        <v>7.0</v>
      </c>
      <c r="F31" s="15" t="s">
        <v>5113</v>
      </c>
      <c r="G31" s="15">
        <v>5.0</v>
      </c>
      <c r="H31" s="15">
        <v>9.0</v>
      </c>
      <c r="I31" s="110">
        <f t="shared" si="5"/>
        <v>0.9666666667</v>
      </c>
      <c r="J31" s="15" t="s">
        <v>1473</v>
      </c>
      <c r="K31" s="15" t="s">
        <v>1474</v>
      </c>
      <c r="L31" s="15">
        <v>2.0</v>
      </c>
      <c r="M31" s="15" t="s">
        <v>60</v>
      </c>
      <c r="N31" s="15" t="s">
        <v>22</v>
      </c>
      <c r="O31" s="15" t="s">
        <v>225</v>
      </c>
      <c r="P31" s="15" t="s">
        <v>24</v>
      </c>
      <c r="Q31" s="16">
        <v>0.25</v>
      </c>
      <c r="R31" s="16">
        <v>0.6</v>
      </c>
      <c r="S31" s="16">
        <v>0.59</v>
      </c>
      <c r="T31" s="17">
        <v>45416.0</v>
      </c>
      <c r="U31" s="18">
        <v>1.775</v>
      </c>
      <c r="V31" s="15" t="s">
        <v>30</v>
      </c>
      <c r="W31" s="19">
        <f t="shared" si="1"/>
        <v>0.228625</v>
      </c>
      <c r="X31" s="19">
        <f t="shared" si="4"/>
        <v>-1.995875</v>
      </c>
      <c r="Z31" s="66">
        <v>45442.0</v>
      </c>
      <c r="AA31" s="13">
        <f t="shared" si="2"/>
        <v>0</v>
      </c>
    </row>
    <row r="32">
      <c r="A32" s="8">
        <f t="shared" si="3"/>
        <v>31</v>
      </c>
      <c r="B32" s="8" t="s">
        <v>18</v>
      </c>
      <c r="C32" s="8" t="s">
        <v>19</v>
      </c>
      <c r="D32" s="8">
        <v>57.0</v>
      </c>
      <c r="E32" s="8">
        <v>3.0</v>
      </c>
      <c r="F32" s="8" t="s">
        <v>5114</v>
      </c>
      <c r="G32" s="8">
        <v>5.0</v>
      </c>
      <c r="H32" s="8">
        <v>11.0</v>
      </c>
      <c r="I32" s="111">
        <f t="shared" si="5"/>
        <v>0.9666666667</v>
      </c>
      <c r="J32" s="8" t="s">
        <v>1479</v>
      </c>
      <c r="K32" s="8" t="s">
        <v>1480</v>
      </c>
      <c r="L32" s="8">
        <v>-1.0</v>
      </c>
      <c r="M32" s="8" t="s">
        <v>93</v>
      </c>
      <c r="N32" s="8" t="s">
        <v>22</v>
      </c>
      <c r="O32" s="8" t="s">
        <v>892</v>
      </c>
      <c r="P32" s="8" t="s">
        <v>24</v>
      </c>
      <c r="Q32" s="9">
        <v>0.0</v>
      </c>
      <c r="R32" s="9">
        <v>0.95</v>
      </c>
      <c r="S32" s="9">
        <v>0.77</v>
      </c>
      <c r="T32" s="10">
        <v>45416.0</v>
      </c>
      <c r="U32" s="11">
        <v>1.975</v>
      </c>
      <c r="V32" s="8" t="s">
        <v>70</v>
      </c>
      <c r="W32" s="12">
        <f t="shared" si="1"/>
        <v>0</v>
      </c>
      <c r="X32" s="12">
        <f t="shared" si="4"/>
        <v>-1.995875</v>
      </c>
      <c r="Z32" s="66">
        <v>45443.0</v>
      </c>
      <c r="AA32" s="13">
        <f t="shared" si="2"/>
        <v>0.08</v>
      </c>
    </row>
    <row r="33">
      <c r="A33" s="15">
        <f t="shared" si="3"/>
        <v>32</v>
      </c>
      <c r="B33" s="15" t="s">
        <v>137</v>
      </c>
      <c r="C33" s="15" t="s">
        <v>19</v>
      </c>
      <c r="D33" s="15">
        <v>20.0</v>
      </c>
      <c r="E33" s="15">
        <v>3.0</v>
      </c>
      <c r="F33" s="15" t="s">
        <v>5115</v>
      </c>
      <c r="G33" s="15">
        <v>10.0</v>
      </c>
      <c r="H33" s="15">
        <v>4.0</v>
      </c>
      <c r="I33" s="110">
        <v>0.213</v>
      </c>
      <c r="J33" s="15" t="s">
        <v>1479</v>
      </c>
      <c r="K33" s="15" t="s">
        <v>1480</v>
      </c>
      <c r="L33" s="15">
        <v>0.0</v>
      </c>
      <c r="M33" s="15" t="s">
        <v>74</v>
      </c>
      <c r="N33" s="15" t="s">
        <v>22</v>
      </c>
      <c r="O33" s="15" t="s">
        <v>1150</v>
      </c>
      <c r="P33" s="15" t="s">
        <v>24</v>
      </c>
      <c r="Q33" s="16">
        <v>0.0</v>
      </c>
      <c r="R33" s="16">
        <v>0.5</v>
      </c>
      <c r="S33" s="16">
        <v>0.48</v>
      </c>
      <c r="T33" s="17">
        <v>45416.0</v>
      </c>
      <c r="U33" s="18">
        <v>1.8</v>
      </c>
      <c r="V33" s="15" t="s">
        <v>25</v>
      </c>
      <c r="W33" s="19">
        <f t="shared" si="1"/>
        <v>-0.48</v>
      </c>
      <c r="X33" s="19">
        <f t="shared" si="4"/>
        <v>-2.475875</v>
      </c>
      <c r="Z33" s="94" t="s">
        <v>89</v>
      </c>
      <c r="AA33" s="28">
        <f>SUM(AA2:AA32)</f>
        <v>2.458291402</v>
      </c>
    </row>
    <row r="34">
      <c r="A34" s="8">
        <f t="shared" si="3"/>
        <v>33</v>
      </c>
      <c r="B34" s="8" t="s">
        <v>129</v>
      </c>
      <c r="C34" s="8" t="s">
        <v>19</v>
      </c>
      <c r="D34" s="8">
        <v>25.0</v>
      </c>
      <c r="E34" s="8">
        <v>3.0</v>
      </c>
      <c r="F34" s="8" t="s">
        <v>5116</v>
      </c>
      <c r="G34" s="8">
        <v>11.0</v>
      </c>
      <c r="H34" s="8">
        <v>15.0</v>
      </c>
      <c r="I34" s="111">
        <f>33/34</f>
        <v>0.9705882353</v>
      </c>
      <c r="J34" s="8" t="s">
        <v>1473</v>
      </c>
      <c r="K34" s="8" t="s">
        <v>1480</v>
      </c>
      <c r="L34" s="8">
        <v>0.0</v>
      </c>
      <c r="M34" s="8" t="s">
        <v>93</v>
      </c>
      <c r="N34" s="8" t="s">
        <v>22</v>
      </c>
      <c r="O34" s="8" t="s">
        <v>892</v>
      </c>
      <c r="P34" s="8" t="s">
        <v>24</v>
      </c>
      <c r="Q34" s="9">
        <v>0.0</v>
      </c>
      <c r="R34" s="9">
        <v>0.2</v>
      </c>
      <c r="S34" s="9">
        <v>0.09</v>
      </c>
      <c r="T34" s="10">
        <v>45417.0</v>
      </c>
      <c r="U34" s="11">
        <v>1.9</v>
      </c>
      <c r="V34" s="8" t="s">
        <v>33</v>
      </c>
      <c r="W34" s="12">
        <f t="shared" si="1"/>
        <v>0.081</v>
      </c>
      <c r="X34" s="12">
        <f t="shared" si="4"/>
        <v>-2.394875</v>
      </c>
    </row>
    <row r="35">
      <c r="A35" s="15">
        <f t="shared" si="3"/>
        <v>34</v>
      </c>
      <c r="B35" s="15" t="s">
        <v>26</v>
      </c>
      <c r="C35" s="15" t="s">
        <v>19</v>
      </c>
      <c r="D35" s="15">
        <v>62.0</v>
      </c>
      <c r="E35" s="15">
        <v>3.0</v>
      </c>
      <c r="F35" s="15" t="s">
        <v>5117</v>
      </c>
      <c r="G35" s="15">
        <v>12.0</v>
      </c>
      <c r="H35" s="15">
        <v>3.0</v>
      </c>
      <c r="I35" s="110">
        <f>4/26</f>
        <v>0.1538461538</v>
      </c>
      <c r="J35" s="15" t="s">
        <v>1473</v>
      </c>
      <c r="K35" s="15" t="s">
        <v>1480</v>
      </c>
      <c r="L35" s="15">
        <v>0.0</v>
      </c>
      <c r="M35" s="15" t="s">
        <v>463</v>
      </c>
      <c r="N35" s="15" t="s">
        <v>22</v>
      </c>
      <c r="O35" s="15" t="s">
        <v>892</v>
      </c>
      <c r="P35" s="15" t="s">
        <v>24</v>
      </c>
      <c r="Q35" s="16">
        <v>0.0</v>
      </c>
      <c r="R35" s="16">
        <v>0.5</v>
      </c>
      <c r="S35" s="16">
        <v>0.39</v>
      </c>
      <c r="T35" s="17">
        <v>45417.0</v>
      </c>
      <c r="U35" s="18">
        <v>2.02</v>
      </c>
      <c r="V35" s="15" t="s">
        <v>70</v>
      </c>
      <c r="W35" s="19">
        <f t="shared" si="1"/>
        <v>0</v>
      </c>
      <c r="X35" s="19">
        <f t="shared" si="4"/>
        <v>-2.394875</v>
      </c>
      <c r="Z35" s="29"/>
    </row>
    <row r="36">
      <c r="A36" s="8">
        <f t="shared" si="3"/>
        <v>35</v>
      </c>
      <c r="B36" s="8" t="s">
        <v>18</v>
      </c>
      <c r="C36" s="8" t="s">
        <v>19</v>
      </c>
      <c r="D36" s="8">
        <v>68.0</v>
      </c>
      <c r="E36" s="8">
        <v>3.0</v>
      </c>
      <c r="F36" s="8" t="s">
        <v>5118</v>
      </c>
      <c r="G36" s="8">
        <v>7.0</v>
      </c>
      <c r="H36" s="8">
        <v>9.0</v>
      </c>
      <c r="I36" s="111">
        <v>0.166</v>
      </c>
      <c r="J36" s="8" t="s">
        <v>1479</v>
      </c>
      <c r="K36" s="8" t="s">
        <v>1480</v>
      </c>
      <c r="L36" s="8">
        <v>0.0</v>
      </c>
      <c r="M36" s="8" t="s">
        <v>463</v>
      </c>
      <c r="N36" s="8" t="s">
        <v>22</v>
      </c>
      <c r="O36" s="8" t="s">
        <v>892</v>
      </c>
      <c r="P36" s="8" t="s">
        <v>24</v>
      </c>
      <c r="Q36" s="9">
        <v>0.0</v>
      </c>
      <c r="R36" s="9">
        <v>0.5</v>
      </c>
      <c r="S36" s="9">
        <v>0.45</v>
      </c>
      <c r="T36" s="10">
        <v>45417.0</v>
      </c>
      <c r="U36" s="11">
        <v>1.825</v>
      </c>
      <c r="V36" s="8" t="s">
        <v>70</v>
      </c>
      <c r="W36" s="12">
        <f t="shared" si="1"/>
        <v>0</v>
      </c>
      <c r="X36" s="12">
        <f t="shared" si="4"/>
        <v>-2.394875</v>
      </c>
      <c r="Z36" s="30"/>
    </row>
    <row r="37">
      <c r="A37" s="15">
        <f t="shared" si="3"/>
        <v>36</v>
      </c>
      <c r="B37" s="15" t="s">
        <v>18</v>
      </c>
      <c r="C37" s="15" t="s">
        <v>19</v>
      </c>
      <c r="D37" s="15">
        <v>65.0</v>
      </c>
      <c r="E37" s="15">
        <v>2.0</v>
      </c>
      <c r="F37" s="15" t="s">
        <v>5119</v>
      </c>
      <c r="G37" s="15">
        <v>7.0</v>
      </c>
      <c r="H37" s="15">
        <v>4.0</v>
      </c>
      <c r="I37" s="110">
        <v>0.73</v>
      </c>
      <c r="J37" s="15" t="s">
        <v>1479</v>
      </c>
      <c r="K37" s="15" t="s">
        <v>1474</v>
      </c>
      <c r="L37" s="15">
        <v>1.0</v>
      </c>
      <c r="M37" s="15" t="s">
        <v>513</v>
      </c>
      <c r="N37" s="15" t="s">
        <v>22</v>
      </c>
      <c r="O37" s="15" t="s">
        <v>225</v>
      </c>
      <c r="P37" s="15" t="s">
        <v>24</v>
      </c>
      <c r="Q37" s="16">
        <v>0.25</v>
      </c>
      <c r="R37" s="16">
        <v>0.2</v>
      </c>
      <c r="S37" s="16">
        <v>0.2</v>
      </c>
      <c r="T37" s="17">
        <v>45417.0</v>
      </c>
      <c r="U37" s="18">
        <v>1.725</v>
      </c>
      <c r="V37" s="15" t="s">
        <v>33</v>
      </c>
      <c r="W37" s="19">
        <f t="shared" si="1"/>
        <v>0.145</v>
      </c>
      <c r="X37" s="19">
        <f t="shared" si="4"/>
        <v>-2.249875</v>
      </c>
      <c r="Z37" s="30"/>
    </row>
    <row r="38">
      <c r="A38" s="8">
        <f t="shared" si="3"/>
        <v>37</v>
      </c>
      <c r="B38" s="8" t="s">
        <v>129</v>
      </c>
      <c r="C38" s="8" t="s">
        <v>19</v>
      </c>
      <c r="D38" s="8">
        <v>43.0</v>
      </c>
      <c r="E38" s="8">
        <v>2.0</v>
      </c>
      <c r="F38" s="8" t="s">
        <v>5120</v>
      </c>
      <c r="G38" s="8" t="s">
        <v>5553</v>
      </c>
      <c r="H38" s="8" t="s">
        <v>5553</v>
      </c>
      <c r="I38" s="8" t="s">
        <v>5553</v>
      </c>
      <c r="J38" s="8" t="s">
        <v>1473</v>
      </c>
      <c r="K38" s="8" t="s">
        <v>1474</v>
      </c>
      <c r="L38" s="8">
        <v>-1.0</v>
      </c>
      <c r="M38" s="8" t="s">
        <v>513</v>
      </c>
      <c r="N38" s="8" t="s">
        <v>22</v>
      </c>
      <c r="O38" s="8" t="s">
        <v>225</v>
      </c>
      <c r="P38" s="8" t="s">
        <v>24</v>
      </c>
      <c r="Q38" s="9">
        <v>1.25</v>
      </c>
      <c r="R38" s="9">
        <v>0.2</v>
      </c>
      <c r="S38" s="9">
        <v>0.2</v>
      </c>
      <c r="T38" s="10">
        <v>45417.0</v>
      </c>
      <c r="U38" s="11">
        <v>1.8</v>
      </c>
      <c r="V38" s="8" t="s">
        <v>25</v>
      </c>
      <c r="W38" s="12">
        <f t="shared" si="1"/>
        <v>-0.2</v>
      </c>
      <c r="X38" s="12">
        <f t="shared" si="4"/>
        <v>-2.449875</v>
      </c>
      <c r="Z38" s="30"/>
    </row>
    <row r="39">
      <c r="A39" s="15">
        <f t="shared" si="3"/>
        <v>38</v>
      </c>
      <c r="B39" s="15" t="s">
        <v>18</v>
      </c>
      <c r="C39" s="15" t="s">
        <v>19</v>
      </c>
      <c r="D39" s="15">
        <v>70.0</v>
      </c>
      <c r="E39" s="15">
        <v>7.0</v>
      </c>
      <c r="F39" s="15" t="s">
        <v>5121</v>
      </c>
      <c r="G39" s="15" t="s">
        <v>5553</v>
      </c>
      <c r="H39" s="15" t="s">
        <v>5553</v>
      </c>
      <c r="I39" s="15" t="s">
        <v>5553</v>
      </c>
      <c r="J39" s="15" t="s">
        <v>1473</v>
      </c>
      <c r="K39" s="15" t="s">
        <v>1474</v>
      </c>
      <c r="L39" s="15">
        <v>0.0</v>
      </c>
      <c r="M39" s="15" t="s">
        <v>124</v>
      </c>
      <c r="N39" s="15" t="s">
        <v>22</v>
      </c>
      <c r="O39" s="15" t="s">
        <v>225</v>
      </c>
      <c r="P39" s="15" t="s">
        <v>24</v>
      </c>
      <c r="Q39" s="16">
        <v>0.25</v>
      </c>
      <c r="R39" s="16">
        <v>0.2</v>
      </c>
      <c r="S39" s="16">
        <v>0.2</v>
      </c>
      <c r="T39" s="17">
        <v>45417.0</v>
      </c>
      <c r="U39" s="18">
        <v>1.092</v>
      </c>
      <c r="V39" s="15" t="s">
        <v>33</v>
      </c>
      <c r="W39" s="19">
        <f t="shared" si="1"/>
        <v>0.0184</v>
      </c>
      <c r="X39" s="19">
        <f t="shared" si="4"/>
        <v>-2.431475</v>
      </c>
      <c r="Z39" s="30"/>
    </row>
    <row r="40">
      <c r="A40" s="8">
        <f t="shared" si="3"/>
        <v>39</v>
      </c>
      <c r="B40" s="8" t="s">
        <v>26</v>
      </c>
      <c r="C40" s="8" t="s">
        <v>19</v>
      </c>
      <c r="D40" s="8">
        <v>16.0</v>
      </c>
      <c r="E40" s="8">
        <v>3.0</v>
      </c>
      <c r="F40" s="8" t="s">
        <v>5122</v>
      </c>
      <c r="G40" s="8">
        <v>10.0</v>
      </c>
      <c r="H40" s="8">
        <v>7.0</v>
      </c>
      <c r="I40" s="111">
        <f>24/34</f>
        <v>0.7058823529</v>
      </c>
      <c r="J40" s="8" t="s">
        <v>1479</v>
      </c>
      <c r="K40" s="8" t="s">
        <v>1480</v>
      </c>
      <c r="L40" s="8">
        <v>0.0</v>
      </c>
      <c r="M40" s="8" t="s">
        <v>432</v>
      </c>
      <c r="N40" s="8" t="s">
        <v>22</v>
      </c>
      <c r="O40" s="8" t="s">
        <v>1150</v>
      </c>
      <c r="P40" s="8" t="s">
        <v>39</v>
      </c>
      <c r="Q40" s="9">
        <v>0.0</v>
      </c>
      <c r="R40" s="9">
        <v>0.5</v>
      </c>
      <c r="S40" s="9">
        <v>0.5</v>
      </c>
      <c r="T40" s="10">
        <v>45417.0</v>
      </c>
      <c r="U40" s="11">
        <v>1.63</v>
      </c>
      <c r="V40" s="8" t="s">
        <v>33</v>
      </c>
      <c r="W40" s="12">
        <f t="shared" si="1"/>
        <v>0.315</v>
      </c>
      <c r="X40" s="12">
        <f t="shared" si="4"/>
        <v>-2.116475</v>
      </c>
      <c r="Z40" s="30"/>
    </row>
    <row r="41">
      <c r="A41" s="15">
        <f t="shared" si="3"/>
        <v>40</v>
      </c>
      <c r="B41" s="15" t="s">
        <v>26</v>
      </c>
      <c r="C41" s="15" t="s">
        <v>19</v>
      </c>
      <c r="D41" s="15">
        <v>13.0</v>
      </c>
      <c r="E41" s="15">
        <v>5.0</v>
      </c>
      <c r="F41" s="15" t="s">
        <v>5123</v>
      </c>
      <c r="G41" s="15">
        <v>13.0</v>
      </c>
      <c r="H41" s="15">
        <v>1.0</v>
      </c>
      <c r="I41" s="110">
        <f>6/23</f>
        <v>0.2608695652</v>
      </c>
      <c r="J41" s="15" t="s">
        <v>1473</v>
      </c>
      <c r="K41" s="15" t="s">
        <v>1477</v>
      </c>
      <c r="L41" s="15">
        <v>0.0</v>
      </c>
      <c r="M41" s="15" t="s">
        <v>768</v>
      </c>
      <c r="N41" s="15" t="s">
        <v>22</v>
      </c>
      <c r="O41" s="15" t="s">
        <v>894</v>
      </c>
      <c r="P41" s="15" t="s">
        <v>24</v>
      </c>
      <c r="Q41" s="16">
        <v>-0.5</v>
      </c>
      <c r="R41" s="16">
        <v>0.2</v>
      </c>
      <c r="S41" s="16">
        <v>0.2</v>
      </c>
      <c r="T41" s="17">
        <v>45417.0</v>
      </c>
      <c r="U41" s="18">
        <v>1.85</v>
      </c>
      <c r="V41" s="15" t="s">
        <v>25</v>
      </c>
      <c r="W41" s="19">
        <f t="shared" si="1"/>
        <v>-0.2</v>
      </c>
      <c r="X41" s="19">
        <f t="shared" si="4"/>
        <v>-2.316475</v>
      </c>
      <c r="Z41" s="30"/>
    </row>
    <row r="42">
      <c r="A42" s="8">
        <f t="shared" si="3"/>
        <v>41</v>
      </c>
      <c r="B42" s="8" t="s">
        <v>26</v>
      </c>
      <c r="C42" s="8" t="s">
        <v>19</v>
      </c>
      <c r="D42" s="8">
        <v>73.0</v>
      </c>
      <c r="E42" s="8">
        <v>3.0</v>
      </c>
      <c r="F42" s="8" t="s">
        <v>5124</v>
      </c>
      <c r="G42" s="8">
        <v>7.0</v>
      </c>
      <c r="H42" s="8">
        <v>4.0</v>
      </c>
      <c r="I42" s="111">
        <f>33/34</f>
        <v>0.9705882353</v>
      </c>
      <c r="J42" s="8" t="s">
        <v>1479</v>
      </c>
      <c r="K42" s="8" t="s">
        <v>1480</v>
      </c>
      <c r="L42" s="8">
        <v>0.0</v>
      </c>
      <c r="M42" s="8" t="s">
        <v>93</v>
      </c>
      <c r="N42" s="8" t="s">
        <v>22</v>
      </c>
      <c r="O42" s="8" t="s">
        <v>892</v>
      </c>
      <c r="P42" s="8" t="s">
        <v>24</v>
      </c>
      <c r="Q42" s="9">
        <v>0.0</v>
      </c>
      <c r="R42" s="9">
        <v>0.5</v>
      </c>
      <c r="S42" s="9">
        <v>0.5</v>
      </c>
      <c r="T42" s="10">
        <v>45417.0</v>
      </c>
      <c r="U42" s="11">
        <v>1.675</v>
      </c>
      <c r="V42" s="8" t="s">
        <v>70</v>
      </c>
      <c r="W42" s="12">
        <f t="shared" si="1"/>
        <v>0</v>
      </c>
      <c r="X42" s="12">
        <f t="shared" si="4"/>
        <v>-2.316475</v>
      </c>
      <c r="Z42" s="30"/>
    </row>
    <row r="43">
      <c r="A43" s="15">
        <f t="shared" si="3"/>
        <v>42</v>
      </c>
      <c r="B43" s="15" t="s">
        <v>26</v>
      </c>
      <c r="C43" s="15" t="s">
        <v>19</v>
      </c>
      <c r="D43" s="15">
        <v>80.0</v>
      </c>
      <c r="E43" s="15">
        <v>1.0</v>
      </c>
      <c r="F43" s="15" t="s">
        <v>5125</v>
      </c>
      <c r="G43" s="15">
        <v>10.0</v>
      </c>
      <c r="H43" s="15">
        <v>7.0</v>
      </c>
      <c r="I43" s="110">
        <f>24/34</f>
        <v>0.7058823529</v>
      </c>
      <c r="J43" s="15" t="s">
        <v>1473</v>
      </c>
      <c r="K43" s="15" t="s">
        <v>1480</v>
      </c>
      <c r="L43" s="15">
        <v>0.0</v>
      </c>
      <c r="M43" s="15" t="s">
        <v>432</v>
      </c>
      <c r="N43" s="15" t="s">
        <v>22</v>
      </c>
      <c r="O43" s="15" t="s">
        <v>892</v>
      </c>
      <c r="P43" s="15" t="s">
        <v>24</v>
      </c>
      <c r="Q43" s="16">
        <v>0.0</v>
      </c>
      <c r="R43" s="16">
        <v>0.25</v>
      </c>
      <c r="S43" s="16">
        <v>0.25</v>
      </c>
      <c r="T43" s="17">
        <v>45417.0</v>
      </c>
      <c r="U43" s="18">
        <v>1.975</v>
      </c>
      <c r="V43" s="15" t="s">
        <v>33</v>
      </c>
      <c r="W43" s="19">
        <f t="shared" si="1"/>
        <v>0.24375</v>
      </c>
      <c r="X43" s="19">
        <f t="shared" si="4"/>
        <v>-2.072725</v>
      </c>
      <c r="Z43" s="30"/>
    </row>
    <row r="44">
      <c r="A44" s="8">
        <f t="shared" si="3"/>
        <v>43</v>
      </c>
      <c r="B44" s="8" t="s">
        <v>129</v>
      </c>
      <c r="C44" s="8" t="s">
        <v>19</v>
      </c>
      <c r="D44" s="8">
        <v>70.0</v>
      </c>
      <c r="E44" s="8">
        <v>3.0</v>
      </c>
      <c r="F44" s="8" t="s">
        <v>5126</v>
      </c>
      <c r="G44" s="8">
        <v>17.0</v>
      </c>
      <c r="H44" s="8">
        <v>12.0</v>
      </c>
      <c r="I44" s="111">
        <f>23/34</f>
        <v>0.6764705882</v>
      </c>
      <c r="J44" s="8" t="s">
        <v>1473</v>
      </c>
      <c r="K44" s="8" t="s">
        <v>1480</v>
      </c>
      <c r="L44" s="8">
        <v>0.0</v>
      </c>
      <c r="M44" s="8" t="s">
        <v>4293</v>
      </c>
      <c r="N44" s="8" t="s">
        <v>22</v>
      </c>
      <c r="O44" s="8" t="s">
        <v>892</v>
      </c>
      <c r="P44" s="8" t="s">
        <v>24</v>
      </c>
      <c r="Q44" s="9">
        <v>0.0</v>
      </c>
      <c r="R44" s="9">
        <v>0.25</v>
      </c>
      <c r="S44" s="9">
        <v>0.25</v>
      </c>
      <c r="T44" s="10">
        <v>45418.0</v>
      </c>
      <c r="U44" s="11">
        <v>1.825</v>
      </c>
      <c r="V44" s="8" t="s">
        <v>33</v>
      </c>
      <c r="W44" s="12">
        <f t="shared" si="1"/>
        <v>0.20625</v>
      </c>
      <c r="X44" s="12">
        <f t="shared" si="4"/>
        <v>-1.866475</v>
      </c>
      <c r="Z44" s="30"/>
    </row>
    <row r="45">
      <c r="A45" s="15">
        <f t="shared" si="3"/>
        <v>44</v>
      </c>
      <c r="B45" s="15" t="s">
        <v>4225</v>
      </c>
      <c r="C45" s="15" t="s">
        <v>19</v>
      </c>
      <c r="D45" s="15">
        <v>59.0</v>
      </c>
      <c r="E45" s="15">
        <v>2.0</v>
      </c>
      <c r="F45" s="15" t="s">
        <v>5127</v>
      </c>
      <c r="G45" s="15">
        <v>12.0</v>
      </c>
      <c r="H45" s="15">
        <v>7.0</v>
      </c>
      <c r="I45" s="110">
        <v>0.86</v>
      </c>
      <c r="J45" s="15" t="s">
        <v>1473</v>
      </c>
      <c r="K45" s="15" t="s">
        <v>1474</v>
      </c>
      <c r="L45" s="15">
        <v>-1.0</v>
      </c>
      <c r="M45" s="15" t="s">
        <v>616</v>
      </c>
      <c r="N45" s="15" t="s">
        <v>22</v>
      </c>
      <c r="O45" s="15" t="s">
        <v>225</v>
      </c>
      <c r="P45" s="15" t="s">
        <v>24</v>
      </c>
      <c r="Q45" s="16">
        <v>0.5</v>
      </c>
      <c r="R45" s="16">
        <v>0.4</v>
      </c>
      <c r="S45" s="16">
        <v>0.24</v>
      </c>
      <c r="T45" s="17">
        <v>45419.0</v>
      </c>
      <c r="U45" s="18">
        <v>1.5</v>
      </c>
      <c r="V45" s="15" t="s">
        <v>33</v>
      </c>
      <c r="W45" s="19">
        <f t="shared" si="1"/>
        <v>0.12</v>
      </c>
      <c r="X45" s="19">
        <f t="shared" si="4"/>
        <v>-1.746475</v>
      </c>
    </row>
    <row r="46">
      <c r="A46" s="8">
        <f t="shared" si="3"/>
        <v>45</v>
      </c>
      <c r="B46" s="8" t="s">
        <v>26</v>
      </c>
      <c r="C46" s="8" t="s">
        <v>19</v>
      </c>
      <c r="D46" s="8">
        <v>18.0</v>
      </c>
      <c r="E46" s="8">
        <v>2.0</v>
      </c>
      <c r="F46" s="8" t="s">
        <v>5128</v>
      </c>
      <c r="G46" s="8" t="s">
        <v>5553</v>
      </c>
      <c r="H46" s="8" t="s">
        <v>5553</v>
      </c>
      <c r="I46" s="8" t="s">
        <v>5553</v>
      </c>
      <c r="J46" s="8" t="s">
        <v>1473</v>
      </c>
      <c r="K46" s="8" t="s">
        <v>1474</v>
      </c>
      <c r="L46" s="8">
        <v>0.0</v>
      </c>
      <c r="M46" s="8" t="s">
        <v>82</v>
      </c>
      <c r="N46" s="8" t="s">
        <v>22</v>
      </c>
      <c r="O46" s="8" t="s">
        <v>225</v>
      </c>
      <c r="P46" s="8" t="s">
        <v>24</v>
      </c>
      <c r="Q46" s="9">
        <v>1.0</v>
      </c>
      <c r="R46" s="9">
        <v>0.5</v>
      </c>
      <c r="S46" s="9">
        <v>0.48</v>
      </c>
      <c r="T46" s="10">
        <v>45419.0</v>
      </c>
      <c r="U46" s="11">
        <v>1.57</v>
      </c>
      <c r="V46" s="8" t="s">
        <v>33</v>
      </c>
      <c r="W46" s="12">
        <f t="shared" si="1"/>
        <v>0.2736</v>
      </c>
      <c r="X46" s="12">
        <f t="shared" si="4"/>
        <v>-1.472875</v>
      </c>
    </row>
    <row r="47">
      <c r="A47" s="15">
        <f t="shared" si="3"/>
        <v>46</v>
      </c>
      <c r="B47" s="15" t="s">
        <v>26</v>
      </c>
      <c r="C47" s="15" t="s">
        <v>19</v>
      </c>
      <c r="D47" s="15">
        <v>32.0</v>
      </c>
      <c r="E47" s="15">
        <v>3.0</v>
      </c>
      <c r="F47" s="15" t="s">
        <v>5129</v>
      </c>
      <c r="G47" s="15">
        <v>15.0</v>
      </c>
      <c r="H47" s="15">
        <v>17.0</v>
      </c>
      <c r="I47" s="110">
        <f>24/38</f>
        <v>0.6315789474</v>
      </c>
      <c r="J47" s="15" t="s">
        <v>1473</v>
      </c>
      <c r="K47" s="15" t="s">
        <v>1480</v>
      </c>
      <c r="L47" s="15">
        <v>0.0</v>
      </c>
      <c r="M47" s="15" t="s">
        <v>174</v>
      </c>
      <c r="N47" s="15" t="s">
        <v>22</v>
      </c>
      <c r="O47" s="15" t="s">
        <v>1150</v>
      </c>
      <c r="P47" s="15" t="s">
        <v>24</v>
      </c>
      <c r="Q47" s="16">
        <v>0.0</v>
      </c>
      <c r="R47" s="16">
        <v>0.5</v>
      </c>
      <c r="S47" s="16">
        <v>0.49</v>
      </c>
      <c r="T47" s="17">
        <v>45420.0</v>
      </c>
      <c r="U47" s="18">
        <v>1.975</v>
      </c>
      <c r="V47" s="15" t="s">
        <v>70</v>
      </c>
      <c r="W47" s="19">
        <f t="shared" si="1"/>
        <v>0</v>
      </c>
      <c r="X47" s="19">
        <f t="shared" si="4"/>
        <v>-1.472875</v>
      </c>
    </row>
    <row r="48">
      <c r="A48" s="8">
        <f t="shared" si="3"/>
        <v>47</v>
      </c>
      <c r="B48" s="8" t="s">
        <v>18</v>
      </c>
      <c r="C48" s="8" t="s">
        <v>19</v>
      </c>
      <c r="D48" s="8">
        <v>32.0</v>
      </c>
      <c r="E48" s="8">
        <v>2.0</v>
      </c>
      <c r="F48" s="8" t="s">
        <v>5130</v>
      </c>
      <c r="G48" s="8" t="s">
        <v>5553</v>
      </c>
      <c r="H48" s="8" t="s">
        <v>5553</v>
      </c>
      <c r="I48" s="8" t="s">
        <v>5553</v>
      </c>
      <c r="J48" s="8" t="s">
        <v>1479</v>
      </c>
      <c r="K48" s="8" t="s">
        <v>1474</v>
      </c>
      <c r="L48" s="8">
        <v>1.0</v>
      </c>
      <c r="M48" s="8" t="s">
        <v>923</v>
      </c>
      <c r="N48" s="8" t="s">
        <v>22</v>
      </c>
      <c r="O48" s="8" t="s">
        <v>225</v>
      </c>
      <c r="P48" s="8" t="s">
        <v>24</v>
      </c>
      <c r="Q48" s="9">
        <v>0.25</v>
      </c>
      <c r="R48" s="9">
        <v>0.5</v>
      </c>
      <c r="S48" s="9">
        <v>0.5</v>
      </c>
      <c r="T48" s="10">
        <v>45420.0</v>
      </c>
      <c r="U48" s="11">
        <v>1.07</v>
      </c>
      <c r="V48" s="8" t="s">
        <v>33</v>
      </c>
      <c r="W48" s="12">
        <f t="shared" si="1"/>
        <v>0.035</v>
      </c>
      <c r="X48" s="12">
        <f t="shared" si="4"/>
        <v>-1.437875</v>
      </c>
    </row>
    <row r="49">
      <c r="A49" s="15">
        <f t="shared" si="3"/>
        <v>48</v>
      </c>
      <c r="B49" s="15" t="s">
        <v>137</v>
      </c>
      <c r="C49" s="15" t="s">
        <v>19</v>
      </c>
      <c r="D49" s="15">
        <v>69.0</v>
      </c>
      <c r="E49" s="15">
        <v>3.0</v>
      </c>
      <c r="F49" s="15" t="s">
        <v>5131</v>
      </c>
      <c r="G49" s="15" t="s">
        <v>5553</v>
      </c>
      <c r="H49" s="15" t="s">
        <v>5553</v>
      </c>
      <c r="I49" s="15" t="s">
        <v>5561</v>
      </c>
      <c r="J49" s="15" t="s">
        <v>1479</v>
      </c>
      <c r="K49" s="15" t="s">
        <v>1480</v>
      </c>
      <c r="L49" s="15">
        <v>-1.0</v>
      </c>
      <c r="M49" s="15" t="s">
        <v>93</v>
      </c>
      <c r="N49" s="15" t="s">
        <v>22</v>
      </c>
      <c r="O49" s="15" t="s">
        <v>892</v>
      </c>
      <c r="P49" s="15" t="s">
        <v>24</v>
      </c>
      <c r="Q49" s="16">
        <v>0.0</v>
      </c>
      <c r="R49" s="16">
        <v>0.4</v>
      </c>
      <c r="S49" s="16">
        <v>0.34</v>
      </c>
      <c r="T49" s="17">
        <v>45420.0</v>
      </c>
      <c r="U49" s="18">
        <v>1.6</v>
      </c>
      <c r="V49" s="15" t="s">
        <v>70</v>
      </c>
      <c r="W49" s="19">
        <f t="shared" si="1"/>
        <v>0</v>
      </c>
      <c r="X49" s="19">
        <f t="shared" si="4"/>
        <v>-1.437875</v>
      </c>
    </row>
    <row r="50">
      <c r="A50" s="8">
        <f t="shared" si="3"/>
        <v>49</v>
      </c>
      <c r="B50" s="8" t="s">
        <v>18</v>
      </c>
      <c r="C50" s="8" t="s">
        <v>19</v>
      </c>
      <c r="D50" s="8">
        <v>55.0</v>
      </c>
      <c r="E50" s="8">
        <v>3.0</v>
      </c>
      <c r="F50" s="8" t="s">
        <v>5132</v>
      </c>
      <c r="G50" s="8">
        <v>18.0</v>
      </c>
      <c r="H50" s="8">
        <v>1.0</v>
      </c>
      <c r="I50" s="111">
        <v>0.86</v>
      </c>
      <c r="J50" s="8" t="s">
        <v>1473</v>
      </c>
      <c r="K50" s="8" t="s">
        <v>1480</v>
      </c>
      <c r="L50" s="8">
        <v>0.0</v>
      </c>
      <c r="M50" s="8" t="s">
        <v>248</v>
      </c>
      <c r="N50" s="8" t="s">
        <v>22</v>
      </c>
      <c r="O50" s="8" t="s">
        <v>941</v>
      </c>
      <c r="P50" s="8" t="s">
        <v>24</v>
      </c>
      <c r="Q50" s="9">
        <v>0.0</v>
      </c>
      <c r="R50" s="9">
        <v>0.4</v>
      </c>
      <c r="S50" s="9">
        <v>0.34</v>
      </c>
      <c r="T50" s="10">
        <v>45420.0</v>
      </c>
      <c r="U50" s="11">
        <v>2.25</v>
      </c>
      <c r="V50" s="8" t="s">
        <v>70</v>
      </c>
      <c r="W50" s="12">
        <f t="shared" si="1"/>
        <v>0</v>
      </c>
      <c r="X50" s="12">
        <f t="shared" si="4"/>
        <v>-1.437875</v>
      </c>
    </row>
    <row r="51">
      <c r="A51" s="15">
        <f t="shared" si="3"/>
        <v>50</v>
      </c>
      <c r="B51" s="15" t="s">
        <v>131</v>
      </c>
      <c r="C51" s="15" t="s">
        <v>19</v>
      </c>
      <c r="D51" s="15">
        <v>60.0</v>
      </c>
      <c r="E51" s="15">
        <v>2.0</v>
      </c>
      <c r="F51" s="15" t="s">
        <v>5133</v>
      </c>
      <c r="G51" s="15">
        <v>2.0</v>
      </c>
      <c r="H51" s="15">
        <v>15.0</v>
      </c>
      <c r="I51" s="110">
        <f t="shared" ref="I51:I52" si="6">27/32</f>
        <v>0.84375</v>
      </c>
      <c r="J51" s="15" t="s">
        <v>1473</v>
      </c>
      <c r="K51" s="15" t="s">
        <v>1480</v>
      </c>
      <c r="L51" s="15">
        <v>0.0</v>
      </c>
      <c r="M51" s="15" t="s">
        <v>44</v>
      </c>
      <c r="N51" s="15" t="s">
        <v>22</v>
      </c>
      <c r="O51" s="15" t="s">
        <v>941</v>
      </c>
      <c r="P51" s="15" t="s">
        <v>24</v>
      </c>
      <c r="Q51" s="16">
        <v>0.0</v>
      </c>
      <c r="R51" s="16">
        <v>0.1</v>
      </c>
      <c r="S51" s="16">
        <v>0.09</v>
      </c>
      <c r="T51" s="17">
        <v>45420.0</v>
      </c>
      <c r="U51" s="18">
        <v>6.15</v>
      </c>
      <c r="V51" s="15" t="s">
        <v>33</v>
      </c>
      <c r="W51" s="19">
        <f t="shared" si="1"/>
        <v>0.4635</v>
      </c>
      <c r="X51" s="19">
        <f t="shared" si="4"/>
        <v>-0.974375</v>
      </c>
      <c r="Y51" s="40"/>
      <c r="Z51" s="41" t="s">
        <v>125</v>
      </c>
      <c r="AA51" s="41" t="s">
        <v>126</v>
      </c>
      <c r="AB51" s="41" t="s">
        <v>45</v>
      </c>
    </row>
    <row r="52">
      <c r="A52" s="8">
        <f t="shared" si="3"/>
        <v>51</v>
      </c>
      <c r="B52" s="8" t="s">
        <v>131</v>
      </c>
      <c r="C52" s="8" t="s">
        <v>19</v>
      </c>
      <c r="D52" s="8">
        <v>61.0</v>
      </c>
      <c r="E52" s="8">
        <v>2.0</v>
      </c>
      <c r="F52" s="8" t="s">
        <v>5134</v>
      </c>
      <c r="G52" s="8">
        <v>2.0</v>
      </c>
      <c r="H52" s="8">
        <v>15.0</v>
      </c>
      <c r="I52" s="111">
        <f t="shared" si="6"/>
        <v>0.84375</v>
      </c>
      <c r="J52" s="8" t="s">
        <v>1473</v>
      </c>
      <c r="K52" s="8" t="s">
        <v>1474</v>
      </c>
      <c r="L52" s="8">
        <v>0.0</v>
      </c>
      <c r="M52" s="8" t="s">
        <v>44</v>
      </c>
      <c r="N52" s="8" t="s">
        <v>22</v>
      </c>
      <c r="O52" s="8" t="s">
        <v>225</v>
      </c>
      <c r="P52" s="8" t="s">
        <v>24</v>
      </c>
      <c r="Q52" s="9">
        <v>1.25</v>
      </c>
      <c r="R52" s="9">
        <v>0.3</v>
      </c>
      <c r="S52" s="9">
        <v>0.26</v>
      </c>
      <c r="T52" s="10">
        <v>45420.0</v>
      </c>
      <c r="U52" s="11">
        <v>1.605</v>
      </c>
      <c r="V52" s="8" t="s">
        <v>33</v>
      </c>
      <c r="W52" s="12">
        <f t="shared" si="1"/>
        <v>0.1573</v>
      </c>
      <c r="X52" s="12">
        <f t="shared" si="4"/>
        <v>-0.817075</v>
      </c>
      <c r="Y52" s="41" t="s">
        <v>129</v>
      </c>
      <c r="Z52" s="45">
        <f t="shared" ref="Z52:Z57" si="7">SUMIF($B$2:$B$2981,Y52,$W$2:$W$2981)</f>
        <v>0.576875</v>
      </c>
      <c r="AA52" s="45">
        <f t="shared" ref="AA52:AA57" si="8">SUMIF($B$2:$B$2981,Y52,$S$2:$S$2981)</f>
        <v>8.44</v>
      </c>
      <c r="AB52" s="46">
        <f t="shared" ref="AB52:AB57" si="9">Z52/AA52</f>
        <v>0.06835011848</v>
      </c>
    </row>
    <row r="53">
      <c r="A53" s="15">
        <f t="shared" si="3"/>
        <v>52</v>
      </c>
      <c r="B53" s="15" t="s">
        <v>4225</v>
      </c>
      <c r="C53" s="15" t="s">
        <v>19</v>
      </c>
      <c r="D53" s="15">
        <v>28.0</v>
      </c>
      <c r="E53" s="15">
        <v>4.0</v>
      </c>
      <c r="F53" s="15" t="s">
        <v>5135</v>
      </c>
      <c r="G53" s="15">
        <v>8.0</v>
      </c>
      <c r="H53" s="15">
        <v>3.0</v>
      </c>
      <c r="I53" s="110">
        <v>0.86</v>
      </c>
      <c r="J53" s="15" t="s">
        <v>1479</v>
      </c>
      <c r="K53" s="15" t="s">
        <v>1480</v>
      </c>
      <c r="L53" s="15">
        <v>0.0</v>
      </c>
      <c r="M53" s="15" t="s">
        <v>316</v>
      </c>
      <c r="N53" s="15" t="s">
        <v>22</v>
      </c>
      <c r="O53" s="15" t="s">
        <v>1150</v>
      </c>
      <c r="P53" s="15" t="s">
        <v>24</v>
      </c>
      <c r="Q53" s="16">
        <v>0.0</v>
      </c>
      <c r="R53" s="16">
        <v>0.4</v>
      </c>
      <c r="S53" s="16">
        <v>0.35</v>
      </c>
      <c r="T53" s="17">
        <v>45421.0</v>
      </c>
      <c r="U53" s="18">
        <v>1.7</v>
      </c>
      <c r="V53" s="15" t="s">
        <v>33</v>
      </c>
      <c r="W53" s="19">
        <f t="shared" si="1"/>
        <v>0.245</v>
      </c>
      <c r="X53" s="19">
        <f t="shared" si="4"/>
        <v>-0.572075</v>
      </c>
      <c r="Y53" s="41" t="s">
        <v>26</v>
      </c>
      <c r="Z53" s="45">
        <f t="shared" si="7"/>
        <v>-1.615112619</v>
      </c>
      <c r="AA53" s="45">
        <f t="shared" si="8"/>
        <v>24.408</v>
      </c>
      <c r="AB53" s="46">
        <f t="shared" si="9"/>
        <v>-0.06617144457</v>
      </c>
    </row>
    <row r="54">
      <c r="A54" s="8">
        <f t="shared" si="3"/>
        <v>53</v>
      </c>
      <c r="B54" s="8" t="s">
        <v>18</v>
      </c>
      <c r="C54" s="8" t="s">
        <v>19</v>
      </c>
      <c r="D54" s="8">
        <v>80.0</v>
      </c>
      <c r="E54" s="8">
        <v>3.0</v>
      </c>
      <c r="F54" s="8" t="s">
        <v>5136</v>
      </c>
      <c r="G54" s="8" t="s">
        <v>5553</v>
      </c>
      <c r="H54" s="8" t="s">
        <v>5553</v>
      </c>
      <c r="I54" s="8" t="s">
        <v>5553</v>
      </c>
      <c r="J54" s="8" t="s">
        <v>1479</v>
      </c>
      <c r="K54" s="8" t="s">
        <v>1480</v>
      </c>
      <c r="L54" s="8">
        <v>0.0</v>
      </c>
      <c r="M54" s="8" t="s">
        <v>463</v>
      </c>
      <c r="N54" s="8" t="s">
        <v>22</v>
      </c>
      <c r="O54" s="8" t="s">
        <v>941</v>
      </c>
      <c r="P54" s="8" t="s">
        <v>24</v>
      </c>
      <c r="Q54" s="9">
        <v>0.0</v>
      </c>
      <c r="R54" s="9">
        <v>0.15</v>
      </c>
      <c r="S54" s="9">
        <v>0.13</v>
      </c>
      <c r="T54" s="54">
        <v>45421.0</v>
      </c>
      <c r="U54" s="11">
        <v>3.0</v>
      </c>
      <c r="V54" s="8" t="s">
        <v>70</v>
      </c>
      <c r="W54" s="12">
        <f t="shared" si="1"/>
        <v>0</v>
      </c>
      <c r="X54" s="12">
        <f t="shared" si="4"/>
        <v>-0.572075</v>
      </c>
      <c r="Y54" s="41" t="s">
        <v>4225</v>
      </c>
      <c r="Z54" s="45">
        <f t="shared" si="7"/>
        <v>1.02101</v>
      </c>
      <c r="AA54" s="45">
        <f t="shared" si="8"/>
        <v>4.69</v>
      </c>
      <c r="AB54" s="46">
        <f t="shared" si="9"/>
        <v>0.2176993603</v>
      </c>
    </row>
    <row r="55">
      <c r="A55" s="15">
        <f t="shared" si="3"/>
        <v>54</v>
      </c>
      <c r="B55" s="15" t="s">
        <v>26</v>
      </c>
      <c r="C55" s="15" t="s">
        <v>19</v>
      </c>
      <c r="D55" s="15">
        <v>60.0</v>
      </c>
      <c r="E55" s="15"/>
      <c r="F55" s="15" t="s">
        <v>5137</v>
      </c>
      <c r="G55" s="15"/>
      <c r="H55" s="15"/>
      <c r="I55" s="110"/>
      <c r="J55" s="15"/>
      <c r="K55" s="15"/>
      <c r="L55" s="15"/>
      <c r="M55" s="15" t="s">
        <v>191</v>
      </c>
      <c r="N55" s="15" t="s">
        <v>22</v>
      </c>
      <c r="O55" s="15" t="s">
        <v>440</v>
      </c>
      <c r="P55" s="15" t="s">
        <v>24</v>
      </c>
      <c r="Q55" s="16">
        <v>0.5</v>
      </c>
      <c r="R55" s="16">
        <v>0.1</v>
      </c>
      <c r="S55" s="16">
        <v>0.09</v>
      </c>
      <c r="T55" s="55">
        <v>45421.0</v>
      </c>
      <c r="U55" s="18">
        <v>1.6</v>
      </c>
      <c r="V55" s="15" t="s">
        <v>25</v>
      </c>
      <c r="W55" s="19">
        <f t="shared" si="1"/>
        <v>-0.09</v>
      </c>
      <c r="X55" s="19">
        <f t="shared" si="4"/>
        <v>-0.662075</v>
      </c>
      <c r="Y55" s="41" t="s">
        <v>137</v>
      </c>
      <c r="Z55" s="45">
        <f t="shared" si="7"/>
        <v>-0.62</v>
      </c>
      <c r="AA55" s="45">
        <f t="shared" si="8"/>
        <v>4.31</v>
      </c>
      <c r="AB55" s="46">
        <f t="shared" si="9"/>
        <v>-0.1438515081</v>
      </c>
    </row>
    <row r="56">
      <c r="A56" s="8">
        <f t="shared" si="3"/>
        <v>55</v>
      </c>
      <c r="B56" s="8" t="s">
        <v>26</v>
      </c>
      <c r="C56" s="8" t="s">
        <v>19</v>
      </c>
      <c r="D56" s="8">
        <v>60.0</v>
      </c>
      <c r="E56" s="8">
        <v>3.0</v>
      </c>
      <c r="F56" s="8" t="s">
        <v>5138</v>
      </c>
      <c r="G56" s="8">
        <v>13.0</v>
      </c>
      <c r="H56" s="8">
        <v>5.0</v>
      </c>
      <c r="I56" s="111">
        <v>0.73</v>
      </c>
      <c r="J56" s="8" t="s">
        <v>1473</v>
      </c>
      <c r="K56" s="8" t="s">
        <v>1480</v>
      </c>
      <c r="L56" s="8">
        <v>0.0</v>
      </c>
      <c r="M56" s="8" t="s">
        <v>4293</v>
      </c>
      <c r="N56" s="8" t="s">
        <v>22</v>
      </c>
      <c r="O56" s="8" t="s">
        <v>892</v>
      </c>
      <c r="P56" s="8" t="s">
        <v>24</v>
      </c>
      <c r="Q56" s="9">
        <v>0.0</v>
      </c>
      <c r="R56" s="9">
        <v>0.15</v>
      </c>
      <c r="S56" s="9">
        <v>0.15</v>
      </c>
      <c r="T56" s="54">
        <v>45421.0</v>
      </c>
      <c r="U56" s="11">
        <v>1.8</v>
      </c>
      <c r="V56" s="8" t="s">
        <v>70</v>
      </c>
      <c r="W56" s="12">
        <f t="shared" si="1"/>
        <v>0</v>
      </c>
      <c r="X56" s="12">
        <f t="shared" si="4"/>
        <v>-0.662075</v>
      </c>
      <c r="Y56" s="41" t="s">
        <v>18</v>
      </c>
      <c r="Z56" s="45">
        <f t="shared" si="7"/>
        <v>1.620099022</v>
      </c>
      <c r="AA56" s="45">
        <f t="shared" si="8"/>
        <v>12.80064516</v>
      </c>
      <c r="AB56" s="46">
        <f t="shared" si="9"/>
        <v>0.1265638568</v>
      </c>
    </row>
    <row r="57">
      <c r="A57" s="15">
        <f t="shared" si="3"/>
        <v>56</v>
      </c>
      <c r="B57" s="15" t="s">
        <v>18</v>
      </c>
      <c r="C57" s="15" t="s">
        <v>19</v>
      </c>
      <c r="D57" s="15">
        <v>14.0</v>
      </c>
      <c r="E57" s="15">
        <v>3.0</v>
      </c>
      <c r="F57" s="15" t="s">
        <v>5139</v>
      </c>
      <c r="G57" s="15">
        <v>5.0</v>
      </c>
      <c r="H57" s="15">
        <v>4.0</v>
      </c>
      <c r="I57" s="110">
        <v>0.84</v>
      </c>
      <c r="J57" s="15" t="s">
        <v>1479</v>
      </c>
      <c r="K57" s="15" t="s">
        <v>1480</v>
      </c>
      <c r="L57" s="15">
        <v>0.0</v>
      </c>
      <c r="M57" s="15" t="s">
        <v>316</v>
      </c>
      <c r="N57" s="15" t="s">
        <v>22</v>
      </c>
      <c r="O57" s="15" t="s">
        <v>1150</v>
      </c>
      <c r="P57" s="15" t="s">
        <v>24</v>
      </c>
      <c r="Q57" s="16">
        <v>0.0</v>
      </c>
      <c r="R57" s="16">
        <v>0.6</v>
      </c>
      <c r="S57" s="16">
        <v>0.58</v>
      </c>
      <c r="T57" s="17">
        <v>45422.0</v>
      </c>
      <c r="U57" s="18">
        <v>1.825</v>
      </c>
      <c r="V57" s="15" t="s">
        <v>70</v>
      </c>
      <c r="W57" s="19">
        <f t="shared" si="1"/>
        <v>0</v>
      </c>
      <c r="X57" s="19">
        <f t="shared" si="4"/>
        <v>-0.662075</v>
      </c>
      <c r="Y57" s="41" t="s">
        <v>131</v>
      </c>
      <c r="Z57" s="45">
        <f t="shared" si="7"/>
        <v>0.91055</v>
      </c>
      <c r="AA57" s="45">
        <f t="shared" si="8"/>
        <v>1.23</v>
      </c>
      <c r="AB57" s="46">
        <f t="shared" si="9"/>
        <v>0.7402845528</v>
      </c>
    </row>
    <row r="58">
      <c r="A58" s="8">
        <f t="shared" si="3"/>
        <v>57</v>
      </c>
      <c r="B58" s="8" t="s">
        <v>26</v>
      </c>
      <c r="C58" s="8" t="s">
        <v>19</v>
      </c>
      <c r="D58" s="8">
        <v>74.0</v>
      </c>
      <c r="E58" s="8">
        <v>3.0</v>
      </c>
      <c r="F58" s="8" t="s">
        <v>5140</v>
      </c>
      <c r="G58" s="8">
        <v>13.0</v>
      </c>
      <c r="H58" s="8">
        <v>4.0</v>
      </c>
      <c r="I58" s="111">
        <v>0.73</v>
      </c>
      <c r="J58" s="8" t="s">
        <v>1479</v>
      </c>
      <c r="K58" s="8" t="s">
        <v>1480</v>
      </c>
      <c r="L58" s="8">
        <v>0.0</v>
      </c>
      <c r="M58" s="8" t="s">
        <v>248</v>
      </c>
      <c r="N58" s="8" t="s">
        <v>22</v>
      </c>
      <c r="O58" s="8" t="s">
        <v>892</v>
      </c>
      <c r="P58" s="8" t="s">
        <v>24</v>
      </c>
      <c r="Q58" s="9">
        <v>0.0</v>
      </c>
      <c r="R58" s="9">
        <v>0.2</v>
      </c>
      <c r="S58" s="9">
        <v>0.2</v>
      </c>
      <c r="T58" s="10">
        <v>45422.0</v>
      </c>
      <c r="U58" s="11">
        <v>1.8</v>
      </c>
      <c r="V58" s="8" t="s">
        <v>70</v>
      </c>
      <c r="W58" s="12">
        <f t="shared" si="1"/>
        <v>0</v>
      </c>
      <c r="X58" s="12">
        <f t="shared" si="4"/>
        <v>-0.662075</v>
      </c>
    </row>
    <row r="59">
      <c r="A59" s="15">
        <f t="shared" si="3"/>
        <v>58</v>
      </c>
      <c r="B59" s="15" t="s">
        <v>4225</v>
      </c>
      <c r="C59" s="15" t="s">
        <v>19</v>
      </c>
      <c r="D59" s="15">
        <v>66.0</v>
      </c>
      <c r="E59" s="15">
        <v>2.0</v>
      </c>
      <c r="F59" s="15" t="s">
        <v>5141</v>
      </c>
      <c r="G59" s="15">
        <v>9.0</v>
      </c>
      <c r="H59" s="15">
        <v>4.0</v>
      </c>
      <c r="I59" s="110">
        <v>0.86</v>
      </c>
      <c r="J59" s="15" t="s">
        <v>1473</v>
      </c>
      <c r="K59" s="15" t="s">
        <v>1480</v>
      </c>
      <c r="L59" s="15">
        <v>-1.0</v>
      </c>
      <c r="M59" s="15" t="s">
        <v>316</v>
      </c>
      <c r="N59" s="15" t="s">
        <v>22</v>
      </c>
      <c r="O59" s="15" t="s">
        <v>892</v>
      </c>
      <c r="P59" s="15" t="s">
        <v>24</v>
      </c>
      <c r="Q59" s="16">
        <v>0.0</v>
      </c>
      <c r="R59" s="16">
        <v>0.2</v>
      </c>
      <c r="S59" s="16">
        <v>0.2</v>
      </c>
      <c r="T59" s="17">
        <v>45422.0</v>
      </c>
      <c r="U59" s="18">
        <v>1.65</v>
      </c>
      <c r="V59" s="15" t="s">
        <v>33</v>
      </c>
      <c r="W59" s="19">
        <f t="shared" si="1"/>
        <v>0.13</v>
      </c>
      <c r="X59" s="49">
        <f t="shared" si="4"/>
        <v>-0.532075</v>
      </c>
      <c r="Y59" s="100" t="s">
        <v>0</v>
      </c>
      <c r="Z59" s="101" t="s">
        <v>960</v>
      </c>
      <c r="AA59" s="102"/>
      <c r="AB59" s="103"/>
    </row>
    <row r="60">
      <c r="A60" s="8">
        <f t="shared" si="3"/>
        <v>59</v>
      </c>
      <c r="B60" s="8" t="s">
        <v>26</v>
      </c>
      <c r="C60" s="8" t="s">
        <v>19</v>
      </c>
      <c r="D60" s="8">
        <v>65.0</v>
      </c>
      <c r="E60" s="8">
        <v>3.0</v>
      </c>
      <c r="F60" s="8" t="s">
        <v>5142</v>
      </c>
      <c r="G60" s="8">
        <v>6.0</v>
      </c>
      <c r="H60" s="8">
        <v>12.0</v>
      </c>
      <c r="I60" s="111">
        <v>0.97</v>
      </c>
      <c r="J60" s="8" t="s">
        <v>1479</v>
      </c>
      <c r="K60" s="8" t="s">
        <v>1480</v>
      </c>
      <c r="L60" s="8">
        <v>0.0</v>
      </c>
      <c r="M60" s="8" t="s">
        <v>229</v>
      </c>
      <c r="N60" s="8" t="s">
        <v>22</v>
      </c>
      <c r="O60" s="8" t="s">
        <v>892</v>
      </c>
      <c r="P60" s="8" t="s">
        <v>24</v>
      </c>
      <c r="Q60" s="9">
        <v>0.0</v>
      </c>
      <c r="R60" s="9">
        <v>0.6</v>
      </c>
      <c r="S60" s="9">
        <v>0.6</v>
      </c>
      <c r="T60" s="10">
        <v>45423.0</v>
      </c>
      <c r="U60" s="11">
        <f>225.6/120</f>
        <v>1.88</v>
      </c>
      <c r="V60" s="8" t="s">
        <v>33</v>
      </c>
      <c r="W60" s="12">
        <f t="shared" si="1"/>
        <v>0.528</v>
      </c>
      <c r="X60" s="48">
        <f t="shared" si="4"/>
        <v>-0.004075</v>
      </c>
      <c r="Y60" s="41">
        <v>1.0</v>
      </c>
      <c r="Z60" s="104" t="s">
        <v>962</v>
      </c>
      <c r="AA60" s="102"/>
      <c r="AB60" s="103"/>
    </row>
    <row r="61">
      <c r="A61" s="15">
        <f t="shared" si="3"/>
        <v>60</v>
      </c>
      <c r="B61" s="15" t="s">
        <v>4225</v>
      </c>
      <c r="C61" s="15" t="s">
        <v>19</v>
      </c>
      <c r="D61" s="15">
        <v>55.0</v>
      </c>
      <c r="E61" s="15">
        <v>5.0</v>
      </c>
      <c r="F61" s="15" t="s">
        <v>5143</v>
      </c>
      <c r="G61" s="15">
        <v>2.0</v>
      </c>
      <c r="H61" s="15">
        <v>10.0</v>
      </c>
      <c r="I61" s="110">
        <v>0.96</v>
      </c>
      <c r="J61" s="15" t="s">
        <v>1479</v>
      </c>
      <c r="K61" s="15" t="s">
        <v>1477</v>
      </c>
      <c r="L61" s="15">
        <v>-1.0</v>
      </c>
      <c r="M61" s="15" t="s">
        <v>683</v>
      </c>
      <c r="N61" s="15" t="s">
        <v>22</v>
      </c>
      <c r="O61" s="15" t="s">
        <v>894</v>
      </c>
      <c r="P61" s="15" t="s">
        <v>24</v>
      </c>
      <c r="Q61" s="16">
        <v>-0.75</v>
      </c>
      <c r="R61" s="16">
        <v>0.1</v>
      </c>
      <c r="S61" s="16">
        <v>0.1</v>
      </c>
      <c r="T61" s="17">
        <v>45423.0</v>
      </c>
      <c r="U61" s="18">
        <v>1.875</v>
      </c>
      <c r="V61" s="15" t="s">
        <v>33</v>
      </c>
      <c r="W61" s="19">
        <f t="shared" si="1"/>
        <v>0.0875</v>
      </c>
      <c r="X61" s="49">
        <f t="shared" si="4"/>
        <v>0.083425</v>
      </c>
      <c r="Y61" s="41">
        <v>2.0</v>
      </c>
      <c r="Z61" s="104" t="s">
        <v>965</v>
      </c>
      <c r="AA61" s="102"/>
      <c r="AB61" s="103"/>
    </row>
    <row r="62">
      <c r="A62" s="8">
        <f t="shared" si="3"/>
        <v>61</v>
      </c>
      <c r="B62" s="8" t="s">
        <v>18</v>
      </c>
      <c r="C62" s="8" t="s">
        <v>19</v>
      </c>
      <c r="D62" s="8">
        <v>68.0</v>
      </c>
      <c r="E62" s="8">
        <v>3.0</v>
      </c>
      <c r="F62" s="8" t="s">
        <v>5144</v>
      </c>
      <c r="G62" s="8">
        <v>1.0</v>
      </c>
      <c r="H62" s="8">
        <v>2.0</v>
      </c>
      <c r="I62" s="111">
        <v>0.57</v>
      </c>
      <c r="J62" s="8" t="s">
        <v>1479</v>
      </c>
      <c r="K62" s="8" t="s">
        <v>1480</v>
      </c>
      <c r="L62" s="8">
        <v>-1.0</v>
      </c>
      <c r="M62" s="8" t="s">
        <v>157</v>
      </c>
      <c r="N62" s="8" t="s">
        <v>22</v>
      </c>
      <c r="O62" s="8" t="s">
        <v>892</v>
      </c>
      <c r="P62" s="8" t="s">
        <v>24</v>
      </c>
      <c r="Q62" s="9">
        <v>0.0</v>
      </c>
      <c r="R62" s="9">
        <v>0.4</v>
      </c>
      <c r="S62" s="9">
        <v>0.4</v>
      </c>
      <c r="T62" s="10">
        <v>45423.0</v>
      </c>
      <c r="U62" s="11">
        <v>1.925</v>
      </c>
      <c r="V62" s="8" t="s">
        <v>70</v>
      </c>
      <c r="W62" s="12">
        <f t="shared" si="1"/>
        <v>0</v>
      </c>
      <c r="X62" s="48">
        <f t="shared" si="4"/>
        <v>0.083425</v>
      </c>
      <c r="Y62" s="41">
        <v>3.0</v>
      </c>
      <c r="Z62" s="104" t="s">
        <v>967</v>
      </c>
      <c r="AA62" s="102"/>
      <c r="AB62" s="103"/>
    </row>
    <row r="63">
      <c r="A63" s="15">
        <f t="shared" si="3"/>
        <v>62</v>
      </c>
      <c r="B63" s="15" t="s">
        <v>18</v>
      </c>
      <c r="C63" s="15" t="s">
        <v>19</v>
      </c>
      <c r="D63" s="15">
        <v>60.0</v>
      </c>
      <c r="E63" s="15">
        <v>3.0</v>
      </c>
      <c r="F63" s="15" t="s">
        <v>5145</v>
      </c>
      <c r="G63" s="15">
        <v>6.0</v>
      </c>
      <c r="H63" s="15">
        <v>4.0</v>
      </c>
      <c r="I63" s="110">
        <v>0.77</v>
      </c>
      <c r="J63" s="15" t="s">
        <v>1473</v>
      </c>
      <c r="K63" s="15" t="s">
        <v>1480</v>
      </c>
      <c r="L63" s="15">
        <v>0.0</v>
      </c>
      <c r="M63" s="15" t="s">
        <v>66</v>
      </c>
      <c r="N63" s="15" t="s">
        <v>22</v>
      </c>
      <c r="O63" s="15" t="s">
        <v>892</v>
      </c>
      <c r="P63" s="15" t="s">
        <v>24</v>
      </c>
      <c r="Q63" s="16">
        <v>0.0</v>
      </c>
      <c r="R63" s="16">
        <v>0.4</v>
      </c>
      <c r="S63" s="16">
        <f>0.4*59/62</f>
        <v>0.3806451613</v>
      </c>
      <c r="T63" s="17">
        <v>45423.0</v>
      </c>
      <c r="U63" s="18">
        <v>1.65</v>
      </c>
      <c r="V63" s="15" t="s">
        <v>33</v>
      </c>
      <c r="W63" s="19">
        <f t="shared" si="1"/>
        <v>0.2474193548</v>
      </c>
      <c r="X63" s="49">
        <f t="shared" si="4"/>
        <v>0.3308443548</v>
      </c>
      <c r="Y63" s="41">
        <v>4.0</v>
      </c>
      <c r="Z63" s="104" t="s">
        <v>969</v>
      </c>
      <c r="AA63" s="102"/>
      <c r="AB63" s="103"/>
    </row>
    <row r="64">
      <c r="A64" s="8">
        <f t="shared" si="3"/>
        <v>63</v>
      </c>
      <c r="B64" s="8" t="s">
        <v>18</v>
      </c>
      <c r="C64" s="8" t="s">
        <v>19</v>
      </c>
      <c r="D64" s="8">
        <v>35.0</v>
      </c>
      <c r="E64" s="8">
        <v>3.0</v>
      </c>
      <c r="F64" s="8" t="s">
        <v>5146</v>
      </c>
      <c r="G64" s="8">
        <v>4.0</v>
      </c>
      <c r="H64" s="8">
        <v>3.0</v>
      </c>
      <c r="I64" s="111">
        <v>0.94</v>
      </c>
      <c r="J64" s="8" t="s">
        <v>1473</v>
      </c>
      <c r="K64" s="8" t="s">
        <v>1480</v>
      </c>
      <c r="L64" s="8">
        <v>0.0</v>
      </c>
      <c r="M64" s="8" t="s">
        <v>44</v>
      </c>
      <c r="N64" s="8" t="s">
        <v>22</v>
      </c>
      <c r="O64" s="8" t="s">
        <v>1150</v>
      </c>
      <c r="P64" s="8" t="s">
        <v>24</v>
      </c>
      <c r="Q64" s="9">
        <v>0.0</v>
      </c>
      <c r="R64" s="9">
        <v>0.2</v>
      </c>
      <c r="S64" s="9">
        <v>0.2</v>
      </c>
      <c r="T64" s="10">
        <v>45423.0</v>
      </c>
      <c r="U64" s="11">
        <v>1.9</v>
      </c>
      <c r="V64" s="8" t="s">
        <v>33</v>
      </c>
      <c r="W64" s="12">
        <f t="shared" si="1"/>
        <v>0.18</v>
      </c>
      <c r="X64" s="48">
        <f t="shared" si="4"/>
        <v>0.5108443548</v>
      </c>
      <c r="Y64" s="41">
        <v>5.0</v>
      </c>
      <c r="Z64" s="104" t="s">
        <v>971</v>
      </c>
      <c r="AA64" s="102"/>
      <c r="AB64" s="103"/>
    </row>
    <row r="65">
      <c r="A65" s="15">
        <f t="shared" si="3"/>
        <v>64</v>
      </c>
      <c r="B65" s="15" t="s">
        <v>18</v>
      </c>
      <c r="C65" s="15" t="s">
        <v>19</v>
      </c>
      <c r="D65" s="15">
        <v>75.0</v>
      </c>
      <c r="E65" s="15">
        <v>3.0</v>
      </c>
      <c r="F65" s="15" t="s">
        <v>5147</v>
      </c>
      <c r="G65" s="15">
        <v>6.0</v>
      </c>
      <c r="H65" s="15">
        <v>4.0</v>
      </c>
      <c r="I65" s="110">
        <v>0.92</v>
      </c>
      <c r="J65" s="15" t="s">
        <v>1473</v>
      </c>
      <c r="K65" s="15" t="s">
        <v>1480</v>
      </c>
      <c r="L65" s="15">
        <v>0.0</v>
      </c>
      <c r="M65" s="15" t="s">
        <v>50</v>
      </c>
      <c r="N65" s="15" t="s">
        <v>22</v>
      </c>
      <c r="O65" s="15" t="s">
        <v>892</v>
      </c>
      <c r="P65" s="15" t="s">
        <v>24</v>
      </c>
      <c r="Q65" s="16">
        <v>0.0</v>
      </c>
      <c r="R65" s="16">
        <v>0.5</v>
      </c>
      <c r="S65" s="16">
        <v>0.48</v>
      </c>
      <c r="T65" s="55">
        <v>45423.0</v>
      </c>
      <c r="U65" s="18">
        <v>2.08</v>
      </c>
      <c r="V65" s="15" t="s">
        <v>70</v>
      </c>
      <c r="W65" s="19">
        <f t="shared" si="1"/>
        <v>0</v>
      </c>
      <c r="X65" s="49">
        <f t="shared" si="4"/>
        <v>0.5108443548</v>
      </c>
      <c r="Y65" s="41">
        <v>6.0</v>
      </c>
      <c r="Z65" s="104" t="s">
        <v>973</v>
      </c>
      <c r="AA65" s="102"/>
      <c r="AB65" s="103"/>
    </row>
    <row r="66">
      <c r="A66" s="8">
        <f t="shared" si="3"/>
        <v>65</v>
      </c>
      <c r="B66" s="8" t="s">
        <v>129</v>
      </c>
      <c r="C66" s="8" t="s">
        <v>19</v>
      </c>
      <c r="D66" s="8">
        <v>76.0</v>
      </c>
      <c r="E66" s="8">
        <v>2.0</v>
      </c>
      <c r="F66" s="8" t="s">
        <v>5148</v>
      </c>
      <c r="G66" s="8">
        <v>4.0</v>
      </c>
      <c r="H66" s="8">
        <v>1.0</v>
      </c>
      <c r="I66" s="111">
        <v>0.77</v>
      </c>
      <c r="J66" s="8" t="s">
        <v>1473</v>
      </c>
      <c r="K66" s="8" t="s">
        <v>1474</v>
      </c>
      <c r="L66" s="8">
        <v>-1.0</v>
      </c>
      <c r="M66" s="8" t="s">
        <v>66</v>
      </c>
      <c r="N66" s="8" t="s">
        <v>22</v>
      </c>
      <c r="O66" s="8" t="s">
        <v>225</v>
      </c>
      <c r="P66" s="8" t="s">
        <v>24</v>
      </c>
      <c r="Q66" s="9">
        <v>0.25</v>
      </c>
      <c r="R66" s="9">
        <v>0.35</v>
      </c>
      <c r="S66" s="9">
        <v>0.33</v>
      </c>
      <c r="T66" s="10">
        <v>45423.0</v>
      </c>
      <c r="U66" s="11">
        <v>1.725</v>
      </c>
      <c r="V66" s="8" t="s">
        <v>30</v>
      </c>
      <c r="W66" s="12">
        <f t="shared" si="1"/>
        <v>0.119625</v>
      </c>
      <c r="X66" s="48">
        <f t="shared" si="4"/>
        <v>0.6304693548</v>
      </c>
      <c r="Y66" s="41">
        <v>7.0</v>
      </c>
      <c r="Z66" s="104" t="s">
        <v>975</v>
      </c>
      <c r="AA66" s="102"/>
      <c r="AB66" s="103"/>
    </row>
    <row r="67">
      <c r="A67" s="15">
        <f t="shared" si="3"/>
        <v>66</v>
      </c>
      <c r="B67" s="15" t="s">
        <v>1915</v>
      </c>
      <c r="C67" s="15" t="s">
        <v>19</v>
      </c>
      <c r="D67" s="15">
        <v>2.0</v>
      </c>
      <c r="E67" s="15">
        <v>11.0</v>
      </c>
      <c r="F67" s="15" t="s">
        <v>5149</v>
      </c>
      <c r="G67" s="15"/>
      <c r="H67" s="15"/>
      <c r="I67" s="110"/>
      <c r="J67" s="15"/>
      <c r="K67" s="15"/>
      <c r="L67" s="15"/>
      <c r="M67" s="15" t="s">
        <v>82</v>
      </c>
      <c r="N67" s="15" t="s">
        <v>22</v>
      </c>
      <c r="O67" s="15" t="s">
        <v>29</v>
      </c>
      <c r="P67" s="15" t="s">
        <v>39</v>
      </c>
      <c r="Q67" s="16">
        <v>-2.5</v>
      </c>
      <c r="R67" s="16">
        <v>0.01</v>
      </c>
      <c r="S67" s="16">
        <v>0.01</v>
      </c>
      <c r="T67" s="17">
        <v>45423.0</v>
      </c>
      <c r="U67" s="18">
        <v>1.9</v>
      </c>
      <c r="V67" s="15" t="s">
        <v>33</v>
      </c>
      <c r="W67" s="19">
        <f t="shared" si="1"/>
        <v>0.009</v>
      </c>
      <c r="X67" s="19">
        <f t="shared" si="4"/>
        <v>0.6394693548</v>
      </c>
      <c r="Y67" s="41">
        <v>8.0</v>
      </c>
      <c r="Z67" s="104" t="s">
        <v>977</v>
      </c>
      <c r="AA67" s="102"/>
      <c r="AB67" s="103"/>
    </row>
    <row r="68">
      <c r="A68" s="8">
        <f t="shared" si="3"/>
        <v>67</v>
      </c>
      <c r="B68" s="8" t="s">
        <v>1915</v>
      </c>
      <c r="C68" s="8" t="s">
        <v>19</v>
      </c>
      <c r="D68" s="8">
        <v>2.0</v>
      </c>
      <c r="E68" s="8">
        <v>11.0</v>
      </c>
      <c r="F68" s="8" t="s">
        <v>5150</v>
      </c>
      <c r="G68" s="8"/>
      <c r="H68" s="8"/>
      <c r="I68" s="111"/>
      <c r="J68" s="8"/>
      <c r="K68" s="8"/>
      <c r="L68" s="8"/>
      <c r="M68" s="8" t="s">
        <v>82</v>
      </c>
      <c r="N68" s="8" t="s">
        <v>22</v>
      </c>
      <c r="O68" s="8" t="s">
        <v>29</v>
      </c>
      <c r="P68" s="8" t="s">
        <v>39</v>
      </c>
      <c r="Q68" s="9">
        <v>-2.5</v>
      </c>
      <c r="R68" s="9">
        <v>0.01</v>
      </c>
      <c r="S68" s="9">
        <v>0.01</v>
      </c>
      <c r="T68" s="10">
        <v>45423.0</v>
      </c>
      <c r="U68" s="11">
        <v>1.875</v>
      </c>
      <c r="V68" s="8" t="s">
        <v>33</v>
      </c>
      <c r="W68" s="12">
        <f t="shared" si="1"/>
        <v>0.00875</v>
      </c>
      <c r="X68" s="12">
        <f t="shared" si="4"/>
        <v>0.6482193548</v>
      </c>
      <c r="Y68" s="41">
        <v>9.0</v>
      </c>
      <c r="Z68" s="104" t="s">
        <v>979</v>
      </c>
      <c r="AA68" s="102"/>
      <c r="AB68" s="103"/>
    </row>
    <row r="69">
      <c r="A69" s="15">
        <f t="shared" si="3"/>
        <v>68</v>
      </c>
      <c r="B69" s="15" t="s">
        <v>129</v>
      </c>
      <c r="C69" s="15" t="s">
        <v>19</v>
      </c>
      <c r="D69" s="15">
        <v>57.0</v>
      </c>
      <c r="E69" s="15">
        <v>2.0</v>
      </c>
      <c r="F69" s="15" t="s">
        <v>5151</v>
      </c>
      <c r="G69" s="15">
        <v>7.0</v>
      </c>
      <c r="H69" s="15">
        <v>4.0</v>
      </c>
      <c r="I69" s="110">
        <f>5/28</f>
        <v>0.1785714286</v>
      </c>
      <c r="J69" s="15" t="s">
        <v>1473</v>
      </c>
      <c r="K69" s="15" t="s">
        <v>1474</v>
      </c>
      <c r="L69" s="15">
        <v>0.0</v>
      </c>
      <c r="M69" s="15" t="s">
        <v>1368</v>
      </c>
      <c r="N69" s="15" t="s">
        <v>22</v>
      </c>
      <c r="O69" s="15" t="s">
        <v>225</v>
      </c>
      <c r="P69" s="15" t="s">
        <v>24</v>
      </c>
      <c r="Q69" s="16">
        <v>0.5</v>
      </c>
      <c r="R69" s="16">
        <v>0.6</v>
      </c>
      <c r="S69" s="16">
        <v>0.6</v>
      </c>
      <c r="T69" s="17">
        <v>45424.0</v>
      </c>
      <c r="U69" s="18">
        <v>1.85</v>
      </c>
      <c r="V69" s="15" t="s">
        <v>25</v>
      </c>
      <c r="W69" s="19">
        <f t="shared" si="1"/>
        <v>-0.6</v>
      </c>
      <c r="X69" s="19">
        <f t="shared" si="4"/>
        <v>0.04821935484</v>
      </c>
      <c r="Y69" s="41">
        <v>10.0</v>
      </c>
      <c r="Z69" s="104" t="s">
        <v>981</v>
      </c>
      <c r="AA69" s="102"/>
      <c r="AB69" s="103"/>
    </row>
    <row r="70">
      <c r="A70" s="8">
        <f t="shared" si="3"/>
        <v>69</v>
      </c>
      <c r="B70" s="8" t="s">
        <v>26</v>
      </c>
      <c r="C70" s="8" t="s">
        <v>19</v>
      </c>
      <c r="D70" s="8">
        <v>16.0</v>
      </c>
      <c r="E70" s="8">
        <v>3.0</v>
      </c>
      <c r="F70" s="8" t="s">
        <v>5152</v>
      </c>
      <c r="G70" s="8">
        <v>16.0</v>
      </c>
      <c r="H70" s="8">
        <v>15.0</v>
      </c>
      <c r="I70" s="111">
        <f>25/30</f>
        <v>0.8333333333</v>
      </c>
      <c r="J70" s="8" t="s">
        <v>1479</v>
      </c>
      <c r="K70" s="8" t="s">
        <v>1480</v>
      </c>
      <c r="L70" s="8">
        <v>0.0</v>
      </c>
      <c r="M70" s="8" t="s">
        <v>221</v>
      </c>
      <c r="N70" s="8" t="s">
        <v>22</v>
      </c>
      <c r="O70" s="8" t="s">
        <v>1150</v>
      </c>
      <c r="P70" s="8" t="s">
        <v>1851</v>
      </c>
      <c r="Q70" s="9">
        <v>0.0</v>
      </c>
      <c r="R70" s="9">
        <v>0.2</v>
      </c>
      <c r="S70" s="9">
        <v>0.2</v>
      </c>
      <c r="T70" s="10">
        <v>45424.0</v>
      </c>
      <c r="U70" s="11">
        <v>1.75</v>
      </c>
      <c r="V70" s="8" t="s">
        <v>70</v>
      </c>
      <c r="W70" s="12">
        <f t="shared" si="1"/>
        <v>0</v>
      </c>
      <c r="X70" s="12">
        <f t="shared" si="4"/>
        <v>0.04821935484</v>
      </c>
      <c r="Y70" s="41">
        <v>11.0</v>
      </c>
      <c r="Z70" s="104" t="s">
        <v>983</v>
      </c>
      <c r="AA70" s="102"/>
      <c r="AB70" s="103"/>
    </row>
    <row r="71">
      <c r="A71" s="15">
        <f t="shared" si="3"/>
        <v>70</v>
      </c>
      <c r="B71" s="15" t="s">
        <v>137</v>
      </c>
      <c r="C71" s="15" t="s">
        <v>19</v>
      </c>
      <c r="D71" s="15">
        <v>35.0</v>
      </c>
      <c r="E71" s="15">
        <v>3.0</v>
      </c>
      <c r="F71" s="15" t="s">
        <v>5153</v>
      </c>
      <c r="G71" s="15">
        <v>3.0</v>
      </c>
      <c r="H71" s="15">
        <v>1.0</v>
      </c>
      <c r="I71" s="110">
        <f>20/26</f>
        <v>0.7692307692</v>
      </c>
      <c r="J71" s="15" t="s">
        <v>1473</v>
      </c>
      <c r="K71" s="15" t="s">
        <v>1480</v>
      </c>
      <c r="L71" s="15">
        <v>-1.0</v>
      </c>
      <c r="M71" s="15" t="s">
        <v>2108</v>
      </c>
      <c r="N71" s="15" t="s">
        <v>22</v>
      </c>
      <c r="O71" s="15" t="s">
        <v>892</v>
      </c>
      <c r="P71" s="15" t="s">
        <v>24</v>
      </c>
      <c r="Q71" s="16">
        <v>0.0</v>
      </c>
      <c r="R71" s="16">
        <v>0.6</v>
      </c>
      <c r="S71" s="16">
        <v>0.6</v>
      </c>
      <c r="T71" s="17">
        <v>45424.0</v>
      </c>
      <c r="U71" s="18">
        <v>1.825</v>
      </c>
      <c r="V71" s="15" t="s">
        <v>33</v>
      </c>
      <c r="W71" s="19">
        <f t="shared" si="1"/>
        <v>0.495</v>
      </c>
      <c r="X71" s="19">
        <f t="shared" si="4"/>
        <v>0.5432193548</v>
      </c>
      <c r="Y71" s="41">
        <v>12.0</v>
      </c>
      <c r="Z71" s="104" t="s">
        <v>985</v>
      </c>
      <c r="AA71" s="102"/>
      <c r="AB71" s="103"/>
    </row>
    <row r="72">
      <c r="A72" s="8">
        <f t="shared" si="3"/>
        <v>71</v>
      </c>
      <c r="B72" s="8" t="s">
        <v>26</v>
      </c>
      <c r="C72" s="8" t="s">
        <v>19</v>
      </c>
      <c r="D72" s="8">
        <v>30.0</v>
      </c>
      <c r="E72" s="8">
        <v>3.0</v>
      </c>
      <c r="F72" s="8" t="s">
        <v>5154</v>
      </c>
      <c r="G72" s="8">
        <v>6.0</v>
      </c>
      <c r="H72" s="8">
        <v>3.0</v>
      </c>
      <c r="I72" s="111">
        <f>5/30</f>
        <v>0.1666666667</v>
      </c>
      <c r="J72" s="8" t="s">
        <v>1473</v>
      </c>
      <c r="K72" s="8" t="s">
        <v>1480</v>
      </c>
      <c r="L72" s="8">
        <v>0.0</v>
      </c>
      <c r="M72" s="8" t="s">
        <v>1470</v>
      </c>
      <c r="N72" s="8" t="s">
        <v>22</v>
      </c>
      <c r="O72" s="8" t="s">
        <v>1150</v>
      </c>
      <c r="P72" s="8" t="s">
        <v>24</v>
      </c>
      <c r="Q72" s="9">
        <v>0.0</v>
      </c>
      <c r="R72" s="9">
        <v>0.2</v>
      </c>
      <c r="S72" s="9">
        <v>0.2</v>
      </c>
      <c r="T72" s="10">
        <v>45424.0</v>
      </c>
      <c r="U72" s="11">
        <v>1.775</v>
      </c>
      <c r="V72" s="8" t="s">
        <v>25</v>
      </c>
      <c r="W72" s="12">
        <f t="shared" si="1"/>
        <v>-0.2</v>
      </c>
      <c r="X72" s="12">
        <f t="shared" si="4"/>
        <v>0.3432193548</v>
      </c>
    </row>
    <row r="73">
      <c r="A73" s="15">
        <f t="shared" si="3"/>
        <v>72</v>
      </c>
      <c r="B73" s="15" t="s">
        <v>4225</v>
      </c>
      <c r="C73" s="15" t="s">
        <v>19</v>
      </c>
      <c r="D73" s="15">
        <v>38.0</v>
      </c>
      <c r="E73" s="15">
        <v>3.0</v>
      </c>
      <c r="F73" s="15" t="s">
        <v>5155</v>
      </c>
      <c r="G73" s="15">
        <v>16.0</v>
      </c>
      <c r="H73" s="15">
        <v>4.0</v>
      </c>
      <c r="I73" s="110">
        <v>0.962</v>
      </c>
      <c r="J73" s="15" t="s">
        <v>1473</v>
      </c>
      <c r="K73" s="15" t="s">
        <v>1480</v>
      </c>
      <c r="L73" s="15">
        <v>-1.0</v>
      </c>
      <c r="M73" s="15" t="s">
        <v>50</v>
      </c>
      <c r="N73" s="15" t="s">
        <v>22</v>
      </c>
      <c r="O73" s="15" t="s">
        <v>892</v>
      </c>
      <c r="P73" s="15" t="s">
        <v>24</v>
      </c>
      <c r="Q73" s="16">
        <v>0.0</v>
      </c>
      <c r="R73" s="16">
        <v>0.8</v>
      </c>
      <c r="S73" s="16">
        <v>0.79</v>
      </c>
      <c r="T73" s="17">
        <v>45424.0</v>
      </c>
      <c r="U73" s="18">
        <v>1.094</v>
      </c>
      <c r="V73" s="15" t="s">
        <v>33</v>
      </c>
      <c r="W73" s="19">
        <f t="shared" si="1"/>
        <v>0.07426</v>
      </c>
      <c r="X73" s="19">
        <f t="shared" si="4"/>
        <v>0.4174793548</v>
      </c>
    </row>
    <row r="74">
      <c r="A74" s="8">
        <f t="shared" si="3"/>
        <v>73</v>
      </c>
      <c r="B74" s="8" t="s">
        <v>18</v>
      </c>
      <c r="C74" s="8" t="s">
        <v>19</v>
      </c>
      <c r="D74" s="8">
        <v>36.0</v>
      </c>
      <c r="E74" s="8">
        <v>3.0</v>
      </c>
      <c r="F74" s="8" t="s">
        <v>5156</v>
      </c>
      <c r="G74" s="8">
        <v>1.0</v>
      </c>
      <c r="H74" s="8">
        <v>1.0</v>
      </c>
      <c r="I74" s="8" t="s">
        <v>5563</v>
      </c>
      <c r="J74" s="8" t="s">
        <v>1473</v>
      </c>
      <c r="K74" s="8" t="s">
        <v>1480</v>
      </c>
      <c r="L74" s="8">
        <v>-1.0</v>
      </c>
      <c r="M74" s="8" t="s">
        <v>187</v>
      </c>
      <c r="N74" s="8" t="s">
        <v>22</v>
      </c>
      <c r="O74" s="8" t="s">
        <v>892</v>
      </c>
      <c r="P74" s="8" t="s">
        <v>24</v>
      </c>
      <c r="Q74" s="9">
        <v>0.0</v>
      </c>
      <c r="R74" s="9">
        <v>0.2</v>
      </c>
      <c r="S74" s="9">
        <v>0.2</v>
      </c>
      <c r="T74" s="10">
        <v>45424.0</v>
      </c>
      <c r="U74" s="11">
        <v>2.0</v>
      </c>
      <c r="V74" s="8" t="s">
        <v>70</v>
      </c>
      <c r="W74" s="12">
        <f t="shared" si="1"/>
        <v>0</v>
      </c>
      <c r="X74" s="12">
        <f t="shared" si="4"/>
        <v>0.4174793548</v>
      </c>
    </row>
    <row r="75">
      <c r="A75" s="15">
        <f t="shared" si="3"/>
        <v>74</v>
      </c>
      <c r="B75" s="15" t="s">
        <v>129</v>
      </c>
      <c r="C75" s="15" t="s">
        <v>19</v>
      </c>
      <c r="D75" s="15">
        <v>56.0</v>
      </c>
      <c r="E75" s="15">
        <v>3.0</v>
      </c>
      <c r="F75" s="15" t="s">
        <v>5157</v>
      </c>
      <c r="G75" s="15">
        <v>9.0</v>
      </c>
      <c r="H75" s="15">
        <v>16.0</v>
      </c>
      <c r="I75" s="110">
        <f>27/38</f>
        <v>0.7105263158</v>
      </c>
      <c r="J75" s="15" t="s">
        <v>1479</v>
      </c>
      <c r="K75" s="15" t="s">
        <v>1480</v>
      </c>
      <c r="L75" s="15">
        <v>-1.0</v>
      </c>
      <c r="M75" s="15" t="s">
        <v>174</v>
      </c>
      <c r="N75" s="15" t="s">
        <v>22</v>
      </c>
      <c r="O75" s="15" t="s">
        <v>892</v>
      </c>
      <c r="P75" s="15" t="s">
        <v>24</v>
      </c>
      <c r="Q75" s="16">
        <v>0.0</v>
      </c>
      <c r="R75" s="16">
        <v>0.6</v>
      </c>
      <c r="S75" s="16">
        <v>0.6</v>
      </c>
      <c r="T75" s="17">
        <v>45424.0</v>
      </c>
      <c r="U75" s="18">
        <v>1.8</v>
      </c>
      <c r="V75" s="15" t="s">
        <v>70</v>
      </c>
      <c r="W75" s="19">
        <f t="shared" si="1"/>
        <v>0</v>
      </c>
      <c r="X75" s="19">
        <f t="shared" si="4"/>
        <v>0.4174793548</v>
      </c>
    </row>
    <row r="76">
      <c r="A76" s="8">
        <f t="shared" si="3"/>
        <v>75</v>
      </c>
      <c r="B76" s="8" t="s">
        <v>26</v>
      </c>
      <c r="C76" s="8" t="s">
        <v>19</v>
      </c>
      <c r="D76" s="8">
        <v>63.0</v>
      </c>
      <c r="E76" s="8">
        <v>3.0</v>
      </c>
      <c r="F76" s="8" t="s">
        <v>5158</v>
      </c>
      <c r="G76" s="8">
        <v>6.0</v>
      </c>
      <c r="H76" s="8">
        <v>1.0</v>
      </c>
      <c r="I76" s="111">
        <f>25/26</f>
        <v>0.9615384615</v>
      </c>
      <c r="J76" s="8" t="s">
        <v>1473</v>
      </c>
      <c r="K76" s="8" t="s">
        <v>1480</v>
      </c>
      <c r="L76" s="8">
        <v>0.0</v>
      </c>
      <c r="M76" s="8" t="s">
        <v>50</v>
      </c>
      <c r="N76" s="8" t="s">
        <v>22</v>
      </c>
      <c r="O76" s="8" t="s">
        <v>892</v>
      </c>
      <c r="P76" s="8" t="s">
        <v>24</v>
      </c>
      <c r="Q76" s="9">
        <v>0.0</v>
      </c>
      <c r="R76" s="9">
        <v>0.2</v>
      </c>
      <c r="S76" s="9">
        <v>0.2</v>
      </c>
      <c r="T76" s="10">
        <v>45424.0</v>
      </c>
      <c r="U76" s="11">
        <v>1.975</v>
      </c>
      <c r="V76" s="8" t="s">
        <v>25</v>
      </c>
      <c r="W76" s="12">
        <f t="shared" si="1"/>
        <v>-0.2</v>
      </c>
      <c r="X76" s="12">
        <f t="shared" si="4"/>
        <v>0.2174793548</v>
      </c>
    </row>
    <row r="77">
      <c r="A77" s="15">
        <f t="shared" si="3"/>
        <v>76</v>
      </c>
      <c r="B77" s="15" t="s">
        <v>26</v>
      </c>
      <c r="C77" s="15" t="s">
        <v>19</v>
      </c>
      <c r="D77" s="15">
        <v>45.0</v>
      </c>
      <c r="E77" s="15">
        <v>7.0</v>
      </c>
      <c r="F77" s="15" t="s">
        <v>5159</v>
      </c>
      <c r="G77" s="15">
        <v>11.0</v>
      </c>
      <c r="H77" s="15">
        <v>12.0</v>
      </c>
      <c r="I77" s="110">
        <f>18/22</f>
        <v>0.8181818182</v>
      </c>
      <c r="J77" s="15"/>
      <c r="K77" s="15"/>
      <c r="L77" s="15">
        <v>0.0</v>
      </c>
      <c r="M77" s="15" t="s">
        <v>877</v>
      </c>
      <c r="N77" s="15" t="s">
        <v>22</v>
      </c>
      <c r="O77" s="15" t="s">
        <v>29</v>
      </c>
      <c r="P77" s="15" t="s">
        <v>1803</v>
      </c>
      <c r="Q77" s="16">
        <v>-1.5</v>
      </c>
      <c r="R77" s="16">
        <v>0.1</v>
      </c>
      <c r="S77" s="16">
        <v>0.1</v>
      </c>
      <c r="T77" s="17">
        <v>45426.0</v>
      </c>
      <c r="U77" s="18">
        <v>2.0</v>
      </c>
      <c r="V77" s="15" t="s">
        <v>25</v>
      </c>
      <c r="W77" s="19">
        <f t="shared" si="1"/>
        <v>-0.1</v>
      </c>
      <c r="X77" s="19">
        <f t="shared" si="4"/>
        <v>0.1174793548</v>
      </c>
    </row>
    <row r="78">
      <c r="A78" s="8">
        <f t="shared" si="3"/>
        <v>77</v>
      </c>
      <c r="B78" s="8" t="s">
        <v>26</v>
      </c>
      <c r="C78" s="8" t="s">
        <v>19</v>
      </c>
      <c r="D78" s="8">
        <v>0.0</v>
      </c>
      <c r="E78" s="8"/>
      <c r="F78" s="8" t="s">
        <v>5160</v>
      </c>
      <c r="G78" s="8"/>
      <c r="H78" s="8"/>
      <c r="I78" s="111"/>
      <c r="J78" s="8"/>
      <c r="K78" s="8"/>
      <c r="L78" s="8"/>
      <c r="M78" s="8" t="s">
        <v>93</v>
      </c>
      <c r="N78" s="8" t="s">
        <v>598</v>
      </c>
      <c r="O78" s="8" t="s">
        <v>2776</v>
      </c>
      <c r="P78" s="8" t="s">
        <v>24</v>
      </c>
      <c r="Q78" s="9"/>
      <c r="R78" s="9">
        <v>0.1</v>
      </c>
      <c r="S78" s="9">
        <v>0.1</v>
      </c>
      <c r="T78" s="10">
        <v>45426.0</v>
      </c>
      <c r="U78" s="11">
        <v>4.33</v>
      </c>
      <c r="V78" s="8" t="s">
        <v>25</v>
      </c>
      <c r="W78" s="12">
        <f t="shared" si="1"/>
        <v>-0.1</v>
      </c>
      <c r="X78" s="12">
        <f t="shared" si="4"/>
        <v>0.01747935484</v>
      </c>
    </row>
    <row r="79">
      <c r="A79" s="15">
        <f t="shared" si="3"/>
        <v>78</v>
      </c>
      <c r="B79" s="15" t="s">
        <v>26</v>
      </c>
      <c r="C79" s="15" t="s">
        <v>19</v>
      </c>
      <c r="D79" s="15">
        <v>0.0</v>
      </c>
      <c r="E79" s="15"/>
      <c r="F79" s="15" t="s">
        <v>5161</v>
      </c>
      <c r="G79" s="15"/>
      <c r="H79" s="15"/>
      <c r="I79" s="110"/>
      <c r="J79" s="15"/>
      <c r="K79" s="15"/>
      <c r="L79" s="15"/>
      <c r="M79" s="15" t="s">
        <v>93</v>
      </c>
      <c r="N79" s="15" t="s">
        <v>598</v>
      </c>
      <c r="O79" s="15" t="s">
        <v>2776</v>
      </c>
      <c r="P79" s="15" t="s">
        <v>24</v>
      </c>
      <c r="Q79" s="16"/>
      <c r="R79" s="16">
        <v>0.1</v>
      </c>
      <c r="S79" s="16">
        <v>0.1</v>
      </c>
      <c r="T79" s="17">
        <v>45426.0</v>
      </c>
      <c r="U79" s="18">
        <v>5.5</v>
      </c>
      <c r="V79" s="15" t="s">
        <v>33</v>
      </c>
      <c r="W79" s="19">
        <f t="shared" si="1"/>
        <v>0.45</v>
      </c>
      <c r="X79" s="19">
        <f t="shared" si="4"/>
        <v>0.4674793548</v>
      </c>
    </row>
    <row r="80">
      <c r="A80" s="8">
        <f t="shared" si="3"/>
        <v>79</v>
      </c>
      <c r="B80" s="8" t="s">
        <v>26</v>
      </c>
      <c r="C80" s="8" t="s">
        <v>19</v>
      </c>
      <c r="D80" s="8">
        <v>21.0</v>
      </c>
      <c r="E80" s="8">
        <v>20.0</v>
      </c>
      <c r="F80" s="8" t="s">
        <v>5162</v>
      </c>
      <c r="G80" s="8">
        <v>11.0</v>
      </c>
      <c r="H80" s="8">
        <v>3.0</v>
      </c>
      <c r="I80" s="111">
        <f>27/38</f>
        <v>0.7105263158</v>
      </c>
      <c r="J80" s="8" t="s">
        <v>1473</v>
      </c>
      <c r="K80" s="8" t="s">
        <v>1480</v>
      </c>
      <c r="L80" s="8">
        <v>0.0</v>
      </c>
      <c r="M80" s="8" t="s">
        <v>174</v>
      </c>
      <c r="N80" s="8" t="s">
        <v>22</v>
      </c>
      <c r="O80" s="8" t="s">
        <v>1150</v>
      </c>
      <c r="P80" s="8" t="s">
        <v>24</v>
      </c>
      <c r="Q80" s="9">
        <v>0.0</v>
      </c>
      <c r="R80" s="9">
        <v>0.6</v>
      </c>
      <c r="S80" s="9">
        <v>0.6</v>
      </c>
      <c r="T80" s="10">
        <v>45426.0</v>
      </c>
      <c r="U80" s="11">
        <v>1.75</v>
      </c>
      <c r="V80" s="8" t="s">
        <v>70</v>
      </c>
      <c r="W80" s="12">
        <f t="shared" si="1"/>
        <v>0</v>
      </c>
      <c r="X80" s="12">
        <f t="shared" si="4"/>
        <v>0.4674793548</v>
      </c>
    </row>
    <row r="81">
      <c r="A81" s="15">
        <f t="shared" si="3"/>
        <v>80</v>
      </c>
      <c r="B81" s="15" t="s">
        <v>26</v>
      </c>
      <c r="C81" s="15" t="s">
        <v>19</v>
      </c>
      <c r="D81" s="15">
        <v>60.0</v>
      </c>
      <c r="E81" s="15"/>
      <c r="F81" s="15" t="s">
        <v>5163</v>
      </c>
      <c r="G81" s="15"/>
      <c r="H81" s="15"/>
      <c r="I81" s="110"/>
      <c r="J81" s="15"/>
      <c r="K81" s="15"/>
      <c r="L81" s="15">
        <v>0.0</v>
      </c>
      <c r="M81" s="15" t="s">
        <v>191</v>
      </c>
      <c r="N81" s="15" t="s">
        <v>22</v>
      </c>
      <c r="O81" s="15" t="s">
        <v>440</v>
      </c>
      <c r="P81" s="15" t="s">
        <v>39</v>
      </c>
      <c r="Q81" s="16">
        <v>0.5</v>
      </c>
      <c r="R81" s="16">
        <v>0.1</v>
      </c>
      <c r="S81" s="16">
        <v>0.1</v>
      </c>
      <c r="T81" s="55">
        <v>45427.0</v>
      </c>
      <c r="U81" s="18">
        <v>1.75</v>
      </c>
      <c r="V81" s="15" t="s">
        <v>33</v>
      </c>
      <c r="W81" s="19">
        <f t="shared" si="1"/>
        <v>0.075</v>
      </c>
      <c r="X81" s="19">
        <f t="shared" si="4"/>
        <v>0.5424793548</v>
      </c>
    </row>
    <row r="82">
      <c r="A82" s="8">
        <f t="shared" si="3"/>
        <v>81</v>
      </c>
      <c r="B82" s="8" t="s">
        <v>18</v>
      </c>
      <c r="C82" s="8" t="s">
        <v>19</v>
      </c>
      <c r="D82" s="8">
        <v>43.0</v>
      </c>
      <c r="E82" s="8">
        <v>3.0</v>
      </c>
      <c r="F82" s="8" t="s">
        <v>5164</v>
      </c>
      <c r="G82" s="8">
        <v>6.0</v>
      </c>
      <c r="H82" s="8">
        <v>13.0</v>
      </c>
      <c r="I82" s="111">
        <v>0.85</v>
      </c>
      <c r="J82" s="8" t="s">
        <v>1473</v>
      </c>
      <c r="K82" s="8" t="s">
        <v>1480</v>
      </c>
      <c r="L82" s="8">
        <v>-1.0</v>
      </c>
      <c r="M82" s="8" t="s">
        <v>432</v>
      </c>
      <c r="N82" s="8" t="s">
        <v>22</v>
      </c>
      <c r="O82" s="8" t="s">
        <v>1150</v>
      </c>
      <c r="P82" s="8" t="s">
        <v>24</v>
      </c>
      <c r="Q82" s="9">
        <v>0.0</v>
      </c>
      <c r="R82" s="9">
        <v>0.2</v>
      </c>
      <c r="S82" s="9">
        <v>0.11</v>
      </c>
      <c r="T82" s="54">
        <v>45427.0</v>
      </c>
      <c r="U82" s="11">
        <v>1.825</v>
      </c>
      <c r="V82" s="8" t="s">
        <v>70</v>
      </c>
      <c r="W82" s="12">
        <f t="shared" si="1"/>
        <v>0</v>
      </c>
      <c r="X82" s="12">
        <f t="shared" si="4"/>
        <v>0.5424793548</v>
      </c>
    </row>
    <row r="83">
      <c r="A83" s="15">
        <f t="shared" si="3"/>
        <v>82</v>
      </c>
      <c r="B83" s="15" t="s">
        <v>1915</v>
      </c>
      <c r="C83" s="15" t="s">
        <v>19</v>
      </c>
      <c r="D83" s="15">
        <v>0.0</v>
      </c>
      <c r="E83" s="15">
        <v>11.0</v>
      </c>
      <c r="F83" s="15" t="s">
        <v>5165</v>
      </c>
      <c r="G83" s="15"/>
      <c r="H83" s="15"/>
      <c r="I83" s="110"/>
      <c r="J83" s="15"/>
      <c r="K83" s="15"/>
      <c r="L83" s="15">
        <v>0.0</v>
      </c>
      <c r="M83" s="15" t="s">
        <v>229</v>
      </c>
      <c r="N83" s="15" t="s">
        <v>22</v>
      </c>
      <c r="O83" s="15" t="s">
        <v>29</v>
      </c>
      <c r="P83" s="15" t="s">
        <v>39</v>
      </c>
      <c r="Q83" s="16">
        <v>-2.5</v>
      </c>
      <c r="R83" s="16">
        <v>0.05</v>
      </c>
      <c r="S83" s="16">
        <v>0.05</v>
      </c>
      <c r="T83" s="55">
        <v>45427.0</v>
      </c>
      <c r="U83" s="18">
        <v>1.8</v>
      </c>
      <c r="V83" s="15" t="s">
        <v>33</v>
      </c>
      <c r="W83" s="19">
        <f t="shared" si="1"/>
        <v>0.04</v>
      </c>
      <c r="X83" s="19">
        <f t="shared" si="4"/>
        <v>0.5824793548</v>
      </c>
    </row>
    <row r="84">
      <c r="A84" s="8">
        <f t="shared" si="3"/>
        <v>83</v>
      </c>
      <c r="B84" s="8" t="s">
        <v>18</v>
      </c>
      <c r="C84" s="8" t="s">
        <v>19</v>
      </c>
      <c r="D84" s="8">
        <v>59.0</v>
      </c>
      <c r="E84" s="8">
        <v>3.0</v>
      </c>
      <c r="F84" s="8" t="s">
        <v>5166</v>
      </c>
      <c r="G84" s="8">
        <v>6.0</v>
      </c>
      <c r="H84" s="8">
        <v>13.0</v>
      </c>
      <c r="I84" s="111">
        <v>0.85</v>
      </c>
      <c r="J84" s="8" t="s">
        <v>1473</v>
      </c>
      <c r="K84" s="8" t="s">
        <v>1480</v>
      </c>
      <c r="L84" s="8">
        <v>-1.0</v>
      </c>
      <c r="M84" s="8" t="s">
        <v>432</v>
      </c>
      <c r="N84" s="8" t="s">
        <v>22</v>
      </c>
      <c r="O84" s="8" t="s">
        <v>892</v>
      </c>
      <c r="P84" s="8" t="s">
        <v>24</v>
      </c>
      <c r="Q84" s="9">
        <v>0.0</v>
      </c>
      <c r="R84" s="9">
        <v>0.75</v>
      </c>
      <c r="S84" s="9">
        <v>0.75</v>
      </c>
      <c r="T84" s="54">
        <v>45427.0</v>
      </c>
      <c r="U84" s="11">
        <v>1.775</v>
      </c>
      <c r="V84" s="8" t="s">
        <v>25</v>
      </c>
      <c r="W84" s="12">
        <f t="shared" si="1"/>
        <v>-0.75</v>
      </c>
      <c r="X84" s="12">
        <f t="shared" si="4"/>
        <v>-0.1675206452</v>
      </c>
    </row>
    <row r="85">
      <c r="A85" s="15">
        <f t="shared" si="3"/>
        <v>84</v>
      </c>
      <c r="B85" s="15" t="s">
        <v>26</v>
      </c>
      <c r="C85" s="15" t="s">
        <v>19</v>
      </c>
      <c r="D85" s="15">
        <v>32.0</v>
      </c>
      <c r="E85" s="15">
        <v>3.0</v>
      </c>
      <c r="F85" s="15" t="s">
        <v>5167</v>
      </c>
      <c r="G85" s="15">
        <v>3.0</v>
      </c>
      <c r="H85" s="15">
        <v>2.0</v>
      </c>
      <c r="I85" s="110">
        <v>0.955</v>
      </c>
      <c r="J85" s="15" t="s">
        <v>1479</v>
      </c>
      <c r="K85" s="15" t="s">
        <v>1480</v>
      </c>
      <c r="L85" s="15">
        <v>0.0</v>
      </c>
      <c r="M85" s="15" t="s">
        <v>415</v>
      </c>
      <c r="N85" s="15" t="s">
        <v>22</v>
      </c>
      <c r="O85" s="15" t="s">
        <v>1150</v>
      </c>
      <c r="P85" s="15" t="s">
        <v>24</v>
      </c>
      <c r="Q85" s="16">
        <v>0.0</v>
      </c>
      <c r="R85" s="16">
        <v>0.2</v>
      </c>
      <c r="S85" s="16">
        <v>0.2</v>
      </c>
      <c r="T85" s="17">
        <v>45427.0</v>
      </c>
      <c r="U85" s="18">
        <v>1.825</v>
      </c>
      <c r="V85" s="15" t="s">
        <v>33</v>
      </c>
      <c r="W85" s="19">
        <f t="shared" si="1"/>
        <v>0.165</v>
      </c>
      <c r="X85" s="19">
        <f t="shared" si="4"/>
        <v>-0.002520645161</v>
      </c>
    </row>
    <row r="86">
      <c r="A86" s="8">
        <f t="shared" si="3"/>
        <v>85</v>
      </c>
      <c r="B86" s="8" t="s">
        <v>18</v>
      </c>
      <c r="C86" s="8" t="s">
        <v>40</v>
      </c>
      <c r="D86" s="8">
        <v>77.0</v>
      </c>
      <c r="E86" s="8">
        <v>3.0</v>
      </c>
      <c r="F86" s="8" t="s">
        <v>5168</v>
      </c>
      <c r="G86" s="8">
        <v>9.0</v>
      </c>
      <c r="H86" s="8">
        <v>8.0</v>
      </c>
      <c r="I86" s="111">
        <v>0.33</v>
      </c>
      <c r="J86" s="8" t="s">
        <v>1473</v>
      </c>
      <c r="K86" s="8" t="s">
        <v>1480</v>
      </c>
      <c r="L86" s="8">
        <v>0.0</v>
      </c>
      <c r="M86" s="8" t="s">
        <v>463</v>
      </c>
      <c r="N86" s="8" t="s">
        <v>22</v>
      </c>
      <c r="O86" s="8" t="s">
        <v>892</v>
      </c>
      <c r="P86" s="8" t="s">
        <v>24</v>
      </c>
      <c r="Q86" s="9">
        <v>0.0</v>
      </c>
      <c r="R86" s="9">
        <v>0.6</v>
      </c>
      <c r="S86" s="9">
        <v>0.6</v>
      </c>
      <c r="T86" s="10">
        <v>45427.0</v>
      </c>
      <c r="U86" s="11">
        <v>1.8</v>
      </c>
      <c r="V86" s="8" t="s">
        <v>70</v>
      </c>
      <c r="W86" s="12">
        <f t="shared" si="1"/>
        <v>0</v>
      </c>
      <c r="X86" s="12">
        <f t="shared" si="4"/>
        <v>-0.002520645161</v>
      </c>
    </row>
    <row r="87">
      <c r="A87" s="15">
        <f t="shared" si="3"/>
        <v>86</v>
      </c>
      <c r="B87" s="15" t="s">
        <v>4225</v>
      </c>
      <c r="C87" s="15" t="s">
        <v>19</v>
      </c>
      <c r="D87" s="15">
        <v>80.0</v>
      </c>
      <c r="E87" s="15">
        <v>3.0</v>
      </c>
      <c r="F87" s="15" t="s">
        <v>5169</v>
      </c>
      <c r="G87" s="15">
        <v>3.0</v>
      </c>
      <c r="H87" s="15">
        <v>2.0</v>
      </c>
      <c r="I87" s="110">
        <v>0.955</v>
      </c>
      <c r="J87" s="15" t="s">
        <v>1479</v>
      </c>
      <c r="K87" s="15" t="s">
        <v>1480</v>
      </c>
      <c r="L87" s="15">
        <v>-1.0</v>
      </c>
      <c r="M87" s="15" t="s">
        <v>415</v>
      </c>
      <c r="N87" s="15" t="s">
        <v>22</v>
      </c>
      <c r="O87" s="15" t="s">
        <v>892</v>
      </c>
      <c r="P87" s="15" t="s">
        <v>24</v>
      </c>
      <c r="Q87" s="16">
        <v>0.0</v>
      </c>
      <c r="R87" s="16">
        <v>0.2</v>
      </c>
      <c r="S87" s="16">
        <v>0.06</v>
      </c>
      <c r="T87" s="55">
        <v>45427.0</v>
      </c>
      <c r="U87" s="18">
        <v>1.9</v>
      </c>
      <c r="V87" s="15" t="s">
        <v>70</v>
      </c>
      <c r="W87" s="19">
        <f t="shared" si="1"/>
        <v>0</v>
      </c>
      <c r="X87" s="19">
        <f t="shared" si="4"/>
        <v>-0.002520645161</v>
      </c>
    </row>
    <row r="88">
      <c r="A88" s="8">
        <f t="shared" si="3"/>
        <v>87</v>
      </c>
      <c r="B88" s="8" t="s">
        <v>26</v>
      </c>
      <c r="C88" s="8" t="s">
        <v>19</v>
      </c>
      <c r="D88" s="8">
        <v>73.0</v>
      </c>
      <c r="E88" s="8">
        <v>3.0</v>
      </c>
      <c r="F88" s="8" t="s">
        <v>5170</v>
      </c>
      <c r="G88" s="8">
        <v>4.0</v>
      </c>
      <c r="H88" s="8">
        <v>1.0</v>
      </c>
      <c r="I88" s="111">
        <f>21/22</f>
        <v>0.9545454545</v>
      </c>
      <c r="J88" s="8" t="s">
        <v>1473</v>
      </c>
      <c r="K88" s="8" t="s">
        <v>1480</v>
      </c>
      <c r="L88" s="8">
        <v>0.0</v>
      </c>
      <c r="M88" s="8" t="s">
        <v>415</v>
      </c>
      <c r="N88" s="8" t="s">
        <v>22</v>
      </c>
      <c r="O88" s="8" t="s">
        <v>892</v>
      </c>
      <c r="P88" s="8" t="s">
        <v>24</v>
      </c>
      <c r="Q88" s="9">
        <v>0.0</v>
      </c>
      <c r="R88" s="9">
        <v>0.7</v>
      </c>
      <c r="S88" s="9">
        <v>0.7</v>
      </c>
      <c r="T88" s="10">
        <v>45427.0</v>
      </c>
      <c r="U88" s="11">
        <v>1.975</v>
      </c>
      <c r="V88" s="8" t="s">
        <v>25</v>
      </c>
      <c r="W88" s="12">
        <f t="shared" si="1"/>
        <v>-0.7</v>
      </c>
      <c r="X88" s="12">
        <f t="shared" si="4"/>
        <v>-0.7025206452</v>
      </c>
    </row>
    <row r="89">
      <c r="A89" s="15">
        <f t="shared" si="3"/>
        <v>88</v>
      </c>
      <c r="B89" s="15" t="s">
        <v>4225</v>
      </c>
      <c r="C89" s="15" t="s">
        <v>19</v>
      </c>
      <c r="D89" s="15">
        <v>72.0</v>
      </c>
      <c r="E89" s="15">
        <v>3.0</v>
      </c>
      <c r="F89" s="15" t="s">
        <v>5171</v>
      </c>
      <c r="G89" s="15">
        <v>1.0</v>
      </c>
      <c r="H89" s="15">
        <v>2.0</v>
      </c>
      <c r="I89" s="110">
        <v>0.925</v>
      </c>
      <c r="J89" s="15" t="s">
        <v>1479</v>
      </c>
      <c r="K89" s="15" t="s">
        <v>1480</v>
      </c>
      <c r="L89" s="15">
        <v>-1.0</v>
      </c>
      <c r="M89" s="15" t="s">
        <v>207</v>
      </c>
      <c r="N89" s="15" t="s">
        <v>22</v>
      </c>
      <c r="O89" s="15" t="s">
        <v>892</v>
      </c>
      <c r="P89" s="15" t="s">
        <v>39</v>
      </c>
      <c r="Q89" s="16">
        <v>0.0</v>
      </c>
      <c r="R89" s="16">
        <v>0.4</v>
      </c>
      <c r="S89" s="16">
        <v>0.38</v>
      </c>
      <c r="T89" s="17">
        <v>45428.0</v>
      </c>
      <c r="U89" s="18">
        <v>1.775</v>
      </c>
      <c r="V89" s="15" t="s">
        <v>70</v>
      </c>
      <c r="W89" s="19">
        <f t="shared" si="1"/>
        <v>0</v>
      </c>
      <c r="X89" s="19">
        <f t="shared" si="4"/>
        <v>-0.7025206452</v>
      </c>
    </row>
    <row r="90">
      <c r="A90" s="8">
        <f t="shared" si="3"/>
        <v>89</v>
      </c>
      <c r="B90" s="8" t="s">
        <v>26</v>
      </c>
      <c r="C90" s="8" t="s">
        <v>19</v>
      </c>
      <c r="D90" s="8">
        <v>30.0</v>
      </c>
      <c r="E90" s="8">
        <v>3.0</v>
      </c>
      <c r="F90" s="8" t="s">
        <v>5172</v>
      </c>
      <c r="G90" s="8">
        <v>10.0</v>
      </c>
      <c r="H90" s="8">
        <v>4.0</v>
      </c>
      <c r="I90" s="111">
        <f>30/36</f>
        <v>0.8333333333</v>
      </c>
      <c r="J90" s="8" t="s">
        <v>1473</v>
      </c>
      <c r="K90" s="8" t="s">
        <v>1480</v>
      </c>
      <c r="L90" s="8">
        <v>0.0</v>
      </c>
      <c r="M90" s="8" t="s">
        <v>231</v>
      </c>
      <c r="N90" s="8" t="s">
        <v>22</v>
      </c>
      <c r="O90" s="8" t="s">
        <v>1150</v>
      </c>
      <c r="P90" s="8" t="s">
        <v>24</v>
      </c>
      <c r="Q90" s="9">
        <v>0.0</v>
      </c>
      <c r="R90" s="9">
        <v>0.6</v>
      </c>
      <c r="S90" s="9">
        <v>0.58</v>
      </c>
      <c r="T90" s="10">
        <v>45428.0</v>
      </c>
      <c r="U90" s="11">
        <v>1.725</v>
      </c>
      <c r="V90" s="8" t="s">
        <v>70</v>
      </c>
      <c r="W90" s="12">
        <f t="shared" si="1"/>
        <v>0</v>
      </c>
      <c r="X90" s="12">
        <f t="shared" si="4"/>
        <v>-0.7025206452</v>
      </c>
    </row>
    <row r="91">
      <c r="A91" s="15">
        <f t="shared" si="3"/>
        <v>90</v>
      </c>
      <c r="B91" s="15" t="s">
        <v>26</v>
      </c>
      <c r="C91" s="15" t="s">
        <v>19</v>
      </c>
      <c r="D91" s="15">
        <v>63.0</v>
      </c>
      <c r="E91" s="15">
        <v>3.0</v>
      </c>
      <c r="F91" s="15" t="s">
        <v>5173</v>
      </c>
      <c r="G91" s="15">
        <v>13.0</v>
      </c>
      <c r="H91" s="15">
        <v>18.0</v>
      </c>
      <c r="I91" s="110">
        <f>29/38</f>
        <v>0.7631578947</v>
      </c>
      <c r="J91" s="15" t="s">
        <v>1479</v>
      </c>
      <c r="K91" s="15" t="s">
        <v>1480</v>
      </c>
      <c r="L91" s="15">
        <v>-1.0</v>
      </c>
      <c r="M91" s="15" t="s">
        <v>174</v>
      </c>
      <c r="N91" s="15" t="s">
        <v>22</v>
      </c>
      <c r="O91" s="15" t="s">
        <v>892</v>
      </c>
      <c r="P91" s="15" t="s">
        <v>24</v>
      </c>
      <c r="Q91" s="16">
        <v>0.0</v>
      </c>
      <c r="R91" s="16">
        <v>0.6</v>
      </c>
      <c r="S91" s="16">
        <v>0.58</v>
      </c>
      <c r="T91" s="17">
        <v>45428.0</v>
      </c>
      <c r="U91" s="18">
        <v>1.65</v>
      </c>
      <c r="V91" s="15" t="s">
        <v>70</v>
      </c>
      <c r="W91" s="19">
        <f t="shared" si="1"/>
        <v>0</v>
      </c>
      <c r="X91" s="19">
        <f t="shared" si="4"/>
        <v>-0.7025206452</v>
      </c>
    </row>
    <row r="92">
      <c r="A92" s="8">
        <f t="shared" si="3"/>
        <v>91</v>
      </c>
      <c r="B92" s="8" t="s">
        <v>26</v>
      </c>
      <c r="C92" s="8" t="s">
        <v>19</v>
      </c>
      <c r="D92" s="8">
        <v>78.0</v>
      </c>
      <c r="E92" s="8">
        <v>3.0</v>
      </c>
      <c r="F92" s="8" t="s">
        <v>5174</v>
      </c>
      <c r="G92" s="8">
        <v>8.0</v>
      </c>
      <c r="H92" s="8">
        <v>1.0</v>
      </c>
      <c r="I92" s="111">
        <f>6/26</f>
        <v>0.2307692308</v>
      </c>
      <c r="J92" s="8" t="s">
        <v>1479</v>
      </c>
      <c r="K92" s="8" t="s">
        <v>1480</v>
      </c>
      <c r="L92" s="8">
        <v>-1.0</v>
      </c>
      <c r="M92" s="8" t="s">
        <v>463</v>
      </c>
      <c r="N92" s="8" t="s">
        <v>22</v>
      </c>
      <c r="O92" s="8" t="s">
        <v>892</v>
      </c>
      <c r="P92" s="8" t="s">
        <v>24</v>
      </c>
      <c r="Q92" s="9">
        <v>0.0</v>
      </c>
      <c r="R92" s="9">
        <v>0.5</v>
      </c>
      <c r="S92" s="9">
        <v>0.49</v>
      </c>
      <c r="T92" s="10">
        <v>45428.0</v>
      </c>
      <c r="U92" s="11">
        <v>2.08</v>
      </c>
      <c r="V92" s="8" t="s">
        <v>70</v>
      </c>
      <c r="W92" s="12">
        <f t="shared" si="1"/>
        <v>0</v>
      </c>
      <c r="X92" s="12">
        <f t="shared" si="4"/>
        <v>-0.7025206452</v>
      </c>
    </row>
    <row r="93">
      <c r="A93" s="15">
        <f t="shared" si="3"/>
        <v>92</v>
      </c>
      <c r="B93" s="15" t="s">
        <v>18</v>
      </c>
      <c r="C93" s="15" t="s">
        <v>19</v>
      </c>
      <c r="D93" s="15">
        <v>86.0</v>
      </c>
      <c r="E93" s="15">
        <v>3.0</v>
      </c>
      <c r="F93" s="15" t="s">
        <v>5175</v>
      </c>
      <c r="G93" s="15">
        <v>8.0</v>
      </c>
      <c r="H93" s="15">
        <v>9.0</v>
      </c>
      <c r="I93" s="110">
        <v>0.76</v>
      </c>
      <c r="J93" s="15" t="s">
        <v>1479</v>
      </c>
      <c r="K93" s="15" t="s">
        <v>1480</v>
      </c>
      <c r="L93" s="15">
        <v>-1.0</v>
      </c>
      <c r="M93" s="15" t="s">
        <v>248</v>
      </c>
      <c r="N93" s="15" t="s">
        <v>22</v>
      </c>
      <c r="O93" s="15" t="s">
        <v>892</v>
      </c>
      <c r="P93" s="15" t="s">
        <v>24</v>
      </c>
      <c r="Q93" s="16">
        <v>0.0</v>
      </c>
      <c r="R93" s="16">
        <v>0.35</v>
      </c>
      <c r="S93" s="16">
        <v>0.35</v>
      </c>
      <c r="T93" s="17">
        <v>45428.0</v>
      </c>
      <c r="U93" s="18">
        <v>1.725</v>
      </c>
      <c r="V93" s="15" t="s">
        <v>70</v>
      </c>
      <c r="W93" s="19">
        <f t="shared" si="1"/>
        <v>0</v>
      </c>
      <c r="X93" s="19">
        <f t="shared" si="4"/>
        <v>-0.7025206452</v>
      </c>
    </row>
    <row r="94">
      <c r="A94" s="8">
        <f t="shared" si="3"/>
        <v>93</v>
      </c>
      <c r="B94" s="8" t="s">
        <v>18</v>
      </c>
      <c r="C94" s="8" t="s">
        <v>19</v>
      </c>
      <c r="D94" s="8">
        <v>40.0</v>
      </c>
      <c r="E94" s="8">
        <v>2.0</v>
      </c>
      <c r="F94" s="8" t="s">
        <v>5176</v>
      </c>
      <c r="G94" s="8">
        <v>2.0</v>
      </c>
      <c r="H94" s="8">
        <v>5.0</v>
      </c>
      <c r="I94" s="111">
        <v>0.16</v>
      </c>
      <c r="J94" s="8" t="s">
        <v>1479</v>
      </c>
      <c r="K94" s="8"/>
      <c r="L94" s="8">
        <v>0.0</v>
      </c>
      <c r="M94" s="8" t="s">
        <v>319</v>
      </c>
      <c r="N94" s="8" t="s">
        <v>22</v>
      </c>
      <c r="O94" s="8" t="s">
        <v>1023</v>
      </c>
      <c r="P94" s="8" t="s">
        <v>24</v>
      </c>
      <c r="Q94" s="9">
        <v>0.5</v>
      </c>
      <c r="R94" s="9">
        <v>0.2</v>
      </c>
      <c r="S94" s="9">
        <v>0.07</v>
      </c>
      <c r="T94" s="54">
        <v>45428.0</v>
      </c>
      <c r="U94" s="11">
        <v>1.4375</v>
      </c>
      <c r="V94" s="8" t="s">
        <v>33</v>
      </c>
      <c r="W94" s="12">
        <f t="shared" si="1"/>
        <v>0.030625</v>
      </c>
      <c r="X94" s="12">
        <f t="shared" si="4"/>
        <v>-0.6718956452</v>
      </c>
    </row>
    <row r="95">
      <c r="A95" s="15">
        <f t="shared" si="3"/>
        <v>94</v>
      </c>
      <c r="B95" s="15" t="s">
        <v>18</v>
      </c>
      <c r="C95" s="15" t="s">
        <v>19</v>
      </c>
      <c r="D95" s="15">
        <v>44.0</v>
      </c>
      <c r="E95" s="15">
        <v>2.0</v>
      </c>
      <c r="F95" s="15" t="s">
        <v>5177</v>
      </c>
      <c r="G95" s="15">
        <v>2.0</v>
      </c>
      <c r="H95" s="15">
        <v>5.0</v>
      </c>
      <c r="I95" s="110">
        <v>0.16</v>
      </c>
      <c r="J95" s="15" t="s">
        <v>1479</v>
      </c>
      <c r="K95" s="15" t="s">
        <v>1474</v>
      </c>
      <c r="L95" s="15">
        <v>0.0</v>
      </c>
      <c r="M95" s="15" t="s">
        <v>319</v>
      </c>
      <c r="N95" s="15" t="s">
        <v>22</v>
      </c>
      <c r="O95" s="15" t="s">
        <v>225</v>
      </c>
      <c r="P95" s="15" t="s">
        <v>24</v>
      </c>
      <c r="Q95" s="16">
        <v>0.25</v>
      </c>
      <c r="R95" s="16">
        <v>0.2</v>
      </c>
      <c r="S95" s="16">
        <v>0.11</v>
      </c>
      <c r="T95" s="17">
        <v>45428.0</v>
      </c>
      <c r="U95" s="18">
        <v>1.2538</v>
      </c>
      <c r="V95" s="15" t="s">
        <v>33</v>
      </c>
      <c r="W95" s="19">
        <f t="shared" si="1"/>
        <v>0.027918</v>
      </c>
      <c r="X95" s="19">
        <f t="shared" si="4"/>
        <v>-0.6439776452</v>
      </c>
    </row>
    <row r="96">
      <c r="A96" s="8">
        <f t="shared" si="3"/>
        <v>95</v>
      </c>
      <c r="B96" s="8" t="s">
        <v>26</v>
      </c>
      <c r="C96" s="8" t="s">
        <v>19</v>
      </c>
      <c r="D96" s="8">
        <v>18.0</v>
      </c>
      <c r="E96" s="8">
        <v>2.0</v>
      </c>
      <c r="F96" s="8" t="s">
        <v>5178</v>
      </c>
      <c r="G96" s="8">
        <v>7.0</v>
      </c>
      <c r="H96" s="8">
        <v>8.0</v>
      </c>
      <c r="I96" s="111">
        <v>0.8</v>
      </c>
      <c r="J96" s="8" t="s">
        <v>1479</v>
      </c>
      <c r="K96" s="8" t="s">
        <v>1474</v>
      </c>
      <c r="L96" s="8">
        <v>0.0</v>
      </c>
      <c r="M96" s="8" t="s">
        <v>525</v>
      </c>
      <c r="N96" s="8" t="s">
        <v>22</v>
      </c>
      <c r="O96" s="8" t="s">
        <v>225</v>
      </c>
      <c r="P96" s="8" t="s">
        <v>24</v>
      </c>
      <c r="Q96" s="9">
        <v>0.25</v>
      </c>
      <c r="R96" s="9">
        <v>0.2</v>
      </c>
      <c r="S96" s="9">
        <v>0.015</v>
      </c>
      <c r="T96" s="10">
        <v>45429.0</v>
      </c>
      <c r="U96" s="11">
        <v>1.75</v>
      </c>
      <c r="V96" s="8" t="s">
        <v>25</v>
      </c>
      <c r="W96" s="12">
        <f t="shared" si="1"/>
        <v>-0.015</v>
      </c>
      <c r="X96" s="12">
        <f t="shared" si="4"/>
        <v>-0.6589776452</v>
      </c>
    </row>
    <row r="97">
      <c r="A97" s="15">
        <f t="shared" si="3"/>
        <v>96</v>
      </c>
      <c r="B97" s="15" t="s">
        <v>18</v>
      </c>
      <c r="C97" s="15" t="s">
        <v>19</v>
      </c>
      <c r="D97" s="15">
        <v>37.0</v>
      </c>
      <c r="E97" s="15">
        <v>3.0</v>
      </c>
      <c r="F97" s="15" t="s">
        <v>5179</v>
      </c>
      <c r="G97" s="15">
        <v>7.0</v>
      </c>
      <c r="H97" s="15">
        <v>1.0</v>
      </c>
      <c r="I97" s="110">
        <v>0.95</v>
      </c>
      <c r="J97" s="15" t="s">
        <v>1473</v>
      </c>
      <c r="K97" s="15" t="s">
        <v>1480</v>
      </c>
      <c r="L97" s="15">
        <v>-1.0</v>
      </c>
      <c r="M97" s="15" t="s">
        <v>820</v>
      </c>
      <c r="N97" s="15" t="s">
        <v>22</v>
      </c>
      <c r="O97" s="15" t="s">
        <v>892</v>
      </c>
      <c r="P97" s="15" t="s">
        <v>24</v>
      </c>
      <c r="Q97" s="16">
        <v>0.0</v>
      </c>
      <c r="R97" s="16">
        <v>0.5</v>
      </c>
      <c r="S97" s="16">
        <v>0.48</v>
      </c>
      <c r="T97" s="17">
        <v>45429.0</v>
      </c>
      <c r="U97" s="18">
        <v>1.95</v>
      </c>
      <c r="V97" s="15" t="s">
        <v>70</v>
      </c>
      <c r="W97" s="19">
        <f t="shared" si="1"/>
        <v>0</v>
      </c>
      <c r="X97" s="19">
        <f t="shared" si="4"/>
        <v>-0.6589776452</v>
      </c>
    </row>
    <row r="98">
      <c r="A98" s="8">
        <f t="shared" si="3"/>
        <v>97</v>
      </c>
      <c r="B98" s="8" t="s">
        <v>18</v>
      </c>
      <c r="C98" s="8" t="s">
        <v>19</v>
      </c>
      <c r="D98" s="8">
        <v>53.0</v>
      </c>
      <c r="E98" s="8">
        <v>5.0</v>
      </c>
      <c r="F98" s="8" t="s">
        <v>5180</v>
      </c>
      <c r="G98" s="8">
        <v>16.0</v>
      </c>
      <c r="H98" s="8">
        <v>13.0</v>
      </c>
      <c r="I98" s="111">
        <v>0.95</v>
      </c>
      <c r="J98" s="8" t="s">
        <v>1473</v>
      </c>
      <c r="K98" s="8" t="s">
        <v>1477</v>
      </c>
      <c r="L98" s="8">
        <v>0.0</v>
      </c>
      <c r="M98" s="8" t="s">
        <v>820</v>
      </c>
      <c r="N98" s="8" t="s">
        <v>22</v>
      </c>
      <c r="O98" s="8" t="s">
        <v>894</v>
      </c>
      <c r="P98" s="8" t="s">
        <v>24</v>
      </c>
      <c r="Q98" s="9">
        <v>-0.75</v>
      </c>
      <c r="R98" s="9">
        <v>0.2</v>
      </c>
      <c r="S98" s="9">
        <v>0.2</v>
      </c>
      <c r="T98" s="54">
        <v>45429.0</v>
      </c>
      <c r="U98" s="11">
        <v>1.7</v>
      </c>
      <c r="V98" s="8" t="s">
        <v>33</v>
      </c>
      <c r="W98" s="12">
        <f t="shared" si="1"/>
        <v>0.14</v>
      </c>
      <c r="X98" s="12">
        <f t="shared" si="4"/>
        <v>-0.5189776452</v>
      </c>
    </row>
    <row r="99">
      <c r="A99" s="15">
        <f t="shared" si="3"/>
        <v>98</v>
      </c>
      <c r="B99" s="15" t="s">
        <v>26</v>
      </c>
      <c r="C99" s="15" t="s">
        <v>19</v>
      </c>
      <c r="D99" s="15">
        <v>68.0</v>
      </c>
      <c r="E99" s="15">
        <v>2.0</v>
      </c>
      <c r="F99" s="15" t="s">
        <v>5181</v>
      </c>
      <c r="G99" s="15">
        <v>2.0</v>
      </c>
      <c r="H99" s="15">
        <v>4.0</v>
      </c>
      <c r="I99" s="110">
        <f>26/30</f>
        <v>0.8666666667</v>
      </c>
      <c r="J99" s="15" t="s">
        <v>1473</v>
      </c>
      <c r="K99" s="15" t="s">
        <v>1474</v>
      </c>
      <c r="L99" s="15">
        <v>1.0</v>
      </c>
      <c r="M99" s="15" t="s">
        <v>316</v>
      </c>
      <c r="N99" s="15" t="s">
        <v>22</v>
      </c>
      <c r="O99" s="15" t="s">
        <v>225</v>
      </c>
      <c r="P99" s="15" t="s">
        <v>24</v>
      </c>
      <c r="Q99" s="16">
        <v>0.25</v>
      </c>
      <c r="R99" s="16">
        <v>0.2</v>
      </c>
      <c r="S99" s="16">
        <v>0.2</v>
      </c>
      <c r="T99" s="17">
        <v>45429.0</v>
      </c>
      <c r="U99" s="18">
        <v>1.725</v>
      </c>
      <c r="V99" s="15" t="s">
        <v>30</v>
      </c>
      <c r="W99" s="19">
        <f t="shared" si="1"/>
        <v>0.0725</v>
      </c>
      <c r="X99" s="19">
        <f t="shared" si="4"/>
        <v>-0.4464776452</v>
      </c>
    </row>
    <row r="100">
      <c r="A100" s="8">
        <f t="shared" si="3"/>
        <v>99</v>
      </c>
      <c r="B100" s="8" t="s">
        <v>26</v>
      </c>
      <c r="C100" s="8" t="s">
        <v>19</v>
      </c>
      <c r="D100" s="8">
        <v>68.0</v>
      </c>
      <c r="E100" s="8">
        <v>2.0</v>
      </c>
      <c r="F100" s="8" t="s">
        <v>5182</v>
      </c>
      <c r="G100" s="8">
        <v>3.0</v>
      </c>
      <c r="H100" s="8">
        <v>4.0</v>
      </c>
      <c r="I100" s="111">
        <f>5/10</f>
        <v>0.5</v>
      </c>
      <c r="J100" s="8" t="s">
        <v>1473</v>
      </c>
      <c r="K100" s="8" t="s">
        <v>1474</v>
      </c>
      <c r="L100" s="8">
        <v>0.0</v>
      </c>
      <c r="M100" s="8" t="s">
        <v>82</v>
      </c>
      <c r="N100" s="8" t="s">
        <v>22</v>
      </c>
      <c r="O100" s="8" t="s">
        <v>225</v>
      </c>
      <c r="P100" s="8" t="s">
        <v>24</v>
      </c>
      <c r="Q100" s="9">
        <v>0.5</v>
      </c>
      <c r="R100" s="9">
        <v>0.2</v>
      </c>
      <c r="S100" s="9">
        <v>0.2</v>
      </c>
      <c r="T100" s="10">
        <v>45429.0</v>
      </c>
      <c r="U100" s="11">
        <v>1.75</v>
      </c>
      <c r="V100" s="8" t="s">
        <v>33</v>
      </c>
      <c r="W100" s="12">
        <f t="shared" si="1"/>
        <v>0.15</v>
      </c>
      <c r="X100" s="12">
        <f t="shared" si="4"/>
        <v>-0.2964776452</v>
      </c>
    </row>
    <row r="101">
      <c r="A101" s="15">
        <f t="shared" si="3"/>
        <v>100</v>
      </c>
      <c r="B101" s="15" t="s">
        <v>129</v>
      </c>
      <c r="C101" s="15" t="s">
        <v>19</v>
      </c>
      <c r="D101" s="15">
        <v>60.0</v>
      </c>
      <c r="E101" s="15">
        <v>2.0</v>
      </c>
      <c r="F101" s="15" t="s">
        <v>5183</v>
      </c>
      <c r="G101" s="15">
        <v>1.0</v>
      </c>
      <c r="H101" s="15">
        <v>9.0</v>
      </c>
      <c r="I101" s="110">
        <f>28/36</f>
        <v>0.7777777778</v>
      </c>
      <c r="J101" s="15" t="s">
        <v>1473</v>
      </c>
      <c r="K101" s="15" t="s">
        <v>1474</v>
      </c>
      <c r="L101" s="15">
        <v>0.0</v>
      </c>
      <c r="M101" s="15" t="s">
        <v>432</v>
      </c>
      <c r="N101" s="15" t="s">
        <v>22</v>
      </c>
      <c r="O101" s="15" t="s">
        <v>225</v>
      </c>
      <c r="P101" s="15" t="s">
        <v>24</v>
      </c>
      <c r="Q101" s="16">
        <v>0.5</v>
      </c>
      <c r="R101" s="16">
        <v>0.2</v>
      </c>
      <c r="S101" s="16">
        <v>0.15</v>
      </c>
      <c r="T101" s="17">
        <v>45430.0</v>
      </c>
      <c r="U101" s="18">
        <v>1.75</v>
      </c>
      <c r="V101" s="15" t="s">
        <v>25</v>
      </c>
      <c r="W101" s="19">
        <f t="shared" si="1"/>
        <v>-0.15</v>
      </c>
      <c r="X101" s="19">
        <f t="shared" si="4"/>
        <v>-0.4464776452</v>
      </c>
    </row>
    <row r="102">
      <c r="A102" s="8">
        <f t="shared" si="3"/>
        <v>101</v>
      </c>
      <c r="B102" s="8" t="s">
        <v>26</v>
      </c>
      <c r="C102" s="8" t="s">
        <v>19</v>
      </c>
      <c r="D102" s="8">
        <v>70.0</v>
      </c>
      <c r="E102" s="8">
        <v>3.0</v>
      </c>
      <c r="F102" s="8" t="s">
        <v>5184</v>
      </c>
      <c r="G102" s="8">
        <v>13.0</v>
      </c>
      <c r="H102" s="8">
        <v>9.0</v>
      </c>
      <c r="I102" s="111">
        <f>25/26</f>
        <v>0.9615384615</v>
      </c>
      <c r="J102" s="8" t="s">
        <v>1473</v>
      </c>
      <c r="K102" s="8" t="s">
        <v>1480</v>
      </c>
      <c r="L102" s="8">
        <v>-2.0</v>
      </c>
      <c r="M102" s="8" t="s">
        <v>50</v>
      </c>
      <c r="N102" s="8" t="s">
        <v>22</v>
      </c>
      <c r="O102" s="8" t="s">
        <v>892</v>
      </c>
      <c r="P102" s="8" t="s">
        <v>24</v>
      </c>
      <c r="Q102" s="9">
        <v>0.0</v>
      </c>
      <c r="R102" s="9">
        <v>0.4</v>
      </c>
      <c r="S102" s="9">
        <v>0.32</v>
      </c>
      <c r="T102" s="10">
        <v>45430.0</v>
      </c>
      <c r="U102" s="11">
        <v>1.95</v>
      </c>
      <c r="V102" s="8" t="s">
        <v>33</v>
      </c>
      <c r="W102" s="12">
        <f t="shared" si="1"/>
        <v>0.304</v>
      </c>
      <c r="X102" s="12">
        <f t="shared" si="4"/>
        <v>-0.1424776452</v>
      </c>
    </row>
    <row r="103">
      <c r="A103" s="15">
        <f t="shared" si="3"/>
        <v>102</v>
      </c>
      <c r="B103" s="15" t="s">
        <v>18</v>
      </c>
      <c r="C103" s="15" t="s">
        <v>19</v>
      </c>
      <c r="D103" s="15">
        <v>25.0</v>
      </c>
      <c r="E103" s="15">
        <v>3.0</v>
      </c>
      <c r="F103" s="15" t="s">
        <v>5185</v>
      </c>
      <c r="G103" s="15" t="s">
        <v>5553</v>
      </c>
      <c r="H103" s="15" t="s">
        <v>5553</v>
      </c>
      <c r="I103" s="15" t="s">
        <v>5553</v>
      </c>
      <c r="J103" s="15" t="s">
        <v>1473</v>
      </c>
      <c r="K103" s="15" t="s">
        <v>1480</v>
      </c>
      <c r="L103" s="15">
        <v>0.0</v>
      </c>
      <c r="M103" s="15" t="s">
        <v>820</v>
      </c>
      <c r="N103" s="15" t="s">
        <v>22</v>
      </c>
      <c r="O103" s="15" t="s">
        <v>1150</v>
      </c>
      <c r="P103" s="15" t="s">
        <v>24</v>
      </c>
      <c r="Q103" s="16">
        <v>0.0</v>
      </c>
      <c r="R103" s="16">
        <v>0.5</v>
      </c>
      <c r="S103" s="16">
        <v>0.41</v>
      </c>
      <c r="T103" s="17">
        <v>45430.0</v>
      </c>
      <c r="U103" s="18">
        <v>1.75</v>
      </c>
      <c r="V103" s="15" t="s">
        <v>70</v>
      </c>
      <c r="W103" s="19">
        <f t="shared" si="1"/>
        <v>0</v>
      </c>
      <c r="X103" s="19">
        <f t="shared" si="4"/>
        <v>-0.1424776452</v>
      </c>
    </row>
    <row r="104">
      <c r="A104" s="8">
        <f t="shared" si="3"/>
        <v>103</v>
      </c>
      <c r="B104" s="8" t="s">
        <v>131</v>
      </c>
      <c r="C104" s="8" t="s">
        <v>19</v>
      </c>
      <c r="D104" s="8">
        <v>14.0</v>
      </c>
      <c r="E104" s="8">
        <v>3.0</v>
      </c>
      <c r="F104" s="8" t="s">
        <v>5186</v>
      </c>
      <c r="G104" s="8">
        <v>16.0</v>
      </c>
      <c r="H104" s="8">
        <v>9.0</v>
      </c>
      <c r="I104" s="111">
        <f>29/36</f>
        <v>0.8055555556</v>
      </c>
      <c r="J104" s="8" t="s">
        <v>1473</v>
      </c>
      <c r="K104" s="8" t="s">
        <v>1480</v>
      </c>
      <c r="L104" s="8">
        <v>0.0</v>
      </c>
      <c r="M104" s="8" t="s">
        <v>432</v>
      </c>
      <c r="N104" s="8" t="s">
        <v>22</v>
      </c>
      <c r="O104" s="8" t="s">
        <v>1150</v>
      </c>
      <c r="P104" s="8" t="s">
        <v>24</v>
      </c>
      <c r="Q104" s="9">
        <v>0.0</v>
      </c>
      <c r="R104" s="9">
        <v>0.6</v>
      </c>
      <c r="S104" s="9">
        <v>0.5</v>
      </c>
      <c r="T104" s="10">
        <v>45430.0</v>
      </c>
      <c r="U104" s="11">
        <v>1.725</v>
      </c>
      <c r="V104" s="8" t="s">
        <v>70</v>
      </c>
      <c r="W104" s="12">
        <f t="shared" si="1"/>
        <v>0</v>
      </c>
      <c r="X104" s="12">
        <f t="shared" si="4"/>
        <v>-0.1424776452</v>
      </c>
    </row>
    <row r="105">
      <c r="A105" s="15">
        <f t="shared" si="3"/>
        <v>104</v>
      </c>
      <c r="B105" s="15" t="s">
        <v>26</v>
      </c>
      <c r="C105" s="15" t="s">
        <v>19</v>
      </c>
      <c r="D105" s="15">
        <v>27.0</v>
      </c>
      <c r="E105" s="15">
        <v>2.0</v>
      </c>
      <c r="F105" s="15" t="s">
        <v>5187</v>
      </c>
      <c r="G105" s="15">
        <v>3.0</v>
      </c>
      <c r="H105" s="15">
        <v>4.0</v>
      </c>
      <c r="I105" s="110">
        <v>1.0</v>
      </c>
      <c r="J105" s="15" t="s">
        <v>1479</v>
      </c>
      <c r="K105" s="15" t="s">
        <v>1474</v>
      </c>
      <c r="L105" s="15">
        <v>1.0</v>
      </c>
      <c r="M105" s="15" t="s">
        <v>121</v>
      </c>
      <c r="N105" s="15" t="s">
        <v>22</v>
      </c>
      <c r="O105" s="15" t="s">
        <v>225</v>
      </c>
      <c r="P105" s="15" t="s">
        <v>24</v>
      </c>
      <c r="Q105" s="16">
        <v>0.5</v>
      </c>
      <c r="R105" s="16">
        <v>0.3</v>
      </c>
      <c r="S105" s="16">
        <v>0.3</v>
      </c>
      <c r="T105" s="55">
        <v>45430.0</v>
      </c>
      <c r="U105" s="18">
        <v>1.9</v>
      </c>
      <c r="V105" s="15" t="s">
        <v>25</v>
      </c>
      <c r="W105" s="19">
        <f t="shared" si="1"/>
        <v>-0.3</v>
      </c>
      <c r="X105" s="19">
        <f t="shared" si="4"/>
        <v>-0.4424776452</v>
      </c>
    </row>
    <row r="106">
      <c r="A106" s="8">
        <f t="shared" si="3"/>
        <v>105</v>
      </c>
      <c r="B106" s="8" t="s">
        <v>137</v>
      </c>
      <c r="C106" s="8" t="s">
        <v>19</v>
      </c>
      <c r="D106" s="8">
        <v>36.0</v>
      </c>
      <c r="E106" s="8">
        <v>3.0</v>
      </c>
      <c r="F106" s="8" t="s">
        <v>5188</v>
      </c>
      <c r="G106" s="8">
        <v>2.0</v>
      </c>
      <c r="H106" s="8">
        <v>5.0</v>
      </c>
      <c r="I106" s="111">
        <v>0.3703</v>
      </c>
      <c r="J106" s="8" t="s">
        <v>1479</v>
      </c>
      <c r="K106" s="8" t="s">
        <v>1480</v>
      </c>
      <c r="L106" s="8">
        <v>0.0</v>
      </c>
      <c r="M106" s="8" t="s">
        <v>2667</v>
      </c>
      <c r="N106" s="8" t="s">
        <v>22</v>
      </c>
      <c r="O106" s="8" t="s">
        <v>1150</v>
      </c>
      <c r="P106" s="8" t="s">
        <v>24</v>
      </c>
      <c r="Q106" s="9">
        <v>0.0</v>
      </c>
      <c r="R106" s="9">
        <v>0.6</v>
      </c>
      <c r="S106" s="9">
        <v>0.58</v>
      </c>
      <c r="T106" s="54">
        <v>45430.0</v>
      </c>
      <c r="U106" s="11">
        <v>1.75</v>
      </c>
      <c r="V106" s="8" t="s">
        <v>70</v>
      </c>
      <c r="W106" s="12">
        <f t="shared" si="1"/>
        <v>0</v>
      </c>
      <c r="X106" s="12">
        <f t="shared" si="4"/>
        <v>-0.4424776452</v>
      </c>
    </row>
    <row r="107">
      <c r="A107" s="15">
        <f t="shared" si="3"/>
        <v>106</v>
      </c>
      <c r="B107" s="15" t="s">
        <v>26</v>
      </c>
      <c r="C107" s="15" t="s">
        <v>19</v>
      </c>
      <c r="D107" s="15">
        <v>72.0</v>
      </c>
      <c r="E107" s="15">
        <v>3.0</v>
      </c>
      <c r="F107" s="15" t="s">
        <v>5189</v>
      </c>
      <c r="G107" s="15">
        <v>6.0</v>
      </c>
      <c r="H107" s="15">
        <v>2.0</v>
      </c>
      <c r="I107" s="110">
        <v>1.0</v>
      </c>
      <c r="J107" s="15" t="s">
        <v>1473</v>
      </c>
      <c r="K107" s="15" t="s">
        <v>1480</v>
      </c>
      <c r="L107" s="15">
        <v>-1.0</v>
      </c>
      <c r="M107" s="15" t="s">
        <v>908</v>
      </c>
      <c r="N107" s="15" t="s">
        <v>22</v>
      </c>
      <c r="O107" s="15" t="s">
        <v>892</v>
      </c>
      <c r="P107" s="15" t="s">
        <v>24</v>
      </c>
      <c r="Q107" s="16">
        <v>0.0</v>
      </c>
      <c r="R107" s="16">
        <v>0.6</v>
      </c>
      <c r="S107" s="16">
        <v>0.56</v>
      </c>
      <c r="T107" s="17">
        <v>45430.0</v>
      </c>
      <c r="U107" s="18">
        <v>1.85</v>
      </c>
      <c r="V107" s="15" t="s">
        <v>70</v>
      </c>
      <c r="W107" s="19">
        <f t="shared" si="1"/>
        <v>0</v>
      </c>
      <c r="X107" s="19">
        <f t="shared" si="4"/>
        <v>-0.4424776452</v>
      </c>
    </row>
    <row r="108">
      <c r="A108" s="8">
        <f t="shared" si="3"/>
        <v>107</v>
      </c>
      <c r="B108" s="8" t="s">
        <v>18</v>
      </c>
      <c r="C108" s="8" t="s">
        <v>19</v>
      </c>
      <c r="D108" s="8">
        <v>70.0</v>
      </c>
      <c r="E108" s="8">
        <v>3.0</v>
      </c>
      <c r="F108" s="8" t="s">
        <v>5190</v>
      </c>
      <c r="G108" s="8">
        <v>12.0</v>
      </c>
      <c r="H108" s="8">
        <v>16.0</v>
      </c>
      <c r="I108" s="111">
        <v>0.95</v>
      </c>
      <c r="J108" s="8" t="s">
        <v>1479</v>
      </c>
      <c r="K108" s="8" t="s">
        <v>1480</v>
      </c>
      <c r="L108" s="8">
        <v>-1.0</v>
      </c>
      <c r="M108" s="8" t="s">
        <v>44</v>
      </c>
      <c r="N108" s="8" t="s">
        <v>22</v>
      </c>
      <c r="O108" s="8" t="s">
        <v>892</v>
      </c>
      <c r="P108" s="8" t="s">
        <v>24</v>
      </c>
      <c r="Q108" s="9">
        <v>0.0</v>
      </c>
      <c r="R108" s="9">
        <v>0.6</v>
      </c>
      <c r="S108" s="9">
        <v>0.58</v>
      </c>
      <c r="T108" s="10">
        <v>45430.0</v>
      </c>
      <c r="U108" s="11">
        <v>1.775</v>
      </c>
      <c r="V108" s="8" t="s">
        <v>33</v>
      </c>
      <c r="W108" s="12">
        <f t="shared" si="1"/>
        <v>0.4495</v>
      </c>
      <c r="X108" s="12">
        <f t="shared" si="4"/>
        <v>0.007022354839</v>
      </c>
    </row>
    <row r="109">
      <c r="A109" s="15">
        <f t="shared" si="3"/>
        <v>108</v>
      </c>
      <c r="B109" s="15" t="s">
        <v>137</v>
      </c>
      <c r="C109" s="15" t="s">
        <v>19</v>
      </c>
      <c r="D109" s="15">
        <v>68.0</v>
      </c>
      <c r="E109" s="15">
        <v>3.0</v>
      </c>
      <c r="F109" s="15" t="s">
        <v>4957</v>
      </c>
      <c r="G109" s="113">
        <v>5.0</v>
      </c>
      <c r="H109" s="113">
        <v>2.0</v>
      </c>
      <c r="I109" s="110">
        <v>0.3703</v>
      </c>
      <c r="J109" s="15" t="s">
        <v>1473</v>
      </c>
      <c r="K109" s="15" t="s">
        <v>1480</v>
      </c>
      <c r="L109" s="15">
        <v>0.0</v>
      </c>
      <c r="M109" s="15" t="s">
        <v>2667</v>
      </c>
      <c r="N109" s="15" t="s">
        <v>22</v>
      </c>
      <c r="O109" s="15" t="s">
        <v>892</v>
      </c>
      <c r="P109" s="15" t="s">
        <v>24</v>
      </c>
      <c r="Q109" s="16">
        <v>0.0</v>
      </c>
      <c r="R109" s="16">
        <v>0.5</v>
      </c>
      <c r="S109" s="16">
        <v>0.44</v>
      </c>
      <c r="T109" s="17">
        <v>45430.0</v>
      </c>
      <c r="U109" s="18">
        <v>1.8</v>
      </c>
      <c r="V109" s="15" t="s">
        <v>70</v>
      </c>
      <c r="W109" s="19">
        <f t="shared" si="1"/>
        <v>0</v>
      </c>
      <c r="X109" s="19">
        <f t="shared" si="4"/>
        <v>0.007022354839</v>
      </c>
    </row>
    <row r="110">
      <c r="A110" s="8">
        <f t="shared" si="3"/>
        <v>109</v>
      </c>
      <c r="B110" s="8" t="s">
        <v>129</v>
      </c>
      <c r="C110" s="8" t="s">
        <v>19</v>
      </c>
      <c r="D110" s="8">
        <v>73.0</v>
      </c>
      <c r="E110" s="8">
        <v>3.0</v>
      </c>
      <c r="F110" s="8" t="s">
        <v>5191</v>
      </c>
      <c r="G110" s="8">
        <v>2.0</v>
      </c>
      <c r="H110" s="8">
        <v>1.0</v>
      </c>
      <c r="I110" s="111">
        <f>24/36</f>
        <v>0.6666666667</v>
      </c>
      <c r="J110" s="8" t="s">
        <v>1473</v>
      </c>
      <c r="K110" s="8" t="s">
        <v>1480</v>
      </c>
      <c r="L110" s="8">
        <v>0.0</v>
      </c>
      <c r="M110" s="8" t="s">
        <v>675</v>
      </c>
      <c r="N110" s="8" t="s">
        <v>22</v>
      </c>
      <c r="O110" s="8" t="s">
        <v>892</v>
      </c>
      <c r="P110" s="8" t="s">
        <v>24</v>
      </c>
      <c r="Q110" s="9">
        <v>0.0</v>
      </c>
      <c r="R110" s="9">
        <v>0.2</v>
      </c>
      <c r="S110" s="9">
        <v>0.01</v>
      </c>
      <c r="T110" s="10">
        <v>45430.0</v>
      </c>
      <c r="U110" s="11">
        <v>1.775</v>
      </c>
      <c r="V110" s="8" t="s">
        <v>25</v>
      </c>
      <c r="W110" s="12">
        <f t="shared" si="1"/>
        <v>-0.01</v>
      </c>
      <c r="X110" s="12">
        <f t="shared" si="4"/>
        <v>-0.002977645161</v>
      </c>
    </row>
    <row r="111">
      <c r="A111" s="15">
        <f t="shared" si="3"/>
        <v>110</v>
      </c>
      <c r="B111" s="15" t="s">
        <v>26</v>
      </c>
      <c r="C111" s="15" t="s">
        <v>19</v>
      </c>
      <c r="D111" s="15">
        <v>19.0</v>
      </c>
      <c r="E111" s="15">
        <v>2.0</v>
      </c>
      <c r="F111" s="15" t="s">
        <v>5192</v>
      </c>
      <c r="G111" s="15">
        <v>5.0</v>
      </c>
      <c r="H111" s="15">
        <v>14.0</v>
      </c>
      <c r="I111" s="110">
        <f t="shared" ref="I111:I112" si="10">31/34</f>
        <v>0.9117647059</v>
      </c>
      <c r="J111" s="15" t="s">
        <v>1479</v>
      </c>
      <c r="K111" s="15" t="s">
        <v>1474</v>
      </c>
      <c r="L111" s="15">
        <v>0.0</v>
      </c>
      <c r="M111" s="15" t="s">
        <v>5193</v>
      </c>
      <c r="N111" s="15" t="s">
        <v>22</v>
      </c>
      <c r="O111" s="15" t="s">
        <v>941</v>
      </c>
      <c r="P111" s="15" t="s">
        <v>24</v>
      </c>
      <c r="Q111" s="16">
        <v>0.0</v>
      </c>
      <c r="R111" s="16">
        <v>0.2</v>
      </c>
      <c r="S111" s="16">
        <v>0.13</v>
      </c>
      <c r="T111" s="17">
        <v>45430.0</v>
      </c>
      <c r="U111" s="18">
        <v>2.62</v>
      </c>
      <c r="V111" s="15" t="s">
        <v>33</v>
      </c>
      <c r="W111" s="19">
        <f t="shared" si="1"/>
        <v>0.2106</v>
      </c>
      <c r="X111" s="19">
        <f t="shared" si="4"/>
        <v>0.2076223548</v>
      </c>
    </row>
    <row r="112">
      <c r="A112" s="8">
        <f t="shared" si="3"/>
        <v>111</v>
      </c>
      <c r="B112" s="8" t="s">
        <v>26</v>
      </c>
      <c r="C112" s="8" t="s">
        <v>19</v>
      </c>
      <c r="D112" s="8">
        <v>21.0</v>
      </c>
      <c r="E112" s="8">
        <v>2.0</v>
      </c>
      <c r="F112" s="8" t="s">
        <v>5194</v>
      </c>
      <c r="G112" s="8">
        <v>5.0</v>
      </c>
      <c r="H112" s="8">
        <v>14.0</v>
      </c>
      <c r="I112" s="111">
        <f t="shared" si="10"/>
        <v>0.9117647059</v>
      </c>
      <c r="J112" s="8" t="s">
        <v>1479</v>
      </c>
      <c r="K112" s="8" t="s">
        <v>1474</v>
      </c>
      <c r="L112" s="8">
        <v>0.0</v>
      </c>
      <c r="M112" s="8" t="s">
        <v>5193</v>
      </c>
      <c r="N112" s="8" t="s">
        <v>22</v>
      </c>
      <c r="O112" s="8" t="s">
        <v>225</v>
      </c>
      <c r="P112" s="8" t="s">
        <v>24</v>
      </c>
      <c r="Q112" s="9">
        <v>0.5</v>
      </c>
      <c r="R112" s="9">
        <v>0.2</v>
      </c>
      <c r="S112" s="9">
        <v>0.18</v>
      </c>
      <c r="T112" s="10">
        <v>45430.0</v>
      </c>
      <c r="U112" s="11">
        <v>1.88</v>
      </c>
      <c r="V112" s="8" t="s">
        <v>33</v>
      </c>
      <c r="W112" s="12">
        <f t="shared" si="1"/>
        <v>0.1584</v>
      </c>
      <c r="X112" s="12">
        <f t="shared" si="4"/>
        <v>0.3660223548</v>
      </c>
    </row>
    <row r="113">
      <c r="A113" s="15">
        <f t="shared" si="3"/>
        <v>112</v>
      </c>
      <c r="B113" s="15" t="s">
        <v>1915</v>
      </c>
      <c r="C113" s="15" t="s">
        <v>19</v>
      </c>
      <c r="D113" s="15">
        <v>0.0</v>
      </c>
      <c r="E113" s="15">
        <v>11.0</v>
      </c>
      <c r="F113" s="15" t="s">
        <v>5195</v>
      </c>
      <c r="G113" s="15"/>
      <c r="H113" s="15"/>
      <c r="I113" s="110"/>
      <c r="J113" s="15"/>
      <c r="K113" s="15"/>
      <c r="L113" s="15"/>
      <c r="M113" s="15" t="s">
        <v>93</v>
      </c>
      <c r="N113" s="15" t="s">
        <v>22</v>
      </c>
      <c r="O113" s="15" t="s">
        <v>29</v>
      </c>
      <c r="P113" s="15" t="s">
        <v>1522</v>
      </c>
      <c r="Q113" s="16">
        <v>-2.25</v>
      </c>
      <c r="R113" s="16">
        <v>0.1</v>
      </c>
      <c r="S113" s="16">
        <v>0.1</v>
      </c>
      <c r="T113" s="17">
        <v>45430.0</v>
      </c>
      <c r="U113" s="18">
        <v>1.9</v>
      </c>
      <c r="V113" s="15" t="s">
        <v>33</v>
      </c>
      <c r="W113" s="19">
        <f t="shared" si="1"/>
        <v>0.09</v>
      </c>
      <c r="X113" s="19">
        <f t="shared" si="4"/>
        <v>0.4560223548</v>
      </c>
    </row>
    <row r="114">
      <c r="A114" s="8">
        <f t="shared" si="3"/>
        <v>113</v>
      </c>
      <c r="B114" s="8" t="s">
        <v>26</v>
      </c>
      <c r="C114" s="8" t="s">
        <v>19</v>
      </c>
      <c r="D114" s="8">
        <v>57.0</v>
      </c>
      <c r="E114" s="8">
        <v>3.0</v>
      </c>
      <c r="F114" s="8" t="s">
        <v>5196</v>
      </c>
      <c r="G114" s="8" t="s">
        <v>5553</v>
      </c>
      <c r="H114" s="8" t="s">
        <v>5553</v>
      </c>
      <c r="I114" s="8" t="s">
        <v>5553</v>
      </c>
      <c r="J114" s="8" t="s">
        <v>1479</v>
      </c>
      <c r="K114" s="8" t="s">
        <v>1480</v>
      </c>
      <c r="L114" s="8">
        <v>2.0</v>
      </c>
      <c r="M114" s="8" t="s">
        <v>635</v>
      </c>
      <c r="N114" s="8" t="s">
        <v>22</v>
      </c>
      <c r="O114" s="8" t="s">
        <v>892</v>
      </c>
      <c r="P114" s="8" t="s">
        <v>24</v>
      </c>
      <c r="Q114" s="9">
        <v>0.0</v>
      </c>
      <c r="R114" s="9">
        <v>0.2</v>
      </c>
      <c r="S114" s="9">
        <v>0.08</v>
      </c>
      <c r="T114" s="10">
        <v>45430.0</v>
      </c>
      <c r="U114" s="11">
        <v>1.8</v>
      </c>
      <c r="V114" s="8" t="s">
        <v>25</v>
      </c>
      <c r="W114" s="12">
        <f t="shared" si="1"/>
        <v>-0.08</v>
      </c>
      <c r="X114" s="12">
        <f t="shared" si="4"/>
        <v>0.3760223548</v>
      </c>
    </row>
    <row r="115">
      <c r="A115" s="15">
        <f t="shared" si="3"/>
        <v>114</v>
      </c>
      <c r="B115" s="15" t="s">
        <v>137</v>
      </c>
      <c r="C115" s="15" t="s">
        <v>19</v>
      </c>
      <c r="D115" s="15">
        <v>69.0</v>
      </c>
      <c r="E115" s="15">
        <v>3.0</v>
      </c>
      <c r="F115" s="15" t="s">
        <v>5197</v>
      </c>
      <c r="G115" s="15">
        <v>17.0</v>
      </c>
      <c r="H115" s="15">
        <v>5.0</v>
      </c>
      <c r="I115" s="110">
        <v>0.9117</v>
      </c>
      <c r="J115" s="15" t="s">
        <v>1479</v>
      </c>
      <c r="K115" s="15" t="s">
        <v>1480</v>
      </c>
      <c r="L115" s="15">
        <v>0.0</v>
      </c>
      <c r="M115" s="15" t="s">
        <v>432</v>
      </c>
      <c r="N115" s="15" t="s">
        <v>22</v>
      </c>
      <c r="O115" s="15" t="s">
        <v>892</v>
      </c>
      <c r="P115" s="15" t="s">
        <v>24</v>
      </c>
      <c r="Q115" s="16">
        <v>0.0</v>
      </c>
      <c r="R115" s="16">
        <v>0.2</v>
      </c>
      <c r="S115" s="16">
        <v>0.19</v>
      </c>
      <c r="T115" s="17">
        <v>45430.0</v>
      </c>
      <c r="U115" s="18">
        <v>2.02</v>
      </c>
      <c r="V115" s="15" t="s">
        <v>70</v>
      </c>
      <c r="W115" s="19">
        <f t="shared" si="1"/>
        <v>0</v>
      </c>
      <c r="X115" s="19">
        <f t="shared" si="4"/>
        <v>0.3760223548</v>
      </c>
    </row>
    <row r="116">
      <c r="A116" s="8">
        <f t="shared" si="3"/>
        <v>115</v>
      </c>
      <c r="B116" s="8" t="s">
        <v>26</v>
      </c>
      <c r="C116" s="8" t="s">
        <v>19</v>
      </c>
      <c r="D116" s="8">
        <v>38.0</v>
      </c>
      <c r="E116" s="8">
        <v>3.0</v>
      </c>
      <c r="F116" s="8" t="s">
        <v>5198</v>
      </c>
      <c r="G116" s="8">
        <v>4.0</v>
      </c>
      <c r="H116" s="8">
        <v>6.0</v>
      </c>
      <c r="I116" s="111">
        <f t="shared" ref="I116:I118" si="11">12/14</f>
        <v>0.8571428571</v>
      </c>
      <c r="J116" s="8" t="s">
        <v>1479</v>
      </c>
      <c r="K116" s="8" t="s">
        <v>1480</v>
      </c>
      <c r="L116" s="8">
        <v>-1.0</v>
      </c>
      <c r="M116" s="8" t="s">
        <v>66</v>
      </c>
      <c r="N116" s="8" t="s">
        <v>22</v>
      </c>
      <c r="O116" s="8" t="s">
        <v>892</v>
      </c>
      <c r="P116" s="8" t="s">
        <v>24</v>
      </c>
      <c r="Q116" s="9">
        <v>0.0</v>
      </c>
      <c r="R116" s="9">
        <v>0.4</v>
      </c>
      <c r="S116" s="9">
        <v>0.38</v>
      </c>
      <c r="T116" s="10">
        <v>45430.0</v>
      </c>
      <c r="U116" s="11">
        <v>1.8</v>
      </c>
      <c r="V116" s="8" t="s">
        <v>70</v>
      </c>
      <c r="W116" s="12">
        <f t="shared" si="1"/>
        <v>0</v>
      </c>
      <c r="X116" s="12">
        <f t="shared" si="4"/>
        <v>0.3760223548</v>
      </c>
    </row>
    <row r="117">
      <c r="A117" s="15">
        <f t="shared" si="3"/>
        <v>116</v>
      </c>
      <c r="B117" s="15" t="s">
        <v>26</v>
      </c>
      <c r="C117" s="15" t="s">
        <v>19</v>
      </c>
      <c r="D117" s="15">
        <v>65.0</v>
      </c>
      <c r="E117" s="15">
        <v>3.0</v>
      </c>
      <c r="F117" s="15" t="s">
        <v>5198</v>
      </c>
      <c r="G117" s="15">
        <v>4.0</v>
      </c>
      <c r="H117" s="15">
        <v>6.0</v>
      </c>
      <c r="I117" s="110">
        <f t="shared" si="11"/>
        <v>0.8571428571</v>
      </c>
      <c r="J117" s="15" t="s">
        <v>1479</v>
      </c>
      <c r="K117" s="15" t="s">
        <v>1480</v>
      </c>
      <c r="L117" s="15">
        <v>-1.0</v>
      </c>
      <c r="M117" s="15" t="s">
        <v>66</v>
      </c>
      <c r="N117" s="15" t="s">
        <v>22</v>
      </c>
      <c r="O117" s="15" t="s">
        <v>892</v>
      </c>
      <c r="P117" s="15" t="s">
        <v>24</v>
      </c>
      <c r="Q117" s="16">
        <v>0.0</v>
      </c>
      <c r="R117" s="16">
        <v>0.1</v>
      </c>
      <c r="S117" s="16">
        <v>0.09</v>
      </c>
      <c r="T117" s="17">
        <v>45430.0</v>
      </c>
      <c r="U117" s="18">
        <v>1.825</v>
      </c>
      <c r="V117" s="15" t="s">
        <v>70</v>
      </c>
      <c r="W117" s="19">
        <f t="shared" si="1"/>
        <v>0</v>
      </c>
      <c r="X117" s="19">
        <f t="shared" si="4"/>
        <v>0.3760223548</v>
      </c>
    </row>
    <row r="118">
      <c r="A118" s="8">
        <f t="shared" si="3"/>
        <v>117</v>
      </c>
      <c r="B118" s="8" t="s">
        <v>26</v>
      </c>
      <c r="C118" s="8" t="s">
        <v>19</v>
      </c>
      <c r="D118" s="8">
        <v>67.0</v>
      </c>
      <c r="E118" s="8">
        <v>3.0</v>
      </c>
      <c r="F118" s="8" t="s">
        <v>5199</v>
      </c>
      <c r="G118" s="8">
        <v>6.0</v>
      </c>
      <c r="H118" s="8">
        <v>5.0</v>
      </c>
      <c r="I118" s="111">
        <f t="shared" si="11"/>
        <v>0.8571428571</v>
      </c>
      <c r="J118" s="8" t="s">
        <v>1479</v>
      </c>
      <c r="K118" s="8" t="s">
        <v>1480</v>
      </c>
      <c r="L118" s="8">
        <v>-3.0</v>
      </c>
      <c r="M118" s="8" t="s">
        <v>66</v>
      </c>
      <c r="N118" s="8" t="s">
        <v>22</v>
      </c>
      <c r="O118" s="8" t="s">
        <v>892</v>
      </c>
      <c r="P118" s="8" t="s">
        <v>24</v>
      </c>
      <c r="Q118" s="9">
        <v>0.0</v>
      </c>
      <c r="R118" s="9">
        <v>0.2</v>
      </c>
      <c r="S118" s="9">
        <v>0.19</v>
      </c>
      <c r="T118" s="10">
        <v>45430.0</v>
      </c>
      <c r="U118" s="11">
        <v>1.975</v>
      </c>
      <c r="V118" s="8" t="s">
        <v>70</v>
      </c>
      <c r="W118" s="12">
        <f t="shared" si="1"/>
        <v>0</v>
      </c>
      <c r="X118" s="12">
        <f t="shared" si="4"/>
        <v>0.3760223548</v>
      </c>
    </row>
    <row r="119">
      <c r="A119" s="15">
        <f t="shared" si="3"/>
        <v>118</v>
      </c>
      <c r="B119" s="15" t="s">
        <v>26</v>
      </c>
      <c r="C119" s="15" t="s">
        <v>19</v>
      </c>
      <c r="D119" s="15">
        <v>72.0</v>
      </c>
      <c r="E119" s="15">
        <v>3.0</v>
      </c>
      <c r="F119" s="15" t="s">
        <v>5200</v>
      </c>
      <c r="G119" s="15">
        <v>14.0</v>
      </c>
      <c r="H119" s="15">
        <v>5.0</v>
      </c>
      <c r="I119" s="110">
        <f>24/26</f>
        <v>0.9230769231</v>
      </c>
      <c r="J119" s="15" t="s">
        <v>1473</v>
      </c>
      <c r="K119" s="15" t="s">
        <v>1480</v>
      </c>
      <c r="L119" s="15">
        <v>0.0</v>
      </c>
      <c r="M119" s="15" t="s">
        <v>68</v>
      </c>
      <c r="N119" s="15" t="s">
        <v>22</v>
      </c>
      <c r="O119" s="15" t="s">
        <v>892</v>
      </c>
      <c r="P119" s="15" t="s">
        <v>24</v>
      </c>
      <c r="Q119" s="16">
        <v>0.0</v>
      </c>
      <c r="R119" s="16">
        <v>0.2</v>
      </c>
      <c r="S119" s="16">
        <v>0.07</v>
      </c>
      <c r="T119" s="17">
        <v>45430.0</v>
      </c>
      <c r="U119" s="18">
        <v>1.975</v>
      </c>
      <c r="V119" s="15" t="s">
        <v>25</v>
      </c>
      <c r="W119" s="19">
        <f t="shared" si="1"/>
        <v>-0.07</v>
      </c>
      <c r="X119" s="19">
        <f t="shared" si="4"/>
        <v>0.3060223548</v>
      </c>
    </row>
    <row r="120">
      <c r="A120" s="8">
        <f t="shared" si="3"/>
        <v>119</v>
      </c>
      <c r="B120" s="8" t="s">
        <v>26</v>
      </c>
      <c r="C120" s="8" t="s">
        <v>19</v>
      </c>
      <c r="D120" s="8">
        <v>0.0</v>
      </c>
      <c r="E120" s="8"/>
      <c r="F120" s="8" t="s">
        <v>5201</v>
      </c>
      <c r="G120" s="8">
        <v>1.0</v>
      </c>
      <c r="H120" s="8">
        <v>9.0</v>
      </c>
      <c r="I120" s="111">
        <f>38/38</f>
        <v>1</v>
      </c>
      <c r="J120" s="8" t="s">
        <v>1479</v>
      </c>
      <c r="K120" s="8" t="s">
        <v>1474</v>
      </c>
      <c r="L120" s="8">
        <v>0.0</v>
      </c>
      <c r="M120" s="8" t="s">
        <v>38</v>
      </c>
      <c r="N120" s="8" t="s">
        <v>598</v>
      </c>
      <c r="O120" s="8" t="s">
        <v>225</v>
      </c>
      <c r="P120" s="8" t="s">
        <v>24</v>
      </c>
      <c r="Q120" s="9">
        <v>3.25</v>
      </c>
      <c r="R120" s="9">
        <v>0.05</v>
      </c>
      <c r="S120" s="9">
        <v>0.04</v>
      </c>
      <c r="T120" s="10">
        <v>45431.0</v>
      </c>
      <c r="U120" s="11">
        <f>32.07/30</f>
        <v>1.069</v>
      </c>
      <c r="V120" s="8" t="s">
        <v>33</v>
      </c>
      <c r="W120" s="12">
        <f t="shared" si="1"/>
        <v>0.00276</v>
      </c>
      <c r="X120" s="12">
        <f t="shared" si="4"/>
        <v>0.3087823548</v>
      </c>
    </row>
    <row r="121">
      <c r="A121" s="15">
        <f t="shared" si="3"/>
        <v>120</v>
      </c>
      <c r="B121" s="15" t="s">
        <v>129</v>
      </c>
      <c r="C121" s="15" t="s">
        <v>40</v>
      </c>
      <c r="D121" s="15">
        <v>26.0</v>
      </c>
      <c r="E121" s="15">
        <v>3.0</v>
      </c>
      <c r="F121" s="15" t="s">
        <v>5202</v>
      </c>
      <c r="G121" s="15" t="s">
        <v>5553</v>
      </c>
      <c r="H121" s="15" t="s">
        <v>5553</v>
      </c>
      <c r="I121" s="15" t="s">
        <v>5553</v>
      </c>
      <c r="J121" s="15" t="s">
        <v>1473</v>
      </c>
      <c r="K121" s="15" t="s">
        <v>1480</v>
      </c>
      <c r="L121" s="15">
        <v>0.0</v>
      </c>
      <c r="M121" s="15" t="s">
        <v>683</v>
      </c>
      <c r="N121" s="15" t="s">
        <v>22</v>
      </c>
      <c r="O121" s="15" t="s">
        <v>1150</v>
      </c>
      <c r="P121" s="15" t="s">
        <v>24</v>
      </c>
      <c r="Q121" s="16">
        <v>0.0</v>
      </c>
      <c r="R121" s="16">
        <v>0.6</v>
      </c>
      <c r="S121" s="16">
        <v>0.56</v>
      </c>
      <c r="T121" s="17">
        <v>45431.0</v>
      </c>
      <c r="U121" s="18">
        <v>1.7</v>
      </c>
      <c r="V121" s="15" t="s">
        <v>70</v>
      </c>
      <c r="W121" s="19">
        <f t="shared" si="1"/>
        <v>0</v>
      </c>
      <c r="X121" s="19">
        <f t="shared" si="4"/>
        <v>0.3087823548</v>
      </c>
    </row>
    <row r="122">
      <c r="A122" s="8">
        <f t="shared" si="3"/>
        <v>121</v>
      </c>
      <c r="B122" s="8" t="s">
        <v>26</v>
      </c>
      <c r="C122" s="8" t="s">
        <v>19</v>
      </c>
      <c r="D122" s="8">
        <v>61.0</v>
      </c>
      <c r="E122" s="8">
        <v>5.0</v>
      </c>
      <c r="F122" s="8" t="s">
        <v>5203</v>
      </c>
      <c r="G122" s="8">
        <v>6.0</v>
      </c>
      <c r="H122" s="8">
        <v>1.0</v>
      </c>
      <c r="I122" s="111">
        <f>21/36</f>
        <v>0.5833333333</v>
      </c>
      <c r="J122" s="8" t="s">
        <v>1473</v>
      </c>
      <c r="K122" s="8" t="s">
        <v>1477</v>
      </c>
      <c r="L122" s="8">
        <v>-1.0</v>
      </c>
      <c r="M122" s="8" t="s">
        <v>2108</v>
      </c>
      <c r="N122" s="8" t="s">
        <v>22</v>
      </c>
      <c r="O122" s="8" t="s">
        <v>894</v>
      </c>
      <c r="P122" s="8" t="s">
        <v>24</v>
      </c>
      <c r="Q122" s="9">
        <v>-1.0</v>
      </c>
      <c r="R122" s="9">
        <v>0.05</v>
      </c>
      <c r="S122" s="9">
        <v>0.05</v>
      </c>
      <c r="T122" s="10">
        <v>45431.0</v>
      </c>
      <c r="U122" s="11">
        <v>1.775</v>
      </c>
      <c r="V122" s="8" t="s">
        <v>25</v>
      </c>
      <c r="W122" s="12">
        <f t="shared" si="1"/>
        <v>-0.05</v>
      </c>
      <c r="X122" s="12">
        <f t="shared" si="4"/>
        <v>0.2587823548</v>
      </c>
    </row>
    <row r="123">
      <c r="A123" s="15">
        <f t="shared" si="3"/>
        <v>122</v>
      </c>
      <c r="B123" s="15" t="s">
        <v>26</v>
      </c>
      <c r="C123" s="15" t="s">
        <v>19</v>
      </c>
      <c r="D123" s="15">
        <v>16.0</v>
      </c>
      <c r="E123" s="15"/>
      <c r="F123" s="15" t="s">
        <v>5204</v>
      </c>
      <c r="G123" s="15">
        <v>1.0</v>
      </c>
      <c r="H123" s="15">
        <v>1.0</v>
      </c>
      <c r="I123" s="15" t="s">
        <v>1479</v>
      </c>
      <c r="J123" s="15"/>
      <c r="K123" s="15"/>
      <c r="L123" s="15"/>
      <c r="M123" s="15" t="s">
        <v>50</v>
      </c>
      <c r="N123" s="15" t="s">
        <v>22</v>
      </c>
      <c r="O123" s="15" t="s">
        <v>5205</v>
      </c>
      <c r="P123" s="15" t="s">
        <v>24</v>
      </c>
      <c r="Q123" s="16"/>
      <c r="R123" s="16">
        <v>0.1</v>
      </c>
      <c r="S123" s="16">
        <v>0.1</v>
      </c>
      <c r="T123" s="17">
        <v>45431.0</v>
      </c>
      <c r="U123" s="18">
        <f>83.08/60</f>
        <v>1.384666667</v>
      </c>
      <c r="V123" s="15" t="s">
        <v>33</v>
      </c>
      <c r="W123" s="19">
        <f t="shared" si="1"/>
        <v>0.03846666667</v>
      </c>
      <c r="X123" s="19">
        <f t="shared" si="4"/>
        <v>0.2972490215</v>
      </c>
    </row>
    <row r="124">
      <c r="A124" s="8">
        <f t="shared" si="3"/>
        <v>123</v>
      </c>
      <c r="B124" s="8" t="s">
        <v>18</v>
      </c>
      <c r="C124" s="8" t="s">
        <v>19</v>
      </c>
      <c r="D124" s="8">
        <v>39.0</v>
      </c>
      <c r="E124" s="8">
        <v>2.0</v>
      </c>
      <c r="F124" s="8" t="s">
        <v>5206</v>
      </c>
      <c r="G124" s="8">
        <v>5.0</v>
      </c>
      <c r="H124" s="8">
        <v>4.0</v>
      </c>
      <c r="I124" s="111">
        <v>0.35</v>
      </c>
      <c r="J124" s="8" t="s">
        <v>1473</v>
      </c>
      <c r="K124" s="8" t="s">
        <v>1474</v>
      </c>
      <c r="L124" s="8">
        <v>-1.0</v>
      </c>
      <c r="M124" s="8" t="s">
        <v>3476</v>
      </c>
      <c r="N124" s="8" t="s">
        <v>22</v>
      </c>
      <c r="O124" s="8" t="s">
        <v>225</v>
      </c>
      <c r="P124" s="8" t="s">
        <v>24</v>
      </c>
      <c r="Q124" s="9">
        <v>0.5</v>
      </c>
      <c r="R124" s="9">
        <v>0.2</v>
      </c>
      <c r="S124" s="9">
        <v>0.19</v>
      </c>
      <c r="T124" s="54">
        <v>45431.0</v>
      </c>
      <c r="U124" s="11">
        <f>200.96/120</f>
        <v>1.674666667</v>
      </c>
      <c r="V124" s="8" t="s">
        <v>33</v>
      </c>
      <c r="W124" s="12">
        <f t="shared" si="1"/>
        <v>0.1281866667</v>
      </c>
      <c r="X124" s="12">
        <f t="shared" si="4"/>
        <v>0.4254356882</v>
      </c>
    </row>
    <row r="125">
      <c r="A125" s="15">
        <f t="shared" si="3"/>
        <v>124</v>
      </c>
      <c r="B125" s="15" t="s">
        <v>129</v>
      </c>
      <c r="C125" s="15" t="s">
        <v>40</v>
      </c>
      <c r="D125" s="15">
        <v>43.0</v>
      </c>
      <c r="E125" s="15">
        <v>2.0</v>
      </c>
      <c r="F125" s="15" t="s">
        <v>5207</v>
      </c>
      <c r="G125" s="15" t="s">
        <v>5553</v>
      </c>
      <c r="H125" s="15" t="s">
        <v>5553</v>
      </c>
      <c r="I125" s="15" t="s">
        <v>5553</v>
      </c>
      <c r="J125" s="15" t="s">
        <v>1479</v>
      </c>
      <c r="K125" s="15" t="s">
        <v>1474</v>
      </c>
      <c r="L125" s="15">
        <v>0.0</v>
      </c>
      <c r="M125" s="15" t="s">
        <v>50</v>
      </c>
      <c r="N125" s="15" t="s">
        <v>22</v>
      </c>
      <c r="O125" s="15" t="s">
        <v>225</v>
      </c>
      <c r="P125" s="15" t="s">
        <v>24</v>
      </c>
      <c r="Q125" s="16">
        <v>0.75</v>
      </c>
      <c r="R125" s="16">
        <v>0.6</v>
      </c>
      <c r="S125" s="16">
        <v>0.6</v>
      </c>
      <c r="T125" s="17">
        <v>45431.0</v>
      </c>
      <c r="U125" s="18">
        <f>(1.975+1.75+1.75)/3</f>
        <v>1.825</v>
      </c>
      <c r="V125" s="15" t="s">
        <v>33</v>
      </c>
      <c r="W125" s="19">
        <f t="shared" si="1"/>
        <v>0.495</v>
      </c>
      <c r="X125" s="19">
        <f t="shared" si="4"/>
        <v>0.9204356882</v>
      </c>
    </row>
    <row r="126">
      <c r="A126" s="8">
        <f t="shared" si="3"/>
        <v>125</v>
      </c>
      <c r="B126" s="8" t="s">
        <v>129</v>
      </c>
      <c r="C126" s="8" t="s">
        <v>40</v>
      </c>
      <c r="D126" s="8">
        <v>61.0</v>
      </c>
      <c r="E126" s="8">
        <v>3.0</v>
      </c>
      <c r="F126" s="8" t="s">
        <v>5208</v>
      </c>
      <c r="G126" s="8" t="s">
        <v>5553</v>
      </c>
      <c r="H126" s="8" t="s">
        <v>5553</v>
      </c>
      <c r="I126" s="8" t="s">
        <v>5553</v>
      </c>
      <c r="J126" s="8" t="s">
        <v>1479</v>
      </c>
      <c r="K126" s="8" t="s">
        <v>1480</v>
      </c>
      <c r="L126" s="8">
        <v>0.0</v>
      </c>
      <c r="M126" s="8" t="s">
        <v>50</v>
      </c>
      <c r="N126" s="8" t="s">
        <v>22</v>
      </c>
      <c r="O126" s="8" t="s">
        <v>892</v>
      </c>
      <c r="P126" s="8" t="s">
        <v>24</v>
      </c>
      <c r="Q126" s="9">
        <v>0.0</v>
      </c>
      <c r="R126" s="9">
        <v>0.5</v>
      </c>
      <c r="S126" s="9">
        <v>0.5</v>
      </c>
      <c r="T126" s="10">
        <v>45431.0</v>
      </c>
      <c r="U126" s="11">
        <v>1.9</v>
      </c>
      <c r="V126" s="8" t="s">
        <v>33</v>
      </c>
      <c r="W126" s="12">
        <f t="shared" si="1"/>
        <v>0.45</v>
      </c>
      <c r="X126" s="12">
        <f t="shared" si="4"/>
        <v>1.370435688</v>
      </c>
    </row>
    <row r="127">
      <c r="A127" s="15">
        <f t="shared" si="3"/>
        <v>126</v>
      </c>
      <c r="B127" s="15" t="s">
        <v>1915</v>
      </c>
      <c r="C127" s="15" t="s">
        <v>19</v>
      </c>
      <c r="D127" s="15">
        <v>0.0</v>
      </c>
      <c r="E127" s="15">
        <v>11.0</v>
      </c>
      <c r="F127" s="15" t="s">
        <v>5209</v>
      </c>
      <c r="G127" s="15"/>
      <c r="H127" s="15"/>
      <c r="I127" s="110"/>
      <c r="J127" s="15"/>
      <c r="K127" s="15"/>
      <c r="L127" s="15"/>
      <c r="M127" s="15" t="s">
        <v>93</v>
      </c>
      <c r="N127" s="15" t="s">
        <v>22</v>
      </c>
      <c r="O127" s="15" t="s">
        <v>29</v>
      </c>
      <c r="P127" s="15" t="s">
        <v>1522</v>
      </c>
      <c r="Q127" s="16">
        <v>-2.25</v>
      </c>
      <c r="R127" s="16">
        <v>0.1</v>
      </c>
      <c r="S127" s="16">
        <v>0.1</v>
      </c>
      <c r="T127" s="55">
        <v>45431.0</v>
      </c>
      <c r="U127" s="18">
        <v>1.9</v>
      </c>
      <c r="V127" s="15" t="s">
        <v>33</v>
      </c>
      <c r="W127" s="19">
        <f t="shared" si="1"/>
        <v>0.09</v>
      </c>
      <c r="X127" s="19">
        <f t="shared" si="4"/>
        <v>1.460435688</v>
      </c>
    </row>
    <row r="128">
      <c r="A128" s="8">
        <f t="shared" si="3"/>
        <v>127</v>
      </c>
      <c r="B128" s="8" t="s">
        <v>26</v>
      </c>
      <c r="C128" s="8" t="s">
        <v>19</v>
      </c>
      <c r="D128" s="8">
        <v>65.0</v>
      </c>
      <c r="E128" s="8">
        <v>3.0</v>
      </c>
      <c r="F128" s="8" t="s">
        <v>5210</v>
      </c>
      <c r="G128" s="8">
        <v>4.0</v>
      </c>
      <c r="H128" s="8">
        <v>1.0</v>
      </c>
      <c r="I128" s="111">
        <f>31/34</f>
        <v>0.9117647059</v>
      </c>
      <c r="J128" s="8" t="s">
        <v>1473</v>
      </c>
      <c r="K128" s="8" t="s">
        <v>1480</v>
      </c>
      <c r="L128" s="8">
        <v>1.0</v>
      </c>
      <c r="M128" s="8" t="s">
        <v>432</v>
      </c>
      <c r="N128" s="8" t="s">
        <v>22</v>
      </c>
      <c r="O128" s="8" t="s">
        <v>892</v>
      </c>
      <c r="P128" s="8" t="s">
        <v>1522</v>
      </c>
      <c r="Q128" s="9">
        <v>0.0</v>
      </c>
      <c r="R128" s="9">
        <v>0.5</v>
      </c>
      <c r="S128" s="9">
        <v>0.073</v>
      </c>
      <c r="T128" s="10">
        <v>45431.0</v>
      </c>
      <c r="U128" s="11">
        <v>1.725</v>
      </c>
      <c r="V128" s="8" t="s">
        <v>25</v>
      </c>
      <c r="W128" s="12">
        <f t="shared" si="1"/>
        <v>-0.073</v>
      </c>
      <c r="X128" s="12">
        <f t="shared" si="4"/>
        <v>1.387435688</v>
      </c>
    </row>
    <row r="129">
      <c r="A129" s="15">
        <f t="shared" si="3"/>
        <v>128</v>
      </c>
      <c r="B129" s="15" t="s">
        <v>18</v>
      </c>
      <c r="C129" s="15" t="s">
        <v>40</v>
      </c>
      <c r="D129" s="15">
        <v>30.0</v>
      </c>
      <c r="E129" s="15">
        <v>5.0</v>
      </c>
      <c r="F129" s="15" t="s">
        <v>5211</v>
      </c>
      <c r="G129" s="15">
        <v>9.0</v>
      </c>
      <c r="H129" s="15">
        <v>8.0</v>
      </c>
      <c r="I129" s="183">
        <v>0.16</v>
      </c>
      <c r="J129" s="15" t="s">
        <v>1479</v>
      </c>
      <c r="K129" s="15" t="s">
        <v>1477</v>
      </c>
      <c r="L129" s="15">
        <v>1.0</v>
      </c>
      <c r="M129" s="15" t="s">
        <v>319</v>
      </c>
      <c r="N129" s="15" t="s">
        <v>22</v>
      </c>
      <c r="O129" s="15" t="s">
        <v>894</v>
      </c>
      <c r="P129" s="15" t="s">
        <v>24</v>
      </c>
      <c r="Q129" s="16">
        <v>-0.5</v>
      </c>
      <c r="R129" s="16">
        <v>0.1</v>
      </c>
      <c r="S129" s="16">
        <v>0.1</v>
      </c>
      <c r="T129" s="17">
        <v>45431.0</v>
      </c>
      <c r="U129" s="18">
        <v>1.8</v>
      </c>
      <c r="V129" s="15" t="s">
        <v>33</v>
      </c>
      <c r="W129" s="19">
        <f t="shared" si="1"/>
        <v>0.08</v>
      </c>
      <c r="X129" s="19">
        <f t="shared" si="4"/>
        <v>1.467435688</v>
      </c>
    </row>
    <row r="130">
      <c r="A130" s="8">
        <f t="shared" si="3"/>
        <v>129</v>
      </c>
      <c r="B130" s="8" t="s">
        <v>18</v>
      </c>
      <c r="C130" s="8" t="s">
        <v>19</v>
      </c>
      <c r="D130" s="8">
        <v>28.0</v>
      </c>
      <c r="E130" s="8">
        <v>3.0</v>
      </c>
      <c r="F130" s="8" t="s">
        <v>5212</v>
      </c>
      <c r="G130" s="8">
        <v>12.0</v>
      </c>
      <c r="H130" s="8">
        <v>17.0</v>
      </c>
      <c r="I130" s="111">
        <v>0.923</v>
      </c>
      <c r="J130" s="8" t="s">
        <v>1479</v>
      </c>
      <c r="K130" s="8" t="s">
        <v>1480</v>
      </c>
      <c r="L130" s="8">
        <v>0.0</v>
      </c>
      <c r="M130" s="8" t="s">
        <v>248</v>
      </c>
      <c r="N130" s="8" t="s">
        <v>22</v>
      </c>
      <c r="O130" s="8" t="s">
        <v>1150</v>
      </c>
      <c r="P130" s="8" t="s">
        <v>24</v>
      </c>
      <c r="Q130" s="9">
        <v>0.0</v>
      </c>
      <c r="R130" s="9">
        <v>0.25</v>
      </c>
      <c r="S130" s="9">
        <v>0.25</v>
      </c>
      <c r="T130" s="10">
        <v>45431.0</v>
      </c>
      <c r="U130" s="11">
        <v>1.825</v>
      </c>
      <c r="V130" s="8" t="s">
        <v>25</v>
      </c>
      <c r="W130" s="12">
        <f t="shared" si="1"/>
        <v>-0.25</v>
      </c>
      <c r="X130" s="12">
        <f t="shared" si="4"/>
        <v>1.217435688</v>
      </c>
    </row>
    <row r="131">
      <c r="A131" s="15">
        <f t="shared" si="3"/>
        <v>130</v>
      </c>
      <c r="B131" s="15" t="s">
        <v>129</v>
      </c>
      <c r="C131" s="15" t="s">
        <v>19</v>
      </c>
      <c r="D131" s="15">
        <v>70.0</v>
      </c>
      <c r="E131" s="15">
        <v>3.0</v>
      </c>
      <c r="F131" s="15" t="s">
        <v>5213</v>
      </c>
      <c r="G131" s="15">
        <v>1.0</v>
      </c>
      <c r="H131" s="15">
        <v>2.0</v>
      </c>
      <c r="I131" s="110">
        <f>5/38</f>
        <v>0.1315789474</v>
      </c>
      <c r="J131" s="15" t="s">
        <v>1479</v>
      </c>
      <c r="K131" s="15" t="s">
        <v>1480</v>
      </c>
      <c r="L131" s="15">
        <v>2.0</v>
      </c>
      <c r="M131" s="15" t="s">
        <v>1003</v>
      </c>
      <c r="N131" s="15" t="s">
        <v>22</v>
      </c>
      <c r="O131" s="15" t="s">
        <v>892</v>
      </c>
      <c r="P131" s="15" t="s">
        <v>24</v>
      </c>
      <c r="Q131" s="16">
        <v>0.0</v>
      </c>
      <c r="R131" s="16">
        <v>0.2</v>
      </c>
      <c r="S131" s="16">
        <v>0.15</v>
      </c>
      <c r="T131" s="17">
        <v>45432.0</v>
      </c>
      <c r="U131" s="18">
        <v>1.7</v>
      </c>
      <c r="V131" s="15" t="s">
        <v>70</v>
      </c>
      <c r="W131" s="19">
        <f t="shared" si="1"/>
        <v>0</v>
      </c>
      <c r="X131" s="19">
        <f t="shared" si="4"/>
        <v>1.217435688</v>
      </c>
    </row>
    <row r="132">
      <c r="A132" s="8">
        <f t="shared" si="3"/>
        <v>131</v>
      </c>
      <c r="B132" s="8" t="s">
        <v>26</v>
      </c>
      <c r="C132" s="8" t="s">
        <v>19</v>
      </c>
      <c r="D132" s="8">
        <v>63.0</v>
      </c>
      <c r="E132" s="8">
        <v>3.0</v>
      </c>
      <c r="F132" s="8" t="s">
        <v>5214</v>
      </c>
      <c r="G132" s="8" t="s">
        <v>5553</v>
      </c>
      <c r="H132" s="8" t="s">
        <v>5553</v>
      </c>
      <c r="I132" s="8" t="s">
        <v>5553</v>
      </c>
      <c r="J132" s="8" t="s">
        <v>1479</v>
      </c>
      <c r="K132" s="8" t="s">
        <v>1480</v>
      </c>
      <c r="L132" s="8">
        <v>0.0</v>
      </c>
      <c r="M132" s="8" t="s">
        <v>78</v>
      </c>
      <c r="N132" s="8" t="s">
        <v>22</v>
      </c>
      <c r="O132" s="8" t="s">
        <v>892</v>
      </c>
      <c r="P132" s="8" t="s">
        <v>24</v>
      </c>
      <c r="Q132" s="9">
        <v>0.0</v>
      </c>
      <c r="R132" s="9">
        <v>0.4</v>
      </c>
      <c r="S132" s="9">
        <v>0.39</v>
      </c>
      <c r="T132" s="10">
        <v>45433.0</v>
      </c>
      <c r="U132" s="11">
        <v>1.74</v>
      </c>
      <c r="V132" s="8" t="s">
        <v>33</v>
      </c>
      <c r="W132" s="12">
        <f t="shared" si="1"/>
        <v>0.2886</v>
      </c>
      <c r="X132" s="12">
        <f t="shared" si="4"/>
        <v>1.506035688</v>
      </c>
    </row>
    <row r="133">
      <c r="A133" s="15">
        <f t="shared" si="3"/>
        <v>132</v>
      </c>
      <c r="B133" s="15" t="s">
        <v>4225</v>
      </c>
      <c r="C133" s="15" t="s">
        <v>19</v>
      </c>
      <c r="D133" s="15">
        <v>0.0</v>
      </c>
      <c r="E133" s="15">
        <v>11.0</v>
      </c>
      <c r="F133" s="15" t="s">
        <v>5215</v>
      </c>
      <c r="G133" s="15"/>
      <c r="H133" s="15"/>
      <c r="I133" s="110"/>
      <c r="J133" s="15"/>
      <c r="K133" s="15"/>
      <c r="L133" s="15"/>
      <c r="M133" s="15" t="s">
        <v>248</v>
      </c>
      <c r="N133" s="15" t="s">
        <v>22</v>
      </c>
      <c r="O133" s="15" t="s">
        <v>29</v>
      </c>
      <c r="P133" s="15" t="s">
        <v>24</v>
      </c>
      <c r="Q133" s="16">
        <v>-1.75</v>
      </c>
      <c r="R133" s="16">
        <v>0.3</v>
      </c>
      <c r="S133" s="16">
        <v>0.28</v>
      </c>
      <c r="T133" s="17">
        <v>45433.0</v>
      </c>
      <c r="U133" s="18">
        <v>1.228</v>
      </c>
      <c r="V133" s="15" t="s">
        <v>33</v>
      </c>
      <c r="W133" s="19">
        <f t="shared" si="1"/>
        <v>0.06384</v>
      </c>
      <c r="X133" s="19">
        <f t="shared" si="4"/>
        <v>1.569875688</v>
      </c>
    </row>
    <row r="134">
      <c r="A134" s="8">
        <f t="shared" si="3"/>
        <v>133</v>
      </c>
      <c r="B134" s="8" t="s">
        <v>4225</v>
      </c>
      <c r="C134" s="8" t="s">
        <v>19</v>
      </c>
      <c r="D134" s="8">
        <v>54.0</v>
      </c>
      <c r="E134" s="8">
        <v>5.0</v>
      </c>
      <c r="F134" s="8" t="s">
        <v>5216</v>
      </c>
      <c r="G134" s="8">
        <v>1.0</v>
      </c>
      <c r="H134" s="8">
        <v>16.0</v>
      </c>
      <c r="I134" s="111">
        <v>0.763</v>
      </c>
      <c r="J134" s="8" t="s">
        <v>1479</v>
      </c>
      <c r="K134" s="8" t="s">
        <v>1477</v>
      </c>
      <c r="L134" s="8">
        <v>-1.0</v>
      </c>
      <c r="M134" s="8" t="s">
        <v>174</v>
      </c>
      <c r="N134" s="8" t="s">
        <v>22</v>
      </c>
      <c r="O134" s="8" t="s">
        <v>894</v>
      </c>
      <c r="P134" s="8" t="s">
        <v>24</v>
      </c>
      <c r="Q134" s="9">
        <v>-0.75</v>
      </c>
      <c r="R134" s="9">
        <v>0.2</v>
      </c>
      <c r="S134" s="9">
        <v>0.02</v>
      </c>
      <c r="T134" s="10">
        <v>45433.0</v>
      </c>
      <c r="U134" s="11">
        <v>1.825</v>
      </c>
      <c r="V134" s="8" t="s">
        <v>33</v>
      </c>
      <c r="W134" s="12">
        <f t="shared" si="1"/>
        <v>0.0165</v>
      </c>
      <c r="X134" s="12">
        <f t="shared" si="4"/>
        <v>1.586375688</v>
      </c>
    </row>
    <row r="135">
      <c r="A135" s="15">
        <f t="shared" si="3"/>
        <v>134</v>
      </c>
      <c r="B135" s="15" t="s">
        <v>26</v>
      </c>
      <c r="C135" s="15" t="s">
        <v>19</v>
      </c>
      <c r="D135" s="15">
        <v>64.0</v>
      </c>
      <c r="E135" s="15">
        <v>3.0</v>
      </c>
      <c r="F135" s="15" t="s">
        <v>5217</v>
      </c>
      <c r="G135" s="15">
        <v>5.0</v>
      </c>
      <c r="H135" s="15">
        <v>6.0</v>
      </c>
      <c r="I135" s="110">
        <f>26/34</f>
        <v>0.7647058824</v>
      </c>
      <c r="J135" s="15" t="s">
        <v>1479</v>
      </c>
      <c r="K135" s="15" t="s">
        <v>1480</v>
      </c>
      <c r="L135" s="15">
        <v>-1.0</v>
      </c>
      <c r="M135" s="15" t="s">
        <v>4354</v>
      </c>
      <c r="N135" s="15" t="s">
        <v>22</v>
      </c>
      <c r="O135" s="15" t="s">
        <v>892</v>
      </c>
      <c r="P135" s="15" t="s">
        <v>24</v>
      </c>
      <c r="Q135" s="16">
        <v>0.0</v>
      </c>
      <c r="R135" s="16">
        <v>0.2</v>
      </c>
      <c r="S135" s="16">
        <v>0.19</v>
      </c>
      <c r="T135" s="17">
        <v>45433.0</v>
      </c>
      <c r="U135" s="18">
        <v>1.65</v>
      </c>
      <c r="V135" s="15" t="s">
        <v>70</v>
      </c>
      <c r="W135" s="19">
        <f t="shared" si="1"/>
        <v>0</v>
      </c>
      <c r="X135" s="19">
        <f t="shared" si="4"/>
        <v>1.586375688</v>
      </c>
    </row>
    <row r="136">
      <c r="A136" s="8">
        <f t="shared" si="3"/>
        <v>135</v>
      </c>
      <c r="B136" s="8" t="s">
        <v>4225</v>
      </c>
      <c r="C136" s="8" t="s">
        <v>19</v>
      </c>
      <c r="D136" s="8">
        <v>75.0</v>
      </c>
      <c r="E136" s="8">
        <v>5.0</v>
      </c>
      <c r="F136" s="8" t="s">
        <v>5218</v>
      </c>
      <c r="G136" s="8">
        <v>20.0</v>
      </c>
      <c r="H136" s="8">
        <v>4.0</v>
      </c>
      <c r="I136" s="111">
        <v>0.763</v>
      </c>
      <c r="J136" s="8" t="s">
        <v>1473</v>
      </c>
      <c r="K136" s="8" t="s">
        <v>1477</v>
      </c>
      <c r="L136" s="8">
        <v>-1.0</v>
      </c>
      <c r="M136" s="8" t="s">
        <v>174</v>
      </c>
      <c r="N136" s="8" t="s">
        <v>22</v>
      </c>
      <c r="O136" s="8" t="s">
        <v>894</v>
      </c>
      <c r="P136" s="8" t="s">
        <v>39</v>
      </c>
      <c r="Q136" s="9">
        <v>-0.25</v>
      </c>
      <c r="R136" s="9">
        <v>0.1</v>
      </c>
      <c r="S136" s="9">
        <v>0.1</v>
      </c>
      <c r="T136" s="10">
        <v>45433.0</v>
      </c>
      <c r="U136" s="11">
        <v>1.753</v>
      </c>
      <c r="V136" s="8" t="s">
        <v>33</v>
      </c>
      <c r="W136" s="12">
        <f t="shared" si="1"/>
        <v>0.0753</v>
      </c>
      <c r="X136" s="12">
        <f t="shared" si="4"/>
        <v>1.661675688</v>
      </c>
    </row>
    <row r="137">
      <c r="A137" s="15">
        <f t="shared" si="3"/>
        <v>136</v>
      </c>
      <c r="B137" s="15" t="s">
        <v>26</v>
      </c>
      <c r="C137" s="15" t="s">
        <v>40</v>
      </c>
      <c r="D137" s="15">
        <v>31.0</v>
      </c>
      <c r="E137" s="15">
        <v>3.0</v>
      </c>
      <c r="F137" s="15" t="s">
        <v>5219</v>
      </c>
      <c r="G137" s="15">
        <v>6.0</v>
      </c>
      <c r="H137" s="15">
        <v>3.0</v>
      </c>
      <c r="I137" s="110">
        <f>2/10</f>
        <v>0.2</v>
      </c>
      <c r="J137" s="15" t="s">
        <v>1473</v>
      </c>
      <c r="K137" s="15" t="s">
        <v>1480</v>
      </c>
      <c r="L137" s="15">
        <v>0.0</v>
      </c>
      <c r="M137" s="15" t="s">
        <v>191</v>
      </c>
      <c r="N137" s="15" t="s">
        <v>22</v>
      </c>
      <c r="O137" s="15" t="s">
        <v>1150</v>
      </c>
      <c r="P137" s="15" t="s">
        <v>24</v>
      </c>
      <c r="Q137" s="16">
        <v>0.0</v>
      </c>
      <c r="R137" s="16">
        <v>0.35</v>
      </c>
      <c r="S137" s="16">
        <v>0.35</v>
      </c>
      <c r="T137" s="17">
        <v>45434.0</v>
      </c>
      <c r="U137" s="18">
        <v>1.725</v>
      </c>
      <c r="V137" s="15" t="s">
        <v>33</v>
      </c>
      <c r="W137" s="19">
        <f t="shared" si="1"/>
        <v>0.25375</v>
      </c>
      <c r="X137" s="19">
        <f t="shared" si="4"/>
        <v>1.915425688</v>
      </c>
    </row>
    <row r="138">
      <c r="A138" s="8">
        <f t="shared" si="3"/>
        <v>137</v>
      </c>
      <c r="B138" s="8" t="s">
        <v>131</v>
      </c>
      <c r="C138" s="8" t="s">
        <v>19</v>
      </c>
      <c r="D138" s="8">
        <v>38.0</v>
      </c>
      <c r="E138" s="8">
        <v>3.0</v>
      </c>
      <c r="F138" s="8" t="s">
        <v>5220</v>
      </c>
      <c r="G138" s="8">
        <v>14.0</v>
      </c>
      <c r="H138" s="8">
        <v>8.0</v>
      </c>
      <c r="I138" s="111">
        <v>0.933</v>
      </c>
      <c r="J138" s="8" t="s">
        <v>1479</v>
      </c>
      <c r="K138" s="8" t="s">
        <v>1480</v>
      </c>
      <c r="L138" s="8">
        <v>-1.0</v>
      </c>
      <c r="M138" s="8" t="s">
        <v>853</v>
      </c>
      <c r="N138" s="8" t="s">
        <v>22</v>
      </c>
      <c r="O138" s="8" t="s">
        <v>892</v>
      </c>
      <c r="P138" s="8" t="s">
        <v>24</v>
      </c>
      <c r="Q138" s="9">
        <v>0.0</v>
      </c>
      <c r="R138" s="9">
        <v>0.2</v>
      </c>
      <c r="S138" s="9">
        <v>0.19</v>
      </c>
      <c r="T138" s="54">
        <v>45434.0</v>
      </c>
      <c r="U138" s="11">
        <v>1.75</v>
      </c>
      <c r="V138" s="8" t="s">
        <v>33</v>
      </c>
      <c r="W138" s="12">
        <f t="shared" si="1"/>
        <v>0.1425</v>
      </c>
      <c r="X138" s="12">
        <f t="shared" si="4"/>
        <v>2.057925688</v>
      </c>
    </row>
    <row r="139">
      <c r="A139" s="15">
        <f t="shared" si="3"/>
        <v>138</v>
      </c>
      <c r="B139" s="15" t="s">
        <v>1915</v>
      </c>
      <c r="C139" s="15" t="s">
        <v>19</v>
      </c>
      <c r="D139" s="139">
        <v>2.0</v>
      </c>
      <c r="E139" s="139">
        <v>11.0</v>
      </c>
      <c r="F139" s="15" t="s">
        <v>5221</v>
      </c>
      <c r="G139" s="15"/>
      <c r="H139" s="15"/>
      <c r="I139" s="110"/>
      <c r="J139" s="15"/>
      <c r="K139" s="15"/>
      <c r="L139" s="15">
        <v>0.0</v>
      </c>
      <c r="M139" s="15" t="s">
        <v>583</v>
      </c>
      <c r="N139" s="15" t="s">
        <v>22</v>
      </c>
      <c r="O139" s="15" t="s">
        <v>29</v>
      </c>
      <c r="P139" s="15" t="s">
        <v>24</v>
      </c>
      <c r="Q139" s="16">
        <v>-2.75</v>
      </c>
      <c r="R139" s="16">
        <v>0.2</v>
      </c>
      <c r="S139" s="16">
        <v>0.1</v>
      </c>
      <c r="T139" s="17">
        <v>45434.0</v>
      </c>
      <c r="U139" s="18">
        <v>1.85</v>
      </c>
      <c r="V139" s="15" t="s">
        <v>33</v>
      </c>
      <c r="W139" s="19">
        <f t="shared" si="1"/>
        <v>0.085</v>
      </c>
      <c r="X139" s="19">
        <f t="shared" si="4"/>
        <v>2.142925688</v>
      </c>
    </row>
    <row r="140">
      <c r="A140" s="8">
        <f t="shared" si="3"/>
        <v>139</v>
      </c>
      <c r="B140" s="8" t="s">
        <v>26</v>
      </c>
      <c r="C140" s="8" t="s">
        <v>40</v>
      </c>
      <c r="D140" s="8">
        <v>73.0</v>
      </c>
      <c r="E140" s="8">
        <v>3.0</v>
      </c>
      <c r="F140" s="8" t="s">
        <v>5222</v>
      </c>
      <c r="G140" s="8">
        <v>4.0</v>
      </c>
      <c r="H140" s="8">
        <v>3.0</v>
      </c>
      <c r="I140" s="8" t="s">
        <v>1479</v>
      </c>
      <c r="J140" s="8" t="s">
        <v>1479</v>
      </c>
      <c r="K140" s="8" t="s">
        <v>1480</v>
      </c>
      <c r="L140" s="8">
        <v>0.0</v>
      </c>
      <c r="M140" s="8" t="s">
        <v>99</v>
      </c>
      <c r="N140" s="8" t="s">
        <v>22</v>
      </c>
      <c r="O140" s="8" t="s">
        <v>892</v>
      </c>
      <c r="P140" s="8" t="s">
        <v>24</v>
      </c>
      <c r="Q140" s="9">
        <v>0.0</v>
      </c>
      <c r="R140" s="9">
        <v>0.6</v>
      </c>
      <c r="S140" s="9">
        <v>0.6</v>
      </c>
      <c r="T140" s="10">
        <v>45434.0</v>
      </c>
      <c r="U140" s="11">
        <v>1.675</v>
      </c>
      <c r="V140" s="8" t="s">
        <v>70</v>
      </c>
      <c r="W140" s="12">
        <f t="shared" si="1"/>
        <v>0</v>
      </c>
      <c r="X140" s="12">
        <f t="shared" si="4"/>
        <v>2.142925688</v>
      </c>
    </row>
    <row r="141">
      <c r="A141" s="15">
        <f t="shared" si="3"/>
        <v>140</v>
      </c>
      <c r="B141" s="15" t="s">
        <v>129</v>
      </c>
      <c r="C141" s="15" t="s">
        <v>19</v>
      </c>
      <c r="D141" s="15">
        <v>77.0</v>
      </c>
      <c r="E141" s="15">
        <v>3.0</v>
      </c>
      <c r="F141" s="15" t="s">
        <v>5223</v>
      </c>
      <c r="G141" s="15">
        <v>4.0</v>
      </c>
      <c r="H141" s="15">
        <v>1.0</v>
      </c>
      <c r="I141" s="15" t="s">
        <v>1479</v>
      </c>
      <c r="J141" s="15" t="s">
        <v>1479</v>
      </c>
      <c r="K141" s="15" t="s">
        <v>1480</v>
      </c>
      <c r="L141" s="15">
        <v>0.0</v>
      </c>
      <c r="M141" s="15" t="s">
        <v>583</v>
      </c>
      <c r="N141" s="15" t="s">
        <v>22</v>
      </c>
      <c r="O141" s="15" t="s">
        <v>941</v>
      </c>
      <c r="P141" s="15" t="s">
        <v>24</v>
      </c>
      <c r="Q141" s="16">
        <v>0.0</v>
      </c>
      <c r="R141" s="16">
        <v>0.4</v>
      </c>
      <c r="S141" s="16">
        <v>0.39</v>
      </c>
      <c r="T141" s="55">
        <v>45434.0</v>
      </c>
      <c r="U141" s="18">
        <v>2.25</v>
      </c>
      <c r="V141" s="15" t="s">
        <v>70</v>
      </c>
      <c r="W141" s="19">
        <f t="shared" si="1"/>
        <v>0</v>
      </c>
      <c r="X141" s="19">
        <f t="shared" si="4"/>
        <v>2.142925688</v>
      </c>
    </row>
    <row r="142">
      <c r="A142" s="8">
        <f t="shared" si="3"/>
        <v>141</v>
      </c>
      <c r="B142" s="8" t="s">
        <v>18</v>
      </c>
      <c r="C142" s="8" t="s">
        <v>19</v>
      </c>
      <c r="D142" s="8">
        <v>72.0</v>
      </c>
      <c r="E142" s="8">
        <v>2.0</v>
      </c>
      <c r="F142" s="8" t="s">
        <v>5224</v>
      </c>
      <c r="G142" s="8">
        <v>2.0</v>
      </c>
      <c r="H142" s="8">
        <v>13.0</v>
      </c>
      <c r="I142" s="111">
        <f>28/(19*2)</f>
        <v>0.7368421053</v>
      </c>
      <c r="J142" s="8" t="s">
        <v>1479</v>
      </c>
      <c r="K142" s="8" t="s">
        <v>1477</v>
      </c>
      <c r="L142" s="8">
        <v>0.0</v>
      </c>
      <c r="M142" s="8" t="s">
        <v>174</v>
      </c>
      <c r="N142" s="8" t="s">
        <v>22</v>
      </c>
      <c r="O142" s="8" t="s">
        <v>894</v>
      </c>
      <c r="P142" s="8" t="s">
        <v>24</v>
      </c>
      <c r="Q142" s="9">
        <v>-0.25</v>
      </c>
      <c r="R142" s="9">
        <v>0.1</v>
      </c>
      <c r="S142" s="9">
        <v>0.1</v>
      </c>
      <c r="T142" s="10">
        <v>45434.0</v>
      </c>
      <c r="U142" s="11">
        <v>1.75</v>
      </c>
      <c r="V142" s="8" t="s">
        <v>33</v>
      </c>
      <c r="W142" s="12">
        <f t="shared" si="1"/>
        <v>0.075</v>
      </c>
      <c r="X142" s="12">
        <f t="shared" si="4"/>
        <v>2.217925688</v>
      </c>
    </row>
    <row r="143">
      <c r="A143" s="15">
        <f t="shared" si="3"/>
        <v>142</v>
      </c>
      <c r="B143" s="15" t="s">
        <v>26</v>
      </c>
      <c r="C143" s="15" t="s">
        <v>19</v>
      </c>
      <c r="D143" s="15">
        <v>26.0</v>
      </c>
      <c r="E143" s="15">
        <v>3.0</v>
      </c>
      <c r="F143" s="15" t="s">
        <v>5225</v>
      </c>
      <c r="G143" s="15">
        <v>16.0</v>
      </c>
      <c r="H143" s="15">
        <v>19.0</v>
      </c>
      <c r="I143" s="110">
        <f>7/(19*2)</f>
        <v>0.1842105263</v>
      </c>
      <c r="J143" s="15" t="s">
        <v>1479</v>
      </c>
      <c r="K143" s="15" t="s">
        <v>1480</v>
      </c>
      <c r="L143" s="15">
        <v>1.0</v>
      </c>
      <c r="M143" s="15" t="s">
        <v>82</v>
      </c>
      <c r="N143" s="15" t="s">
        <v>22</v>
      </c>
      <c r="O143" s="15" t="s">
        <v>892</v>
      </c>
      <c r="P143" s="15" t="s">
        <v>39</v>
      </c>
      <c r="Q143" s="16">
        <v>0.0</v>
      </c>
      <c r="R143" s="16">
        <v>0.1</v>
      </c>
      <c r="S143" s="16">
        <v>0.1</v>
      </c>
      <c r="T143" s="17">
        <v>45434.0</v>
      </c>
      <c r="U143" s="18">
        <f>106.81/70</f>
        <v>1.525857143</v>
      </c>
      <c r="V143" s="15" t="s">
        <v>33</v>
      </c>
      <c r="W143" s="19">
        <f t="shared" si="1"/>
        <v>0.05258571429</v>
      </c>
      <c r="X143" s="19">
        <f t="shared" si="4"/>
        <v>2.270511402</v>
      </c>
    </row>
    <row r="144">
      <c r="A144" s="8">
        <f t="shared" si="3"/>
        <v>143</v>
      </c>
      <c r="B144" s="8" t="s">
        <v>18</v>
      </c>
      <c r="C144" s="8" t="s">
        <v>19</v>
      </c>
      <c r="D144" s="8">
        <v>75.0</v>
      </c>
      <c r="E144" s="8">
        <v>3.0</v>
      </c>
      <c r="F144" s="8" t="s">
        <v>5226</v>
      </c>
      <c r="G144" s="8">
        <v>3.0</v>
      </c>
      <c r="H144" s="8">
        <v>8.0</v>
      </c>
      <c r="I144" s="111">
        <f>8/(15*2)</f>
        <v>0.2666666667</v>
      </c>
      <c r="J144" s="8" t="s">
        <v>1479</v>
      </c>
      <c r="K144" s="8" t="s">
        <v>1480</v>
      </c>
      <c r="L144" s="8">
        <v>-1.0</v>
      </c>
      <c r="M144" s="8" t="s">
        <v>463</v>
      </c>
      <c r="N144" s="8" t="s">
        <v>22</v>
      </c>
      <c r="O144" s="8" t="s">
        <v>892</v>
      </c>
      <c r="P144" s="8" t="s">
        <v>1803</v>
      </c>
      <c r="Q144" s="9">
        <v>0.0</v>
      </c>
      <c r="R144" s="9">
        <v>0.2</v>
      </c>
      <c r="S144" s="9">
        <v>0.2</v>
      </c>
      <c r="T144" s="10">
        <v>45434.0</v>
      </c>
      <c r="U144" s="11">
        <v>1.625</v>
      </c>
      <c r="V144" s="8" t="s">
        <v>33</v>
      </c>
      <c r="W144" s="12">
        <f t="shared" si="1"/>
        <v>0.125</v>
      </c>
      <c r="X144" s="12">
        <f t="shared" si="4"/>
        <v>2.395511402</v>
      </c>
    </row>
    <row r="145">
      <c r="A145" s="15">
        <f t="shared" si="3"/>
        <v>144</v>
      </c>
      <c r="B145" s="15" t="s">
        <v>18</v>
      </c>
      <c r="C145" s="15" t="s">
        <v>19</v>
      </c>
      <c r="D145" s="15">
        <v>25.0</v>
      </c>
      <c r="E145" s="15">
        <v>1.0</v>
      </c>
      <c r="F145" s="15" t="s">
        <v>5227</v>
      </c>
      <c r="G145" s="15">
        <v>1.0</v>
      </c>
      <c r="H145" s="15">
        <v>13.0</v>
      </c>
      <c r="I145" s="110">
        <f>20/30</f>
        <v>0.6666666667</v>
      </c>
      <c r="J145" s="15" t="s">
        <v>1479</v>
      </c>
      <c r="K145" s="15" t="s">
        <v>1477</v>
      </c>
      <c r="L145" s="15">
        <v>0.0</v>
      </c>
      <c r="M145" s="15" t="s">
        <v>853</v>
      </c>
      <c r="N145" s="15" t="s">
        <v>22</v>
      </c>
      <c r="O145" s="15" t="s">
        <v>894</v>
      </c>
      <c r="P145" s="15" t="s">
        <v>24</v>
      </c>
      <c r="Q145" s="16">
        <v>-0.25</v>
      </c>
      <c r="R145" s="16">
        <v>0.2</v>
      </c>
      <c r="S145" s="16">
        <v>0.2</v>
      </c>
      <c r="T145" s="17">
        <v>45435.0</v>
      </c>
      <c r="U145" s="18">
        <v>1.7</v>
      </c>
      <c r="V145" s="15" t="s">
        <v>79</v>
      </c>
      <c r="W145" s="19">
        <f t="shared" si="1"/>
        <v>-0.1</v>
      </c>
      <c r="X145" s="19">
        <f t="shared" si="4"/>
        <v>2.295511402</v>
      </c>
    </row>
    <row r="146">
      <c r="A146" s="8">
        <f t="shared" si="3"/>
        <v>145</v>
      </c>
      <c r="B146" s="8" t="s">
        <v>26</v>
      </c>
      <c r="C146" s="8" t="s">
        <v>19</v>
      </c>
      <c r="D146" s="8">
        <v>80.0</v>
      </c>
      <c r="E146" s="8">
        <v>9.0</v>
      </c>
      <c r="F146" s="8" t="s">
        <v>5228</v>
      </c>
      <c r="G146" s="8"/>
      <c r="H146" s="8"/>
      <c r="I146" s="111"/>
      <c r="J146" s="8"/>
      <c r="K146" s="8"/>
      <c r="L146" s="8"/>
      <c r="M146" s="8" t="s">
        <v>3017</v>
      </c>
      <c r="N146" s="8" t="s">
        <v>22</v>
      </c>
      <c r="O146" s="8" t="s">
        <v>2415</v>
      </c>
      <c r="P146" s="8" t="s">
        <v>24</v>
      </c>
      <c r="Q146" s="9">
        <v>8.0</v>
      </c>
      <c r="R146" s="9">
        <v>0.15</v>
      </c>
      <c r="S146" s="9">
        <v>0.14</v>
      </c>
      <c r="T146" s="10">
        <v>45435.0</v>
      </c>
      <c r="U146" s="11">
        <v>1.75</v>
      </c>
      <c r="V146" s="8" t="s">
        <v>70</v>
      </c>
      <c r="W146" s="12">
        <f t="shared" si="1"/>
        <v>0</v>
      </c>
      <c r="X146" s="12">
        <f t="shared" si="4"/>
        <v>2.295511402</v>
      </c>
    </row>
    <row r="147">
      <c r="A147" s="15">
        <f t="shared" si="3"/>
        <v>146</v>
      </c>
      <c r="B147" s="15" t="s">
        <v>4225</v>
      </c>
      <c r="C147" s="15" t="s">
        <v>40</v>
      </c>
      <c r="D147" s="15">
        <v>10.0</v>
      </c>
      <c r="E147" s="15">
        <v>4.0</v>
      </c>
      <c r="F147" s="15" t="s">
        <v>5229</v>
      </c>
      <c r="G147" s="15">
        <v>6.0</v>
      </c>
      <c r="H147" s="15">
        <v>3.0</v>
      </c>
      <c r="I147" s="110">
        <v>0.945</v>
      </c>
      <c r="J147" s="15" t="s">
        <v>1473</v>
      </c>
      <c r="K147" s="15" t="s">
        <v>1480</v>
      </c>
      <c r="L147" s="15">
        <v>0.0</v>
      </c>
      <c r="M147" s="15" t="s">
        <v>42</v>
      </c>
      <c r="N147" s="15" t="s">
        <v>22</v>
      </c>
      <c r="O147" s="15" t="s">
        <v>1150</v>
      </c>
      <c r="P147" s="15" t="s">
        <v>24</v>
      </c>
      <c r="Q147" s="16">
        <v>0.0</v>
      </c>
      <c r="R147" s="16">
        <v>0.4</v>
      </c>
      <c r="S147" s="16">
        <v>0.31</v>
      </c>
      <c r="T147" s="17">
        <v>45436.0</v>
      </c>
      <c r="U147" s="18">
        <v>1.65</v>
      </c>
      <c r="V147" s="15" t="s">
        <v>25</v>
      </c>
      <c r="W147" s="19">
        <f t="shared" si="1"/>
        <v>-0.31</v>
      </c>
      <c r="X147" s="19">
        <f t="shared" si="4"/>
        <v>1.985511402</v>
      </c>
    </row>
    <row r="148">
      <c r="A148" s="8">
        <f t="shared" si="3"/>
        <v>147</v>
      </c>
      <c r="B148" s="8" t="s">
        <v>26</v>
      </c>
      <c r="C148" s="8" t="s">
        <v>19</v>
      </c>
      <c r="D148" s="8">
        <v>65.0</v>
      </c>
      <c r="E148" s="8">
        <v>9.0</v>
      </c>
      <c r="F148" s="8" t="s">
        <v>5230</v>
      </c>
      <c r="G148" s="8">
        <v>4.0</v>
      </c>
      <c r="H148" s="8">
        <v>7.0</v>
      </c>
      <c r="I148" s="111">
        <v>1.0</v>
      </c>
      <c r="J148" s="8"/>
      <c r="K148" s="8"/>
      <c r="L148" s="8"/>
      <c r="M148" s="8" t="s">
        <v>167</v>
      </c>
      <c r="N148" s="8" t="s">
        <v>22</v>
      </c>
      <c r="O148" s="8" t="s">
        <v>440</v>
      </c>
      <c r="P148" s="8" t="s">
        <v>39</v>
      </c>
      <c r="Q148" s="9">
        <v>3.75</v>
      </c>
      <c r="R148" s="9">
        <v>0.1</v>
      </c>
      <c r="S148" s="9">
        <v>0.1</v>
      </c>
      <c r="T148" s="10">
        <v>45436.0</v>
      </c>
      <c r="U148" s="11">
        <v>1.8</v>
      </c>
      <c r="V148" s="8" t="s">
        <v>30</v>
      </c>
      <c r="W148" s="12">
        <f t="shared" si="1"/>
        <v>0.04</v>
      </c>
      <c r="X148" s="12">
        <f t="shared" si="4"/>
        <v>2.025511402</v>
      </c>
    </row>
    <row r="149">
      <c r="A149" s="15">
        <f t="shared" si="3"/>
        <v>148</v>
      </c>
      <c r="B149" s="15" t="s">
        <v>18</v>
      </c>
      <c r="C149" s="15" t="s">
        <v>19</v>
      </c>
      <c r="D149" s="15">
        <v>70.0</v>
      </c>
      <c r="E149" s="15">
        <v>3.0</v>
      </c>
      <c r="F149" s="15" t="s">
        <v>5231</v>
      </c>
      <c r="G149" s="15" t="s">
        <v>5553</v>
      </c>
      <c r="H149" s="15" t="s">
        <v>5553</v>
      </c>
      <c r="I149" s="15" t="s">
        <v>5553</v>
      </c>
      <c r="J149" s="15" t="s">
        <v>1473</v>
      </c>
      <c r="K149" s="15" t="s">
        <v>1480</v>
      </c>
      <c r="L149" s="15">
        <v>1.0</v>
      </c>
      <c r="M149" s="15" t="s">
        <v>117</v>
      </c>
      <c r="N149" s="15" t="s">
        <v>22</v>
      </c>
      <c r="O149" s="15" t="s">
        <v>892</v>
      </c>
      <c r="P149" s="15" t="s">
        <v>24</v>
      </c>
      <c r="Q149" s="16">
        <v>0.0</v>
      </c>
      <c r="R149" s="16">
        <v>0.4</v>
      </c>
      <c r="S149" s="16">
        <v>0.4</v>
      </c>
      <c r="T149" s="17">
        <v>45436.0</v>
      </c>
      <c r="U149" s="18">
        <v>2.2</v>
      </c>
      <c r="V149" s="15" t="s">
        <v>70</v>
      </c>
      <c r="W149" s="19">
        <f t="shared" si="1"/>
        <v>0</v>
      </c>
      <c r="X149" s="19">
        <f t="shared" si="4"/>
        <v>2.025511402</v>
      </c>
    </row>
    <row r="150">
      <c r="A150" s="8">
        <f t="shared" si="3"/>
        <v>149</v>
      </c>
      <c r="B150" s="8" t="s">
        <v>26</v>
      </c>
      <c r="C150" s="8" t="s">
        <v>19</v>
      </c>
      <c r="D150" s="8">
        <v>38.0</v>
      </c>
      <c r="E150" s="8">
        <v>2.0</v>
      </c>
      <c r="F150" s="8" t="s">
        <v>5232</v>
      </c>
      <c r="G150" s="8">
        <v>5.0</v>
      </c>
      <c r="H150" s="8">
        <v>2.0</v>
      </c>
      <c r="I150" s="111">
        <f>6/(5*2)</f>
        <v>0.6</v>
      </c>
      <c r="J150" s="8" t="s">
        <v>1479</v>
      </c>
      <c r="K150" s="8" t="s">
        <v>1474</v>
      </c>
      <c r="L150" s="8">
        <v>-1.0</v>
      </c>
      <c r="M150" s="8" t="s">
        <v>82</v>
      </c>
      <c r="N150" s="8" t="s">
        <v>22</v>
      </c>
      <c r="O150" s="8" t="s">
        <v>225</v>
      </c>
      <c r="P150" s="8" t="s">
        <v>24</v>
      </c>
      <c r="Q150" s="9">
        <v>0.25</v>
      </c>
      <c r="R150" s="9">
        <v>0.6</v>
      </c>
      <c r="S150" s="9">
        <v>0.57</v>
      </c>
      <c r="T150" s="10">
        <v>45436.0</v>
      </c>
      <c r="U150" s="11">
        <v>1.75</v>
      </c>
      <c r="V150" s="8" t="s">
        <v>33</v>
      </c>
      <c r="W150" s="12">
        <f t="shared" si="1"/>
        <v>0.4275</v>
      </c>
      <c r="X150" s="12">
        <f t="shared" si="4"/>
        <v>2.453011402</v>
      </c>
    </row>
    <row r="151">
      <c r="A151" s="15">
        <f t="shared" si="3"/>
        <v>150</v>
      </c>
      <c r="B151" s="15" t="s">
        <v>18</v>
      </c>
      <c r="C151" s="15" t="s">
        <v>19</v>
      </c>
      <c r="D151" s="15">
        <v>57.0</v>
      </c>
      <c r="E151" s="15">
        <v>3.0</v>
      </c>
      <c r="F151" s="15" t="s">
        <v>5233</v>
      </c>
      <c r="G151" s="15">
        <v>5.0</v>
      </c>
      <c r="H151" s="15">
        <v>10.0</v>
      </c>
      <c r="I151" s="110">
        <f>26/(15*2)</f>
        <v>0.8666666667</v>
      </c>
      <c r="J151" s="15" t="s">
        <v>1479</v>
      </c>
      <c r="K151" s="15" t="s">
        <v>1480</v>
      </c>
      <c r="L151" s="15">
        <v>0.0</v>
      </c>
      <c r="M151" s="15" t="s">
        <v>316</v>
      </c>
      <c r="N151" s="15" t="s">
        <v>22</v>
      </c>
      <c r="O151" s="15" t="s">
        <v>892</v>
      </c>
      <c r="P151" s="15" t="s">
        <v>24</v>
      </c>
      <c r="Q151" s="16">
        <v>0.0</v>
      </c>
      <c r="R151" s="16">
        <v>0.75</v>
      </c>
      <c r="S151" s="16">
        <v>0.74</v>
      </c>
      <c r="T151" s="17">
        <v>45436.0</v>
      </c>
      <c r="U151" s="18">
        <v>1.7</v>
      </c>
      <c r="V151" s="15" t="s">
        <v>70</v>
      </c>
      <c r="W151" s="19">
        <f t="shared" si="1"/>
        <v>0</v>
      </c>
      <c r="X151" s="19">
        <f t="shared" si="4"/>
        <v>2.453011402</v>
      </c>
    </row>
    <row r="152">
      <c r="A152" s="8">
        <f t="shared" si="3"/>
        <v>151</v>
      </c>
      <c r="B152" s="8" t="s">
        <v>137</v>
      </c>
      <c r="C152" s="8" t="s">
        <v>19</v>
      </c>
      <c r="D152" s="8">
        <v>75.0</v>
      </c>
      <c r="E152" s="8">
        <v>3.0</v>
      </c>
      <c r="F152" s="8" t="s">
        <v>5234</v>
      </c>
      <c r="G152" s="8">
        <v>5.0</v>
      </c>
      <c r="H152" s="8">
        <v>1.0</v>
      </c>
      <c r="I152" s="111">
        <f>10/(9*2)</f>
        <v>0.5555555556</v>
      </c>
      <c r="J152" s="8" t="s">
        <v>1473</v>
      </c>
      <c r="K152" s="8" t="s">
        <v>1480</v>
      </c>
      <c r="L152" s="8">
        <v>0.0</v>
      </c>
      <c r="M152" s="8" t="s">
        <v>2667</v>
      </c>
      <c r="N152" s="8" t="s">
        <v>22</v>
      </c>
      <c r="O152" s="8" t="s">
        <v>892</v>
      </c>
      <c r="P152" s="8" t="s">
        <v>24</v>
      </c>
      <c r="Q152" s="9">
        <v>0.0</v>
      </c>
      <c r="R152" s="9">
        <v>0.2</v>
      </c>
      <c r="S152" s="9">
        <v>0.2</v>
      </c>
      <c r="T152" s="10">
        <v>45436.0</v>
      </c>
      <c r="U152" s="11">
        <v>1.925</v>
      </c>
      <c r="V152" s="8" t="s">
        <v>70</v>
      </c>
      <c r="W152" s="12">
        <f t="shared" si="1"/>
        <v>0</v>
      </c>
      <c r="X152" s="12">
        <f t="shared" si="4"/>
        <v>2.453011402</v>
      </c>
    </row>
    <row r="153">
      <c r="A153" s="15">
        <f t="shared" si="3"/>
        <v>152</v>
      </c>
      <c r="B153" s="15" t="s">
        <v>129</v>
      </c>
      <c r="C153" s="15" t="s">
        <v>19</v>
      </c>
      <c r="D153" s="15">
        <v>20.0</v>
      </c>
      <c r="E153" s="15">
        <v>3.0</v>
      </c>
      <c r="F153" s="15" t="s">
        <v>5235</v>
      </c>
      <c r="G153" s="15">
        <v>9.0</v>
      </c>
      <c r="H153" s="15">
        <v>15.0</v>
      </c>
      <c r="I153" s="110">
        <f>31/(17*2)</f>
        <v>0.9117647059</v>
      </c>
      <c r="J153" s="15" t="s">
        <v>1479</v>
      </c>
      <c r="K153" s="15" t="s">
        <v>1480</v>
      </c>
      <c r="L153" s="15">
        <v>0.0</v>
      </c>
      <c r="M153" s="15" t="s">
        <v>432</v>
      </c>
      <c r="N153" s="15" t="s">
        <v>22</v>
      </c>
      <c r="O153" s="15" t="s">
        <v>1150</v>
      </c>
      <c r="P153" s="15" t="s">
        <v>24</v>
      </c>
      <c r="Q153" s="16">
        <v>0.0</v>
      </c>
      <c r="R153" s="16">
        <v>0.4</v>
      </c>
      <c r="S153" s="16">
        <v>0.35</v>
      </c>
      <c r="T153" s="17">
        <v>45437.0</v>
      </c>
      <c r="U153" s="18">
        <v>1.7</v>
      </c>
      <c r="V153" s="15" t="s">
        <v>33</v>
      </c>
      <c r="W153" s="19">
        <f t="shared" si="1"/>
        <v>0.245</v>
      </c>
      <c r="X153" s="19">
        <f t="shared" si="4"/>
        <v>2.698011402</v>
      </c>
    </row>
    <row r="154">
      <c r="A154" s="8">
        <f t="shared" si="3"/>
        <v>153</v>
      </c>
      <c r="B154" s="8" t="s">
        <v>4225</v>
      </c>
      <c r="C154" s="8" t="s">
        <v>19</v>
      </c>
      <c r="D154" s="8">
        <v>47.0</v>
      </c>
      <c r="E154" s="8">
        <v>5.0</v>
      </c>
      <c r="F154" s="8" t="s">
        <v>5236</v>
      </c>
      <c r="G154" s="8" t="s">
        <v>5553</v>
      </c>
      <c r="H154" s="8" t="s">
        <v>5553</v>
      </c>
      <c r="I154" s="8" t="s">
        <v>1479</v>
      </c>
      <c r="J154" s="8" t="s">
        <v>1479</v>
      </c>
      <c r="K154" s="8" t="s">
        <v>1477</v>
      </c>
      <c r="L154" s="8">
        <v>-1.0</v>
      </c>
      <c r="M154" s="8" t="s">
        <v>44</v>
      </c>
      <c r="N154" s="8" t="s">
        <v>22</v>
      </c>
      <c r="O154" s="8" t="s">
        <v>894</v>
      </c>
      <c r="P154" s="8" t="s">
        <v>24</v>
      </c>
      <c r="Q154" s="9">
        <v>-0.5</v>
      </c>
      <c r="R154" s="9">
        <v>0.25</v>
      </c>
      <c r="S154" s="9">
        <v>0.23</v>
      </c>
      <c r="T154" s="10">
        <v>45437.0</v>
      </c>
      <c r="U154" s="11">
        <v>1.657</v>
      </c>
      <c r="V154" s="8" t="s">
        <v>33</v>
      </c>
      <c r="W154" s="12">
        <f t="shared" si="1"/>
        <v>0.15111</v>
      </c>
      <c r="X154" s="12">
        <f t="shared" si="4"/>
        <v>2.849121402</v>
      </c>
    </row>
    <row r="155">
      <c r="A155" s="15">
        <f t="shared" si="3"/>
        <v>154</v>
      </c>
      <c r="B155" s="15" t="s">
        <v>1915</v>
      </c>
      <c r="C155" s="15" t="s">
        <v>40</v>
      </c>
      <c r="D155" s="15">
        <v>0.0</v>
      </c>
      <c r="E155" s="15">
        <v>11.0</v>
      </c>
      <c r="F155" s="15" t="s">
        <v>5237</v>
      </c>
      <c r="G155" s="15"/>
      <c r="H155" s="15"/>
      <c r="I155" s="110"/>
      <c r="J155" s="15"/>
      <c r="K155" s="15"/>
      <c r="L155" s="15"/>
      <c r="M155" s="15" t="s">
        <v>101</v>
      </c>
      <c r="N155" s="15" t="s">
        <v>598</v>
      </c>
      <c r="O155" s="15" t="s">
        <v>29</v>
      </c>
      <c r="P155" s="15" t="s">
        <v>24</v>
      </c>
      <c r="Q155" s="16">
        <v>-3.5</v>
      </c>
      <c r="R155" s="16">
        <v>0.2</v>
      </c>
      <c r="S155" s="16">
        <v>0.2</v>
      </c>
      <c r="T155" s="17">
        <v>45437.0</v>
      </c>
      <c r="U155" s="18">
        <v>1.14</v>
      </c>
      <c r="V155" s="15" t="s">
        <v>33</v>
      </c>
      <c r="W155" s="19">
        <f t="shared" si="1"/>
        <v>0.028</v>
      </c>
      <c r="X155" s="19">
        <f t="shared" si="4"/>
        <v>2.877121402</v>
      </c>
    </row>
    <row r="156">
      <c r="A156" s="8">
        <f t="shared" si="3"/>
        <v>155</v>
      </c>
      <c r="B156" s="8" t="s">
        <v>131</v>
      </c>
      <c r="C156" s="8" t="s">
        <v>19</v>
      </c>
      <c r="D156" s="8">
        <v>17.0</v>
      </c>
      <c r="E156" s="8">
        <v>2.0</v>
      </c>
      <c r="F156" s="8" t="s">
        <v>5238</v>
      </c>
      <c r="G156" s="8">
        <v>1.0</v>
      </c>
      <c r="H156" s="8">
        <v>4.0</v>
      </c>
      <c r="I156" s="111">
        <f>28/(15*2)</f>
        <v>0.9333333333</v>
      </c>
      <c r="J156" s="8" t="s">
        <v>1473</v>
      </c>
      <c r="K156" s="8" t="s">
        <v>1474</v>
      </c>
      <c r="L156" s="8">
        <v>0.0</v>
      </c>
      <c r="M156" s="8" t="s">
        <v>245</v>
      </c>
      <c r="N156" s="8" t="s">
        <v>22</v>
      </c>
      <c r="O156" s="8" t="s">
        <v>2725</v>
      </c>
      <c r="P156" s="8" t="s">
        <v>1522</v>
      </c>
      <c r="Q156" s="9">
        <v>0.25</v>
      </c>
      <c r="R156" s="9">
        <v>0.2</v>
      </c>
      <c r="S156" s="9">
        <v>0.19</v>
      </c>
      <c r="T156" s="54">
        <v>45437.0</v>
      </c>
      <c r="U156" s="11">
        <v>1.775</v>
      </c>
      <c r="V156" s="8" t="s">
        <v>33</v>
      </c>
      <c r="W156" s="12">
        <f t="shared" si="1"/>
        <v>0.14725</v>
      </c>
      <c r="X156" s="12">
        <f t="shared" si="4"/>
        <v>3.024371402</v>
      </c>
    </row>
    <row r="157">
      <c r="A157" s="15">
        <f t="shared" si="3"/>
        <v>156</v>
      </c>
      <c r="B157" s="15" t="s">
        <v>129</v>
      </c>
      <c r="C157" s="15" t="s">
        <v>19</v>
      </c>
      <c r="D157" s="15">
        <v>26.0</v>
      </c>
      <c r="E157" s="15">
        <v>3.0</v>
      </c>
      <c r="F157" s="15" t="s">
        <v>5239</v>
      </c>
      <c r="G157" s="15" t="s">
        <v>5553</v>
      </c>
      <c r="H157" s="15" t="s">
        <v>5553</v>
      </c>
      <c r="I157" s="15" t="s">
        <v>1479</v>
      </c>
      <c r="J157" s="15" t="s">
        <v>1479</v>
      </c>
      <c r="K157" s="15" t="s">
        <v>1480</v>
      </c>
      <c r="L157" s="15">
        <v>0.0</v>
      </c>
      <c r="M157" s="15" t="s">
        <v>1031</v>
      </c>
      <c r="N157" s="15" t="s">
        <v>22</v>
      </c>
      <c r="O157" s="15" t="s">
        <v>1150</v>
      </c>
      <c r="P157" s="15" t="s">
        <v>24</v>
      </c>
      <c r="Q157" s="16">
        <v>0.0</v>
      </c>
      <c r="R157" s="16">
        <v>0.6</v>
      </c>
      <c r="S157" s="16">
        <v>0.6</v>
      </c>
      <c r="T157" s="17">
        <v>45437.0</v>
      </c>
      <c r="U157" s="18">
        <v>2.0</v>
      </c>
      <c r="V157" s="15" t="s">
        <v>70</v>
      </c>
      <c r="W157" s="19">
        <f t="shared" si="1"/>
        <v>0</v>
      </c>
      <c r="X157" s="19">
        <f t="shared" si="4"/>
        <v>3.024371402</v>
      </c>
    </row>
    <row r="158">
      <c r="A158" s="8">
        <f t="shared" si="3"/>
        <v>157</v>
      </c>
      <c r="B158" s="8" t="s">
        <v>18</v>
      </c>
      <c r="C158" s="8" t="s">
        <v>19</v>
      </c>
      <c r="D158" s="8">
        <v>58.0</v>
      </c>
      <c r="E158" s="8">
        <v>3.0</v>
      </c>
      <c r="F158" s="8" t="s">
        <v>5240</v>
      </c>
      <c r="G158" s="8">
        <v>7.0</v>
      </c>
      <c r="H158" s="8">
        <v>4.0</v>
      </c>
      <c r="I158" s="111">
        <f>9/12</f>
        <v>0.75</v>
      </c>
      <c r="J158" s="8" t="s">
        <v>1479</v>
      </c>
      <c r="K158" s="8" t="s">
        <v>1480</v>
      </c>
      <c r="L158" s="8">
        <v>2.0</v>
      </c>
      <c r="M158" s="8" t="s">
        <v>341</v>
      </c>
      <c r="N158" s="8" t="s">
        <v>22</v>
      </c>
      <c r="O158" s="8" t="s">
        <v>892</v>
      </c>
      <c r="P158" s="8" t="s">
        <v>24</v>
      </c>
      <c r="Q158" s="9">
        <v>0.0</v>
      </c>
      <c r="R158" s="9">
        <v>0.35</v>
      </c>
      <c r="S158" s="9">
        <v>0.35</v>
      </c>
      <c r="T158" s="10">
        <v>45437.0</v>
      </c>
      <c r="U158" s="11">
        <v>1.738</v>
      </c>
      <c r="V158" s="8" t="s">
        <v>33</v>
      </c>
      <c r="W158" s="12">
        <f t="shared" si="1"/>
        <v>0.2583</v>
      </c>
      <c r="X158" s="12">
        <f t="shared" si="4"/>
        <v>3.282671402</v>
      </c>
    </row>
    <row r="159">
      <c r="A159" s="15">
        <f t="shared" si="3"/>
        <v>158</v>
      </c>
      <c r="B159" s="15" t="s">
        <v>18</v>
      </c>
      <c r="C159" s="15" t="s">
        <v>19</v>
      </c>
      <c r="D159" s="15">
        <v>80.0</v>
      </c>
      <c r="E159" s="15">
        <v>3.0</v>
      </c>
      <c r="F159" s="15" t="s">
        <v>5241</v>
      </c>
      <c r="G159" s="15"/>
      <c r="H159" s="15"/>
      <c r="I159" s="110"/>
      <c r="J159" s="15" t="s">
        <v>1473</v>
      </c>
      <c r="K159" s="15" t="s">
        <v>1480</v>
      </c>
      <c r="L159" s="15">
        <v>-1.0</v>
      </c>
      <c r="M159" s="15" t="s">
        <v>423</v>
      </c>
      <c r="N159" s="15" t="s">
        <v>22</v>
      </c>
      <c r="O159" s="15" t="s">
        <v>892</v>
      </c>
      <c r="P159" s="15" t="s">
        <v>24</v>
      </c>
      <c r="Q159" s="16">
        <v>0.0</v>
      </c>
      <c r="R159" s="16">
        <v>0.2</v>
      </c>
      <c r="S159" s="16">
        <v>0.2</v>
      </c>
      <c r="T159" s="17">
        <v>45437.0</v>
      </c>
      <c r="U159" s="18">
        <v>2.42</v>
      </c>
      <c r="V159" s="15" t="s">
        <v>70</v>
      </c>
      <c r="W159" s="19">
        <f t="shared" si="1"/>
        <v>0</v>
      </c>
      <c r="X159" s="19">
        <f t="shared" si="4"/>
        <v>3.282671402</v>
      </c>
    </row>
    <row r="160">
      <c r="A160" s="8">
        <f t="shared" si="3"/>
        <v>159</v>
      </c>
      <c r="B160" s="8" t="s">
        <v>1915</v>
      </c>
      <c r="C160" s="8" t="s">
        <v>19</v>
      </c>
      <c r="D160" s="8">
        <v>0.0</v>
      </c>
      <c r="E160" s="8">
        <v>11.0</v>
      </c>
      <c r="F160" s="8" t="s">
        <v>5242</v>
      </c>
      <c r="G160" s="8">
        <v>2.0</v>
      </c>
      <c r="H160" s="8">
        <v>3.0</v>
      </c>
      <c r="I160" s="111">
        <f>4/(3*2)</f>
        <v>0.6666666667</v>
      </c>
      <c r="J160" s="8"/>
      <c r="K160" s="8"/>
      <c r="L160" s="8"/>
      <c r="M160" s="8" t="s">
        <v>66</v>
      </c>
      <c r="N160" s="8" t="s">
        <v>598</v>
      </c>
      <c r="O160" s="8" t="s">
        <v>29</v>
      </c>
      <c r="P160" s="8" t="s">
        <v>24</v>
      </c>
      <c r="Q160" s="9">
        <v>-2.25</v>
      </c>
      <c r="R160" s="9">
        <v>0.1</v>
      </c>
      <c r="S160" s="9">
        <v>0.1</v>
      </c>
      <c r="T160" s="10">
        <v>45437.0</v>
      </c>
      <c r="U160" s="11">
        <v>1.825</v>
      </c>
      <c r="V160" s="8" t="s">
        <v>30</v>
      </c>
      <c r="W160" s="12">
        <f t="shared" si="1"/>
        <v>0.04125</v>
      </c>
      <c r="X160" s="12">
        <f t="shared" si="4"/>
        <v>3.323921402</v>
      </c>
    </row>
    <row r="161">
      <c r="A161" s="15">
        <f t="shared" si="3"/>
        <v>160</v>
      </c>
      <c r="B161" s="15" t="s">
        <v>26</v>
      </c>
      <c r="C161" s="15" t="s">
        <v>19</v>
      </c>
      <c r="D161" s="15">
        <v>45.0</v>
      </c>
      <c r="E161" s="15">
        <v>5.0</v>
      </c>
      <c r="F161" s="15" t="s">
        <v>5243</v>
      </c>
      <c r="G161" s="15" t="s">
        <v>5553</v>
      </c>
      <c r="H161" s="15" t="s">
        <v>5553</v>
      </c>
      <c r="I161" s="15" t="s">
        <v>1479</v>
      </c>
      <c r="J161" s="15" t="s">
        <v>1479</v>
      </c>
      <c r="K161" s="15" t="s">
        <v>1477</v>
      </c>
      <c r="L161" s="15">
        <v>-2.0</v>
      </c>
      <c r="M161" s="15" t="s">
        <v>38</v>
      </c>
      <c r="N161" s="15" t="s">
        <v>22</v>
      </c>
      <c r="O161" s="15" t="s">
        <v>894</v>
      </c>
      <c r="P161" s="15" t="s">
        <v>39</v>
      </c>
      <c r="Q161" s="16">
        <v>-1.0</v>
      </c>
      <c r="R161" s="16">
        <v>0.1</v>
      </c>
      <c r="S161" s="16">
        <v>0.1</v>
      </c>
      <c r="T161" s="17">
        <v>45437.0</v>
      </c>
      <c r="U161" s="18">
        <v>1.7</v>
      </c>
      <c r="V161" s="15" t="s">
        <v>70</v>
      </c>
      <c r="W161" s="19">
        <f t="shared" si="1"/>
        <v>0</v>
      </c>
      <c r="X161" s="19">
        <f t="shared" si="4"/>
        <v>3.323921402</v>
      </c>
    </row>
    <row r="162">
      <c r="A162" s="8">
        <f t="shared" si="3"/>
        <v>161</v>
      </c>
      <c r="B162" s="8" t="s">
        <v>129</v>
      </c>
      <c r="C162" s="8" t="s">
        <v>40</v>
      </c>
      <c r="D162" s="8">
        <v>80.0</v>
      </c>
      <c r="E162" s="8">
        <v>3.0</v>
      </c>
      <c r="F162" s="8" t="s">
        <v>5244</v>
      </c>
      <c r="G162" s="8"/>
      <c r="H162" s="8"/>
      <c r="I162" s="111"/>
      <c r="J162" s="8" t="s">
        <v>1479</v>
      </c>
      <c r="K162" s="8" t="s">
        <v>1480</v>
      </c>
      <c r="L162" s="8">
        <v>0.0</v>
      </c>
      <c r="M162" s="8" t="s">
        <v>5245</v>
      </c>
      <c r="N162" s="8" t="s">
        <v>22</v>
      </c>
      <c r="O162" s="8" t="s">
        <v>2805</v>
      </c>
      <c r="P162" s="8" t="s">
        <v>24</v>
      </c>
      <c r="Q162" s="9">
        <v>0.0</v>
      </c>
      <c r="R162" s="9">
        <v>0.2</v>
      </c>
      <c r="S162" s="9">
        <v>0.2</v>
      </c>
      <c r="T162" s="10">
        <v>45437.0</v>
      </c>
      <c r="U162" s="11">
        <v>2.15</v>
      </c>
      <c r="V162" s="8" t="s">
        <v>70</v>
      </c>
      <c r="W162" s="12">
        <f t="shared" si="1"/>
        <v>0</v>
      </c>
      <c r="X162" s="12">
        <f t="shared" si="4"/>
        <v>3.323921402</v>
      </c>
    </row>
    <row r="163">
      <c r="A163" s="15">
        <f t="shared" si="3"/>
        <v>162</v>
      </c>
      <c r="B163" s="15" t="s">
        <v>129</v>
      </c>
      <c r="C163" s="15" t="s">
        <v>19</v>
      </c>
      <c r="D163" s="15">
        <v>25.0</v>
      </c>
      <c r="E163" s="15">
        <v>3.0</v>
      </c>
      <c r="F163" s="15" t="s">
        <v>5246</v>
      </c>
      <c r="G163" s="15">
        <v>13.0</v>
      </c>
      <c r="H163" s="15">
        <v>8.0</v>
      </c>
      <c r="I163" s="110">
        <f>26/(15*2)</f>
        <v>0.8666666667</v>
      </c>
      <c r="J163" s="15" t="s">
        <v>1473</v>
      </c>
      <c r="K163" s="15" t="s">
        <v>1480</v>
      </c>
      <c r="L163" s="15">
        <v>3.0</v>
      </c>
      <c r="M163" s="15" t="s">
        <v>432</v>
      </c>
      <c r="N163" s="15" t="s">
        <v>22</v>
      </c>
      <c r="O163" s="15" t="s">
        <v>1150</v>
      </c>
      <c r="P163" s="15" t="s">
        <v>24</v>
      </c>
      <c r="Q163" s="16">
        <v>0.0</v>
      </c>
      <c r="R163" s="16">
        <v>0.2</v>
      </c>
      <c r="S163" s="16">
        <v>0.2</v>
      </c>
      <c r="T163" s="17">
        <v>45437.0</v>
      </c>
      <c r="U163" s="18">
        <v>1.65</v>
      </c>
      <c r="V163" s="15" t="s">
        <v>70</v>
      </c>
      <c r="W163" s="19">
        <f t="shared" si="1"/>
        <v>0</v>
      </c>
      <c r="X163" s="19">
        <f t="shared" si="4"/>
        <v>3.323921402</v>
      </c>
    </row>
    <row r="164">
      <c r="A164" s="8">
        <f t="shared" si="3"/>
        <v>163</v>
      </c>
      <c r="B164" s="8" t="s">
        <v>4225</v>
      </c>
      <c r="C164" s="8" t="s">
        <v>19</v>
      </c>
      <c r="D164" s="8">
        <v>80.0</v>
      </c>
      <c r="E164" s="8">
        <v>3.0</v>
      </c>
      <c r="F164" s="8" t="s">
        <v>5247</v>
      </c>
      <c r="G164" s="8">
        <v>8.0</v>
      </c>
      <c r="H164" s="8">
        <v>4.0</v>
      </c>
      <c r="I164" s="111">
        <v>1.0</v>
      </c>
      <c r="J164" s="8" t="s">
        <v>1473</v>
      </c>
      <c r="K164" s="8" t="s">
        <v>1480</v>
      </c>
      <c r="L164" s="8">
        <v>0.0</v>
      </c>
      <c r="M164" s="8" t="s">
        <v>66</v>
      </c>
      <c r="N164" s="8" t="s">
        <v>22</v>
      </c>
      <c r="O164" s="8" t="s">
        <v>892</v>
      </c>
      <c r="P164" s="8" t="s">
        <v>24</v>
      </c>
      <c r="Q164" s="9">
        <v>0.0</v>
      </c>
      <c r="R164" s="9">
        <v>0.1</v>
      </c>
      <c r="S164" s="9">
        <v>0.1</v>
      </c>
      <c r="T164" s="10">
        <v>45437.0</v>
      </c>
      <c r="U164" s="11">
        <v>1.625</v>
      </c>
      <c r="V164" s="8" t="s">
        <v>33</v>
      </c>
      <c r="W164" s="12">
        <f t="shared" si="1"/>
        <v>0.0625</v>
      </c>
      <c r="X164" s="12">
        <f t="shared" si="4"/>
        <v>3.386421402</v>
      </c>
    </row>
    <row r="165">
      <c r="A165" s="15">
        <f t="shared" si="3"/>
        <v>164</v>
      </c>
      <c r="B165" s="15" t="s">
        <v>137</v>
      </c>
      <c r="C165" s="15" t="s">
        <v>19</v>
      </c>
      <c r="D165" s="15">
        <v>25.0</v>
      </c>
      <c r="E165" s="15">
        <v>3.0</v>
      </c>
      <c r="F165" s="15" t="s">
        <v>5248</v>
      </c>
      <c r="G165" s="15">
        <v>7.0</v>
      </c>
      <c r="H165" s="15">
        <v>5.0</v>
      </c>
      <c r="I165" s="110">
        <f>7/(15*2)</f>
        <v>0.2333333333</v>
      </c>
      <c r="J165" s="15" t="s">
        <v>1479</v>
      </c>
      <c r="K165" s="15" t="s">
        <v>1480</v>
      </c>
      <c r="L165" s="15">
        <v>-1.0</v>
      </c>
      <c r="M165" s="15" t="s">
        <v>1470</v>
      </c>
      <c r="N165" s="15" t="s">
        <v>22</v>
      </c>
      <c r="O165" s="15" t="s">
        <v>1150</v>
      </c>
      <c r="P165" s="15" t="s">
        <v>24</v>
      </c>
      <c r="Q165" s="16">
        <v>0.0</v>
      </c>
      <c r="R165" s="16">
        <v>0.4</v>
      </c>
      <c r="S165" s="16">
        <v>0.4</v>
      </c>
      <c r="T165" s="17">
        <v>45438.0</v>
      </c>
      <c r="U165" s="18">
        <v>1.8</v>
      </c>
      <c r="V165" s="15" t="s">
        <v>25</v>
      </c>
      <c r="W165" s="19">
        <f t="shared" si="1"/>
        <v>-0.4</v>
      </c>
      <c r="X165" s="19">
        <f t="shared" si="4"/>
        <v>2.986421402</v>
      </c>
    </row>
    <row r="166">
      <c r="A166" s="8">
        <f t="shared" si="3"/>
        <v>165</v>
      </c>
      <c r="B166" s="8" t="s">
        <v>137</v>
      </c>
      <c r="C166" s="8" t="s">
        <v>19</v>
      </c>
      <c r="D166" s="8">
        <v>39.0</v>
      </c>
      <c r="E166" s="8">
        <v>2.0</v>
      </c>
      <c r="F166" s="8" t="s">
        <v>5249</v>
      </c>
      <c r="G166" s="8">
        <v>2.0</v>
      </c>
      <c r="H166" s="8">
        <v>12.0</v>
      </c>
      <c r="I166" s="111">
        <f>12/(17*2)</f>
        <v>0.3529411765</v>
      </c>
      <c r="J166" s="8" t="s">
        <v>1473</v>
      </c>
      <c r="K166" s="8" t="s">
        <v>1474</v>
      </c>
      <c r="L166" s="8">
        <v>0.0</v>
      </c>
      <c r="M166" s="8" t="s">
        <v>3476</v>
      </c>
      <c r="N166" s="8" t="s">
        <v>22</v>
      </c>
      <c r="O166" s="8" t="s">
        <v>225</v>
      </c>
      <c r="P166" s="8" t="s">
        <v>24</v>
      </c>
      <c r="Q166" s="9">
        <v>0.5</v>
      </c>
      <c r="R166" s="9">
        <v>0.2</v>
      </c>
      <c r="S166" s="9">
        <v>0.2</v>
      </c>
      <c r="T166" s="10">
        <v>45438.0</v>
      </c>
      <c r="U166" s="11">
        <v>1.75</v>
      </c>
      <c r="V166" s="8" t="s">
        <v>25</v>
      </c>
      <c r="W166" s="12">
        <f t="shared" si="1"/>
        <v>-0.2</v>
      </c>
      <c r="X166" s="12">
        <f t="shared" si="4"/>
        <v>2.786421402</v>
      </c>
    </row>
    <row r="167">
      <c r="A167" s="15">
        <f t="shared" si="3"/>
        <v>166</v>
      </c>
      <c r="B167" s="15" t="s">
        <v>129</v>
      </c>
      <c r="C167" s="15" t="s">
        <v>19</v>
      </c>
      <c r="D167" s="15">
        <v>28.0</v>
      </c>
      <c r="E167" s="15">
        <v>3.0</v>
      </c>
      <c r="F167" s="15" t="s">
        <v>5250</v>
      </c>
      <c r="G167" s="15">
        <v>4.0</v>
      </c>
      <c r="H167" s="15">
        <v>7.0</v>
      </c>
      <c r="I167" s="110">
        <f>15/(9*2)</f>
        <v>0.8333333333</v>
      </c>
      <c r="J167" s="15" t="s">
        <v>1473</v>
      </c>
      <c r="K167" s="15" t="s">
        <v>1480</v>
      </c>
      <c r="L167" s="15">
        <v>0.0</v>
      </c>
      <c r="M167" s="15" t="s">
        <v>1501</v>
      </c>
      <c r="N167" s="15" t="s">
        <v>22</v>
      </c>
      <c r="O167" s="15" t="s">
        <v>1150</v>
      </c>
      <c r="P167" s="15" t="s">
        <v>24</v>
      </c>
      <c r="Q167" s="16">
        <v>0.0</v>
      </c>
      <c r="R167" s="16">
        <v>0.6</v>
      </c>
      <c r="S167" s="16">
        <v>0.6</v>
      </c>
      <c r="T167" s="17">
        <v>45438.0</v>
      </c>
      <c r="U167" s="18">
        <v>1.8</v>
      </c>
      <c r="V167" s="15" t="s">
        <v>70</v>
      </c>
      <c r="W167" s="19">
        <f t="shared" si="1"/>
        <v>0</v>
      </c>
      <c r="X167" s="19">
        <f t="shared" si="4"/>
        <v>2.786421402</v>
      </c>
    </row>
    <row r="168">
      <c r="A168" s="8">
        <f t="shared" si="3"/>
        <v>167</v>
      </c>
      <c r="B168" s="8" t="s">
        <v>1915</v>
      </c>
      <c r="C168" s="8" t="s">
        <v>19</v>
      </c>
      <c r="D168" s="8">
        <v>0.0</v>
      </c>
      <c r="E168" s="8">
        <v>11.0</v>
      </c>
      <c r="F168" s="8" t="s">
        <v>5251</v>
      </c>
      <c r="G168" s="8"/>
      <c r="H168" s="8"/>
      <c r="I168" s="111"/>
      <c r="J168" s="8"/>
      <c r="K168" s="8"/>
      <c r="L168" s="8"/>
      <c r="M168" s="8" t="s">
        <v>93</v>
      </c>
      <c r="N168" s="8" t="s">
        <v>22</v>
      </c>
      <c r="O168" s="8" t="s">
        <v>29</v>
      </c>
      <c r="P168" s="8" t="s">
        <v>24</v>
      </c>
      <c r="Q168" s="9">
        <v>-2.25</v>
      </c>
      <c r="R168" s="9">
        <v>0.25</v>
      </c>
      <c r="S168" s="9">
        <v>0.25</v>
      </c>
      <c r="T168" s="10">
        <v>45438.0</v>
      </c>
      <c r="U168" s="11">
        <v>1.8</v>
      </c>
      <c r="V168" s="8" t="s">
        <v>25</v>
      </c>
      <c r="W168" s="12">
        <f t="shared" si="1"/>
        <v>-0.25</v>
      </c>
      <c r="X168" s="12">
        <f t="shared" si="4"/>
        <v>2.536421402</v>
      </c>
    </row>
    <row r="169">
      <c r="A169" s="15">
        <f t="shared" si="3"/>
        <v>168</v>
      </c>
      <c r="B169" s="15" t="s">
        <v>26</v>
      </c>
      <c r="C169" s="15" t="s">
        <v>19</v>
      </c>
      <c r="D169" s="15">
        <v>81.0</v>
      </c>
      <c r="E169" s="15">
        <v>3.0</v>
      </c>
      <c r="F169" s="15" t="s">
        <v>5252</v>
      </c>
      <c r="G169" s="15">
        <v>7.0</v>
      </c>
      <c r="H169" s="15">
        <v>9.0</v>
      </c>
      <c r="I169" s="110">
        <f>3/(9*2)</f>
        <v>0.1666666667</v>
      </c>
      <c r="J169" s="15" t="s">
        <v>1473</v>
      </c>
      <c r="K169" s="15" t="s">
        <v>1480</v>
      </c>
      <c r="L169" s="15">
        <v>-1.0</v>
      </c>
      <c r="M169" s="15" t="s">
        <v>319</v>
      </c>
      <c r="N169" s="15" t="s">
        <v>22</v>
      </c>
      <c r="O169" s="15" t="s">
        <v>892</v>
      </c>
      <c r="P169" s="15" t="s">
        <v>24</v>
      </c>
      <c r="Q169" s="16">
        <v>0.0</v>
      </c>
      <c r="R169" s="16">
        <v>0.4</v>
      </c>
      <c r="S169" s="16">
        <v>0.4</v>
      </c>
      <c r="T169" s="17">
        <v>45438.0</v>
      </c>
      <c r="U169" s="18">
        <v>1.825</v>
      </c>
      <c r="V169" s="15" t="s">
        <v>25</v>
      </c>
      <c r="W169" s="19">
        <f t="shared" si="1"/>
        <v>-0.4</v>
      </c>
      <c r="X169" s="19">
        <f t="shared" si="4"/>
        <v>2.136421402</v>
      </c>
    </row>
    <row r="170">
      <c r="A170" s="8">
        <f t="shared" si="3"/>
        <v>169</v>
      </c>
      <c r="B170" s="8" t="s">
        <v>129</v>
      </c>
      <c r="C170" s="8" t="s">
        <v>40</v>
      </c>
      <c r="D170" s="8">
        <v>13.0</v>
      </c>
      <c r="E170" s="8">
        <v>3.0</v>
      </c>
      <c r="F170" s="8" t="s">
        <v>5253</v>
      </c>
      <c r="G170" s="8"/>
      <c r="H170" s="8"/>
      <c r="I170" s="111"/>
      <c r="J170" s="8" t="s">
        <v>1479</v>
      </c>
      <c r="K170" s="8" t="s">
        <v>1480</v>
      </c>
      <c r="L170" s="8">
        <v>0.0</v>
      </c>
      <c r="M170" s="8" t="s">
        <v>245</v>
      </c>
      <c r="N170" s="8" t="s">
        <v>22</v>
      </c>
      <c r="O170" s="8" t="s">
        <v>1150</v>
      </c>
      <c r="P170" s="8" t="s">
        <v>24</v>
      </c>
      <c r="Q170" s="9">
        <v>0.0</v>
      </c>
      <c r="R170" s="9">
        <v>0.8</v>
      </c>
      <c r="S170" s="9">
        <v>0.77</v>
      </c>
      <c r="T170" s="10">
        <v>45438.0</v>
      </c>
      <c r="U170" s="11">
        <v>1.75</v>
      </c>
      <c r="V170" s="8" t="s">
        <v>70</v>
      </c>
      <c r="W170" s="12">
        <f t="shared" si="1"/>
        <v>0</v>
      </c>
      <c r="X170" s="12">
        <f t="shared" si="4"/>
        <v>2.136421402</v>
      </c>
    </row>
    <row r="171">
      <c r="A171" s="15">
        <f t="shared" si="3"/>
        <v>170</v>
      </c>
      <c r="B171" s="15" t="s">
        <v>26</v>
      </c>
      <c r="C171" s="15" t="s">
        <v>19</v>
      </c>
      <c r="D171" s="15">
        <v>56.0</v>
      </c>
      <c r="E171" s="15">
        <v>3.0</v>
      </c>
      <c r="F171" s="15" t="s">
        <v>5254</v>
      </c>
      <c r="G171" s="15">
        <v>4.0</v>
      </c>
      <c r="H171" s="15">
        <v>11.0</v>
      </c>
      <c r="I171" s="110">
        <f t="shared" ref="I171:I172" si="12">29/(15*2)</f>
        <v>0.9666666667</v>
      </c>
      <c r="J171" s="15" t="s">
        <v>1479</v>
      </c>
      <c r="K171" s="15" t="s">
        <v>1480</v>
      </c>
      <c r="L171" s="15">
        <v>0.0</v>
      </c>
      <c r="M171" s="15" t="s">
        <v>99</v>
      </c>
      <c r="N171" s="15" t="s">
        <v>22</v>
      </c>
      <c r="O171" s="15" t="s">
        <v>892</v>
      </c>
      <c r="P171" s="15" t="s">
        <v>24</v>
      </c>
      <c r="Q171" s="16">
        <v>0.0</v>
      </c>
      <c r="R171" s="16">
        <v>0.6</v>
      </c>
      <c r="S171" s="16">
        <v>0.6</v>
      </c>
      <c r="T171" s="17">
        <v>45438.0</v>
      </c>
      <c r="U171" s="18">
        <v>1.825</v>
      </c>
      <c r="V171" s="15" t="s">
        <v>25</v>
      </c>
      <c r="W171" s="19">
        <f t="shared" si="1"/>
        <v>-0.6</v>
      </c>
      <c r="X171" s="19">
        <f t="shared" si="4"/>
        <v>1.536421402</v>
      </c>
    </row>
    <row r="172">
      <c r="A172" s="8">
        <f t="shared" si="3"/>
        <v>171</v>
      </c>
      <c r="B172" s="8" t="s">
        <v>26</v>
      </c>
      <c r="C172" s="8" t="s">
        <v>19</v>
      </c>
      <c r="D172" s="8">
        <v>32.0</v>
      </c>
      <c r="E172" s="8">
        <v>5.0</v>
      </c>
      <c r="F172" s="8" t="s">
        <v>5255</v>
      </c>
      <c r="G172" s="8">
        <v>2.0</v>
      </c>
      <c r="H172" s="8">
        <v>8.0</v>
      </c>
      <c r="I172" s="111">
        <f t="shared" si="12"/>
        <v>0.9666666667</v>
      </c>
      <c r="J172" s="8" t="s">
        <v>1479</v>
      </c>
      <c r="K172" s="8" t="s">
        <v>1477</v>
      </c>
      <c r="L172" s="8">
        <v>0.0</v>
      </c>
      <c r="M172" s="8" t="s">
        <v>231</v>
      </c>
      <c r="N172" s="8" t="s">
        <v>22</v>
      </c>
      <c r="O172" s="8" t="s">
        <v>894</v>
      </c>
      <c r="P172" s="8" t="s">
        <v>24</v>
      </c>
      <c r="Q172" s="9">
        <v>-0.5</v>
      </c>
      <c r="R172" s="9">
        <v>0.5</v>
      </c>
      <c r="S172" s="9">
        <v>0.5</v>
      </c>
      <c r="T172" s="10">
        <v>45440.0</v>
      </c>
      <c r="U172" s="11">
        <v>1.583</v>
      </c>
      <c r="V172" s="8" t="s">
        <v>33</v>
      </c>
      <c r="W172" s="12">
        <f t="shared" si="1"/>
        <v>0.2915</v>
      </c>
      <c r="X172" s="12">
        <f t="shared" si="4"/>
        <v>1.827921402</v>
      </c>
    </row>
    <row r="173">
      <c r="A173" s="15">
        <f t="shared" si="3"/>
        <v>172</v>
      </c>
      <c r="B173" s="15" t="s">
        <v>26</v>
      </c>
      <c r="C173" s="15" t="s">
        <v>40</v>
      </c>
      <c r="D173" s="15">
        <v>8.0</v>
      </c>
      <c r="E173" s="15">
        <v>3.0</v>
      </c>
      <c r="F173" s="15" t="s">
        <v>5256</v>
      </c>
      <c r="G173" s="15">
        <v>7.0</v>
      </c>
      <c r="H173" s="15">
        <v>3.0</v>
      </c>
      <c r="I173" s="110">
        <f t="shared" ref="I173:I174" si="13">15/26</f>
        <v>0.5769230769</v>
      </c>
      <c r="J173" s="15" t="s">
        <v>1473</v>
      </c>
      <c r="K173" s="15" t="s">
        <v>1480</v>
      </c>
      <c r="L173" s="15">
        <v>0.0</v>
      </c>
      <c r="M173" s="15" t="s">
        <v>5245</v>
      </c>
      <c r="N173" s="15" t="s">
        <v>22</v>
      </c>
      <c r="O173" s="15" t="s">
        <v>892</v>
      </c>
      <c r="P173" s="15" t="s">
        <v>24</v>
      </c>
      <c r="Q173" s="16">
        <v>0.0</v>
      </c>
      <c r="R173" s="16">
        <v>0.6</v>
      </c>
      <c r="S173" s="16">
        <v>0.51</v>
      </c>
      <c r="T173" s="17">
        <v>45441.0</v>
      </c>
      <c r="U173" s="18">
        <v>2.0</v>
      </c>
      <c r="V173" s="15" t="s">
        <v>33</v>
      </c>
      <c r="W173" s="19">
        <f t="shared" si="1"/>
        <v>0.51</v>
      </c>
      <c r="X173" s="19">
        <f t="shared" si="4"/>
        <v>2.337921402</v>
      </c>
    </row>
    <row r="174">
      <c r="A174" s="8">
        <f t="shared" si="3"/>
        <v>173</v>
      </c>
      <c r="B174" s="8" t="s">
        <v>26</v>
      </c>
      <c r="C174" s="8" t="s">
        <v>40</v>
      </c>
      <c r="D174" s="8">
        <v>13.0</v>
      </c>
      <c r="E174" s="8">
        <v>3.0</v>
      </c>
      <c r="F174" s="8" t="s">
        <v>5257</v>
      </c>
      <c r="G174" s="8">
        <v>7.0</v>
      </c>
      <c r="H174" s="8">
        <v>3.0</v>
      </c>
      <c r="I174" s="111">
        <f t="shared" si="13"/>
        <v>0.5769230769</v>
      </c>
      <c r="J174" s="8" t="s">
        <v>1473</v>
      </c>
      <c r="K174" s="8" t="s">
        <v>1480</v>
      </c>
      <c r="L174" s="8">
        <v>0.0</v>
      </c>
      <c r="M174" s="8" t="s">
        <v>5245</v>
      </c>
      <c r="N174" s="8" t="s">
        <v>22</v>
      </c>
      <c r="O174" s="8" t="s">
        <v>1150</v>
      </c>
      <c r="P174" s="8" t="s">
        <v>24</v>
      </c>
      <c r="Q174" s="9">
        <v>0.0</v>
      </c>
      <c r="R174" s="9">
        <v>0.2</v>
      </c>
      <c r="S174" s="9">
        <v>0.2</v>
      </c>
      <c r="T174" s="10">
        <v>45441.0</v>
      </c>
      <c r="U174" s="11">
        <v>1.7</v>
      </c>
      <c r="V174" s="8" t="s">
        <v>70</v>
      </c>
      <c r="W174" s="12">
        <f t="shared" si="1"/>
        <v>0</v>
      </c>
      <c r="X174" s="12">
        <f t="shared" si="4"/>
        <v>2.337921402</v>
      </c>
    </row>
    <row r="175">
      <c r="A175" s="15">
        <f t="shared" si="3"/>
        <v>174</v>
      </c>
      <c r="B175" s="15" t="s">
        <v>26</v>
      </c>
      <c r="C175" s="15" t="s">
        <v>19</v>
      </c>
      <c r="D175" s="15">
        <v>72.0</v>
      </c>
      <c r="E175" s="15">
        <v>3.0</v>
      </c>
      <c r="F175" s="15" t="s">
        <v>5258</v>
      </c>
      <c r="G175" s="15"/>
      <c r="H175" s="15"/>
      <c r="I175" s="15" t="s">
        <v>1479</v>
      </c>
      <c r="J175" s="15" t="s">
        <v>1473</v>
      </c>
      <c r="K175" s="15" t="s">
        <v>1480</v>
      </c>
      <c r="L175" s="15">
        <v>0.0</v>
      </c>
      <c r="M175" s="15" t="s">
        <v>191</v>
      </c>
      <c r="N175" s="15" t="s">
        <v>22</v>
      </c>
      <c r="O175" s="15" t="s">
        <v>892</v>
      </c>
      <c r="P175" s="15" t="s">
        <v>24</v>
      </c>
      <c r="Q175" s="16">
        <v>0.0</v>
      </c>
      <c r="R175" s="16">
        <v>0.5</v>
      </c>
      <c r="S175" s="16">
        <v>0.5</v>
      </c>
      <c r="T175" s="17">
        <v>45441.0</v>
      </c>
      <c r="U175" s="18">
        <v>1.6</v>
      </c>
      <c r="V175" s="15" t="s">
        <v>25</v>
      </c>
      <c r="W175" s="19">
        <f t="shared" si="1"/>
        <v>-0.5</v>
      </c>
      <c r="X175" s="19">
        <f t="shared" si="4"/>
        <v>1.837921402</v>
      </c>
    </row>
    <row r="176">
      <c r="A176" s="8">
        <f t="shared" si="3"/>
        <v>175</v>
      </c>
      <c r="B176" s="8" t="s">
        <v>4225</v>
      </c>
      <c r="C176" s="8" t="s">
        <v>19</v>
      </c>
      <c r="D176" s="8">
        <v>65.0</v>
      </c>
      <c r="E176" s="8">
        <v>3.0</v>
      </c>
      <c r="F176" s="8" t="s">
        <v>5259</v>
      </c>
      <c r="G176" s="8">
        <v>1.0</v>
      </c>
      <c r="H176" s="8">
        <v>4.0</v>
      </c>
      <c r="I176" s="111">
        <f>29/(15*2)</f>
        <v>0.9666666667</v>
      </c>
      <c r="J176" s="8" t="s">
        <v>1479</v>
      </c>
      <c r="K176" s="8" t="s">
        <v>1480</v>
      </c>
      <c r="L176" s="8">
        <v>0.0</v>
      </c>
      <c r="M176" s="8" t="s">
        <v>96</v>
      </c>
      <c r="N176" s="8" t="s">
        <v>22</v>
      </c>
      <c r="O176" s="8" t="s">
        <v>892</v>
      </c>
      <c r="P176" s="8" t="s">
        <v>24</v>
      </c>
      <c r="Q176" s="9">
        <v>0.0</v>
      </c>
      <c r="R176" s="9">
        <v>0.4</v>
      </c>
      <c r="S176" s="9">
        <v>0.4</v>
      </c>
      <c r="T176" s="54">
        <v>45441.0</v>
      </c>
      <c r="U176" s="11">
        <v>1.825</v>
      </c>
      <c r="V176" s="8" t="s">
        <v>70</v>
      </c>
      <c r="W176" s="12">
        <f t="shared" si="1"/>
        <v>0</v>
      </c>
      <c r="X176" s="12">
        <f t="shared" si="4"/>
        <v>1.837921402</v>
      </c>
    </row>
    <row r="177">
      <c r="A177" s="15">
        <f t="shared" si="3"/>
        <v>176</v>
      </c>
      <c r="B177" s="15" t="s">
        <v>137</v>
      </c>
      <c r="C177" s="15" t="s">
        <v>40</v>
      </c>
      <c r="D177" s="15">
        <v>25.0</v>
      </c>
      <c r="E177" s="15">
        <v>3.0</v>
      </c>
      <c r="F177" s="15" t="s">
        <v>5260</v>
      </c>
      <c r="G177" s="15"/>
      <c r="H177" s="15"/>
      <c r="I177" s="15" t="s">
        <v>1</v>
      </c>
      <c r="J177" s="15" t="s">
        <v>1479</v>
      </c>
      <c r="K177" s="15" t="s">
        <v>1480</v>
      </c>
      <c r="L177" s="15">
        <v>0.0</v>
      </c>
      <c r="M177" s="15" t="s">
        <v>794</v>
      </c>
      <c r="N177" s="15" t="s">
        <v>22</v>
      </c>
      <c r="O177" s="15" t="s">
        <v>1150</v>
      </c>
      <c r="P177" s="15" t="s">
        <v>24</v>
      </c>
      <c r="Q177" s="16">
        <v>0.0</v>
      </c>
      <c r="R177" s="16">
        <v>0.5</v>
      </c>
      <c r="S177" s="16">
        <v>0.49</v>
      </c>
      <c r="T177" s="17">
        <v>45441.0</v>
      </c>
      <c r="U177" s="18">
        <v>1.825</v>
      </c>
      <c r="V177" s="15" t="s">
        <v>70</v>
      </c>
      <c r="W177" s="19">
        <f t="shared" si="1"/>
        <v>0</v>
      </c>
      <c r="X177" s="19">
        <f t="shared" si="4"/>
        <v>1.837921402</v>
      </c>
    </row>
    <row r="178">
      <c r="A178" s="8">
        <f t="shared" si="3"/>
        <v>177</v>
      </c>
      <c r="B178" s="8" t="s">
        <v>1915</v>
      </c>
      <c r="C178" s="8" t="s">
        <v>19</v>
      </c>
      <c r="D178" s="8">
        <v>7.0</v>
      </c>
      <c r="E178" s="8">
        <v>11.0</v>
      </c>
      <c r="F178" s="8" t="s">
        <v>5261</v>
      </c>
      <c r="G178" s="8"/>
      <c r="H178" s="8"/>
      <c r="I178" s="111"/>
      <c r="J178" s="8"/>
      <c r="K178" s="8"/>
      <c r="L178" s="8"/>
      <c r="M178" s="8" t="s">
        <v>44</v>
      </c>
      <c r="N178" s="8" t="s">
        <v>22</v>
      </c>
      <c r="O178" s="8" t="s">
        <v>29</v>
      </c>
      <c r="P178" s="8" t="s">
        <v>24</v>
      </c>
      <c r="Q178" s="9">
        <v>-2.5</v>
      </c>
      <c r="R178" s="9">
        <v>0.5</v>
      </c>
      <c r="S178" s="9">
        <v>0.49</v>
      </c>
      <c r="T178" s="10">
        <v>45441.0</v>
      </c>
      <c r="U178" s="11">
        <f>1.863</f>
        <v>1.863</v>
      </c>
      <c r="V178" s="8" t="s">
        <v>33</v>
      </c>
      <c r="W178" s="12">
        <f t="shared" si="1"/>
        <v>0.42287</v>
      </c>
      <c r="X178" s="12">
        <f t="shared" si="4"/>
        <v>2.260791402</v>
      </c>
    </row>
    <row r="179">
      <c r="A179" s="15">
        <f t="shared" si="3"/>
        <v>178</v>
      </c>
      <c r="B179" s="15" t="s">
        <v>26</v>
      </c>
      <c r="C179" s="15" t="s">
        <v>19</v>
      </c>
      <c r="D179" s="15">
        <v>37.0</v>
      </c>
      <c r="E179" s="15">
        <v>3.0</v>
      </c>
      <c r="F179" s="15" t="s">
        <v>5262</v>
      </c>
      <c r="G179" s="15">
        <v>16.0</v>
      </c>
      <c r="H179" s="15">
        <v>15.0</v>
      </c>
      <c r="I179" s="110">
        <f>27/(15*2)</f>
        <v>0.9</v>
      </c>
      <c r="J179" s="15" t="s">
        <v>1479</v>
      </c>
      <c r="K179" s="15" t="s">
        <v>1480</v>
      </c>
      <c r="L179" s="15">
        <v>0.0</v>
      </c>
      <c r="M179" s="15" t="s">
        <v>316</v>
      </c>
      <c r="N179" s="15" t="s">
        <v>22</v>
      </c>
      <c r="O179" s="15" t="s">
        <v>1150</v>
      </c>
      <c r="P179" s="15" t="s">
        <v>24</v>
      </c>
      <c r="Q179" s="16">
        <v>0.0</v>
      </c>
      <c r="R179" s="16">
        <v>0.2</v>
      </c>
      <c r="S179" s="16">
        <v>0.2</v>
      </c>
      <c r="T179" s="17">
        <v>45441.0</v>
      </c>
      <c r="U179" s="18">
        <v>1.825</v>
      </c>
      <c r="V179" s="15" t="s">
        <v>70</v>
      </c>
      <c r="W179" s="19">
        <f t="shared" si="1"/>
        <v>0</v>
      </c>
      <c r="X179" s="19">
        <f t="shared" si="4"/>
        <v>2.260791402</v>
      </c>
    </row>
    <row r="180">
      <c r="A180" s="8">
        <f t="shared" si="3"/>
        <v>179</v>
      </c>
      <c r="B180" s="8" t="s">
        <v>26</v>
      </c>
      <c r="C180" s="8" t="s">
        <v>19</v>
      </c>
      <c r="D180" s="8">
        <v>63.0</v>
      </c>
      <c r="E180" s="8">
        <v>2.0</v>
      </c>
      <c r="F180" s="8" t="s">
        <v>5263</v>
      </c>
      <c r="G180" s="8">
        <v>2.0</v>
      </c>
      <c r="H180" s="8">
        <v>5.0</v>
      </c>
      <c r="I180" s="111">
        <f>27/(17*2)</f>
        <v>0.7941176471</v>
      </c>
      <c r="J180" s="8" t="s">
        <v>1473</v>
      </c>
      <c r="K180" s="8" t="s">
        <v>1474</v>
      </c>
      <c r="L180" s="8">
        <v>-1.0</v>
      </c>
      <c r="M180" s="8" t="s">
        <v>4293</v>
      </c>
      <c r="N180" s="8" t="s">
        <v>22</v>
      </c>
      <c r="O180" s="8" t="s">
        <v>225</v>
      </c>
      <c r="P180" s="8" t="s">
        <v>24</v>
      </c>
      <c r="Q180" s="9">
        <v>0.25</v>
      </c>
      <c r="R180" s="9">
        <v>0.4</v>
      </c>
      <c r="S180" s="9">
        <v>0.3</v>
      </c>
      <c r="T180" s="10">
        <v>45441.0</v>
      </c>
      <c r="U180" s="11">
        <v>1.725</v>
      </c>
      <c r="V180" s="8" t="s">
        <v>33</v>
      </c>
      <c r="W180" s="12">
        <f t="shared" si="1"/>
        <v>0.2175</v>
      </c>
      <c r="X180" s="12">
        <f t="shared" si="4"/>
        <v>2.478291402</v>
      </c>
    </row>
    <row r="181">
      <c r="A181" s="15">
        <f t="shared" si="3"/>
        <v>180</v>
      </c>
      <c r="B181" s="15" t="s">
        <v>26</v>
      </c>
      <c r="C181" s="15" t="s">
        <v>19</v>
      </c>
      <c r="D181" s="15">
        <v>70.0</v>
      </c>
      <c r="E181" s="15"/>
      <c r="F181" s="15" t="s">
        <v>5264</v>
      </c>
      <c r="G181" s="15" t="s">
        <v>5553</v>
      </c>
      <c r="H181" s="15" t="s">
        <v>5553</v>
      </c>
      <c r="I181" s="15" t="s">
        <v>5553</v>
      </c>
      <c r="J181" s="15" t="s">
        <v>1473</v>
      </c>
      <c r="K181" s="15"/>
      <c r="L181" s="15"/>
      <c r="M181" s="15" t="s">
        <v>463</v>
      </c>
      <c r="N181" s="15" t="s">
        <v>22</v>
      </c>
      <c r="O181" s="15" t="s">
        <v>1165</v>
      </c>
      <c r="P181" s="15"/>
      <c r="Q181" s="16"/>
      <c r="R181" s="16">
        <v>0.1</v>
      </c>
      <c r="S181" s="16">
        <v>0.1</v>
      </c>
      <c r="T181" s="17">
        <v>45441.0</v>
      </c>
      <c r="U181" s="18">
        <v>5.0</v>
      </c>
      <c r="V181" s="15" t="s">
        <v>25</v>
      </c>
      <c r="W181" s="19">
        <f t="shared" si="1"/>
        <v>-0.1</v>
      </c>
      <c r="X181" s="19">
        <f t="shared" si="4"/>
        <v>2.378291402</v>
      </c>
    </row>
    <row r="182">
      <c r="A182" s="8">
        <f t="shared" si="3"/>
        <v>181</v>
      </c>
      <c r="B182" s="8" t="s">
        <v>4225</v>
      </c>
      <c r="C182" s="8" t="s">
        <v>19</v>
      </c>
      <c r="D182" s="8">
        <v>70.0</v>
      </c>
      <c r="E182" s="8"/>
      <c r="F182" s="8" t="s">
        <v>5265</v>
      </c>
      <c r="G182" s="8"/>
      <c r="H182" s="8"/>
      <c r="I182" s="8" t="s">
        <v>1479</v>
      </c>
      <c r="J182" s="8" t="s">
        <v>1473</v>
      </c>
      <c r="K182" s="8" t="s">
        <v>1480</v>
      </c>
      <c r="L182" s="8">
        <v>0.0</v>
      </c>
      <c r="M182" s="8" t="s">
        <v>227</v>
      </c>
      <c r="N182" s="8" t="s">
        <v>22</v>
      </c>
      <c r="O182" s="8" t="s">
        <v>892</v>
      </c>
      <c r="P182" s="8"/>
      <c r="Q182" s="9">
        <v>0.0</v>
      </c>
      <c r="R182" s="9">
        <v>0.4</v>
      </c>
      <c r="S182" s="9">
        <v>0.4</v>
      </c>
      <c r="T182" s="10">
        <v>45441.0</v>
      </c>
      <c r="U182" s="11">
        <v>1.9</v>
      </c>
      <c r="V182" s="8" t="s">
        <v>70</v>
      </c>
      <c r="W182" s="12">
        <f t="shared" si="1"/>
        <v>0</v>
      </c>
      <c r="X182" s="12">
        <f t="shared" si="4"/>
        <v>2.378291402</v>
      </c>
    </row>
    <row r="183">
      <c r="A183" s="15">
        <f t="shared" si="3"/>
        <v>182</v>
      </c>
      <c r="B183" s="15" t="s">
        <v>26</v>
      </c>
      <c r="C183" s="15" t="s">
        <v>19</v>
      </c>
      <c r="D183" s="15">
        <v>34.0</v>
      </c>
      <c r="E183" s="15"/>
      <c r="F183" s="15" t="s">
        <v>5266</v>
      </c>
      <c r="G183" s="15">
        <v>8.0</v>
      </c>
      <c r="H183" s="15">
        <v>11.0</v>
      </c>
      <c r="I183" s="110">
        <f>28/(15*2)</f>
        <v>0.9333333333</v>
      </c>
      <c r="J183" s="15" t="s">
        <v>1473</v>
      </c>
      <c r="K183" s="15" t="s">
        <v>1474</v>
      </c>
      <c r="L183" s="15">
        <v>-1.0</v>
      </c>
      <c r="M183" s="15" t="s">
        <v>316</v>
      </c>
      <c r="N183" s="15" t="s">
        <v>22</v>
      </c>
      <c r="O183" s="15" t="s">
        <v>225</v>
      </c>
      <c r="P183" s="15" t="s">
        <v>24</v>
      </c>
      <c r="Q183" s="16">
        <v>0.5</v>
      </c>
      <c r="R183" s="16">
        <v>0.5</v>
      </c>
      <c r="S183" s="16">
        <v>0.5</v>
      </c>
      <c r="T183" s="17">
        <v>45443.0</v>
      </c>
      <c r="U183" s="18">
        <v>1.75</v>
      </c>
      <c r="V183" s="15" t="s">
        <v>25</v>
      </c>
      <c r="W183" s="19">
        <f t="shared" si="1"/>
        <v>-0.5</v>
      </c>
      <c r="X183" s="19">
        <f t="shared" si="4"/>
        <v>1.878291402</v>
      </c>
    </row>
    <row r="184">
      <c r="A184" s="8">
        <f t="shared" si="3"/>
        <v>183</v>
      </c>
      <c r="B184" s="8" t="s">
        <v>4225</v>
      </c>
      <c r="C184" s="8" t="s">
        <v>19</v>
      </c>
      <c r="D184" s="8">
        <v>19.0</v>
      </c>
      <c r="E184" s="8"/>
      <c r="F184" s="8" t="s">
        <v>5267</v>
      </c>
      <c r="G184" s="8">
        <v>2.0</v>
      </c>
      <c r="H184" s="8">
        <v>5.0</v>
      </c>
      <c r="I184" s="111">
        <f>7/(5*2)</f>
        <v>0.7</v>
      </c>
      <c r="J184" s="8" t="s">
        <v>1479</v>
      </c>
      <c r="K184" s="8" t="s">
        <v>1480</v>
      </c>
      <c r="L184" s="8">
        <v>0.0</v>
      </c>
      <c r="M184" s="8" t="s">
        <v>82</v>
      </c>
      <c r="N184" s="8" t="s">
        <v>22</v>
      </c>
      <c r="O184" s="8" t="s">
        <v>1150</v>
      </c>
      <c r="P184" s="8" t="s">
        <v>24</v>
      </c>
      <c r="Q184" s="9">
        <v>0.0</v>
      </c>
      <c r="R184" s="9">
        <v>0.6</v>
      </c>
      <c r="S184" s="9">
        <v>0.6</v>
      </c>
      <c r="T184" s="10">
        <v>45443.0</v>
      </c>
      <c r="U184" s="11">
        <v>1.725</v>
      </c>
      <c r="V184" s="8" t="s">
        <v>33</v>
      </c>
      <c r="W184" s="12">
        <f t="shared" si="1"/>
        <v>0.435</v>
      </c>
      <c r="X184" s="12">
        <f t="shared" si="4"/>
        <v>2.313291402</v>
      </c>
    </row>
    <row r="185">
      <c r="A185" s="15">
        <f t="shared" si="3"/>
        <v>184</v>
      </c>
      <c r="B185" s="15" t="s">
        <v>26</v>
      </c>
      <c r="C185" s="15" t="s">
        <v>19</v>
      </c>
      <c r="D185" s="15">
        <v>71.0</v>
      </c>
      <c r="E185" s="15"/>
      <c r="F185" s="15" t="s">
        <v>5268</v>
      </c>
      <c r="G185" s="15">
        <v>16.0</v>
      </c>
      <c r="H185" s="15">
        <v>12.0</v>
      </c>
      <c r="I185" s="110">
        <f>28/(15*2)</f>
        <v>0.9333333333</v>
      </c>
      <c r="J185" s="15" t="s">
        <v>1479</v>
      </c>
      <c r="K185" s="15" t="s">
        <v>1480</v>
      </c>
      <c r="L185" s="15">
        <v>-1.0</v>
      </c>
      <c r="M185" s="15" t="s">
        <v>316</v>
      </c>
      <c r="N185" s="15" t="s">
        <v>22</v>
      </c>
      <c r="O185" s="15" t="s">
        <v>892</v>
      </c>
      <c r="P185" s="15" t="s">
        <v>24</v>
      </c>
      <c r="Q185" s="16">
        <v>0.0</v>
      </c>
      <c r="R185" s="16">
        <v>0.4</v>
      </c>
      <c r="S185" s="16">
        <v>0.4</v>
      </c>
      <c r="T185" s="17">
        <v>45443.0</v>
      </c>
      <c r="U185" s="18">
        <v>2.2</v>
      </c>
      <c r="V185" s="15" t="s">
        <v>70</v>
      </c>
      <c r="W185" s="19">
        <f t="shared" si="1"/>
        <v>0</v>
      </c>
      <c r="X185" s="19">
        <f t="shared" si="4"/>
        <v>2.313291402</v>
      </c>
    </row>
    <row r="186">
      <c r="A186" s="8">
        <f t="shared" si="3"/>
        <v>185</v>
      </c>
      <c r="B186" s="8" t="s">
        <v>26</v>
      </c>
      <c r="C186" s="8" t="s">
        <v>19</v>
      </c>
      <c r="D186" s="8">
        <v>73.0</v>
      </c>
      <c r="E186" s="8"/>
      <c r="F186" s="8" t="s">
        <v>5269</v>
      </c>
      <c r="G186" s="8">
        <v>3.0</v>
      </c>
      <c r="H186" s="8">
        <v>13.0</v>
      </c>
      <c r="I186" s="111">
        <f>31/(19*2)</f>
        <v>0.8157894737</v>
      </c>
      <c r="J186" s="8"/>
      <c r="K186" s="8"/>
      <c r="L186" s="8"/>
      <c r="M186" s="8" t="s">
        <v>174</v>
      </c>
      <c r="N186" s="8" t="s">
        <v>22</v>
      </c>
      <c r="O186" s="8" t="s">
        <v>440</v>
      </c>
      <c r="P186" s="8" t="s">
        <v>24</v>
      </c>
      <c r="Q186" s="9">
        <v>0.5</v>
      </c>
      <c r="R186" s="9">
        <v>0.2</v>
      </c>
      <c r="S186" s="9">
        <v>0.2</v>
      </c>
      <c r="T186" s="10">
        <v>45443.0</v>
      </c>
      <c r="U186" s="11">
        <v>1.725</v>
      </c>
      <c r="V186" s="8" t="s">
        <v>33</v>
      </c>
      <c r="W186" s="12">
        <f t="shared" si="1"/>
        <v>0.145</v>
      </c>
      <c r="X186" s="12">
        <f t="shared" si="4"/>
        <v>2.458291402</v>
      </c>
    </row>
    <row r="187">
      <c r="A187" s="15">
        <f t="shared" si="3"/>
        <v>186</v>
      </c>
      <c r="B187" s="15"/>
      <c r="C187" s="15"/>
      <c r="D187" s="15"/>
      <c r="E187" s="15"/>
      <c r="F187" s="15"/>
      <c r="G187" s="15"/>
      <c r="H187" s="15"/>
      <c r="I187" s="110"/>
      <c r="J187" s="15"/>
      <c r="K187" s="15"/>
      <c r="L187" s="15"/>
      <c r="M187" s="15"/>
      <c r="N187" s="15"/>
      <c r="O187" s="15"/>
      <c r="P187" s="15"/>
      <c r="Q187" s="16"/>
      <c r="R187" s="16"/>
      <c r="S187" s="16"/>
      <c r="T187" s="17"/>
      <c r="U187" s="18"/>
      <c r="V187" s="15"/>
      <c r="W187" s="19" t="str">
        <f t="shared" si="1"/>
        <v/>
      </c>
      <c r="X187" s="19">
        <f t="shared" si="4"/>
        <v>2.458291402</v>
      </c>
    </row>
    <row r="188">
      <c r="A188" s="8">
        <f t="shared" si="3"/>
        <v>187</v>
      </c>
      <c r="B188" s="8"/>
      <c r="C188" s="8"/>
      <c r="D188" s="8"/>
      <c r="E188" s="8"/>
      <c r="F188" s="8"/>
      <c r="G188" s="8"/>
      <c r="H188" s="8"/>
      <c r="I188" s="111"/>
      <c r="J188" s="8"/>
      <c r="K188" s="8"/>
      <c r="L188" s="8"/>
      <c r="M188" s="8"/>
      <c r="N188" s="8"/>
      <c r="O188" s="8"/>
      <c r="P188" s="8"/>
      <c r="Q188" s="9"/>
      <c r="R188" s="9"/>
      <c r="S188" s="9"/>
      <c r="T188" s="10"/>
      <c r="U188" s="11"/>
      <c r="V188" s="8"/>
      <c r="W188" s="12" t="str">
        <f t="shared" si="1"/>
        <v/>
      </c>
      <c r="X188" s="12">
        <f t="shared" si="4"/>
        <v>2.458291402</v>
      </c>
    </row>
    <row r="189">
      <c r="A189" s="15">
        <f t="shared" si="3"/>
        <v>188</v>
      </c>
      <c r="B189" s="15"/>
      <c r="C189" s="15"/>
      <c r="D189" s="15"/>
      <c r="E189" s="15"/>
      <c r="F189" s="15"/>
      <c r="G189" s="15"/>
      <c r="H189" s="15"/>
      <c r="I189" s="110"/>
      <c r="J189" s="15"/>
      <c r="K189" s="15"/>
      <c r="L189" s="15"/>
      <c r="M189" s="15"/>
      <c r="N189" s="15"/>
      <c r="O189" s="15"/>
      <c r="P189" s="15"/>
      <c r="Q189" s="16"/>
      <c r="R189" s="16"/>
      <c r="S189" s="16"/>
      <c r="T189" s="17"/>
      <c r="U189" s="18"/>
      <c r="V189" s="15"/>
      <c r="W189" s="19" t="str">
        <f t="shared" si="1"/>
        <v/>
      </c>
      <c r="X189" s="19">
        <f t="shared" si="4"/>
        <v>2.458291402</v>
      </c>
    </row>
    <row r="190">
      <c r="A190" s="8">
        <f t="shared" si="3"/>
        <v>189</v>
      </c>
      <c r="B190" s="8"/>
      <c r="C190" s="8"/>
      <c r="D190" s="8"/>
      <c r="E190" s="8"/>
      <c r="F190" s="8"/>
      <c r="G190" s="8"/>
      <c r="H190" s="8"/>
      <c r="I190" s="111"/>
      <c r="J190" s="8"/>
      <c r="K190" s="8"/>
      <c r="L190" s="8"/>
      <c r="M190" s="8"/>
      <c r="N190" s="8"/>
      <c r="O190" s="8"/>
      <c r="P190" s="8"/>
      <c r="Q190" s="9"/>
      <c r="R190" s="9"/>
      <c r="S190" s="9"/>
      <c r="T190" s="10"/>
      <c r="U190" s="11"/>
      <c r="V190" s="8"/>
      <c r="W190" s="12" t="str">
        <f t="shared" si="1"/>
        <v/>
      </c>
      <c r="X190" s="12">
        <f t="shared" si="4"/>
        <v>2.458291402</v>
      </c>
    </row>
    <row r="191">
      <c r="A191" s="15">
        <f t="shared" si="3"/>
        <v>190</v>
      </c>
      <c r="B191" s="15"/>
      <c r="C191" s="15"/>
      <c r="D191" s="15"/>
      <c r="E191" s="15"/>
      <c r="F191" s="15"/>
      <c r="G191" s="15"/>
      <c r="H191" s="15"/>
      <c r="I191" s="110"/>
      <c r="J191" s="15"/>
      <c r="K191" s="15"/>
      <c r="L191" s="15"/>
      <c r="M191" s="15"/>
      <c r="N191" s="15"/>
      <c r="O191" s="15"/>
      <c r="P191" s="15"/>
      <c r="Q191" s="16"/>
      <c r="R191" s="16"/>
      <c r="S191" s="16"/>
      <c r="T191" s="55"/>
      <c r="U191" s="18"/>
      <c r="V191" s="15"/>
      <c r="W191" s="19" t="str">
        <f t="shared" si="1"/>
        <v/>
      </c>
      <c r="X191" s="19">
        <f t="shared" si="4"/>
        <v>2.458291402</v>
      </c>
    </row>
    <row r="192">
      <c r="A192" s="8">
        <f t="shared" si="3"/>
        <v>191</v>
      </c>
      <c r="B192" s="8"/>
      <c r="C192" s="8"/>
      <c r="D192" s="8"/>
      <c r="E192" s="8"/>
      <c r="F192" s="8"/>
      <c r="G192" s="8"/>
      <c r="H192" s="8"/>
      <c r="I192" s="111"/>
      <c r="J192" s="8"/>
      <c r="K192" s="8"/>
      <c r="L192" s="8"/>
      <c r="M192" s="8"/>
      <c r="N192" s="8"/>
      <c r="O192" s="8"/>
      <c r="P192" s="8"/>
      <c r="Q192" s="9"/>
      <c r="R192" s="9"/>
      <c r="S192" s="9"/>
      <c r="T192" s="10"/>
      <c r="U192" s="11"/>
      <c r="V192" s="8"/>
      <c r="W192" s="12" t="str">
        <f t="shared" si="1"/>
        <v/>
      </c>
      <c r="X192" s="12">
        <f t="shared" si="4"/>
        <v>2.458291402</v>
      </c>
    </row>
    <row r="193">
      <c r="A193" s="15">
        <f t="shared" si="3"/>
        <v>192</v>
      </c>
      <c r="B193" s="15"/>
      <c r="C193" s="15"/>
      <c r="D193" s="15"/>
      <c r="E193" s="15"/>
      <c r="F193" s="15"/>
      <c r="G193" s="15"/>
      <c r="H193" s="15"/>
      <c r="I193" s="110"/>
      <c r="J193" s="15"/>
      <c r="K193" s="15"/>
      <c r="L193" s="15"/>
      <c r="M193" s="15"/>
      <c r="N193" s="15"/>
      <c r="O193" s="15"/>
      <c r="P193" s="15"/>
      <c r="Q193" s="16"/>
      <c r="R193" s="16"/>
      <c r="S193" s="16"/>
      <c r="T193" s="17"/>
      <c r="U193" s="18"/>
      <c r="V193" s="15"/>
      <c r="W193" s="19" t="str">
        <f t="shared" si="1"/>
        <v/>
      </c>
      <c r="X193" s="19">
        <f t="shared" si="4"/>
        <v>2.458291402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111"/>
      <c r="J194" s="8"/>
      <c r="K194" s="8"/>
      <c r="L194" s="8"/>
      <c r="M194" s="8"/>
      <c r="N194" s="8"/>
      <c r="O194" s="8"/>
      <c r="P194" s="8"/>
      <c r="Q194" s="9"/>
      <c r="R194" s="9"/>
      <c r="S194" s="9"/>
      <c r="T194" s="10"/>
      <c r="U194" s="11"/>
      <c r="V194" s="8"/>
      <c r="W194" s="12" t="str">
        <f t="shared" si="1"/>
        <v/>
      </c>
      <c r="X194" s="12">
        <f t="shared" si="4"/>
        <v>2.458291402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10"/>
      <c r="J195" s="15"/>
      <c r="K195" s="15"/>
      <c r="L195" s="15"/>
      <c r="M195" s="15"/>
      <c r="N195" s="15"/>
      <c r="O195" s="15"/>
      <c r="P195" s="15"/>
      <c r="Q195" s="16"/>
      <c r="R195" s="16"/>
      <c r="S195" s="16"/>
      <c r="T195" s="17"/>
      <c r="U195" s="18"/>
      <c r="V195" s="15"/>
      <c r="W195" s="19" t="str">
        <f t="shared" si="1"/>
        <v/>
      </c>
      <c r="X195" s="19">
        <f t="shared" si="4"/>
        <v>2.458291402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111"/>
      <c r="J196" s="8"/>
      <c r="K196" s="8"/>
      <c r="L196" s="8"/>
      <c r="M196" s="8"/>
      <c r="N196" s="8"/>
      <c r="O196" s="8"/>
      <c r="P196" s="8"/>
      <c r="Q196" s="9"/>
      <c r="R196" s="9"/>
      <c r="S196" s="9"/>
      <c r="T196" s="10"/>
      <c r="U196" s="11"/>
      <c r="V196" s="8"/>
      <c r="W196" s="12" t="str">
        <f t="shared" si="1"/>
        <v/>
      </c>
      <c r="X196" s="12">
        <f t="shared" si="4"/>
        <v>2.458291402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10"/>
      <c r="J197" s="15"/>
      <c r="K197" s="15"/>
      <c r="L197" s="15"/>
      <c r="M197" s="15"/>
      <c r="N197" s="15"/>
      <c r="O197" s="15"/>
      <c r="P197" s="15"/>
      <c r="Q197" s="16"/>
      <c r="R197" s="16"/>
      <c r="S197" s="16"/>
      <c r="T197" s="17"/>
      <c r="U197" s="18"/>
      <c r="V197" s="15"/>
      <c r="W197" s="19" t="str">
        <f t="shared" si="1"/>
        <v/>
      </c>
      <c r="X197" s="19">
        <f t="shared" si="4"/>
        <v>2.458291402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111"/>
      <c r="J198" s="8"/>
      <c r="K198" s="8"/>
      <c r="L198" s="8"/>
      <c r="M198" s="8"/>
      <c r="N198" s="8"/>
      <c r="O198" s="8"/>
      <c r="P198" s="8"/>
      <c r="Q198" s="9"/>
      <c r="R198" s="9"/>
      <c r="S198" s="9"/>
      <c r="T198" s="10"/>
      <c r="U198" s="11"/>
      <c r="V198" s="8"/>
      <c r="W198" s="12" t="str">
        <f t="shared" si="1"/>
        <v/>
      </c>
      <c r="X198" s="12">
        <f t="shared" si="4"/>
        <v>2.458291402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10"/>
      <c r="J199" s="15"/>
      <c r="K199" s="15"/>
      <c r="L199" s="15"/>
      <c r="M199" s="15"/>
      <c r="N199" s="15"/>
      <c r="O199" s="15"/>
      <c r="P199" s="15"/>
      <c r="Q199" s="16"/>
      <c r="R199" s="16"/>
      <c r="S199" s="16"/>
      <c r="T199" s="17"/>
      <c r="U199" s="18"/>
      <c r="V199" s="15"/>
      <c r="W199" s="19" t="str">
        <f t="shared" si="1"/>
        <v/>
      </c>
      <c r="X199" s="19">
        <f t="shared" si="4"/>
        <v>2.458291402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111"/>
      <c r="J200" s="8"/>
      <c r="K200" s="8"/>
      <c r="L200" s="8"/>
      <c r="M200" s="8"/>
      <c r="N200" s="8"/>
      <c r="O200" s="8"/>
      <c r="P200" s="8"/>
      <c r="Q200" s="9"/>
      <c r="R200" s="9"/>
      <c r="S200" s="9"/>
      <c r="T200" s="10"/>
      <c r="U200" s="11"/>
      <c r="V200" s="8"/>
      <c r="W200" s="12" t="str">
        <f t="shared" si="1"/>
        <v/>
      </c>
      <c r="X200" s="12">
        <f t="shared" si="4"/>
        <v>2.458291402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10"/>
      <c r="J201" s="15"/>
      <c r="K201" s="15"/>
      <c r="L201" s="15"/>
      <c r="M201" s="15"/>
      <c r="N201" s="15"/>
      <c r="O201" s="15"/>
      <c r="P201" s="15"/>
      <c r="Q201" s="16"/>
      <c r="R201" s="16"/>
      <c r="S201" s="16"/>
      <c r="T201" s="17"/>
      <c r="U201" s="18"/>
      <c r="V201" s="15"/>
      <c r="W201" s="19" t="str">
        <f t="shared" si="1"/>
        <v/>
      </c>
      <c r="X201" s="19">
        <f t="shared" si="4"/>
        <v>2.458291402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111"/>
      <c r="J202" s="8"/>
      <c r="K202" s="8"/>
      <c r="L202" s="8"/>
      <c r="M202" s="8"/>
      <c r="N202" s="8"/>
      <c r="O202" s="8"/>
      <c r="P202" s="8"/>
      <c r="Q202" s="9"/>
      <c r="R202" s="9"/>
      <c r="S202" s="9"/>
      <c r="T202" s="10"/>
      <c r="U202" s="11"/>
      <c r="V202" s="8"/>
      <c r="W202" s="12" t="str">
        <f t="shared" si="1"/>
        <v/>
      </c>
      <c r="X202" s="12">
        <f t="shared" si="4"/>
        <v>2.458291402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10"/>
      <c r="J203" s="15"/>
      <c r="K203" s="15"/>
      <c r="L203" s="15"/>
      <c r="M203" s="15"/>
      <c r="N203" s="15"/>
      <c r="O203" s="15"/>
      <c r="P203" s="15"/>
      <c r="Q203" s="16"/>
      <c r="R203" s="16"/>
      <c r="S203" s="16"/>
      <c r="T203" s="17"/>
      <c r="U203" s="18"/>
      <c r="V203" s="15"/>
      <c r="W203" s="19" t="str">
        <f t="shared" si="1"/>
        <v/>
      </c>
      <c r="X203" s="19">
        <f t="shared" si="4"/>
        <v>2.458291402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111"/>
      <c r="J204" s="8"/>
      <c r="K204" s="8"/>
      <c r="L204" s="8"/>
      <c r="M204" s="8"/>
      <c r="N204" s="8"/>
      <c r="O204" s="8"/>
      <c r="P204" s="8"/>
      <c r="Q204" s="9"/>
      <c r="R204" s="9"/>
      <c r="S204" s="9"/>
      <c r="T204" s="10"/>
      <c r="U204" s="11"/>
      <c r="V204" s="8"/>
      <c r="W204" s="12" t="str">
        <f t="shared" si="1"/>
        <v/>
      </c>
      <c r="X204" s="12">
        <f t="shared" si="4"/>
        <v>2.458291402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10"/>
      <c r="J205" s="15"/>
      <c r="K205" s="15"/>
      <c r="L205" s="15"/>
      <c r="M205" s="15"/>
      <c r="N205" s="15"/>
      <c r="O205" s="15"/>
      <c r="P205" s="15"/>
      <c r="Q205" s="16"/>
      <c r="R205" s="16"/>
      <c r="S205" s="16"/>
      <c r="T205" s="17"/>
      <c r="U205" s="18"/>
      <c r="V205" s="15"/>
      <c r="W205" s="19" t="str">
        <f t="shared" si="1"/>
        <v/>
      </c>
      <c r="X205" s="19">
        <f t="shared" si="4"/>
        <v>2.458291402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111"/>
      <c r="J206" s="8"/>
      <c r="K206" s="8"/>
      <c r="L206" s="8"/>
      <c r="M206" s="8"/>
      <c r="N206" s="8"/>
      <c r="O206" s="8"/>
      <c r="P206" s="8"/>
      <c r="Q206" s="9"/>
      <c r="R206" s="9"/>
      <c r="S206" s="9"/>
      <c r="T206" s="10"/>
      <c r="U206" s="11"/>
      <c r="V206" s="8"/>
      <c r="W206" s="12" t="str">
        <f t="shared" si="1"/>
        <v/>
      </c>
      <c r="X206" s="12">
        <f t="shared" si="4"/>
        <v>2.458291402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10"/>
      <c r="J207" s="15"/>
      <c r="K207" s="15"/>
      <c r="L207" s="15"/>
      <c r="M207" s="15"/>
      <c r="N207" s="15"/>
      <c r="O207" s="15"/>
      <c r="P207" s="15"/>
      <c r="Q207" s="16"/>
      <c r="R207" s="16"/>
      <c r="S207" s="16"/>
      <c r="T207" s="17"/>
      <c r="U207" s="18"/>
      <c r="V207" s="15"/>
      <c r="W207" s="19" t="str">
        <f t="shared" si="1"/>
        <v/>
      </c>
      <c r="X207" s="19">
        <f t="shared" si="4"/>
        <v>2.458291402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111"/>
      <c r="J208" s="8"/>
      <c r="K208" s="8"/>
      <c r="L208" s="8"/>
      <c r="M208" s="8"/>
      <c r="N208" s="8"/>
      <c r="O208" s="8"/>
      <c r="P208" s="8"/>
      <c r="Q208" s="9"/>
      <c r="R208" s="9"/>
      <c r="S208" s="9"/>
      <c r="T208" s="10"/>
      <c r="U208" s="11"/>
      <c r="V208" s="8"/>
      <c r="W208" s="12" t="str">
        <f t="shared" si="1"/>
        <v/>
      </c>
      <c r="X208" s="12">
        <f t="shared" si="4"/>
        <v>2.458291402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10"/>
      <c r="J209" s="15"/>
      <c r="K209" s="15"/>
      <c r="L209" s="15"/>
      <c r="M209" s="15"/>
      <c r="N209" s="15"/>
      <c r="O209" s="15"/>
      <c r="P209" s="15"/>
      <c r="Q209" s="16"/>
      <c r="R209" s="16"/>
      <c r="S209" s="16"/>
      <c r="T209" s="17"/>
      <c r="U209" s="18"/>
      <c r="V209" s="15"/>
      <c r="W209" s="19" t="str">
        <f t="shared" si="1"/>
        <v/>
      </c>
      <c r="X209" s="19">
        <f t="shared" si="4"/>
        <v>2.458291402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111"/>
      <c r="J210" s="8"/>
      <c r="K210" s="8"/>
      <c r="L210" s="8"/>
      <c r="M210" s="8"/>
      <c r="N210" s="8"/>
      <c r="O210" s="8"/>
      <c r="P210" s="8"/>
      <c r="Q210" s="9"/>
      <c r="R210" s="9"/>
      <c r="S210" s="9"/>
      <c r="T210" s="54"/>
      <c r="U210" s="11"/>
      <c r="V210" s="8"/>
      <c r="W210" s="12" t="str">
        <f t="shared" si="1"/>
        <v/>
      </c>
      <c r="X210" s="12">
        <f t="shared" si="4"/>
        <v>2.458291402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10"/>
      <c r="J211" s="15"/>
      <c r="K211" s="15"/>
      <c r="L211" s="15"/>
      <c r="M211" s="15"/>
      <c r="N211" s="15"/>
      <c r="O211" s="15"/>
      <c r="P211" s="15"/>
      <c r="Q211" s="16"/>
      <c r="R211" s="16"/>
      <c r="S211" s="16"/>
      <c r="T211" s="17"/>
      <c r="U211" s="18"/>
      <c r="V211" s="15"/>
      <c r="W211" s="19" t="str">
        <f t="shared" si="1"/>
        <v/>
      </c>
      <c r="X211" s="19">
        <f t="shared" si="4"/>
        <v>2.458291402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111"/>
      <c r="J212" s="8"/>
      <c r="K212" s="8"/>
      <c r="L212" s="8"/>
      <c r="M212" s="8"/>
      <c r="N212" s="8"/>
      <c r="O212" s="8"/>
      <c r="P212" s="8"/>
      <c r="Q212" s="9"/>
      <c r="R212" s="9"/>
      <c r="S212" s="9"/>
      <c r="T212" s="10"/>
      <c r="U212" s="11"/>
      <c r="V212" s="8"/>
      <c r="W212" s="12" t="str">
        <f t="shared" si="1"/>
        <v/>
      </c>
      <c r="X212" s="12">
        <f t="shared" si="4"/>
        <v>2.458291402</v>
      </c>
    </row>
    <row r="213">
      <c r="A213" s="15">
        <f t="shared" si="3"/>
        <v>212</v>
      </c>
      <c r="B213" s="15"/>
      <c r="C213" s="15"/>
      <c r="D213" s="15"/>
      <c r="E213" s="15"/>
      <c r="F213" s="37"/>
      <c r="G213" s="37"/>
      <c r="H213" s="37"/>
      <c r="I213" s="110"/>
      <c r="J213" s="15"/>
      <c r="K213" s="15"/>
      <c r="L213" s="15"/>
      <c r="M213" s="15"/>
      <c r="N213" s="15"/>
      <c r="O213" s="15"/>
      <c r="P213" s="15"/>
      <c r="Q213" s="16"/>
      <c r="R213" s="16"/>
      <c r="S213" s="16"/>
      <c r="T213" s="17"/>
      <c r="U213" s="18"/>
      <c r="V213" s="15"/>
      <c r="W213" s="19" t="str">
        <f t="shared" si="1"/>
        <v/>
      </c>
      <c r="X213" s="19">
        <f t="shared" si="4"/>
        <v>2.458291402</v>
      </c>
    </row>
    <row r="214">
      <c r="A214" s="8">
        <f t="shared" si="3"/>
        <v>213</v>
      </c>
      <c r="B214" s="8"/>
      <c r="C214" s="8"/>
      <c r="D214" s="8"/>
      <c r="E214" s="8"/>
      <c r="F214" s="47"/>
      <c r="G214" s="47"/>
      <c r="H214" s="47"/>
      <c r="I214" s="111"/>
      <c r="J214" s="8"/>
      <c r="K214" s="8"/>
      <c r="L214" s="8"/>
      <c r="M214" s="8"/>
      <c r="N214" s="8"/>
      <c r="O214" s="8"/>
      <c r="P214" s="8"/>
      <c r="Q214" s="9"/>
      <c r="R214" s="9"/>
      <c r="S214" s="9"/>
      <c r="T214" s="10"/>
      <c r="U214" s="11"/>
      <c r="V214" s="8"/>
      <c r="W214" s="12" t="str">
        <f t="shared" si="1"/>
        <v/>
      </c>
      <c r="X214" s="12">
        <f t="shared" si="4"/>
        <v>2.458291402</v>
      </c>
    </row>
    <row r="215">
      <c r="A215" s="15">
        <f t="shared" si="3"/>
        <v>214</v>
      </c>
      <c r="B215" s="15"/>
      <c r="C215" s="15"/>
      <c r="D215" s="15"/>
      <c r="E215" s="15"/>
      <c r="F215" s="42"/>
      <c r="G215" s="42"/>
      <c r="H215" s="42"/>
      <c r="I215" s="110"/>
      <c r="J215" s="15"/>
      <c r="K215" s="15"/>
      <c r="L215" s="15"/>
      <c r="M215" s="15"/>
      <c r="N215" s="15"/>
      <c r="O215" s="15"/>
      <c r="P215" s="15"/>
      <c r="Q215" s="16"/>
      <c r="R215" s="16"/>
      <c r="S215" s="16"/>
      <c r="T215" s="17"/>
      <c r="U215" s="18"/>
      <c r="V215" s="15"/>
      <c r="W215" s="19" t="str">
        <f t="shared" si="1"/>
        <v/>
      </c>
      <c r="X215" s="19">
        <f t="shared" si="4"/>
        <v>2.458291402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111"/>
      <c r="J216" s="8"/>
      <c r="K216" s="8"/>
      <c r="L216" s="8"/>
      <c r="M216" s="8"/>
      <c r="N216" s="8"/>
      <c r="O216" s="8"/>
      <c r="P216" s="8"/>
      <c r="Q216" s="9"/>
      <c r="R216" s="9"/>
      <c r="S216" s="9"/>
      <c r="T216" s="10"/>
      <c r="U216" s="11"/>
      <c r="V216" s="8"/>
      <c r="W216" s="12" t="str">
        <f t="shared" si="1"/>
        <v/>
      </c>
      <c r="X216" s="12">
        <f t="shared" si="4"/>
        <v>2.458291402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10"/>
      <c r="J217" s="15"/>
      <c r="K217" s="15"/>
      <c r="L217" s="15"/>
      <c r="M217" s="15"/>
      <c r="N217" s="15"/>
      <c r="O217" s="15"/>
      <c r="P217" s="15"/>
      <c r="Q217" s="16"/>
      <c r="R217" s="16"/>
      <c r="S217" s="16"/>
      <c r="T217" s="17"/>
      <c r="U217" s="18"/>
      <c r="V217" s="15"/>
      <c r="W217" s="19" t="str">
        <f t="shared" si="1"/>
        <v/>
      </c>
      <c r="X217" s="19">
        <f t="shared" si="4"/>
        <v>2.458291402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111"/>
      <c r="J218" s="8"/>
      <c r="K218" s="8"/>
      <c r="L218" s="8"/>
      <c r="M218" s="8"/>
      <c r="N218" s="8"/>
      <c r="O218" s="8"/>
      <c r="P218" s="8"/>
      <c r="Q218" s="9"/>
      <c r="R218" s="9"/>
      <c r="S218" s="9"/>
      <c r="T218" s="10"/>
      <c r="U218" s="11"/>
      <c r="V218" s="8"/>
      <c r="W218" s="12" t="str">
        <f t="shared" si="1"/>
        <v/>
      </c>
      <c r="X218" s="12">
        <f t="shared" si="4"/>
        <v>2.458291402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10"/>
      <c r="J219" s="15"/>
      <c r="K219" s="15"/>
      <c r="L219" s="15"/>
      <c r="M219" s="15"/>
      <c r="N219" s="15"/>
      <c r="O219" s="15"/>
      <c r="P219" s="15"/>
      <c r="Q219" s="16"/>
      <c r="R219" s="16"/>
      <c r="S219" s="16"/>
      <c r="T219" s="17"/>
      <c r="U219" s="18"/>
      <c r="V219" s="15"/>
      <c r="W219" s="19" t="str">
        <f t="shared" si="1"/>
        <v/>
      </c>
      <c r="X219" s="19">
        <f t="shared" si="4"/>
        <v>2.458291402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111"/>
      <c r="J220" s="8"/>
      <c r="K220" s="8"/>
      <c r="L220" s="8"/>
      <c r="M220" s="8"/>
      <c r="N220" s="8"/>
      <c r="O220" s="8"/>
      <c r="P220" s="8"/>
      <c r="Q220" s="9"/>
      <c r="R220" s="9"/>
      <c r="S220" s="9"/>
      <c r="T220" s="10"/>
      <c r="U220" s="11"/>
      <c r="V220" s="8"/>
      <c r="W220" s="12" t="str">
        <f t="shared" si="1"/>
        <v/>
      </c>
      <c r="X220" s="12">
        <f t="shared" si="4"/>
        <v>2.458291402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10"/>
      <c r="J221" s="15"/>
      <c r="K221" s="15"/>
      <c r="L221" s="15"/>
      <c r="M221" s="15"/>
      <c r="N221" s="15"/>
      <c r="O221" s="15"/>
      <c r="P221" s="15"/>
      <c r="Q221" s="16"/>
      <c r="R221" s="16"/>
      <c r="S221" s="16"/>
      <c r="T221" s="17"/>
      <c r="U221" s="18"/>
      <c r="V221" s="15"/>
      <c r="W221" s="19" t="str">
        <f t="shared" si="1"/>
        <v/>
      </c>
      <c r="X221" s="19">
        <f t="shared" si="4"/>
        <v>2.458291402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111"/>
      <c r="J222" s="8"/>
      <c r="K222" s="8"/>
      <c r="L222" s="8"/>
      <c r="M222" s="8"/>
      <c r="N222" s="8"/>
      <c r="O222" s="8"/>
      <c r="P222" s="8"/>
      <c r="Q222" s="9"/>
      <c r="R222" s="9"/>
      <c r="S222" s="9"/>
      <c r="T222" s="10"/>
      <c r="U222" s="11"/>
      <c r="V222" s="8"/>
      <c r="W222" s="12" t="str">
        <f t="shared" si="1"/>
        <v/>
      </c>
      <c r="X222" s="12">
        <f t="shared" si="4"/>
        <v>2.458291402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6"/>
      <c r="R223" s="16"/>
      <c r="S223" s="16"/>
      <c r="T223" s="17"/>
      <c r="U223" s="18"/>
      <c r="V223" s="15"/>
      <c r="W223" s="19" t="str">
        <f t="shared" si="1"/>
        <v/>
      </c>
      <c r="X223" s="19">
        <f t="shared" si="4"/>
        <v>2.458291402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9"/>
      <c r="R224" s="9"/>
      <c r="S224" s="9"/>
      <c r="T224" s="10"/>
      <c r="U224" s="11"/>
      <c r="V224" s="8"/>
      <c r="W224" s="12" t="str">
        <f t="shared" si="1"/>
        <v/>
      </c>
      <c r="X224" s="12">
        <f t="shared" si="4"/>
        <v>2.458291402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6"/>
      <c r="R225" s="16"/>
      <c r="S225" s="16"/>
      <c r="T225" s="17"/>
      <c r="U225" s="18"/>
      <c r="V225" s="15"/>
      <c r="W225" s="19" t="str">
        <f t="shared" si="1"/>
        <v/>
      </c>
      <c r="X225" s="19">
        <f t="shared" si="4"/>
        <v>2.458291402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9"/>
      <c r="R226" s="9"/>
      <c r="S226" s="9"/>
      <c r="T226" s="10"/>
      <c r="U226" s="11"/>
      <c r="V226" s="8"/>
      <c r="W226" s="12" t="str">
        <f t="shared" si="1"/>
        <v/>
      </c>
      <c r="X226" s="12">
        <f t="shared" si="4"/>
        <v>2.458291402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6"/>
      <c r="R227" s="16"/>
      <c r="S227" s="16"/>
      <c r="T227" s="17"/>
      <c r="U227" s="18"/>
      <c r="V227" s="15"/>
      <c r="W227" s="19" t="str">
        <f t="shared" si="1"/>
        <v/>
      </c>
      <c r="X227" s="19">
        <f t="shared" si="4"/>
        <v>2.458291402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9"/>
      <c r="R228" s="9"/>
      <c r="S228" s="9"/>
      <c r="T228" s="10"/>
      <c r="U228" s="11"/>
      <c r="V228" s="8"/>
      <c r="W228" s="12" t="str">
        <f t="shared" si="1"/>
        <v/>
      </c>
      <c r="X228" s="12">
        <f t="shared" si="4"/>
        <v>2.458291402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6"/>
      <c r="R229" s="16"/>
      <c r="S229" s="16"/>
      <c r="T229" s="17"/>
      <c r="U229" s="18"/>
      <c r="V229" s="15"/>
      <c r="W229" s="19" t="str">
        <f t="shared" si="1"/>
        <v/>
      </c>
      <c r="X229" s="19">
        <f t="shared" si="4"/>
        <v>2.458291402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9"/>
      <c r="R230" s="9"/>
      <c r="S230" s="9"/>
      <c r="T230" s="10"/>
      <c r="U230" s="11"/>
      <c r="V230" s="8"/>
      <c r="W230" s="12" t="str">
        <f t="shared" si="1"/>
        <v/>
      </c>
      <c r="X230" s="12">
        <f t="shared" si="4"/>
        <v>2.458291402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6"/>
      <c r="R231" s="16"/>
      <c r="S231" s="16"/>
      <c r="T231" s="17"/>
      <c r="U231" s="18"/>
      <c r="V231" s="15"/>
      <c r="W231" s="19" t="str">
        <f t="shared" si="1"/>
        <v/>
      </c>
      <c r="X231" s="19">
        <f t="shared" si="4"/>
        <v>2.458291402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9"/>
      <c r="R232" s="9"/>
      <c r="S232" s="9"/>
      <c r="T232" s="10"/>
      <c r="U232" s="11"/>
      <c r="V232" s="8"/>
      <c r="W232" s="12" t="str">
        <f t="shared" si="1"/>
        <v/>
      </c>
      <c r="X232" s="12">
        <f t="shared" si="4"/>
        <v>2.458291402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6"/>
      <c r="R233" s="16"/>
      <c r="S233" s="16"/>
      <c r="T233" s="17"/>
      <c r="U233" s="18"/>
      <c r="V233" s="15"/>
      <c r="W233" s="19" t="str">
        <f t="shared" si="1"/>
        <v/>
      </c>
      <c r="X233" s="19">
        <f t="shared" si="4"/>
        <v>2.458291402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9"/>
      <c r="R234" s="9"/>
      <c r="S234" s="9"/>
      <c r="T234" s="10"/>
      <c r="U234" s="11"/>
      <c r="V234" s="8"/>
      <c r="W234" s="12" t="str">
        <f t="shared" si="1"/>
        <v/>
      </c>
      <c r="X234" s="12">
        <f t="shared" si="4"/>
        <v>2.458291402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6"/>
      <c r="R235" s="16"/>
      <c r="S235" s="16"/>
      <c r="T235" s="17"/>
      <c r="U235" s="18"/>
      <c r="V235" s="15"/>
      <c r="W235" s="19" t="str">
        <f t="shared" si="1"/>
        <v/>
      </c>
      <c r="X235" s="19">
        <f t="shared" si="4"/>
        <v>2.458291402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9"/>
      <c r="R236" s="9"/>
      <c r="S236" s="9"/>
      <c r="T236" s="10"/>
      <c r="U236" s="11"/>
      <c r="V236" s="8"/>
      <c r="W236" s="12" t="str">
        <f t="shared" si="1"/>
        <v/>
      </c>
      <c r="X236" s="12">
        <f t="shared" si="4"/>
        <v>2.458291402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6"/>
      <c r="R237" s="16"/>
      <c r="S237" s="16"/>
      <c r="T237" s="17"/>
      <c r="U237" s="18"/>
      <c r="V237" s="15"/>
      <c r="W237" s="19" t="str">
        <f t="shared" si="1"/>
        <v/>
      </c>
      <c r="X237" s="19">
        <f t="shared" si="4"/>
        <v>2.458291402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9"/>
      <c r="R238" s="9"/>
      <c r="S238" s="9"/>
      <c r="T238" s="10"/>
      <c r="U238" s="11"/>
      <c r="V238" s="8"/>
      <c r="W238" s="12" t="str">
        <f t="shared" si="1"/>
        <v/>
      </c>
      <c r="X238" s="12">
        <f t="shared" si="4"/>
        <v>2.458291402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6"/>
      <c r="R239" s="16"/>
      <c r="S239" s="16"/>
      <c r="T239" s="17"/>
      <c r="U239" s="18"/>
      <c r="V239" s="15"/>
      <c r="W239" s="19" t="str">
        <f t="shared" si="1"/>
        <v/>
      </c>
      <c r="X239" s="19">
        <f t="shared" si="4"/>
        <v>2.458291402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9"/>
      <c r="R240" s="9"/>
      <c r="S240" s="9"/>
      <c r="T240" s="10"/>
      <c r="U240" s="11"/>
      <c r="V240" s="8"/>
      <c r="W240" s="12" t="str">
        <f t="shared" si="1"/>
        <v/>
      </c>
      <c r="X240" s="12">
        <f t="shared" si="4"/>
        <v>2.458291402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6"/>
      <c r="R241" s="16"/>
      <c r="S241" s="16"/>
      <c r="T241" s="17"/>
      <c r="U241" s="18"/>
      <c r="V241" s="15"/>
      <c r="W241" s="19" t="str">
        <f t="shared" si="1"/>
        <v/>
      </c>
      <c r="X241" s="19">
        <f t="shared" si="4"/>
        <v>2.458291402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9"/>
      <c r="R242" s="9"/>
      <c r="S242" s="9"/>
      <c r="T242" s="10"/>
      <c r="U242" s="11"/>
      <c r="V242" s="8"/>
      <c r="W242" s="12" t="str">
        <f t="shared" si="1"/>
        <v/>
      </c>
      <c r="X242" s="12">
        <f t="shared" si="4"/>
        <v>2.458291402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6"/>
      <c r="R243" s="16"/>
      <c r="S243" s="16"/>
      <c r="T243" s="55"/>
      <c r="U243" s="18"/>
      <c r="V243" s="15"/>
      <c r="W243" s="19" t="str">
        <f t="shared" si="1"/>
        <v/>
      </c>
      <c r="X243" s="19">
        <f t="shared" si="4"/>
        <v>2.458291402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9"/>
      <c r="R244" s="9"/>
      <c r="S244" s="9"/>
      <c r="T244" s="10"/>
      <c r="U244" s="11"/>
      <c r="V244" s="8"/>
      <c r="W244" s="12" t="str">
        <f t="shared" si="1"/>
        <v/>
      </c>
      <c r="X244" s="12">
        <f t="shared" si="4"/>
        <v>2.458291402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6"/>
      <c r="R245" s="16"/>
      <c r="S245" s="16"/>
      <c r="T245" s="17"/>
      <c r="U245" s="18"/>
      <c r="V245" s="15"/>
      <c r="W245" s="19" t="str">
        <f t="shared" si="1"/>
        <v/>
      </c>
      <c r="X245" s="19">
        <f t="shared" si="4"/>
        <v>2.458291402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  <c r="R246" s="9"/>
      <c r="S246" s="9"/>
      <c r="T246" s="10"/>
      <c r="U246" s="11"/>
      <c r="V246" s="8"/>
      <c r="W246" s="12" t="str">
        <f t="shared" si="1"/>
        <v/>
      </c>
      <c r="X246" s="12">
        <f t="shared" si="4"/>
        <v>2.458291402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6"/>
      <c r="R247" s="16"/>
      <c r="S247" s="16"/>
      <c r="T247" s="17"/>
      <c r="U247" s="18"/>
      <c r="V247" s="15"/>
      <c r="W247" s="19" t="str">
        <f t="shared" si="1"/>
        <v/>
      </c>
      <c r="X247" s="19">
        <f t="shared" si="4"/>
        <v>2.458291402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9"/>
      <c r="R248" s="9"/>
      <c r="S248" s="9"/>
      <c r="T248" s="10"/>
      <c r="U248" s="11"/>
      <c r="V248" s="8"/>
      <c r="W248" s="12" t="str">
        <f t="shared" si="1"/>
        <v/>
      </c>
      <c r="X248" s="12">
        <f t="shared" si="4"/>
        <v>2.458291402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6"/>
      <c r="R249" s="16"/>
      <c r="S249" s="16"/>
      <c r="T249" s="17"/>
      <c r="U249" s="18"/>
      <c r="V249" s="15"/>
      <c r="W249" s="19" t="str">
        <f t="shared" si="1"/>
        <v/>
      </c>
      <c r="X249" s="19">
        <f t="shared" si="4"/>
        <v>2.458291402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9"/>
      <c r="R250" s="9"/>
      <c r="S250" s="9"/>
      <c r="T250" s="10"/>
      <c r="U250" s="11"/>
      <c r="V250" s="8"/>
      <c r="W250" s="12" t="str">
        <f t="shared" si="1"/>
        <v/>
      </c>
      <c r="X250" s="12">
        <f t="shared" si="4"/>
        <v>2.458291402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6"/>
      <c r="R251" s="16"/>
      <c r="S251" s="16"/>
      <c r="T251" s="17"/>
      <c r="U251" s="18"/>
      <c r="V251" s="15"/>
      <c r="W251" s="19" t="str">
        <f t="shared" si="1"/>
        <v/>
      </c>
      <c r="X251" s="19">
        <f t="shared" si="4"/>
        <v>2.458291402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9"/>
      <c r="R252" s="9"/>
      <c r="S252" s="9"/>
      <c r="T252" s="10"/>
      <c r="U252" s="11"/>
      <c r="V252" s="8"/>
      <c r="W252" s="12" t="str">
        <f t="shared" si="1"/>
        <v/>
      </c>
      <c r="X252" s="12">
        <f t="shared" si="4"/>
        <v>2.458291402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6"/>
      <c r="R253" s="16"/>
      <c r="S253" s="16"/>
      <c r="T253" s="17"/>
      <c r="U253" s="18"/>
      <c r="V253" s="15"/>
      <c r="W253" s="19" t="str">
        <f t="shared" si="1"/>
        <v/>
      </c>
      <c r="X253" s="19">
        <f t="shared" si="4"/>
        <v>2.458291402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9"/>
      <c r="R254" s="9"/>
      <c r="S254" s="9"/>
      <c r="T254" s="10"/>
      <c r="U254" s="11"/>
      <c r="V254" s="8"/>
      <c r="W254" s="12" t="str">
        <f t="shared" si="1"/>
        <v/>
      </c>
      <c r="X254" s="12">
        <f t="shared" si="4"/>
        <v>2.458291402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6"/>
      <c r="R255" s="16"/>
      <c r="S255" s="16"/>
      <c r="T255" s="17"/>
      <c r="U255" s="18"/>
      <c r="V255" s="15"/>
      <c r="W255" s="19" t="str">
        <f t="shared" si="1"/>
        <v/>
      </c>
      <c r="X255" s="19">
        <f t="shared" si="4"/>
        <v>2.458291402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9"/>
      <c r="R256" s="9"/>
      <c r="S256" s="9"/>
      <c r="T256" s="10"/>
      <c r="U256" s="11"/>
      <c r="V256" s="8"/>
      <c r="W256" s="12" t="str">
        <f t="shared" si="1"/>
        <v/>
      </c>
      <c r="X256" s="12">
        <f t="shared" si="4"/>
        <v>2.458291402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6"/>
      <c r="R257" s="16"/>
      <c r="S257" s="16"/>
      <c r="T257" s="17"/>
      <c r="U257" s="18"/>
      <c r="V257" s="15"/>
      <c r="W257" s="19" t="str">
        <f t="shared" si="1"/>
        <v/>
      </c>
      <c r="X257" s="19">
        <f t="shared" si="4"/>
        <v>2.458291402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9"/>
      <c r="R258" s="9"/>
      <c r="S258" s="9"/>
      <c r="T258" s="10"/>
      <c r="U258" s="11"/>
      <c r="V258" s="8"/>
      <c r="W258" s="12" t="str">
        <f t="shared" si="1"/>
        <v/>
      </c>
      <c r="X258" s="12">
        <f t="shared" si="4"/>
        <v>2.458291402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6"/>
      <c r="R259" s="16"/>
      <c r="S259" s="16"/>
      <c r="T259" s="17"/>
      <c r="U259" s="18"/>
      <c r="V259" s="15"/>
      <c r="W259" s="19" t="str">
        <f t="shared" si="1"/>
        <v/>
      </c>
      <c r="X259" s="19">
        <f t="shared" si="4"/>
        <v>2.458291402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9"/>
      <c r="R260" s="9"/>
      <c r="S260" s="9"/>
      <c r="T260" s="10"/>
      <c r="U260" s="11"/>
      <c r="V260" s="8"/>
      <c r="W260" s="12" t="str">
        <f t="shared" si="1"/>
        <v/>
      </c>
      <c r="X260" s="12">
        <f t="shared" si="4"/>
        <v>2.458291402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6"/>
      <c r="R261" s="16"/>
      <c r="S261" s="16"/>
      <c r="T261" s="17"/>
      <c r="U261" s="18"/>
      <c r="V261" s="15"/>
      <c r="W261" s="19" t="str">
        <f t="shared" si="1"/>
        <v/>
      </c>
      <c r="X261" s="19">
        <f t="shared" si="4"/>
        <v>2.458291402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9"/>
      <c r="R262" s="9"/>
      <c r="S262" s="9"/>
      <c r="T262" s="10"/>
      <c r="U262" s="11"/>
      <c r="V262" s="8"/>
      <c r="W262" s="12" t="str">
        <f t="shared" si="1"/>
        <v/>
      </c>
      <c r="X262" s="12">
        <f t="shared" si="4"/>
        <v>2.458291402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6"/>
      <c r="R263" s="16"/>
      <c r="S263" s="16"/>
      <c r="T263" s="17"/>
      <c r="U263" s="18"/>
      <c r="V263" s="15"/>
      <c r="W263" s="19" t="str">
        <f t="shared" si="1"/>
        <v/>
      </c>
      <c r="X263" s="19">
        <f t="shared" si="4"/>
        <v>2.458291402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9"/>
      <c r="R264" s="9"/>
      <c r="S264" s="9"/>
      <c r="T264" s="10"/>
      <c r="U264" s="11"/>
      <c r="V264" s="8"/>
      <c r="W264" s="12" t="str">
        <f t="shared" si="1"/>
        <v/>
      </c>
      <c r="X264" s="12">
        <f t="shared" si="4"/>
        <v>2.458291402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6"/>
      <c r="R265" s="16"/>
      <c r="S265" s="16"/>
      <c r="T265" s="17"/>
      <c r="U265" s="18"/>
      <c r="V265" s="15"/>
      <c r="W265" s="19" t="str">
        <f t="shared" si="1"/>
        <v/>
      </c>
      <c r="X265" s="19">
        <f t="shared" si="4"/>
        <v>2.458291402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9"/>
      <c r="R266" s="9"/>
      <c r="S266" s="9"/>
      <c r="T266" s="10"/>
      <c r="U266" s="11"/>
      <c r="V266" s="8"/>
      <c r="W266" s="12" t="str">
        <f t="shared" si="1"/>
        <v/>
      </c>
      <c r="X266" s="12">
        <f t="shared" si="4"/>
        <v>2.458291402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6"/>
      <c r="R267" s="16"/>
      <c r="S267" s="16"/>
      <c r="T267" s="17"/>
      <c r="U267" s="18"/>
      <c r="V267" s="15"/>
      <c r="W267" s="19" t="str">
        <f t="shared" si="1"/>
        <v/>
      </c>
      <c r="X267" s="19">
        <f t="shared" si="4"/>
        <v>2.458291402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9"/>
      <c r="R268" s="9"/>
      <c r="S268" s="9"/>
      <c r="T268" s="10"/>
      <c r="U268" s="11"/>
      <c r="V268" s="8"/>
      <c r="W268" s="12" t="str">
        <f t="shared" si="1"/>
        <v/>
      </c>
      <c r="X268" s="12">
        <f t="shared" si="4"/>
        <v>2.458291402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6"/>
      <c r="R269" s="16"/>
      <c r="S269" s="16"/>
      <c r="T269" s="17"/>
      <c r="U269" s="18"/>
      <c r="V269" s="15"/>
      <c r="W269" s="19" t="str">
        <f t="shared" si="1"/>
        <v/>
      </c>
      <c r="X269" s="19">
        <f t="shared" si="4"/>
        <v>2.458291402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9"/>
      <c r="R270" s="9"/>
      <c r="S270" s="9"/>
      <c r="T270" s="10"/>
      <c r="U270" s="11"/>
      <c r="V270" s="8"/>
      <c r="W270" s="12" t="str">
        <f t="shared" si="1"/>
        <v/>
      </c>
      <c r="X270" s="12">
        <f t="shared" si="4"/>
        <v>2.458291402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6"/>
      <c r="R271" s="16"/>
      <c r="S271" s="16"/>
      <c r="T271" s="17"/>
      <c r="U271" s="18"/>
      <c r="V271" s="15"/>
      <c r="W271" s="19" t="str">
        <f t="shared" si="1"/>
        <v/>
      </c>
      <c r="X271" s="19">
        <f t="shared" si="4"/>
        <v>2.458291402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9"/>
      <c r="R272" s="9"/>
      <c r="S272" s="9"/>
      <c r="T272" s="10"/>
      <c r="U272" s="11"/>
      <c r="V272" s="8"/>
      <c r="W272" s="12" t="str">
        <f t="shared" si="1"/>
        <v/>
      </c>
      <c r="X272" s="12">
        <f t="shared" si="4"/>
        <v>2.458291402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6"/>
      <c r="R273" s="16"/>
      <c r="S273" s="16"/>
      <c r="T273" s="17"/>
      <c r="U273" s="18"/>
      <c r="V273" s="15"/>
      <c r="W273" s="19" t="str">
        <f t="shared" si="1"/>
        <v/>
      </c>
      <c r="X273" s="19">
        <f t="shared" si="4"/>
        <v>2.458291402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9"/>
      <c r="R274" s="9"/>
      <c r="S274" s="9"/>
      <c r="T274" s="10"/>
      <c r="U274" s="11"/>
      <c r="V274" s="8"/>
      <c r="W274" s="12" t="str">
        <f t="shared" si="1"/>
        <v/>
      </c>
      <c r="X274" s="12">
        <f t="shared" si="4"/>
        <v>2.458291402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6"/>
      <c r="R275" s="16"/>
      <c r="S275" s="16"/>
      <c r="T275" s="17"/>
      <c r="U275" s="18"/>
      <c r="V275" s="15"/>
      <c r="W275" s="19" t="str">
        <f t="shared" si="1"/>
        <v/>
      </c>
      <c r="X275" s="19">
        <f t="shared" si="4"/>
        <v>2.458291402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9"/>
      <c r="R276" s="9"/>
      <c r="S276" s="9"/>
      <c r="T276" s="10"/>
      <c r="U276" s="11"/>
      <c r="V276" s="8"/>
      <c r="W276" s="12" t="str">
        <f t="shared" si="1"/>
        <v/>
      </c>
      <c r="X276" s="12">
        <f t="shared" si="4"/>
        <v>2.458291402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6"/>
      <c r="R277" s="16"/>
      <c r="S277" s="16"/>
      <c r="T277" s="17"/>
      <c r="U277" s="18"/>
      <c r="V277" s="15"/>
      <c r="W277" s="19" t="str">
        <f t="shared" si="1"/>
        <v/>
      </c>
      <c r="X277" s="19">
        <f t="shared" si="4"/>
        <v>2.458291402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114"/>
      <c r="H278" s="114"/>
      <c r="I278" s="114"/>
      <c r="J278" s="114"/>
      <c r="K278" s="8"/>
      <c r="L278" s="8"/>
      <c r="M278" s="8"/>
      <c r="N278" s="8"/>
      <c r="O278" s="8"/>
      <c r="P278" s="8"/>
      <c r="Q278" s="9"/>
      <c r="R278" s="9"/>
      <c r="S278" s="9"/>
      <c r="T278" s="10"/>
      <c r="U278" s="11"/>
      <c r="V278" s="8"/>
      <c r="W278" s="12" t="str">
        <f t="shared" si="1"/>
        <v/>
      </c>
      <c r="X278" s="12">
        <f t="shared" si="4"/>
        <v>2.458291402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6"/>
      <c r="R279" s="16"/>
      <c r="S279" s="16"/>
      <c r="T279" s="17"/>
      <c r="U279" s="18"/>
      <c r="V279" s="15"/>
      <c r="W279" s="19" t="str">
        <f t="shared" si="1"/>
        <v/>
      </c>
      <c r="X279" s="19">
        <f t="shared" si="4"/>
        <v>2.458291402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9"/>
      <c r="R280" s="9"/>
      <c r="S280" s="9"/>
      <c r="T280" s="10"/>
      <c r="U280" s="11"/>
      <c r="V280" s="8"/>
      <c r="W280" s="12" t="str">
        <f t="shared" si="1"/>
        <v/>
      </c>
      <c r="X280" s="12">
        <f t="shared" si="4"/>
        <v>2.458291402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6"/>
      <c r="R281" s="16"/>
      <c r="S281" s="16"/>
      <c r="T281" s="17"/>
      <c r="U281" s="18"/>
      <c r="V281" s="15"/>
      <c r="W281" s="19" t="str">
        <f t="shared" si="1"/>
        <v/>
      </c>
      <c r="X281" s="19">
        <f t="shared" si="4"/>
        <v>2.458291402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9"/>
      <c r="R282" s="9"/>
      <c r="S282" s="9"/>
      <c r="T282" s="10"/>
      <c r="U282" s="11"/>
      <c r="V282" s="8"/>
      <c r="W282" s="12" t="str">
        <f t="shared" si="1"/>
        <v/>
      </c>
      <c r="X282" s="12">
        <f t="shared" si="4"/>
        <v>2.458291402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6"/>
      <c r="R283" s="16"/>
      <c r="S283" s="16"/>
      <c r="T283" s="17"/>
      <c r="U283" s="18"/>
      <c r="V283" s="15"/>
      <c r="W283" s="19" t="str">
        <f t="shared" si="1"/>
        <v/>
      </c>
      <c r="X283" s="19">
        <f t="shared" si="4"/>
        <v>2.458291402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9"/>
      <c r="R284" s="9"/>
      <c r="S284" s="9"/>
      <c r="T284" s="54"/>
      <c r="U284" s="11"/>
      <c r="V284" s="8"/>
      <c r="W284" s="12" t="str">
        <f t="shared" si="1"/>
        <v/>
      </c>
      <c r="X284" s="12">
        <f t="shared" si="4"/>
        <v>2.458291402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16"/>
      <c r="H285" s="116"/>
      <c r="I285" s="116"/>
      <c r="J285" s="37"/>
      <c r="K285" s="37"/>
      <c r="L285" s="37"/>
      <c r="M285" s="37"/>
      <c r="N285" s="37"/>
      <c r="O285" s="37"/>
      <c r="P285" s="37"/>
      <c r="Q285" s="24"/>
      <c r="R285" s="16"/>
      <c r="S285" s="16"/>
      <c r="T285" s="17"/>
      <c r="U285" s="18"/>
      <c r="V285" s="15"/>
      <c r="W285" s="19" t="str">
        <f t="shared" si="1"/>
        <v/>
      </c>
      <c r="X285" s="19">
        <f t="shared" si="4"/>
        <v>2.458291402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118"/>
      <c r="H286" s="118"/>
      <c r="I286" s="118"/>
      <c r="J286" s="32"/>
      <c r="K286" s="32"/>
      <c r="L286" s="32"/>
      <c r="M286" s="32"/>
      <c r="N286" s="32"/>
      <c r="O286" s="32"/>
      <c r="P286" s="32"/>
      <c r="Q286" s="33"/>
      <c r="R286" s="9"/>
      <c r="S286" s="9"/>
      <c r="T286" s="10"/>
      <c r="U286" s="11"/>
      <c r="V286" s="8"/>
      <c r="W286" s="12" t="str">
        <f t="shared" si="1"/>
        <v/>
      </c>
      <c r="X286" s="12">
        <f t="shared" si="4"/>
        <v>2.458291402</v>
      </c>
    </row>
    <row r="287">
      <c r="A287" s="15">
        <f t="shared" si="3"/>
        <v>286</v>
      </c>
      <c r="B287" s="15"/>
      <c r="C287" s="15"/>
      <c r="D287" s="120"/>
      <c r="E287" s="120"/>
      <c r="F287" s="15"/>
      <c r="G287" s="121"/>
      <c r="H287" s="121"/>
      <c r="I287" s="121"/>
      <c r="J287" s="42"/>
      <c r="K287" s="42"/>
      <c r="L287" s="42"/>
      <c r="M287" s="42"/>
      <c r="N287" s="42"/>
      <c r="O287" s="42"/>
      <c r="P287" s="37"/>
      <c r="Q287" s="16"/>
      <c r="R287" s="16"/>
      <c r="S287" s="16"/>
      <c r="T287" s="17"/>
      <c r="U287" s="18"/>
      <c r="V287" s="15"/>
      <c r="W287" s="19" t="str">
        <f t="shared" si="1"/>
        <v/>
      </c>
      <c r="X287" s="19">
        <f t="shared" si="4"/>
        <v>2.458291402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32"/>
      <c r="Q288" s="9"/>
      <c r="R288" s="9"/>
      <c r="S288" s="9"/>
      <c r="T288" s="10"/>
      <c r="U288" s="11"/>
      <c r="V288" s="8"/>
      <c r="W288" s="12" t="str">
        <f t="shared" si="1"/>
        <v/>
      </c>
      <c r="X288" s="12">
        <f t="shared" si="4"/>
        <v>2.458291402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37"/>
      <c r="Q289" s="16"/>
      <c r="R289" s="16"/>
      <c r="S289" s="16"/>
      <c r="T289" s="17"/>
      <c r="U289" s="18"/>
      <c r="V289" s="15"/>
      <c r="W289" s="19" t="str">
        <f t="shared" si="1"/>
        <v/>
      </c>
      <c r="X289" s="19">
        <f t="shared" si="4"/>
        <v>2.458291402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32"/>
      <c r="Q290" s="9"/>
      <c r="R290" s="9"/>
      <c r="S290" s="9"/>
      <c r="T290" s="10"/>
      <c r="U290" s="11"/>
      <c r="V290" s="8"/>
      <c r="W290" s="12" t="str">
        <f t="shared" si="1"/>
        <v/>
      </c>
      <c r="X290" s="12">
        <f t="shared" si="4"/>
        <v>2.458291402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37"/>
      <c r="Q291" s="16"/>
      <c r="R291" s="16"/>
      <c r="S291" s="16"/>
      <c r="T291" s="17"/>
      <c r="U291" s="18"/>
      <c r="V291" s="15"/>
      <c r="W291" s="19" t="str">
        <f t="shared" si="1"/>
        <v/>
      </c>
      <c r="X291" s="19">
        <f t="shared" si="4"/>
        <v>2.458291402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32"/>
      <c r="Q292" s="9"/>
      <c r="R292" s="9"/>
      <c r="S292" s="9"/>
      <c r="T292" s="10"/>
      <c r="U292" s="11"/>
      <c r="V292" s="8"/>
      <c r="W292" s="12" t="str">
        <f t="shared" si="1"/>
        <v/>
      </c>
      <c r="X292" s="12">
        <f t="shared" si="4"/>
        <v>2.458291402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37"/>
      <c r="Q293" s="16"/>
      <c r="R293" s="16"/>
      <c r="S293" s="16"/>
      <c r="T293" s="17"/>
      <c r="U293" s="18"/>
      <c r="V293" s="15"/>
      <c r="W293" s="19" t="str">
        <f t="shared" si="1"/>
        <v/>
      </c>
      <c r="X293" s="19">
        <f t="shared" si="4"/>
        <v>2.458291402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32"/>
      <c r="Q294" s="9"/>
      <c r="R294" s="9"/>
      <c r="S294" s="9"/>
      <c r="T294" s="10"/>
      <c r="U294" s="11"/>
      <c r="V294" s="8"/>
      <c r="W294" s="12" t="str">
        <f t="shared" si="1"/>
        <v/>
      </c>
      <c r="X294" s="12">
        <f t="shared" si="4"/>
        <v>2.458291402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37"/>
      <c r="Q295" s="16"/>
      <c r="R295" s="16"/>
      <c r="S295" s="16"/>
      <c r="T295" s="17"/>
      <c r="U295" s="18"/>
      <c r="V295" s="15"/>
      <c r="W295" s="19" t="str">
        <f t="shared" si="1"/>
        <v/>
      </c>
      <c r="X295" s="19">
        <f t="shared" si="4"/>
        <v>2.458291402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32"/>
      <c r="Q296" s="9"/>
      <c r="R296" s="9"/>
      <c r="S296" s="9"/>
      <c r="T296" s="10"/>
      <c r="U296" s="11"/>
      <c r="V296" s="8"/>
      <c r="W296" s="12" t="str">
        <f t="shared" si="1"/>
        <v/>
      </c>
      <c r="X296" s="12">
        <f t="shared" si="4"/>
        <v>2.458291402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37"/>
      <c r="Q297" s="16"/>
      <c r="R297" s="16"/>
      <c r="S297" s="16"/>
      <c r="T297" s="17"/>
      <c r="U297" s="18"/>
      <c r="V297" s="15"/>
      <c r="W297" s="19" t="str">
        <f t="shared" si="1"/>
        <v/>
      </c>
      <c r="X297" s="19">
        <f t="shared" si="4"/>
        <v>2.458291402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32"/>
      <c r="Q298" s="9"/>
      <c r="R298" s="9"/>
      <c r="S298" s="9"/>
      <c r="T298" s="10"/>
      <c r="U298" s="11"/>
      <c r="V298" s="8"/>
      <c r="W298" s="12" t="str">
        <f t="shared" si="1"/>
        <v/>
      </c>
      <c r="X298" s="12">
        <f t="shared" si="4"/>
        <v>2.458291402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37"/>
      <c r="Q299" s="16"/>
      <c r="R299" s="16"/>
      <c r="S299" s="16"/>
      <c r="T299" s="17"/>
      <c r="U299" s="18"/>
      <c r="V299" s="15"/>
      <c r="W299" s="19" t="str">
        <f t="shared" si="1"/>
        <v/>
      </c>
      <c r="X299" s="19">
        <f t="shared" si="4"/>
        <v>2.458291402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9"/>
      <c r="R300" s="9"/>
      <c r="S300" s="9"/>
      <c r="T300" s="10"/>
      <c r="U300" s="11"/>
      <c r="V300" s="8"/>
      <c r="W300" s="12" t="str">
        <f t="shared" si="1"/>
        <v/>
      </c>
      <c r="X300" s="12">
        <f t="shared" si="4"/>
        <v>2.458291402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6"/>
      <c r="R301" s="16"/>
      <c r="S301" s="16"/>
      <c r="T301" s="17"/>
      <c r="U301" s="18"/>
      <c r="V301" s="15"/>
      <c r="W301" s="19" t="str">
        <f t="shared" si="1"/>
        <v/>
      </c>
      <c r="X301" s="19">
        <f t="shared" si="4"/>
        <v>2.458291402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9"/>
      <c r="R302" s="9"/>
      <c r="S302" s="9"/>
      <c r="T302" s="10"/>
      <c r="U302" s="11"/>
      <c r="V302" s="8"/>
      <c r="W302" s="12" t="str">
        <f t="shared" si="1"/>
        <v/>
      </c>
      <c r="X302" s="12">
        <f t="shared" si="4"/>
        <v>2.458291402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6"/>
      <c r="R303" s="16"/>
      <c r="S303" s="16"/>
      <c r="T303" s="17"/>
      <c r="U303" s="18"/>
      <c r="V303" s="15"/>
      <c r="W303" s="19" t="str">
        <f t="shared" si="1"/>
        <v/>
      </c>
      <c r="X303" s="19">
        <f t="shared" si="4"/>
        <v>2.458291402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9"/>
      <c r="R304" s="9"/>
      <c r="S304" s="9"/>
      <c r="T304" s="10"/>
      <c r="U304" s="11"/>
      <c r="V304" s="8"/>
      <c r="W304" s="12" t="str">
        <f t="shared" si="1"/>
        <v/>
      </c>
      <c r="X304" s="12">
        <f t="shared" si="4"/>
        <v>2.458291402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6"/>
      <c r="R305" s="16"/>
      <c r="S305" s="16"/>
      <c r="T305" s="17"/>
      <c r="U305" s="18"/>
      <c r="V305" s="15"/>
      <c r="W305" s="19" t="str">
        <f t="shared" si="1"/>
        <v/>
      </c>
      <c r="X305" s="19">
        <f t="shared" si="4"/>
        <v>2.458291402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9"/>
      <c r="R306" s="9"/>
      <c r="S306" s="9"/>
      <c r="T306" s="10"/>
      <c r="U306" s="11"/>
      <c r="V306" s="8"/>
      <c r="W306" s="12" t="str">
        <f t="shared" si="1"/>
        <v/>
      </c>
      <c r="X306" s="12">
        <f t="shared" si="4"/>
        <v>2.458291402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6"/>
      <c r="R307" s="16"/>
      <c r="S307" s="16"/>
      <c r="T307" s="17"/>
      <c r="U307" s="18"/>
      <c r="V307" s="15"/>
      <c r="W307" s="19" t="str">
        <f t="shared" si="1"/>
        <v/>
      </c>
      <c r="X307" s="19">
        <f t="shared" si="4"/>
        <v>2.458291402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9"/>
      <c r="R308" s="9"/>
      <c r="S308" s="9"/>
      <c r="T308" s="10"/>
      <c r="U308" s="11"/>
      <c r="V308" s="8"/>
      <c r="W308" s="12" t="str">
        <f t="shared" si="1"/>
        <v/>
      </c>
      <c r="X308" s="12">
        <f t="shared" si="4"/>
        <v>2.458291402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6"/>
      <c r="R309" s="16"/>
      <c r="S309" s="16"/>
      <c r="T309" s="17"/>
      <c r="U309" s="18"/>
      <c r="V309" s="15"/>
      <c r="W309" s="19" t="str">
        <f t="shared" si="1"/>
        <v/>
      </c>
      <c r="X309" s="19">
        <f t="shared" si="4"/>
        <v>2.458291402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9"/>
      <c r="R310" s="9"/>
      <c r="S310" s="9"/>
      <c r="T310" s="10"/>
      <c r="U310" s="11"/>
      <c r="V310" s="8"/>
      <c r="W310" s="12" t="str">
        <f t="shared" si="1"/>
        <v/>
      </c>
      <c r="X310" s="12">
        <f t="shared" si="4"/>
        <v>2.458291402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6"/>
      <c r="R311" s="16"/>
      <c r="S311" s="16"/>
      <c r="T311" s="17"/>
      <c r="U311" s="18"/>
      <c r="V311" s="15"/>
      <c r="W311" s="19" t="str">
        <f t="shared" si="1"/>
        <v/>
      </c>
      <c r="X311" s="19">
        <f t="shared" si="4"/>
        <v>2.458291402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/>
      <c r="R312" s="9"/>
      <c r="S312" s="9"/>
      <c r="T312" s="10"/>
      <c r="U312" s="11"/>
      <c r="V312" s="8"/>
      <c r="W312" s="12" t="str">
        <f t="shared" si="1"/>
        <v/>
      </c>
      <c r="X312" s="12">
        <f t="shared" si="4"/>
        <v>2.458291402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6"/>
      <c r="R313" s="16"/>
      <c r="S313" s="16"/>
      <c r="T313" s="17"/>
      <c r="U313" s="18"/>
      <c r="V313" s="15"/>
      <c r="W313" s="19" t="str">
        <f t="shared" si="1"/>
        <v/>
      </c>
      <c r="X313" s="19">
        <f t="shared" si="4"/>
        <v>2.458291402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9"/>
      <c r="R314" s="9"/>
      <c r="S314" s="9"/>
      <c r="T314" s="10"/>
      <c r="U314" s="11"/>
      <c r="V314" s="8"/>
      <c r="W314" s="12" t="str">
        <f t="shared" si="1"/>
        <v/>
      </c>
      <c r="X314" s="12">
        <f t="shared" si="4"/>
        <v>2.458291402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6"/>
      <c r="R315" s="16"/>
      <c r="S315" s="16"/>
      <c r="T315" s="17"/>
      <c r="U315" s="18"/>
      <c r="V315" s="15"/>
      <c r="W315" s="19" t="str">
        <f t="shared" si="1"/>
        <v/>
      </c>
      <c r="X315" s="19">
        <f t="shared" si="4"/>
        <v>2.458291402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9"/>
      <c r="R316" s="9"/>
      <c r="S316" s="9"/>
      <c r="T316" s="10"/>
      <c r="U316" s="11"/>
      <c r="V316" s="8"/>
      <c r="W316" s="12" t="str">
        <f t="shared" si="1"/>
        <v/>
      </c>
      <c r="X316" s="12">
        <f t="shared" si="4"/>
        <v>2.458291402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6"/>
      <c r="R317" s="16"/>
      <c r="S317" s="16"/>
      <c r="T317" s="17"/>
      <c r="U317" s="18"/>
      <c r="V317" s="15"/>
      <c r="W317" s="19" t="str">
        <f t="shared" si="1"/>
        <v/>
      </c>
      <c r="X317" s="19">
        <f t="shared" si="4"/>
        <v>2.458291402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9"/>
      <c r="R318" s="9"/>
      <c r="S318" s="9"/>
      <c r="T318" s="10"/>
      <c r="U318" s="11"/>
      <c r="V318" s="8"/>
      <c r="W318" s="12" t="str">
        <f t="shared" si="1"/>
        <v/>
      </c>
      <c r="X318" s="12">
        <f t="shared" si="4"/>
        <v>2.458291402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6"/>
      <c r="R319" s="16"/>
      <c r="S319" s="16"/>
      <c r="T319" s="17"/>
      <c r="U319" s="18"/>
      <c r="V319" s="15"/>
      <c r="W319" s="19" t="str">
        <f t="shared" si="1"/>
        <v/>
      </c>
      <c r="X319" s="19">
        <f t="shared" si="4"/>
        <v>2.458291402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123"/>
      <c r="R320" s="9"/>
      <c r="S320" s="9"/>
      <c r="T320" s="10"/>
      <c r="U320" s="11"/>
      <c r="V320" s="8"/>
      <c r="W320" s="12" t="str">
        <f t="shared" si="1"/>
        <v/>
      </c>
      <c r="X320" s="12">
        <f t="shared" si="4"/>
        <v>2.458291402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6"/>
      <c r="R321" s="16"/>
      <c r="S321" s="16"/>
      <c r="T321" s="17"/>
      <c r="U321" s="18"/>
      <c r="V321" s="15"/>
      <c r="W321" s="19" t="str">
        <f t="shared" si="1"/>
        <v/>
      </c>
      <c r="X321" s="19">
        <f t="shared" si="4"/>
        <v>2.458291402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9"/>
      <c r="R322" s="9"/>
      <c r="S322" s="9"/>
      <c r="T322" s="10"/>
      <c r="U322" s="11"/>
      <c r="V322" s="8"/>
      <c r="W322" s="12" t="str">
        <f t="shared" si="1"/>
        <v/>
      </c>
      <c r="X322" s="12">
        <f t="shared" si="4"/>
        <v>2.458291402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24"/>
      <c r="R323" s="16"/>
      <c r="S323" s="16"/>
      <c r="T323" s="17"/>
      <c r="U323" s="18"/>
      <c r="V323" s="15"/>
      <c r="W323" s="19" t="str">
        <f t="shared" si="1"/>
        <v/>
      </c>
      <c r="X323" s="19">
        <f t="shared" si="4"/>
        <v>2.458291402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9"/>
      <c r="S324" s="9"/>
      <c r="T324" s="10"/>
      <c r="U324" s="11"/>
      <c r="V324" s="8"/>
      <c r="W324" s="12" t="str">
        <f t="shared" si="1"/>
        <v/>
      </c>
      <c r="X324" s="12">
        <f t="shared" si="4"/>
        <v>2.458291402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6"/>
      <c r="R325" s="16"/>
      <c r="S325" s="16"/>
      <c r="T325" s="17"/>
      <c r="U325" s="18"/>
      <c r="V325" s="15"/>
      <c r="W325" s="19" t="str">
        <f t="shared" si="1"/>
        <v/>
      </c>
      <c r="X325" s="19">
        <f t="shared" si="4"/>
        <v>2.458291402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9"/>
      <c r="R326" s="9"/>
      <c r="S326" s="9"/>
      <c r="T326" s="10"/>
      <c r="U326" s="8"/>
      <c r="V326" s="8"/>
      <c r="W326" s="12" t="str">
        <f t="shared" si="1"/>
        <v/>
      </c>
      <c r="X326" s="12">
        <f t="shared" si="4"/>
        <v>2.458291402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6"/>
      <c r="R327" s="16"/>
      <c r="S327" s="16"/>
      <c r="T327" s="17"/>
      <c r="U327" s="15"/>
      <c r="V327" s="15"/>
      <c r="W327" s="19" t="str">
        <f t="shared" si="1"/>
        <v/>
      </c>
      <c r="X327" s="19">
        <f t="shared" si="4"/>
        <v>2.458291402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9"/>
      <c r="R328" s="9"/>
      <c r="S328" s="9"/>
      <c r="T328" s="10"/>
      <c r="U328" s="8"/>
      <c r="V328" s="8"/>
      <c r="W328" s="12" t="str">
        <f t="shared" si="1"/>
        <v/>
      </c>
      <c r="X328" s="12">
        <f t="shared" si="4"/>
        <v>2.458291402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6"/>
      <c r="R329" s="16"/>
      <c r="S329" s="16"/>
      <c r="T329" s="17"/>
      <c r="U329" s="18"/>
      <c r="V329" s="15"/>
      <c r="W329" s="19" t="str">
        <f t="shared" si="1"/>
        <v/>
      </c>
      <c r="X329" s="19">
        <f t="shared" si="4"/>
        <v>2.458291402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9"/>
      <c r="R330" s="9"/>
      <c r="S330" s="9"/>
      <c r="T330" s="10"/>
      <c r="U330" s="11"/>
      <c r="V330" s="8"/>
      <c r="W330" s="12" t="str">
        <f t="shared" si="1"/>
        <v/>
      </c>
      <c r="X330" s="12">
        <f t="shared" si="4"/>
        <v>2.458291402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6"/>
      <c r="R331" s="16"/>
      <c r="S331" s="16"/>
      <c r="T331" s="17"/>
      <c r="U331" s="18"/>
      <c r="V331" s="15"/>
      <c r="W331" s="19" t="str">
        <f t="shared" si="1"/>
        <v/>
      </c>
      <c r="X331" s="19">
        <f t="shared" si="4"/>
        <v>2.458291402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9"/>
      <c r="R332" s="9"/>
      <c r="S332" s="9"/>
      <c r="T332" s="10"/>
      <c r="U332" s="11"/>
      <c r="V332" s="8"/>
      <c r="W332" s="12" t="str">
        <f t="shared" si="1"/>
        <v/>
      </c>
      <c r="X332" s="12">
        <f t="shared" si="4"/>
        <v>2.458291402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6"/>
      <c r="R333" s="16"/>
      <c r="S333" s="16"/>
      <c r="T333" s="17"/>
      <c r="U333" s="18"/>
      <c r="V333" s="15"/>
      <c r="W333" s="19" t="str">
        <f t="shared" si="1"/>
        <v/>
      </c>
      <c r="X333" s="19">
        <f t="shared" si="4"/>
        <v>2.458291402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9"/>
      <c r="S334" s="9"/>
      <c r="T334" s="10"/>
      <c r="U334" s="11"/>
      <c r="V334" s="8"/>
      <c r="W334" s="12" t="str">
        <f t="shared" si="1"/>
        <v/>
      </c>
      <c r="X334" s="12">
        <f t="shared" si="4"/>
        <v>2.458291402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6"/>
      <c r="R335" s="16"/>
      <c r="S335" s="16"/>
      <c r="T335" s="17"/>
      <c r="U335" s="18"/>
      <c r="V335" s="15"/>
      <c r="W335" s="19" t="str">
        <f t="shared" si="1"/>
        <v/>
      </c>
      <c r="X335" s="19">
        <f t="shared" si="4"/>
        <v>2.458291402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9"/>
      <c r="R336" s="9"/>
      <c r="S336" s="9"/>
      <c r="T336" s="10"/>
      <c r="U336" s="11"/>
      <c r="V336" s="8"/>
      <c r="W336" s="12" t="str">
        <f t="shared" si="1"/>
        <v/>
      </c>
      <c r="X336" s="12">
        <f t="shared" si="4"/>
        <v>2.458291402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6"/>
      <c r="R337" s="16"/>
      <c r="S337" s="16"/>
      <c r="T337" s="17"/>
      <c r="U337" s="18"/>
      <c r="V337" s="15"/>
      <c r="W337" s="19" t="str">
        <f t="shared" si="1"/>
        <v/>
      </c>
      <c r="X337" s="19">
        <f t="shared" si="4"/>
        <v>2.458291402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9"/>
      <c r="R338" s="9"/>
      <c r="S338" s="9"/>
      <c r="T338" s="10"/>
      <c r="U338" s="11"/>
      <c r="V338" s="8"/>
      <c r="W338" s="12" t="str">
        <f t="shared" si="1"/>
        <v/>
      </c>
      <c r="X338" s="12">
        <f t="shared" si="4"/>
        <v>2.458291402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6"/>
      <c r="R339" s="16"/>
      <c r="S339" s="16"/>
      <c r="T339" s="17"/>
      <c r="U339" s="18"/>
      <c r="V339" s="15"/>
      <c r="W339" s="19" t="str">
        <f t="shared" si="1"/>
        <v/>
      </c>
      <c r="X339" s="19">
        <f t="shared" si="4"/>
        <v>2.458291402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9"/>
      <c r="R340" s="9"/>
      <c r="S340" s="9"/>
      <c r="T340" s="10"/>
      <c r="U340" s="11"/>
      <c r="V340" s="8"/>
      <c r="W340" s="12" t="str">
        <f t="shared" si="1"/>
        <v/>
      </c>
      <c r="X340" s="12">
        <f t="shared" si="4"/>
        <v>2.458291402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6"/>
      <c r="R341" s="16"/>
      <c r="S341" s="16"/>
      <c r="T341" s="17"/>
      <c r="U341" s="18"/>
      <c r="V341" s="15"/>
      <c r="W341" s="19" t="str">
        <f t="shared" si="1"/>
        <v/>
      </c>
      <c r="X341" s="19">
        <f t="shared" si="4"/>
        <v>2.458291402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9"/>
      <c r="S342" s="9"/>
      <c r="T342" s="10"/>
      <c r="U342" s="11"/>
      <c r="V342" s="8"/>
      <c r="W342" s="12" t="str">
        <f t="shared" si="1"/>
        <v/>
      </c>
      <c r="X342" s="12">
        <f t="shared" si="4"/>
        <v>2.458291402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24"/>
      <c r="R343" s="16"/>
      <c r="S343" s="16"/>
      <c r="T343" s="17"/>
      <c r="U343" s="18"/>
      <c r="V343" s="15"/>
      <c r="W343" s="19" t="str">
        <f t="shared" si="1"/>
        <v/>
      </c>
      <c r="X343" s="19">
        <f t="shared" si="4"/>
        <v>2.458291402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123"/>
      <c r="R344" s="9"/>
      <c r="S344" s="9"/>
      <c r="T344" s="10"/>
      <c r="U344" s="11"/>
      <c r="V344" s="8"/>
      <c r="W344" s="12" t="str">
        <f t="shared" si="1"/>
        <v/>
      </c>
      <c r="X344" s="12">
        <f t="shared" si="4"/>
        <v>2.458291402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24"/>
      <c r="R345" s="16"/>
      <c r="S345" s="16"/>
      <c r="T345" s="17"/>
      <c r="U345" s="18"/>
      <c r="V345" s="15"/>
      <c r="W345" s="19" t="str">
        <f t="shared" si="1"/>
        <v/>
      </c>
      <c r="X345" s="19">
        <f t="shared" si="4"/>
        <v>2.458291402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123"/>
      <c r="R346" s="9"/>
      <c r="S346" s="9"/>
      <c r="T346" s="10"/>
      <c r="U346" s="11"/>
      <c r="V346" s="8"/>
      <c r="W346" s="12" t="str">
        <f t="shared" si="1"/>
        <v/>
      </c>
      <c r="X346" s="12">
        <f t="shared" si="4"/>
        <v>2.458291402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24"/>
      <c r="R347" s="16"/>
      <c r="S347" s="16"/>
      <c r="T347" s="17"/>
      <c r="U347" s="18"/>
      <c r="V347" s="15"/>
      <c r="W347" s="19" t="str">
        <f t="shared" si="1"/>
        <v/>
      </c>
      <c r="X347" s="19">
        <f t="shared" si="4"/>
        <v>2.458291402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123"/>
      <c r="R348" s="9"/>
      <c r="S348" s="9"/>
      <c r="T348" s="10"/>
      <c r="U348" s="11"/>
      <c r="V348" s="8"/>
      <c r="W348" s="12" t="str">
        <f t="shared" si="1"/>
        <v/>
      </c>
      <c r="X348" s="12">
        <f t="shared" si="4"/>
        <v>2.458291402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24"/>
      <c r="R349" s="16"/>
      <c r="S349" s="16"/>
      <c r="T349" s="17"/>
      <c r="U349" s="18"/>
      <c r="V349" s="15"/>
      <c r="W349" s="19" t="str">
        <f t="shared" si="1"/>
        <v/>
      </c>
      <c r="X349" s="19">
        <f t="shared" si="4"/>
        <v>2.458291402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123"/>
      <c r="R350" s="9"/>
      <c r="S350" s="9"/>
      <c r="T350" s="10"/>
      <c r="U350" s="11"/>
      <c r="V350" s="8"/>
      <c r="W350" s="12" t="str">
        <f t="shared" si="1"/>
        <v/>
      </c>
      <c r="X350" s="12">
        <f t="shared" si="4"/>
        <v>2.458291402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24"/>
      <c r="R351" s="16"/>
      <c r="S351" s="16"/>
      <c r="T351" s="17"/>
      <c r="U351" s="18"/>
      <c r="V351" s="15"/>
      <c r="W351" s="19" t="str">
        <f t="shared" si="1"/>
        <v/>
      </c>
      <c r="X351" s="19">
        <f t="shared" si="4"/>
        <v>2.458291402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123"/>
      <c r="R352" s="9"/>
      <c r="S352" s="9"/>
      <c r="T352" s="10"/>
      <c r="U352" s="11"/>
      <c r="V352" s="8"/>
      <c r="W352" s="12" t="str">
        <f t="shared" si="1"/>
        <v/>
      </c>
      <c r="X352" s="12">
        <f t="shared" si="4"/>
        <v>2.458291402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24"/>
      <c r="R353" s="16"/>
      <c r="S353" s="16"/>
      <c r="T353" s="17"/>
      <c r="U353" s="18"/>
      <c r="V353" s="15"/>
      <c r="W353" s="19" t="str">
        <f t="shared" si="1"/>
        <v/>
      </c>
      <c r="X353" s="19">
        <f t="shared" si="4"/>
        <v>2.458291402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123"/>
      <c r="R354" s="9"/>
      <c r="S354" s="9"/>
      <c r="T354" s="10"/>
      <c r="U354" s="11"/>
      <c r="V354" s="8"/>
      <c r="W354" s="12" t="str">
        <f t="shared" si="1"/>
        <v/>
      </c>
      <c r="X354" s="12">
        <f t="shared" si="4"/>
        <v>2.458291402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24"/>
      <c r="R355" s="16"/>
      <c r="S355" s="16"/>
      <c r="T355" s="17"/>
      <c r="U355" s="18"/>
      <c r="V355" s="15"/>
      <c r="W355" s="19" t="str">
        <f t="shared" si="1"/>
        <v/>
      </c>
      <c r="X355" s="19">
        <f t="shared" si="4"/>
        <v>2.458291402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123"/>
      <c r="R356" s="9"/>
      <c r="S356" s="9"/>
      <c r="T356" s="10"/>
      <c r="U356" s="11"/>
      <c r="V356" s="8"/>
      <c r="W356" s="12" t="str">
        <f t="shared" si="1"/>
        <v/>
      </c>
      <c r="X356" s="12">
        <f t="shared" si="4"/>
        <v>2.458291402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24"/>
      <c r="R357" s="16"/>
      <c r="S357" s="16"/>
      <c r="T357" s="17"/>
      <c r="U357" s="18"/>
      <c r="V357" s="15"/>
      <c r="W357" s="19" t="str">
        <f t="shared" si="1"/>
        <v/>
      </c>
      <c r="X357" s="19">
        <f t="shared" si="4"/>
        <v>2.458291402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123"/>
      <c r="R358" s="9"/>
      <c r="S358" s="9"/>
      <c r="T358" s="10"/>
      <c r="U358" s="11"/>
      <c r="V358" s="8"/>
      <c r="W358" s="12" t="str">
        <f t="shared" si="1"/>
        <v/>
      </c>
      <c r="X358" s="12">
        <f t="shared" si="4"/>
        <v>2.458291402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24"/>
      <c r="R359" s="16"/>
      <c r="S359" s="16"/>
      <c r="T359" s="17"/>
      <c r="U359" s="18"/>
      <c r="V359" s="15"/>
      <c r="W359" s="19" t="str">
        <f t="shared" si="1"/>
        <v/>
      </c>
      <c r="X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123"/>
      <c r="R360" s="9"/>
      <c r="S360" s="9"/>
      <c r="T360" s="10"/>
      <c r="U360" s="11"/>
      <c r="V360" s="8"/>
      <c r="W360" s="12" t="str">
        <f t="shared" si="1"/>
        <v/>
      </c>
      <c r="X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24"/>
      <c r="R361" s="16"/>
      <c r="S361" s="16"/>
      <c r="T361" s="17"/>
      <c r="U361" s="18"/>
      <c r="V361" s="15"/>
      <c r="W361" s="19" t="str">
        <f t="shared" si="1"/>
        <v/>
      </c>
      <c r="X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123"/>
      <c r="R362" s="9"/>
      <c r="S362" s="9"/>
      <c r="T362" s="10"/>
      <c r="U362" s="11"/>
      <c r="V362" s="8"/>
      <c r="W362" s="12" t="str">
        <f t="shared" si="1"/>
        <v/>
      </c>
      <c r="X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24"/>
      <c r="R363" s="16"/>
      <c r="S363" s="16"/>
      <c r="T363" s="17"/>
      <c r="U363" s="18"/>
      <c r="V363" s="15"/>
      <c r="W363" s="19" t="str">
        <f t="shared" si="1"/>
        <v/>
      </c>
      <c r="X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123"/>
      <c r="R364" s="9"/>
      <c r="S364" s="9"/>
      <c r="T364" s="10"/>
      <c r="U364" s="11"/>
      <c r="V364" s="8"/>
      <c r="W364" s="12" t="str">
        <f t="shared" si="1"/>
        <v/>
      </c>
      <c r="X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24"/>
      <c r="R365" s="16"/>
      <c r="S365" s="16"/>
      <c r="T365" s="17"/>
      <c r="U365" s="18"/>
      <c r="V365" s="15"/>
      <c r="W365" s="19" t="str">
        <f t="shared" si="1"/>
        <v/>
      </c>
      <c r="X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123"/>
      <c r="R366" s="9"/>
      <c r="S366" s="9"/>
      <c r="T366" s="10"/>
      <c r="U366" s="11"/>
      <c r="V366" s="8"/>
      <c r="W366" s="12" t="str">
        <f t="shared" si="1"/>
        <v/>
      </c>
      <c r="X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24"/>
      <c r="R367" s="16"/>
      <c r="S367" s="16"/>
      <c r="T367" s="17"/>
      <c r="U367" s="18"/>
      <c r="V367" s="15"/>
      <c r="W367" s="19" t="str">
        <f t="shared" si="1"/>
        <v/>
      </c>
      <c r="X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123"/>
      <c r="R368" s="9"/>
      <c r="S368" s="9"/>
      <c r="T368" s="10"/>
      <c r="U368" s="11"/>
      <c r="V368" s="8"/>
      <c r="W368" s="12" t="str">
        <f t="shared" si="1"/>
        <v/>
      </c>
      <c r="X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24"/>
      <c r="R369" s="16"/>
      <c r="S369" s="16"/>
      <c r="T369" s="17"/>
      <c r="U369" s="18"/>
      <c r="V369" s="15"/>
      <c r="W369" s="19" t="str">
        <f t="shared" si="1"/>
        <v/>
      </c>
      <c r="X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123"/>
      <c r="R370" s="9"/>
      <c r="S370" s="9"/>
      <c r="T370" s="10"/>
      <c r="U370" s="8"/>
      <c r="V370" s="8"/>
      <c r="W370" s="12" t="str">
        <f t="shared" si="1"/>
        <v/>
      </c>
      <c r="X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24"/>
      <c r="R371" s="16"/>
      <c r="S371" s="16"/>
      <c r="T371" s="17"/>
      <c r="U371" s="15"/>
      <c r="V371" s="15"/>
      <c r="W371" s="19" t="str">
        <f t="shared" si="1"/>
        <v/>
      </c>
      <c r="X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123"/>
      <c r="R372" s="9"/>
      <c r="S372" s="9"/>
      <c r="T372" s="10"/>
      <c r="U372" s="8"/>
      <c r="V372" s="8"/>
      <c r="W372" s="12" t="str">
        <f t="shared" si="1"/>
        <v/>
      </c>
      <c r="X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24"/>
      <c r="R373" s="16"/>
      <c r="S373" s="16"/>
      <c r="T373" s="17"/>
      <c r="U373" s="15"/>
      <c r="V373" s="15"/>
      <c r="W373" s="19" t="str">
        <f t="shared" si="1"/>
        <v/>
      </c>
      <c r="X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123"/>
      <c r="R374" s="9"/>
      <c r="S374" s="9"/>
      <c r="T374" s="10"/>
      <c r="U374" s="8"/>
      <c r="V374" s="8"/>
      <c r="W374" s="12" t="str">
        <f t="shared" si="1"/>
        <v/>
      </c>
      <c r="X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24"/>
      <c r="R375" s="16"/>
      <c r="S375" s="16"/>
      <c r="T375" s="17"/>
      <c r="U375" s="15"/>
      <c r="V375" s="15"/>
      <c r="W375" s="19" t="str">
        <f t="shared" si="1"/>
        <v/>
      </c>
      <c r="X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123"/>
      <c r="R376" s="9"/>
      <c r="S376" s="9"/>
      <c r="T376" s="10"/>
      <c r="U376" s="8"/>
      <c r="V376" s="8"/>
      <c r="W376" s="12" t="str">
        <f t="shared" si="1"/>
        <v/>
      </c>
      <c r="X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24"/>
      <c r="R377" s="16"/>
      <c r="S377" s="16"/>
      <c r="T377" s="17"/>
      <c r="U377" s="15"/>
      <c r="V377" s="15"/>
      <c r="W377" s="19" t="str">
        <f t="shared" si="1"/>
        <v/>
      </c>
      <c r="X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123"/>
      <c r="R378" s="9"/>
      <c r="S378" s="9"/>
      <c r="T378" s="10"/>
      <c r="U378" s="8"/>
      <c r="V378" s="8"/>
      <c r="W378" s="12" t="str">
        <f t="shared" si="1"/>
        <v/>
      </c>
      <c r="X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24"/>
      <c r="R379" s="16"/>
      <c r="S379" s="16"/>
      <c r="T379" s="17"/>
      <c r="U379" s="15"/>
      <c r="V379" s="15"/>
      <c r="W379" s="19" t="str">
        <f t="shared" si="1"/>
        <v/>
      </c>
      <c r="X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123"/>
      <c r="R380" s="9"/>
      <c r="S380" s="9"/>
      <c r="T380" s="10"/>
      <c r="U380" s="8"/>
      <c r="V380" s="8"/>
      <c r="W380" s="12" t="str">
        <f t="shared" si="1"/>
        <v/>
      </c>
      <c r="X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24"/>
      <c r="R381" s="16"/>
      <c r="S381" s="16"/>
      <c r="T381" s="17"/>
      <c r="U381" s="15"/>
      <c r="V381" s="15"/>
      <c r="W381" s="19" t="str">
        <f t="shared" si="1"/>
        <v/>
      </c>
      <c r="X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123"/>
      <c r="R382" s="9"/>
      <c r="S382" s="9"/>
      <c r="T382" s="10"/>
      <c r="U382" s="8"/>
      <c r="V382" s="8"/>
      <c r="W382" s="12" t="str">
        <f t="shared" si="1"/>
        <v/>
      </c>
      <c r="X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24"/>
      <c r="R383" s="16"/>
      <c r="S383" s="16"/>
      <c r="T383" s="17"/>
      <c r="U383" s="15"/>
      <c r="V383" s="15"/>
      <c r="W383" s="19" t="str">
        <f t="shared" si="1"/>
        <v/>
      </c>
      <c r="X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123"/>
      <c r="R384" s="9"/>
      <c r="S384" s="9"/>
      <c r="T384" s="10"/>
      <c r="U384" s="8"/>
      <c r="V384" s="8"/>
      <c r="W384" s="12" t="str">
        <f t="shared" si="1"/>
        <v/>
      </c>
      <c r="X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24"/>
      <c r="R385" s="16"/>
      <c r="S385" s="16"/>
      <c r="T385" s="17"/>
      <c r="U385" s="15"/>
      <c r="V385" s="15"/>
      <c r="W385" s="19" t="str">
        <f t="shared" si="1"/>
        <v/>
      </c>
      <c r="X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123"/>
      <c r="R386" s="9"/>
      <c r="S386" s="9"/>
      <c r="T386" s="10"/>
      <c r="U386" s="8"/>
      <c r="V386" s="8"/>
      <c r="W386" s="12" t="str">
        <f t="shared" si="1"/>
        <v/>
      </c>
      <c r="X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24"/>
      <c r="R387" s="16"/>
      <c r="S387" s="16"/>
      <c r="T387" s="17"/>
      <c r="U387" s="15"/>
      <c r="V387" s="15"/>
      <c r="W387" s="19" t="str">
        <f t="shared" si="1"/>
        <v/>
      </c>
      <c r="X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123"/>
      <c r="R388" s="9"/>
      <c r="S388" s="9"/>
      <c r="T388" s="10"/>
      <c r="U388" s="8"/>
      <c r="V388" s="8"/>
      <c r="W388" s="12" t="str">
        <f t="shared" si="1"/>
        <v/>
      </c>
      <c r="X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24"/>
      <c r="R389" s="16"/>
      <c r="S389" s="16"/>
      <c r="T389" s="17"/>
      <c r="U389" s="15"/>
      <c r="V389" s="15"/>
      <c r="W389" s="19" t="str">
        <f t="shared" si="1"/>
        <v/>
      </c>
      <c r="X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123"/>
      <c r="R390" s="9"/>
      <c r="S390" s="9"/>
      <c r="T390" s="10"/>
      <c r="U390" s="8"/>
      <c r="V390" s="8"/>
      <c r="W390" s="12" t="str">
        <f t="shared" si="1"/>
        <v/>
      </c>
      <c r="X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24"/>
      <c r="R391" s="16"/>
      <c r="S391" s="16"/>
      <c r="T391" s="17"/>
      <c r="U391" s="15"/>
      <c r="V391" s="15"/>
      <c r="W391" s="19" t="str">
        <f t="shared" si="1"/>
        <v/>
      </c>
      <c r="X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123"/>
      <c r="R392" s="9"/>
      <c r="S392" s="9"/>
      <c r="T392" s="10"/>
      <c r="U392" s="8"/>
      <c r="V392" s="8"/>
      <c r="W392" s="12" t="str">
        <f t="shared" si="1"/>
        <v/>
      </c>
      <c r="X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24"/>
      <c r="R393" s="16"/>
      <c r="S393" s="16"/>
      <c r="T393" s="17"/>
      <c r="U393" s="15"/>
      <c r="V393" s="15"/>
      <c r="W393" s="19" t="str">
        <f t="shared" si="1"/>
        <v/>
      </c>
      <c r="X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123"/>
      <c r="R394" s="9"/>
      <c r="S394" s="9"/>
      <c r="T394" s="10"/>
      <c r="U394" s="8"/>
      <c r="V394" s="8"/>
      <c r="W394" s="12" t="str">
        <f t="shared" si="1"/>
        <v/>
      </c>
      <c r="X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24"/>
      <c r="R395" s="16"/>
      <c r="S395" s="16"/>
      <c r="T395" s="17"/>
      <c r="U395" s="15"/>
      <c r="V395" s="15"/>
      <c r="W395" s="124"/>
      <c r="X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123"/>
      <c r="R396" s="9"/>
      <c r="S396" s="9"/>
      <c r="T396" s="10"/>
      <c r="U396" s="8"/>
      <c r="V396" s="8"/>
      <c r="W396" s="123"/>
      <c r="X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24"/>
      <c r="R397" s="16"/>
      <c r="S397" s="16"/>
      <c r="T397" s="17"/>
      <c r="U397" s="15"/>
      <c r="V397" s="15"/>
      <c r="W397" s="124"/>
      <c r="X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123"/>
      <c r="R398" s="9"/>
      <c r="S398" s="9"/>
      <c r="T398" s="10"/>
      <c r="U398" s="8"/>
      <c r="V398" s="8"/>
      <c r="W398" s="123"/>
      <c r="X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24"/>
      <c r="R399" s="16"/>
      <c r="S399" s="16"/>
      <c r="T399" s="17"/>
      <c r="U399" s="15"/>
      <c r="V399" s="15"/>
      <c r="W399" s="124"/>
      <c r="X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123"/>
      <c r="R400" s="9"/>
      <c r="S400" s="9"/>
      <c r="T400" s="10"/>
      <c r="U400" s="8"/>
      <c r="V400" s="8"/>
      <c r="W400" s="123"/>
      <c r="X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24"/>
      <c r="R401" s="16"/>
      <c r="S401" s="16"/>
      <c r="T401" s="17"/>
      <c r="U401" s="15"/>
      <c r="V401" s="15"/>
      <c r="W401" s="124"/>
      <c r="X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123"/>
      <c r="R402" s="9"/>
      <c r="S402" s="9"/>
      <c r="T402" s="10"/>
      <c r="U402" s="8"/>
      <c r="V402" s="8"/>
      <c r="W402" s="123"/>
      <c r="X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24"/>
      <c r="R403" s="16"/>
      <c r="S403" s="16"/>
      <c r="T403" s="17"/>
      <c r="U403" s="15"/>
      <c r="V403" s="15"/>
      <c r="W403" s="124"/>
      <c r="X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123"/>
      <c r="R404" s="9"/>
      <c r="S404" s="9"/>
      <c r="T404" s="10"/>
      <c r="U404" s="8"/>
      <c r="V404" s="8"/>
      <c r="W404" s="123"/>
      <c r="X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24"/>
      <c r="R405" s="16"/>
      <c r="S405" s="16"/>
      <c r="T405" s="17"/>
      <c r="U405" s="15"/>
      <c r="V405" s="15"/>
      <c r="W405" s="124"/>
      <c r="X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123"/>
      <c r="R406" s="9"/>
      <c r="S406" s="9"/>
      <c r="T406" s="10"/>
      <c r="U406" s="8"/>
      <c r="V406" s="8"/>
      <c r="W406" s="123"/>
      <c r="X406" s="123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6"/>
      <c r="R407" s="127"/>
      <c r="S407" s="127"/>
      <c r="T407" s="128"/>
      <c r="U407" s="125"/>
      <c r="V407" s="125"/>
      <c r="W407" s="126"/>
      <c r="X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30"/>
      <c r="R408" s="131"/>
      <c r="S408" s="131"/>
      <c r="T408" s="132"/>
      <c r="U408" s="129"/>
      <c r="V408" s="129"/>
      <c r="W408" s="130"/>
      <c r="X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6"/>
      <c r="R409" s="127"/>
      <c r="S409" s="127"/>
      <c r="T409" s="128"/>
      <c r="U409" s="125"/>
      <c r="V409" s="125"/>
      <c r="W409" s="126"/>
      <c r="X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30"/>
      <c r="R410" s="131"/>
      <c r="S410" s="131"/>
      <c r="T410" s="132"/>
      <c r="U410" s="129"/>
      <c r="V410" s="129"/>
      <c r="W410" s="130"/>
      <c r="X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6"/>
      <c r="R411" s="127"/>
      <c r="S411" s="127"/>
      <c r="T411" s="128"/>
      <c r="U411" s="125"/>
      <c r="V411" s="125"/>
      <c r="W411" s="126"/>
      <c r="X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30"/>
      <c r="R412" s="131"/>
      <c r="S412" s="131"/>
      <c r="T412" s="132"/>
      <c r="U412" s="129"/>
      <c r="V412" s="129"/>
      <c r="W412" s="130"/>
      <c r="X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6"/>
      <c r="R413" s="127"/>
      <c r="S413" s="127"/>
      <c r="T413" s="128"/>
      <c r="U413" s="125"/>
      <c r="V413" s="125"/>
      <c r="W413" s="126"/>
      <c r="X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30"/>
      <c r="R414" s="131"/>
      <c r="S414" s="131"/>
      <c r="T414" s="132"/>
      <c r="U414" s="129"/>
      <c r="V414" s="129"/>
      <c r="W414" s="130"/>
      <c r="X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6"/>
      <c r="R415" s="127"/>
      <c r="S415" s="127"/>
      <c r="T415" s="128"/>
      <c r="U415" s="125"/>
      <c r="V415" s="125"/>
      <c r="W415" s="126"/>
      <c r="X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30"/>
      <c r="R416" s="131"/>
      <c r="S416" s="131"/>
      <c r="T416" s="132"/>
      <c r="U416" s="129"/>
      <c r="V416" s="129"/>
      <c r="W416" s="130"/>
      <c r="X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6"/>
      <c r="R417" s="127"/>
      <c r="S417" s="127"/>
      <c r="T417" s="128"/>
      <c r="U417" s="125"/>
      <c r="V417" s="125"/>
      <c r="W417" s="126"/>
      <c r="X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30"/>
      <c r="R418" s="131"/>
      <c r="S418" s="131"/>
      <c r="T418" s="132"/>
      <c r="U418" s="129"/>
      <c r="V418" s="129"/>
      <c r="W418" s="130"/>
      <c r="X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6"/>
      <c r="R419" s="127"/>
      <c r="S419" s="127"/>
      <c r="T419" s="128"/>
      <c r="U419" s="125"/>
      <c r="V419" s="125"/>
      <c r="W419" s="126"/>
      <c r="X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30"/>
      <c r="R420" s="131"/>
      <c r="S420" s="131"/>
      <c r="T420" s="132"/>
      <c r="U420" s="129"/>
      <c r="V420" s="129"/>
      <c r="W420" s="130"/>
      <c r="X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6"/>
      <c r="R421" s="127"/>
      <c r="S421" s="127"/>
      <c r="T421" s="128"/>
      <c r="U421" s="125"/>
      <c r="V421" s="125"/>
      <c r="W421" s="126"/>
      <c r="X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30"/>
      <c r="R422" s="131"/>
      <c r="S422" s="131"/>
      <c r="T422" s="132"/>
      <c r="U422" s="129"/>
      <c r="V422" s="129"/>
      <c r="W422" s="130"/>
      <c r="X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6"/>
      <c r="R423" s="127"/>
      <c r="S423" s="127"/>
      <c r="T423" s="128"/>
      <c r="U423" s="125"/>
      <c r="V423" s="125"/>
      <c r="W423" s="126"/>
      <c r="X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30"/>
      <c r="R424" s="131"/>
      <c r="S424" s="131"/>
      <c r="T424" s="132"/>
      <c r="U424" s="129"/>
      <c r="V424" s="129"/>
      <c r="W424" s="130"/>
      <c r="X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6"/>
      <c r="R425" s="127"/>
      <c r="S425" s="127"/>
      <c r="T425" s="128"/>
      <c r="U425" s="125"/>
      <c r="V425" s="125"/>
      <c r="W425" s="126"/>
      <c r="X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30"/>
      <c r="R426" s="131"/>
      <c r="S426" s="131"/>
      <c r="T426" s="132"/>
      <c r="U426" s="129"/>
      <c r="V426" s="129"/>
      <c r="W426" s="130"/>
      <c r="X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6"/>
      <c r="R427" s="127"/>
      <c r="S427" s="127"/>
      <c r="T427" s="128"/>
      <c r="U427" s="125"/>
      <c r="V427" s="125"/>
      <c r="W427" s="126"/>
      <c r="X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30"/>
      <c r="R428" s="131"/>
      <c r="S428" s="131"/>
      <c r="T428" s="132"/>
      <c r="U428" s="129"/>
      <c r="V428" s="129"/>
      <c r="W428" s="130"/>
      <c r="X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6"/>
      <c r="R429" s="127"/>
      <c r="S429" s="127"/>
      <c r="T429" s="128"/>
      <c r="U429" s="125"/>
      <c r="V429" s="125"/>
      <c r="W429" s="126"/>
      <c r="X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30"/>
      <c r="R430" s="131"/>
      <c r="S430" s="131"/>
      <c r="T430" s="132"/>
      <c r="U430" s="129"/>
      <c r="V430" s="129"/>
      <c r="W430" s="130"/>
      <c r="X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6"/>
      <c r="R431" s="127"/>
      <c r="S431" s="127"/>
      <c r="T431" s="128"/>
      <c r="U431" s="125"/>
      <c r="V431" s="125"/>
      <c r="W431" s="126"/>
      <c r="X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30"/>
      <c r="R432" s="131"/>
      <c r="S432" s="131"/>
      <c r="T432" s="132"/>
      <c r="U432" s="129"/>
      <c r="V432" s="129"/>
      <c r="W432" s="130"/>
      <c r="X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6"/>
      <c r="R433" s="127"/>
      <c r="S433" s="127"/>
      <c r="T433" s="128"/>
      <c r="U433" s="125"/>
      <c r="V433" s="125"/>
      <c r="W433" s="126"/>
      <c r="X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30"/>
      <c r="R434" s="131"/>
      <c r="S434" s="131"/>
      <c r="T434" s="132"/>
      <c r="U434" s="129"/>
      <c r="V434" s="129"/>
      <c r="W434" s="130"/>
      <c r="X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6"/>
      <c r="R435" s="127"/>
      <c r="S435" s="127"/>
      <c r="T435" s="128"/>
      <c r="U435" s="125"/>
      <c r="V435" s="125"/>
      <c r="W435" s="126"/>
      <c r="X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30"/>
      <c r="R436" s="131"/>
      <c r="S436" s="131"/>
      <c r="T436" s="132"/>
      <c r="U436" s="129"/>
      <c r="V436" s="129"/>
      <c r="W436" s="130"/>
      <c r="X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6"/>
      <c r="R437" s="127"/>
      <c r="S437" s="127"/>
      <c r="T437" s="128"/>
      <c r="U437" s="125"/>
      <c r="V437" s="125"/>
      <c r="W437" s="126"/>
      <c r="X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30"/>
      <c r="R438" s="131"/>
      <c r="S438" s="131"/>
      <c r="T438" s="132"/>
      <c r="U438" s="129"/>
      <c r="V438" s="129"/>
      <c r="W438" s="130"/>
      <c r="X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6"/>
      <c r="R439" s="127"/>
      <c r="S439" s="127"/>
      <c r="T439" s="128"/>
      <c r="U439" s="125"/>
      <c r="V439" s="125"/>
      <c r="W439" s="126"/>
      <c r="X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30"/>
      <c r="R440" s="131"/>
      <c r="S440" s="131"/>
      <c r="T440" s="132"/>
      <c r="U440" s="129"/>
      <c r="V440" s="129"/>
      <c r="W440" s="130"/>
      <c r="X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6"/>
      <c r="R441" s="127"/>
      <c r="S441" s="127"/>
      <c r="T441" s="128"/>
      <c r="U441" s="125"/>
      <c r="V441" s="125"/>
      <c r="W441" s="126"/>
      <c r="X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30"/>
      <c r="R442" s="131"/>
      <c r="S442" s="131"/>
      <c r="T442" s="132"/>
      <c r="U442" s="129"/>
      <c r="V442" s="129"/>
      <c r="W442" s="130"/>
      <c r="X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6"/>
      <c r="R443" s="127"/>
      <c r="S443" s="127"/>
      <c r="T443" s="128"/>
      <c r="U443" s="125"/>
      <c r="V443" s="125"/>
      <c r="W443" s="126"/>
      <c r="X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30"/>
      <c r="R444" s="131"/>
      <c r="S444" s="131"/>
      <c r="T444" s="132"/>
      <c r="U444" s="129"/>
      <c r="V444" s="129"/>
      <c r="W444" s="130"/>
      <c r="X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6"/>
      <c r="R445" s="127"/>
      <c r="S445" s="127"/>
      <c r="T445" s="128"/>
      <c r="U445" s="125"/>
      <c r="V445" s="125"/>
      <c r="W445" s="126"/>
      <c r="X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30"/>
      <c r="R446" s="131"/>
      <c r="S446" s="131"/>
      <c r="T446" s="132"/>
      <c r="U446" s="129"/>
      <c r="V446" s="129"/>
      <c r="W446" s="130"/>
      <c r="X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6"/>
      <c r="R447" s="127"/>
      <c r="S447" s="127"/>
      <c r="T447" s="128"/>
      <c r="U447" s="125"/>
      <c r="V447" s="125"/>
      <c r="W447" s="126"/>
      <c r="X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30"/>
      <c r="R448" s="131"/>
      <c r="S448" s="131"/>
      <c r="T448" s="132"/>
      <c r="U448" s="129"/>
      <c r="V448" s="129"/>
      <c r="W448" s="130"/>
      <c r="X448" s="130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126"/>
      <c r="X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130"/>
      <c r="X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126"/>
      <c r="X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130"/>
      <c r="X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126"/>
      <c r="X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130"/>
      <c r="X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126"/>
      <c r="X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130"/>
      <c r="X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126"/>
      <c r="X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</row>
  </sheetData>
  <autoFilter ref="$A$1:$AB$406"/>
  <customSheetViews>
    <customSheetView guid="{BA551338-6311-4C02-9137-137E692B7D93}" filter="1" showAutoFilter="1">
      <autoFilter ref="$A$1:$X$406">
        <filterColumn colId="16">
          <filters>
            <filter val="2.50"/>
            <filter val="0.00"/>
            <filter val="3.25"/>
            <filter val="0.75"/>
            <filter val="1.00"/>
            <filter val="8.00"/>
            <filter val="3.75"/>
            <filter val="0.50"/>
            <filter val="-3.50"/>
            <filter val="-1.50"/>
            <filter val="-2.50"/>
            <filter val="-2.75"/>
            <filter val="1.25"/>
            <filter val="-0.50"/>
            <filter val="0.25"/>
            <filter val="-0.75"/>
            <filter val="-1.75"/>
            <filter val="-1.00"/>
            <filter val="-2.25"/>
            <filter val="-0.25"/>
          </filters>
        </filterColumn>
      </autoFilter>
    </customSheetView>
    <customSheetView guid="{F477B962-7F95-4B58-B796-7F91B20D0221}" filter="1" showAutoFilter="1">
      <autoFilter ref="$A$1:$AB$406">
        <filterColumn colId="14">
          <filters>
            <filter val="Cartões"/>
            <filter val="AH-"/>
            <filter val="Cantos+"/>
            <filter val="Under"/>
            <filter val="NG"/>
            <filter val="BTTS Não"/>
            <filter val="AH+ HT"/>
            <filter val="DC"/>
          </filters>
        </filterColumn>
      </autoFilter>
    </customSheetView>
    <customSheetView guid="{B1E9CC24-145D-4007-8A11-90FD9E435072}" filter="1" showAutoFilter="1">
      <autoFilter ref="$A$1:$AB$406">
        <filterColumn colId="12">
          <filters>
            <filter val="Polônia"/>
            <filter val="Hungria"/>
            <filter val="Nigéria"/>
            <filter val="Bolívia"/>
            <filter val="África Sul"/>
            <filter val="Geórgia"/>
            <filter val="EUA"/>
            <filter val="Malaui"/>
            <filter val="El Salvador"/>
            <filter val="Mali"/>
            <filter val="Noruega"/>
            <filter val="Romênia"/>
            <filter val="Islândia"/>
            <filter val="Chile"/>
            <filter val="Argentina"/>
            <filter val="Argélia"/>
            <filter val="Colômbia"/>
            <filter val="Azerbaijão"/>
            <filter val="Bélgica"/>
            <filter val="Zimbabué"/>
            <filter val="Serra Leoa"/>
            <filter val="Croácia"/>
            <filter val="Rep. Tcheca"/>
            <filter val="Catar"/>
            <filter val="Hong Kong"/>
            <filter val="Etiopia"/>
            <filter val="Ilhas Faroé"/>
            <filter val="Bos. e Herz"/>
            <filter val="Lituânia"/>
            <filter val="Kosovo"/>
            <filter val="Bósnia e Herz."/>
            <filter val="Filipinas"/>
            <filter val="Irlanda"/>
            <filter val="USA"/>
            <filter val="Jordânia"/>
            <filter val="Internacional"/>
            <filter val="Áustria"/>
            <filter val="Mongólia"/>
            <filter val="Nicaragua"/>
            <filter val="Camarões"/>
          </filters>
        </filterColumn>
      </autoFilter>
    </customSheetView>
    <customSheetView guid="{978C25F2-69C0-4E3B-8EFC-6A6EC3E48DD3}" filter="1" showAutoFilter="1">
      <autoFilter ref="$A$1:$AB$406"/>
    </customSheetView>
    <customSheetView guid="{9BA04A38-02DA-4F02-BBBB-302FC15326E0}" filter="1" showAutoFilter="1">
      <autoFilter ref="$A$1:$X$406">
        <filterColumn colId="14">
          <filters>
            <filter val="Cartões"/>
            <filter val="AH-"/>
            <filter val="NG"/>
            <filter val="BTTS Não"/>
            <filter val="AH+ HT"/>
            <filter val="DC"/>
          </filters>
        </filterColumn>
      </autoFilter>
    </customSheetView>
    <customSheetView guid="{3D13BECD-F97B-4CC8-B9FC-728C2CBFEBF1}" filter="1" showAutoFilter="1">
      <autoFilter ref="$A$1:$X$406">
        <filterColumn colId="12">
          <filters>
            <filter val="Finlândia"/>
            <filter val="Nigéria"/>
            <filter val="Geórgia"/>
            <filter val="Líbano"/>
            <filter val="Tanzânia"/>
            <filter val="Mali"/>
            <filter val="Islândia"/>
            <filter val="Argentina"/>
            <filter val="Seychelles"/>
            <filter val="Níger"/>
            <filter val="Colômbia"/>
            <filter val="Azerbaijão"/>
            <filter val="Zimbabué"/>
            <filter val="Serra Leoa"/>
            <filter val="Austrália"/>
            <filter val="Catar"/>
            <filter val="Hong Kong"/>
            <filter val="Etiopia"/>
            <filter val="Ilhas Faroé"/>
            <filter val="Mauritânia"/>
            <filter val="Bos. e Herz"/>
            <filter val="Bósnia e Herz."/>
            <filter val="Filipinas"/>
            <filter val="USA"/>
            <filter val="Índia"/>
            <filter val="Jordânia"/>
            <filter val="Paises Baixos"/>
            <filter val="Mongólia"/>
            <filter val="Nicaragua"/>
            <filter val="Camarões"/>
          </filters>
        </filterColumn>
      </autoFilter>
    </customSheetView>
    <customSheetView guid="{9B5C888F-E11A-4842-8D0B-62F1614802A4}" filter="1" showAutoFilter="1">
      <autoFilter ref="$A$1:$W$284">
        <filterColumn colId="14">
          <filters>
            <filter val="AH+"/>
            <filter val="Cartões"/>
            <filter val="AH-"/>
            <filter val="BTTS Não"/>
            <filter val="AH+ HT"/>
            <filter val="DC"/>
          </filters>
        </filterColumn>
      </autoFilter>
    </customSheetView>
    <customSheetView guid="{D9D1A42E-DDFC-4032-8664-60A2E47E0D40}" filter="1" showAutoFilter="1">
      <autoFilter ref="$A$1:$W$284"/>
    </customSheetView>
    <customSheetView guid="{8BE028A4-B37D-4082-AE82-07BBC89EBB11}" filter="1" showAutoFilter="1">
      <autoFilter ref="$A$1:$X$406"/>
    </customSheetView>
    <customSheetView guid="{C0AB1544-F4B4-45C0-8975-97F745A006DC}" filter="1" showAutoFilter="1">
      <autoFilter ref="$A$1:$AB$406"/>
    </customSheetView>
  </customSheetViews>
  <mergeCells count="13">
    <mergeCell ref="Z66:AB66"/>
    <mergeCell ref="Z67:AB67"/>
    <mergeCell ref="Z68:AB68"/>
    <mergeCell ref="Z69:AB69"/>
    <mergeCell ref="Z70:AB70"/>
    <mergeCell ref="Z71:AB71"/>
    <mergeCell ref="Z59:AB59"/>
    <mergeCell ref="Z60:AB60"/>
    <mergeCell ref="Z61:AB61"/>
    <mergeCell ref="Z62:AB62"/>
    <mergeCell ref="Z63:AB63"/>
    <mergeCell ref="Z64:AB64"/>
    <mergeCell ref="Z65:AB65"/>
  </mergeCells>
  <conditionalFormatting sqref="V2:V499">
    <cfRule type="cellIs" dxfId="0" priority="1" operator="equal">
      <formula>"Ganha"</formula>
    </cfRule>
  </conditionalFormatting>
  <conditionalFormatting sqref="V2:V499">
    <cfRule type="cellIs" dxfId="1" priority="2" operator="equal">
      <formula>"Ganha/devolvida"</formula>
    </cfRule>
  </conditionalFormatting>
  <conditionalFormatting sqref="V2:V499">
    <cfRule type="cellIs" dxfId="2" priority="3" operator="equal">
      <formula>"Devolvida"</formula>
    </cfRule>
  </conditionalFormatting>
  <conditionalFormatting sqref="V2:V499">
    <cfRule type="cellIs" dxfId="3" priority="4" operator="equal">
      <formula>"Perdida/devolvida"</formula>
    </cfRule>
  </conditionalFormatting>
  <conditionalFormatting sqref="V2:V499">
    <cfRule type="cellIs" dxfId="4" priority="5" operator="equal">
      <formula>"Perdida"</formula>
    </cfRule>
  </conditionalFormatting>
  <conditionalFormatting sqref="W2:W457 X2:X998 AA2:AA35">
    <cfRule type="cellIs" dxfId="0" priority="6" operator="greaterThan">
      <formula>0</formula>
    </cfRule>
  </conditionalFormatting>
  <conditionalFormatting sqref="W2:W457 X2:X998 AA2:AA35">
    <cfRule type="cellIs" dxfId="4" priority="7" operator="lessThan">
      <formula>0</formula>
    </cfRule>
  </conditionalFormatting>
  <conditionalFormatting sqref="W2:W998 X2:X13 AA2:AA35">
    <cfRule type="cellIs" dxfId="2" priority="8" operator="equal">
      <formula>0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3.75"/>
    <col customWidth="1" min="6" max="6" width="60.88"/>
    <col customWidth="1" min="7" max="7" width="8.38"/>
    <col customWidth="1" min="8" max="8" width="9.25"/>
    <col customWidth="1" min="9" max="9" width="12.88"/>
    <col customWidth="1" min="10" max="10" width="11.25"/>
    <col customWidth="1" min="11" max="11" width="4.5"/>
    <col customWidth="1" min="12" max="12" width="8.13"/>
    <col customWidth="1" min="13" max="13" width="9.5"/>
    <col customWidth="1" min="14" max="17" width="5.88"/>
    <col customWidth="1" min="18" max="18" width="6.5"/>
    <col customWidth="1" min="19" max="19" width="14.75"/>
    <col customWidth="1" min="20" max="20" width="10.75"/>
    <col customWidth="1" min="21" max="21" width="7.25"/>
    <col customWidth="1" min="22" max="22" width="4.13"/>
    <col customWidth="1" min="23" max="23" width="6.25"/>
    <col customWidth="1" min="24" max="24" width="6.5"/>
    <col customWidth="1" min="25" max="25" width="11.25"/>
  </cols>
  <sheetData>
    <row r="1">
      <c r="A1" s="2" t="s">
        <v>5560</v>
      </c>
      <c r="B1" s="2" t="s">
        <v>1</v>
      </c>
      <c r="C1" s="2" t="s">
        <v>2</v>
      </c>
      <c r="D1" s="2" t="s">
        <v>1462</v>
      </c>
      <c r="E1" s="2" t="s">
        <v>1480</v>
      </c>
      <c r="F1" s="3" t="s">
        <v>3</v>
      </c>
      <c r="G1" s="2" t="s">
        <v>1466</v>
      </c>
      <c r="H1" s="2" t="s">
        <v>1467</v>
      </c>
      <c r="I1" s="2" t="s">
        <v>1468</v>
      </c>
      <c r="J1" s="3" t="s">
        <v>4</v>
      </c>
      <c r="K1" s="3" t="s">
        <v>5</v>
      </c>
      <c r="L1" s="3" t="s">
        <v>6</v>
      </c>
      <c r="M1" s="2" t="s">
        <v>7</v>
      </c>
      <c r="N1" s="4" t="s">
        <v>8</v>
      </c>
      <c r="O1" s="5" t="s">
        <v>9</v>
      </c>
      <c r="P1" s="4" t="s">
        <v>10</v>
      </c>
      <c r="Q1" s="6" t="s">
        <v>11</v>
      </c>
      <c r="R1" s="97" t="s">
        <v>12</v>
      </c>
      <c r="S1" s="3" t="s">
        <v>13</v>
      </c>
      <c r="T1" s="4" t="s">
        <v>2372</v>
      </c>
      <c r="U1" s="4" t="s">
        <v>15</v>
      </c>
      <c r="W1" s="3" t="s">
        <v>16</v>
      </c>
      <c r="X1" s="3" t="s">
        <v>15</v>
      </c>
      <c r="Y1" s="3" t="s">
        <v>17</v>
      </c>
    </row>
    <row r="2">
      <c r="A2" s="8">
        <f>1</f>
        <v>1</v>
      </c>
      <c r="B2" s="8" t="s">
        <v>129</v>
      </c>
      <c r="C2" s="8" t="s">
        <v>19</v>
      </c>
      <c r="D2" s="8">
        <v>68.0</v>
      </c>
      <c r="E2" s="8">
        <v>3.0</v>
      </c>
      <c r="F2" s="8" t="s">
        <v>4872</v>
      </c>
      <c r="G2" s="8" t="s">
        <v>5564</v>
      </c>
      <c r="H2" s="8" t="s">
        <v>2660</v>
      </c>
      <c r="I2" s="8">
        <v>-1.0</v>
      </c>
      <c r="J2" s="8" t="s">
        <v>193</v>
      </c>
      <c r="K2" s="8" t="s">
        <v>22</v>
      </c>
      <c r="L2" s="8" t="s">
        <v>892</v>
      </c>
      <c r="M2" s="8" t="s">
        <v>24</v>
      </c>
      <c r="N2" s="9">
        <v>0.0</v>
      </c>
      <c r="O2" s="9">
        <v>0.5</v>
      </c>
      <c r="P2" s="9">
        <v>0.5</v>
      </c>
      <c r="Q2" s="10">
        <v>45384.0</v>
      </c>
      <c r="R2" s="11">
        <v>2.1</v>
      </c>
      <c r="S2" s="8" t="s">
        <v>70</v>
      </c>
      <c r="T2" s="12">
        <f t="shared" ref="T2:T394" si="1">IF(S2="ganha",(P2*(R2-1)),IF(S2="perdida",-P2,IF(S2="devolvida",0,IF(S2="ganha/devolvida",((P2*(R2-1)))/2,IF(S2="perdida/devolvida",-P2/2,IF(S2="Aguardando",0,""))))))</f>
        <v>0</v>
      </c>
      <c r="U2" s="12">
        <f>T2</f>
        <v>0</v>
      </c>
      <c r="W2" s="66">
        <v>45383.0</v>
      </c>
      <c r="X2" s="13">
        <f t="shared" ref="X2:X32" si="2">SUMIF($Q$2:$Q$2981,W2,$T$2:$T$2981)</f>
        <v>0</v>
      </c>
      <c r="Y2" s="14">
        <f>SUMIF($S$2:$S$2981,"Aguardando",$P$2:$P$2981)</f>
        <v>0</v>
      </c>
    </row>
    <row r="3" ht="16.5" customHeight="1">
      <c r="A3" s="15">
        <f t="shared" ref="A3:A406" si="3">A2+1</f>
        <v>2</v>
      </c>
      <c r="B3" s="15" t="s">
        <v>131</v>
      </c>
      <c r="C3" s="15" t="s">
        <v>19</v>
      </c>
      <c r="D3" s="15">
        <v>85.0</v>
      </c>
      <c r="E3" s="15">
        <v>7.0</v>
      </c>
      <c r="F3" s="15" t="s">
        <v>4873</v>
      </c>
      <c r="G3" s="15"/>
      <c r="H3" s="15"/>
      <c r="I3" s="15" t="s">
        <v>2615</v>
      </c>
      <c r="J3" s="15" t="s">
        <v>157</v>
      </c>
      <c r="K3" s="15" t="s">
        <v>22</v>
      </c>
      <c r="L3" s="15" t="s">
        <v>2939</v>
      </c>
      <c r="M3" s="15" t="s">
        <v>24</v>
      </c>
      <c r="N3" s="16">
        <v>-3.5</v>
      </c>
      <c r="O3" s="16">
        <v>0.1</v>
      </c>
      <c r="P3" s="16">
        <v>0.1</v>
      </c>
      <c r="Q3" s="17">
        <v>45384.0</v>
      </c>
      <c r="R3" s="18">
        <v>1.7</v>
      </c>
      <c r="S3" s="15" t="s">
        <v>33</v>
      </c>
      <c r="T3" s="19">
        <f t="shared" si="1"/>
        <v>0.07</v>
      </c>
      <c r="U3" s="19">
        <f t="shared" ref="U3:U358" si="4">U2+T3</f>
        <v>0.07</v>
      </c>
      <c r="W3" s="66">
        <v>45384.0</v>
      </c>
      <c r="X3" s="13">
        <f t="shared" si="2"/>
        <v>0.8</v>
      </c>
    </row>
    <row r="4">
      <c r="A4" s="8">
        <f t="shared" si="3"/>
        <v>3</v>
      </c>
      <c r="B4" s="8" t="s">
        <v>131</v>
      </c>
      <c r="C4" s="8" t="s">
        <v>19</v>
      </c>
      <c r="D4" s="8">
        <v>37.0</v>
      </c>
      <c r="E4" s="8">
        <v>3.0</v>
      </c>
      <c r="F4" s="8" t="s">
        <v>4874</v>
      </c>
      <c r="G4" s="8" t="s">
        <v>5565</v>
      </c>
      <c r="H4" s="8" t="s">
        <v>2660</v>
      </c>
      <c r="I4" s="8">
        <v>-1.0</v>
      </c>
      <c r="J4" s="8" t="s">
        <v>191</v>
      </c>
      <c r="K4" s="8" t="s">
        <v>22</v>
      </c>
      <c r="L4" s="8" t="s">
        <v>2805</v>
      </c>
      <c r="M4" s="8" t="s">
        <v>24</v>
      </c>
      <c r="N4" s="9">
        <v>0.0</v>
      </c>
      <c r="O4" s="9">
        <v>0.4</v>
      </c>
      <c r="P4" s="9">
        <v>0.4</v>
      </c>
      <c r="Q4" s="10">
        <v>45384.0</v>
      </c>
      <c r="R4" s="11">
        <v>1.7</v>
      </c>
      <c r="S4" s="8" t="s">
        <v>33</v>
      </c>
      <c r="T4" s="12">
        <f t="shared" si="1"/>
        <v>0.28</v>
      </c>
      <c r="U4" s="12">
        <f t="shared" si="4"/>
        <v>0.35</v>
      </c>
      <c r="W4" s="66">
        <v>45385.0</v>
      </c>
      <c r="X4" s="13">
        <f t="shared" si="2"/>
        <v>0.0575</v>
      </c>
      <c r="Y4" s="3" t="s">
        <v>34</v>
      </c>
    </row>
    <row r="5">
      <c r="A5" s="15">
        <f t="shared" si="3"/>
        <v>4</v>
      </c>
      <c r="B5" s="15" t="s">
        <v>18</v>
      </c>
      <c r="C5" s="15" t="s">
        <v>19</v>
      </c>
      <c r="D5" s="15">
        <v>82.0</v>
      </c>
      <c r="E5" s="15">
        <v>3.0</v>
      </c>
      <c r="F5" s="15" t="s">
        <v>4875</v>
      </c>
      <c r="G5" s="15" t="s">
        <v>5564</v>
      </c>
      <c r="H5" s="15" t="s">
        <v>2660</v>
      </c>
      <c r="I5" s="15">
        <v>0.0</v>
      </c>
      <c r="J5" s="15" t="s">
        <v>174</v>
      </c>
      <c r="K5" s="15" t="s">
        <v>22</v>
      </c>
      <c r="L5" s="15" t="s">
        <v>892</v>
      </c>
      <c r="M5" s="15" t="s">
        <v>24</v>
      </c>
      <c r="N5" s="16">
        <v>0.0</v>
      </c>
      <c r="O5" s="16">
        <v>0.5</v>
      </c>
      <c r="P5" s="16">
        <v>0.5</v>
      </c>
      <c r="Q5" s="17">
        <v>45384.0</v>
      </c>
      <c r="R5" s="18">
        <v>1.775</v>
      </c>
      <c r="S5" s="15" t="s">
        <v>70</v>
      </c>
      <c r="T5" s="19">
        <f t="shared" si="1"/>
        <v>0</v>
      </c>
      <c r="U5" s="19">
        <f t="shared" si="4"/>
        <v>0.35</v>
      </c>
      <c r="W5" s="66">
        <v>45386.0</v>
      </c>
      <c r="X5" s="13">
        <f t="shared" si="2"/>
        <v>0.29</v>
      </c>
      <c r="Y5" s="20">
        <f>sum(P2:P1014)</f>
        <v>103.4867918</v>
      </c>
    </row>
    <row r="6">
      <c r="A6" s="8">
        <f t="shared" si="3"/>
        <v>5</v>
      </c>
      <c r="B6" s="8" t="s">
        <v>26</v>
      </c>
      <c r="C6" s="8" t="s">
        <v>19</v>
      </c>
      <c r="D6" s="8">
        <v>28.0</v>
      </c>
      <c r="E6" s="8">
        <v>2.0</v>
      </c>
      <c r="F6" s="8" t="s">
        <v>4876</v>
      </c>
      <c r="G6" s="8" t="s">
        <v>5565</v>
      </c>
      <c r="H6" s="8" t="s">
        <v>2556</v>
      </c>
      <c r="I6" s="8">
        <v>0.0</v>
      </c>
      <c r="J6" s="8" t="s">
        <v>463</v>
      </c>
      <c r="K6" s="8" t="s">
        <v>22</v>
      </c>
      <c r="L6" s="8" t="s">
        <v>225</v>
      </c>
      <c r="M6" s="8" t="s">
        <v>1803</v>
      </c>
      <c r="N6" s="9">
        <v>0.5</v>
      </c>
      <c r="O6" s="9">
        <v>1.0</v>
      </c>
      <c r="P6" s="9">
        <v>1.0</v>
      </c>
      <c r="Q6" s="10">
        <v>45384.0</v>
      </c>
      <c r="R6" s="11">
        <v>1.8</v>
      </c>
      <c r="S6" s="8" t="s">
        <v>33</v>
      </c>
      <c r="T6" s="12">
        <f t="shared" si="1"/>
        <v>0.8</v>
      </c>
      <c r="U6" s="12">
        <f t="shared" si="4"/>
        <v>1.15</v>
      </c>
      <c r="W6" s="66">
        <v>45387.0</v>
      </c>
      <c r="X6" s="13">
        <f t="shared" si="2"/>
        <v>2.296226415</v>
      </c>
    </row>
    <row r="7">
      <c r="A7" s="15">
        <f t="shared" si="3"/>
        <v>6</v>
      </c>
      <c r="B7" s="15" t="s">
        <v>26</v>
      </c>
      <c r="C7" s="15" t="s">
        <v>19</v>
      </c>
      <c r="D7" s="15">
        <v>84.0</v>
      </c>
      <c r="E7" s="15">
        <v>10.0</v>
      </c>
      <c r="F7" s="15" t="s">
        <v>4877</v>
      </c>
      <c r="G7" s="15" t="s">
        <v>5564</v>
      </c>
      <c r="H7" s="15" t="s">
        <v>2556</v>
      </c>
      <c r="I7" s="15">
        <v>0.0</v>
      </c>
      <c r="J7" s="15" t="s">
        <v>463</v>
      </c>
      <c r="K7" s="15" t="s">
        <v>22</v>
      </c>
      <c r="L7" s="15" t="s">
        <v>1847</v>
      </c>
      <c r="M7" s="15" t="s">
        <v>1803</v>
      </c>
      <c r="N7" s="16">
        <v>-0.5</v>
      </c>
      <c r="O7" s="16">
        <v>0.2</v>
      </c>
      <c r="P7" s="16">
        <v>0.15</v>
      </c>
      <c r="Q7" s="17">
        <v>45384.0</v>
      </c>
      <c r="R7" s="18">
        <v>3.75</v>
      </c>
      <c r="S7" s="15" t="s">
        <v>25</v>
      </c>
      <c r="T7" s="19">
        <f t="shared" si="1"/>
        <v>-0.15</v>
      </c>
      <c r="U7" s="19">
        <f t="shared" si="4"/>
        <v>1</v>
      </c>
      <c r="W7" s="66">
        <v>45388.0</v>
      </c>
      <c r="X7" s="13">
        <f t="shared" si="2"/>
        <v>-1.2575</v>
      </c>
      <c r="Y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>
        <v>85.0</v>
      </c>
      <c r="E8" s="8">
        <v>10.0</v>
      </c>
      <c r="F8" s="8" t="s">
        <v>4878</v>
      </c>
      <c r="G8" s="8"/>
      <c r="H8" s="8"/>
      <c r="I8" s="8">
        <v>0.0</v>
      </c>
      <c r="J8" s="8" t="s">
        <v>463</v>
      </c>
      <c r="K8" s="8" t="s">
        <v>22</v>
      </c>
      <c r="L8" s="8" t="s">
        <v>440</v>
      </c>
      <c r="M8" s="8" t="s">
        <v>1803</v>
      </c>
      <c r="N8" s="9">
        <v>2.5</v>
      </c>
      <c r="O8" s="9">
        <v>0.2</v>
      </c>
      <c r="P8" s="9">
        <v>0.2</v>
      </c>
      <c r="Q8" s="10">
        <v>45384.0</v>
      </c>
      <c r="R8" s="11">
        <v>2.3</v>
      </c>
      <c r="S8" s="8" t="s">
        <v>25</v>
      </c>
      <c r="T8" s="12">
        <f t="shared" si="1"/>
        <v>-0.2</v>
      </c>
      <c r="U8" s="12">
        <f t="shared" si="4"/>
        <v>0.8</v>
      </c>
      <c r="W8" s="66">
        <v>45389.0</v>
      </c>
      <c r="X8" s="13">
        <f t="shared" si="2"/>
        <v>1.44764593</v>
      </c>
      <c r="Y8" s="21">
        <f>X33/(SUM(P2:P4934)-Y2)</f>
        <v>-0.01124368274</v>
      </c>
    </row>
    <row r="9">
      <c r="A9" s="15">
        <f t="shared" si="3"/>
        <v>8</v>
      </c>
      <c r="B9" s="15" t="s">
        <v>26</v>
      </c>
      <c r="C9" s="15" t="s">
        <v>19</v>
      </c>
      <c r="D9" s="15">
        <v>29.0</v>
      </c>
      <c r="E9" s="15">
        <v>30.0</v>
      </c>
      <c r="F9" s="15" t="s">
        <v>4879</v>
      </c>
      <c r="G9" s="15" t="s">
        <v>5565</v>
      </c>
      <c r="H9" s="15" t="s">
        <v>2660</v>
      </c>
      <c r="I9" s="15">
        <f>1</f>
        <v>1</v>
      </c>
      <c r="J9" s="15" t="s">
        <v>38</v>
      </c>
      <c r="K9" s="15" t="s">
        <v>22</v>
      </c>
      <c r="L9" s="15" t="s">
        <v>1150</v>
      </c>
      <c r="M9" s="15" t="s">
        <v>24</v>
      </c>
      <c r="N9" s="16">
        <v>0.0</v>
      </c>
      <c r="O9" s="16">
        <v>0.2</v>
      </c>
      <c r="P9" s="16">
        <v>0.2</v>
      </c>
      <c r="Q9" s="17">
        <v>45384.0</v>
      </c>
      <c r="R9" s="18">
        <v>1.725</v>
      </c>
      <c r="S9" s="15" t="s">
        <v>70</v>
      </c>
      <c r="T9" s="19">
        <f t="shared" si="1"/>
        <v>0</v>
      </c>
      <c r="U9" s="19">
        <f t="shared" si="4"/>
        <v>0.8</v>
      </c>
      <c r="W9" s="66">
        <v>45390.0</v>
      </c>
      <c r="X9" s="13">
        <f t="shared" si="2"/>
        <v>0</v>
      </c>
    </row>
    <row r="10">
      <c r="A10" s="8">
        <f t="shared" si="3"/>
        <v>9</v>
      </c>
      <c r="B10" s="8" t="s">
        <v>4225</v>
      </c>
      <c r="C10" s="8" t="s">
        <v>19</v>
      </c>
      <c r="D10" s="8">
        <v>63.0</v>
      </c>
      <c r="E10" s="8"/>
      <c r="F10" s="8" t="s">
        <v>4880</v>
      </c>
      <c r="G10" s="8"/>
      <c r="H10" s="8"/>
      <c r="I10" s="8">
        <v>0.0</v>
      </c>
      <c r="J10" s="8" t="s">
        <v>229</v>
      </c>
      <c r="K10" s="8" t="s">
        <v>22</v>
      </c>
      <c r="L10" s="8" t="s">
        <v>440</v>
      </c>
      <c r="M10" s="8" t="s">
        <v>24</v>
      </c>
      <c r="N10" s="9">
        <v>0.75</v>
      </c>
      <c r="O10" s="9">
        <v>0.2</v>
      </c>
      <c r="P10" s="9">
        <v>0.2</v>
      </c>
      <c r="Q10" s="10">
        <v>45385.0</v>
      </c>
      <c r="R10" s="11">
        <v>1.825</v>
      </c>
      <c r="S10" s="8" t="s">
        <v>33</v>
      </c>
      <c r="T10" s="12">
        <f t="shared" si="1"/>
        <v>0.165</v>
      </c>
      <c r="U10" s="12">
        <f t="shared" si="4"/>
        <v>0.965</v>
      </c>
      <c r="W10" s="66">
        <v>45391.0</v>
      </c>
      <c r="X10" s="13">
        <f t="shared" si="2"/>
        <v>-0.71</v>
      </c>
    </row>
    <row r="11">
      <c r="A11" s="15">
        <f t="shared" si="3"/>
        <v>10</v>
      </c>
      <c r="B11" s="15" t="s">
        <v>18</v>
      </c>
      <c r="C11" s="15" t="s">
        <v>19</v>
      </c>
      <c r="D11" s="15">
        <v>65.0</v>
      </c>
      <c r="E11" s="15">
        <v>3.0</v>
      </c>
      <c r="F11" s="15" t="s">
        <v>4881</v>
      </c>
      <c r="G11" s="15" t="s">
        <v>5565</v>
      </c>
      <c r="H11" s="15" t="s">
        <v>2660</v>
      </c>
      <c r="I11" s="15">
        <v>0.0</v>
      </c>
      <c r="J11" s="15" t="s">
        <v>806</v>
      </c>
      <c r="K11" s="15" t="s">
        <v>22</v>
      </c>
      <c r="L11" s="15" t="s">
        <v>892</v>
      </c>
      <c r="M11" s="15" t="s">
        <v>24</v>
      </c>
      <c r="N11" s="16">
        <v>0.0</v>
      </c>
      <c r="O11" s="16">
        <v>0.5</v>
      </c>
      <c r="P11" s="16">
        <v>0.5</v>
      </c>
      <c r="Q11" s="17">
        <v>45385.0</v>
      </c>
      <c r="R11" s="18">
        <v>1.625</v>
      </c>
      <c r="S11" s="15" t="s">
        <v>33</v>
      </c>
      <c r="T11" s="19">
        <f t="shared" si="1"/>
        <v>0.3125</v>
      </c>
      <c r="U11" s="19">
        <f t="shared" si="4"/>
        <v>1.2775</v>
      </c>
      <c r="W11" s="66">
        <v>45392.0</v>
      </c>
      <c r="X11" s="13">
        <f t="shared" si="2"/>
        <v>-1.39875</v>
      </c>
      <c r="Y11" s="2" t="s">
        <v>55</v>
      </c>
    </row>
    <row r="12">
      <c r="A12" s="8">
        <f t="shared" si="3"/>
        <v>11</v>
      </c>
      <c r="B12" s="8" t="s">
        <v>4225</v>
      </c>
      <c r="C12" s="8" t="s">
        <v>19</v>
      </c>
      <c r="D12" s="8">
        <v>69.0</v>
      </c>
      <c r="E12" s="8">
        <v>2.0</v>
      </c>
      <c r="F12" s="8" t="s">
        <v>4882</v>
      </c>
      <c r="G12" s="8" t="s">
        <v>5564</v>
      </c>
      <c r="H12" s="8" t="s">
        <v>2556</v>
      </c>
      <c r="I12" s="8">
        <v>0.0</v>
      </c>
      <c r="J12" s="8" t="s">
        <v>1031</v>
      </c>
      <c r="K12" s="8" t="s">
        <v>22</v>
      </c>
      <c r="L12" s="8" t="s">
        <v>892</v>
      </c>
      <c r="M12" s="8" t="s">
        <v>24</v>
      </c>
      <c r="N12" s="9">
        <v>0.75</v>
      </c>
      <c r="O12" s="9">
        <v>0.35</v>
      </c>
      <c r="P12" s="9">
        <v>0.28</v>
      </c>
      <c r="Q12" s="10">
        <v>45385.0</v>
      </c>
      <c r="R12" s="11">
        <v>1.85</v>
      </c>
      <c r="S12" s="8" t="s">
        <v>79</v>
      </c>
      <c r="T12" s="12">
        <f t="shared" si="1"/>
        <v>-0.14</v>
      </c>
      <c r="U12" s="12">
        <f t="shared" si="4"/>
        <v>1.1375</v>
      </c>
      <c r="W12" s="66">
        <v>45393.0</v>
      </c>
      <c r="X12" s="13">
        <f t="shared" si="2"/>
        <v>1.025</v>
      </c>
      <c r="Y12" s="21">
        <f>(SUMPRODUCT(--(O2:O1000 = P2:P1000))-countif(O2:O1000,""))/countif(O2:O1000,"&gt;0")</f>
        <v>0.6981132075</v>
      </c>
    </row>
    <row r="13">
      <c r="A13" s="15">
        <f t="shared" si="3"/>
        <v>12</v>
      </c>
      <c r="B13" s="15" t="s">
        <v>18</v>
      </c>
      <c r="C13" s="15" t="s">
        <v>40</v>
      </c>
      <c r="D13" s="15">
        <v>81.0</v>
      </c>
      <c r="E13" s="15">
        <v>3.0</v>
      </c>
      <c r="F13" s="15" t="s">
        <v>4883</v>
      </c>
      <c r="G13" s="15" t="s">
        <v>5565</v>
      </c>
      <c r="H13" s="15" t="s">
        <v>2660</v>
      </c>
      <c r="I13" s="15">
        <v>0.0</v>
      </c>
      <c r="J13" s="15" t="s">
        <v>48</v>
      </c>
      <c r="K13" s="15" t="s">
        <v>22</v>
      </c>
      <c r="L13" s="15" t="s">
        <v>892</v>
      </c>
      <c r="M13" s="15" t="s">
        <v>24</v>
      </c>
      <c r="N13" s="16">
        <v>0.0</v>
      </c>
      <c r="O13" s="16">
        <v>0.25</v>
      </c>
      <c r="P13" s="16">
        <v>0.25</v>
      </c>
      <c r="Q13" s="17">
        <v>45385.0</v>
      </c>
      <c r="R13" s="18">
        <v>2.3</v>
      </c>
      <c r="S13" s="15" t="s">
        <v>25</v>
      </c>
      <c r="T13" s="19">
        <f t="shared" si="1"/>
        <v>-0.25</v>
      </c>
      <c r="U13" s="19">
        <f t="shared" si="4"/>
        <v>0.8875</v>
      </c>
      <c r="W13" s="66">
        <v>45394.0</v>
      </c>
      <c r="X13" s="13">
        <f t="shared" si="2"/>
        <v>2.025</v>
      </c>
    </row>
    <row r="14">
      <c r="A14" s="8">
        <f t="shared" si="3"/>
        <v>13</v>
      </c>
      <c r="B14" s="8" t="s">
        <v>4225</v>
      </c>
      <c r="C14" s="8" t="s">
        <v>19</v>
      </c>
      <c r="D14" s="8">
        <v>64.0</v>
      </c>
      <c r="E14" s="8">
        <v>5.0</v>
      </c>
      <c r="F14" s="8" t="s">
        <v>4884</v>
      </c>
      <c r="G14" s="8" t="s">
        <v>5565</v>
      </c>
      <c r="H14" s="8" t="s">
        <v>2573</v>
      </c>
      <c r="I14" s="8">
        <f>1</f>
        <v>1</v>
      </c>
      <c r="J14" s="8" t="s">
        <v>191</v>
      </c>
      <c r="K14" s="8" t="s">
        <v>22</v>
      </c>
      <c r="L14" s="8" t="s">
        <v>894</v>
      </c>
      <c r="M14" s="8" t="s">
        <v>24</v>
      </c>
      <c r="N14" s="9">
        <v>-0.25</v>
      </c>
      <c r="O14" s="9">
        <v>0.1</v>
      </c>
      <c r="P14" s="9">
        <v>0.1</v>
      </c>
      <c r="Q14" s="10">
        <v>45385.0</v>
      </c>
      <c r="R14" s="11">
        <v>1.7</v>
      </c>
      <c r="S14" s="8" t="s">
        <v>33</v>
      </c>
      <c r="T14" s="12">
        <f t="shared" si="1"/>
        <v>0.07</v>
      </c>
      <c r="U14" s="12">
        <f t="shared" si="4"/>
        <v>0.9575</v>
      </c>
      <c r="W14" s="66">
        <v>45395.0</v>
      </c>
      <c r="X14" s="13">
        <f t="shared" si="2"/>
        <v>-3.03075</v>
      </c>
      <c r="Y14" s="2" t="s">
        <v>61</v>
      </c>
    </row>
    <row r="15">
      <c r="A15" s="15">
        <f t="shared" si="3"/>
        <v>14</v>
      </c>
      <c r="B15" s="15" t="s">
        <v>26</v>
      </c>
      <c r="C15" s="15" t="s">
        <v>40</v>
      </c>
      <c r="D15" s="15">
        <v>88.0</v>
      </c>
      <c r="E15" s="15">
        <v>7.0</v>
      </c>
      <c r="F15" s="15" t="s">
        <v>4885</v>
      </c>
      <c r="G15" s="15"/>
      <c r="H15" s="15"/>
      <c r="I15" s="15"/>
      <c r="J15" s="15" t="s">
        <v>28</v>
      </c>
      <c r="K15" s="15" t="s">
        <v>22</v>
      </c>
      <c r="L15" s="15" t="s">
        <v>23</v>
      </c>
      <c r="M15" s="15" t="s">
        <v>24</v>
      </c>
      <c r="N15" s="16">
        <v>-12.5</v>
      </c>
      <c r="O15" s="16">
        <v>0.1</v>
      </c>
      <c r="P15" s="16">
        <v>0.1</v>
      </c>
      <c r="Q15" s="17">
        <v>45385.0</v>
      </c>
      <c r="R15" s="18">
        <v>1.65</v>
      </c>
      <c r="S15" s="15" t="s">
        <v>25</v>
      </c>
      <c r="T15" s="19">
        <f t="shared" si="1"/>
        <v>-0.1</v>
      </c>
      <c r="U15" s="19">
        <f t="shared" si="4"/>
        <v>0.8575</v>
      </c>
      <c r="W15" s="66">
        <v>45396.0</v>
      </c>
      <c r="X15" s="13">
        <f t="shared" si="2"/>
        <v>1.48825</v>
      </c>
      <c r="Y15" s="22">
        <f>average(R2:R200)</f>
        <v>1.920819095</v>
      </c>
    </row>
    <row r="16">
      <c r="A16" s="8">
        <f t="shared" si="3"/>
        <v>15</v>
      </c>
      <c r="B16" s="8" t="s">
        <v>4225</v>
      </c>
      <c r="C16" s="8" t="s">
        <v>19</v>
      </c>
      <c r="D16" s="8">
        <v>31.0</v>
      </c>
      <c r="E16" s="8">
        <v>4.0</v>
      </c>
      <c r="F16" s="8" t="s">
        <v>4886</v>
      </c>
      <c r="G16" s="8" t="s">
        <v>5564</v>
      </c>
      <c r="H16" s="8" t="s">
        <v>2660</v>
      </c>
      <c r="I16" s="8">
        <v>-1.0</v>
      </c>
      <c r="J16" s="8" t="s">
        <v>42</v>
      </c>
      <c r="K16" s="8" t="s">
        <v>22</v>
      </c>
      <c r="L16" s="8" t="s">
        <v>1150</v>
      </c>
      <c r="M16" s="8" t="s">
        <v>24</v>
      </c>
      <c r="N16" s="9">
        <v>0.0</v>
      </c>
      <c r="O16" s="9">
        <v>0.2</v>
      </c>
      <c r="P16" s="9">
        <v>0.2</v>
      </c>
      <c r="Q16" s="10">
        <v>45386.0</v>
      </c>
      <c r="R16" s="11">
        <v>1.75</v>
      </c>
      <c r="S16" s="8" t="s">
        <v>33</v>
      </c>
      <c r="T16" s="12">
        <f t="shared" si="1"/>
        <v>0.15</v>
      </c>
      <c r="U16" s="12">
        <f t="shared" si="4"/>
        <v>1.0075</v>
      </c>
      <c r="W16" s="66">
        <v>45397.0</v>
      </c>
      <c r="X16" s="13">
        <f t="shared" si="2"/>
        <v>0</v>
      </c>
    </row>
    <row r="17">
      <c r="A17" s="15">
        <f t="shared" si="3"/>
        <v>16</v>
      </c>
      <c r="B17" s="15" t="s">
        <v>4225</v>
      </c>
      <c r="C17" s="15" t="s">
        <v>19</v>
      </c>
      <c r="D17" s="15">
        <v>65.0</v>
      </c>
      <c r="E17" s="15">
        <v>3.0</v>
      </c>
      <c r="F17" s="15" t="s">
        <v>4887</v>
      </c>
      <c r="G17" s="15" t="s">
        <v>5565</v>
      </c>
      <c r="H17" s="15" t="s">
        <v>2660</v>
      </c>
      <c r="I17" s="15">
        <v>0.0</v>
      </c>
      <c r="J17" s="15" t="s">
        <v>42</v>
      </c>
      <c r="K17" s="15" t="s">
        <v>22</v>
      </c>
      <c r="L17" s="15" t="s">
        <v>892</v>
      </c>
      <c r="M17" s="15" t="s">
        <v>24</v>
      </c>
      <c r="N17" s="16">
        <v>0.0</v>
      </c>
      <c r="O17" s="16">
        <v>1.0</v>
      </c>
      <c r="P17" s="16">
        <v>1.0</v>
      </c>
      <c r="Q17" s="17">
        <v>45386.0</v>
      </c>
      <c r="R17" s="18">
        <v>1.675</v>
      </c>
      <c r="S17" s="15" t="s">
        <v>70</v>
      </c>
      <c r="T17" s="19">
        <f t="shared" si="1"/>
        <v>0</v>
      </c>
      <c r="U17" s="19">
        <f t="shared" si="4"/>
        <v>1.0075</v>
      </c>
      <c r="W17" s="66">
        <v>45398.0</v>
      </c>
      <c r="X17" s="13">
        <f t="shared" si="2"/>
        <v>-1.07</v>
      </c>
    </row>
    <row r="18">
      <c r="A18" s="8">
        <f t="shared" si="3"/>
        <v>17</v>
      </c>
      <c r="B18" s="8" t="s">
        <v>18</v>
      </c>
      <c r="C18" s="8" t="s">
        <v>19</v>
      </c>
      <c r="D18" s="8">
        <v>68.0</v>
      </c>
      <c r="E18" s="8">
        <v>3.0</v>
      </c>
      <c r="F18" s="8" t="s">
        <v>4888</v>
      </c>
      <c r="G18" s="8" t="s">
        <v>5565</v>
      </c>
      <c r="H18" s="8" t="s">
        <v>2660</v>
      </c>
      <c r="I18" s="8">
        <v>0.0</v>
      </c>
      <c r="J18" s="8" t="s">
        <v>806</v>
      </c>
      <c r="K18" s="8" t="s">
        <v>22</v>
      </c>
      <c r="L18" s="8" t="s">
        <v>892</v>
      </c>
      <c r="M18" s="8" t="s">
        <v>24</v>
      </c>
      <c r="N18" s="9">
        <v>0.0</v>
      </c>
      <c r="O18" s="9">
        <v>1.0</v>
      </c>
      <c r="P18" s="9">
        <v>1.0</v>
      </c>
      <c r="Q18" s="10">
        <v>45386.0</v>
      </c>
      <c r="R18" s="11">
        <v>2.0</v>
      </c>
      <c r="S18" s="8" t="s">
        <v>70</v>
      </c>
      <c r="T18" s="12">
        <f t="shared" si="1"/>
        <v>0</v>
      </c>
      <c r="U18" s="12">
        <f t="shared" si="4"/>
        <v>1.0075</v>
      </c>
      <c r="W18" s="66">
        <v>45399.0</v>
      </c>
      <c r="X18" s="13">
        <f t="shared" si="2"/>
        <v>1.424375</v>
      </c>
    </row>
    <row r="19">
      <c r="A19" s="15">
        <f t="shared" si="3"/>
        <v>18</v>
      </c>
      <c r="B19" s="15" t="s">
        <v>18</v>
      </c>
      <c r="C19" s="15" t="s">
        <v>19</v>
      </c>
      <c r="D19" s="15">
        <v>24.0</v>
      </c>
      <c r="E19" s="15">
        <v>3.0</v>
      </c>
      <c r="F19" s="15" t="s">
        <v>4889</v>
      </c>
      <c r="G19" s="15" t="s">
        <v>5565</v>
      </c>
      <c r="H19" s="15" t="s">
        <v>2660</v>
      </c>
      <c r="I19" s="15">
        <v>0.0</v>
      </c>
      <c r="J19" s="15" t="s">
        <v>1031</v>
      </c>
      <c r="K19" s="15" t="s">
        <v>22</v>
      </c>
      <c r="L19" s="15" t="s">
        <v>1150</v>
      </c>
      <c r="M19" s="15" t="s">
        <v>24</v>
      </c>
      <c r="N19" s="16">
        <v>0.0</v>
      </c>
      <c r="O19" s="16">
        <v>0.75</v>
      </c>
      <c r="P19" s="16">
        <v>0.75</v>
      </c>
      <c r="Q19" s="17">
        <v>45386.0</v>
      </c>
      <c r="R19" s="18">
        <v>1.9</v>
      </c>
      <c r="S19" s="15" t="s">
        <v>70</v>
      </c>
      <c r="T19" s="19">
        <f t="shared" si="1"/>
        <v>0</v>
      </c>
      <c r="U19" s="19">
        <f t="shared" si="4"/>
        <v>1.0075</v>
      </c>
      <c r="W19" s="66">
        <v>45400.0</v>
      </c>
      <c r="X19" s="13">
        <f t="shared" si="2"/>
        <v>0</v>
      </c>
    </row>
    <row r="20">
      <c r="A20" s="8">
        <f t="shared" si="3"/>
        <v>19</v>
      </c>
      <c r="B20" s="8" t="s">
        <v>26</v>
      </c>
      <c r="C20" s="8" t="s">
        <v>19</v>
      </c>
      <c r="D20" s="8">
        <v>67.0</v>
      </c>
      <c r="E20" s="8">
        <v>3.0</v>
      </c>
      <c r="F20" s="8" t="s">
        <v>4890</v>
      </c>
      <c r="G20" s="8" t="s">
        <v>5565</v>
      </c>
      <c r="H20" s="8" t="s">
        <v>2660</v>
      </c>
      <c r="I20" s="8">
        <v>0.0</v>
      </c>
      <c r="J20" s="8" t="s">
        <v>231</v>
      </c>
      <c r="K20" s="8" t="s">
        <v>22</v>
      </c>
      <c r="L20" s="8" t="s">
        <v>941</v>
      </c>
      <c r="M20" s="8" t="s">
        <v>24</v>
      </c>
      <c r="N20" s="9">
        <v>0.0</v>
      </c>
      <c r="O20" s="9">
        <v>1.0</v>
      </c>
      <c r="P20" s="9">
        <v>1.0</v>
      </c>
      <c r="Q20" s="54">
        <v>45386.0</v>
      </c>
      <c r="R20" s="11">
        <v>1.8</v>
      </c>
      <c r="S20" s="8" t="s">
        <v>70</v>
      </c>
      <c r="T20" s="12">
        <f t="shared" si="1"/>
        <v>0</v>
      </c>
      <c r="U20" s="12">
        <f t="shared" si="4"/>
        <v>1.0075</v>
      </c>
      <c r="W20" s="66">
        <v>45401.0</v>
      </c>
      <c r="X20" s="13">
        <f t="shared" si="2"/>
        <v>1.415</v>
      </c>
    </row>
    <row r="21">
      <c r="A21" s="15">
        <f t="shared" si="3"/>
        <v>20</v>
      </c>
      <c r="B21" s="15" t="s">
        <v>4225</v>
      </c>
      <c r="C21" s="15" t="s">
        <v>19</v>
      </c>
      <c r="D21" s="15">
        <v>86.0</v>
      </c>
      <c r="E21" s="15">
        <v>3.0</v>
      </c>
      <c r="F21" s="15" t="s">
        <v>4891</v>
      </c>
      <c r="G21" s="15" t="s">
        <v>5565</v>
      </c>
      <c r="H21" s="15" t="s">
        <v>2660</v>
      </c>
      <c r="I21" s="15">
        <v>0.0</v>
      </c>
      <c r="J21" s="15" t="s">
        <v>233</v>
      </c>
      <c r="K21" s="15" t="s">
        <v>22</v>
      </c>
      <c r="L21" s="15" t="s">
        <v>892</v>
      </c>
      <c r="M21" s="15" t="s">
        <v>24</v>
      </c>
      <c r="N21" s="16">
        <v>0.0</v>
      </c>
      <c r="O21" s="16">
        <v>0.2</v>
      </c>
      <c r="P21" s="16">
        <v>0.2</v>
      </c>
      <c r="Q21" s="17">
        <v>45386.0</v>
      </c>
      <c r="R21" s="18">
        <v>1.7</v>
      </c>
      <c r="S21" s="15" t="s">
        <v>33</v>
      </c>
      <c r="T21" s="19">
        <f t="shared" si="1"/>
        <v>0.14</v>
      </c>
      <c r="U21" s="19">
        <f t="shared" si="4"/>
        <v>1.1475</v>
      </c>
      <c r="W21" s="66">
        <v>45402.0</v>
      </c>
      <c r="X21" s="13">
        <f t="shared" si="2"/>
        <v>1.1825</v>
      </c>
    </row>
    <row r="22">
      <c r="A22" s="8">
        <f t="shared" si="3"/>
        <v>21</v>
      </c>
      <c r="B22" s="8" t="s">
        <v>4225</v>
      </c>
      <c r="C22" s="8" t="s">
        <v>19</v>
      </c>
      <c r="D22" s="8">
        <v>72.0</v>
      </c>
      <c r="E22" s="8">
        <v>2.0</v>
      </c>
      <c r="F22" s="8" t="s">
        <v>4892</v>
      </c>
      <c r="G22" s="8" t="s">
        <v>5565</v>
      </c>
      <c r="H22" s="8" t="s">
        <v>2556</v>
      </c>
      <c r="I22" s="8">
        <v>-1.0</v>
      </c>
      <c r="J22" s="8" t="s">
        <v>2108</v>
      </c>
      <c r="K22" s="8" t="s">
        <v>22</v>
      </c>
      <c r="L22" s="8" t="s">
        <v>225</v>
      </c>
      <c r="M22" s="8" t="s">
        <v>24</v>
      </c>
      <c r="N22" s="9">
        <v>0.25</v>
      </c>
      <c r="O22" s="9">
        <v>0.4</v>
      </c>
      <c r="P22" s="9">
        <v>0.4</v>
      </c>
      <c r="Q22" s="10">
        <v>45387.0</v>
      </c>
      <c r="R22" s="11">
        <v>1.7</v>
      </c>
      <c r="S22" s="8" t="s">
        <v>996</v>
      </c>
      <c r="T22" s="12">
        <f t="shared" si="1"/>
        <v>0.14</v>
      </c>
      <c r="U22" s="12">
        <f t="shared" si="4"/>
        <v>1.2875</v>
      </c>
      <c r="W22" s="66">
        <v>45403.0</v>
      </c>
      <c r="X22" s="13">
        <f t="shared" si="2"/>
        <v>1.67877</v>
      </c>
    </row>
    <row r="23">
      <c r="A23" s="15">
        <f t="shared" si="3"/>
        <v>22</v>
      </c>
      <c r="B23" s="15" t="s">
        <v>18</v>
      </c>
      <c r="C23" s="15" t="s">
        <v>19</v>
      </c>
      <c r="D23" s="15">
        <v>63.0</v>
      </c>
      <c r="E23" s="15">
        <v>1.0</v>
      </c>
      <c r="F23" s="15" t="s">
        <v>4893</v>
      </c>
      <c r="G23" s="15" t="s">
        <v>5564</v>
      </c>
      <c r="H23" s="15" t="s">
        <v>2660</v>
      </c>
      <c r="I23" s="15">
        <v>-1.0</v>
      </c>
      <c r="J23" s="15" t="s">
        <v>923</v>
      </c>
      <c r="K23" s="15" t="s">
        <v>22</v>
      </c>
      <c r="L23" s="15" t="s">
        <v>892</v>
      </c>
      <c r="M23" s="15" t="s">
        <v>24</v>
      </c>
      <c r="N23" s="16">
        <v>0.0</v>
      </c>
      <c r="O23" s="16">
        <v>1.0</v>
      </c>
      <c r="P23" s="16">
        <v>0.9</v>
      </c>
      <c r="Q23" s="17">
        <v>45387.0</v>
      </c>
      <c r="R23" s="18">
        <v>1.95</v>
      </c>
      <c r="S23" s="15" t="s">
        <v>33</v>
      </c>
      <c r="T23" s="19">
        <f t="shared" si="1"/>
        <v>0.855</v>
      </c>
      <c r="U23" s="19">
        <f t="shared" si="4"/>
        <v>2.1425</v>
      </c>
      <c r="W23" s="66">
        <v>45404.0</v>
      </c>
      <c r="X23" s="13">
        <f t="shared" si="2"/>
        <v>0</v>
      </c>
    </row>
    <row r="24">
      <c r="A24" s="8">
        <f t="shared" si="3"/>
        <v>23</v>
      </c>
      <c r="B24" s="8" t="s">
        <v>18</v>
      </c>
      <c r="C24" s="8" t="s">
        <v>19</v>
      </c>
      <c r="D24" s="8">
        <v>70.0</v>
      </c>
      <c r="E24" s="8">
        <v>2.0</v>
      </c>
      <c r="F24" s="8" t="s">
        <v>4894</v>
      </c>
      <c r="G24" s="8" t="s">
        <v>5565</v>
      </c>
      <c r="H24" s="8" t="s">
        <v>2556</v>
      </c>
      <c r="I24" s="8">
        <v>0.0</v>
      </c>
      <c r="J24" s="8" t="s">
        <v>42</v>
      </c>
      <c r="K24" s="8" t="s">
        <v>22</v>
      </c>
      <c r="L24" s="8" t="s">
        <v>225</v>
      </c>
      <c r="M24" s="8" t="s">
        <v>24</v>
      </c>
      <c r="N24" s="9">
        <v>0.25</v>
      </c>
      <c r="O24" s="98">
        <v>0.25</v>
      </c>
      <c r="P24" s="159">
        <f>0.25*28/53</f>
        <v>0.1320754717</v>
      </c>
      <c r="Q24" s="10">
        <v>45387.0</v>
      </c>
      <c r="R24" s="11">
        <v>1.7</v>
      </c>
      <c r="S24" s="8" t="s">
        <v>996</v>
      </c>
      <c r="T24" s="12">
        <f t="shared" si="1"/>
        <v>0.04622641509</v>
      </c>
      <c r="U24" s="12">
        <f t="shared" si="4"/>
        <v>2.188726415</v>
      </c>
      <c r="W24" s="66">
        <v>45405.0</v>
      </c>
      <c r="X24" s="13">
        <f t="shared" si="2"/>
        <v>-2.0312</v>
      </c>
    </row>
    <row r="25">
      <c r="A25" s="15">
        <f t="shared" si="3"/>
        <v>24</v>
      </c>
      <c r="B25" s="15" t="s">
        <v>18</v>
      </c>
      <c r="C25" s="15" t="s">
        <v>19</v>
      </c>
      <c r="D25" s="15">
        <v>70.0</v>
      </c>
      <c r="E25" s="15">
        <v>2.0</v>
      </c>
      <c r="F25" s="15" t="s">
        <v>4895</v>
      </c>
      <c r="G25" s="15" t="s">
        <v>5565</v>
      </c>
      <c r="H25" s="15" t="s">
        <v>2556</v>
      </c>
      <c r="I25" s="15">
        <v>0.0</v>
      </c>
      <c r="J25" s="15" t="s">
        <v>42</v>
      </c>
      <c r="K25" s="15" t="s">
        <v>22</v>
      </c>
      <c r="L25" s="15" t="s">
        <v>892</v>
      </c>
      <c r="M25" s="15" t="s">
        <v>24</v>
      </c>
      <c r="N25" s="16">
        <v>0.0</v>
      </c>
      <c r="O25" s="99">
        <v>0.4</v>
      </c>
      <c r="P25" s="43">
        <v>0.32</v>
      </c>
      <c r="Q25" s="17">
        <v>45387.0</v>
      </c>
      <c r="R25" s="18">
        <v>2.025</v>
      </c>
      <c r="S25" s="15" t="s">
        <v>70</v>
      </c>
      <c r="T25" s="19">
        <f t="shared" si="1"/>
        <v>0</v>
      </c>
      <c r="U25" s="19">
        <f t="shared" si="4"/>
        <v>2.188726415</v>
      </c>
      <c r="W25" s="66">
        <v>45406.0</v>
      </c>
      <c r="X25" s="13">
        <f t="shared" si="2"/>
        <v>-2.5205</v>
      </c>
    </row>
    <row r="26">
      <c r="A26" s="8">
        <f t="shared" si="3"/>
        <v>25</v>
      </c>
      <c r="B26" s="8" t="s">
        <v>26</v>
      </c>
      <c r="C26" s="8" t="s">
        <v>19</v>
      </c>
      <c r="D26" s="8">
        <v>70.0</v>
      </c>
      <c r="E26" s="8"/>
      <c r="F26" s="8" t="s">
        <v>4896</v>
      </c>
      <c r="G26" s="8"/>
      <c r="H26" s="8"/>
      <c r="I26" s="8">
        <v>0.0</v>
      </c>
      <c r="J26" s="8" t="s">
        <v>316</v>
      </c>
      <c r="K26" s="8" t="s">
        <v>22</v>
      </c>
      <c r="L26" s="8" t="s">
        <v>440</v>
      </c>
      <c r="M26" s="8" t="s">
        <v>24</v>
      </c>
      <c r="N26" s="9">
        <v>0.75</v>
      </c>
      <c r="O26" s="9">
        <v>0.1</v>
      </c>
      <c r="P26" s="9">
        <v>0.1</v>
      </c>
      <c r="Q26" s="10">
        <v>45387.0</v>
      </c>
      <c r="R26" s="11">
        <v>1.95</v>
      </c>
      <c r="S26" s="8" t="s">
        <v>25</v>
      </c>
      <c r="T26" s="12">
        <f t="shared" si="1"/>
        <v>-0.1</v>
      </c>
      <c r="U26" s="12">
        <f t="shared" si="4"/>
        <v>2.088726415</v>
      </c>
      <c r="W26" s="66">
        <v>45407.0</v>
      </c>
      <c r="X26" s="13">
        <f t="shared" si="2"/>
        <v>0.702</v>
      </c>
    </row>
    <row r="27">
      <c r="A27" s="15">
        <f t="shared" si="3"/>
        <v>26</v>
      </c>
      <c r="B27" s="15" t="s">
        <v>4225</v>
      </c>
      <c r="C27" s="15" t="s">
        <v>19</v>
      </c>
      <c r="D27" s="15">
        <v>23.0</v>
      </c>
      <c r="E27" s="15">
        <v>3.0</v>
      </c>
      <c r="F27" s="160" t="s">
        <v>4897</v>
      </c>
      <c r="G27" s="15" t="s">
        <v>5564</v>
      </c>
      <c r="H27" s="15" t="s">
        <v>2660</v>
      </c>
      <c r="I27" s="15">
        <v>0.0</v>
      </c>
      <c r="J27" s="15" t="s">
        <v>66</v>
      </c>
      <c r="K27" s="15" t="s">
        <v>22</v>
      </c>
      <c r="L27" s="15" t="s">
        <v>1150</v>
      </c>
      <c r="M27" s="15" t="s">
        <v>24</v>
      </c>
      <c r="N27" s="16">
        <v>0.0</v>
      </c>
      <c r="O27" s="16">
        <v>1.0</v>
      </c>
      <c r="P27" s="16">
        <v>1.0</v>
      </c>
      <c r="Q27" s="17">
        <v>45387.0</v>
      </c>
      <c r="R27" s="18">
        <v>2.025</v>
      </c>
      <c r="S27" s="15" t="s">
        <v>33</v>
      </c>
      <c r="T27" s="19">
        <f t="shared" si="1"/>
        <v>1.025</v>
      </c>
      <c r="U27" s="19">
        <f t="shared" si="4"/>
        <v>3.113726415</v>
      </c>
      <c r="W27" s="66">
        <v>45408.0</v>
      </c>
      <c r="X27" s="13">
        <f t="shared" si="2"/>
        <v>-3.31</v>
      </c>
    </row>
    <row r="28">
      <c r="A28" s="8">
        <f t="shared" si="3"/>
        <v>27</v>
      </c>
      <c r="B28" s="8" t="s">
        <v>18</v>
      </c>
      <c r="C28" s="8" t="s">
        <v>19</v>
      </c>
      <c r="D28" s="8">
        <v>60.0</v>
      </c>
      <c r="E28" s="8">
        <v>3.0</v>
      </c>
      <c r="F28" s="8" t="s">
        <v>4898</v>
      </c>
      <c r="G28" s="8" t="s">
        <v>5564</v>
      </c>
      <c r="H28" s="8" t="s">
        <v>2660</v>
      </c>
      <c r="I28" s="8">
        <v>0.0</v>
      </c>
      <c r="J28" s="8" t="s">
        <v>60</v>
      </c>
      <c r="K28" s="8" t="s">
        <v>22</v>
      </c>
      <c r="L28" s="8" t="s">
        <v>892</v>
      </c>
      <c r="M28" s="8" t="s">
        <v>24</v>
      </c>
      <c r="N28" s="9">
        <v>0.0</v>
      </c>
      <c r="O28" s="9">
        <v>0.4</v>
      </c>
      <c r="P28" s="9">
        <v>0.4</v>
      </c>
      <c r="Q28" s="10">
        <v>45387.0</v>
      </c>
      <c r="R28" s="11">
        <v>1.825</v>
      </c>
      <c r="S28" s="8" t="s">
        <v>33</v>
      </c>
      <c r="T28" s="12">
        <f t="shared" si="1"/>
        <v>0.33</v>
      </c>
      <c r="U28" s="12">
        <f t="shared" si="4"/>
        <v>3.443726415</v>
      </c>
      <c r="W28" s="66">
        <v>45409.0</v>
      </c>
      <c r="X28" s="13">
        <f t="shared" si="2"/>
        <v>-0.66349</v>
      </c>
    </row>
    <row r="29">
      <c r="A29" s="15">
        <f t="shared" si="3"/>
        <v>28</v>
      </c>
      <c r="B29" s="15" t="s">
        <v>26</v>
      </c>
      <c r="C29" s="15" t="s">
        <v>19</v>
      </c>
      <c r="D29" s="15">
        <v>78.0</v>
      </c>
      <c r="E29" s="15">
        <v>3.0</v>
      </c>
      <c r="F29" s="15" t="s">
        <v>4899</v>
      </c>
      <c r="G29" s="15" t="s">
        <v>5564</v>
      </c>
      <c r="H29" s="15" t="s">
        <v>2660</v>
      </c>
      <c r="I29" s="15">
        <v>0.0</v>
      </c>
      <c r="J29" s="15" t="s">
        <v>229</v>
      </c>
      <c r="K29" s="15" t="s">
        <v>22</v>
      </c>
      <c r="L29" s="15" t="s">
        <v>892</v>
      </c>
      <c r="M29" s="15" t="s">
        <v>24</v>
      </c>
      <c r="N29" s="16">
        <v>0.0</v>
      </c>
      <c r="O29" s="16">
        <v>0.2</v>
      </c>
      <c r="P29" s="16">
        <v>0.2</v>
      </c>
      <c r="Q29" s="17">
        <v>45388.0</v>
      </c>
      <c r="R29" s="18">
        <v>1.925</v>
      </c>
      <c r="S29" s="15" t="s">
        <v>70</v>
      </c>
      <c r="T29" s="19">
        <f t="shared" si="1"/>
        <v>0</v>
      </c>
      <c r="U29" s="19">
        <f t="shared" si="4"/>
        <v>3.443726415</v>
      </c>
      <c r="W29" s="66">
        <v>45410.0</v>
      </c>
      <c r="X29" s="13">
        <f t="shared" si="2"/>
        <v>-1.14615</v>
      </c>
    </row>
    <row r="30">
      <c r="A30" s="8">
        <f t="shared" si="3"/>
        <v>29</v>
      </c>
      <c r="B30" s="8" t="s">
        <v>18</v>
      </c>
      <c r="C30" s="8" t="s">
        <v>19</v>
      </c>
      <c r="D30" s="8">
        <v>68.0</v>
      </c>
      <c r="E30" s="8">
        <v>2.0</v>
      </c>
      <c r="F30" s="8" t="s">
        <v>4900</v>
      </c>
      <c r="G30" s="8" t="s">
        <v>5564</v>
      </c>
      <c r="H30" s="8" t="s">
        <v>2556</v>
      </c>
      <c r="I30" s="8">
        <v>-3.0</v>
      </c>
      <c r="J30" s="8" t="s">
        <v>88</v>
      </c>
      <c r="K30" s="8" t="s">
        <v>22</v>
      </c>
      <c r="L30" s="8" t="s">
        <v>225</v>
      </c>
      <c r="M30" s="8" t="s">
        <v>24</v>
      </c>
      <c r="N30" s="9">
        <v>0.5</v>
      </c>
      <c r="O30" s="9">
        <v>0.25</v>
      </c>
      <c r="P30" s="9">
        <v>0.15</v>
      </c>
      <c r="Q30" s="10">
        <v>45388.0</v>
      </c>
      <c r="R30" s="11">
        <v>1.7</v>
      </c>
      <c r="S30" s="8" t="s">
        <v>33</v>
      </c>
      <c r="T30" s="12">
        <f t="shared" si="1"/>
        <v>0.105</v>
      </c>
      <c r="U30" s="12">
        <f t="shared" si="4"/>
        <v>3.548726415</v>
      </c>
      <c r="W30" s="66">
        <v>45411.0</v>
      </c>
      <c r="X30" s="13">
        <f t="shared" si="2"/>
        <v>0</v>
      </c>
    </row>
    <row r="31">
      <c r="A31" s="15">
        <f t="shared" si="3"/>
        <v>30</v>
      </c>
      <c r="B31" s="15" t="s">
        <v>137</v>
      </c>
      <c r="C31" s="15" t="s">
        <v>19</v>
      </c>
      <c r="D31" s="15">
        <v>25.0</v>
      </c>
      <c r="E31" s="15">
        <v>3.0</v>
      </c>
      <c r="F31" s="15" t="s">
        <v>4901</v>
      </c>
      <c r="G31" s="15" t="s">
        <v>5564</v>
      </c>
      <c r="H31" s="15" t="s">
        <v>2660</v>
      </c>
      <c r="I31" s="15">
        <v>0.0</v>
      </c>
      <c r="J31" s="15" t="s">
        <v>432</v>
      </c>
      <c r="K31" s="15" t="s">
        <v>22</v>
      </c>
      <c r="L31" s="15" t="s">
        <v>1150</v>
      </c>
      <c r="M31" s="15" t="s">
        <v>24</v>
      </c>
      <c r="N31" s="16">
        <v>0.0</v>
      </c>
      <c r="O31" s="16">
        <v>0.8</v>
      </c>
      <c r="P31" s="16">
        <v>0.8</v>
      </c>
      <c r="Q31" s="17">
        <v>45388.0</v>
      </c>
      <c r="R31" s="18">
        <v>1.9</v>
      </c>
      <c r="S31" s="15" t="s">
        <v>70</v>
      </c>
      <c r="T31" s="19">
        <f t="shared" si="1"/>
        <v>0</v>
      </c>
      <c r="U31" s="19">
        <f t="shared" si="4"/>
        <v>3.548726415</v>
      </c>
      <c r="W31" s="66">
        <v>45412.0</v>
      </c>
      <c r="X31" s="13">
        <f t="shared" si="2"/>
        <v>0.1425</v>
      </c>
    </row>
    <row r="32">
      <c r="A32" s="8">
        <f t="shared" si="3"/>
        <v>31</v>
      </c>
      <c r="B32" s="8" t="s">
        <v>4225</v>
      </c>
      <c r="C32" s="8" t="s">
        <v>19</v>
      </c>
      <c r="D32" s="8">
        <v>38.0</v>
      </c>
      <c r="E32" s="8">
        <v>2.0</v>
      </c>
      <c r="F32" s="8" t="s">
        <v>4902</v>
      </c>
      <c r="G32" s="8" t="s">
        <v>5565</v>
      </c>
      <c r="H32" s="8" t="s">
        <v>2556</v>
      </c>
      <c r="I32" s="8">
        <v>-1.0</v>
      </c>
      <c r="J32" s="8" t="s">
        <v>1368</v>
      </c>
      <c r="K32" s="8" t="s">
        <v>22</v>
      </c>
      <c r="L32" s="8" t="s">
        <v>225</v>
      </c>
      <c r="M32" s="8" t="s">
        <v>24</v>
      </c>
      <c r="N32" s="9">
        <v>1.25</v>
      </c>
      <c r="O32" s="9">
        <v>0.5</v>
      </c>
      <c r="P32" s="9">
        <v>0.5</v>
      </c>
      <c r="Q32" s="10">
        <v>45388.0</v>
      </c>
      <c r="R32" s="11">
        <v>1.85</v>
      </c>
      <c r="S32" s="8" t="s">
        <v>33</v>
      </c>
      <c r="T32" s="12">
        <f t="shared" si="1"/>
        <v>0.425</v>
      </c>
      <c r="U32" s="12">
        <f t="shared" si="4"/>
        <v>3.973726415</v>
      </c>
      <c r="W32" s="66"/>
      <c r="X32" s="13">
        <f t="shared" si="2"/>
        <v>0</v>
      </c>
    </row>
    <row r="33">
      <c r="A33" s="15">
        <f t="shared" si="3"/>
        <v>32</v>
      </c>
      <c r="B33" s="15" t="s">
        <v>4225</v>
      </c>
      <c r="C33" s="15" t="s">
        <v>19</v>
      </c>
      <c r="D33" s="15">
        <v>56.0</v>
      </c>
      <c r="E33" s="15">
        <v>3.0</v>
      </c>
      <c r="F33" s="15" t="s">
        <v>4903</v>
      </c>
      <c r="G33" s="15" t="s">
        <v>5565</v>
      </c>
      <c r="H33" s="15" t="s">
        <v>2660</v>
      </c>
      <c r="I33" s="15">
        <v>0.0</v>
      </c>
      <c r="J33" s="15" t="s">
        <v>44</v>
      </c>
      <c r="K33" s="15" t="s">
        <v>22</v>
      </c>
      <c r="L33" s="15" t="s">
        <v>892</v>
      </c>
      <c r="M33" s="15" t="s">
        <v>24</v>
      </c>
      <c r="N33" s="16">
        <v>0.0</v>
      </c>
      <c r="O33" s="16">
        <v>0.8</v>
      </c>
      <c r="P33" s="16">
        <v>0.8</v>
      </c>
      <c r="Q33" s="17">
        <v>45388.0</v>
      </c>
      <c r="R33" s="18">
        <v>1.725</v>
      </c>
      <c r="S33" s="15" t="s">
        <v>25</v>
      </c>
      <c r="T33" s="19">
        <f t="shared" si="1"/>
        <v>-0.8</v>
      </c>
      <c r="U33" s="19">
        <f t="shared" si="4"/>
        <v>3.173726415</v>
      </c>
      <c r="W33" s="94" t="s">
        <v>89</v>
      </c>
      <c r="X33" s="28">
        <f>SUM(X2:X32)</f>
        <v>-1.163572655</v>
      </c>
    </row>
    <row r="34">
      <c r="A34" s="8">
        <f t="shared" si="3"/>
        <v>33</v>
      </c>
      <c r="B34" s="8" t="s">
        <v>26</v>
      </c>
      <c r="C34" s="8" t="s">
        <v>19</v>
      </c>
      <c r="D34" s="8">
        <v>30.0</v>
      </c>
      <c r="E34" s="8">
        <v>2.0</v>
      </c>
      <c r="F34" s="8" t="s">
        <v>4904</v>
      </c>
      <c r="G34" s="8" t="s">
        <v>5564</v>
      </c>
      <c r="H34" s="8" t="s">
        <v>2556</v>
      </c>
      <c r="I34" s="8">
        <v>0.0</v>
      </c>
      <c r="J34" s="8" t="s">
        <v>1031</v>
      </c>
      <c r="K34" s="8" t="s">
        <v>22</v>
      </c>
      <c r="L34" s="8" t="s">
        <v>225</v>
      </c>
      <c r="M34" s="8" t="s">
        <v>24</v>
      </c>
      <c r="N34" s="9">
        <v>0.5</v>
      </c>
      <c r="O34" s="9">
        <v>0.25</v>
      </c>
      <c r="P34" s="9">
        <v>0.25</v>
      </c>
      <c r="Q34" s="10">
        <v>45388.0</v>
      </c>
      <c r="R34" s="11">
        <v>1.775</v>
      </c>
      <c r="S34" s="8" t="s">
        <v>25</v>
      </c>
      <c r="T34" s="12">
        <f t="shared" si="1"/>
        <v>-0.25</v>
      </c>
      <c r="U34" s="12">
        <f t="shared" si="4"/>
        <v>2.923726415</v>
      </c>
    </row>
    <row r="35">
      <c r="A35" s="15">
        <f t="shared" si="3"/>
        <v>34</v>
      </c>
      <c r="B35" s="15" t="s">
        <v>137</v>
      </c>
      <c r="C35" s="15" t="s">
        <v>19</v>
      </c>
      <c r="D35" s="15">
        <v>70.0</v>
      </c>
      <c r="E35" s="15">
        <v>3.0</v>
      </c>
      <c r="F35" s="15" t="s">
        <v>4905</v>
      </c>
      <c r="G35" s="15" t="s">
        <v>5565</v>
      </c>
      <c r="H35" s="15" t="s">
        <v>2660</v>
      </c>
      <c r="I35" s="15">
        <v>-2.0</v>
      </c>
      <c r="J35" s="15" t="s">
        <v>174</v>
      </c>
      <c r="K35" s="15" t="s">
        <v>22</v>
      </c>
      <c r="L35" s="15" t="s">
        <v>892</v>
      </c>
      <c r="M35" s="15" t="s">
        <v>24</v>
      </c>
      <c r="N35" s="16">
        <v>0.0</v>
      </c>
      <c r="O35" s="16">
        <v>1.0</v>
      </c>
      <c r="P35" s="16">
        <v>1.0</v>
      </c>
      <c r="Q35" s="17">
        <v>45388.0</v>
      </c>
      <c r="R35" s="18">
        <v>1.75</v>
      </c>
      <c r="S35" s="15" t="s">
        <v>70</v>
      </c>
      <c r="T35" s="19">
        <f t="shared" si="1"/>
        <v>0</v>
      </c>
      <c r="U35" s="19">
        <f t="shared" si="4"/>
        <v>2.923726415</v>
      </c>
      <c r="W35" s="29"/>
    </row>
    <row r="36">
      <c r="A36" s="8">
        <f t="shared" si="3"/>
        <v>35</v>
      </c>
      <c r="B36" s="8" t="s">
        <v>137</v>
      </c>
      <c r="C36" s="8" t="s">
        <v>19</v>
      </c>
      <c r="D36" s="8">
        <v>21.0</v>
      </c>
      <c r="E36" s="8">
        <v>3.0</v>
      </c>
      <c r="F36" s="8" t="s">
        <v>4906</v>
      </c>
      <c r="G36" s="8" t="s">
        <v>5564</v>
      </c>
      <c r="H36" s="8" t="s">
        <v>2660</v>
      </c>
      <c r="I36" s="8">
        <v>0.0</v>
      </c>
      <c r="J36" s="8" t="s">
        <v>646</v>
      </c>
      <c r="K36" s="8" t="s">
        <v>22</v>
      </c>
      <c r="L36" s="8" t="s">
        <v>1150</v>
      </c>
      <c r="M36" s="8" t="s">
        <v>39</v>
      </c>
      <c r="N36" s="9">
        <v>0.0</v>
      </c>
      <c r="O36" s="9">
        <v>0.25</v>
      </c>
      <c r="P36" s="9">
        <v>0.25</v>
      </c>
      <c r="Q36" s="10">
        <v>45388.0</v>
      </c>
      <c r="R36" s="11">
        <v>2.15</v>
      </c>
      <c r="S36" s="8" t="s">
        <v>70</v>
      </c>
      <c r="T36" s="12">
        <f t="shared" si="1"/>
        <v>0</v>
      </c>
      <c r="U36" s="12">
        <f t="shared" si="4"/>
        <v>2.923726415</v>
      </c>
      <c r="W36" s="30"/>
    </row>
    <row r="37">
      <c r="A37" s="15">
        <f t="shared" si="3"/>
        <v>36</v>
      </c>
      <c r="B37" s="15" t="s">
        <v>26</v>
      </c>
      <c r="C37" s="15" t="s">
        <v>19</v>
      </c>
      <c r="D37" s="15">
        <v>40.0</v>
      </c>
      <c r="E37" s="15">
        <v>2.0</v>
      </c>
      <c r="F37" s="15" t="s">
        <v>4907</v>
      </c>
      <c r="G37" s="15" t="s">
        <v>5564</v>
      </c>
      <c r="H37" s="15" t="s">
        <v>2556</v>
      </c>
      <c r="I37" s="15">
        <v>0.0</v>
      </c>
      <c r="J37" s="15" t="s">
        <v>3017</v>
      </c>
      <c r="K37" s="15" t="s">
        <v>22</v>
      </c>
      <c r="L37" s="15" t="s">
        <v>225</v>
      </c>
      <c r="M37" s="15" t="s">
        <v>24</v>
      </c>
      <c r="N37" s="16">
        <v>0.5</v>
      </c>
      <c r="O37" s="16">
        <v>0.8</v>
      </c>
      <c r="P37" s="16">
        <v>0.8</v>
      </c>
      <c r="Q37" s="17">
        <v>45388.0</v>
      </c>
      <c r="R37" s="18">
        <v>1.725</v>
      </c>
      <c r="S37" s="15" t="s">
        <v>25</v>
      </c>
      <c r="T37" s="19">
        <f t="shared" si="1"/>
        <v>-0.8</v>
      </c>
      <c r="U37" s="19">
        <f t="shared" si="4"/>
        <v>2.123726415</v>
      </c>
      <c r="W37" s="30"/>
    </row>
    <row r="38">
      <c r="A38" s="8">
        <f t="shared" si="3"/>
        <v>37</v>
      </c>
      <c r="B38" s="8" t="s">
        <v>26</v>
      </c>
      <c r="C38" s="8" t="s">
        <v>19</v>
      </c>
      <c r="D38" s="8">
        <v>80.0</v>
      </c>
      <c r="E38" s="8">
        <v>3.0</v>
      </c>
      <c r="F38" s="8" t="s">
        <v>4908</v>
      </c>
      <c r="G38" s="8" t="s">
        <v>5565</v>
      </c>
      <c r="H38" s="8" t="s">
        <v>2660</v>
      </c>
      <c r="I38" s="8">
        <v>-1.0</v>
      </c>
      <c r="J38" s="8" t="s">
        <v>121</v>
      </c>
      <c r="K38" s="8" t="s">
        <v>22</v>
      </c>
      <c r="L38" s="8" t="s">
        <v>892</v>
      </c>
      <c r="M38" s="8" t="s">
        <v>24</v>
      </c>
      <c r="N38" s="9">
        <v>0.0</v>
      </c>
      <c r="O38" s="9">
        <v>0.5</v>
      </c>
      <c r="P38" s="9">
        <v>0.5</v>
      </c>
      <c r="Q38" s="10">
        <v>45388.0</v>
      </c>
      <c r="R38" s="11">
        <v>1.6</v>
      </c>
      <c r="S38" s="8" t="s">
        <v>70</v>
      </c>
      <c r="T38" s="12">
        <f t="shared" si="1"/>
        <v>0</v>
      </c>
      <c r="U38" s="12">
        <f t="shared" si="4"/>
        <v>2.123726415</v>
      </c>
      <c r="W38" s="30"/>
    </row>
    <row r="39">
      <c r="A39" s="15">
        <f t="shared" si="3"/>
        <v>38</v>
      </c>
      <c r="B39" s="15" t="s">
        <v>4225</v>
      </c>
      <c r="C39" s="15" t="s">
        <v>19</v>
      </c>
      <c r="D39" s="15">
        <v>81.0</v>
      </c>
      <c r="E39" s="15">
        <v>3.0</v>
      </c>
      <c r="F39" s="15" t="s">
        <v>4909</v>
      </c>
      <c r="G39" s="15" t="s">
        <v>5565</v>
      </c>
      <c r="H39" s="15" t="s">
        <v>2660</v>
      </c>
      <c r="I39" s="15">
        <v>-1.0</v>
      </c>
      <c r="J39" s="15" t="s">
        <v>583</v>
      </c>
      <c r="K39" s="15" t="s">
        <v>22</v>
      </c>
      <c r="L39" s="15" t="s">
        <v>892</v>
      </c>
      <c r="M39" s="15" t="s">
        <v>24</v>
      </c>
      <c r="N39" s="16">
        <v>0.0</v>
      </c>
      <c r="O39" s="16">
        <v>0.5</v>
      </c>
      <c r="P39" s="16">
        <v>0.5</v>
      </c>
      <c r="Q39" s="17">
        <v>45388.0</v>
      </c>
      <c r="R39" s="18">
        <v>1.825</v>
      </c>
      <c r="S39" s="15" t="s">
        <v>25</v>
      </c>
      <c r="T39" s="19">
        <f t="shared" si="1"/>
        <v>-0.5</v>
      </c>
      <c r="U39" s="19">
        <f t="shared" si="4"/>
        <v>1.623726415</v>
      </c>
      <c r="W39" s="30"/>
    </row>
    <row r="40">
      <c r="A40" s="8">
        <f t="shared" si="3"/>
        <v>39</v>
      </c>
      <c r="B40" s="8" t="s">
        <v>131</v>
      </c>
      <c r="C40" s="8" t="s">
        <v>19</v>
      </c>
      <c r="D40" s="8">
        <v>39.0</v>
      </c>
      <c r="E40" s="8">
        <v>2.0</v>
      </c>
      <c r="F40" s="8" t="s">
        <v>4910</v>
      </c>
      <c r="G40" s="8" t="s">
        <v>5564</v>
      </c>
      <c r="H40" s="8" t="s">
        <v>2556</v>
      </c>
      <c r="I40" s="8">
        <v>0.0</v>
      </c>
      <c r="J40" s="8" t="s">
        <v>50</v>
      </c>
      <c r="K40" s="8" t="s">
        <v>22</v>
      </c>
      <c r="L40" s="8" t="s">
        <v>225</v>
      </c>
      <c r="M40" s="8" t="s">
        <v>24</v>
      </c>
      <c r="N40" s="9">
        <v>0.25</v>
      </c>
      <c r="O40" s="9">
        <v>1.0</v>
      </c>
      <c r="P40" s="9">
        <v>1.0</v>
      </c>
      <c r="Q40" s="10">
        <v>45388.0</v>
      </c>
      <c r="R40" s="11">
        <v>1.775</v>
      </c>
      <c r="S40" s="8" t="s">
        <v>996</v>
      </c>
      <c r="T40" s="12">
        <f t="shared" si="1"/>
        <v>0.3875</v>
      </c>
      <c r="U40" s="12">
        <f t="shared" si="4"/>
        <v>2.011226415</v>
      </c>
      <c r="W40" s="30"/>
    </row>
    <row r="41">
      <c r="A41" s="15">
        <f t="shared" si="3"/>
        <v>40</v>
      </c>
      <c r="B41" s="15" t="s">
        <v>131</v>
      </c>
      <c r="C41" s="15" t="s">
        <v>19</v>
      </c>
      <c r="D41" s="15">
        <v>75.0</v>
      </c>
      <c r="E41" s="15">
        <v>2.0</v>
      </c>
      <c r="F41" s="15" t="s">
        <v>4911</v>
      </c>
      <c r="G41" s="15" t="s">
        <v>5564</v>
      </c>
      <c r="H41" s="15" t="s">
        <v>2556</v>
      </c>
      <c r="I41" s="15">
        <v>-2.0</v>
      </c>
      <c r="J41" s="15" t="s">
        <v>50</v>
      </c>
      <c r="K41" s="15" t="s">
        <v>22</v>
      </c>
      <c r="L41" s="15" t="s">
        <v>225</v>
      </c>
      <c r="M41" s="15" t="s">
        <v>24</v>
      </c>
      <c r="N41" s="16">
        <v>0.25</v>
      </c>
      <c r="O41" s="16">
        <v>0.5</v>
      </c>
      <c r="P41" s="16">
        <v>0.5</v>
      </c>
      <c r="Q41" s="17">
        <v>45388.0</v>
      </c>
      <c r="R41" s="18">
        <v>1.7</v>
      </c>
      <c r="S41" s="15" t="s">
        <v>996</v>
      </c>
      <c r="T41" s="19">
        <f t="shared" si="1"/>
        <v>0.175</v>
      </c>
      <c r="U41" s="19">
        <f t="shared" si="4"/>
        <v>2.186226415</v>
      </c>
      <c r="W41" s="30"/>
    </row>
    <row r="42">
      <c r="A42" s="8">
        <f t="shared" si="3"/>
        <v>41</v>
      </c>
      <c r="B42" s="8" t="s">
        <v>129</v>
      </c>
      <c r="C42" s="8" t="s">
        <v>19</v>
      </c>
      <c r="D42" s="8">
        <v>79.0</v>
      </c>
      <c r="E42" s="8">
        <v>3.0</v>
      </c>
      <c r="F42" s="8" t="s">
        <v>4912</v>
      </c>
      <c r="G42" s="8" t="s">
        <v>5565</v>
      </c>
      <c r="H42" s="8" t="s">
        <v>2660</v>
      </c>
      <c r="I42" s="8">
        <v>-2.0</v>
      </c>
      <c r="J42" s="8" t="s">
        <v>93</v>
      </c>
      <c r="K42" s="8" t="s">
        <v>22</v>
      </c>
      <c r="L42" s="8" t="s">
        <v>892</v>
      </c>
      <c r="M42" s="8" t="s">
        <v>1522</v>
      </c>
      <c r="N42" s="9">
        <v>0.0</v>
      </c>
      <c r="O42" s="9">
        <v>0.5</v>
      </c>
      <c r="P42" s="9">
        <v>0.5</v>
      </c>
      <c r="Q42" s="10">
        <v>45388.0</v>
      </c>
      <c r="R42" s="11">
        <v>2.15</v>
      </c>
      <c r="S42" s="8" t="s">
        <v>70</v>
      </c>
      <c r="T42" s="12">
        <f t="shared" si="1"/>
        <v>0</v>
      </c>
      <c r="U42" s="12">
        <f t="shared" si="4"/>
        <v>2.186226415</v>
      </c>
      <c r="W42" s="30"/>
    </row>
    <row r="43">
      <c r="A43" s="15">
        <f t="shared" si="3"/>
        <v>42</v>
      </c>
      <c r="B43" s="15" t="s">
        <v>18</v>
      </c>
      <c r="C43" s="15" t="s">
        <v>19</v>
      </c>
      <c r="D43" s="15">
        <v>74.0</v>
      </c>
      <c r="E43" s="15">
        <v>3.0</v>
      </c>
      <c r="F43" s="15" t="s">
        <v>4913</v>
      </c>
      <c r="G43" s="15" t="s">
        <v>5564</v>
      </c>
      <c r="H43" s="15" t="s">
        <v>2660</v>
      </c>
      <c r="I43" s="15">
        <v>-2.0</v>
      </c>
      <c r="J43" s="15" t="s">
        <v>93</v>
      </c>
      <c r="K43" s="15" t="s">
        <v>22</v>
      </c>
      <c r="L43" s="15" t="s">
        <v>892</v>
      </c>
      <c r="M43" s="15" t="s">
        <v>24</v>
      </c>
      <c r="N43" s="16">
        <v>0.0</v>
      </c>
      <c r="O43" s="16">
        <v>0.4</v>
      </c>
      <c r="P43" s="16">
        <v>0.4</v>
      </c>
      <c r="Q43" s="17">
        <v>45389.0</v>
      </c>
      <c r="R43" s="18">
        <v>1.9</v>
      </c>
      <c r="S43" s="15" t="s">
        <v>25</v>
      </c>
      <c r="T43" s="19">
        <f t="shared" si="1"/>
        <v>-0.4</v>
      </c>
      <c r="U43" s="19">
        <f t="shared" si="4"/>
        <v>1.786226415</v>
      </c>
      <c r="W43" s="30"/>
    </row>
    <row r="44">
      <c r="A44" s="8">
        <f t="shared" si="3"/>
        <v>43</v>
      </c>
      <c r="B44" s="8" t="s">
        <v>129</v>
      </c>
      <c r="C44" s="8" t="s">
        <v>19</v>
      </c>
      <c r="D44" s="8">
        <v>55.0</v>
      </c>
      <c r="E44" s="8">
        <v>2.0</v>
      </c>
      <c r="F44" s="8" t="s">
        <v>4914</v>
      </c>
      <c r="G44" s="8" t="s">
        <v>5564</v>
      </c>
      <c r="H44" s="8" t="s">
        <v>2556</v>
      </c>
      <c r="I44" s="8">
        <v>-1.0</v>
      </c>
      <c r="J44" s="8" t="s">
        <v>93</v>
      </c>
      <c r="K44" s="8" t="s">
        <v>22</v>
      </c>
      <c r="L44" s="8" t="s">
        <v>225</v>
      </c>
      <c r="M44" s="8" t="s">
        <v>24</v>
      </c>
      <c r="N44" s="9">
        <v>0.25</v>
      </c>
      <c r="O44" s="9">
        <v>1.0</v>
      </c>
      <c r="P44" s="9">
        <v>0.774</v>
      </c>
      <c r="Q44" s="10">
        <v>45389.0</v>
      </c>
      <c r="R44" s="11">
        <v>1.775</v>
      </c>
      <c r="S44" s="8" t="s">
        <v>996</v>
      </c>
      <c r="T44" s="12">
        <f t="shared" si="1"/>
        <v>0.299925</v>
      </c>
      <c r="U44" s="12">
        <f t="shared" si="4"/>
        <v>2.086151415</v>
      </c>
      <c r="W44" s="30"/>
    </row>
    <row r="45">
      <c r="A45" s="15">
        <f t="shared" si="3"/>
        <v>44</v>
      </c>
      <c r="B45" s="15" t="s">
        <v>26</v>
      </c>
      <c r="C45" s="15" t="s">
        <v>19</v>
      </c>
      <c r="D45" s="15">
        <v>74.0</v>
      </c>
      <c r="E45" s="15">
        <v>3.0</v>
      </c>
      <c r="F45" s="15" t="s">
        <v>4915</v>
      </c>
      <c r="G45" s="15" t="s">
        <v>5564</v>
      </c>
      <c r="H45" s="15" t="s">
        <v>2660</v>
      </c>
      <c r="I45" s="15">
        <v>0.0</v>
      </c>
      <c r="J45" s="15" t="s">
        <v>93</v>
      </c>
      <c r="K45" s="15" t="s">
        <v>22</v>
      </c>
      <c r="L45" s="15" t="s">
        <v>892</v>
      </c>
      <c r="M45" s="15" t="s">
        <v>24</v>
      </c>
      <c r="N45" s="16">
        <v>0.0</v>
      </c>
      <c r="O45" s="16">
        <v>0.5</v>
      </c>
      <c r="P45" s="16">
        <f>40/43*0.5</f>
        <v>0.4651162791</v>
      </c>
      <c r="Q45" s="17">
        <v>45389.0</v>
      </c>
      <c r="R45" s="18">
        <v>1.825</v>
      </c>
      <c r="S45" s="15" t="s">
        <v>33</v>
      </c>
      <c r="T45" s="19">
        <f t="shared" si="1"/>
        <v>0.3837209302</v>
      </c>
      <c r="U45" s="19">
        <f t="shared" si="4"/>
        <v>2.469872345</v>
      </c>
    </row>
    <row r="46">
      <c r="A46" s="8">
        <f t="shared" si="3"/>
        <v>45</v>
      </c>
      <c r="B46" s="8" t="s">
        <v>18</v>
      </c>
      <c r="C46" s="8" t="s">
        <v>19</v>
      </c>
      <c r="D46" s="8">
        <v>71.0</v>
      </c>
      <c r="E46" s="8">
        <v>3.0</v>
      </c>
      <c r="F46" s="8" t="s">
        <v>4916</v>
      </c>
      <c r="G46" s="8" t="s">
        <v>5564</v>
      </c>
      <c r="H46" s="8" t="s">
        <v>2660</v>
      </c>
      <c r="I46" s="8">
        <v>0.0</v>
      </c>
      <c r="J46" s="8" t="s">
        <v>583</v>
      </c>
      <c r="K46" s="8" t="s">
        <v>22</v>
      </c>
      <c r="L46" s="8" t="s">
        <v>941</v>
      </c>
      <c r="M46" s="8" t="s">
        <v>24</v>
      </c>
      <c r="N46" s="9">
        <v>0.0</v>
      </c>
      <c r="O46" s="9">
        <v>0.5</v>
      </c>
      <c r="P46" s="9">
        <v>0.2265</v>
      </c>
      <c r="Q46" s="10">
        <v>45389.0</v>
      </c>
      <c r="R46" s="11">
        <v>2.0</v>
      </c>
      <c r="S46" s="8" t="s">
        <v>33</v>
      </c>
      <c r="T46" s="12">
        <f t="shared" si="1"/>
        <v>0.2265</v>
      </c>
      <c r="U46" s="12">
        <f t="shared" si="4"/>
        <v>2.696372345</v>
      </c>
    </row>
    <row r="47">
      <c r="A47" s="15">
        <f t="shared" si="3"/>
        <v>46</v>
      </c>
      <c r="B47" s="15" t="s">
        <v>129</v>
      </c>
      <c r="C47" s="15" t="s">
        <v>19</v>
      </c>
      <c r="D47" s="15">
        <v>16.0</v>
      </c>
      <c r="E47" s="15">
        <v>3.0</v>
      </c>
      <c r="F47" s="15" t="s">
        <v>4917</v>
      </c>
      <c r="G47" s="15" t="s">
        <v>5565</v>
      </c>
      <c r="H47" s="15" t="s">
        <v>2660</v>
      </c>
      <c r="I47" s="15">
        <v>0.0</v>
      </c>
      <c r="J47" s="15" t="s">
        <v>42</v>
      </c>
      <c r="K47" s="15" t="s">
        <v>22</v>
      </c>
      <c r="L47" s="15" t="s">
        <v>1150</v>
      </c>
      <c r="M47" s="15" t="s">
        <v>24</v>
      </c>
      <c r="N47" s="16">
        <v>0.0</v>
      </c>
      <c r="O47" s="16">
        <v>0.4</v>
      </c>
      <c r="P47" s="16">
        <v>0.1687</v>
      </c>
      <c r="Q47" s="17">
        <v>45389.0</v>
      </c>
      <c r="R47" s="18">
        <v>1.675</v>
      </c>
      <c r="S47" s="15" t="s">
        <v>70</v>
      </c>
      <c r="T47" s="19">
        <f t="shared" si="1"/>
        <v>0</v>
      </c>
      <c r="U47" s="19">
        <f t="shared" si="4"/>
        <v>2.696372345</v>
      </c>
    </row>
    <row r="48">
      <c r="A48" s="8">
        <f t="shared" si="3"/>
        <v>47</v>
      </c>
      <c r="B48" s="8" t="s">
        <v>26</v>
      </c>
      <c r="C48" s="8" t="s">
        <v>19</v>
      </c>
      <c r="D48" s="8">
        <v>77.0</v>
      </c>
      <c r="E48" s="8">
        <v>3.0</v>
      </c>
      <c r="F48" s="8" t="s">
        <v>4918</v>
      </c>
      <c r="G48" s="8" t="s">
        <v>5564</v>
      </c>
      <c r="H48" s="8" t="s">
        <v>2660</v>
      </c>
      <c r="I48" s="8">
        <v>-3.0</v>
      </c>
      <c r="J48" s="8" t="s">
        <v>44</v>
      </c>
      <c r="K48" s="8" t="s">
        <v>22</v>
      </c>
      <c r="L48" s="8" t="s">
        <v>892</v>
      </c>
      <c r="M48" s="8" t="s">
        <v>24</v>
      </c>
      <c r="N48" s="9">
        <v>0.0</v>
      </c>
      <c r="O48" s="9">
        <v>1.0</v>
      </c>
      <c r="P48" s="9">
        <v>0.875</v>
      </c>
      <c r="Q48" s="10">
        <v>45389.0</v>
      </c>
      <c r="R48" s="11">
        <v>1.75</v>
      </c>
      <c r="S48" s="8" t="s">
        <v>70</v>
      </c>
      <c r="T48" s="12">
        <f t="shared" si="1"/>
        <v>0</v>
      </c>
      <c r="U48" s="12">
        <f t="shared" si="4"/>
        <v>2.696372345</v>
      </c>
    </row>
    <row r="49">
      <c r="A49" s="15">
        <f t="shared" si="3"/>
        <v>48</v>
      </c>
      <c r="B49" s="15" t="s">
        <v>26</v>
      </c>
      <c r="C49" s="15" t="s">
        <v>19</v>
      </c>
      <c r="D49" s="15">
        <v>57.0</v>
      </c>
      <c r="E49" s="15">
        <v>3.0</v>
      </c>
      <c r="F49" s="15" t="s">
        <v>4919</v>
      </c>
      <c r="G49" s="15" t="s">
        <v>5565</v>
      </c>
      <c r="H49" s="15" t="s">
        <v>2660</v>
      </c>
      <c r="I49" s="15">
        <v>-1.0</v>
      </c>
      <c r="J49" s="15" t="s">
        <v>121</v>
      </c>
      <c r="K49" s="15" t="s">
        <v>22</v>
      </c>
      <c r="L49" s="15" t="s">
        <v>892</v>
      </c>
      <c r="M49" s="15" t="s">
        <v>1522</v>
      </c>
      <c r="N49" s="16">
        <v>0.0</v>
      </c>
      <c r="O49" s="16">
        <v>1.0</v>
      </c>
      <c r="P49" s="16">
        <v>1.0</v>
      </c>
      <c r="Q49" s="17">
        <v>45389.0</v>
      </c>
      <c r="R49" s="18">
        <v>1.725</v>
      </c>
      <c r="S49" s="15" t="s">
        <v>70</v>
      </c>
      <c r="T49" s="19">
        <f t="shared" si="1"/>
        <v>0</v>
      </c>
      <c r="U49" s="19">
        <f t="shared" si="4"/>
        <v>2.696372345</v>
      </c>
    </row>
    <row r="50">
      <c r="A50" s="8">
        <f t="shared" si="3"/>
        <v>49</v>
      </c>
      <c r="B50" s="8" t="s">
        <v>18</v>
      </c>
      <c r="C50" s="8" t="s">
        <v>40</v>
      </c>
      <c r="D50" s="8">
        <v>32.0</v>
      </c>
      <c r="E50" s="8">
        <v>2.0</v>
      </c>
      <c r="F50" s="8" t="s">
        <v>4920</v>
      </c>
      <c r="G50" s="8" t="s">
        <v>5565</v>
      </c>
      <c r="H50" s="8" t="s">
        <v>2556</v>
      </c>
      <c r="I50" s="8">
        <v>0.0</v>
      </c>
      <c r="J50" s="8" t="s">
        <v>42</v>
      </c>
      <c r="K50" s="8" t="s">
        <v>22</v>
      </c>
      <c r="L50" s="8" t="s">
        <v>225</v>
      </c>
      <c r="M50" s="8" t="s">
        <v>24</v>
      </c>
      <c r="N50" s="9">
        <v>0.5</v>
      </c>
      <c r="O50" s="9">
        <v>1.0</v>
      </c>
      <c r="P50" s="9">
        <v>1.0</v>
      </c>
      <c r="Q50" s="10">
        <v>45389.0</v>
      </c>
      <c r="R50" s="11">
        <v>1.9</v>
      </c>
      <c r="S50" s="8" t="s">
        <v>33</v>
      </c>
      <c r="T50" s="12">
        <f t="shared" si="1"/>
        <v>0.9</v>
      </c>
      <c r="U50" s="12">
        <f t="shared" si="4"/>
        <v>3.596372345</v>
      </c>
    </row>
    <row r="51">
      <c r="A51" s="15">
        <f t="shared" si="3"/>
        <v>50</v>
      </c>
      <c r="B51" s="15" t="s">
        <v>26</v>
      </c>
      <c r="C51" s="15" t="s">
        <v>19</v>
      </c>
      <c r="D51" s="15">
        <v>30.0</v>
      </c>
      <c r="E51" s="15">
        <v>3.0</v>
      </c>
      <c r="F51" s="15" t="s">
        <v>4921</v>
      </c>
      <c r="G51" s="15" t="s">
        <v>5564</v>
      </c>
      <c r="H51" s="15" t="s">
        <v>2660</v>
      </c>
      <c r="I51" s="15">
        <v>0.0</v>
      </c>
      <c r="J51" s="15" t="s">
        <v>624</v>
      </c>
      <c r="K51" s="15" t="s">
        <v>22</v>
      </c>
      <c r="L51" s="15" t="s">
        <v>1150</v>
      </c>
      <c r="M51" s="15" t="s">
        <v>24</v>
      </c>
      <c r="N51" s="16">
        <v>0.0</v>
      </c>
      <c r="O51" s="16">
        <v>0.75</v>
      </c>
      <c r="P51" s="16">
        <v>0.75</v>
      </c>
      <c r="Q51" s="17">
        <v>45389.0</v>
      </c>
      <c r="R51" s="18">
        <v>1.775</v>
      </c>
      <c r="S51" s="15" t="s">
        <v>70</v>
      </c>
      <c r="T51" s="19">
        <f t="shared" si="1"/>
        <v>0</v>
      </c>
      <c r="U51" s="19">
        <f t="shared" si="4"/>
        <v>3.596372345</v>
      </c>
      <c r="V51" s="40"/>
      <c r="W51" s="41" t="s">
        <v>125</v>
      </c>
      <c r="X51" s="41" t="s">
        <v>126</v>
      </c>
      <c r="Y51" s="41" t="s">
        <v>45</v>
      </c>
    </row>
    <row r="52">
      <c r="A52" s="8">
        <f t="shared" si="3"/>
        <v>51</v>
      </c>
      <c r="B52" s="8" t="s">
        <v>18</v>
      </c>
      <c r="C52" s="8" t="s">
        <v>19</v>
      </c>
      <c r="D52" s="8">
        <v>51.0</v>
      </c>
      <c r="E52" s="8">
        <v>3.0</v>
      </c>
      <c r="F52" s="8" t="s">
        <v>4922</v>
      </c>
      <c r="G52" s="8" t="s">
        <v>5564</v>
      </c>
      <c r="H52" s="8" t="s">
        <v>2660</v>
      </c>
      <c r="I52" s="8">
        <v>0.0</v>
      </c>
      <c r="J52" s="8" t="s">
        <v>42</v>
      </c>
      <c r="K52" s="8" t="s">
        <v>22</v>
      </c>
      <c r="L52" s="8" t="s">
        <v>892</v>
      </c>
      <c r="M52" s="8" t="s">
        <v>24</v>
      </c>
      <c r="N52" s="9">
        <v>0.0</v>
      </c>
      <c r="O52" s="9">
        <v>0.25</v>
      </c>
      <c r="P52" s="9">
        <v>0.25</v>
      </c>
      <c r="Q52" s="10">
        <v>45389.0</v>
      </c>
      <c r="R52" s="11">
        <v>1.9</v>
      </c>
      <c r="S52" s="8" t="s">
        <v>70</v>
      </c>
      <c r="T52" s="12">
        <f t="shared" si="1"/>
        <v>0</v>
      </c>
      <c r="U52" s="12">
        <f t="shared" si="4"/>
        <v>3.596372345</v>
      </c>
      <c r="V52" s="41" t="s">
        <v>129</v>
      </c>
      <c r="W52" s="45">
        <f t="shared" ref="W52:W57" si="5">SUMIF($B$2:$B$2981,V52,$T$2:$T$2981)</f>
        <v>4.31252</v>
      </c>
      <c r="X52" s="45">
        <f t="shared" ref="X52:X57" si="6">SUMIF($B$2:$B$2981,V52,$P$2:$P$2981)</f>
        <v>14.3051</v>
      </c>
      <c r="Y52" s="46">
        <f t="shared" ref="Y52:Y57" si="7">W52/X52</f>
        <v>0.3014673089</v>
      </c>
    </row>
    <row r="53">
      <c r="A53" s="15">
        <f t="shared" si="3"/>
        <v>52</v>
      </c>
      <c r="B53" s="15" t="s">
        <v>26</v>
      </c>
      <c r="C53" s="15" t="s">
        <v>19</v>
      </c>
      <c r="D53" s="15">
        <v>45.0</v>
      </c>
      <c r="E53" s="15">
        <v>9.0</v>
      </c>
      <c r="F53" s="15" t="s">
        <v>4923</v>
      </c>
      <c r="G53" s="15"/>
      <c r="H53" s="15"/>
      <c r="I53" s="15">
        <v>0.0</v>
      </c>
      <c r="J53" s="15" t="s">
        <v>191</v>
      </c>
      <c r="K53" s="15" t="s">
        <v>22</v>
      </c>
      <c r="L53" s="15" t="s">
        <v>440</v>
      </c>
      <c r="M53" s="15" t="s">
        <v>39</v>
      </c>
      <c r="N53" s="16">
        <v>0.75</v>
      </c>
      <c r="O53" s="16">
        <v>0.1</v>
      </c>
      <c r="P53" s="16">
        <v>0.1</v>
      </c>
      <c r="Q53" s="17">
        <v>45389.0</v>
      </c>
      <c r="R53" s="18">
        <v>1.75</v>
      </c>
      <c r="S53" s="15" t="s">
        <v>996</v>
      </c>
      <c r="T53" s="19">
        <f t="shared" si="1"/>
        <v>0.0375</v>
      </c>
      <c r="U53" s="19">
        <f t="shared" si="4"/>
        <v>3.633872345</v>
      </c>
      <c r="V53" s="41" t="s">
        <v>26</v>
      </c>
      <c r="W53" s="45">
        <f t="shared" si="5"/>
        <v>-0.8132690698</v>
      </c>
      <c r="X53" s="45">
        <f t="shared" si="6"/>
        <v>31.69011628</v>
      </c>
      <c r="Y53" s="46">
        <f t="shared" si="7"/>
        <v>-0.02566317721</v>
      </c>
    </row>
    <row r="54">
      <c r="A54" s="8">
        <f t="shared" si="3"/>
        <v>53</v>
      </c>
      <c r="B54" s="8" t="s">
        <v>4225</v>
      </c>
      <c r="C54" s="8" t="s">
        <v>19</v>
      </c>
      <c r="D54" s="8">
        <v>30.0</v>
      </c>
      <c r="E54" s="8">
        <v>2.0</v>
      </c>
      <c r="F54" s="8" t="s">
        <v>4924</v>
      </c>
      <c r="G54" s="8" t="s">
        <v>5565</v>
      </c>
      <c r="H54" s="8" t="s">
        <v>2556</v>
      </c>
      <c r="I54" s="8">
        <v>0.0</v>
      </c>
      <c r="J54" s="8" t="s">
        <v>1031</v>
      </c>
      <c r="K54" s="8" t="s">
        <v>22</v>
      </c>
      <c r="L54" s="8" t="s">
        <v>225</v>
      </c>
      <c r="M54" s="8" t="s">
        <v>24</v>
      </c>
      <c r="N54" s="9">
        <v>0.25</v>
      </c>
      <c r="O54" s="9">
        <v>0.4</v>
      </c>
      <c r="P54" s="9">
        <v>0.4</v>
      </c>
      <c r="Q54" s="54">
        <v>45391.0</v>
      </c>
      <c r="R54" s="11">
        <v>1.7</v>
      </c>
      <c r="S54" s="8" t="s">
        <v>996</v>
      </c>
      <c r="T54" s="12">
        <f t="shared" si="1"/>
        <v>0.14</v>
      </c>
      <c r="U54" s="12">
        <f t="shared" si="4"/>
        <v>3.773872345</v>
      </c>
      <c r="V54" s="41" t="s">
        <v>4225</v>
      </c>
      <c r="W54" s="45">
        <f t="shared" si="5"/>
        <v>-7.02</v>
      </c>
      <c r="X54" s="45">
        <f t="shared" si="6"/>
        <v>23.57</v>
      </c>
      <c r="Y54" s="46">
        <f t="shared" si="7"/>
        <v>-0.2978362325</v>
      </c>
    </row>
    <row r="55">
      <c r="A55" s="15">
        <f t="shared" si="3"/>
        <v>54</v>
      </c>
      <c r="B55" s="15" t="s">
        <v>4225</v>
      </c>
      <c r="C55" s="15" t="s">
        <v>19</v>
      </c>
      <c r="D55" s="15">
        <v>60.0</v>
      </c>
      <c r="E55" s="15">
        <v>3.0</v>
      </c>
      <c r="F55" s="15" t="s">
        <v>4925</v>
      </c>
      <c r="G55" s="15" t="s">
        <v>5565</v>
      </c>
      <c r="H55" s="15" t="s">
        <v>3764</v>
      </c>
      <c r="I55" s="15">
        <v>0.0</v>
      </c>
      <c r="J55" s="15" t="s">
        <v>1031</v>
      </c>
      <c r="K55" s="15" t="s">
        <v>22</v>
      </c>
      <c r="L55" s="15" t="s">
        <v>892</v>
      </c>
      <c r="M55" s="15" t="s">
        <v>24</v>
      </c>
      <c r="N55" s="16">
        <v>0.0</v>
      </c>
      <c r="O55" s="16">
        <v>0.25</v>
      </c>
      <c r="P55" s="16">
        <v>0.25</v>
      </c>
      <c r="Q55" s="17">
        <v>45391.0</v>
      </c>
      <c r="R55" s="18">
        <v>2.08</v>
      </c>
      <c r="S55" s="15" t="s">
        <v>70</v>
      </c>
      <c r="T55" s="19">
        <f t="shared" si="1"/>
        <v>0</v>
      </c>
      <c r="U55" s="19">
        <f t="shared" si="4"/>
        <v>3.773872345</v>
      </c>
      <c r="V55" s="41" t="s">
        <v>137</v>
      </c>
      <c r="W55" s="45">
        <f t="shared" si="5"/>
        <v>0.71315</v>
      </c>
      <c r="X55" s="45">
        <f t="shared" si="6"/>
        <v>11.52</v>
      </c>
      <c r="Y55" s="46">
        <f t="shared" si="7"/>
        <v>0.06190538194</v>
      </c>
    </row>
    <row r="56">
      <c r="A56" s="8">
        <f t="shared" si="3"/>
        <v>55</v>
      </c>
      <c r="B56" s="8" t="s">
        <v>18</v>
      </c>
      <c r="C56" s="8" t="s">
        <v>19</v>
      </c>
      <c r="D56" s="8">
        <v>60.0</v>
      </c>
      <c r="E56" s="8">
        <v>5.0</v>
      </c>
      <c r="F56" s="8" t="s">
        <v>4926</v>
      </c>
      <c r="G56" s="8" t="s">
        <v>5564</v>
      </c>
      <c r="H56" s="8" t="s">
        <v>2573</v>
      </c>
      <c r="I56" s="8">
        <v>0.0</v>
      </c>
      <c r="J56" s="8" t="s">
        <v>853</v>
      </c>
      <c r="K56" s="8" t="s">
        <v>22</v>
      </c>
      <c r="L56" s="8" t="s">
        <v>894</v>
      </c>
      <c r="M56" s="8" t="s">
        <v>24</v>
      </c>
      <c r="N56" s="9">
        <v>-0.5</v>
      </c>
      <c r="O56" s="9">
        <v>0.1</v>
      </c>
      <c r="P56" s="9">
        <v>0.1</v>
      </c>
      <c r="Q56" s="54">
        <v>45391.0</v>
      </c>
      <c r="R56" s="11">
        <v>1.775</v>
      </c>
      <c r="S56" s="8" t="s">
        <v>25</v>
      </c>
      <c r="T56" s="12">
        <f t="shared" si="1"/>
        <v>-0.1</v>
      </c>
      <c r="U56" s="12">
        <f t="shared" si="4"/>
        <v>3.673872345</v>
      </c>
      <c r="V56" s="41" t="s">
        <v>18</v>
      </c>
      <c r="W56" s="45">
        <f t="shared" si="5"/>
        <v>1.875276415</v>
      </c>
      <c r="X56" s="45">
        <f t="shared" si="6"/>
        <v>17.31157547</v>
      </c>
      <c r="Y56" s="46">
        <f t="shared" si="7"/>
        <v>0.1083250001</v>
      </c>
    </row>
    <row r="57">
      <c r="A57" s="15">
        <f t="shared" si="3"/>
        <v>56</v>
      </c>
      <c r="B57" s="15" t="s">
        <v>26</v>
      </c>
      <c r="C57" s="15" t="s">
        <v>19</v>
      </c>
      <c r="D57" s="15">
        <v>70.0</v>
      </c>
      <c r="E57" s="15">
        <v>3.0</v>
      </c>
      <c r="F57" s="15" t="s">
        <v>4927</v>
      </c>
      <c r="G57" s="15" t="s">
        <v>5565</v>
      </c>
      <c r="H57" s="15" t="s">
        <v>3764</v>
      </c>
      <c r="I57" s="15">
        <v>0.0</v>
      </c>
      <c r="J57" s="15" t="s">
        <v>3911</v>
      </c>
      <c r="K57" s="15" t="s">
        <v>22</v>
      </c>
      <c r="L57" s="15" t="s">
        <v>892</v>
      </c>
      <c r="M57" s="15" t="s">
        <v>39</v>
      </c>
      <c r="N57" s="16">
        <v>0.0</v>
      </c>
      <c r="O57" s="16">
        <v>0.25</v>
      </c>
      <c r="P57" s="16">
        <v>0.25</v>
      </c>
      <c r="Q57" s="17">
        <v>45391.0</v>
      </c>
      <c r="R57" s="18">
        <v>1.925</v>
      </c>
      <c r="S57" s="15" t="s">
        <v>25</v>
      </c>
      <c r="T57" s="19">
        <f t="shared" si="1"/>
        <v>-0.25</v>
      </c>
      <c r="U57" s="19">
        <f t="shared" si="4"/>
        <v>3.423872345</v>
      </c>
      <c r="V57" s="41" t="s">
        <v>131</v>
      </c>
      <c r="W57" s="45">
        <f t="shared" si="5"/>
        <v>-0.23125</v>
      </c>
      <c r="X57" s="45">
        <f t="shared" si="6"/>
        <v>4.05</v>
      </c>
      <c r="Y57" s="46">
        <f t="shared" si="7"/>
        <v>-0.05709876543</v>
      </c>
    </row>
    <row r="58">
      <c r="A58" s="8">
        <f t="shared" si="3"/>
        <v>57</v>
      </c>
      <c r="B58" s="8" t="s">
        <v>26</v>
      </c>
      <c r="C58" s="8" t="s">
        <v>19</v>
      </c>
      <c r="D58" s="8">
        <v>28.0</v>
      </c>
      <c r="E58" s="8">
        <v>2.0</v>
      </c>
      <c r="F58" s="8" t="s">
        <v>4928</v>
      </c>
      <c r="G58" s="8" t="s">
        <v>5565</v>
      </c>
      <c r="H58" s="8" t="s">
        <v>2556</v>
      </c>
      <c r="I58" s="8">
        <v>0.0</v>
      </c>
      <c r="J58" s="8" t="s">
        <v>231</v>
      </c>
      <c r="K58" s="8" t="s">
        <v>22</v>
      </c>
      <c r="L58" s="8" t="s">
        <v>225</v>
      </c>
      <c r="M58" s="8" t="s">
        <v>24</v>
      </c>
      <c r="N58" s="9">
        <v>0.25</v>
      </c>
      <c r="O58" s="9">
        <v>0.5</v>
      </c>
      <c r="P58" s="9">
        <v>0.5</v>
      </c>
      <c r="Q58" s="10">
        <v>45391.0</v>
      </c>
      <c r="R58" s="11">
        <v>1.7</v>
      </c>
      <c r="S58" s="8" t="s">
        <v>25</v>
      </c>
      <c r="T58" s="12">
        <f t="shared" si="1"/>
        <v>-0.5</v>
      </c>
      <c r="U58" s="12">
        <f t="shared" si="4"/>
        <v>2.923872345</v>
      </c>
    </row>
    <row r="59">
      <c r="A59" s="15">
        <f t="shared" si="3"/>
        <v>58</v>
      </c>
      <c r="B59" s="15" t="s">
        <v>4225</v>
      </c>
      <c r="C59" s="15" t="s">
        <v>19</v>
      </c>
      <c r="D59" s="15">
        <v>31.0</v>
      </c>
      <c r="E59" s="15"/>
      <c r="F59" s="15" t="s">
        <v>4929</v>
      </c>
      <c r="G59" s="15"/>
      <c r="H59" s="15"/>
      <c r="I59" s="15"/>
      <c r="J59" s="15" t="s">
        <v>42</v>
      </c>
      <c r="K59" s="15" t="s">
        <v>22</v>
      </c>
      <c r="L59" s="15" t="s">
        <v>3515</v>
      </c>
      <c r="M59" s="15" t="s">
        <v>24</v>
      </c>
      <c r="N59" s="16">
        <v>2.5</v>
      </c>
      <c r="O59" s="16">
        <v>0.1</v>
      </c>
      <c r="P59" s="16">
        <v>0.05</v>
      </c>
      <c r="Q59" s="17">
        <v>45392.0</v>
      </c>
      <c r="R59" s="18">
        <v>1.85</v>
      </c>
      <c r="S59" s="15" t="s">
        <v>25</v>
      </c>
      <c r="T59" s="19">
        <f t="shared" si="1"/>
        <v>-0.05</v>
      </c>
      <c r="U59" s="49">
        <f t="shared" si="4"/>
        <v>2.873872345</v>
      </c>
      <c r="V59" s="100" t="s">
        <v>0</v>
      </c>
      <c r="W59" s="101" t="s">
        <v>960</v>
      </c>
      <c r="X59" s="102"/>
      <c r="Y59" s="103"/>
    </row>
    <row r="60">
      <c r="A60" s="8">
        <f t="shared" si="3"/>
        <v>59</v>
      </c>
      <c r="B60" s="8" t="s">
        <v>18</v>
      </c>
      <c r="C60" s="8" t="s">
        <v>19</v>
      </c>
      <c r="D60" s="8">
        <v>20.0</v>
      </c>
      <c r="E60" s="8">
        <v>5.0</v>
      </c>
      <c r="F60" s="8" t="s">
        <v>4930</v>
      </c>
      <c r="G60" s="8" t="s">
        <v>5564</v>
      </c>
      <c r="H60" s="8" t="s">
        <v>2556</v>
      </c>
      <c r="I60" s="8">
        <v>0.0</v>
      </c>
      <c r="J60" s="8" t="s">
        <v>42</v>
      </c>
      <c r="K60" s="8" t="s">
        <v>22</v>
      </c>
      <c r="L60" s="8" t="s">
        <v>1847</v>
      </c>
      <c r="M60" s="8" t="s">
        <v>24</v>
      </c>
      <c r="N60" s="9">
        <v>-0.5</v>
      </c>
      <c r="O60" s="9">
        <v>0.25</v>
      </c>
      <c r="P60" s="9">
        <v>0.25</v>
      </c>
      <c r="Q60" s="10">
        <v>45392.0</v>
      </c>
      <c r="R60" s="11">
        <v>1.725</v>
      </c>
      <c r="S60" s="8" t="s">
        <v>33</v>
      </c>
      <c r="T60" s="12">
        <f t="shared" si="1"/>
        <v>0.18125</v>
      </c>
      <c r="U60" s="48">
        <f t="shared" si="4"/>
        <v>3.055122345</v>
      </c>
      <c r="V60" s="41">
        <v>1.0</v>
      </c>
      <c r="W60" s="104" t="s">
        <v>962</v>
      </c>
      <c r="X60" s="102"/>
      <c r="Y60" s="103"/>
    </row>
    <row r="61">
      <c r="A61" s="15">
        <f t="shared" si="3"/>
        <v>60</v>
      </c>
      <c r="B61" s="15" t="s">
        <v>4225</v>
      </c>
      <c r="C61" s="15" t="s">
        <v>19</v>
      </c>
      <c r="D61" s="15">
        <v>86.0</v>
      </c>
      <c r="E61" s="15">
        <v>7.0</v>
      </c>
      <c r="F61" s="15" t="s">
        <v>4931</v>
      </c>
      <c r="G61" s="15"/>
      <c r="H61" s="15"/>
      <c r="I61" s="15"/>
      <c r="J61" s="15" t="s">
        <v>432</v>
      </c>
      <c r="K61" s="15" t="s">
        <v>22</v>
      </c>
      <c r="L61" s="15" t="s">
        <v>2939</v>
      </c>
      <c r="M61" s="15" t="s">
        <v>24</v>
      </c>
      <c r="N61" s="16">
        <v>-3.5</v>
      </c>
      <c r="O61" s="16">
        <v>0.1</v>
      </c>
      <c r="P61" s="16">
        <v>0.1</v>
      </c>
      <c r="Q61" s="17">
        <v>45392.0</v>
      </c>
      <c r="R61" s="18">
        <v>1.7</v>
      </c>
      <c r="S61" s="15" t="s">
        <v>33</v>
      </c>
      <c r="T61" s="19">
        <f t="shared" si="1"/>
        <v>0.07</v>
      </c>
      <c r="U61" s="49">
        <f t="shared" si="4"/>
        <v>3.125122345</v>
      </c>
      <c r="V61" s="41">
        <v>2.0</v>
      </c>
      <c r="W61" s="104" t="s">
        <v>965</v>
      </c>
      <c r="X61" s="102"/>
      <c r="Y61" s="103"/>
    </row>
    <row r="62">
      <c r="A62" s="8">
        <f t="shared" si="3"/>
        <v>61</v>
      </c>
      <c r="B62" s="8" t="s">
        <v>131</v>
      </c>
      <c r="C62" s="8" t="s">
        <v>19</v>
      </c>
      <c r="D62" s="8">
        <v>18.0</v>
      </c>
      <c r="E62" s="8">
        <v>6.0</v>
      </c>
      <c r="F62" s="8" t="s">
        <v>4932</v>
      </c>
      <c r="G62" s="8" t="s">
        <v>5564</v>
      </c>
      <c r="H62" s="8" t="s">
        <v>2660</v>
      </c>
      <c r="I62" s="8">
        <v>0.0</v>
      </c>
      <c r="J62" s="8" t="s">
        <v>44</v>
      </c>
      <c r="K62" s="8" t="s">
        <v>22</v>
      </c>
      <c r="L62" s="8" t="s">
        <v>1150</v>
      </c>
      <c r="M62" s="8" t="s">
        <v>1522</v>
      </c>
      <c r="N62" s="9">
        <v>0.0</v>
      </c>
      <c r="O62" s="9">
        <v>1.0</v>
      </c>
      <c r="P62" s="9">
        <v>1.0</v>
      </c>
      <c r="Q62" s="10">
        <v>45392.0</v>
      </c>
      <c r="R62" s="11">
        <v>1.95</v>
      </c>
      <c r="S62" s="8" t="s">
        <v>25</v>
      </c>
      <c r="T62" s="12">
        <f t="shared" si="1"/>
        <v>-1</v>
      </c>
      <c r="U62" s="48">
        <f t="shared" si="4"/>
        <v>2.125122345</v>
      </c>
      <c r="V62" s="41">
        <v>3.0</v>
      </c>
      <c r="W62" s="104" t="s">
        <v>967</v>
      </c>
      <c r="X62" s="102"/>
      <c r="Y62" s="103"/>
    </row>
    <row r="63">
      <c r="A63" s="15">
        <f t="shared" si="3"/>
        <v>62</v>
      </c>
      <c r="B63" s="15" t="s">
        <v>26</v>
      </c>
      <c r="C63" s="15" t="s">
        <v>19</v>
      </c>
      <c r="D63" s="15">
        <v>16.0</v>
      </c>
      <c r="E63" s="15">
        <v>3.0</v>
      </c>
      <c r="F63" s="15" t="s">
        <v>4933</v>
      </c>
      <c r="G63" s="15" t="s">
        <v>5564</v>
      </c>
      <c r="H63" s="15" t="s">
        <v>2660</v>
      </c>
      <c r="I63" s="15">
        <v>-1.0</v>
      </c>
      <c r="J63" s="15" t="s">
        <v>38</v>
      </c>
      <c r="K63" s="15" t="s">
        <v>22</v>
      </c>
      <c r="L63" s="15" t="s">
        <v>892</v>
      </c>
      <c r="M63" s="15" t="s">
        <v>24</v>
      </c>
      <c r="N63" s="16">
        <v>0.0</v>
      </c>
      <c r="O63" s="16">
        <v>0.6</v>
      </c>
      <c r="P63" s="16">
        <v>0.6</v>
      </c>
      <c r="Q63" s="17">
        <v>45392.0</v>
      </c>
      <c r="R63" s="18">
        <v>1.725</v>
      </c>
      <c r="S63" s="15" t="s">
        <v>25</v>
      </c>
      <c r="T63" s="19">
        <f t="shared" si="1"/>
        <v>-0.6</v>
      </c>
      <c r="U63" s="49">
        <f t="shared" si="4"/>
        <v>1.525122345</v>
      </c>
      <c r="V63" s="41">
        <v>4.0</v>
      </c>
      <c r="W63" s="104" t="s">
        <v>969</v>
      </c>
      <c r="X63" s="102"/>
      <c r="Y63" s="103"/>
    </row>
    <row r="64">
      <c r="A64" s="8">
        <f t="shared" si="3"/>
        <v>63</v>
      </c>
      <c r="B64" s="8" t="s">
        <v>4225</v>
      </c>
      <c r="C64" s="8" t="s">
        <v>19</v>
      </c>
      <c r="D64" s="8">
        <v>21.0</v>
      </c>
      <c r="E64" s="8">
        <v>2.0</v>
      </c>
      <c r="F64" s="8" t="s">
        <v>4934</v>
      </c>
      <c r="G64" s="8" t="s">
        <v>5565</v>
      </c>
      <c r="H64" s="8" t="s">
        <v>2556</v>
      </c>
      <c r="I64" s="8">
        <v>0.0</v>
      </c>
      <c r="J64" s="8" t="s">
        <v>42</v>
      </c>
      <c r="K64" s="8" t="s">
        <v>22</v>
      </c>
      <c r="L64" s="8" t="s">
        <v>225</v>
      </c>
      <c r="M64" s="8" t="s">
        <v>24</v>
      </c>
      <c r="N64" s="9">
        <v>0.25</v>
      </c>
      <c r="O64" s="9">
        <v>0.4</v>
      </c>
      <c r="P64" s="9">
        <v>0.4</v>
      </c>
      <c r="Q64" s="10">
        <v>45393.0</v>
      </c>
      <c r="R64" s="11">
        <v>1.75</v>
      </c>
      <c r="S64" s="8" t="s">
        <v>33</v>
      </c>
      <c r="T64" s="12">
        <f t="shared" si="1"/>
        <v>0.3</v>
      </c>
      <c r="U64" s="48">
        <f t="shared" si="4"/>
        <v>1.825122345</v>
      </c>
      <c r="V64" s="41">
        <v>5.0</v>
      </c>
      <c r="W64" s="104" t="s">
        <v>971</v>
      </c>
      <c r="X64" s="102"/>
      <c r="Y64" s="103"/>
    </row>
    <row r="65">
      <c r="A65" s="15">
        <f t="shared" si="3"/>
        <v>64</v>
      </c>
      <c r="B65" s="15" t="s">
        <v>18</v>
      </c>
      <c r="C65" s="15" t="s">
        <v>19</v>
      </c>
      <c r="D65" s="15"/>
      <c r="E65" s="15"/>
      <c r="F65" s="15" t="s">
        <v>4935</v>
      </c>
      <c r="G65" s="15"/>
      <c r="H65" s="15"/>
      <c r="I65" s="15"/>
      <c r="J65" s="15" t="s">
        <v>231</v>
      </c>
      <c r="K65" s="15" t="s">
        <v>22</v>
      </c>
      <c r="L65" s="15" t="s">
        <v>440</v>
      </c>
      <c r="M65" s="15" t="s">
        <v>24</v>
      </c>
      <c r="N65" s="16">
        <v>0.5</v>
      </c>
      <c r="O65" s="16">
        <v>0.1</v>
      </c>
      <c r="P65" s="16">
        <v>0.1</v>
      </c>
      <c r="Q65" s="55">
        <v>45393.0</v>
      </c>
      <c r="R65" s="18">
        <v>1.725</v>
      </c>
      <c r="S65" s="15" t="s">
        <v>25</v>
      </c>
      <c r="T65" s="19">
        <f t="shared" si="1"/>
        <v>-0.1</v>
      </c>
      <c r="U65" s="49">
        <f t="shared" si="4"/>
        <v>1.725122345</v>
      </c>
      <c r="V65" s="41">
        <v>6.0</v>
      </c>
      <c r="W65" s="104" t="s">
        <v>973</v>
      </c>
      <c r="X65" s="102"/>
      <c r="Y65" s="103"/>
    </row>
    <row r="66">
      <c r="A66" s="8">
        <f t="shared" si="3"/>
        <v>65</v>
      </c>
      <c r="B66" s="8" t="s">
        <v>26</v>
      </c>
      <c r="C66" s="8" t="s">
        <v>19</v>
      </c>
      <c r="D66" s="8">
        <v>25.0</v>
      </c>
      <c r="E66" s="8">
        <v>2.0</v>
      </c>
      <c r="F66" s="8" t="s">
        <v>4936</v>
      </c>
      <c r="G66" s="8" t="s">
        <v>5565</v>
      </c>
      <c r="H66" s="8" t="s">
        <v>2556</v>
      </c>
      <c r="I66" s="8">
        <v>0.0</v>
      </c>
      <c r="J66" s="8" t="s">
        <v>42</v>
      </c>
      <c r="K66" s="8" t="s">
        <v>22</v>
      </c>
      <c r="L66" s="8" t="s">
        <v>225</v>
      </c>
      <c r="M66" s="8" t="s">
        <v>24</v>
      </c>
      <c r="N66" s="9">
        <v>0.25</v>
      </c>
      <c r="O66" s="9">
        <v>1.0</v>
      </c>
      <c r="P66" s="9">
        <v>1.0</v>
      </c>
      <c r="Q66" s="10">
        <v>45393.0</v>
      </c>
      <c r="R66" s="11">
        <v>1.825</v>
      </c>
      <c r="S66" s="8" t="s">
        <v>33</v>
      </c>
      <c r="T66" s="12">
        <f t="shared" si="1"/>
        <v>0.825</v>
      </c>
      <c r="U66" s="48">
        <f t="shared" si="4"/>
        <v>2.550122345</v>
      </c>
      <c r="V66" s="41">
        <v>7.0</v>
      </c>
      <c r="W66" s="104" t="s">
        <v>975</v>
      </c>
      <c r="X66" s="102"/>
      <c r="Y66" s="103"/>
    </row>
    <row r="67">
      <c r="A67" s="15">
        <f t="shared" si="3"/>
        <v>66</v>
      </c>
      <c r="B67" s="15" t="s">
        <v>4225</v>
      </c>
      <c r="C67" s="15" t="s">
        <v>19</v>
      </c>
      <c r="D67" s="15">
        <v>31.0</v>
      </c>
      <c r="E67" s="15">
        <v>2.0</v>
      </c>
      <c r="F67" s="15" t="s">
        <v>4937</v>
      </c>
      <c r="G67" s="15" t="s">
        <v>5564</v>
      </c>
      <c r="H67" s="15" t="s">
        <v>2660</v>
      </c>
      <c r="I67" s="15">
        <v>0.0</v>
      </c>
      <c r="J67" s="15" t="s">
        <v>463</v>
      </c>
      <c r="K67" s="15" t="s">
        <v>22</v>
      </c>
      <c r="L67" s="15" t="s">
        <v>1150</v>
      </c>
      <c r="M67" s="15" t="s">
        <v>24</v>
      </c>
      <c r="N67" s="16">
        <v>0.0</v>
      </c>
      <c r="O67" s="16">
        <v>0.4</v>
      </c>
      <c r="P67" s="16">
        <v>0.4</v>
      </c>
      <c r="Q67" s="17">
        <v>45393.0</v>
      </c>
      <c r="R67" s="18">
        <v>2.02</v>
      </c>
      <c r="S67" s="15" t="s">
        <v>70</v>
      </c>
      <c r="T67" s="19">
        <f t="shared" si="1"/>
        <v>0</v>
      </c>
      <c r="U67" s="19">
        <f t="shared" si="4"/>
        <v>2.550122345</v>
      </c>
      <c r="V67" s="41">
        <v>8.0</v>
      </c>
      <c r="W67" s="104" t="s">
        <v>977</v>
      </c>
      <c r="X67" s="102"/>
      <c r="Y67" s="103"/>
    </row>
    <row r="68">
      <c r="A68" s="8">
        <f t="shared" si="3"/>
        <v>67</v>
      </c>
      <c r="B68" s="8" t="s">
        <v>4225</v>
      </c>
      <c r="C68" s="8" t="s">
        <v>19</v>
      </c>
      <c r="D68" s="8">
        <v>30.0</v>
      </c>
      <c r="E68" s="8">
        <v>2.0</v>
      </c>
      <c r="F68" s="8" t="s">
        <v>4938</v>
      </c>
      <c r="G68" s="8" t="s">
        <v>5564</v>
      </c>
      <c r="H68" s="8" t="s">
        <v>2556</v>
      </c>
      <c r="I68" s="8">
        <v>0.0</v>
      </c>
      <c r="J68" s="8" t="s">
        <v>38</v>
      </c>
      <c r="K68" s="8" t="s">
        <v>22</v>
      </c>
      <c r="L68" s="8" t="s">
        <v>225</v>
      </c>
      <c r="M68" s="8" t="s">
        <v>24</v>
      </c>
      <c r="N68" s="9">
        <v>0.5</v>
      </c>
      <c r="O68" s="9">
        <v>0.5</v>
      </c>
      <c r="P68" s="9">
        <v>0.5</v>
      </c>
      <c r="Q68" s="10">
        <v>45394.0</v>
      </c>
      <c r="R68" s="11">
        <v>1.95</v>
      </c>
      <c r="S68" s="8" t="s">
        <v>25</v>
      </c>
      <c r="T68" s="12">
        <f t="shared" si="1"/>
        <v>-0.5</v>
      </c>
      <c r="U68" s="12">
        <f t="shared" si="4"/>
        <v>2.050122345</v>
      </c>
      <c r="V68" s="41">
        <v>9.0</v>
      </c>
      <c r="W68" s="104" t="s">
        <v>979</v>
      </c>
      <c r="X68" s="102"/>
      <c r="Y68" s="103"/>
    </row>
    <row r="69">
      <c r="A69" s="15">
        <f t="shared" si="3"/>
        <v>68</v>
      </c>
      <c r="B69" s="15" t="s">
        <v>26</v>
      </c>
      <c r="C69" s="15" t="s">
        <v>19</v>
      </c>
      <c r="D69" s="15">
        <v>71.0</v>
      </c>
      <c r="E69" s="15">
        <v>3.0</v>
      </c>
      <c r="F69" s="15" t="s">
        <v>4939</v>
      </c>
      <c r="G69" s="15" t="s">
        <v>5565</v>
      </c>
      <c r="H69" s="15" t="s">
        <v>2660</v>
      </c>
      <c r="I69" s="15">
        <v>0.0</v>
      </c>
      <c r="J69" s="15" t="s">
        <v>231</v>
      </c>
      <c r="K69" s="15" t="s">
        <v>22</v>
      </c>
      <c r="L69" s="15" t="s">
        <v>892</v>
      </c>
      <c r="M69" s="15" t="s">
        <v>24</v>
      </c>
      <c r="N69" s="16">
        <v>0.0</v>
      </c>
      <c r="O69" s="16">
        <v>0.6</v>
      </c>
      <c r="P69" s="16">
        <v>0.6</v>
      </c>
      <c r="Q69" s="17">
        <v>45394.0</v>
      </c>
      <c r="R69" s="18">
        <v>1.75</v>
      </c>
      <c r="S69" s="15" t="s">
        <v>33</v>
      </c>
      <c r="T69" s="19">
        <f t="shared" si="1"/>
        <v>0.45</v>
      </c>
      <c r="U69" s="19">
        <f t="shared" si="4"/>
        <v>2.500122345</v>
      </c>
      <c r="V69" s="41">
        <v>10.0</v>
      </c>
      <c r="W69" s="104" t="s">
        <v>981</v>
      </c>
      <c r="X69" s="102"/>
      <c r="Y69" s="103"/>
    </row>
    <row r="70">
      <c r="A70" s="8">
        <f t="shared" si="3"/>
        <v>69</v>
      </c>
      <c r="B70" s="8" t="s">
        <v>26</v>
      </c>
      <c r="C70" s="8" t="s">
        <v>19</v>
      </c>
      <c r="D70" s="8">
        <v>72.0</v>
      </c>
      <c r="E70" s="8">
        <v>3.0</v>
      </c>
      <c r="F70" s="8" t="s">
        <v>4940</v>
      </c>
      <c r="G70" s="8" t="s">
        <v>5564</v>
      </c>
      <c r="H70" s="8" t="s">
        <v>2660</v>
      </c>
      <c r="I70" s="8">
        <v>-1.0</v>
      </c>
      <c r="J70" s="8" t="s">
        <v>42</v>
      </c>
      <c r="K70" s="8" t="s">
        <v>22</v>
      </c>
      <c r="L70" s="8" t="s">
        <v>892</v>
      </c>
      <c r="M70" s="8" t="s">
        <v>24</v>
      </c>
      <c r="N70" s="9">
        <v>0.0</v>
      </c>
      <c r="O70" s="9">
        <v>0.75</v>
      </c>
      <c r="P70" s="9">
        <v>0.75</v>
      </c>
      <c r="Q70" s="10">
        <v>45394.0</v>
      </c>
      <c r="R70" s="11">
        <v>1.95</v>
      </c>
      <c r="S70" s="8" t="s">
        <v>70</v>
      </c>
      <c r="T70" s="12">
        <f t="shared" si="1"/>
        <v>0</v>
      </c>
      <c r="U70" s="12">
        <f t="shared" si="4"/>
        <v>2.500122345</v>
      </c>
    </row>
    <row r="71">
      <c r="A71" s="15">
        <f t="shared" si="3"/>
        <v>70</v>
      </c>
      <c r="B71" s="15" t="s">
        <v>4225</v>
      </c>
      <c r="C71" s="15" t="s">
        <v>19</v>
      </c>
      <c r="D71" s="15">
        <v>34.0</v>
      </c>
      <c r="E71" s="15">
        <v>3.0</v>
      </c>
      <c r="F71" s="15" t="s">
        <v>4941</v>
      </c>
      <c r="G71" s="15" t="s">
        <v>5565</v>
      </c>
      <c r="H71" s="15" t="s">
        <v>2660</v>
      </c>
      <c r="I71" s="15">
        <v>-1.0</v>
      </c>
      <c r="J71" s="15" t="s">
        <v>231</v>
      </c>
      <c r="K71" s="15" t="s">
        <v>22</v>
      </c>
      <c r="L71" s="15" t="s">
        <v>1150</v>
      </c>
      <c r="M71" s="15" t="s">
        <v>24</v>
      </c>
      <c r="N71" s="16">
        <v>0.0</v>
      </c>
      <c r="O71" s="16">
        <v>0.25</v>
      </c>
      <c r="P71" s="16">
        <v>0.25</v>
      </c>
      <c r="Q71" s="17">
        <v>45394.0</v>
      </c>
      <c r="R71" s="18">
        <v>1.6</v>
      </c>
      <c r="S71" s="15" t="s">
        <v>70</v>
      </c>
      <c r="T71" s="19">
        <f t="shared" si="1"/>
        <v>0</v>
      </c>
      <c r="U71" s="19">
        <f t="shared" si="4"/>
        <v>2.500122345</v>
      </c>
    </row>
    <row r="72">
      <c r="A72" s="8">
        <f t="shared" si="3"/>
        <v>71</v>
      </c>
      <c r="B72" s="8" t="s">
        <v>4225</v>
      </c>
      <c r="C72" s="8" t="s">
        <v>19</v>
      </c>
      <c r="D72" s="8">
        <v>35.0</v>
      </c>
      <c r="E72" s="8">
        <v>2.0</v>
      </c>
      <c r="F72" s="8" t="s">
        <v>4942</v>
      </c>
      <c r="G72" s="8" t="s">
        <v>5564</v>
      </c>
      <c r="H72" s="8" t="s">
        <v>2556</v>
      </c>
      <c r="I72" s="8">
        <v>0.0</v>
      </c>
      <c r="J72" s="8" t="s">
        <v>42</v>
      </c>
      <c r="K72" s="8" t="s">
        <v>22</v>
      </c>
      <c r="L72" s="8" t="s">
        <v>225</v>
      </c>
      <c r="M72" s="8" t="s">
        <v>24</v>
      </c>
      <c r="N72" s="9">
        <v>0.25</v>
      </c>
      <c r="O72" s="9">
        <v>0.75</v>
      </c>
      <c r="P72" s="9">
        <v>0.75</v>
      </c>
      <c r="Q72" s="10">
        <v>45394.0</v>
      </c>
      <c r="R72" s="11">
        <v>1.725</v>
      </c>
      <c r="S72" s="8" t="s">
        <v>33</v>
      </c>
      <c r="T72" s="12">
        <f t="shared" si="1"/>
        <v>0.54375</v>
      </c>
      <c r="U72" s="12">
        <f t="shared" si="4"/>
        <v>3.043872345</v>
      </c>
    </row>
    <row r="73">
      <c r="A73" s="15">
        <f t="shared" si="3"/>
        <v>72</v>
      </c>
      <c r="B73" s="15" t="s">
        <v>26</v>
      </c>
      <c r="C73" s="15" t="s">
        <v>19</v>
      </c>
      <c r="D73" s="15">
        <v>33.0</v>
      </c>
      <c r="E73" s="15">
        <v>3.0</v>
      </c>
      <c r="F73" s="15" t="s">
        <v>4943</v>
      </c>
      <c r="G73" s="15" t="s">
        <v>5564</v>
      </c>
      <c r="H73" s="15" t="s">
        <v>2660</v>
      </c>
      <c r="I73" s="15">
        <v>0.0</v>
      </c>
      <c r="J73" s="15" t="s">
        <v>463</v>
      </c>
      <c r="K73" s="15" t="s">
        <v>22</v>
      </c>
      <c r="L73" s="15" t="s">
        <v>1150</v>
      </c>
      <c r="M73" s="15" t="s">
        <v>24</v>
      </c>
      <c r="N73" s="16">
        <v>0.0</v>
      </c>
      <c r="O73" s="16">
        <v>0.5</v>
      </c>
      <c r="P73" s="16">
        <v>0.5</v>
      </c>
      <c r="Q73" s="17">
        <v>45394.0</v>
      </c>
      <c r="R73" s="18">
        <v>1.9</v>
      </c>
      <c r="S73" s="15" t="s">
        <v>70</v>
      </c>
      <c r="T73" s="19">
        <f t="shared" si="1"/>
        <v>0</v>
      </c>
      <c r="U73" s="19">
        <f t="shared" si="4"/>
        <v>3.043872345</v>
      </c>
    </row>
    <row r="74">
      <c r="A74" s="8">
        <f t="shared" si="3"/>
        <v>73</v>
      </c>
      <c r="B74" s="8" t="s">
        <v>18</v>
      </c>
      <c r="C74" s="8" t="s">
        <v>19</v>
      </c>
      <c r="D74" s="8">
        <v>71.0</v>
      </c>
      <c r="E74" s="8">
        <v>3.0</v>
      </c>
      <c r="F74" s="8" t="s">
        <v>4944</v>
      </c>
      <c r="G74" s="8" t="s">
        <v>5564</v>
      </c>
      <c r="H74" s="8" t="s">
        <v>2660</v>
      </c>
      <c r="I74" s="8">
        <v>-2.0</v>
      </c>
      <c r="J74" s="8" t="s">
        <v>42</v>
      </c>
      <c r="K74" s="8" t="s">
        <v>22</v>
      </c>
      <c r="L74" s="8" t="s">
        <v>892</v>
      </c>
      <c r="M74" s="8" t="s">
        <v>24</v>
      </c>
      <c r="N74" s="9">
        <v>0.0</v>
      </c>
      <c r="O74" s="9">
        <v>0.45</v>
      </c>
      <c r="P74" s="9">
        <v>0.45</v>
      </c>
      <c r="Q74" s="10">
        <v>45394.0</v>
      </c>
      <c r="R74" s="11">
        <v>1.975</v>
      </c>
      <c r="S74" s="8" t="s">
        <v>33</v>
      </c>
      <c r="T74" s="12">
        <f t="shared" si="1"/>
        <v>0.43875</v>
      </c>
      <c r="U74" s="12">
        <f t="shared" si="4"/>
        <v>3.482622345</v>
      </c>
    </row>
    <row r="75">
      <c r="A75" s="15">
        <f t="shared" si="3"/>
        <v>74</v>
      </c>
      <c r="B75" s="15" t="s">
        <v>18</v>
      </c>
      <c r="C75" s="15" t="s">
        <v>19</v>
      </c>
      <c r="D75" s="15">
        <v>74.0</v>
      </c>
      <c r="E75" s="15">
        <v>3.0</v>
      </c>
      <c r="F75" s="15" t="s">
        <v>4944</v>
      </c>
      <c r="G75" s="15" t="s">
        <v>5564</v>
      </c>
      <c r="H75" s="15" t="s">
        <v>2660</v>
      </c>
      <c r="I75" s="15">
        <v>-2.0</v>
      </c>
      <c r="J75" s="15" t="s">
        <v>42</v>
      </c>
      <c r="K75" s="15" t="s">
        <v>22</v>
      </c>
      <c r="L75" s="15" t="s">
        <v>892</v>
      </c>
      <c r="M75" s="15" t="s">
        <v>24</v>
      </c>
      <c r="N75" s="16">
        <v>0.0</v>
      </c>
      <c r="O75" s="16">
        <v>0.2</v>
      </c>
      <c r="P75" s="16">
        <v>0.2</v>
      </c>
      <c r="Q75" s="17">
        <v>45394.0</v>
      </c>
      <c r="R75" s="18">
        <v>1.775</v>
      </c>
      <c r="S75" s="15" t="s">
        <v>33</v>
      </c>
      <c r="T75" s="19">
        <f t="shared" si="1"/>
        <v>0.155</v>
      </c>
      <c r="U75" s="19">
        <f t="shared" si="4"/>
        <v>3.637622345</v>
      </c>
    </row>
    <row r="76">
      <c r="A76" s="8">
        <f t="shared" si="3"/>
        <v>75</v>
      </c>
      <c r="B76" s="8" t="s">
        <v>26</v>
      </c>
      <c r="C76" s="8" t="s">
        <v>19</v>
      </c>
      <c r="D76" s="8">
        <v>47.0</v>
      </c>
      <c r="E76" s="8">
        <v>3.0</v>
      </c>
      <c r="F76" s="8" t="s">
        <v>4945</v>
      </c>
      <c r="G76" s="8" t="s">
        <v>5564</v>
      </c>
      <c r="H76" s="8" t="s">
        <v>2660</v>
      </c>
      <c r="I76" s="8">
        <v>-1.0</v>
      </c>
      <c r="J76" s="8" t="s">
        <v>432</v>
      </c>
      <c r="K76" s="8" t="s">
        <v>22</v>
      </c>
      <c r="L76" s="8" t="s">
        <v>892</v>
      </c>
      <c r="M76" s="8" t="s">
        <v>1522</v>
      </c>
      <c r="N76" s="9">
        <v>0.0</v>
      </c>
      <c r="O76" s="9">
        <v>0.9</v>
      </c>
      <c r="P76" s="9">
        <v>0.9</v>
      </c>
      <c r="Q76" s="10">
        <v>45394.0</v>
      </c>
      <c r="R76" s="11">
        <v>1.775</v>
      </c>
      <c r="S76" s="8" t="s">
        <v>33</v>
      </c>
      <c r="T76" s="12">
        <f t="shared" si="1"/>
        <v>0.6975</v>
      </c>
      <c r="U76" s="12">
        <f t="shared" si="4"/>
        <v>4.335122345</v>
      </c>
    </row>
    <row r="77">
      <c r="A77" s="15">
        <f t="shared" si="3"/>
        <v>76</v>
      </c>
      <c r="B77" s="15" t="s">
        <v>129</v>
      </c>
      <c r="C77" s="15" t="s">
        <v>19</v>
      </c>
      <c r="D77" s="15">
        <v>62.0</v>
      </c>
      <c r="E77" s="15">
        <v>3.0</v>
      </c>
      <c r="F77" s="15" t="s">
        <v>4946</v>
      </c>
      <c r="G77" s="15" t="s">
        <v>5564</v>
      </c>
      <c r="H77" s="15" t="s">
        <v>2660</v>
      </c>
      <c r="I77" s="15">
        <v>0.0</v>
      </c>
      <c r="J77" s="15" t="s">
        <v>82</v>
      </c>
      <c r="K77" s="15" t="s">
        <v>22</v>
      </c>
      <c r="L77" s="15" t="s">
        <v>892</v>
      </c>
      <c r="M77" s="15" t="s">
        <v>24</v>
      </c>
      <c r="N77" s="16">
        <v>0.0</v>
      </c>
      <c r="O77" s="16">
        <v>0.2</v>
      </c>
      <c r="P77" s="16">
        <v>0.2</v>
      </c>
      <c r="Q77" s="17">
        <v>45394.0</v>
      </c>
      <c r="R77" s="18">
        <v>1.8</v>
      </c>
      <c r="S77" s="15" t="s">
        <v>33</v>
      </c>
      <c r="T77" s="19">
        <f t="shared" si="1"/>
        <v>0.16</v>
      </c>
      <c r="U77" s="19">
        <f t="shared" si="4"/>
        <v>4.495122345</v>
      </c>
    </row>
    <row r="78">
      <c r="A78" s="8">
        <f t="shared" si="3"/>
        <v>77</v>
      </c>
      <c r="B78" s="8" t="s">
        <v>4225</v>
      </c>
      <c r="C78" s="8" t="s">
        <v>19</v>
      </c>
      <c r="D78" s="8">
        <v>79.0</v>
      </c>
      <c r="E78" s="8">
        <v>7.0</v>
      </c>
      <c r="F78" s="8" t="s">
        <v>4947</v>
      </c>
      <c r="G78" s="8" t="s">
        <v>5565</v>
      </c>
      <c r="H78" s="8" t="s">
        <v>2556</v>
      </c>
      <c r="I78" s="8">
        <v>0.0</v>
      </c>
      <c r="J78" s="8" t="s">
        <v>82</v>
      </c>
      <c r="K78" s="8" t="s">
        <v>22</v>
      </c>
      <c r="L78" s="8" t="s">
        <v>225</v>
      </c>
      <c r="M78" s="8" t="s">
        <v>24</v>
      </c>
      <c r="N78" s="9">
        <v>0.5</v>
      </c>
      <c r="O78" s="9">
        <v>0.1</v>
      </c>
      <c r="P78" s="9">
        <v>0.1</v>
      </c>
      <c r="Q78" s="10">
        <v>45394.0</v>
      </c>
      <c r="R78" s="11">
        <v>1.8</v>
      </c>
      <c r="S78" s="8" t="s">
        <v>33</v>
      </c>
      <c r="T78" s="12">
        <f t="shared" si="1"/>
        <v>0.08</v>
      </c>
      <c r="U78" s="12">
        <f t="shared" si="4"/>
        <v>4.575122345</v>
      </c>
    </row>
    <row r="79">
      <c r="A79" s="15">
        <f t="shared" si="3"/>
        <v>78</v>
      </c>
      <c r="B79" s="15" t="s">
        <v>26</v>
      </c>
      <c r="C79" s="15" t="s">
        <v>19</v>
      </c>
      <c r="D79" s="15">
        <v>68.0</v>
      </c>
      <c r="E79" s="15">
        <v>3.0</v>
      </c>
      <c r="F79" s="15" t="s">
        <v>4948</v>
      </c>
      <c r="G79" s="15" t="s">
        <v>5565</v>
      </c>
      <c r="H79" s="15" t="s">
        <v>2660</v>
      </c>
      <c r="I79" s="15">
        <f>1</f>
        <v>1</v>
      </c>
      <c r="J79" s="15" t="s">
        <v>487</v>
      </c>
      <c r="K79" s="15" t="s">
        <v>22</v>
      </c>
      <c r="L79" s="15" t="s">
        <v>892</v>
      </c>
      <c r="M79" s="15" t="s">
        <v>24</v>
      </c>
      <c r="N79" s="16">
        <v>0.0</v>
      </c>
      <c r="O79" s="16">
        <v>0.4</v>
      </c>
      <c r="P79" s="16">
        <v>0.33</v>
      </c>
      <c r="Q79" s="17">
        <v>45395.0</v>
      </c>
      <c r="R79" s="18">
        <v>1.85</v>
      </c>
      <c r="S79" s="15" t="s">
        <v>25</v>
      </c>
      <c r="T79" s="19">
        <f t="shared" si="1"/>
        <v>-0.33</v>
      </c>
      <c r="U79" s="19">
        <f t="shared" si="4"/>
        <v>4.245122345</v>
      </c>
    </row>
    <row r="80">
      <c r="A80" s="8">
        <f t="shared" si="3"/>
        <v>79</v>
      </c>
      <c r="B80" s="8" t="s">
        <v>18</v>
      </c>
      <c r="C80" s="8" t="s">
        <v>19</v>
      </c>
      <c r="D80" s="8">
        <v>21.0</v>
      </c>
      <c r="E80" s="8">
        <v>5.0</v>
      </c>
      <c r="F80" s="8" t="s">
        <v>4949</v>
      </c>
      <c r="G80" s="8" t="s">
        <v>5564</v>
      </c>
      <c r="H80" s="8" t="s">
        <v>2573</v>
      </c>
      <c r="I80" s="8">
        <v>0.0</v>
      </c>
      <c r="J80" s="8" t="s">
        <v>806</v>
      </c>
      <c r="K80" s="8" t="s">
        <v>22</v>
      </c>
      <c r="L80" s="8" t="s">
        <v>894</v>
      </c>
      <c r="M80" s="8" t="s">
        <v>24</v>
      </c>
      <c r="N80" s="9">
        <v>-0.5</v>
      </c>
      <c r="O80" s="9">
        <v>0.25</v>
      </c>
      <c r="P80" s="9">
        <v>0.23</v>
      </c>
      <c r="Q80" s="10">
        <v>45395.0</v>
      </c>
      <c r="R80" s="11">
        <v>1.85</v>
      </c>
      <c r="S80" s="8" t="s">
        <v>33</v>
      </c>
      <c r="T80" s="12">
        <f t="shared" si="1"/>
        <v>0.1955</v>
      </c>
      <c r="U80" s="12">
        <f t="shared" si="4"/>
        <v>4.440622345</v>
      </c>
    </row>
    <row r="81">
      <c r="A81" s="15">
        <f t="shared" si="3"/>
        <v>80</v>
      </c>
      <c r="B81" s="15" t="s">
        <v>4225</v>
      </c>
      <c r="C81" s="15" t="s">
        <v>40</v>
      </c>
      <c r="D81" s="15">
        <v>76.0</v>
      </c>
      <c r="E81" s="15">
        <v>2.0</v>
      </c>
      <c r="F81" s="15" t="s">
        <v>4950</v>
      </c>
      <c r="G81" s="15" t="s">
        <v>5564</v>
      </c>
      <c r="H81" s="15" t="s">
        <v>2556</v>
      </c>
      <c r="I81" s="15">
        <v>2</v>
      </c>
      <c r="J81" s="15" t="s">
        <v>583</v>
      </c>
      <c r="K81" s="15" t="s">
        <v>22</v>
      </c>
      <c r="L81" s="15" t="s">
        <v>225</v>
      </c>
      <c r="M81" s="15" t="s">
        <v>24</v>
      </c>
      <c r="N81" s="16">
        <v>0.25</v>
      </c>
      <c r="O81" s="16">
        <v>0.25</v>
      </c>
      <c r="P81" s="16">
        <v>0.25</v>
      </c>
      <c r="Q81" s="55">
        <v>45395.0</v>
      </c>
      <c r="R81" s="18">
        <v>1.725</v>
      </c>
      <c r="S81" s="15" t="s">
        <v>25</v>
      </c>
      <c r="T81" s="19">
        <f t="shared" si="1"/>
        <v>-0.25</v>
      </c>
      <c r="U81" s="19">
        <f t="shared" si="4"/>
        <v>4.190622345</v>
      </c>
    </row>
    <row r="82">
      <c r="A82" s="8">
        <f t="shared" si="3"/>
        <v>81</v>
      </c>
      <c r="B82" s="8" t="s">
        <v>4225</v>
      </c>
      <c r="C82" s="8" t="s">
        <v>19</v>
      </c>
      <c r="D82" s="8">
        <v>62.0</v>
      </c>
      <c r="E82" s="8">
        <v>3.0</v>
      </c>
      <c r="F82" s="8" t="s">
        <v>4951</v>
      </c>
      <c r="G82" s="8" t="s">
        <v>5564</v>
      </c>
      <c r="H82" s="8" t="s">
        <v>2660</v>
      </c>
      <c r="I82" s="8">
        <v>0.0</v>
      </c>
      <c r="J82" s="8" t="s">
        <v>4952</v>
      </c>
      <c r="K82" s="8" t="s">
        <v>22</v>
      </c>
      <c r="L82" s="8" t="s">
        <v>892</v>
      </c>
      <c r="M82" s="8" t="s">
        <v>24</v>
      </c>
      <c r="N82" s="9">
        <v>0.0</v>
      </c>
      <c r="O82" s="9">
        <v>0.4</v>
      </c>
      <c r="P82" s="9">
        <v>0.4</v>
      </c>
      <c r="Q82" s="54">
        <v>45395.0</v>
      </c>
      <c r="R82" s="11">
        <v>1.875</v>
      </c>
      <c r="S82" s="8" t="s">
        <v>70</v>
      </c>
      <c r="T82" s="12">
        <f t="shared" si="1"/>
        <v>0</v>
      </c>
      <c r="U82" s="12">
        <f t="shared" si="4"/>
        <v>4.190622345</v>
      </c>
    </row>
    <row r="83">
      <c r="A83" s="15">
        <f t="shared" si="3"/>
        <v>82</v>
      </c>
      <c r="B83" s="15" t="s">
        <v>4225</v>
      </c>
      <c r="C83" s="15" t="s">
        <v>40</v>
      </c>
      <c r="D83" s="15">
        <v>68.0</v>
      </c>
      <c r="E83" s="15">
        <v>3.0</v>
      </c>
      <c r="F83" s="15" t="s">
        <v>4953</v>
      </c>
      <c r="G83" s="15" t="s">
        <v>5564</v>
      </c>
      <c r="H83" s="15" t="s">
        <v>2660</v>
      </c>
      <c r="I83" s="15">
        <v>0.0</v>
      </c>
      <c r="J83" s="15" t="s">
        <v>463</v>
      </c>
      <c r="K83" s="15" t="s">
        <v>22</v>
      </c>
      <c r="L83" s="15" t="s">
        <v>892</v>
      </c>
      <c r="M83" s="15" t="s">
        <v>24</v>
      </c>
      <c r="N83" s="16">
        <v>0.0</v>
      </c>
      <c r="O83" s="16">
        <v>0.2</v>
      </c>
      <c r="P83" s="16">
        <v>0.2</v>
      </c>
      <c r="Q83" s="55">
        <v>45395.0</v>
      </c>
      <c r="R83" s="18">
        <v>2.05</v>
      </c>
      <c r="S83" s="15" t="s">
        <v>70</v>
      </c>
      <c r="T83" s="19">
        <f t="shared" si="1"/>
        <v>0</v>
      </c>
      <c r="U83" s="19">
        <f t="shared" si="4"/>
        <v>4.190622345</v>
      </c>
    </row>
    <row r="84">
      <c r="A84" s="8">
        <f t="shared" si="3"/>
        <v>83</v>
      </c>
      <c r="B84" s="8" t="s">
        <v>4225</v>
      </c>
      <c r="C84" s="8" t="s">
        <v>19</v>
      </c>
      <c r="D84" s="8">
        <v>70.0</v>
      </c>
      <c r="E84" s="8">
        <v>3.0</v>
      </c>
      <c r="F84" s="8" t="s">
        <v>4953</v>
      </c>
      <c r="G84" s="8" t="s">
        <v>5564</v>
      </c>
      <c r="H84" s="8" t="s">
        <v>2660</v>
      </c>
      <c r="I84" s="8">
        <v>0.0</v>
      </c>
      <c r="J84" s="8" t="s">
        <v>463</v>
      </c>
      <c r="K84" s="8" t="s">
        <v>22</v>
      </c>
      <c r="L84" s="8" t="s">
        <v>892</v>
      </c>
      <c r="M84" s="8" t="s">
        <v>24</v>
      </c>
      <c r="N84" s="9">
        <v>0.0</v>
      </c>
      <c r="O84" s="9">
        <v>0.25</v>
      </c>
      <c r="P84" s="9">
        <v>0.25</v>
      </c>
      <c r="Q84" s="54">
        <v>45395.0</v>
      </c>
      <c r="R84" s="11">
        <v>1.75</v>
      </c>
      <c r="S84" s="8" t="s">
        <v>70</v>
      </c>
      <c r="T84" s="12">
        <f t="shared" si="1"/>
        <v>0</v>
      </c>
      <c r="U84" s="12">
        <f t="shared" si="4"/>
        <v>4.190622345</v>
      </c>
    </row>
    <row r="85">
      <c r="A85" s="15">
        <f t="shared" si="3"/>
        <v>84</v>
      </c>
      <c r="B85" s="15" t="s">
        <v>4225</v>
      </c>
      <c r="C85" s="15" t="s">
        <v>19</v>
      </c>
      <c r="D85" s="15">
        <v>28.0</v>
      </c>
      <c r="E85" s="15">
        <v>2.0</v>
      </c>
      <c r="F85" s="15" t="s">
        <v>4954</v>
      </c>
      <c r="G85" s="15" t="s">
        <v>5565</v>
      </c>
      <c r="H85" s="15" t="s">
        <v>2556</v>
      </c>
      <c r="I85" s="15">
        <v>0.0</v>
      </c>
      <c r="J85" s="15" t="s">
        <v>908</v>
      </c>
      <c r="K85" s="15" t="s">
        <v>22</v>
      </c>
      <c r="L85" s="15" t="s">
        <v>225</v>
      </c>
      <c r="M85" s="15" t="s">
        <v>24</v>
      </c>
      <c r="N85" s="16">
        <v>0.5</v>
      </c>
      <c r="O85" s="16">
        <v>1.0</v>
      </c>
      <c r="P85" s="16">
        <v>1.0</v>
      </c>
      <c r="Q85" s="17">
        <v>45395.0</v>
      </c>
      <c r="R85" s="18">
        <v>1.8</v>
      </c>
      <c r="S85" s="15" t="s">
        <v>25</v>
      </c>
      <c r="T85" s="19">
        <f t="shared" si="1"/>
        <v>-1</v>
      </c>
      <c r="U85" s="19">
        <f t="shared" si="4"/>
        <v>3.190622345</v>
      </c>
    </row>
    <row r="86">
      <c r="A86" s="8">
        <f t="shared" si="3"/>
        <v>85</v>
      </c>
      <c r="B86" s="8" t="s">
        <v>4225</v>
      </c>
      <c r="C86" s="8" t="s">
        <v>40</v>
      </c>
      <c r="D86" s="8">
        <v>86.0</v>
      </c>
      <c r="E86" s="8">
        <v>10.0</v>
      </c>
      <c r="F86" s="8" t="s">
        <v>4955</v>
      </c>
      <c r="G86" s="8" t="s">
        <v>5565</v>
      </c>
      <c r="H86" s="8" t="s">
        <v>2660</v>
      </c>
      <c r="I86" s="8">
        <v>0.0</v>
      </c>
      <c r="J86" s="8" t="s">
        <v>463</v>
      </c>
      <c r="K86" s="8" t="s">
        <v>22</v>
      </c>
      <c r="L86" s="8" t="s">
        <v>892</v>
      </c>
      <c r="M86" s="8" t="s">
        <v>24</v>
      </c>
      <c r="N86" s="9">
        <v>0.0</v>
      </c>
      <c r="O86" s="9">
        <v>0.25</v>
      </c>
      <c r="P86" s="9">
        <v>0.25</v>
      </c>
      <c r="Q86" s="10">
        <v>45395.0</v>
      </c>
      <c r="R86" s="11">
        <v>2.02</v>
      </c>
      <c r="S86" s="8" t="s">
        <v>70</v>
      </c>
      <c r="T86" s="12">
        <f t="shared" si="1"/>
        <v>0</v>
      </c>
      <c r="U86" s="12">
        <f t="shared" si="4"/>
        <v>3.190622345</v>
      </c>
    </row>
    <row r="87">
      <c r="A87" s="15">
        <f t="shared" si="3"/>
        <v>86</v>
      </c>
      <c r="B87" s="15" t="s">
        <v>129</v>
      </c>
      <c r="C87" s="15" t="s">
        <v>19</v>
      </c>
      <c r="D87" s="15">
        <v>60.0</v>
      </c>
      <c r="E87" s="15">
        <v>3.0</v>
      </c>
      <c r="F87" s="15" t="s">
        <v>4956</v>
      </c>
      <c r="G87" s="15" t="s">
        <v>5565</v>
      </c>
      <c r="H87" s="15" t="s">
        <v>2660</v>
      </c>
      <c r="I87" s="15">
        <v>0.0</v>
      </c>
      <c r="J87" s="15" t="s">
        <v>463</v>
      </c>
      <c r="K87" s="15" t="s">
        <v>22</v>
      </c>
      <c r="L87" s="15" t="s">
        <v>892</v>
      </c>
      <c r="M87" s="15" t="s">
        <v>24</v>
      </c>
      <c r="N87" s="16">
        <v>0.0</v>
      </c>
      <c r="O87" s="16">
        <v>0.6</v>
      </c>
      <c r="P87" s="16">
        <v>0.6</v>
      </c>
      <c r="Q87" s="17">
        <v>45395.0</v>
      </c>
      <c r="R87" s="18">
        <v>1.775</v>
      </c>
      <c r="S87" s="15" t="s">
        <v>33</v>
      </c>
      <c r="T87" s="19">
        <f t="shared" si="1"/>
        <v>0.465</v>
      </c>
      <c r="U87" s="19">
        <f t="shared" si="4"/>
        <v>3.655622345</v>
      </c>
    </row>
    <row r="88">
      <c r="A88" s="8">
        <f t="shared" si="3"/>
        <v>87</v>
      </c>
      <c r="B88" s="8" t="s">
        <v>129</v>
      </c>
      <c r="C88" s="8" t="s">
        <v>19</v>
      </c>
      <c r="D88" s="8">
        <v>60.0</v>
      </c>
      <c r="E88" s="8">
        <v>3.0</v>
      </c>
      <c r="F88" s="8" t="s">
        <v>4957</v>
      </c>
      <c r="G88" s="8" t="s">
        <v>5564</v>
      </c>
      <c r="H88" s="8" t="s">
        <v>2660</v>
      </c>
      <c r="I88" s="8">
        <v>0.0</v>
      </c>
      <c r="J88" s="8" t="s">
        <v>2667</v>
      </c>
      <c r="K88" s="8" t="s">
        <v>22</v>
      </c>
      <c r="L88" s="8" t="s">
        <v>892</v>
      </c>
      <c r="M88" s="8" t="s">
        <v>24</v>
      </c>
      <c r="N88" s="9">
        <v>0.0</v>
      </c>
      <c r="O88" s="9">
        <v>1.0</v>
      </c>
      <c r="P88" s="9">
        <v>1.0</v>
      </c>
      <c r="Q88" s="10">
        <v>45395.0</v>
      </c>
      <c r="R88" s="11">
        <v>1.975</v>
      </c>
      <c r="S88" s="8" t="s">
        <v>70</v>
      </c>
      <c r="T88" s="12">
        <f t="shared" si="1"/>
        <v>0</v>
      </c>
      <c r="U88" s="12">
        <f t="shared" si="4"/>
        <v>3.655622345</v>
      </c>
    </row>
    <row r="89">
      <c r="A89" s="15">
        <f t="shared" si="3"/>
        <v>88</v>
      </c>
      <c r="B89" s="15" t="s">
        <v>129</v>
      </c>
      <c r="C89" s="15" t="s">
        <v>19</v>
      </c>
      <c r="D89" s="15">
        <v>73.0</v>
      </c>
      <c r="E89" s="15">
        <v>3.0</v>
      </c>
      <c r="F89" s="15" t="s">
        <v>4958</v>
      </c>
      <c r="G89" s="15" t="s">
        <v>5565</v>
      </c>
      <c r="H89" s="15" t="s">
        <v>2660</v>
      </c>
      <c r="I89" s="15">
        <v>0.0</v>
      </c>
      <c r="J89" s="15" t="s">
        <v>2667</v>
      </c>
      <c r="K89" s="15" t="s">
        <v>22</v>
      </c>
      <c r="L89" s="15" t="s">
        <v>892</v>
      </c>
      <c r="M89" s="15" t="s">
        <v>24</v>
      </c>
      <c r="N89" s="16">
        <v>0.0</v>
      </c>
      <c r="O89" s="16">
        <v>0.6</v>
      </c>
      <c r="P89" s="16">
        <v>0.6</v>
      </c>
      <c r="Q89" s="17">
        <v>45395.0</v>
      </c>
      <c r="R89" s="18">
        <v>1.9</v>
      </c>
      <c r="S89" s="15" t="s">
        <v>70</v>
      </c>
      <c r="T89" s="19">
        <f t="shared" si="1"/>
        <v>0</v>
      </c>
      <c r="U89" s="19">
        <f t="shared" si="4"/>
        <v>3.655622345</v>
      </c>
    </row>
    <row r="90">
      <c r="A90" s="8">
        <f t="shared" si="3"/>
        <v>89</v>
      </c>
      <c r="B90" s="8" t="s">
        <v>129</v>
      </c>
      <c r="C90" s="8"/>
      <c r="D90" s="8">
        <v>76.0</v>
      </c>
      <c r="E90" s="8">
        <v>3.0</v>
      </c>
      <c r="F90" s="8" t="s">
        <v>4959</v>
      </c>
      <c r="G90" s="8" t="s">
        <v>5564</v>
      </c>
      <c r="H90" s="8" t="s">
        <v>2573</v>
      </c>
      <c r="I90" s="8">
        <v>0.0</v>
      </c>
      <c r="J90" s="8" t="s">
        <v>2667</v>
      </c>
      <c r="K90" s="8" t="s">
        <v>22</v>
      </c>
      <c r="L90" s="8" t="s">
        <v>894</v>
      </c>
      <c r="M90" s="8" t="s">
        <v>24</v>
      </c>
      <c r="N90" s="9">
        <v>-0.25</v>
      </c>
      <c r="O90" s="9">
        <v>0.2</v>
      </c>
      <c r="P90" s="9">
        <v>0.15</v>
      </c>
      <c r="Q90" s="10">
        <v>45395.0</v>
      </c>
      <c r="R90" s="11">
        <v>2.825</v>
      </c>
      <c r="S90" s="8" t="s">
        <v>79</v>
      </c>
      <c r="T90" s="12">
        <f t="shared" si="1"/>
        <v>-0.075</v>
      </c>
      <c r="U90" s="12">
        <f t="shared" si="4"/>
        <v>3.580622345</v>
      </c>
    </row>
    <row r="91">
      <c r="A91" s="15">
        <f t="shared" si="3"/>
        <v>90</v>
      </c>
      <c r="B91" s="15" t="s">
        <v>26</v>
      </c>
      <c r="C91" s="15" t="s">
        <v>19</v>
      </c>
      <c r="D91" s="15">
        <v>32.0</v>
      </c>
      <c r="E91" s="15">
        <v>3.0</v>
      </c>
      <c r="F91" s="15" t="s">
        <v>4960</v>
      </c>
      <c r="G91" s="15" t="s">
        <v>5564</v>
      </c>
      <c r="H91" s="15" t="s">
        <v>2660</v>
      </c>
      <c r="I91" s="15">
        <v>0.0</v>
      </c>
      <c r="J91" s="15" t="s">
        <v>583</v>
      </c>
      <c r="K91" s="15" t="s">
        <v>22</v>
      </c>
      <c r="L91" s="15" t="s">
        <v>1150</v>
      </c>
      <c r="M91" s="15" t="s">
        <v>24</v>
      </c>
      <c r="N91" s="16">
        <v>0.0</v>
      </c>
      <c r="O91" s="16">
        <v>0.6</v>
      </c>
      <c r="P91" s="16">
        <v>0.36</v>
      </c>
      <c r="Q91" s="17">
        <v>45395.0</v>
      </c>
      <c r="R91" s="18">
        <v>1.825</v>
      </c>
      <c r="S91" s="15" t="s">
        <v>70</v>
      </c>
      <c r="T91" s="19">
        <f t="shared" si="1"/>
        <v>0</v>
      </c>
      <c r="U91" s="19">
        <f t="shared" si="4"/>
        <v>3.580622345</v>
      </c>
    </row>
    <row r="92">
      <c r="A92" s="8">
        <f t="shared" si="3"/>
        <v>91</v>
      </c>
      <c r="B92" s="8" t="s">
        <v>4225</v>
      </c>
      <c r="C92" s="8" t="s">
        <v>19</v>
      </c>
      <c r="D92" s="8">
        <v>65.0</v>
      </c>
      <c r="E92" s="8">
        <v>3.0</v>
      </c>
      <c r="F92" s="8" t="s">
        <v>4961</v>
      </c>
      <c r="G92" s="8" t="s">
        <v>5564</v>
      </c>
      <c r="H92" s="8" t="s">
        <v>2660</v>
      </c>
      <c r="I92" s="8">
        <v>-1.0</v>
      </c>
      <c r="J92" s="8" t="s">
        <v>583</v>
      </c>
      <c r="K92" s="8" t="s">
        <v>22</v>
      </c>
      <c r="L92" s="8" t="s">
        <v>892</v>
      </c>
      <c r="M92" s="8" t="s">
        <v>24</v>
      </c>
      <c r="N92" s="9">
        <v>0.0</v>
      </c>
      <c r="O92" s="9">
        <v>1.0</v>
      </c>
      <c r="P92" s="9">
        <v>1.0</v>
      </c>
      <c r="Q92" s="10">
        <v>45395.0</v>
      </c>
      <c r="R92" s="11">
        <v>1.975</v>
      </c>
      <c r="S92" s="8" t="s">
        <v>25</v>
      </c>
      <c r="T92" s="12">
        <f t="shared" si="1"/>
        <v>-1</v>
      </c>
      <c r="U92" s="12">
        <f t="shared" si="4"/>
        <v>2.580622345</v>
      </c>
    </row>
    <row r="93">
      <c r="A93" s="15">
        <f t="shared" si="3"/>
        <v>92</v>
      </c>
      <c r="B93" s="15" t="s">
        <v>129</v>
      </c>
      <c r="C93" s="15" t="s">
        <v>40</v>
      </c>
      <c r="D93" s="15">
        <v>20.0</v>
      </c>
      <c r="E93" s="15">
        <v>3.0</v>
      </c>
      <c r="F93" s="15" t="s">
        <v>4962</v>
      </c>
      <c r="G93" s="15" t="s">
        <v>5564</v>
      </c>
      <c r="H93" s="15" t="s">
        <v>2660</v>
      </c>
      <c r="I93" s="15">
        <v>0.0</v>
      </c>
      <c r="J93" s="15" t="s">
        <v>66</v>
      </c>
      <c r="K93" s="15" t="s">
        <v>22</v>
      </c>
      <c r="L93" s="15" t="s">
        <v>892</v>
      </c>
      <c r="M93" s="15" t="s">
        <v>24</v>
      </c>
      <c r="N93" s="16">
        <v>0.0</v>
      </c>
      <c r="O93" s="16">
        <v>1.0</v>
      </c>
      <c r="P93" s="16">
        <v>1.0</v>
      </c>
      <c r="Q93" s="17">
        <v>45395.0</v>
      </c>
      <c r="R93" s="18">
        <v>1.9</v>
      </c>
      <c r="S93" s="15" t="s">
        <v>33</v>
      </c>
      <c r="T93" s="19">
        <f t="shared" si="1"/>
        <v>0.9</v>
      </c>
      <c r="U93" s="19">
        <f t="shared" si="4"/>
        <v>3.480622345</v>
      </c>
    </row>
    <row r="94">
      <c r="A94" s="8">
        <f t="shared" si="3"/>
        <v>93</v>
      </c>
      <c r="B94" s="8" t="s">
        <v>26</v>
      </c>
      <c r="C94" s="8" t="s">
        <v>19</v>
      </c>
      <c r="D94" s="8">
        <v>25.0</v>
      </c>
      <c r="E94" s="8">
        <v>3.0</v>
      </c>
      <c r="F94" s="8" t="s">
        <v>4963</v>
      </c>
      <c r="G94" s="8" t="s">
        <v>5564</v>
      </c>
      <c r="H94" s="8" t="s">
        <v>2660</v>
      </c>
      <c r="I94" s="8">
        <v>0.0</v>
      </c>
      <c r="J94" s="8" t="s">
        <v>66</v>
      </c>
      <c r="K94" s="8" t="s">
        <v>22</v>
      </c>
      <c r="L94" s="8" t="s">
        <v>892</v>
      </c>
      <c r="M94" s="8" t="s">
        <v>24</v>
      </c>
      <c r="N94" s="9">
        <v>0.0</v>
      </c>
      <c r="O94" s="9">
        <v>1.0</v>
      </c>
      <c r="P94" s="9">
        <v>1.0</v>
      </c>
      <c r="Q94" s="54">
        <v>45395.0</v>
      </c>
      <c r="R94" s="11">
        <v>2.02</v>
      </c>
      <c r="S94" s="8" t="s">
        <v>33</v>
      </c>
      <c r="T94" s="12">
        <f t="shared" si="1"/>
        <v>1.02</v>
      </c>
      <c r="U94" s="12">
        <f t="shared" si="4"/>
        <v>4.500622345</v>
      </c>
    </row>
    <row r="95">
      <c r="A95" s="15">
        <f t="shared" si="3"/>
        <v>94</v>
      </c>
      <c r="B95" s="15" t="s">
        <v>4225</v>
      </c>
      <c r="C95" s="15" t="s">
        <v>19</v>
      </c>
      <c r="D95" s="15">
        <v>70.0</v>
      </c>
      <c r="E95" s="15">
        <v>3.0</v>
      </c>
      <c r="F95" s="15" t="s">
        <v>4964</v>
      </c>
      <c r="G95" s="15" t="s">
        <v>5564</v>
      </c>
      <c r="H95" s="15" t="s">
        <v>2660</v>
      </c>
      <c r="I95" s="15">
        <v>-2.0</v>
      </c>
      <c r="J95" s="15" t="s">
        <v>178</v>
      </c>
      <c r="K95" s="15" t="s">
        <v>22</v>
      </c>
      <c r="L95" s="15" t="s">
        <v>892</v>
      </c>
      <c r="M95" s="15" t="s">
        <v>1522</v>
      </c>
      <c r="N95" s="16">
        <v>0.0</v>
      </c>
      <c r="O95" s="16">
        <v>0.25</v>
      </c>
      <c r="P95" s="16">
        <v>0.25</v>
      </c>
      <c r="Q95" s="17">
        <v>45395.0</v>
      </c>
      <c r="R95" s="18">
        <v>1.975</v>
      </c>
      <c r="S95" s="15" t="s">
        <v>25</v>
      </c>
      <c r="T95" s="19">
        <f t="shared" si="1"/>
        <v>-0.25</v>
      </c>
      <c r="U95" s="19">
        <f t="shared" si="4"/>
        <v>4.250622345</v>
      </c>
    </row>
    <row r="96">
      <c r="A96" s="8">
        <f t="shared" si="3"/>
        <v>95</v>
      </c>
      <c r="B96" s="8" t="s">
        <v>26</v>
      </c>
      <c r="C96" s="8" t="s">
        <v>19</v>
      </c>
      <c r="D96" s="8">
        <v>55.0</v>
      </c>
      <c r="E96" s="8">
        <v>3.0</v>
      </c>
      <c r="F96" s="8" t="s">
        <v>4965</v>
      </c>
      <c r="G96" s="8" t="s">
        <v>5564</v>
      </c>
      <c r="H96" s="8" t="s">
        <v>2660</v>
      </c>
      <c r="I96" s="8">
        <v>0.0</v>
      </c>
      <c r="J96" s="8" t="s">
        <v>66</v>
      </c>
      <c r="K96" s="8" t="s">
        <v>22</v>
      </c>
      <c r="L96" s="8" t="s">
        <v>892</v>
      </c>
      <c r="M96" s="8" t="s">
        <v>24</v>
      </c>
      <c r="N96" s="9">
        <v>0.0</v>
      </c>
      <c r="O96" s="9">
        <v>1.0</v>
      </c>
      <c r="P96" s="9">
        <v>1.0</v>
      </c>
      <c r="Q96" s="10">
        <v>45395.0</v>
      </c>
      <c r="R96" s="11">
        <v>1.95</v>
      </c>
      <c r="S96" s="8" t="s">
        <v>25</v>
      </c>
      <c r="T96" s="12">
        <f t="shared" si="1"/>
        <v>-1</v>
      </c>
      <c r="U96" s="12">
        <f t="shared" si="4"/>
        <v>3.250622345</v>
      </c>
    </row>
    <row r="97">
      <c r="A97" s="15">
        <f t="shared" si="3"/>
        <v>96</v>
      </c>
      <c r="B97" s="15" t="s">
        <v>26</v>
      </c>
      <c r="C97" s="15" t="s">
        <v>19</v>
      </c>
      <c r="D97" s="15">
        <v>65.0</v>
      </c>
      <c r="E97" s="15">
        <v>10.0</v>
      </c>
      <c r="F97" s="15" t="s">
        <v>4966</v>
      </c>
      <c r="G97" s="15" t="s">
        <v>5565</v>
      </c>
      <c r="H97" s="15"/>
      <c r="I97" s="15"/>
      <c r="J97" s="15" t="s">
        <v>66</v>
      </c>
      <c r="K97" s="15" t="s">
        <v>22</v>
      </c>
      <c r="L97" s="15" t="s">
        <v>1023</v>
      </c>
      <c r="M97" s="15" t="s">
        <v>24</v>
      </c>
      <c r="N97" s="16"/>
      <c r="O97" s="16">
        <v>0.4</v>
      </c>
      <c r="P97" s="16">
        <v>0.4</v>
      </c>
      <c r="Q97" s="17">
        <v>45395.0</v>
      </c>
      <c r="R97" s="18">
        <v>2.6</v>
      </c>
      <c r="S97" s="15" t="s">
        <v>25</v>
      </c>
      <c r="T97" s="19">
        <f t="shared" si="1"/>
        <v>-0.4</v>
      </c>
      <c r="U97" s="19">
        <f t="shared" si="4"/>
        <v>2.850622345</v>
      </c>
    </row>
    <row r="98">
      <c r="A98" s="8">
        <f t="shared" si="3"/>
        <v>97</v>
      </c>
      <c r="B98" s="8" t="s">
        <v>137</v>
      </c>
      <c r="C98" s="8" t="s">
        <v>19</v>
      </c>
      <c r="D98" s="8">
        <v>32.0</v>
      </c>
      <c r="E98" s="8">
        <v>3.0</v>
      </c>
      <c r="F98" s="8" t="s">
        <v>4967</v>
      </c>
      <c r="G98" s="8" t="s">
        <v>5564</v>
      </c>
      <c r="H98" s="8" t="s">
        <v>2660</v>
      </c>
      <c r="I98" s="8">
        <v>0.0</v>
      </c>
      <c r="J98" s="8" t="s">
        <v>233</v>
      </c>
      <c r="K98" s="8" t="s">
        <v>22</v>
      </c>
      <c r="L98" s="8" t="s">
        <v>892</v>
      </c>
      <c r="M98" s="8" t="s">
        <v>24</v>
      </c>
      <c r="N98" s="9">
        <v>0.0</v>
      </c>
      <c r="O98" s="9">
        <v>0.25</v>
      </c>
      <c r="P98" s="9">
        <v>0.25</v>
      </c>
      <c r="Q98" s="54">
        <v>45395.0</v>
      </c>
      <c r="R98" s="11">
        <v>1.775</v>
      </c>
      <c r="S98" s="8" t="s">
        <v>33</v>
      </c>
      <c r="T98" s="12">
        <f t="shared" si="1"/>
        <v>0.19375</v>
      </c>
      <c r="U98" s="12">
        <f t="shared" si="4"/>
        <v>3.044372345</v>
      </c>
    </row>
    <row r="99">
      <c r="A99" s="15">
        <f t="shared" si="3"/>
        <v>98</v>
      </c>
      <c r="B99" s="15" t="s">
        <v>26</v>
      </c>
      <c r="C99" s="15" t="s">
        <v>40</v>
      </c>
      <c r="D99" s="15">
        <v>55.0</v>
      </c>
      <c r="E99" s="15">
        <v>3.0</v>
      </c>
      <c r="F99" s="15" t="s">
        <v>4968</v>
      </c>
      <c r="G99" s="15" t="s">
        <v>5565</v>
      </c>
      <c r="H99" s="15" t="s">
        <v>2660</v>
      </c>
      <c r="I99" s="15">
        <v>0.0</v>
      </c>
      <c r="J99" s="15" t="s">
        <v>93</v>
      </c>
      <c r="K99" s="15" t="s">
        <v>22</v>
      </c>
      <c r="L99" s="15" t="s">
        <v>892</v>
      </c>
      <c r="M99" s="15" t="s">
        <v>24</v>
      </c>
      <c r="N99" s="16">
        <v>0.0</v>
      </c>
      <c r="O99" s="16">
        <v>1.0</v>
      </c>
      <c r="P99" s="16">
        <v>1.0</v>
      </c>
      <c r="Q99" s="17">
        <v>45395.0</v>
      </c>
      <c r="R99" s="18">
        <v>1.875</v>
      </c>
      <c r="S99" s="15" t="s">
        <v>25</v>
      </c>
      <c r="T99" s="19">
        <f t="shared" si="1"/>
        <v>-1</v>
      </c>
      <c r="U99" s="19">
        <f t="shared" si="4"/>
        <v>2.044372345</v>
      </c>
    </row>
    <row r="100">
      <c r="A100" s="8">
        <f t="shared" si="3"/>
        <v>99</v>
      </c>
      <c r="B100" s="8" t="s">
        <v>4225</v>
      </c>
      <c r="C100" s="8" t="s">
        <v>19</v>
      </c>
      <c r="D100" s="8">
        <v>67.0</v>
      </c>
      <c r="E100" s="8">
        <v>3.0</v>
      </c>
      <c r="F100" s="8" t="s">
        <v>4969</v>
      </c>
      <c r="G100" s="8" t="s">
        <v>5565</v>
      </c>
      <c r="H100" s="8" t="s">
        <v>2660</v>
      </c>
      <c r="I100" s="8">
        <v>-1.0</v>
      </c>
      <c r="J100" s="8" t="s">
        <v>50</v>
      </c>
      <c r="K100" s="8" t="s">
        <v>22</v>
      </c>
      <c r="L100" s="8" t="s">
        <v>892</v>
      </c>
      <c r="M100" s="8" t="s">
        <v>24</v>
      </c>
      <c r="N100" s="9">
        <v>0.0</v>
      </c>
      <c r="O100" s="9">
        <v>0.5</v>
      </c>
      <c r="P100" s="9">
        <v>0.5</v>
      </c>
      <c r="Q100" s="10">
        <v>45395.0</v>
      </c>
      <c r="R100" s="11">
        <v>1.8</v>
      </c>
      <c r="S100" s="8" t="s">
        <v>25</v>
      </c>
      <c r="T100" s="12">
        <f t="shared" si="1"/>
        <v>-0.5</v>
      </c>
      <c r="U100" s="12">
        <f t="shared" si="4"/>
        <v>1.544372345</v>
      </c>
    </row>
    <row r="101">
      <c r="A101" s="15">
        <f t="shared" si="3"/>
        <v>100</v>
      </c>
      <c r="B101" s="15" t="s">
        <v>26</v>
      </c>
      <c r="C101" s="15" t="s">
        <v>19</v>
      </c>
      <c r="D101" s="15">
        <v>70.0</v>
      </c>
      <c r="E101" s="15">
        <v>3.0</v>
      </c>
      <c r="F101" s="15" t="s">
        <v>4970</v>
      </c>
      <c r="G101" s="15" t="s">
        <v>5565</v>
      </c>
      <c r="H101" s="15" t="s">
        <v>2660</v>
      </c>
      <c r="I101" s="15">
        <v>-1.0</v>
      </c>
      <c r="J101" s="15" t="s">
        <v>448</v>
      </c>
      <c r="K101" s="15" t="s">
        <v>22</v>
      </c>
      <c r="L101" s="15" t="s">
        <v>892</v>
      </c>
      <c r="M101" s="15" t="s">
        <v>24</v>
      </c>
      <c r="N101" s="16">
        <v>0.0</v>
      </c>
      <c r="O101" s="16">
        <v>1.0</v>
      </c>
      <c r="P101" s="16">
        <v>1.0</v>
      </c>
      <c r="Q101" s="17">
        <v>45396.0</v>
      </c>
      <c r="R101" s="18">
        <v>1.95</v>
      </c>
      <c r="S101" s="15" t="s">
        <v>33</v>
      </c>
      <c r="T101" s="19">
        <f t="shared" si="1"/>
        <v>0.95</v>
      </c>
      <c r="U101" s="19">
        <f t="shared" si="4"/>
        <v>2.494372345</v>
      </c>
    </row>
    <row r="102">
      <c r="A102" s="8">
        <f t="shared" si="3"/>
        <v>101</v>
      </c>
      <c r="B102" s="8" t="s">
        <v>4225</v>
      </c>
      <c r="C102" s="8" t="s">
        <v>19</v>
      </c>
      <c r="D102" s="8">
        <v>32.0</v>
      </c>
      <c r="E102" s="8">
        <v>5.0</v>
      </c>
      <c r="F102" s="8" t="s">
        <v>4971</v>
      </c>
      <c r="G102" s="8" t="s">
        <v>5565</v>
      </c>
      <c r="H102" s="8" t="s">
        <v>2556</v>
      </c>
      <c r="I102" s="8">
        <v>0.0</v>
      </c>
      <c r="J102" s="8" t="s">
        <v>806</v>
      </c>
      <c r="K102" s="8" t="s">
        <v>22</v>
      </c>
      <c r="L102" s="8" t="s">
        <v>1847</v>
      </c>
      <c r="M102" s="8" t="s">
        <v>24</v>
      </c>
      <c r="N102" s="9">
        <v>-0.5</v>
      </c>
      <c r="O102" s="9">
        <v>0.25</v>
      </c>
      <c r="P102" s="9">
        <v>0.25</v>
      </c>
      <c r="Q102" s="10">
        <v>45396.0</v>
      </c>
      <c r="R102" s="11">
        <v>1.91</v>
      </c>
      <c r="S102" s="8" t="s">
        <v>25</v>
      </c>
      <c r="T102" s="12">
        <f t="shared" si="1"/>
        <v>-0.25</v>
      </c>
      <c r="U102" s="12">
        <f t="shared" si="4"/>
        <v>2.244372345</v>
      </c>
    </row>
    <row r="103">
      <c r="A103" s="15">
        <f t="shared" si="3"/>
        <v>102</v>
      </c>
      <c r="B103" s="15" t="s">
        <v>4225</v>
      </c>
      <c r="C103" s="15" t="s">
        <v>40</v>
      </c>
      <c r="D103" s="15">
        <v>88.0</v>
      </c>
      <c r="E103" s="15">
        <v>9.0</v>
      </c>
      <c r="F103" s="15" t="s">
        <v>4972</v>
      </c>
      <c r="G103" s="15"/>
      <c r="H103" s="15"/>
      <c r="I103" s="15"/>
      <c r="J103" s="15" t="s">
        <v>683</v>
      </c>
      <c r="K103" s="15" t="s">
        <v>22</v>
      </c>
      <c r="L103" s="15" t="s">
        <v>2939</v>
      </c>
      <c r="M103" s="15" t="s">
        <v>24</v>
      </c>
      <c r="N103" s="16">
        <v>-7.5</v>
      </c>
      <c r="O103" s="16">
        <v>0.1</v>
      </c>
      <c r="P103" s="16">
        <v>0.1</v>
      </c>
      <c r="Q103" s="17">
        <v>45396.0</v>
      </c>
      <c r="R103" s="18">
        <v>1.75</v>
      </c>
      <c r="S103" s="15" t="s">
        <v>33</v>
      </c>
      <c r="T103" s="19">
        <f t="shared" si="1"/>
        <v>0.075</v>
      </c>
      <c r="U103" s="19">
        <f t="shared" si="4"/>
        <v>2.319372345</v>
      </c>
    </row>
    <row r="104">
      <c r="A104" s="8">
        <f t="shared" si="3"/>
        <v>103</v>
      </c>
      <c r="B104" s="8" t="s">
        <v>4225</v>
      </c>
      <c r="C104" s="8" t="s">
        <v>40</v>
      </c>
      <c r="D104" s="8">
        <v>88.0</v>
      </c>
      <c r="E104" s="8">
        <v>10.0</v>
      </c>
      <c r="F104" s="8" t="s">
        <v>4973</v>
      </c>
      <c r="G104" s="8"/>
      <c r="H104" s="8"/>
      <c r="I104" s="8"/>
      <c r="J104" s="8" t="s">
        <v>683</v>
      </c>
      <c r="K104" s="8" t="s">
        <v>22</v>
      </c>
      <c r="L104" s="8" t="s">
        <v>4974</v>
      </c>
      <c r="M104" s="8" t="s">
        <v>24</v>
      </c>
      <c r="N104" s="9">
        <v>7.5</v>
      </c>
      <c r="O104" s="9">
        <v>0.05</v>
      </c>
      <c r="P104" s="9">
        <v>0.05</v>
      </c>
      <c r="Q104" s="10">
        <v>45396.0</v>
      </c>
      <c r="R104" s="11">
        <v>2.75</v>
      </c>
      <c r="S104" s="8" t="s">
        <v>25</v>
      </c>
      <c r="T104" s="12">
        <f t="shared" si="1"/>
        <v>-0.05</v>
      </c>
      <c r="U104" s="12">
        <f t="shared" si="4"/>
        <v>2.269372345</v>
      </c>
    </row>
    <row r="105">
      <c r="A105" s="15">
        <f t="shared" si="3"/>
        <v>104</v>
      </c>
      <c r="B105" s="15" t="s">
        <v>129</v>
      </c>
      <c r="C105" s="15" t="s">
        <v>19</v>
      </c>
      <c r="D105" s="15">
        <v>63.0</v>
      </c>
      <c r="E105" s="15">
        <v>3.0</v>
      </c>
      <c r="F105" s="15" t="s">
        <v>4975</v>
      </c>
      <c r="G105" s="15" t="s">
        <v>5564</v>
      </c>
      <c r="H105" s="15" t="s">
        <v>2660</v>
      </c>
      <c r="I105" s="15">
        <v>-1.0</v>
      </c>
      <c r="J105" s="15" t="s">
        <v>93</v>
      </c>
      <c r="K105" s="15" t="s">
        <v>22</v>
      </c>
      <c r="L105" s="15" t="s">
        <v>892</v>
      </c>
      <c r="M105" s="15" t="s">
        <v>24</v>
      </c>
      <c r="N105" s="16">
        <v>0.0</v>
      </c>
      <c r="O105" s="16">
        <v>0.25</v>
      </c>
      <c r="P105" s="16">
        <v>0.25</v>
      </c>
      <c r="Q105" s="17">
        <v>45396.0</v>
      </c>
      <c r="R105" s="18">
        <v>2.0</v>
      </c>
      <c r="S105" s="15" t="s">
        <v>70</v>
      </c>
      <c r="T105" s="19">
        <f t="shared" si="1"/>
        <v>0</v>
      </c>
      <c r="U105" s="19">
        <f t="shared" si="4"/>
        <v>2.269372345</v>
      </c>
    </row>
    <row r="106">
      <c r="A106" s="8">
        <f t="shared" si="3"/>
        <v>105</v>
      </c>
      <c r="B106" s="8" t="s">
        <v>137</v>
      </c>
      <c r="C106" s="8" t="s">
        <v>19</v>
      </c>
      <c r="D106" s="8">
        <v>70.0</v>
      </c>
      <c r="E106" s="8">
        <v>3.0</v>
      </c>
      <c r="F106" s="8" t="s">
        <v>4976</v>
      </c>
      <c r="G106" s="8" t="s">
        <v>5564</v>
      </c>
      <c r="H106" s="8" t="s">
        <v>2660</v>
      </c>
      <c r="I106" s="8">
        <v>0.0</v>
      </c>
      <c r="J106" s="8" t="s">
        <v>93</v>
      </c>
      <c r="K106" s="8" t="s">
        <v>22</v>
      </c>
      <c r="L106" s="8" t="s">
        <v>892</v>
      </c>
      <c r="M106" s="8" t="s">
        <v>24</v>
      </c>
      <c r="N106" s="9">
        <v>0.0</v>
      </c>
      <c r="O106" s="9">
        <v>0.5</v>
      </c>
      <c r="P106" s="9">
        <v>0.5</v>
      </c>
      <c r="Q106" s="54">
        <v>45396.0</v>
      </c>
      <c r="R106" s="11">
        <v>1.8</v>
      </c>
      <c r="S106" s="8" t="s">
        <v>70</v>
      </c>
      <c r="T106" s="12">
        <f t="shared" si="1"/>
        <v>0</v>
      </c>
      <c r="U106" s="12">
        <f t="shared" si="4"/>
        <v>2.269372345</v>
      </c>
    </row>
    <row r="107">
      <c r="A107" s="15">
        <f t="shared" si="3"/>
        <v>106</v>
      </c>
      <c r="B107" s="15" t="s">
        <v>131</v>
      </c>
      <c r="C107" s="15" t="s">
        <v>19</v>
      </c>
      <c r="D107" s="15">
        <v>80.0</v>
      </c>
      <c r="E107" s="15">
        <v>3.0</v>
      </c>
      <c r="F107" s="15" t="s">
        <v>4977</v>
      </c>
      <c r="G107" s="15" t="s">
        <v>5564</v>
      </c>
      <c r="H107" s="15" t="s">
        <v>2660</v>
      </c>
      <c r="I107" s="15">
        <v>0.0</v>
      </c>
      <c r="J107" s="15" t="s">
        <v>44</v>
      </c>
      <c r="K107" s="15" t="s">
        <v>22</v>
      </c>
      <c r="L107" s="15" t="s">
        <v>892</v>
      </c>
      <c r="M107" s="15" t="s">
        <v>24</v>
      </c>
      <c r="N107" s="16">
        <v>0.0</v>
      </c>
      <c r="O107" s="16">
        <v>0.5</v>
      </c>
      <c r="P107" s="16">
        <v>0.5</v>
      </c>
      <c r="Q107" s="17">
        <v>45396.0</v>
      </c>
      <c r="R107" s="18">
        <v>1.85</v>
      </c>
      <c r="S107" s="15" t="s">
        <v>70</v>
      </c>
      <c r="T107" s="19">
        <f t="shared" si="1"/>
        <v>0</v>
      </c>
      <c r="U107" s="19">
        <f t="shared" si="4"/>
        <v>2.269372345</v>
      </c>
    </row>
    <row r="108">
      <c r="A108" s="8">
        <f t="shared" si="3"/>
        <v>107</v>
      </c>
      <c r="B108" s="8" t="s">
        <v>4225</v>
      </c>
      <c r="C108" s="8" t="s">
        <v>19</v>
      </c>
      <c r="D108" s="8">
        <v>25.0</v>
      </c>
      <c r="E108" s="8">
        <v>2.0</v>
      </c>
      <c r="F108" s="8" t="s">
        <v>4978</v>
      </c>
      <c r="G108" s="8" t="s">
        <v>5564</v>
      </c>
      <c r="H108" s="8" t="s">
        <v>2556</v>
      </c>
      <c r="I108" s="8">
        <v>-1.0</v>
      </c>
      <c r="J108" s="8" t="s">
        <v>50</v>
      </c>
      <c r="K108" s="8" t="s">
        <v>22</v>
      </c>
      <c r="L108" s="8" t="s">
        <v>225</v>
      </c>
      <c r="M108" s="8" t="s">
        <v>24</v>
      </c>
      <c r="N108" s="9">
        <v>0.25</v>
      </c>
      <c r="O108" s="9">
        <v>0.5</v>
      </c>
      <c r="P108" s="9">
        <v>0.5</v>
      </c>
      <c r="Q108" s="10">
        <v>45396.0</v>
      </c>
      <c r="R108" s="11">
        <v>1.85</v>
      </c>
      <c r="S108" s="8" t="s">
        <v>33</v>
      </c>
      <c r="T108" s="12">
        <f t="shared" si="1"/>
        <v>0.425</v>
      </c>
      <c r="U108" s="12">
        <f t="shared" si="4"/>
        <v>2.694372345</v>
      </c>
    </row>
    <row r="109">
      <c r="A109" s="15">
        <f t="shared" si="3"/>
        <v>108</v>
      </c>
      <c r="B109" s="15" t="s">
        <v>26</v>
      </c>
      <c r="C109" s="15" t="s">
        <v>19</v>
      </c>
      <c r="D109" s="15">
        <v>70.0</v>
      </c>
      <c r="E109" s="15">
        <v>3.0</v>
      </c>
      <c r="F109" s="113" t="s">
        <v>4979</v>
      </c>
      <c r="G109" s="15" t="s">
        <v>5564</v>
      </c>
      <c r="H109" s="15" t="s">
        <v>2660</v>
      </c>
      <c r="I109" s="15">
        <v>0.0</v>
      </c>
      <c r="J109" s="15" t="s">
        <v>121</v>
      </c>
      <c r="K109" s="15" t="s">
        <v>22</v>
      </c>
      <c r="L109" s="15" t="s">
        <v>892</v>
      </c>
      <c r="M109" s="15" t="s">
        <v>24</v>
      </c>
      <c r="N109" s="16">
        <v>0.0</v>
      </c>
      <c r="O109" s="16">
        <v>0.5</v>
      </c>
      <c r="P109" s="16">
        <v>0.39</v>
      </c>
      <c r="Q109" s="17">
        <v>45396.0</v>
      </c>
      <c r="R109" s="18">
        <v>1.775</v>
      </c>
      <c r="S109" s="15" t="s">
        <v>70</v>
      </c>
      <c r="T109" s="19">
        <f t="shared" si="1"/>
        <v>0</v>
      </c>
      <c r="U109" s="19">
        <f t="shared" si="4"/>
        <v>2.694372345</v>
      </c>
    </row>
    <row r="110">
      <c r="A110" s="8">
        <f t="shared" si="3"/>
        <v>109</v>
      </c>
      <c r="B110" s="8" t="s">
        <v>4225</v>
      </c>
      <c r="C110" s="8" t="s">
        <v>19</v>
      </c>
      <c r="D110" s="8">
        <v>70.0</v>
      </c>
      <c r="E110" s="8">
        <v>2.0</v>
      </c>
      <c r="F110" s="8" t="s">
        <v>4980</v>
      </c>
      <c r="G110" s="8" t="s">
        <v>5564</v>
      </c>
      <c r="H110" s="8" t="s">
        <v>2556</v>
      </c>
      <c r="I110" s="8">
        <f>1</f>
        <v>1</v>
      </c>
      <c r="J110" s="8" t="s">
        <v>316</v>
      </c>
      <c r="K110" s="8" t="s">
        <v>22</v>
      </c>
      <c r="L110" s="8" t="s">
        <v>225</v>
      </c>
      <c r="M110" s="8" t="s">
        <v>24</v>
      </c>
      <c r="N110" s="9">
        <v>0.25</v>
      </c>
      <c r="O110" s="9">
        <v>0.5</v>
      </c>
      <c r="P110" s="9">
        <v>0.47</v>
      </c>
      <c r="Q110" s="10">
        <v>45396.0</v>
      </c>
      <c r="R110" s="11">
        <v>1.7</v>
      </c>
      <c r="S110" s="8" t="s">
        <v>25</v>
      </c>
      <c r="T110" s="12">
        <f t="shared" si="1"/>
        <v>-0.47</v>
      </c>
      <c r="U110" s="12">
        <f t="shared" si="4"/>
        <v>2.224372345</v>
      </c>
    </row>
    <row r="111">
      <c r="A111" s="15">
        <f t="shared" si="3"/>
        <v>110</v>
      </c>
      <c r="B111" s="15" t="s">
        <v>26</v>
      </c>
      <c r="C111" s="15" t="s">
        <v>19</v>
      </c>
      <c r="D111" s="15">
        <v>34.0</v>
      </c>
      <c r="E111" s="15">
        <v>3.0</v>
      </c>
      <c r="F111" s="15" t="s">
        <v>4981</v>
      </c>
      <c r="G111" s="15" t="s">
        <v>5564</v>
      </c>
      <c r="H111" s="15" t="s">
        <v>2660</v>
      </c>
      <c r="I111" s="15">
        <v>-1.0</v>
      </c>
      <c r="J111" s="15" t="s">
        <v>432</v>
      </c>
      <c r="K111" s="15" t="s">
        <v>22</v>
      </c>
      <c r="L111" s="15" t="s">
        <v>892</v>
      </c>
      <c r="M111" s="15" t="s">
        <v>24</v>
      </c>
      <c r="N111" s="16">
        <v>0.0</v>
      </c>
      <c r="O111" s="16">
        <v>0.25</v>
      </c>
      <c r="P111" s="16">
        <v>0.25</v>
      </c>
      <c r="Q111" s="17">
        <v>45396.0</v>
      </c>
      <c r="R111" s="18">
        <v>2.0</v>
      </c>
      <c r="S111" s="15" t="s">
        <v>25</v>
      </c>
      <c r="T111" s="19">
        <f t="shared" si="1"/>
        <v>-0.25</v>
      </c>
      <c r="U111" s="19">
        <f t="shared" si="4"/>
        <v>1.974372345</v>
      </c>
    </row>
    <row r="112">
      <c r="A112" s="8">
        <f t="shared" si="3"/>
        <v>111</v>
      </c>
      <c r="B112" s="8" t="s">
        <v>26</v>
      </c>
      <c r="C112" s="8" t="s">
        <v>19</v>
      </c>
      <c r="D112" s="8">
        <v>59.0</v>
      </c>
      <c r="E112" s="8">
        <v>10.0</v>
      </c>
      <c r="F112" s="8" t="s">
        <v>4982</v>
      </c>
      <c r="G112" s="8" t="s">
        <v>5565</v>
      </c>
      <c r="H112" s="8" t="s">
        <v>2660</v>
      </c>
      <c r="I112" s="8">
        <f>1</f>
        <v>1</v>
      </c>
      <c r="J112" s="8" t="s">
        <v>432</v>
      </c>
      <c r="K112" s="8" t="s">
        <v>22</v>
      </c>
      <c r="L112" s="8" t="s">
        <v>892</v>
      </c>
      <c r="M112" s="8" t="s">
        <v>24</v>
      </c>
      <c r="N112" s="9">
        <v>0.0</v>
      </c>
      <c r="O112" s="9">
        <v>0.25</v>
      </c>
      <c r="P112" s="9">
        <v>0.14</v>
      </c>
      <c r="Q112" s="10">
        <v>45396.0</v>
      </c>
      <c r="R112" s="11">
        <v>2.05</v>
      </c>
      <c r="S112" s="8" t="s">
        <v>33</v>
      </c>
      <c r="T112" s="12">
        <f t="shared" si="1"/>
        <v>0.147</v>
      </c>
      <c r="U112" s="12">
        <f t="shared" si="4"/>
        <v>2.121372345</v>
      </c>
    </row>
    <row r="113">
      <c r="A113" s="15">
        <f t="shared" si="3"/>
        <v>112</v>
      </c>
      <c r="B113" s="15" t="s">
        <v>129</v>
      </c>
      <c r="C113" s="15" t="s">
        <v>40</v>
      </c>
      <c r="D113" s="15">
        <v>55.0</v>
      </c>
      <c r="E113" s="15">
        <v>2.0</v>
      </c>
      <c r="F113" s="15" t="s">
        <v>4983</v>
      </c>
      <c r="G113" s="15" t="s">
        <v>5564</v>
      </c>
      <c r="H113" s="15" t="s">
        <v>2556</v>
      </c>
      <c r="I113" s="15">
        <v>0.0</v>
      </c>
      <c r="J113" s="15" t="s">
        <v>245</v>
      </c>
      <c r="K113" s="15" t="s">
        <v>22</v>
      </c>
      <c r="L113" s="15" t="s">
        <v>225</v>
      </c>
      <c r="M113" s="15" t="s">
        <v>24</v>
      </c>
      <c r="N113" s="16">
        <v>0.25</v>
      </c>
      <c r="O113" s="16">
        <v>0.8</v>
      </c>
      <c r="P113" s="16">
        <v>0.8</v>
      </c>
      <c r="Q113" s="17">
        <v>45396.0</v>
      </c>
      <c r="R113" s="18">
        <v>1.975</v>
      </c>
      <c r="S113" s="15" t="s">
        <v>33</v>
      </c>
      <c r="T113" s="19">
        <f t="shared" si="1"/>
        <v>0.78</v>
      </c>
      <c r="U113" s="19">
        <f t="shared" si="4"/>
        <v>2.901372345</v>
      </c>
    </row>
    <row r="114">
      <c r="A114" s="8">
        <f t="shared" si="3"/>
        <v>113</v>
      </c>
      <c r="B114" s="8" t="s">
        <v>129</v>
      </c>
      <c r="C114" s="8" t="s">
        <v>19</v>
      </c>
      <c r="D114" s="8">
        <v>80.0</v>
      </c>
      <c r="E114" s="8">
        <v>3.0</v>
      </c>
      <c r="F114" s="8" t="s">
        <v>4984</v>
      </c>
      <c r="G114" s="8" t="s">
        <v>5564</v>
      </c>
      <c r="H114" s="8" t="s">
        <v>2660</v>
      </c>
      <c r="I114" s="8">
        <v>0.0</v>
      </c>
      <c r="J114" s="8" t="s">
        <v>463</v>
      </c>
      <c r="K114" s="8" t="s">
        <v>22</v>
      </c>
      <c r="L114" s="8" t="s">
        <v>892</v>
      </c>
      <c r="M114" s="8" t="s">
        <v>24</v>
      </c>
      <c r="N114" s="9">
        <v>0.0</v>
      </c>
      <c r="O114" s="9">
        <v>0.25</v>
      </c>
      <c r="P114" s="9">
        <v>0.25</v>
      </c>
      <c r="Q114" s="10">
        <v>45396.0</v>
      </c>
      <c r="R114" s="11">
        <v>1.95</v>
      </c>
      <c r="S114" s="8" t="s">
        <v>70</v>
      </c>
      <c r="T114" s="12">
        <f t="shared" si="1"/>
        <v>0</v>
      </c>
      <c r="U114" s="12">
        <f t="shared" si="4"/>
        <v>2.901372345</v>
      </c>
    </row>
    <row r="115">
      <c r="A115" s="15">
        <f t="shared" si="3"/>
        <v>114</v>
      </c>
      <c r="B115" s="15" t="s">
        <v>129</v>
      </c>
      <c r="C115" s="15" t="s">
        <v>40</v>
      </c>
      <c r="D115" s="15">
        <v>70.0</v>
      </c>
      <c r="E115" s="15">
        <v>2.0</v>
      </c>
      <c r="F115" s="15" t="s">
        <v>4985</v>
      </c>
      <c r="G115" s="15" t="s">
        <v>5564</v>
      </c>
      <c r="H115" s="15" t="s">
        <v>2556</v>
      </c>
      <c r="I115" s="15">
        <v>-2.0</v>
      </c>
      <c r="J115" s="15" t="s">
        <v>245</v>
      </c>
      <c r="K115" s="15" t="s">
        <v>22</v>
      </c>
      <c r="L115" s="15" t="s">
        <v>225</v>
      </c>
      <c r="M115" s="15" t="s">
        <v>24</v>
      </c>
      <c r="N115" s="16">
        <v>0.25</v>
      </c>
      <c r="O115" s="16">
        <v>0.25</v>
      </c>
      <c r="P115" s="16">
        <v>0.25</v>
      </c>
      <c r="Q115" s="17">
        <v>45396.0</v>
      </c>
      <c r="R115" s="18">
        <v>2.05</v>
      </c>
      <c r="S115" s="15" t="s">
        <v>996</v>
      </c>
      <c r="T115" s="19">
        <f t="shared" si="1"/>
        <v>0.13125</v>
      </c>
      <c r="U115" s="19">
        <f t="shared" si="4"/>
        <v>3.032622345</v>
      </c>
    </row>
    <row r="116">
      <c r="A116" s="8">
        <f t="shared" si="3"/>
        <v>115</v>
      </c>
      <c r="B116" s="8" t="s">
        <v>137</v>
      </c>
      <c r="C116" s="8" t="s">
        <v>19</v>
      </c>
      <c r="D116" s="8">
        <v>25.0</v>
      </c>
      <c r="E116" s="8">
        <v>3.0</v>
      </c>
      <c r="F116" s="8" t="s">
        <v>4986</v>
      </c>
      <c r="G116" s="8" t="s">
        <v>5564</v>
      </c>
      <c r="H116" s="8" t="s">
        <v>2660</v>
      </c>
      <c r="I116" s="8">
        <v>0.0</v>
      </c>
      <c r="J116" s="8" t="s">
        <v>683</v>
      </c>
      <c r="K116" s="8" t="s">
        <v>22</v>
      </c>
      <c r="L116" s="8" t="s">
        <v>1150</v>
      </c>
      <c r="M116" s="8" t="s">
        <v>24</v>
      </c>
      <c r="N116" s="9">
        <v>0.0</v>
      </c>
      <c r="O116" s="9">
        <v>0.5</v>
      </c>
      <c r="P116" s="9">
        <v>0.5</v>
      </c>
      <c r="Q116" s="10">
        <v>45398.0</v>
      </c>
      <c r="R116" s="11">
        <v>1.8</v>
      </c>
      <c r="S116" s="8" t="s">
        <v>70</v>
      </c>
      <c r="T116" s="12">
        <f t="shared" si="1"/>
        <v>0</v>
      </c>
      <c r="U116" s="12">
        <f t="shared" si="4"/>
        <v>3.032622345</v>
      </c>
    </row>
    <row r="117">
      <c r="A117" s="15">
        <f t="shared" si="3"/>
        <v>116</v>
      </c>
      <c r="B117" s="15" t="s">
        <v>137</v>
      </c>
      <c r="C117" s="15" t="s">
        <v>19</v>
      </c>
      <c r="D117" s="15">
        <v>25.0</v>
      </c>
      <c r="E117" s="15">
        <v>3.0</v>
      </c>
      <c r="F117" s="15" t="s">
        <v>4987</v>
      </c>
      <c r="G117" s="15" t="s">
        <v>5564</v>
      </c>
      <c r="H117" s="15" t="s">
        <v>2660</v>
      </c>
      <c r="I117" s="15">
        <v>0.0</v>
      </c>
      <c r="J117" s="15" t="s">
        <v>683</v>
      </c>
      <c r="K117" s="15" t="s">
        <v>22</v>
      </c>
      <c r="L117" s="15" t="s">
        <v>892</v>
      </c>
      <c r="M117" s="15" t="s">
        <v>24</v>
      </c>
      <c r="N117" s="16">
        <v>0.0</v>
      </c>
      <c r="O117" s="16">
        <v>0.5</v>
      </c>
      <c r="P117" s="16">
        <v>0.5</v>
      </c>
      <c r="Q117" s="17">
        <v>45398.0</v>
      </c>
      <c r="R117" s="18">
        <v>1.75</v>
      </c>
      <c r="S117" s="15" t="s">
        <v>70</v>
      </c>
      <c r="T117" s="19">
        <f t="shared" si="1"/>
        <v>0</v>
      </c>
      <c r="U117" s="19">
        <f t="shared" si="4"/>
        <v>3.032622345</v>
      </c>
    </row>
    <row r="118">
      <c r="A118" s="8">
        <f t="shared" si="3"/>
        <v>117</v>
      </c>
      <c r="B118" s="8" t="s">
        <v>137</v>
      </c>
      <c r="C118" s="8" t="s">
        <v>19</v>
      </c>
      <c r="D118" s="8">
        <v>65.0</v>
      </c>
      <c r="E118" s="8">
        <v>10.0</v>
      </c>
      <c r="F118" s="8" t="s">
        <v>4988</v>
      </c>
      <c r="G118" s="8"/>
      <c r="H118" s="8"/>
      <c r="I118" s="8">
        <v>0.0</v>
      </c>
      <c r="J118" s="8" t="s">
        <v>683</v>
      </c>
      <c r="K118" s="8" t="s">
        <v>22</v>
      </c>
      <c r="L118" s="8" t="s">
        <v>440</v>
      </c>
      <c r="M118" s="8" t="s">
        <v>24</v>
      </c>
      <c r="N118" s="9">
        <v>0.75</v>
      </c>
      <c r="O118" s="9">
        <v>0.25</v>
      </c>
      <c r="P118" s="9">
        <v>0.25</v>
      </c>
      <c r="Q118" s="10">
        <v>45398.0</v>
      </c>
      <c r="R118" s="11">
        <v>1.875</v>
      </c>
      <c r="S118" s="8" t="s">
        <v>25</v>
      </c>
      <c r="T118" s="12">
        <f t="shared" si="1"/>
        <v>-0.25</v>
      </c>
      <c r="U118" s="12">
        <f t="shared" si="4"/>
        <v>2.782622345</v>
      </c>
    </row>
    <row r="119">
      <c r="A119" s="15">
        <f t="shared" si="3"/>
        <v>118</v>
      </c>
      <c r="B119" s="15" t="s">
        <v>4225</v>
      </c>
      <c r="C119" s="15" t="s">
        <v>19</v>
      </c>
      <c r="D119" s="15">
        <v>20.0</v>
      </c>
      <c r="E119" s="15">
        <v>3.0</v>
      </c>
      <c r="F119" s="15" t="s">
        <v>4989</v>
      </c>
      <c r="G119" s="15" t="s">
        <v>5564</v>
      </c>
      <c r="H119" s="15" t="s">
        <v>2660</v>
      </c>
      <c r="I119" s="15">
        <v>0.0</v>
      </c>
      <c r="J119" s="15" t="s">
        <v>616</v>
      </c>
      <c r="K119" s="15" t="s">
        <v>22</v>
      </c>
      <c r="L119" s="15" t="s">
        <v>892</v>
      </c>
      <c r="M119" s="15" t="s">
        <v>24</v>
      </c>
      <c r="N119" s="16">
        <v>0.0</v>
      </c>
      <c r="O119" s="16">
        <v>0.6</v>
      </c>
      <c r="P119" s="16">
        <v>0.49</v>
      </c>
      <c r="Q119" s="17">
        <v>45398.0</v>
      </c>
      <c r="R119" s="18">
        <v>1.725</v>
      </c>
      <c r="S119" s="15" t="s">
        <v>25</v>
      </c>
      <c r="T119" s="19">
        <f t="shared" si="1"/>
        <v>-0.49</v>
      </c>
      <c r="U119" s="19">
        <f t="shared" si="4"/>
        <v>2.292622345</v>
      </c>
    </row>
    <row r="120">
      <c r="A120" s="8">
        <f t="shared" si="3"/>
        <v>119</v>
      </c>
      <c r="B120" s="8" t="s">
        <v>4225</v>
      </c>
      <c r="C120" s="8" t="s">
        <v>19</v>
      </c>
      <c r="D120" s="8">
        <v>20.0</v>
      </c>
      <c r="E120" s="8">
        <v>3.0</v>
      </c>
      <c r="F120" s="8" t="s">
        <v>4990</v>
      </c>
      <c r="G120" s="8" t="s">
        <v>5564</v>
      </c>
      <c r="H120" s="8" t="s">
        <v>2660</v>
      </c>
      <c r="I120" s="8">
        <v>0.0</v>
      </c>
      <c r="J120" s="8" t="s">
        <v>616</v>
      </c>
      <c r="K120" s="8" t="s">
        <v>22</v>
      </c>
      <c r="L120" s="8" t="s">
        <v>1150</v>
      </c>
      <c r="M120" s="8" t="s">
        <v>24</v>
      </c>
      <c r="N120" s="9">
        <v>0.0</v>
      </c>
      <c r="O120" s="9">
        <v>0.4</v>
      </c>
      <c r="P120" s="9">
        <v>0.4</v>
      </c>
      <c r="Q120" s="10">
        <v>45398.0</v>
      </c>
      <c r="R120" s="11">
        <v>1.7</v>
      </c>
      <c r="S120" s="8" t="s">
        <v>70</v>
      </c>
      <c r="T120" s="12">
        <f t="shared" si="1"/>
        <v>0</v>
      </c>
      <c r="U120" s="12">
        <f t="shared" si="4"/>
        <v>2.292622345</v>
      </c>
    </row>
    <row r="121">
      <c r="A121" s="15">
        <f t="shared" si="3"/>
        <v>120</v>
      </c>
      <c r="B121" s="15" t="s">
        <v>131</v>
      </c>
      <c r="C121" s="15" t="s">
        <v>19</v>
      </c>
      <c r="D121" s="15">
        <v>88.0</v>
      </c>
      <c r="E121" s="15">
        <v>7.0</v>
      </c>
      <c r="F121" s="15" t="s">
        <v>4991</v>
      </c>
      <c r="G121" s="15"/>
      <c r="H121" s="15"/>
      <c r="I121" s="15"/>
      <c r="J121" s="15" t="s">
        <v>513</v>
      </c>
      <c r="K121" s="15" t="s">
        <v>22</v>
      </c>
      <c r="L121" s="15" t="s">
        <v>2939</v>
      </c>
      <c r="M121" s="15" t="s">
        <v>24</v>
      </c>
      <c r="N121" s="16">
        <v>-7.5</v>
      </c>
      <c r="O121" s="16">
        <v>0.3</v>
      </c>
      <c r="P121" s="16">
        <v>0.3</v>
      </c>
      <c r="Q121" s="17">
        <v>45398.0</v>
      </c>
      <c r="R121" s="18">
        <v>1.85</v>
      </c>
      <c r="S121" s="15" t="s">
        <v>25</v>
      </c>
      <c r="T121" s="19">
        <f t="shared" si="1"/>
        <v>-0.3</v>
      </c>
      <c r="U121" s="19">
        <f t="shared" si="4"/>
        <v>1.992622345</v>
      </c>
    </row>
    <row r="122">
      <c r="A122" s="8">
        <f t="shared" si="3"/>
        <v>121</v>
      </c>
      <c r="B122" s="8" t="s">
        <v>26</v>
      </c>
      <c r="C122" s="8" t="s">
        <v>19</v>
      </c>
      <c r="D122" s="8">
        <v>79.0</v>
      </c>
      <c r="E122" s="8">
        <v>3.0</v>
      </c>
      <c r="F122" s="8" t="s">
        <v>4989</v>
      </c>
      <c r="G122" s="8" t="s">
        <v>5564</v>
      </c>
      <c r="H122" s="8" t="s">
        <v>2660</v>
      </c>
      <c r="I122" s="8">
        <v>-1.0</v>
      </c>
      <c r="J122" s="8" t="s">
        <v>616</v>
      </c>
      <c r="K122" s="8" t="s">
        <v>22</v>
      </c>
      <c r="L122" s="8" t="s">
        <v>892</v>
      </c>
      <c r="M122" s="8" t="s">
        <v>24</v>
      </c>
      <c r="N122" s="9">
        <v>0.0</v>
      </c>
      <c r="O122" s="9">
        <v>0.25</v>
      </c>
      <c r="P122" s="9">
        <v>0.25</v>
      </c>
      <c r="Q122" s="10">
        <v>45398.0</v>
      </c>
      <c r="R122" s="11">
        <v>1.725</v>
      </c>
      <c r="S122" s="8" t="s">
        <v>70</v>
      </c>
      <c r="T122" s="12">
        <f t="shared" si="1"/>
        <v>0</v>
      </c>
      <c r="U122" s="12">
        <f t="shared" si="4"/>
        <v>1.992622345</v>
      </c>
    </row>
    <row r="123">
      <c r="A123" s="15">
        <f t="shared" si="3"/>
        <v>122</v>
      </c>
      <c r="B123" s="15" t="s">
        <v>4225</v>
      </c>
      <c r="C123" s="15" t="s">
        <v>19</v>
      </c>
      <c r="D123" s="15">
        <v>0.0</v>
      </c>
      <c r="E123" s="15">
        <v>8.0</v>
      </c>
      <c r="F123" s="15" t="s">
        <v>4992</v>
      </c>
      <c r="G123" s="15" t="s">
        <v>5564</v>
      </c>
      <c r="H123" s="15" t="s">
        <v>2556</v>
      </c>
      <c r="I123" s="15">
        <v>0.0</v>
      </c>
      <c r="J123" s="15" t="s">
        <v>38</v>
      </c>
      <c r="K123" s="15" t="s">
        <v>598</v>
      </c>
      <c r="L123" s="15" t="s">
        <v>225</v>
      </c>
      <c r="M123" s="15" t="s">
        <v>1851</v>
      </c>
      <c r="N123" s="16">
        <v>0.5</v>
      </c>
      <c r="O123" s="16">
        <v>0.1</v>
      </c>
      <c r="P123" s="16">
        <v>0.03</v>
      </c>
      <c r="Q123" s="17">
        <v>45398.0</v>
      </c>
      <c r="R123" s="18">
        <v>1.8</v>
      </c>
      <c r="S123" s="15" t="s">
        <v>25</v>
      </c>
      <c r="T123" s="19">
        <f t="shared" si="1"/>
        <v>-0.03</v>
      </c>
      <c r="U123" s="19">
        <f t="shared" si="4"/>
        <v>1.962622345</v>
      </c>
    </row>
    <row r="124">
      <c r="A124" s="8">
        <f t="shared" si="3"/>
        <v>123</v>
      </c>
      <c r="B124" s="8" t="s">
        <v>26</v>
      </c>
      <c r="C124" s="8" t="s">
        <v>19</v>
      </c>
      <c r="D124" s="8">
        <v>70.0</v>
      </c>
      <c r="E124" s="8">
        <v>3.0</v>
      </c>
      <c r="F124" s="8" t="s">
        <v>4993</v>
      </c>
      <c r="G124" s="8" t="s">
        <v>5564</v>
      </c>
      <c r="H124" s="8" t="s">
        <v>2660</v>
      </c>
      <c r="I124" s="8">
        <v>-1.0</v>
      </c>
      <c r="J124" s="8" t="s">
        <v>66</v>
      </c>
      <c r="K124" s="8" t="s">
        <v>22</v>
      </c>
      <c r="L124" s="8" t="s">
        <v>892</v>
      </c>
      <c r="M124" s="8" t="s">
        <v>24</v>
      </c>
      <c r="N124" s="9">
        <v>0.0</v>
      </c>
      <c r="O124" s="9">
        <v>0.5</v>
      </c>
      <c r="P124" s="9">
        <v>0.5</v>
      </c>
      <c r="Q124" s="54">
        <v>45399.0</v>
      </c>
      <c r="R124" s="11">
        <v>2.25</v>
      </c>
      <c r="S124" s="8" t="s">
        <v>33</v>
      </c>
      <c r="T124" s="12">
        <f t="shared" si="1"/>
        <v>0.625</v>
      </c>
      <c r="U124" s="12">
        <f t="shared" si="4"/>
        <v>2.587622345</v>
      </c>
    </row>
    <row r="125">
      <c r="A125" s="15">
        <f t="shared" si="3"/>
        <v>124</v>
      </c>
      <c r="B125" s="15" t="s">
        <v>26</v>
      </c>
      <c r="C125" s="15" t="s">
        <v>19</v>
      </c>
      <c r="D125" s="15">
        <v>71.0</v>
      </c>
      <c r="E125" s="15">
        <v>3.0</v>
      </c>
      <c r="F125" s="15" t="s">
        <v>4994</v>
      </c>
      <c r="G125" s="15" t="s">
        <v>5565</v>
      </c>
      <c r="H125" s="15" t="s">
        <v>2660</v>
      </c>
      <c r="I125" s="15">
        <v>0.0</v>
      </c>
      <c r="J125" s="15" t="s">
        <v>853</v>
      </c>
      <c r="K125" s="15" t="s">
        <v>22</v>
      </c>
      <c r="L125" s="15" t="s">
        <v>892</v>
      </c>
      <c r="M125" s="15" t="s">
        <v>24</v>
      </c>
      <c r="N125" s="16">
        <v>0.0</v>
      </c>
      <c r="O125" s="16">
        <v>0.5</v>
      </c>
      <c r="P125" s="16">
        <v>0.5</v>
      </c>
      <c r="Q125" s="17">
        <v>45399.0</v>
      </c>
      <c r="R125" s="18">
        <v>2.05</v>
      </c>
      <c r="S125" s="15" t="s">
        <v>70</v>
      </c>
      <c r="T125" s="19">
        <f t="shared" si="1"/>
        <v>0</v>
      </c>
      <c r="U125" s="19">
        <f t="shared" si="4"/>
        <v>2.587622345</v>
      </c>
    </row>
    <row r="126">
      <c r="A126" s="8">
        <f t="shared" si="3"/>
        <v>125</v>
      </c>
      <c r="B126" s="8" t="s">
        <v>4225</v>
      </c>
      <c r="C126" s="8" t="s">
        <v>19</v>
      </c>
      <c r="D126" s="8">
        <v>65.0</v>
      </c>
      <c r="E126" s="8">
        <v>5.0</v>
      </c>
      <c r="F126" s="8" t="s">
        <v>4995</v>
      </c>
      <c r="G126" s="8" t="s">
        <v>5564</v>
      </c>
      <c r="H126" s="8" t="s">
        <v>2573</v>
      </c>
      <c r="I126" s="8">
        <v>0.0</v>
      </c>
      <c r="J126" s="8" t="s">
        <v>1460</v>
      </c>
      <c r="K126" s="8" t="s">
        <v>22</v>
      </c>
      <c r="L126" s="8" t="s">
        <v>894</v>
      </c>
      <c r="M126" s="8" t="s">
        <v>24</v>
      </c>
      <c r="N126" s="9">
        <v>-0.25</v>
      </c>
      <c r="O126" s="9">
        <v>0.2</v>
      </c>
      <c r="P126" s="9">
        <v>0.2</v>
      </c>
      <c r="Q126" s="10">
        <v>45399.0</v>
      </c>
      <c r="R126" s="11">
        <v>1.95</v>
      </c>
      <c r="S126" s="8" t="s">
        <v>33</v>
      </c>
      <c r="T126" s="12">
        <f t="shared" si="1"/>
        <v>0.19</v>
      </c>
      <c r="U126" s="12">
        <f t="shared" si="4"/>
        <v>2.777622345</v>
      </c>
    </row>
    <row r="127">
      <c r="A127" s="15">
        <f t="shared" si="3"/>
        <v>126</v>
      </c>
      <c r="B127" s="15" t="s">
        <v>4225</v>
      </c>
      <c r="C127" s="15" t="s">
        <v>19</v>
      </c>
      <c r="D127" s="15">
        <v>72.0</v>
      </c>
      <c r="E127" s="15">
        <v>3.0</v>
      </c>
      <c r="F127" s="15" t="s">
        <v>4996</v>
      </c>
      <c r="G127" s="15" t="s">
        <v>5564</v>
      </c>
      <c r="H127" s="15" t="s">
        <v>2660</v>
      </c>
      <c r="I127" s="15">
        <v>0.0</v>
      </c>
      <c r="J127" s="15" t="s">
        <v>101</v>
      </c>
      <c r="K127" s="15" t="s">
        <v>22</v>
      </c>
      <c r="L127" s="15" t="s">
        <v>892</v>
      </c>
      <c r="M127" s="15" t="s">
        <v>24</v>
      </c>
      <c r="N127" s="16">
        <v>0.0</v>
      </c>
      <c r="O127" s="16">
        <v>0.65</v>
      </c>
      <c r="P127" s="16">
        <v>0.65</v>
      </c>
      <c r="Q127" s="55">
        <v>45399.0</v>
      </c>
      <c r="R127" s="18">
        <v>2.0</v>
      </c>
      <c r="S127" s="15" t="s">
        <v>70</v>
      </c>
      <c r="T127" s="19">
        <f t="shared" si="1"/>
        <v>0</v>
      </c>
      <c r="U127" s="19">
        <f t="shared" si="4"/>
        <v>2.777622345</v>
      </c>
    </row>
    <row r="128">
      <c r="A128" s="8">
        <f t="shared" si="3"/>
        <v>127</v>
      </c>
      <c r="B128" s="8" t="s">
        <v>18</v>
      </c>
      <c r="C128" s="8" t="s">
        <v>19</v>
      </c>
      <c r="D128" s="8">
        <v>81.0</v>
      </c>
      <c r="E128" s="8">
        <v>3.0</v>
      </c>
      <c r="F128" s="8" t="s">
        <v>4997</v>
      </c>
      <c r="G128" s="8" t="s">
        <v>5565</v>
      </c>
      <c r="H128" s="8" t="s">
        <v>2660</v>
      </c>
      <c r="I128" s="8">
        <v>0.0</v>
      </c>
      <c r="J128" s="8" t="s">
        <v>68</v>
      </c>
      <c r="K128" s="8" t="s">
        <v>22</v>
      </c>
      <c r="L128" s="8" t="s">
        <v>892</v>
      </c>
      <c r="M128" s="8" t="s">
        <v>24</v>
      </c>
      <c r="N128" s="9">
        <v>0.0</v>
      </c>
      <c r="O128" s="9">
        <v>0.4</v>
      </c>
      <c r="P128" s="9">
        <v>0.4</v>
      </c>
      <c r="Q128" s="10">
        <v>45399.0</v>
      </c>
      <c r="R128" s="11">
        <v>1.9</v>
      </c>
      <c r="S128" s="8" t="s">
        <v>70</v>
      </c>
      <c r="T128" s="12">
        <f t="shared" si="1"/>
        <v>0</v>
      </c>
      <c r="U128" s="12">
        <f t="shared" si="4"/>
        <v>2.777622345</v>
      </c>
    </row>
    <row r="129">
      <c r="A129" s="15">
        <f t="shared" si="3"/>
        <v>128</v>
      </c>
      <c r="B129" s="15" t="s">
        <v>26</v>
      </c>
      <c r="C129" s="15" t="s">
        <v>19</v>
      </c>
      <c r="D129" s="15">
        <v>39.0</v>
      </c>
      <c r="E129" s="15">
        <v>3.0</v>
      </c>
      <c r="F129" s="15" t="s">
        <v>4998</v>
      </c>
      <c r="G129" s="15" t="s">
        <v>5564</v>
      </c>
      <c r="H129" s="15" t="s">
        <v>2660</v>
      </c>
      <c r="I129" s="15">
        <v>0.0</v>
      </c>
      <c r="J129" s="15" t="s">
        <v>82</v>
      </c>
      <c r="K129" s="15" t="s">
        <v>22</v>
      </c>
      <c r="L129" s="15" t="s">
        <v>1150</v>
      </c>
      <c r="M129" s="15" t="s">
        <v>39</v>
      </c>
      <c r="N129" s="16">
        <v>0.0</v>
      </c>
      <c r="O129" s="16">
        <v>0.1</v>
      </c>
      <c r="P129" s="16">
        <v>0.1</v>
      </c>
      <c r="Q129" s="17">
        <v>45399.0</v>
      </c>
      <c r="R129" s="18">
        <v>1.825</v>
      </c>
      <c r="S129" s="15" t="s">
        <v>70</v>
      </c>
      <c r="T129" s="19">
        <f t="shared" si="1"/>
        <v>0</v>
      </c>
      <c r="U129" s="19">
        <f t="shared" si="4"/>
        <v>2.777622345</v>
      </c>
    </row>
    <row r="130">
      <c r="A130" s="8">
        <f t="shared" si="3"/>
        <v>129</v>
      </c>
      <c r="B130" s="8" t="s">
        <v>131</v>
      </c>
      <c r="C130" s="8" t="s">
        <v>19</v>
      </c>
      <c r="D130" s="8">
        <v>85.0</v>
      </c>
      <c r="E130" s="8">
        <v>3.0</v>
      </c>
      <c r="F130" s="8" t="s">
        <v>4999</v>
      </c>
      <c r="G130" s="8" t="s">
        <v>5565</v>
      </c>
      <c r="H130" s="8" t="s">
        <v>2660</v>
      </c>
      <c r="I130" s="8">
        <v>5</v>
      </c>
      <c r="J130" s="8" t="s">
        <v>616</v>
      </c>
      <c r="K130" s="8" t="s">
        <v>22</v>
      </c>
      <c r="L130" s="8" t="s">
        <v>892</v>
      </c>
      <c r="M130" s="8" t="s">
        <v>24</v>
      </c>
      <c r="N130" s="9">
        <v>0.0</v>
      </c>
      <c r="O130" s="9">
        <v>0.25</v>
      </c>
      <c r="P130" s="9">
        <v>0.25</v>
      </c>
      <c r="Q130" s="10">
        <v>45399.0</v>
      </c>
      <c r="R130" s="11">
        <v>1.625</v>
      </c>
      <c r="S130" s="8" t="s">
        <v>33</v>
      </c>
      <c r="T130" s="12">
        <f t="shared" si="1"/>
        <v>0.15625</v>
      </c>
      <c r="U130" s="12">
        <f t="shared" si="4"/>
        <v>2.933872345</v>
      </c>
    </row>
    <row r="131">
      <c r="A131" s="15">
        <f t="shared" si="3"/>
        <v>130</v>
      </c>
      <c r="B131" s="15" t="s">
        <v>129</v>
      </c>
      <c r="C131" s="15" t="s">
        <v>19</v>
      </c>
      <c r="D131" s="15">
        <v>55.0</v>
      </c>
      <c r="E131" s="15">
        <v>2.0</v>
      </c>
      <c r="F131" s="15" t="s">
        <v>5000</v>
      </c>
      <c r="G131" s="15" t="s">
        <v>5565</v>
      </c>
      <c r="H131" s="15" t="s">
        <v>2556</v>
      </c>
      <c r="I131" s="15">
        <v>-1.0</v>
      </c>
      <c r="J131" s="15" t="s">
        <v>5001</v>
      </c>
      <c r="K131" s="15" t="s">
        <v>22</v>
      </c>
      <c r="L131" s="15" t="s">
        <v>225</v>
      </c>
      <c r="M131" s="15" t="s">
        <v>24</v>
      </c>
      <c r="N131" s="16">
        <v>0.5</v>
      </c>
      <c r="O131" s="16">
        <v>0.5</v>
      </c>
      <c r="P131" s="16">
        <v>0.5</v>
      </c>
      <c r="Q131" s="17">
        <v>45399.0</v>
      </c>
      <c r="R131" s="18">
        <v>1.725</v>
      </c>
      <c r="S131" s="15" t="s">
        <v>33</v>
      </c>
      <c r="T131" s="19">
        <f t="shared" si="1"/>
        <v>0.3625</v>
      </c>
      <c r="U131" s="19">
        <f t="shared" si="4"/>
        <v>3.296372345</v>
      </c>
    </row>
    <row r="132">
      <c r="A132" s="8">
        <f t="shared" si="3"/>
        <v>131</v>
      </c>
      <c r="B132" s="8" t="s">
        <v>129</v>
      </c>
      <c r="C132" s="8" t="s">
        <v>19</v>
      </c>
      <c r="D132" s="8">
        <v>55.0</v>
      </c>
      <c r="E132" s="8">
        <v>2.0</v>
      </c>
      <c r="F132" s="8" t="s">
        <v>5000</v>
      </c>
      <c r="G132" s="8" t="s">
        <v>5565</v>
      </c>
      <c r="H132" s="8" t="s">
        <v>2556</v>
      </c>
      <c r="I132" s="8">
        <v>-1.0</v>
      </c>
      <c r="J132" s="8" t="s">
        <v>5001</v>
      </c>
      <c r="K132" s="8" t="s">
        <v>22</v>
      </c>
      <c r="L132" s="8" t="s">
        <v>225</v>
      </c>
      <c r="M132" s="8" t="s">
        <v>24</v>
      </c>
      <c r="N132" s="9">
        <v>0.25</v>
      </c>
      <c r="O132" s="9">
        <v>0.25</v>
      </c>
      <c r="P132" s="9">
        <v>0.25</v>
      </c>
      <c r="Q132" s="10">
        <v>45399.0</v>
      </c>
      <c r="R132" s="11">
        <v>1.725</v>
      </c>
      <c r="S132" s="8" t="s">
        <v>996</v>
      </c>
      <c r="T132" s="12">
        <f t="shared" si="1"/>
        <v>0.090625</v>
      </c>
      <c r="U132" s="12">
        <f t="shared" si="4"/>
        <v>3.386997345</v>
      </c>
    </row>
    <row r="133">
      <c r="A133" s="15">
        <f t="shared" si="3"/>
        <v>132</v>
      </c>
      <c r="B133" s="15" t="s">
        <v>129</v>
      </c>
      <c r="C133" s="15" t="s">
        <v>19</v>
      </c>
      <c r="D133" s="15">
        <v>60.0</v>
      </c>
      <c r="E133" s="15">
        <v>2.0</v>
      </c>
      <c r="F133" s="15" t="s">
        <v>5002</v>
      </c>
      <c r="G133" s="15" t="s">
        <v>5565</v>
      </c>
      <c r="H133" s="15" t="s">
        <v>2556</v>
      </c>
      <c r="I133" s="15">
        <v>-1.0</v>
      </c>
      <c r="J133" s="15" t="s">
        <v>5001</v>
      </c>
      <c r="K133" s="15" t="s">
        <v>22</v>
      </c>
      <c r="L133" s="15" t="s">
        <v>892</v>
      </c>
      <c r="M133" s="15" t="s">
        <v>24</v>
      </c>
      <c r="N133" s="16">
        <v>0.0</v>
      </c>
      <c r="O133" s="16">
        <v>0.1</v>
      </c>
      <c r="P133" s="16">
        <v>0.1</v>
      </c>
      <c r="Q133" s="17">
        <v>45399.0</v>
      </c>
      <c r="R133" s="18">
        <v>2.475</v>
      </c>
      <c r="S133" s="15" t="s">
        <v>70</v>
      </c>
      <c r="T133" s="19">
        <f t="shared" si="1"/>
        <v>0</v>
      </c>
      <c r="U133" s="19">
        <f t="shared" si="4"/>
        <v>3.386997345</v>
      </c>
    </row>
    <row r="134">
      <c r="A134" s="8">
        <f t="shared" si="3"/>
        <v>133</v>
      </c>
      <c r="B134" s="8" t="s">
        <v>26</v>
      </c>
      <c r="C134" s="8" t="s">
        <v>19</v>
      </c>
      <c r="D134" s="8">
        <v>55.0</v>
      </c>
      <c r="E134" s="8">
        <v>3.0</v>
      </c>
      <c r="F134" s="8" t="s">
        <v>5003</v>
      </c>
      <c r="G134" s="8" t="s">
        <v>5565</v>
      </c>
      <c r="H134" s="8" t="s">
        <v>2660</v>
      </c>
      <c r="I134" s="8">
        <v>0.0</v>
      </c>
      <c r="J134" s="8" t="s">
        <v>231</v>
      </c>
      <c r="K134" s="8" t="s">
        <v>22</v>
      </c>
      <c r="L134" s="8" t="s">
        <v>892</v>
      </c>
      <c r="M134" s="8" t="s">
        <v>24</v>
      </c>
      <c r="N134" s="9">
        <v>0.0</v>
      </c>
      <c r="O134" s="9">
        <v>0.5</v>
      </c>
      <c r="P134" s="9">
        <v>0.5</v>
      </c>
      <c r="Q134" s="10">
        <v>45400.0</v>
      </c>
      <c r="R134" s="11">
        <v>1.825</v>
      </c>
      <c r="S134" s="8" t="s">
        <v>70</v>
      </c>
      <c r="T134" s="12">
        <f t="shared" si="1"/>
        <v>0</v>
      </c>
      <c r="U134" s="12">
        <f t="shared" si="4"/>
        <v>3.386997345</v>
      </c>
    </row>
    <row r="135">
      <c r="A135" s="15">
        <f t="shared" si="3"/>
        <v>134</v>
      </c>
      <c r="B135" s="15" t="s">
        <v>18</v>
      </c>
      <c r="C135" s="15" t="s">
        <v>19</v>
      </c>
      <c r="D135" s="15">
        <v>73.0</v>
      </c>
      <c r="E135" s="15">
        <v>3.0</v>
      </c>
      <c r="F135" s="15" t="s">
        <v>5004</v>
      </c>
      <c r="G135" s="15" t="s">
        <v>5564</v>
      </c>
      <c r="H135" s="15" t="s">
        <v>2660</v>
      </c>
      <c r="I135" s="15">
        <v>0.0</v>
      </c>
      <c r="J135" s="15" t="s">
        <v>248</v>
      </c>
      <c r="K135" s="15" t="s">
        <v>22</v>
      </c>
      <c r="L135" s="15" t="s">
        <v>892</v>
      </c>
      <c r="M135" s="15" t="s">
        <v>24</v>
      </c>
      <c r="N135" s="16">
        <v>0.0</v>
      </c>
      <c r="O135" s="16">
        <v>0.5</v>
      </c>
      <c r="P135" s="16">
        <v>0.5</v>
      </c>
      <c r="Q135" s="17">
        <v>45400.0</v>
      </c>
      <c r="R135" s="18">
        <v>1.725</v>
      </c>
      <c r="S135" s="15" t="s">
        <v>70</v>
      </c>
      <c r="T135" s="19">
        <f t="shared" si="1"/>
        <v>0</v>
      </c>
      <c r="U135" s="19">
        <f t="shared" si="4"/>
        <v>3.386997345</v>
      </c>
    </row>
    <row r="136">
      <c r="A136" s="8">
        <f t="shared" si="3"/>
        <v>135</v>
      </c>
      <c r="B136" s="8" t="s">
        <v>129</v>
      </c>
      <c r="C136" s="8" t="s">
        <v>19</v>
      </c>
      <c r="D136" s="8">
        <v>75.0</v>
      </c>
      <c r="E136" s="8">
        <v>3.0</v>
      </c>
      <c r="F136" s="8" t="s">
        <v>5005</v>
      </c>
      <c r="G136" s="8" t="s">
        <v>5564</v>
      </c>
      <c r="H136" s="8" t="s">
        <v>2660</v>
      </c>
      <c r="I136" s="8">
        <v>0.0</v>
      </c>
      <c r="J136" s="8" t="s">
        <v>487</v>
      </c>
      <c r="K136" s="8" t="s">
        <v>22</v>
      </c>
      <c r="L136" s="8" t="s">
        <v>892</v>
      </c>
      <c r="M136" s="8" t="s">
        <v>24</v>
      </c>
      <c r="N136" s="9">
        <v>0.0</v>
      </c>
      <c r="O136" s="9">
        <v>0.5</v>
      </c>
      <c r="P136" s="9">
        <v>0.5</v>
      </c>
      <c r="Q136" s="10">
        <v>45401.0</v>
      </c>
      <c r="R136" s="11">
        <v>1.75</v>
      </c>
      <c r="S136" s="8" t="s">
        <v>33</v>
      </c>
      <c r="T136" s="12">
        <f t="shared" si="1"/>
        <v>0.375</v>
      </c>
      <c r="U136" s="12">
        <f t="shared" si="4"/>
        <v>3.761997345</v>
      </c>
    </row>
    <row r="137">
      <c r="A137" s="15">
        <f t="shared" si="3"/>
        <v>136</v>
      </c>
      <c r="B137" s="15" t="s">
        <v>18</v>
      </c>
      <c r="C137" s="15" t="s">
        <v>19</v>
      </c>
      <c r="D137" s="15">
        <v>30.0</v>
      </c>
      <c r="E137" s="15">
        <v>3.0</v>
      </c>
      <c r="F137" s="15" t="s">
        <v>5006</v>
      </c>
      <c r="G137" s="15" t="s">
        <v>5564</v>
      </c>
      <c r="H137" s="15" t="s">
        <v>2660</v>
      </c>
      <c r="I137" s="15">
        <v>-1.0</v>
      </c>
      <c r="J137" s="15" t="s">
        <v>675</v>
      </c>
      <c r="K137" s="15" t="s">
        <v>22</v>
      </c>
      <c r="L137" s="15" t="s">
        <v>1150</v>
      </c>
      <c r="M137" s="15" t="s">
        <v>24</v>
      </c>
      <c r="N137" s="16">
        <v>0.0</v>
      </c>
      <c r="O137" s="16">
        <v>0.6</v>
      </c>
      <c r="P137" s="16">
        <v>0.6</v>
      </c>
      <c r="Q137" s="17">
        <v>45401.0</v>
      </c>
      <c r="R137" s="18">
        <v>1.7</v>
      </c>
      <c r="S137" s="15" t="s">
        <v>70</v>
      </c>
      <c r="T137" s="19">
        <f t="shared" si="1"/>
        <v>0</v>
      </c>
      <c r="U137" s="19">
        <f t="shared" si="4"/>
        <v>3.761997345</v>
      </c>
    </row>
    <row r="138">
      <c r="A138" s="8">
        <f t="shared" si="3"/>
        <v>137</v>
      </c>
      <c r="B138" s="8" t="s">
        <v>137</v>
      </c>
      <c r="C138" s="8" t="s">
        <v>19</v>
      </c>
      <c r="D138" s="8">
        <v>60.0</v>
      </c>
      <c r="E138" s="8">
        <v>3.0</v>
      </c>
      <c r="F138" s="8" t="s">
        <v>5007</v>
      </c>
      <c r="G138" s="8" t="s">
        <v>5564</v>
      </c>
      <c r="H138" s="8" t="s">
        <v>2660</v>
      </c>
      <c r="I138" s="8">
        <v>0.0</v>
      </c>
      <c r="J138" s="8" t="s">
        <v>42</v>
      </c>
      <c r="K138" s="8" t="s">
        <v>22</v>
      </c>
      <c r="L138" s="8" t="s">
        <v>892</v>
      </c>
      <c r="M138" s="8" t="s">
        <v>24</v>
      </c>
      <c r="N138" s="9">
        <v>0.0</v>
      </c>
      <c r="O138" s="9">
        <v>1.0</v>
      </c>
      <c r="P138" s="9">
        <v>1.0</v>
      </c>
      <c r="Q138" s="54">
        <v>45401.0</v>
      </c>
      <c r="R138" s="11">
        <v>1.85</v>
      </c>
      <c r="S138" s="8" t="s">
        <v>33</v>
      </c>
      <c r="T138" s="12">
        <f t="shared" si="1"/>
        <v>0.85</v>
      </c>
      <c r="U138" s="12">
        <f t="shared" si="4"/>
        <v>4.611997345</v>
      </c>
    </row>
    <row r="139">
      <c r="A139" s="15">
        <f t="shared" si="3"/>
        <v>138</v>
      </c>
      <c r="B139" s="15" t="s">
        <v>18</v>
      </c>
      <c r="C139" s="15" t="s">
        <v>19</v>
      </c>
      <c r="D139" s="139">
        <v>62.0</v>
      </c>
      <c r="E139" s="139"/>
      <c r="F139" s="15" t="s">
        <v>5008</v>
      </c>
      <c r="G139" s="15" t="s">
        <v>5564</v>
      </c>
      <c r="H139" s="15" t="s">
        <v>2556</v>
      </c>
      <c r="I139" s="15">
        <v>-1.0</v>
      </c>
      <c r="J139" s="15" t="s">
        <v>1006</v>
      </c>
      <c r="K139" s="15" t="s">
        <v>22</v>
      </c>
      <c r="L139" s="15" t="s">
        <v>225</v>
      </c>
      <c r="M139" s="15" t="s">
        <v>24</v>
      </c>
      <c r="N139" s="16">
        <v>0.25</v>
      </c>
      <c r="O139" s="16">
        <v>0.2</v>
      </c>
      <c r="P139" s="16">
        <v>0.2</v>
      </c>
      <c r="Q139" s="17">
        <v>45401.0</v>
      </c>
      <c r="R139" s="18">
        <v>1.7</v>
      </c>
      <c r="S139" s="15" t="s">
        <v>25</v>
      </c>
      <c r="T139" s="19">
        <f t="shared" si="1"/>
        <v>-0.2</v>
      </c>
      <c r="U139" s="19">
        <f t="shared" si="4"/>
        <v>4.411997345</v>
      </c>
    </row>
    <row r="140">
      <c r="A140" s="8">
        <f t="shared" si="3"/>
        <v>139</v>
      </c>
      <c r="B140" s="8" t="s">
        <v>18</v>
      </c>
      <c r="C140" s="8" t="s">
        <v>19</v>
      </c>
      <c r="D140" s="8">
        <v>75.0</v>
      </c>
      <c r="E140" s="8"/>
      <c r="F140" s="8" t="s">
        <v>5009</v>
      </c>
      <c r="G140" s="8" t="s">
        <v>5564</v>
      </c>
      <c r="H140" s="8" t="s">
        <v>2660</v>
      </c>
      <c r="I140" s="8">
        <v>-1.0</v>
      </c>
      <c r="J140" s="8" t="s">
        <v>1006</v>
      </c>
      <c r="K140" s="8" t="s">
        <v>22</v>
      </c>
      <c r="L140" s="8" t="s">
        <v>892</v>
      </c>
      <c r="M140" s="8" t="s">
        <v>24</v>
      </c>
      <c r="N140" s="9">
        <v>0.0</v>
      </c>
      <c r="O140" s="9">
        <v>0.2</v>
      </c>
      <c r="P140" s="9">
        <v>0.08</v>
      </c>
      <c r="Q140" s="10">
        <v>45401.0</v>
      </c>
      <c r="R140" s="11">
        <v>1.95</v>
      </c>
      <c r="S140" s="8" t="s">
        <v>25</v>
      </c>
      <c r="T140" s="12">
        <f t="shared" si="1"/>
        <v>-0.08</v>
      </c>
      <c r="U140" s="12">
        <f t="shared" si="4"/>
        <v>4.331997345</v>
      </c>
    </row>
    <row r="141">
      <c r="A141" s="15">
        <f t="shared" si="3"/>
        <v>140</v>
      </c>
      <c r="B141" s="15" t="s">
        <v>26</v>
      </c>
      <c r="C141" s="15" t="s">
        <v>19</v>
      </c>
      <c r="D141" s="15">
        <v>71.0</v>
      </c>
      <c r="E141" s="15"/>
      <c r="F141" s="15" t="s">
        <v>5010</v>
      </c>
      <c r="G141" s="15" t="s">
        <v>5564</v>
      </c>
      <c r="H141" s="15" t="s">
        <v>2660</v>
      </c>
      <c r="I141" s="15">
        <f t="shared" ref="I141:I142" si="8">1</f>
        <v>1</v>
      </c>
      <c r="J141" s="15" t="s">
        <v>432</v>
      </c>
      <c r="K141" s="15" t="s">
        <v>22</v>
      </c>
      <c r="L141" s="15" t="s">
        <v>892</v>
      </c>
      <c r="M141" s="15" t="s">
        <v>24</v>
      </c>
      <c r="N141" s="16">
        <v>0.0</v>
      </c>
      <c r="O141" s="16">
        <v>0.6</v>
      </c>
      <c r="P141" s="16">
        <v>0.56</v>
      </c>
      <c r="Q141" s="55">
        <v>45401.0</v>
      </c>
      <c r="R141" s="18">
        <v>1.7</v>
      </c>
      <c r="S141" s="15" t="s">
        <v>70</v>
      </c>
      <c r="T141" s="19">
        <f t="shared" si="1"/>
        <v>0</v>
      </c>
      <c r="U141" s="19">
        <f t="shared" si="4"/>
        <v>4.331997345</v>
      </c>
    </row>
    <row r="142">
      <c r="A142" s="8">
        <f t="shared" si="3"/>
        <v>141</v>
      </c>
      <c r="B142" s="8" t="s">
        <v>26</v>
      </c>
      <c r="C142" s="8" t="s">
        <v>19</v>
      </c>
      <c r="D142" s="8">
        <v>90.0</v>
      </c>
      <c r="E142" s="8"/>
      <c r="F142" s="8" t="s">
        <v>5011</v>
      </c>
      <c r="G142" s="8"/>
      <c r="H142" s="8"/>
      <c r="I142" s="8">
        <f t="shared" si="8"/>
        <v>1</v>
      </c>
      <c r="J142" s="8" t="s">
        <v>432</v>
      </c>
      <c r="K142" s="8" t="s">
        <v>22</v>
      </c>
      <c r="L142" s="8" t="s">
        <v>4974</v>
      </c>
      <c r="M142" s="8" t="s">
        <v>24</v>
      </c>
      <c r="N142" s="9">
        <v>1.5</v>
      </c>
      <c r="O142" s="9">
        <v>0.06</v>
      </c>
      <c r="P142" s="9">
        <v>0.06</v>
      </c>
      <c r="Q142" s="10">
        <v>45401.0</v>
      </c>
      <c r="R142" s="11">
        <v>6.8</v>
      </c>
      <c r="S142" s="8" t="s">
        <v>25</v>
      </c>
      <c r="T142" s="12">
        <f t="shared" si="1"/>
        <v>-0.06</v>
      </c>
      <c r="U142" s="12">
        <f t="shared" si="4"/>
        <v>4.271997345</v>
      </c>
    </row>
    <row r="143">
      <c r="A143" s="15">
        <f t="shared" si="3"/>
        <v>142</v>
      </c>
      <c r="B143" s="15" t="s">
        <v>18</v>
      </c>
      <c r="C143" s="15" t="s">
        <v>19</v>
      </c>
      <c r="D143" s="15">
        <v>49.0</v>
      </c>
      <c r="E143" s="15"/>
      <c r="F143" s="15" t="s">
        <v>5012</v>
      </c>
      <c r="G143" s="15" t="s">
        <v>5565</v>
      </c>
      <c r="H143" s="15" t="s">
        <v>2556</v>
      </c>
      <c r="I143" s="15">
        <v>0.0</v>
      </c>
      <c r="J143" s="15" t="s">
        <v>82</v>
      </c>
      <c r="K143" s="15" t="s">
        <v>22</v>
      </c>
      <c r="L143" s="15" t="s">
        <v>225</v>
      </c>
      <c r="M143" s="15" t="s">
        <v>24</v>
      </c>
      <c r="N143" s="16">
        <v>0.5</v>
      </c>
      <c r="O143" s="16">
        <v>1.0</v>
      </c>
      <c r="P143" s="16">
        <v>1.0</v>
      </c>
      <c r="Q143" s="17">
        <v>45401.0</v>
      </c>
      <c r="R143" s="18">
        <v>1.8</v>
      </c>
      <c r="S143" s="15" t="s">
        <v>33</v>
      </c>
      <c r="T143" s="19">
        <f t="shared" si="1"/>
        <v>0.8</v>
      </c>
      <c r="U143" s="19">
        <f t="shared" si="4"/>
        <v>5.071997345</v>
      </c>
    </row>
    <row r="144">
      <c r="A144" s="8">
        <f t="shared" si="3"/>
        <v>143</v>
      </c>
      <c r="B144" s="8" t="s">
        <v>18</v>
      </c>
      <c r="C144" s="8" t="s">
        <v>19</v>
      </c>
      <c r="D144" s="8">
        <v>86.0</v>
      </c>
      <c r="E144" s="8"/>
      <c r="F144" s="8" t="s">
        <v>5013</v>
      </c>
      <c r="G144" s="8" t="s">
        <v>5564</v>
      </c>
      <c r="H144" s="8" t="s">
        <v>2556</v>
      </c>
      <c r="I144" s="8">
        <v>0.0</v>
      </c>
      <c r="J144" s="8" t="s">
        <v>82</v>
      </c>
      <c r="K144" s="8" t="s">
        <v>22</v>
      </c>
      <c r="L144" s="8" t="s">
        <v>1847</v>
      </c>
      <c r="M144" s="8" t="s">
        <v>24</v>
      </c>
      <c r="N144" s="9">
        <v>-0.5</v>
      </c>
      <c r="O144" s="9">
        <v>0.3</v>
      </c>
      <c r="P144" s="9">
        <v>0.27</v>
      </c>
      <c r="Q144" s="10">
        <v>45401.0</v>
      </c>
      <c r="R144" s="11">
        <v>4.0</v>
      </c>
      <c r="S144" s="8" t="s">
        <v>25</v>
      </c>
      <c r="T144" s="12">
        <f t="shared" si="1"/>
        <v>-0.27</v>
      </c>
      <c r="U144" s="12">
        <f t="shared" si="4"/>
        <v>4.801997345</v>
      </c>
    </row>
    <row r="145">
      <c r="A145" s="15">
        <f t="shared" si="3"/>
        <v>144</v>
      </c>
      <c r="B145" s="15" t="s">
        <v>4225</v>
      </c>
      <c r="C145" s="15" t="s">
        <v>19</v>
      </c>
      <c r="D145" s="15">
        <v>77.0</v>
      </c>
      <c r="E145" s="15"/>
      <c r="F145" s="15" t="s">
        <v>5014</v>
      </c>
      <c r="G145" s="15" t="s">
        <v>5565</v>
      </c>
      <c r="H145" s="15" t="s">
        <v>2660</v>
      </c>
      <c r="I145" s="15">
        <v>-3.0</v>
      </c>
      <c r="J145" s="15" t="s">
        <v>487</v>
      </c>
      <c r="K145" s="15" t="s">
        <v>22</v>
      </c>
      <c r="L145" s="15" t="s">
        <v>892</v>
      </c>
      <c r="M145" s="15" t="s">
        <v>24</v>
      </c>
      <c r="N145" s="16">
        <v>0.0</v>
      </c>
      <c r="O145" s="16">
        <v>0.5</v>
      </c>
      <c r="P145" s="16">
        <v>0.5</v>
      </c>
      <c r="Q145" s="17">
        <v>45402.0</v>
      </c>
      <c r="R145" s="18">
        <v>1.9</v>
      </c>
      <c r="S145" s="15" t="s">
        <v>70</v>
      </c>
      <c r="T145" s="19">
        <f t="shared" si="1"/>
        <v>0</v>
      </c>
      <c r="U145" s="19">
        <f t="shared" si="4"/>
        <v>4.801997345</v>
      </c>
    </row>
    <row r="146">
      <c r="A146" s="8">
        <f t="shared" si="3"/>
        <v>145</v>
      </c>
      <c r="B146" s="8" t="s">
        <v>26</v>
      </c>
      <c r="C146" s="8" t="s">
        <v>19</v>
      </c>
      <c r="D146" s="8">
        <v>65.0</v>
      </c>
      <c r="E146" s="8"/>
      <c r="F146" s="8" t="s">
        <v>5015</v>
      </c>
      <c r="G146" s="8" t="s">
        <v>5564</v>
      </c>
      <c r="H146" s="8" t="s">
        <v>2660</v>
      </c>
      <c r="I146" s="8">
        <v>-2.0</v>
      </c>
      <c r="J146" s="8" t="s">
        <v>448</v>
      </c>
      <c r="K146" s="8" t="s">
        <v>22</v>
      </c>
      <c r="L146" s="8" t="s">
        <v>892</v>
      </c>
      <c r="M146" s="8" t="s">
        <v>24</v>
      </c>
      <c r="N146" s="9">
        <v>0.0</v>
      </c>
      <c r="O146" s="9">
        <v>0.5</v>
      </c>
      <c r="P146" s="9">
        <v>0.49</v>
      </c>
      <c r="Q146" s="10">
        <v>45402.0</v>
      </c>
      <c r="R146" s="11">
        <v>1.9</v>
      </c>
      <c r="S146" s="8" t="s">
        <v>25</v>
      </c>
      <c r="T146" s="12">
        <f t="shared" si="1"/>
        <v>-0.49</v>
      </c>
      <c r="U146" s="12">
        <f t="shared" si="4"/>
        <v>4.311997345</v>
      </c>
    </row>
    <row r="147">
      <c r="A147" s="15">
        <f t="shared" si="3"/>
        <v>146</v>
      </c>
      <c r="B147" s="15" t="s">
        <v>4225</v>
      </c>
      <c r="C147" s="15" t="s">
        <v>19</v>
      </c>
      <c r="D147" s="15">
        <v>70.0</v>
      </c>
      <c r="E147" s="15"/>
      <c r="F147" s="15" t="s">
        <v>5016</v>
      </c>
      <c r="G147" s="15" t="s">
        <v>5564</v>
      </c>
      <c r="H147" s="15" t="s">
        <v>2556</v>
      </c>
      <c r="I147" s="15">
        <v>0.0</v>
      </c>
      <c r="J147" s="15" t="s">
        <v>820</v>
      </c>
      <c r="K147" s="15" t="s">
        <v>22</v>
      </c>
      <c r="L147" s="15" t="s">
        <v>225</v>
      </c>
      <c r="M147" s="15" t="s">
        <v>24</v>
      </c>
      <c r="N147" s="16">
        <v>0.25</v>
      </c>
      <c r="O147" s="16">
        <v>0.4</v>
      </c>
      <c r="P147" s="16">
        <v>0.35</v>
      </c>
      <c r="Q147" s="17">
        <v>45402.0</v>
      </c>
      <c r="R147" s="18">
        <v>1.85</v>
      </c>
      <c r="S147" s="15" t="s">
        <v>996</v>
      </c>
      <c r="T147" s="19">
        <f t="shared" si="1"/>
        <v>0.14875</v>
      </c>
      <c r="U147" s="19">
        <f t="shared" si="4"/>
        <v>4.460747345</v>
      </c>
    </row>
    <row r="148">
      <c r="A148" s="8">
        <f t="shared" si="3"/>
        <v>147</v>
      </c>
      <c r="B148" s="8" t="s">
        <v>129</v>
      </c>
      <c r="C148" s="8" t="s">
        <v>19</v>
      </c>
      <c r="D148" s="8">
        <v>72.0</v>
      </c>
      <c r="E148" s="8"/>
      <c r="F148" s="8" t="s">
        <v>5017</v>
      </c>
      <c r="G148" s="8" t="s">
        <v>5564</v>
      </c>
      <c r="H148" s="8" t="s">
        <v>2660</v>
      </c>
      <c r="I148" s="8">
        <v>-2.0</v>
      </c>
      <c r="J148" s="8" t="s">
        <v>93</v>
      </c>
      <c r="K148" s="8" t="s">
        <v>22</v>
      </c>
      <c r="L148" s="8" t="s">
        <v>892</v>
      </c>
      <c r="M148" s="8" t="s">
        <v>24</v>
      </c>
      <c r="N148" s="9">
        <v>0.0</v>
      </c>
      <c r="O148" s="9">
        <v>0.6</v>
      </c>
      <c r="P148" s="9">
        <v>0.59</v>
      </c>
      <c r="Q148" s="10">
        <v>45402.0</v>
      </c>
      <c r="R148" s="11">
        <v>1.9</v>
      </c>
      <c r="S148" s="8" t="s">
        <v>70</v>
      </c>
      <c r="T148" s="12">
        <f t="shared" si="1"/>
        <v>0</v>
      </c>
      <c r="U148" s="12">
        <f t="shared" si="4"/>
        <v>4.460747345</v>
      </c>
    </row>
    <row r="149">
      <c r="A149" s="15">
        <f t="shared" si="3"/>
        <v>148</v>
      </c>
      <c r="B149" s="15" t="s">
        <v>129</v>
      </c>
      <c r="C149" s="15" t="s">
        <v>19</v>
      </c>
      <c r="D149" s="15">
        <v>77.0</v>
      </c>
      <c r="E149" s="15"/>
      <c r="F149" s="15" t="s">
        <v>5018</v>
      </c>
      <c r="G149" s="15" t="s">
        <v>5564</v>
      </c>
      <c r="H149" s="15" t="s">
        <v>2660</v>
      </c>
      <c r="I149" s="15">
        <v>-1.0</v>
      </c>
      <c r="J149" s="15" t="s">
        <v>44</v>
      </c>
      <c r="K149" s="15" t="s">
        <v>22</v>
      </c>
      <c r="L149" s="15" t="s">
        <v>892</v>
      </c>
      <c r="M149" s="15" t="s">
        <v>24</v>
      </c>
      <c r="N149" s="16">
        <v>0.0</v>
      </c>
      <c r="O149" s="16">
        <v>0.6</v>
      </c>
      <c r="P149" s="16">
        <v>0.6</v>
      </c>
      <c r="Q149" s="17">
        <v>45402.0</v>
      </c>
      <c r="R149" s="18">
        <v>1.9</v>
      </c>
      <c r="S149" s="15" t="s">
        <v>70</v>
      </c>
      <c r="T149" s="19">
        <f t="shared" si="1"/>
        <v>0</v>
      </c>
      <c r="U149" s="19">
        <f t="shared" si="4"/>
        <v>4.460747345</v>
      </c>
    </row>
    <row r="150">
      <c r="A150" s="8">
        <f t="shared" si="3"/>
        <v>149</v>
      </c>
      <c r="B150" s="8" t="s">
        <v>4225</v>
      </c>
      <c r="C150" s="8" t="s">
        <v>19</v>
      </c>
      <c r="D150" s="8">
        <v>80.0</v>
      </c>
      <c r="E150" s="8"/>
      <c r="F150" s="8" t="s">
        <v>5019</v>
      </c>
      <c r="G150" s="8" t="s">
        <v>5565</v>
      </c>
      <c r="H150" s="8" t="s">
        <v>2660</v>
      </c>
      <c r="I150" s="8">
        <v>0.0</v>
      </c>
      <c r="J150" s="8" t="s">
        <v>44</v>
      </c>
      <c r="K150" s="8" t="s">
        <v>22</v>
      </c>
      <c r="L150" s="8" t="s">
        <v>892</v>
      </c>
      <c r="M150" s="8" t="s">
        <v>24</v>
      </c>
      <c r="N150" s="9">
        <v>0.0</v>
      </c>
      <c r="O150" s="9">
        <v>0.55</v>
      </c>
      <c r="P150" s="9">
        <v>0.55</v>
      </c>
      <c r="Q150" s="10">
        <v>45402.0</v>
      </c>
      <c r="R150" s="11">
        <v>1.625</v>
      </c>
      <c r="S150" s="8" t="s">
        <v>70</v>
      </c>
      <c r="T150" s="12">
        <f t="shared" si="1"/>
        <v>0</v>
      </c>
      <c r="U150" s="12">
        <f t="shared" si="4"/>
        <v>4.460747345</v>
      </c>
    </row>
    <row r="151">
      <c r="A151" s="15">
        <f t="shared" si="3"/>
        <v>150</v>
      </c>
      <c r="B151" s="15" t="s">
        <v>18</v>
      </c>
      <c r="C151" s="15" t="s">
        <v>19</v>
      </c>
      <c r="D151" s="15">
        <v>21.0</v>
      </c>
      <c r="E151" s="15"/>
      <c r="F151" s="15" t="s">
        <v>5020</v>
      </c>
      <c r="G151" s="15" t="s">
        <v>5564</v>
      </c>
      <c r="H151" s="15" t="s">
        <v>2660</v>
      </c>
      <c r="I151" s="15">
        <v>0.0</v>
      </c>
      <c r="J151" s="147" t="s">
        <v>2667</v>
      </c>
      <c r="K151" s="15" t="s">
        <v>22</v>
      </c>
      <c r="L151" s="15" t="s">
        <v>1150</v>
      </c>
      <c r="M151" s="15" t="s">
        <v>24</v>
      </c>
      <c r="N151" s="16">
        <v>0.0</v>
      </c>
      <c r="O151" s="16">
        <v>0.4</v>
      </c>
      <c r="P151" s="16">
        <v>0.4</v>
      </c>
      <c r="Q151" s="17">
        <v>45402.0</v>
      </c>
      <c r="R151" s="18">
        <v>1.95</v>
      </c>
      <c r="S151" s="15" t="s">
        <v>70</v>
      </c>
      <c r="T151" s="19">
        <f t="shared" si="1"/>
        <v>0</v>
      </c>
      <c r="U151" s="19">
        <f t="shared" si="4"/>
        <v>4.460747345</v>
      </c>
    </row>
    <row r="152">
      <c r="A152" s="8">
        <f t="shared" si="3"/>
        <v>151</v>
      </c>
      <c r="B152" s="8" t="s">
        <v>137</v>
      </c>
      <c r="C152" s="8" t="s">
        <v>19</v>
      </c>
      <c r="D152" s="8">
        <v>71.0</v>
      </c>
      <c r="E152" s="8"/>
      <c r="F152" s="8" t="s">
        <v>5021</v>
      </c>
      <c r="G152" s="8" t="s">
        <v>5565</v>
      </c>
      <c r="H152" s="8" t="s">
        <v>2660</v>
      </c>
      <c r="I152" s="8">
        <v>0.0</v>
      </c>
      <c r="J152" s="8" t="s">
        <v>683</v>
      </c>
      <c r="K152" s="8" t="s">
        <v>22</v>
      </c>
      <c r="L152" s="8" t="s">
        <v>892</v>
      </c>
      <c r="M152" s="8" t="s">
        <v>24</v>
      </c>
      <c r="N152" s="9">
        <v>0.0</v>
      </c>
      <c r="O152" s="9">
        <v>1.0</v>
      </c>
      <c r="P152" s="9">
        <v>1.0</v>
      </c>
      <c r="Q152" s="10">
        <v>45402.0</v>
      </c>
      <c r="R152" s="11">
        <v>1.7</v>
      </c>
      <c r="S152" s="8" t="s">
        <v>70</v>
      </c>
      <c r="T152" s="12">
        <f t="shared" si="1"/>
        <v>0</v>
      </c>
      <c r="U152" s="12">
        <f t="shared" si="4"/>
        <v>4.460747345</v>
      </c>
    </row>
    <row r="153">
      <c r="A153" s="15">
        <f t="shared" si="3"/>
        <v>152</v>
      </c>
      <c r="B153" s="15" t="s">
        <v>26</v>
      </c>
      <c r="C153" s="15" t="s">
        <v>19</v>
      </c>
      <c r="D153" s="15">
        <v>33.0</v>
      </c>
      <c r="E153" s="15"/>
      <c r="F153" s="15" t="s">
        <v>5022</v>
      </c>
      <c r="G153" s="15" t="s">
        <v>5565</v>
      </c>
      <c r="H153" s="15" t="s">
        <v>2660</v>
      </c>
      <c r="I153" s="15">
        <v>0.0</v>
      </c>
      <c r="J153" s="15" t="s">
        <v>583</v>
      </c>
      <c r="K153" s="15" t="s">
        <v>22</v>
      </c>
      <c r="L153" s="15" t="s">
        <v>1150</v>
      </c>
      <c r="M153" s="15" t="s">
        <v>24</v>
      </c>
      <c r="N153" s="16">
        <v>0.0</v>
      </c>
      <c r="O153" s="16">
        <v>0.55</v>
      </c>
      <c r="P153" s="16">
        <v>0.53</v>
      </c>
      <c r="Q153" s="17">
        <v>45402.0</v>
      </c>
      <c r="R153" s="18">
        <v>1.9</v>
      </c>
      <c r="S153" s="15" t="s">
        <v>70</v>
      </c>
      <c r="T153" s="19">
        <f t="shared" si="1"/>
        <v>0</v>
      </c>
      <c r="U153" s="19">
        <f t="shared" si="4"/>
        <v>4.460747345</v>
      </c>
    </row>
    <row r="154">
      <c r="A154" s="8">
        <f t="shared" si="3"/>
        <v>153</v>
      </c>
      <c r="B154" s="8" t="s">
        <v>26</v>
      </c>
      <c r="C154" s="8" t="s">
        <v>19</v>
      </c>
      <c r="D154" s="8">
        <v>65.0</v>
      </c>
      <c r="E154" s="8"/>
      <c r="F154" s="8" t="s">
        <v>5023</v>
      </c>
      <c r="G154" s="8" t="s">
        <v>5564</v>
      </c>
      <c r="H154" s="8" t="s">
        <v>2660</v>
      </c>
      <c r="I154" s="8">
        <v>-1.0</v>
      </c>
      <c r="J154" s="8" t="s">
        <v>583</v>
      </c>
      <c r="K154" s="8" t="s">
        <v>22</v>
      </c>
      <c r="L154" s="8" t="s">
        <v>892</v>
      </c>
      <c r="M154" s="8" t="s">
        <v>24</v>
      </c>
      <c r="N154" s="9">
        <v>0.0</v>
      </c>
      <c r="O154" s="9">
        <v>1.0</v>
      </c>
      <c r="P154" s="9">
        <v>1.0</v>
      </c>
      <c r="Q154" s="10">
        <v>45402.0</v>
      </c>
      <c r="R154" s="11">
        <v>1.975</v>
      </c>
      <c r="S154" s="8" t="s">
        <v>33</v>
      </c>
      <c r="T154" s="12">
        <f t="shared" si="1"/>
        <v>0.975</v>
      </c>
      <c r="U154" s="12">
        <f t="shared" si="4"/>
        <v>5.435747345</v>
      </c>
    </row>
    <row r="155">
      <c r="A155" s="15">
        <f t="shared" si="3"/>
        <v>154</v>
      </c>
      <c r="B155" s="15" t="s">
        <v>129</v>
      </c>
      <c r="C155" s="15" t="s">
        <v>19</v>
      </c>
      <c r="D155" s="15">
        <v>58.0</v>
      </c>
      <c r="E155" s="15"/>
      <c r="F155" s="15" t="s">
        <v>5024</v>
      </c>
      <c r="G155" s="15" t="s">
        <v>5565</v>
      </c>
      <c r="H155" s="15" t="s">
        <v>2660</v>
      </c>
      <c r="I155" s="15">
        <v>0.0</v>
      </c>
      <c r="J155" s="15" t="s">
        <v>101</v>
      </c>
      <c r="K155" s="15" t="s">
        <v>22</v>
      </c>
      <c r="L155" s="15" t="s">
        <v>892</v>
      </c>
      <c r="M155" s="15" t="s">
        <v>24</v>
      </c>
      <c r="N155" s="16">
        <v>0.0</v>
      </c>
      <c r="O155" s="16">
        <v>0.6</v>
      </c>
      <c r="P155" s="16">
        <v>0.6</v>
      </c>
      <c r="Q155" s="17">
        <v>45402.0</v>
      </c>
      <c r="R155" s="18">
        <v>1.875</v>
      </c>
      <c r="S155" s="15" t="s">
        <v>33</v>
      </c>
      <c r="T155" s="19">
        <f t="shared" si="1"/>
        <v>0.525</v>
      </c>
      <c r="U155" s="19">
        <f t="shared" si="4"/>
        <v>5.960747345</v>
      </c>
    </row>
    <row r="156">
      <c r="A156" s="8">
        <f t="shared" si="3"/>
        <v>155</v>
      </c>
      <c r="B156" s="8" t="s">
        <v>26</v>
      </c>
      <c r="C156" s="8" t="s">
        <v>19</v>
      </c>
      <c r="D156" s="8">
        <v>72.0</v>
      </c>
      <c r="E156" s="8"/>
      <c r="F156" s="8" t="s">
        <v>5025</v>
      </c>
      <c r="G156" s="8" t="s">
        <v>5565</v>
      </c>
      <c r="H156" s="8" t="s">
        <v>2660</v>
      </c>
      <c r="I156" s="8">
        <v>0.0</v>
      </c>
      <c r="J156" s="8" t="s">
        <v>66</v>
      </c>
      <c r="K156" s="8" t="s">
        <v>22</v>
      </c>
      <c r="L156" s="8" t="s">
        <v>892</v>
      </c>
      <c r="M156" s="8" t="s">
        <v>24</v>
      </c>
      <c r="N156" s="9">
        <v>0.0</v>
      </c>
      <c r="O156" s="9">
        <v>0.75</v>
      </c>
      <c r="P156" s="9">
        <v>0.75</v>
      </c>
      <c r="Q156" s="54">
        <v>45402.0</v>
      </c>
      <c r="R156" s="11">
        <v>1.8</v>
      </c>
      <c r="S156" s="8" t="s">
        <v>70</v>
      </c>
      <c r="T156" s="12">
        <f t="shared" si="1"/>
        <v>0</v>
      </c>
      <c r="U156" s="12">
        <f t="shared" si="4"/>
        <v>5.960747345</v>
      </c>
    </row>
    <row r="157">
      <c r="A157" s="15">
        <f t="shared" si="3"/>
        <v>156</v>
      </c>
      <c r="B157" s="15" t="s">
        <v>129</v>
      </c>
      <c r="C157" s="15" t="s">
        <v>40</v>
      </c>
      <c r="D157" s="15">
        <v>38.0</v>
      </c>
      <c r="E157" s="15"/>
      <c r="F157" s="15" t="s">
        <v>5026</v>
      </c>
      <c r="G157" s="15" t="s">
        <v>5565</v>
      </c>
      <c r="H157" s="15" t="s">
        <v>2660</v>
      </c>
      <c r="I157" s="15">
        <f>1</f>
        <v>1</v>
      </c>
      <c r="J157" s="15" t="s">
        <v>93</v>
      </c>
      <c r="K157" s="15" t="s">
        <v>22</v>
      </c>
      <c r="L157" s="15" t="s">
        <v>1150</v>
      </c>
      <c r="M157" s="15" t="s">
        <v>24</v>
      </c>
      <c r="N157" s="16">
        <v>0.0</v>
      </c>
      <c r="O157" s="16">
        <v>0.65</v>
      </c>
      <c r="P157" s="16">
        <v>0.65</v>
      </c>
      <c r="Q157" s="17">
        <v>45402.0</v>
      </c>
      <c r="R157" s="18">
        <v>1.775</v>
      </c>
      <c r="S157" s="15" t="s">
        <v>70</v>
      </c>
      <c r="T157" s="19">
        <f t="shared" si="1"/>
        <v>0</v>
      </c>
      <c r="U157" s="19">
        <f t="shared" si="4"/>
        <v>5.960747345</v>
      </c>
    </row>
    <row r="158">
      <c r="A158" s="8">
        <f t="shared" si="3"/>
        <v>157</v>
      </c>
      <c r="B158" s="8" t="s">
        <v>26</v>
      </c>
      <c r="C158" s="8" t="s">
        <v>19</v>
      </c>
      <c r="D158" s="8">
        <v>75.0</v>
      </c>
      <c r="E158" s="8"/>
      <c r="F158" s="8" t="s">
        <v>5027</v>
      </c>
      <c r="G158" s="8" t="s">
        <v>5565</v>
      </c>
      <c r="H158" s="8" t="s">
        <v>2556</v>
      </c>
      <c r="I158" s="8">
        <v>-2.0</v>
      </c>
      <c r="J158" s="8" t="s">
        <v>624</v>
      </c>
      <c r="K158" s="8" t="s">
        <v>22</v>
      </c>
      <c r="L158" s="8" t="s">
        <v>225</v>
      </c>
      <c r="M158" s="8" t="s">
        <v>24</v>
      </c>
      <c r="N158" s="9">
        <v>0.25</v>
      </c>
      <c r="O158" s="9">
        <v>0.3</v>
      </c>
      <c r="P158" s="9">
        <v>0.3</v>
      </c>
      <c r="Q158" s="10">
        <v>45402.0</v>
      </c>
      <c r="R158" s="11">
        <v>1.825</v>
      </c>
      <c r="S158" s="8" t="s">
        <v>30</v>
      </c>
      <c r="T158" s="12">
        <f t="shared" si="1"/>
        <v>0.12375</v>
      </c>
      <c r="U158" s="12">
        <f t="shared" si="4"/>
        <v>6.084497345</v>
      </c>
    </row>
    <row r="159">
      <c r="A159" s="15">
        <f t="shared" si="3"/>
        <v>158</v>
      </c>
      <c r="B159" s="15" t="s">
        <v>26</v>
      </c>
      <c r="C159" s="15" t="s">
        <v>19</v>
      </c>
      <c r="D159" s="15">
        <v>85.0</v>
      </c>
      <c r="E159" s="15"/>
      <c r="F159" s="15" t="s">
        <v>5028</v>
      </c>
      <c r="G159" s="15"/>
      <c r="H159" s="15"/>
      <c r="I159" s="15">
        <v>-2.0</v>
      </c>
      <c r="J159" s="15" t="s">
        <v>624</v>
      </c>
      <c r="K159" s="15" t="s">
        <v>22</v>
      </c>
      <c r="L159" s="15" t="s">
        <v>440</v>
      </c>
      <c r="M159" s="15" t="s">
        <v>24</v>
      </c>
      <c r="N159" s="16">
        <v>2.5</v>
      </c>
      <c r="O159" s="16">
        <v>0.1</v>
      </c>
      <c r="P159" s="16">
        <v>0.1</v>
      </c>
      <c r="Q159" s="17">
        <v>45402.0</v>
      </c>
      <c r="R159" s="18">
        <v>3.5</v>
      </c>
      <c r="S159" s="15" t="s">
        <v>25</v>
      </c>
      <c r="T159" s="19">
        <f t="shared" si="1"/>
        <v>-0.1</v>
      </c>
      <c r="U159" s="19">
        <f t="shared" si="4"/>
        <v>5.984497345</v>
      </c>
    </row>
    <row r="160">
      <c r="A160" s="8">
        <f t="shared" si="3"/>
        <v>159</v>
      </c>
      <c r="B160" s="8" t="s">
        <v>18</v>
      </c>
      <c r="C160" s="8" t="s">
        <v>19</v>
      </c>
      <c r="D160" s="8">
        <v>55.0</v>
      </c>
      <c r="E160" s="8"/>
      <c r="F160" s="8" t="s">
        <v>5029</v>
      </c>
      <c r="G160" s="8" t="s">
        <v>5565</v>
      </c>
      <c r="H160" s="8" t="s">
        <v>2556</v>
      </c>
      <c r="I160" s="8">
        <v>0.0</v>
      </c>
      <c r="J160" s="8" t="s">
        <v>88</v>
      </c>
      <c r="K160" s="8" t="s">
        <v>22</v>
      </c>
      <c r="L160" s="8" t="s">
        <v>225</v>
      </c>
      <c r="M160" s="8" t="s">
        <v>24</v>
      </c>
      <c r="N160" s="9">
        <v>0.25</v>
      </c>
      <c r="O160" s="9">
        <v>0.5</v>
      </c>
      <c r="P160" s="9">
        <v>0.5</v>
      </c>
      <c r="Q160" s="10">
        <v>45403.0</v>
      </c>
      <c r="R160" s="11">
        <v>1.75</v>
      </c>
      <c r="S160" s="8" t="s">
        <v>30</v>
      </c>
      <c r="T160" s="12">
        <f t="shared" si="1"/>
        <v>0.1875</v>
      </c>
      <c r="U160" s="12">
        <f t="shared" si="4"/>
        <v>6.171997345</v>
      </c>
    </row>
    <row r="161">
      <c r="A161" s="15">
        <f t="shared" si="3"/>
        <v>160</v>
      </c>
      <c r="B161" s="15" t="s">
        <v>26</v>
      </c>
      <c r="C161" s="15" t="s">
        <v>19</v>
      </c>
      <c r="D161" s="15">
        <v>25.0</v>
      </c>
      <c r="E161" s="15"/>
      <c r="F161" s="15" t="s">
        <v>5030</v>
      </c>
      <c r="G161" s="15" t="s">
        <v>5565</v>
      </c>
      <c r="H161" s="15" t="s">
        <v>2660</v>
      </c>
      <c r="I161" s="15">
        <v>0.0</v>
      </c>
      <c r="J161" s="15" t="s">
        <v>908</v>
      </c>
      <c r="K161" s="15" t="s">
        <v>22</v>
      </c>
      <c r="L161" s="15" t="s">
        <v>892</v>
      </c>
      <c r="M161" s="15" t="s">
        <v>24</v>
      </c>
      <c r="N161" s="16">
        <v>0.0</v>
      </c>
      <c r="O161" s="16">
        <v>1.0</v>
      </c>
      <c r="P161" s="16">
        <v>1.0</v>
      </c>
      <c r="Q161" s="17">
        <v>45403.0</v>
      </c>
      <c r="R161" s="18">
        <v>1.825</v>
      </c>
      <c r="S161" s="15" t="s">
        <v>33</v>
      </c>
      <c r="T161" s="19">
        <f t="shared" si="1"/>
        <v>0.825</v>
      </c>
      <c r="U161" s="19">
        <f t="shared" si="4"/>
        <v>6.996997345</v>
      </c>
    </row>
    <row r="162">
      <c r="A162" s="8">
        <f t="shared" si="3"/>
        <v>161</v>
      </c>
      <c r="B162" s="8" t="s">
        <v>129</v>
      </c>
      <c r="C162" s="8" t="s">
        <v>40</v>
      </c>
      <c r="D162" s="8">
        <v>65.0</v>
      </c>
      <c r="E162" s="8"/>
      <c r="F162" s="8" t="s">
        <v>5031</v>
      </c>
      <c r="G162" s="8" t="s">
        <v>5564</v>
      </c>
      <c r="H162" s="8" t="s">
        <v>2660</v>
      </c>
      <c r="I162" s="8">
        <v>0.0</v>
      </c>
      <c r="J162" s="8" t="s">
        <v>48</v>
      </c>
      <c r="K162" s="8" t="s">
        <v>22</v>
      </c>
      <c r="L162" s="8" t="s">
        <v>892</v>
      </c>
      <c r="M162" s="8" t="s">
        <v>24</v>
      </c>
      <c r="N162" s="9">
        <v>0.0</v>
      </c>
      <c r="O162" s="9">
        <v>0.5</v>
      </c>
      <c r="P162" s="9">
        <v>0.5</v>
      </c>
      <c r="Q162" s="10">
        <v>45403.0</v>
      </c>
      <c r="R162" s="11">
        <v>2.075</v>
      </c>
      <c r="S162" s="8" t="s">
        <v>70</v>
      </c>
      <c r="T162" s="12">
        <f t="shared" si="1"/>
        <v>0</v>
      </c>
      <c r="U162" s="12">
        <f t="shared" si="4"/>
        <v>6.996997345</v>
      </c>
    </row>
    <row r="163">
      <c r="A163" s="15">
        <f t="shared" si="3"/>
        <v>162</v>
      </c>
      <c r="B163" s="15" t="s">
        <v>129</v>
      </c>
      <c r="C163" s="15" t="s">
        <v>19</v>
      </c>
      <c r="D163" s="15">
        <v>65.0</v>
      </c>
      <c r="E163" s="15"/>
      <c r="F163" s="15" t="s">
        <v>5032</v>
      </c>
      <c r="G163" s="15" t="s">
        <v>5564</v>
      </c>
      <c r="H163" s="15" t="s">
        <v>2660</v>
      </c>
      <c r="I163" s="15">
        <v>0.0</v>
      </c>
      <c r="J163" s="15" t="s">
        <v>229</v>
      </c>
      <c r="K163" s="15" t="s">
        <v>22</v>
      </c>
      <c r="L163" s="15" t="s">
        <v>892</v>
      </c>
      <c r="M163" s="15" t="s">
        <v>39</v>
      </c>
      <c r="N163" s="16">
        <v>0.0</v>
      </c>
      <c r="O163" s="16">
        <v>0.4</v>
      </c>
      <c r="P163" s="16">
        <f>0.3224</f>
        <v>0.3224</v>
      </c>
      <c r="Q163" s="17">
        <v>45403.0</v>
      </c>
      <c r="R163" s="18">
        <v>1.925</v>
      </c>
      <c r="S163" s="15" t="s">
        <v>33</v>
      </c>
      <c r="T163" s="19">
        <f t="shared" si="1"/>
        <v>0.29822</v>
      </c>
      <c r="U163" s="19">
        <f t="shared" si="4"/>
        <v>7.295217345</v>
      </c>
    </row>
    <row r="164">
      <c r="A164" s="8">
        <f t="shared" si="3"/>
        <v>163</v>
      </c>
      <c r="B164" s="8" t="s">
        <v>18</v>
      </c>
      <c r="C164" s="8" t="s">
        <v>19</v>
      </c>
      <c r="D164" s="8">
        <v>45.0</v>
      </c>
      <c r="E164" s="8"/>
      <c r="F164" s="8" t="s">
        <v>5033</v>
      </c>
      <c r="G164" s="8" t="s">
        <v>5564</v>
      </c>
      <c r="H164" s="8" t="s">
        <v>2660</v>
      </c>
      <c r="I164" s="8">
        <v>0.0</v>
      </c>
      <c r="J164" s="8" t="s">
        <v>44</v>
      </c>
      <c r="K164" s="8" t="s">
        <v>22</v>
      </c>
      <c r="L164" s="8" t="s">
        <v>892</v>
      </c>
      <c r="M164" s="8" t="s">
        <v>24</v>
      </c>
      <c r="N164" s="9">
        <v>0.0</v>
      </c>
      <c r="O164" s="9">
        <v>0.5</v>
      </c>
      <c r="P164" s="9">
        <v>0.433</v>
      </c>
      <c r="Q164" s="10">
        <v>45403.0</v>
      </c>
      <c r="R164" s="11">
        <v>1.85</v>
      </c>
      <c r="S164" s="8" t="s">
        <v>33</v>
      </c>
      <c r="T164" s="12">
        <f t="shared" si="1"/>
        <v>0.36805</v>
      </c>
      <c r="U164" s="12">
        <f t="shared" si="4"/>
        <v>7.663267345</v>
      </c>
    </row>
    <row r="165">
      <c r="A165" s="15">
        <f t="shared" si="3"/>
        <v>164</v>
      </c>
      <c r="B165" s="15" t="s">
        <v>4225</v>
      </c>
      <c r="C165" s="15" t="s">
        <v>19</v>
      </c>
      <c r="D165" s="15">
        <v>39.0</v>
      </c>
      <c r="E165" s="15"/>
      <c r="F165" s="15" t="s">
        <v>5034</v>
      </c>
      <c r="G165" s="15" t="s">
        <v>5564</v>
      </c>
      <c r="H165" s="15" t="s">
        <v>2660</v>
      </c>
      <c r="I165" s="15">
        <v>0.0</v>
      </c>
      <c r="J165" s="15" t="s">
        <v>923</v>
      </c>
      <c r="K165" s="15" t="s">
        <v>22</v>
      </c>
      <c r="L165" s="15" t="s">
        <v>892</v>
      </c>
      <c r="M165" s="15" t="s">
        <v>24</v>
      </c>
      <c r="N165" s="16">
        <v>0.0</v>
      </c>
      <c r="O165" s="16">
        <v>0.2</v>
      </c>
      <c r="P165" s="16">
        <v>0.04</v>
      </c>
      <c r="Q165" s="17">
        <v>45405.0</v>
      </c>
      <c r="R165" s="18">
        <v>1.95</v>
      </c>
      <c r="S165" s="15" t="s">
        <v>70</v>
      </c>
      <c r="T165" s="19">
        <f t="shared" si="1"/>
        <v>0</v>
      </c>
      <c r="U165" s="19">
        <f t="shared" si="4"/>
        <v>7.663267345</v>
      </c>
    </row>
    <row r="166">
      <c r="A166" s="8">
        <f t="shared" si="3"/>
        <v>165</v>
      </c>
      <c r="B166" s="8" t="s">
        <v>4225</v>
      </c>
      <c r="C166" s="8" t="s">
        <v>19</v>
      </c>
      <c r="D166" s="8">
        <v>40.0</v>
      </c>
      <c r="E166" s="8"/>
      <c r="F166" s="8" t="s">
        <v>5035</v>
      </c>
      <c r="G166" s="8" t="s">
        <v>5564</v>
      </c>
      <c r="H166" s="8" t="s">
        <v>2660</v>
      </c>
      <c r="I166" s="8">
        <v>0.0</v>
      </c>
      <c r="J166" s="8" t="s">
        <v>923</v>
      </c>
      <c r="K166" s="8" t="s">
        <v>22</v>
      </c>
      <c r="L166" s="8" t="s">
        <v>1150</v>
      </c>
      <c r="M166" s="8" t="s">
        <v>24</v>
      </c>
      <c r="N166" s="9">
        <v>0.0</v>
      </c>
      <c r="O166" s="9">
        <v>0.8</v>
      </c>
      <c r="P166" s="9">
        <v>0.78</v>
      </c>
      <c r="Q166" s="10">
        <v>45405.0</v>
      </c>
      <c r="R166" s="11">
        <v>1.7</v>
      </c>
      <c r="S166" s="8" t="s">
        <v>70</v>
      </c>
      <c r="T166" s="12">
        <f t="shared" si="1"/>
        <v>0</v>
      </c>
      <c r="U166" s="12">
        <f t="shared" si="4"/>
        <v>7.663267345</v>
      </c>
    </row>
    <row r="167">
      <c r="A167" s="15">
        <f t="shared" si="3"/>
        <v>166</v>
      </c>
      <c r="B167" s="15" t="s">
        <v>4225</v>
      </c>
      <c r="C167" s="15" t="s">
        <v>19</v>
      </c>
      <c r="D167" s="15">
        <v>67.0</v>
      </c>
      <c r="E167" s="15"/>
      <c r="F167" s="15" t="s">
        <v>5036</v>
      </c>
      <c r="G167" s="15" t="s">
        <v>5564</v>
      </c>
      <c r="H167" s="15" t="s">
        <v>2660</v>
      </c>
      <c r="I167" s="15">
        <v>0.0</v>
      </c>
      <c r="J167" s="15" t="s">
        <v>923</v>
      </c>
      <c r="K167" s="15" t="s">
        <v>22</v>
      </c>
      <c r="L167" s="15" t="s">
        <v>892</v>
      </c>
      <c r="M167" s="15" t="s">
        <v>24</v>
      </c>
      <c r="N167" s="16">
        <v>0.0</v>
      </c>
      <c r="O167" s="16">
        <v>1.0</v>
      </c>
      <c r="P167" s="16">
        <v>1.0</v>
      </c>
      <c r="Q167" s="17">
        <v>45405.0</v>
      </c>
      <c r="R167" s="18">
        <v>1.825</v>
      </c>
      <c r="S167" s="15" t="s">
        <v>25</v>
      </c>
      <c r="T167" s="19">
        <f t="shared" si="1"/>
        <v>-1</v>
      </c>
      <c r="U167" s="19">
        <f t="shared" si="4"/>
        <v>6.663267345</v>
      </c>
    </row>
    <row r="168">
      <c r="A168" s="8">
        <f t="shared" si="3"/>
        <v>167</v>
      </c>
      <c r="B168" s="8" t="s">
        <v>137</v>
      </c>
      <c r="C168" s="8" t="s">
        <v>19</v>
      </c>
      <c r="D168" s="8">
        <v>33.0</v>
      </c>
      <c r="E168" s="8"/>
      <c r="F168" s="8" t="s">
        <v>5037</v>
      </c>
      <c r="G168" s="8" t="s">
        <v>5564</v>
      </c>
      <c r="H168" s="8" t="s">
        <v>2660</v>
      </c>
      <c r="I168" s="8">
        <v>0.0</v>
      </c>
      <c r="J168" s="8" t="s">
        <v>248</v>
      </c>
      <c r="K168" s="8" t="s">
        <v>22</v>
      </c>
      <c r="L168" s="8" t="s">
        <v>1150</v>
      </c>
      <c r="M168" s="8" t="s">
        <v>24</v>
      </c>
      <c r="N168" s="9">
        <v>0.0</v>
      </c>
      <c r="O168" s="9">
        <v>0.2</v>
      </c>
      <c r="P168" s="9">
        <v>0.11</v>
      </c>
      <c r="Q168" s="10">
        <v>45405.0</v>
      </c>
      <c r="R168" s="11">
        <v>2.08</v>
      </c>
      <c r="S168" s="8" t="s">
        <v>33</v>
      </c>
      <c r="T168" s="12">
        <f t="shared" si="1"/>
        <v>0.1188</v>
      </c>
      <c r="U168" s="12">
        <f t="shared" si="4"/>
        <v>6.782067345</v>
      </c>
    </row>
    <row r="169">
      <c r="A169" s="15">
        <f t="shared" si="3"/>
        <v>168</v>
      </c>
      <c r="B169" s="15" t="s">
        <v>4225</v>
      </c>
      <c r="C169" s="15" t="s">
        <v>19</v>
      </c>
      <c r="D169" s="15">
        <v>71.0</v>
      </c>
      <c r="E169" s="15"/>
      <c r="F169" s="15" t="s">
        <v>5038</v>
      </c>
      <c r="G169" s="15" t="s">
        <v>5564</v>
      </c>
      <c r="H169" s="15" t="s">
        <v>2660</v>
      </c>
      <c r="I169" s="15">
        <v>0.0</v>
      </c>
      <c r="J169" s="15" t="s">
        <v>1558</v>
      </c>
      <c r="K169" s="15" t="s">
        <v>22</v>
      </c>
      <c r="L169" s="15" t="s">
        <v>892</v>
      </c>
      <c r="M169" s="15" t="s">
        <v>24</v>
      </c>
      <c r="N169" s="16">
        <v>0.0</v>
      </c>
      <c r="O169" s="16">
        <v>0.6</v>
      </c>
      <c r="P169" s="16">
        <v>0.6</v>
      </c>
      <c r="Q169" s="17">
        <v>45405.0</v>
      </c>
      <c r="R169" s="18">
        <v>1.95</v>
      </c>
      <c r="S169" s="15" t="s">
        <v>25</v>
      </c>
      <c r="T169" s="19">
        <f t="shared" si="1"/>
        <v>-0.6</v>
      </c>
      <c r="U169" s="19">
        <f t="shared" si="4"/>
        <v>6.182067345</v>
      </c>
    </row>
    <row r="170">
      <c r="A170" s="8">
        <f t="shared" si="3"/>
        <v>169</v>
      </c>
      <c r="B170" s="8" t="s">
        <v>137</v>
      </c>
      <c r="C170" s="8" t="s">
        <v>19</v>
      </c>
      <c r="D170" s="8">
        <v>72.0</v>
      </c>
      <c r="E170" s="8"/>
      <c r="F170" s="8" t="s">
        <v>5039</v>
      </c>
      <c r="G170" s="8" t="s">
        <v>5564</v>
      </c>
      <c r="H170" s="8" t="s">
        <v>2660</v>
      </c>
      <c r="I170" s="8">
        <f>1</f>
        <v>1</v>
      </c>
      <c r="J170" s="8" t="s">
        <v>248</v>
      </c>
      <c r="K170" s="8" t="s">
        <v>22</v>
      </c>
      <c r="L170" s="8" t="s">
        <v>892</v>
      </c>
      <c r="M170" s="8" t="s">
        <v>24</v>
      </c>
      <c r="N170" s="9">
        <v>0.0</v>
      </c>
      <c r="O170" s="9">
        <v>0.6</v>
      </c>
      <c r="P170" s="9">
        <v>0.6</v>
      </c>
      <c r="Q170" s="10">
        <v>45405.0</v>
      </c>
      <c r="R170" s="11">
        <v>2.05</v>
      </c>
      <c r="S170" s="8" t="s">
        <v>70</v>
      </c>
      <c r="T170" s="12">
        <f t="shared" si="1"/>
        <v>0</v>
      </c>
      <c r="U170" s="12">
        <f t="shared" si="4"/>
        <v>6.182067345</v>
      </c>
    </row>
    <row r="171">
      <c r="A171" s="15">
        <f t="shared" si="3"/>
        <v>170</v>
      </c>
      <c r="B171" s="15" t="s">
        <v>4225</v>
      </c>
      <c r="C171" s="15" t="s">
        <v>19</v>
      </c>
      <c r="D171" s="15">
        <v>74.0</v>
      </c>
      <c r="E171" s="15"/>
      <c r="F171" s="15" t="s">
        <v>5040</v>
      </c>
      <c r="G171" s="15" t="s">
        <v>5564</v>
      </c>
      <c r="H171" s="15" t="s">
        <v>2660</v>
      </c>
      <c r="I171" s="15">
        <v>-2.0</v>
      </c>
      <c r="J171" s="15" t="s">
        <v>248</v>
      </c>
      <c r="K171" s="15" t="s">
        <v>22</v>
      </c>
      <c r="L171" s="15" t="s">
        <v>892</v>
      </c>
      <c r="M171" s="15" t="s">
        <v>24</v>
      </c>
      <c r="N171" s="16">
        <v>0.0</v>
      </c>
      <c r="O171" s="16">
        <v>0.55</v>
      </c>
      <c r="P171" s="16">
        <v>0.55</v>
      </c>
      <c r="Q171" s="17">
        <v>45405.0</v>
      </c>
      <c r="R171" s="18">
        <v>2.35</v>
      </c>
      <c r="S171" s="15" t="s">
        <v>25</v>
      </c>
      <c r="T171" s="19">
        <f t="shared" si="1"/>
        <v>-0.55</v>
      </c>
      <c r="U171" s="19">
        <f t="shared" si="4"/>
        <v>5.632067345</v>
      </c>
    </row>
    <row r="172">
      <c r="A172" s="8">
        <f t="shared" si="3"/>
        <v>171</v>
      </c>
      <c r="B172" s="8" t="s">
        <v>18</v>
      </c>
      <c r="C172" s="8" t="s">
        <v>19</v>
      </c>
      <c r="D172" s="8">
        <v>53.0</v>
      </c>
      <c r="E172" s="8"/>
      <c r="F172" s="8" t="s">
        <v>5041</v>
      </c>
      <c r="G172" s="8" t="s">
        <v>5565</v>
      </c>
      <c r="H172" s="8" t="s">
        <v>2556</v>
      </c>
      <c r="I172" s="8">
        <v>-1.0</v>
      </c>
      <c r="J172" s="8" t="s">
        <v>115</v>
      </c>
      <c r="K172" s="8" t="s">
        <v>22</v>
      </c>
      <c r="L172" s="8" t="s">
        <v>225</v>
      </c>
      <c r="M172" s="8" t="s">
        <v>24</v>
      </c>
      <c r="N172" s="9">
        <v>0.25</v>
      </c>
      <c r="O172" s="9">
        <v>0.2</v>
      </c>
      <c r="P172" s="9">
        <f>40/50*0.2</f>
        <v>0.16</v>
      </c>
      <c r="Q172" s="10">
        <v>45406.0</v>
      </c>
      <c r="R172" s="11">
        <v>1.8</v>
      </c>
      <c r="S172" s="8" t="s">
        <v>30</v>
      </c>
      <c r="T172" s="12">
        <f t="shared" si="1"/>
        <v>0.064</v>
      </c>
      <c r="U172" s="12">
        <f t="shared" si="4"/>
        <v>5.696067345</v>
      </c>
    </row>
    <row r="173">
      <c r="A173" s="15">
        <f t="shared" si="3"/>
        <v>172</v>
      </c>
      <c r="B173" s="15" t="s">
        <v>4225</v>
      </c>
      <c r="C173" s="15" t="s">
        <v>19</v>
      </c>
      <c r="D173" s="15">
        <v>51.0</v>
      </c>
      <c r="E173" s="15"/>
      <c r="F173" s="15" t="s">
        <v>5042</v>
      </c>
      <c r="G173" s="15" t="s">
        <v>5564</v>
      </c>
      <c r="H173" s="15" t="s">
        <v>2556</v>
      </c>
      <c r="I173" s="15">
        <f>1</f>
        <v>1</v>
      </c>
      <c r="J173" s="15" t="s">
        <v>48</v>
      </c>
      <c r="K173" s="15" t="s">
        <v>22</v>
      </c>
      <c r="L173" s="15" t="s">
        <v>225</v>
      </c>
      <c r="M173" s="15" t="s">
        <v>24</v>
      </c>
      <c r="N173" s="16">
        <v>0.25</v>
      </c>
      <c r="O173" s="16">
        <v>0.4</v>
      </c>
      <c r="P173" s="16">
        <v>0.36</v>
      </c>
      <c r="Q173" s="17">
        <v>45406.0</v>
      </c>
      <c r="R173" s="18">
        <v>2.08</v>
      </c>
      <c r="S173" s="15" t="s">
        <v>25</v>
      </c>
      <c r="T173" s="19">
        <f t="shared" si="1"/>
        <v>-0.36</v>
      </c>
      <c r="U173" s="19">
        <f t="shared" si="4"/>
        <v>5.336067345</v>
      </c>
    </row>
    <row r="174">
      <c r="A174" s="8">
        <f t="shared" si="3"/>
        <v>173</v>
      </c>
      <c r="B174" s="8" t="s">
        <v>18</v>
      </c>
      <c r="C174" s="8" t="s">
        <v>19</v>
      </c>
      <c r="D174" s="8">
        <v>71.0</v>
      </c>
      <c r="E174" s="8"/>
      <c r="F174" s="8" t="s">
        <v>5043</v>
      </c>
      <c r="G174" s="8" t="s">
        <v>5564</v>
      </c>
      <c r="H174" s="8" t="s">
        <v>2660</v>
      </c>
      <c r="I174" s="8">
        <v>-1.0</v>
      </c>
      <c r="J174" s="8" t="s">
        <v>48</v>
      </c>
      <c r="K174" s="8" t="s">
        <v>22</v>
      </c>
      <c r="L174" s="8" t="s">
        <v>892</v>
      </c>
      <c r="M174" s="8" t="s">
        <v>24</v>
      </c>
      <c r="N174" s="9">
        <v>0.0</v>
      </c>
      <c r="O174" s="9">
        <v>0.2</v>
      </c>
      <c r="P174" s="9">
        <v>0.2</v>
      </c>
      <c r="Q174" s="10">
        <v>45406.0</v>
      </c>
      <c r="R174" s="11">
        <v>2.05</v>
      </c>
      <c r="S174" s="8" t="s">
        <v>25</v>
      </c>
      <c r="T174" s="12">
        <f t="shared" si="1"/>
        <v>-0.2</v>
      </c>
      <c r="U174" s="12">
        <f t="shared" si="4"/>
        <v>5.136067345</v>
      </c>
    </row>
    <row r="175">
      <c r="A175" s="15">
        <f t="shared" si="3"/>
        <v>174</v>
      </c>
      <c r="B175" s="15" t="s">
        <v>26</v>
      </c>
      <c r="C175" s="15" t="s">
        <v>19</v>
      </c>
      <c r="D175" s="15">
        <v>50.0</v>
      </c>
      <c r="E175" s="15"/>
      <c r="F175" s="15" t="s">
        <v>5044</v>
      </c>
      <c r="G175" s="15" t="s">
        <v>5564</v>
      </c>
      <c r="H175" s="15" t="s">
        <v>2660</v>
      </c>
      <c r="I175" s="15">
        <v>0.0</v>
      </c>
      <c r="J175" s="15" t="s">
        <v>806</v>
      </c>
      <c r="K175" s="15" t="s">
        <v>22</v>
      </c>
      <c r="L175" s="15" t="s">
        <v>225</v>
      </c>
      <c r="M175" s="15" t="s">
        <v>24</v>
      </c>
      <c r="N175" s="16">
        <v>0.25</v>
      </c>
      <c r="O175" s="16">
        <v>0.2</v>
      </c>
      <c r="P175" s="16">
        <v>0.2</v>
      </c>
      <c r="Q175" s="17">
        <v>45406.0</v>
      </c>
      <c r="R175" s="18">
        <v>1.7</v>
      </c>
      <c r="S175" s="15" t="s">
        <v>70</v>
      </c>
      <c r="T175" s="19">
        <f t="shared" si="1"/>
        <v>0</v>
      </c>
      <c r="U175" s="19">
        <f t="shared" si="4"/>
        <v>5.136067345</v>
      </c>
    </row>
    <row r="176">
      <c r="A176" s="8">
        <f t="shared" si="3"/>
        <v>175</v>
      </c>
      <c r="B176" s="8" t="s">
        <v>26</v>
      </c>
      <c r="C176" s="8" t="s">
        <v>40</v>
      </c>
      <c r="D176" s="8"/>
      <c r="E176" s="8"/>
      <c r="F176" s="8" t="s">
        <v>5045</v>
      </c>
      <c r="G176" s="8" t="s">
        <v>5564</v>
      </c>
      <c r="H176" s="8" t="s">
        <v>2556</v>
      </c>
      <c r="I176" s="8">
        <v>0.0</v>
      </c>
      <c r="J176" s="8" t="s">
        <v>185</v>
      </c>
      <c r="K176" s="8" t="s">
        <v>22</v>
      </c>
      <c r="L176" s="8" t="s">
        <v>225</v>
      </c>
      <c r="M176" s="8" t="s">
        <v>24</v>
      </c>
      <c r="N176" s="9">
        <v>0.25</v>
      </c>
      <c r="O176" s="9">
        <v>0.75</v>
      </c>
      <c r="P176" s="9">
        <v>0.73</v>
      </c>
      <c r="Q176" s="54">
        <v>45406.0</v>
      </c>
      <c r="R176" s="11">
        <v>1.725</v>
      </c>
      <c r="S176" s="8" t="s">
        <v>25</v>
      </c>
      <c r="T176" s="12">
        <f t="shared" si="1"/>
        <v>-0.73</v>
      </c>
      <c r="U176" s="12">
        <f t="shared" si="4"/>
        <v>4.406067345</v>
      </c>
    </row>
    <row r="177">
      <c r="A177" s="15">
        <f t="shared" si="3"/>
        <v>176</v>
      </c>
      <c r="B177" s="15" t="s">
        <v>26</v>
      </c>
      <c r="C177" s="15" t="s">
        <v>19</v>
      </c>
      <c r="D177" s="15">
        <v>71.0</v>
      </c>
      <c r="E177" s="15"/>
      <c r="F177" s="15" t="s">
        <v>5046</v>
      </c>
      <c r="G177" s="15" t="s">
        <v>5564</v>
      </c>
      <c r="H177" s="15" t="s">
        <v>2556</v>
      </c>
      <c r="I177" s="15">
        <v>-2.0</v>
      </c>
      <c r="J177" s="15" t="s">
        <v>78</v>
      </c>
      <c r="K177" s="15" t="s">
        <v>22</v>
      </c>
      <c r="L177" s="15" t="s">
        <v>225</v>
      </c>
      <c r="M177" s="15" t="s">
        <v>24</v>
      </c>
      <c r="N177" s="16">
        <v>0.25</v>
      </c>
      <c r="O177" s="16">
        <v>0.2</v>
      </c>
      <c r="P177" s="16">
        <v>0.02</v>
      </c>
      <c r="Q177" s="17">
        <v>45406.0</v>
      </c>
      <c r="R177" s="18">
        <v>1.775</v>
      </c>
      <c r="S177" s="15" t="s">
        <v>33</v>
      </c>
      <c r="T177" s="19">
        <f t="shared" si="1"/>
        <v>0.0155</v>
      </c>
      <c r="U177" s="19">
        <f t="shared" si="4"/>
        <v>4.421567345</v>
      </c>
    </row>
    <row r="178">
      <c r="A178" s="8">
        <f t="shared" si="3"/>
        <v>177</v>
      </c>
      <c r="B178" s="8" t="s">
        <v>4225</v>
      </c>
      <c r="C178" s="8" t="s">
        <v>19</v>
      </c>
      <c r="D178" s="8">
        <v>30.0</v>
      </c>
      <c r="E178" s="8"/>
      <c r="F178" s="8" t="s">
        <v>5047</v>
      </c>
      <c r="G178" s="8" t="s">
        <v>5565</v>
      </c>
      <c r="H178" s="8" t="s">
        <v>2660</v>
      </c>
      <c r="I178" s="8">
        <v>0.0</v>
      </c>
      <c r="J178" s="8" t="s">
        <v>248</v>
      </c>
      <c r="K178" s="8" t="s">
        <v>22</v>
      </c>
      <c r="L178" s="8" t="s">
        <v>1150</v>
      </c>
      <c r="M178" s="8" t="s">
        <v>24</v>
      </c>
      <c r="N178" s="9">
        <v>0.0</v>
      </c>
      <c r="O178" s="9">
        <v>0.6</v>
      </c>
      <c r="P178" s="9">
        <v>0.57</v>
      </c>
      <c r="Q178" s="10">
        <v>45406.0</v>
      </c>
      <c r="R178" s="11">
        <v>1.7</v>
      </c>
      <c r="S178" s="8" t="s">
        <v>70</v>
      </c>
      <c r="T178" s="12">
        <f t="shared" si="1"/>
        <v>0</v>
      </c>
      <c r="U178" s="12">
        <f t="shared" si="4"/>
        <v>4.421567345</v>
      </c>
    </row>
    <row r="179">
      <c r="A179" s="15">
        <f t="shared" si="3"/>
        <v>178</v>
      </c>
      <c r="B179" s="15" t="s">
        <v>18</v>
      </c>
      <c r="C179" s="15" t="s">
        <v>19</v>
      </c>
      <c r="D179" s="15">
        <v>74.0</v>
      </c>
      <c r="E179" s="15"/>
      <c r="F179" s="15" t="s">
        <v>5048</v>
      </c>
      <c r="G179" s="15" t="s">
        <v>5564</v>
      </c>
      <c r="H179" s="15" t="s">
        <v>2660</v>
      </c>
      <c r="I179" s="15">
        <v>-1.0</v>
      </c>
      <c r="J179" s="15" t="s">
        <v>1031</v>
      </c>
      <c r="K179" s="15" t="s">
        <v>22</v>
      </c>
      <c r="L179" s="15" t="s">
        <v>892</v>
      </c>
      <c r="M179" s="15" t="s">
        <v>24</v>
      </c>
      <c r="N179" s="16">
        <v>0.0</v>
      </c>
      <c r="O179" s="16">
        <v>0.75</v>
      </c>
      <c r="P179" s="16">
        <v>0.75</v>
      </c>
      <c r="Q179" s="17">
        <v>45406.0</v>
      </c>
      <c r="R179" s="18">
        <v>1.95</v>
      </c>
      <c r="S179" s="15" t="s">
        <v>70</v>
      </c>
      <c r="T179" s="19">
        <f t="shared" si="1"/>
        <v>0</v>
      </c>
      <c r="U179" s="19">
        <f t="shared" si="4"/>
        <v>4.421567345</v>
      </c>
    </row>
    <row r="180">
      <c r="A180" s="8">
        <f t="shared" si="3"/>
        <v>179</v>
      </c>
      <c r="B180" s="8" t="s">
        <v>4225</v>
      </c>
      <c r="C180" s="8" t="s">
        <v>19</v>
      </c>
      <c r="D180" s="8"/>
      <c r="E180" s="8"/>
      <c r="F180" s="8" t="s">
        <v>5049</v>
      </c>
      <c r="G180" s="8" t="s">
        <v>5565</v>
      </c>
      <c r="H180" s="8" t="s">
        <v>2660</v>
      </c>
      <c r="I180" s="8">
        <v>0.0</v>
      </c>
      <c r="J180" s="8" t="s">
        <v>248</v>
      </c>
      <c r="K180" s="8" t="s">
        <v>22</v>
      </c>
      <c r="L180" s="8" t="s">
        <v>892</v>
      </c>
      <c r="M180" s="8" t="s">
        <v>24</v>
      </c>
      <c r="N180" s="9">
        <v>0.0</v>
      </c>
      <c r="O180" s="9">
        <v>0.75</v>
      </c>
      <c r="P180" s="9">
        <v>0.74</v>
      </c>
      <c r="Q180" s="10">
        <v>45406.0</v>
      </c>
      <c r="R180" s="11">
        <v>1.7</v>
      </c>
      <c r="S180" s="8" t="s">
        <v>25</v>
      </c>
      <c r="T180" s="12">
        <f t="shared" si="1"/>
        <v>-0.74</v>
      </c>
      <c r="U180" s="12">
        <f t="shared" si="4"/>
        <v>3.681567345</v>
      </c>
    </row>
    <row r="181">
      <c r="A181" s="15">
        <f t="shared" si="3"/>
        <v>180</v>
      </c>
      <c r="B181" s="15" t="s">
        <v>18</v>
      </c>
      <c r="C181" s="15" t="s">
        <v>19</v>
      </c>
      <c r="D181" s="15"/>
      <c r="E181" s="15"/>
      <c r="F181" s="15" t="s">
        <v>5050</v>
      </c>
      <c r="G181" s="15" t="s">
        <v>5564</v>
      </c>
      <c r="H181" s="15" t="s">
        <v>2556</v>
      </c>
      <c r="I181" s="15">
        <v>2</v>
      </c>
      <c r="J181" s="15" t="s">
        <v>172</v>
      </c>
      <c r="K181" s="15" t="s">
        <v>22</v>
      </c>
      <c r="L181" s="15" t="s">
        <v>225</v>
      </c>
      <c r="M181" s="15" t="s">
        <v>24</v>
      </c>
      <c r="N181" s="16">
        <v>0.25</v>
      </c>
      <c r="O181" s="16">
        <v>0.6</v>
      </c>
      <c r="P181" s="16">
        <v>0.57</v>
      </c>
      <c r="Q181" s="17">
        <v>45406.0</v>
      </c>
      <c r="R181" s="18">
        <v>1.7</v>
      </c>
      <c r="S181" s="15" t="s">
        <v>25</v>
      </c>
      <c r="T181" s="19">
        <f t="shared" si="1"/>
        <v>-0.57</v>
      </c>
      <c r="U181" s="19">
        <f t="shared" si="4"/>
        <v>3.111567345</v>
      </c>
    </row>
    <row r="182">
      <c r="A182" s="8">
        <f t="shared" si="3"/>
        <v>181</v>
      </c>
      <c r="B182" s="8" t="s">
        <v>26</v>
      </c>
      <c r="C182" s="8" t="s">
        <v>19</v>
      </c>
      <c r="D182" s="8"/>
      <c r="E182" s="8"/>
      <c r="F182" s="8" t="s">
        <v>5051</v>
      </c>
      <c r="G182" s="8" t="s">
        <v>5564</v>
      </c>
      <c r="H182" s="8" t="s">
        <v>2556</v>
      </c>
      <c r="I182" s="8">
        <v>0.0</v>
      </c>
      <c r="J182" s="8" t="s">
        <v>48</v>
      </c>
      <c r="K182" s="8" t="s">
        <v>22</v>
      </c>
      <c r="L182" s="8" t="s">
        <v>225</v>
      </c>
      <c r="M182" s="8" t="s">
        <v>24</v>
      </c>
      <c r="N182" s="9">
        <v>0.5</v>
      </c>
      <c r="O182" s="9">
        <v>0.4</v>
      </c>
      <c r="P182" s="9">
        <v>0.4</v>
      </c>
      <c r="Q182" s="10">
        <v>45407.0</v>
      </c>
      <c r="R182" s="11">
        <v>1.9</v>
      </c>
      <c r="S182" s="8" t="s">
        <v>33</v>
      </c>
      <c r="T182" s="12">
        <f t="shared" si="1"/>
        <v>0.36</v>
      </c>
      <c r="U182" s="12">
        <f t="shared" si="4"/>
        <v>3.471567345</v>
      </c>
    </row>
    <row r="183">
      <c r="A183" s="15">
        <f t="shared" si="3"/>
        <v>182</v>
      </c>
      <c r="B183" s="15" t="s">
        <v>26</v>
      </c>
      <c r="C183" s="15" t="s">
        <v>40</v>
      </c>
      <c r="D183" s="15"/>
      <c r="E183" s="15"/>
      <c r="F183" s="15" t="s">
        <v>5052</v>
      </c>
      <c r="G183" s="15" t="s">
        <v>5564</v>
      </c>
      <c r="H183" s="15" t="s">
        <v>2660</v>
      </c>
      <c r="I183" s="15">
        <v>0.0</v>
      </c>
      <c r="J183" s="15" t="s">
        <v>1031</v>
      </c>
      <c r="K183" s="15" t="s">
        <v>22</v>
      </c>
      <c r="L183" s="15" t="s">
        <v>1150</v>
      </c>
      <c r="M183" s="15" t="s">
        <v>24</v>
      </c>
      <c r="N183" s="16">
        <v>0.0</v>
      </c>
      <c r="O183" s="16">
        <v>0.5</v>
      </c>
      <c r="P183" s="16">
        <v>0.38</v>
      </c>
      <c r="Q183" s="17">
        <v>45407.0</v>
      </c>
      <c r="R183" s="18">
        <v>1.9</v>
      </c>
      <c r="S183" s="15" t="s">
        <v>33</v>
      </c>
      <c r="T183" s="19">
        <f t="shared" si="1"/>
        <v>0.342</v>
      </c>
      <c r="U183" s="19">
        <f t="shared" si="4"/>
        <v>3.813567345</v>
      </c>
    </row>
    <row r="184">
      <c r="A184" s="8">
        <f t="shared" si="3"/>
        <v>183</v>
      </c>
      <c r="B184" s="8" t="s">
        <v>137</v>
      </c>
      <c r="C184" s="8" t="s">
        <v>19</v>
      </c>
      <c r="D184" s="8"/>
      <c r="E184" s="8"/>
      <c r="F184" s="8" t="s">
        <v>5053</v>
      </c>
      <c r="G184" s="8" t="s">
        <v>5564</v>
      </c>
      <c r="H184" s="8" t="s">
        <v>2660</v>
      </c>
      <c r="I184" s="8">
        <v>-2.0</v>
      </c>
      <c r="J184" s="8" t="s">
        <v>248</v>
      </c>
      <c r="K184" s="8" t="s">
        <v>22</v>
      </c>
      <c r="L184" s="8" t="s">
        <v>892</v>
      </c>
      <c r="M184" s="8" t="s">
        <v>24</v>
      </c>
      <c r="N184" s="9">
        <v>0.0</v>
      </c>
      <c r="O184" s="9">
        <v>0.6</v>
      </c>
      <c r="P184" s="9">
        <v>0.6</v>
      </c>
      <c r="Q184" s="10">
        <v>45407.0</v>
      </c>
      <c r="R184" s="11">
        <v>2.1</v>
      </c>
      <c r="S184" s="8" t="s">
        <v>70</v>
      </c>
      <c r="T184" s="12">
        <f t="shared" si="1"/>
        <v>0</v>
      </c>
      <c r="U184" s="12">
        <f t="shared" si="4"/>
        <v>3.813567345</v>
      </c>
    </row>
    <row r="185">
      <c r="A185" s="15">
        <f t="shared" si="3"/>
        <v>184</v>
      </c>
      <c r="B185" s="15" t="s">
        <v>18</v>
      </c>
      <c r="C185" s="15" t="s">
        <v>19</v>
      </c>
      <c r="D185" s="15">
        <v>33.0</v>
      </c>
      <c r="E185" s="15"/>
      <c r="F185" s="15" t="s">
        <v>5054</v>
      </c>
      <c r="G185" s="15" t="s">
        <v>5564</v>
      </c>
      <c r="H185" s="15" t="s">
        <v>2556</v>
      </c>
      <c r="I185" s="15">
        <f t="shared" ref="I185:I187" si="9">1</f>
        <v>1</v>
      </c>
      <c r="J185" s="15" t="s">
        <v>167</v>
      </c>
      <c r="K185" s="15" t="s">
        <v>22</v>
      </c>
      <c r="L185" s="15" t="s">
        <v>225</v>
      </c>
      <c r="M185" s="15" t="s">
        <v>24</v>
      </c>
      <c r="N185" s="16">
        <v>0.25</v>
      </c>
      <c r="O185" s="16">
        <v>0.8</v>
      </c>
      <c r="P185" s="16">
        <v>0.75</v>
      </c>
      <c r="Q185" s="17">
        <v>45408.0</v>
      </c>
      <c r="R185" s="18">
        <v>1.775</v>
      </c>
      <c r="S185" s="15" t="s">
        <v>25</v>
      </c>
      <c r="T185" s="19">
        <f t="shared" si="1"/>
        <v>-0.75</v>
      </c>
      <c r="U185" s="19">
        <f t="shared" si="4"/>
        <v>3.063567345</v>
      </c>
    </row>
    <row r="186">
      <c r="A186" s="8">
        <f t="shared" si="3"/>
        <v>185</v>
      </c>
      <c r="B186" s="8" t="s">
        <v>26</v>
      </c>
      <c r="C186" s="8" t="s">
        <v>19</v>
      </c>
      <c r="D186" s="8"/>
      <c r="E186" s="8"/>
      <c r="F186" s="8" t="s">
        <v>5055</v>
      </c>
      <c r="G186" s="8" t="s">
        <v>5565</v>
      </c>
      <c r="H186" s="8" t="s">
        <v>2660</v>
      </c>
      <c r="I186" s="8">
        <f t="shared" si="9"/>
        <v>1</v>
      </c>
      <c r="J186" s="8" t="s">
        <v>583</v>
      </c>
      <c r="K186" s="8" t="s">
        <v>22</v>
      </c>
      <c r="L186" s="8" t="s">
        <v>1150</v>
      </c>
      <c r="M186" s="8" t="s">
        <v>24</v>
      </c>
      <c r="N186" s="9">
        <v>0.0</v>
      </c>
      <c r="O186" s="9">
        <v>1.0</v>
      </c>
      <c r="P186" s="9">
        <v>1.0</v>
      </c>
      <c r="Q186" s="10">
        <v>45408.0</v>
      </c>
      <c r="R186" s="11">
        <v>1.725</v>
      </c>
      <c r="S186" s="8" t="s">
        <v>70</v>
      </c>
      <c r="T186" s="12">
        <f t="shared" si="1"/>
        <v>0</v>
      </c>
      <c r="U186" s="12">
        <f t="shared" si="4"/>
        <v>3.063567345</v>
      </c>
    </row>
    <row r="187">
      <c r="A187" s="15">
        <f t="shared" si="3"/>
        <v>186</v>
      </c>
      <c r="B187" s="15" t="s">
        <v>4225</v>
      </c>
      <c r="C187" s="15" t="s">
        <v>40</v>
      </c>
      <c r="D187" s="15"/>
      <c r="E187" s="15"/>
      <c r="F187" s="15" t="s">
        <v>5056</v>
      </c>
      <c r="G187" s="15" t="s">
        <v>5565</v>
      </c>
      <c r="H187" s="15" t="s">
        <v>2556</v>
      </c>
      <c r="I187" s="15">
        <f t="shared" si="9"/>
        <v>1</v>
      </c>
      <c r="J187" s="15" t="s">
        <v>820</v>
      </c>
      <c r="K187" s="15" t="s">
        <v>22</v>
      </c>
      <c r="L187" s="15" t="s">
        <v>225</v>
      </c>
      <c r="M187" s="15" t="s">
        <v>3460</v>
      </c>
      <c r="N187" s="16">
        <v>0.25</v>
      </c>
      <c r="O187" s="16">
        <v>1.0</v>
      </c>
      <c r="P187" s="16">
        <v>1.0</v>
      </c>
      <c r="Q187" s="17">
        <v>45408.0</v>
      </c>
      <c r="R187" s="18">
        <v>1.75</v>
      </c>
      <c r="S187" s="15" t="s">
        <v>25</v>
      </c>
      <c r="T187" s="19">
        <f t="shared" si="1"/>
        <v>-1</v>
      </c>
      <c r="U187" s="19">
        <f t="shared" si="4"/>
        <v>2.063567345</v>
      </c>
    </row>
    <row r="188">
      <c r="A188" s="8">
        <f t="shared" si="3"/>
        <v>187</v>
      </c>
      <c r="B188" s="8" t="s">
        <v>137</v>
      </c>
      <c r="C188" s="8" t="s">
        <v>19</v>
      </c>
      <c r="D188" s="8"/>
      <c r="E188" s="8"/>
      <c r="F188" s="8" t="s">
        <v>5057</v>
      </c>
      <c r="G188" s="8" t="s">
        <v>5565</v>
      </c>
      <c r="H188" s="8" t="s">
        <v>2660</v>
      </c>
      <c r="I188" s="8">
        <v>0.0</v>
      </c>
      <c r="J188" s="8" t="s">
        <v>231</v>
      </c>
      <c r="K188" s="8" t="s">
        <v>22</v>
      </c>
      <c r="L188" s="8" t="s">
        <v>892</v>
      </c>
      <c r="M188" s="8" t="s">
        <v>24</v>
      </c>
      <c r="N188" s="9">
        <v>0.0</v>
      </c>
      <c r="O188" s="9">
        <v>1.0</v>
      </c>
      <c r="P188" s="9">
        <v>1.0</v>
      </c>
      <c r="Q188" s="10">
        <v>45408.0</v>
      </c>
      <c r="R188" s="11">
        <v>1.65</v>
      </c>
      <c r="S188" s="8" t="s">
        <v>70</v>
      </c>
      <c r="T188" s="12">
        <f t="shared" si="1"/>
        <v>0</v>
      </c>
      <c r="U188" s="12">
        <f t="shared" si="4"/>
        <v>2.063567345</v>
      </c>
    </row>
    <row r="189">
      <c r="A189" s="15">
        <f t="shared" si="3"/>
        <v>188</v>
      </c>
      <c r="B189" s="15"/>
      <c r="C189" s="15" t="s">
        <v>19</v>
      </c>
      <c r="D189" s="15">
        <v>36.0</v>
      </c>
      <c r="E189" s="15"/>
      <c r="F189" s="15" t="s">
        <v>5058</v>
      </c>
      <c r="G189" s="15" t="s">
        <v>5565</v>
      </c>
      <c r="H189" s="15" t="s">
        <v>2660</v>
      </c>
      <c r="I189" s="15">
        <f>1</f>
        <v>1</v>
      </c>
      <c r="J189" s="15" t="s">
        <v>44</v>
      </c>
      <c r="K189" s="15" t="s">
        <v>22</v>
      </c>
      <c r="L189" s="15" t="s">
        <v>1150</v>
      </c>
      <c r="M189" s="15" t="s">
        <v>24</v>
      </c>
      <c r="N189" s="16">
        <v>0.0</v>
      </c>
      <c r="O189" s="16">
        <v>0.25</v>
      </c>
      <c r="P189" s="16">
        <v>0.21</v>
      </c>
      <c r="Q189" s="17">
        <v>45408.0</v>
      </c>
      <c r="R189" s="18">
        <v>1.775</v>
      </c>
      <c r="S189" s="15" t="s">
        <v>70</v>
      </c>
      <c r="T189" s="19">
        <f t="shared" si="1"/>
        <v>0</v>
      </c>
      <c r="U189" s="19">
        <f t="shared" si="4"/>
        <v>2.063567345</v>
      </c>
    </row>
    <row r="190">
      <c r="A190" s="8">
        <f t="shared" si="3"/>
        <v>189</v>
      </c>
      <c r="B190" s="8" t="s">
        <v>18</v>
      </c>
      <c r="C190" s="8" t="s">
        <v>19</v>
      </c>
      <c r="D190" s="8">
        <v>76.0</v>
      </c>
      <c r="E190" s="8"/>
      <c r="F190" s="8" t="s">
        <v>5059</v>
      </c>
      <c r="G190" s="8" t="s">
        <v>5564</v>
      </c>
      <c r="H190" s="8" t="s">
        <v>2660</v>
      </c>
      <c r="I190" s="8">
        <v>-2.0</v>
      </c>
      <c r="J190" s="8" t="s">
        <v>248</v>
      </c>
      <c r="K190" s="8" t="s">
        <v>22</v>
      </c>
      <c r="L190" s="8" t="s">
        <v>892</v>
      </c>
      <c r="M190" s="8" t="s">
        <v>24</v>
      </c>
      <c r="N190" s="9">
        <v>0.0</v>
      </c>
      <c r="O190" s="9">
        <v>0.5</v>
      </c>
      <c r="P190" s="9">
        <v>0.49</v>
      </c>
      <c r="Q190" s="10">
        <v>45408.0</v>
      </c>
      <c r="R190" s="11">
        <v>2.1</v>
      </c>
      <c r="S190" s="8" t="s">
        <v>70</v>
      </c>
      <c r="T190" s="12">
        <f t="shared" si="1"/>
        <v>0</v>
      </c>
      <c r="U190" s="12">
        <f t="shared" si="4"/>
        <v>2.063567345</v>
      </c>
    </row>
    <row r="191">
      <c r="A191" s="15">
        <f t="shared" si="3"/>
        <v>190</v>
      </c>
      <c r="B191" s="15"/>
      <c r="C191" s="15" t="s">
        <v>19</v>
      </c>
      <c r="D191" s="15">
        <v>32.0</v>
      </c>
      <c r="E191" s="15"/>
      <c r="F191" s="15" t="s">
        <v>5060</v>
      </c>
      <c r="G191" s="15" t="s">
        <v>5565</v>
      </c>
      <c r="H191" s="15" t="s">
        <v>2660</v>
      </c>
      <c r="I191" s="15">
        <v>0.0</v>
      </c>
      <c r="J191" s="15" t="s">
        <v>82</v>
      </c>
      <c r="K191" s="15" t="s">
        <v>22</v>
      </c>
      <c r="L191" s="15" t="s">
        <v>1150</v>
      </c>
      <c r="M191" s="15" t="s">
        <v>24</v>
      </c>
      <c r="N191" s="16">
        <v>0.0</v>
      </c>
      <c r="O191" s="16">
        <v>0.9</v>
      </c>
      <c r="P191" s="16">
        <v>0.83</v>
      </c>
      <c r="Q191" s="55">
        <v>45408.0</v>
      </c>
      <c r="R191" s="18">
        <v>1.7</v>
      </c>
      <c r="S191" s="15" t="s">
        <v>70</v>
      </c>
      <c r="T191" s="19">
        <f t="shared" si="1"/>
        <v>0</v>
      </c>
      <c r="U191" s="19">
        <f t="shared" si="4"/>
        <v>2.063567345</v>
      </c>
    </row>
    <row r="192">
      <c r="A192" s="8">
        <f t="shared" si="3"/>
        <v>191</v>
      </c>
      <c r="B192" s="8" t="s">
        <v>26</v>
      </c>
      <c r="C192" s="8" t="s">
        <v>19</v>
      </c>
      <c r="D192" s="8">
        <v>74.0</v>
      </c>
      <c r="E192" s="8"/>
      <c r="F192" s="8" t="s">
        <v>5061</v>
      </c>
      <c r="G192" s="8" t="s">
        <v>5564</v>
      </c>
      <c r="H192" s="8" t="s">
        <v>2660</v>
      </c>
      <c r="I192" s="8">
        <v>0.0</v>
      </c>
      <c r="J192" s="8" t="s">
        <v>44</v>
      </c>
      <c r="K192" s="8" t="s">
        <v>22</v>
      </c>
      <c r="L192" s="8" t="s">
        <v>892</v>
      </c>
      <c r="M192" s="8" t="s">
        <v>24</v>
      </c>
      <c r="N192" s="9">
        <v>0.0</v>
      </c>
      <c r="O192" s="9">
        <v>0.6</v>
      </c>
      <c r="P192" s="9">
        <v>0.41</v>
      </c>
      <c r="Q192" s="10">
        <v>45408.0</v>
      </c>
      <c r="R192" s="11">
        <v>2.3</v>
      </c>
      <c r="S192" s="8" t="s">
        <v>70</v>
      </c>
      <c r="T192" s="12">
        <f t="shared" si="1"/>
        <v>0</v>
      </c>
      <c r="U192" s="12">
        <f t="shared" si="4"/>
        <v>2.063567345</v>
      </c>
    </row>
    <row r="193">
      <c r="A193" s="15">
        <f t="shared" si="3"/>
        <v>192</v>
      </c>
      <c r="B193" s="15" t="s">
        <v>26</v>
      </c>
      <c r="C193" s="15" t="s">
        <v>19</v>
      </c>
      <c r="D193" s="15">
        <v>34.0</v>
      </c>
      <c r="E193" s="15"/>
      <c r="F193" s="15" t="s">
        <v>5062</v>
      </c>
      <c r="G193" s="15" t="s">
        <v>5565</v>
      </c>
      <c r="H193" s="15" t="s">
        <v>2556</v>
      </c>
      <c r="I193" s="15">
        <v>-2.0</v>
      </c>
      <c r="J193" s="15" t="s">
        <v>169</v>
      </c>
      <c r="K193" s="15" t="s">
        <v>22</v>
      </c>
      <c r="L193" s="15" t="s">
        <v>225</v>
      </c>
      <c r="M193" s="15" t="s">
        <v>24</v>
      </c>
      <c r="N193" s="16">
        <v>0.25</v>
      </c>
      <c r="O193" s="16">
        <v>1.0</v>
      </c>
      <c r="P193" s="16">
        <v>0.84</v>
      </c>
      <c r="Q193" s="17">
        <v>45408.0</v>
      </c>
      <c r="R193" s="18">
        <v>1.825</v>
      </c>
      <c r="S193" s="15" t="s">
        <v>25</v>
      </c>
      <c r="T193" s="19">
        <f t="shared" si="1"/>
        <v>-0.84</v>
      </c>
      <c r="U193" s="19">
        <f t="shared" si="4"/>
        <v>1.223567345</v>
      </c>
    </row>
    <row r="194">
      <c r="A194" s="8">
        <f t="shared" si="3"/>
        <v>193</v>
      </c>
      <c r="B194" s="8" t="s">
        <v>4225</v>
      </c>
      <c r="C194" s="8" t="s">
        <v>19</v>
      </c>
      <c r="D194" s="8">
        <v>70.0</v>
      </c>
      <c r="E194" s="8"/>
      <c r="F194" s="8" t="s">
        <v>5063</v>
      </c>
      <c r="G194" s="8" t="s">
        <v>5564</v>
      </c>
      <c r="H194" s="8" t="s">
        <v>2556</v>
      </c>
      <c r="I194" s="8">
        <v>-1.0</v>
      </c>
      <c r="J194" s="8" t="s">
        <v>82</v>
      </c>
      <c r="K194" s="8" t="s">
        <v>22</v>
      </c>
      <c r="L194" s="8" t="s">
        <v>225</v>
      </c>
      <c r="M194" s="8" t="s">
        <v>24</v>
      </c>
      <c r="N194" s="9">
        <v>0.25</v>
      </c>
      <c r="O194" s="9">
        <v>0.8</v>
      </c>
      <c r="P194" s="9">
        <v>0.72</v>
      </c>
      <c r="Q194" s="10">
        <v>45408.0</v>
      </c>
      <c r="R194" s="11">
        <v>2.025</v>
      </c>
      <c r="S194" s="8" t="s">
        <v>25</v>
      </c>
      <c r="T194" s="12">
        <f t="shared" si="1"/>
        <v>-0.72</v>
      </c>
      <c r="U194" s="12">
        <f t="shared" si="4"/>
        <v>0.5035673453</v>
      </c>
    </row>
    <row r="195">
      <c r="A195" s="15">
        <f t="shared" si="3"/>
        <v>194</v>
      </c>
      <c r="B195" s="15" t="s">
        <v>18</v>
      </c>
      <c r="C195" s="15" t="s">
        <v>40</v>
      </c>
      <c r="D195" s="15">
        <v>74.0</v>
      </c>
      <c r="E195" s="15"/>
      <c r="F195" s="15" t="s">
        <v>5064</v>
      </c>
      <c r="G195" s="15" t="s">
        <v>5565</v>
      </c>
      <c r="H195" s="15" t="s">
        <v>2660</v>
      </c>
      <c r="I195" s="15">
        <v>0.0</v>
      </c>
      <c r="J195" s="15" t="s">
        <v>920</v>
      </c>
      <c r="K195" s="15" t="s">
        <v>22</v>
      </c>
      <c r="L195" s="15" t="s">
        <v>892</v>
      </c>
      <c r="M195" s="15" t="s">
        <v>24</v>
      </c>
      <c r="N195" s="16">
        <v>0.0</v>
      </c>
      <c r="O195" s="16">
        <v>0.8</v>
      </c>
      <c r="P195" s="16">
        <v>0.72</v>
      </c>
      <c r="Q195" s="17">
        <v>45409.0</v>
      </c>
      <c r="R195" s="18">
        <v>1.825</v>
      </c>
      <c r="S195" s="15" t="s">
        <v>25</v>
      </c>
      <c r="T195" s="19">
        <f t="shared" si="1"/>
        <v>-0.72</v>
      </c>
      <c r="U195" s="19">
        <f t="shared" si="4"/>
        <v>-0.2164326547</v>
      </c>
    </row>
    <row r="196">
      <c r="A196" s="8">
        <f t="shared" si="3"/>
        <v>195</v>
      </c>
      <c r="B196" s="8" t="s">
        <v>26</v>
      </c>
      <c r="C196" s="8" t="s">
        <v>19</v>
      </c>
      <c r="D196" s="8">
        <v>42.0</v>
      </c>
      <c r="E196" s="8"/>
      <c r="F196" s="8" t="s">
        <v>5065</v>
      </c>
      <c r="G196" s="8" t="s">
        <v>5564</v>
      </c>
      <c r="H196" s="8" t="s">
        <v>2556</v>
      </c>
      <c r="I196" s="8">
        <v>3</v>
      </c>
      <c r="J196" s="8" t="s">
        <v>940</v>
      </c>
      <c r="K196" s="8" t="s">
        <v>22</v>
      </c>
      <c r="L196" s="8" t="s">
        <v>225</v>
      </c>
      <c r="M196" s="8" t="s">
        <v>24</v>
      </c>
      <c r="N196" s="9">
        <v>0.5</v>
      </c>
      <c r="O196" s="9">
        <v>0.6</v>
      </c>
      <c r="P196" s="9">
        <v>0.47</v>
      </c>
      <c r="Q196" s="10">
        <v>45409.0</v>
      </c>
      <c r="R196" s="11">
        <v>1.333</v>
      </c>
      <c r="S196" s="8" t="s">
        <v>33</v>
      </c>
      <c r="T196" s="12">
        <f t="shared" si="1"/>
        <v>0.15651</v>
      </c>
      <c r="U196" s="12">
        <f t="shared" si="4"/>
        <v>-0.05992265467</v>
      </c>
    </row>
    <row r="197">
      <c r="A197" s="15">
        <f t="shared" si="3"/>
        <v>196</v>
      </c>
      <c r="B197" s="15" t="s">
        <v>137</v>
      </c>
      <c r="C197" s="15" t="s">
        <v>19</v>
      </c>
      <c r="D197" s="15">
        <v>18.0</v>
      </c>
      <c r="E197" s="15"/>
      <c r="F197" s="15" t="s">
        <v>5066</v>
      </c>
      <c r="G197" s="15" t="s">
        <v>5564</v>
      </c>
      <c r="H197" s="15" t="s">
        <v>2556</v>
      </c>
      <c r="I197" s="15">
        <v>0.0</v>
      </c>
      <c r="J197" s="15" t="s">
        <v>44</v>
      </c>
      <c r="K197" s="15" t="s">
        <v>22</v>
      </c>
      <c r="L197" s="15" t="s">
        <v>225</v>
      </c>
      <c r="M197" s="15" t="s">
        <v>24</v>
      </c>
      <c r="N197" s="16">
        <v>0.25</v>
      </c>
      <c r="O197" s="16">
        <v>0.1</v>
      </c>
      <c r="P197" s="16">
        <v>0.1</v>
      </c>
      <c r="Q197" s="17">
        <v>45409.0</v>
      </c>
      <c r="R197" s="18">
        <v>2.0</v>
      </c>
      <c r="S197" s="15" t="s">
        <v>25</v>
      </c>
      <c r="T197" s="19">
        <f t="shared" si="1"/>
        <v>-0.1</v>
      </c>
      <c r="U197" s="19">
        <f t="shared" si="4"/>
        <v>-0.1599226547</v>
      </c>
    </row>
    <row r="198">
      <c r="A198" s="8">
        <f t="shared" si="3"/>
        <v>197</v>
      </c>
      <c r="B198" s="8" t="s">
        <v>129</v>
      </c>
      <c r="C198" s="8" t="s">
        <v>19</v>
      </c>
      <c r="D198" s="8">
        <v>68.0</v>
      </c>
      <c r="E198" s="8"/>
      <c r="F198" s="8" t="s">
        <v>5067</v>
      </c>
      <c r="G198" s="8" t="s">
        <v>5564</v>
      </c>
      <c r="H198" s="8" t="s">
        <v>2660</v>
      </c>
      <c r="I198" s="8">
        <v>0.0</v>
      </c>
      <c r="J198" s="8" t="s">
        <v>463</v>
      </c>
      <c r="K198" s="8" t="s">
        <v>22</v>
      </c>
      <c r="L198" s="8" t="s">
        <v>892</v>
      </c>
      <c r="M198" s="8" t="s">
        <v>24</v>
      </c>
      <c r="N198" s="9">
        <v>0.0</v>
      </c>
      <c r="O198" s="9">
        <v>1.0</v>
      </c>
      <c r="P198" s="9">
        <v>0.88</v>
      </c>
      <c r="Q198" s="10">
        <v>45409.0</v>
      </c>
      <c r="R198" s="11">
        <v>2.075</v>
      </c>
      <c r="S198" s="8" t="s">
        <v>70</v>
      </c>
      <c r="T198" s="12">
        <f t="shared" si="1"/>
        <v>0</v>
      </c>
      <c r="U198" s="12">
        <f t="shared" si="4"/>
        <v>-0.1599226547</v>
      </c>
    </row>
    <row r="199">
      <c r="A199" s="15">
        <f t="shared" si="3"/>
        <v>198</v>
      </c>
      <c r="B199" s="15" t="s">
        <v>137</v>
      </c>
      <c r="C199" s="15" t="s">
        <v>19</v>
      </c>
      <c r="D199" s="15"/>
      <c r="E199" s="15"/>
      <c r="F199" s="15" t="s">
        <v>5068</v>
      </c>
      <c r="G199" s="15" t="s">
        <v>5564</v>
      </c>
      <c r="H199" s="15" t="s">
        <v>2660</v>
      </c>
      <c r="I199" s="15">
        <v>-2.0</v>
      </c>
      <c r="J199" s="15" t="s">
        <v>93</v>
      </c>
      <c r="K199" s="15" t="s">
        <v>22</v>
      </c>
      <c r="L199" s="15" t="s">
        <v>892</v>
      </c>
      <c r="M199" s="15" t="s">
        <v>24</v>
      </c>
      <c r="N199" s="16">
        <v>0.0</v>
      </c>
      <c r="O199" s="16">
        <v>1.0</v>
      </c>
      <c r="P199" s="16">
        <v>1.0</v>
      </c>
      <c r="Q199" s="17">
        <v>45409.0</v>
      </c>
      <c r="R199" s="18">
        <v>2.025</v>
      </c>
      <c r="S199" s="15" t="s">
        <v>70</v>
      </c>
      <c r="T199" s="19">
        <f t="shared" si="1"/>
        <v>0</v>
      </c>
      <c r="U199" s="19">
        <f t="shared" si="4"/>
        <v>-0.1599226547</v>
      </c>
    </row>
    <row r="200">
      <c r="A200" s="8">
        <f t="shared" si="3"/>
        <v>199</v>
      </c>
      <c r="B200" s="8" t="s">
        <v>129</v>
      </c>
      <c r="C200" s="8" t="s">
        <v>19</v>
      </c>
      <c r="D200" s="8">
        <v>39.0</v>
      </c>
      <c r="E200" s="8"/>
      <c r="F200" s="8" t="s">
        <v>5069</v>
      </c>
      <c r="G200" s="8" t="s">
        <v>5564</v>
      </c>
      <c r="H200" s="8" t="s">
        <v>2660</v>
      </c>
      <c r="I200" s="8">
        <v>0.0</v>
      </c>
      <c r="J200" s="8" t="s">
        <v>174</v>
      </c>
      <c r="K200" s="8" t="s">
        <v>22</v>
      </c>
      <c r="L200" s="8" t="s">
        <v>892</v>
      </c>
      <c r="M200" s="8" t="s">
        <v>24</v>
      </c>
      <c r="N200" s="9">
        <v>0.0</v>
      </c>
      <c r="O200" s="9">
        <v>0.5</v>
      </c>
      <c r="P200" s="9">
        <v>0.48</v>
      </c>
      <c r="Q200" s="10">
        <v>45409.0</v>
      </c>
      <c r="R200" s="11">
        <v>1.8</v>
      </c>
      <c r="S200" s="8" t="s">
        <v>70</v>
      </c>
      <c r="T200" s="12">
        <f t="shared" si="1"/>
        <v>0</v>
      </c>
      <c r="U200" s="12">
        <f t="shared" si="4"/>
        <v>-0.1599226547</v>
      </c>
    </row>
    <row r="201">
      <c r="A201" s="15">
        <f t="shared" si="3"/>
        <v>200</v>
      </c>
      <c r="B201" s="15" t="s">
        <v>26</v>
      </c>
      <c r="C201" s="15" t="s">
        <v>19</v>
      </c>
      <c r="D201" s="15">
        <v>25.0</v>
      </c>
      <c r="E201" s="15"/>
      <c r="F201" s="15" t="s">
        <v>5070</v>
      </c>
      <c r="G201" s="15" t="s">
        <v>5565</v>
      </c>
      <c r="H201" s="15" t="s">
        <v>2556</v>
      </c>
      <c r="I201" s="15">
        <v>-1.0</v>
      </c>
      <c r="J201" s="15" t="s">
        <v>1006</v>
      </c>
      <c r="K201" s="15" t="s">
        <v>22</v>
      </c>
      <c r="L201" s="15" t="s">
        <v>225</v>
      </c>
      <c r="M201" s="15" t="s">
        <v>24</v>
      </c>
      <c r="N201" s="16">
        <v>0.5</v>
      </c>
      <c r="O201" s="16">
        <v>1.0</v>
      </c>
      <c r="P201" s="16">
        <v>0.94</v>
      </c>
      <c r="Q201" s="17">
        <v>45410.0</v>
      </c>
      <c r="R201" s="18">
        <v>1.75</v>
      </c>
      <c r="S201" s="15" t="s">
        <v>25</v>
      </c>
      <c r="T201" s="19">
        <f t="shared" si="1"/>
        <v>-0.94</v>
      </c>
      <c r="U201" s="19">
        <f t="shared" si="4"/>
        <v>-1.099922655</v>
      </c>
    </row>
    <row r="202">
      <c r="A202" s="8">
        <f t="shared" si="3"/>
        <v>201</v>
      </c>
      <c r="B202" s="8" t="s">
        <v>137</v>
      </c>
      <c r="C202" s="8" t="s">
        <v>19</v>
      </c>
      <c r="D202" s="8">
        <v>32.0</v>
      </c>
      <c r="E202" s="8"/>
      <c r="F202" s="8" t="s">
        <v>5071</v>
      </c>
      <c r="G202" s="8" t="s">
        <v>5564</v>
      </c>
      <c r="H202" s="8" t="s">
        <v>2660</v>
      </c>
      <c r="I202" s="8">
        <v>0.0</v>
      </c>
      <c r="J202" s="8" t="s">
        <v>316</v>
      </c>
      <c r="K202" s="8" t="s">
        <v>22</v>
      </c>
      <c r="L202" s="8" t="s">
        <v>1150</v>
      </c>
      <c r="M202" s="8" t="s">
        <v>24</v>
      </c>
      <c r="N202" s="9">
        <v>0.0</v>
      </c>
      <c r="O202" s="9">
        <v>0.5</v>
      </c>
      <c r="P202" s="9">
        <v>0.49</v>
      </c>
      <c r="Q202" s="10">
        <v>45410.0</v>
      </c>
      <c r="R202" s="11">
        <v>2.0</v>
      </c>
      <c r="S202" s="8" t="s">
        <v>70</v>
      </c>
      <c r="T202" s="12">
        <f t="shared" si="1"/>
        <v>0</v>
      </c>
      <c r="U202" s="12">
        <f t="shared" si="4"/>
        <v>-1.099922655</v>
      </c>
    </row>
    <row r="203">
      <c r="A203" s="15">
        <f t="shared" si="3"/>
        <v>202</v>
      </c>
      <c r="B203" s="15" t="s">
        <v>129</v>
      </c>
      <c r="C203" s="15" t="s">
        <v>19</v>
      </c>
      <c r="D203" s="15">
        <v>28.0</v>
      </c>
      <c r="E203" s="15"/>
      <c r="F203" s="15" t="s">
        <v>5072</v>
      </c>
      <c r="G203" s="15" t="s">
        <v>5564</v>
      </c>
      <c r="H203" s="15" t="s">
        <v>2660</v>
      </c>
      <c r="I203" s="15">
        <v>0.0</v>
      </c>
      <c r="J203" s="15" t="s">
        <v>1470</v>
      </c>
      <c r="K203" s="15" t="s">
        <v>22</v>
      </c>
      <c r="L203" s="15" t="s">
        <v>892</v>
      </c>
      <c r="M203" s="15" t="s">
        <v>24</v>
      </c>
      <c r="N203" s="16">
        <v>0.0</v>
      </c>
      <c r="O203" s="16">
        <v>0.4</v>
      </c>
      <c r="P203" s="16">
        <v>0.36</v>
      </c>
      <c r="Q203" s="17">
        <v>45410.0</v>
      </c>
      <c r="R203" s="18">
        <v>1.75</v>
      </c>
      <c r="S203" s="15" t="s">
        <v>70</v>
      </c>
      <c r="T203" s="19">
        <f t="shared" si="1"/>
        <v>0</v>
      </c>
      <c r="U203" s="19">
        <f t="shared" si="4"/>
        <v>-1.099922655</v>
      </c>
    </row>
    <row r="204">
      <c r="A204" s="8">
        <f t="shared" si="3"/>
        <v>203</v>
      </c>
      <c r="B204" s="8" t="s">
        <v>18</v>
      </c>
      <c r="C204" s="8" t="s">
        <v>19</v>
      </c>
      <c r="D204" s="8">
        <v>55.0</v>
      </c>
      <c r="E204" s="8"/>
      <c r="F204" s="8" t="s">
        <v>5073</v>
      </c>
      <c r="G204" s="8" t="s">
        <v>5564</v>
      </c>
      <c r="H204" s="8" t="s">
        <v>2556</v>
      </c>
      <c r="I204" s="8">
        <v>-1.0</v>
      </c>
      <c r="J204" s="8" t="s">
        <v>101</v>
      </c>
      <c r="K204" s="8" t="s">
        <v>22</v>
      </c>
      <c r="L204" s="8" t="s">
        <v>225</v>
      </c>
      <c r="M204" s="8" t="s">
        <v>24</v>
      </c>
      <c r="N204" s="9">
        <v>0.25</v>
      </c>
      <c r="O204" s="9">
        <v>1.0</v>
      </c>
      <c r="P204" s="9">
        <v>1.0</v>
      </c>
      <c r="Q204" s="10">
        <v>45410.0</v>
      </c>
      <c r="R204" s="11">
        <v>1.7</v>
      </c>
      <c r="S204" s="8" t="s">
        <v>30</v>
      </c>
      <c r="T204" s="12">
        <f t="shared" si="1"/>
        <v>0.35</v>
      </c>
      <c r="U204" s="12">
        <f t="shared" si="4"/>
        <v>-0.7499226547</v>
      </c>
    </row>
    <row r="205">
      <c r="A205" s="15">
        <f t="shared" si="3"/>
        <v>204</v>
      </c>
      <c r="B205" s="15" t="s">
        <v>137</v>
      </c>
      <c r="C205" s="15" t="s">
        <v>19</v>
      </c>
      <c r="D205" s="15">
        <v>31.0</v>
      </c>
      <c r="E205" s="15"/>
      <c r="F205" s="15" t="s">
        <v>5074</v>
      </c>
      <c r="G205" s="15" t="s">
        <v>5564</v>
      </c>
      <c r="H205" s="15" t="s">
        <v>2556</v>
      </c>
      <c r="I205" s="15">
        <v>0.0</v>
      </c>
      <c r="J205" s="15" t="s">
        <v>1175</v>
      </c>
      <c r="K205" s="15" t="s">
        <v>22</v>
      </c>
      <c r="L205" s="15" t="s">
        <v>225</v>
      </c>
      <c r="M205" s="15" t="s">
        <v>24</v>
      </c>
      <c r="N205" s="16">
        <v>0.25</v>
      </c>
      <c r="O205" s="16">
        <v>1.0</v>
      </c>
      <c r="P205" s="16">
        <v>0.86</v>
      </c>
      <c r="Q205" s="17">
        <v>45410.0</v>
      </c>
      <c r="R205" s="18">
        <v>1.71</v>
      </c>
      <c r="S205" s="15" t="s">
        <v>33</v>
      </c>
      <c r="T205" s="19">
        <f t="shared" si="1"/>
        <v>0.6106</v>
      </c>
      <c r="U205" s="19">
        <f t="shared" si="4"/>
        <v>-0.1393226547</v>
      </c>
    </row>
    <row r="206">
      <c r="A206" s="8">
        <f t="shared" si="3"/>
        <v>205</v>
      </c>
      <c r="B206" s="8" t="s">
        <v>137</v>
      </c>
      <c r="C206" s="8" t="s">
        <v>19</v>
      </c>
      <c r="D206" s="8">
        <v>80.0</v>
      </c>
      <c r="E206" s="8"/>
      <c r="F206" s="8" t="s">
        <v>5075</v>
      </c>
      <c r="G206" s="8" t="s">
        <v>5565</v>
      </c>
      <c r="H206" s="8" t="s">
        <v>2660</v>
      </c>
      <c r="I206" s="8">
        <v>0.0</v>
      </c>
      <c r="J206" s="8" t="s">
        <v>121</v>
      </c>
      <c r="K206" s="8" t="s">
        <v>22</v>
      </c>
      <c r="L206" s="8" t="s">
        <v>892</v>
      </c>
      <c r="M206" s="8" t="s">
        <v>24</v>
      </c>
      <c r="N206" s="9">
        <v>0.0</v>
      </c>
      <c r="O206" s="9">
        <v>0.5</v>
      </c>
      <c r="P206" s="9">
        <v>0.49</v>
      </c>
      <c r="Q206" s="10">
        <v>45410.0</v>
      </c>
      <c r="R206" s="11">
        <v>2.05</v>
      </c>
      <c r="S206" s="8" t="s">
        <v>25</v>
      </c>
      <c r="T206" s="12">
        <f t="shared" si="1"/>
        <v>-0.49</v>
      </c>
      <c r="U206" s="12">
        <f t="shared" si="4"/>
        <v>-0.6293226547</v>
      </c>
    </row>
    <row r="207">
      <c r="A207" s="15">
        <f t="shared" si="3"/>
        <v>206</v>
      </c>
      <c r="B207" s="15" t="s">
        <v>26</v>
      </c>
      <c r="C207" s="15" t="s">
        <v>40</v>
      </c>
      <c r="D207" s="15">
        <v>24.0</v>
      </c>
      <c r="E207" s="15"/>
      <c r="F207" s="15" t="s">
        <v>5076</v>
      </c>
      <c r="G207" s="15" t="s">
        <v>5564</v>
      </c>
      <c r="H207" s="15" t="s">
        <v>2660</v>
      </c>
      <c r="I207" s="15">
        <v>0.0</v>
      </c>
      <c r="J207" s="15" t="s">
        <v>66</v>
      </c>
      <c r="K207" s="15" t="s">
        <v>22</v>
      </c>
      <c r="L207" s="15" t="s">
        <v>1150</v>
      </c>
      <c r="M207" s="15" t="s">
        <v>24</v>
      </c>
      <c r="N207" s="16">
        <v>0.0</v>
      </c>
      <c r="O207" s="16">
        <v>0.5</v>
      </c>
      <c r="P207" s="16">
        <v>0.48</v>
      </c>
      <c r="Q207" s="17">
        <v>45410.0</v>
      </c>
      <c r="R207" s="18">
        <v>1.725</v>
      </c>
      <c r="S207" s="15" t="s">
        <v>25</v>
      </c>
      <c r="T207" s="19">
        <f t="shared" si="1"/>
        <v>-0.48</v>
      </c>
      <c r="U207" s="19">
        <f t="shared" si="4"/>
        <v>-1.109322655</v>
      </c>
    </row>
    <row r="208">
      <c r="A208" s="8">
        <f t="shared" si="3"/>
        <v>207</v>
      </c>
      <c r="B208" s="8" t="s">
        <v>26</v>
      </c>
      <c r="C208" s="8" t="s">
        <v>19</v>
      </c>
      <c r="D208" s="8">
        <v>81.0</v>
      </c>
      <c r="E208" s="8"/>
      <c r="F208" s="8" t="s">
        <v>5077</v>
      </c>
      <c r="G208" s="8" t="s">
        <v>5565</v>
      </c>
      <c r="H208" s="8" t="s">
        <v>2660</v>
      </c>
      <c r="I208" s="8">
        <v>0.0</v>
      </c>
      <c r="J208" s="8" t="s">
        <v>101</v>
      </c>
      <c r="K208" s="8" t="s">
        <v>22</v>
      </c>
      <c r="L208" s="8" t="s">
        <v>892</v>
      </c>
      <c r="M208" s="8" t="s">
        <v>24</v>
      </c>
      <c r="N208" s="9">
        <v>0.0</v>
      </c>
      <c r="O208" s="9">
        <v>0.2</v>
      </c>
      <c r="P208" s="9">
        <v>0.03</v>
      </c>
      <c r="Q208" s="10">
        <v>45410.0</v>
      </c>
      <c r="R208" s="11">
        <v>1.775</v>
      </c>
      <c r="S208" s="8" t="s">
        <v>33</v>
      </c>
      <c r="T208" s="12">
        <f t="shared" si="1"/>
        <v>0.02325</v>
      </c>
      <c r="U208" s="12">
        <f t="shared" si="4"/>
        <v>-1.086072655</v>
      </c>
    </row>
    <row r="209">
      <c r="A209" s="15">
        <f t="shared" si="3"/>
        <v>208</v>
      </c>
      <c r="B209" s="15" t="s">
        <v>137</v>
      </c>
      <c r="C209" s="15" t="s">
        <v>19</v>
      </c>
      <c r="D209" s="15">
        <v>44.0</v>
      </c>
      <c r="E209" s="15"/>
      <c r="F209" s="15" t="s">
        <v>5078</v>
      </c>
      <c r="G209" s="15" t="s">
        <v>5564</v>
      </c>
      <c r="H209" s="15" t="s">
        <v>2556</v>
      </c>
      <c r="I209" s="15">
        <v>0.0</v>
      </c>
      <c r="J209" s="15" t="s">
        <v>415</v>
      </c>
      <c r="K209" s="15" t="s">
        <v>22</v>
      </c>
      <c r="L209" s="15" t="s">
        <v>225</v>
      </c>
      <c r="M209" s="15" t="s">
        <v>24</v>
      </c>
      <c r="N209" s="16">
        <v>0.25</v>
      </c>
      <c r="O209" s="16">
        <v>0.6</v>
      </c>
      <c r="P209" s="16">
        <v>0.22</v>
      </c>
      <c r="Q209" s="17">
        <v>45410.0</v>
      </c>
      <c r="R209" s="18">
        <v>1.8</v>
      </c>
      <c r="S209" s="15" t="s">
        <v>25</v>
      </c>
      <c r="T209" s="19">
        <f t="shared" si="1"/>
        <v>-0.22</v>
      </c>
      <c r="U209" s="19">
        <f t="shared" si="4"/>
        <v>-1.306072655</v>
      </c>
    </row>
    <row r="210">
      <c r="A210" s="8">
        <f t="shared" si="3"/>
        <v>209</v>
      </c>
      <c r="B210" s="8" t="s">
        <v>26</v>
      </c>
      <c r="C210" s="8" t="s">
        <v>19</v>
      </c>
      <c r="D210" s="8"/>
      <c r="E210" s="8"/>
      <c r="F210" s="8" t="s">
        <v>5079</v>
      </c>
      <c r="G210" s="8" t="s">
        <v>5565</v>
      </c>
      <c r="H210" s="8" t="s">
        <v>2660</v>
      </c>
      <c r="I210" s="8">
        <f>1</f>
        <v>1</v>
      </c>
      <c r="J210" s="8" t="s">
        <v>463</v>
      </c>
      <c r="K210" s="8" t="s">
        <v>22</v>
      </c>
      <c r="L210" s="8" t="s">
        <v>1150</v>
      </c>
      <c r="M210" s="8" t="s">
        <v>24</v>
      </c>
      <c r="N210" s="9">
        <v>0.0</v>
      </c>
      <c r="O210" s="9">
        <v>0.5</v>
      </c>
      <c r="P210" s="9">
        <v>0.49</v>
      </c>
      <c r="Q210" s="54">
        <v>45410.0</v>
      </c>
      <c r="R210" s="11">
        <v>1.8</v>
      </c>
      <c r="S210" s="8" t="s">
        <v>70</v>
      </c>
      <c r="T210" s="12">
        <f t="shared" si="1"/>
        <v>0</v>
      </c>
      <c r="U210" s="12">
        <f t="shared" si="4"/>
        <v>-1.306072655</v>
      </c>
    </row>
    <row r="211">
      <c r="A211" s="15">
        <f t="shared" si="3"/>
        <v>210</v>
      </c>
      <c r="B211" s="15" t="s">
        <v>18</v>
      </c>
      <c r="C211" s="15" t="s">
        <v>19</v>
      </c>
      <c r="D211" s="15">
        <v>66.0</v>
      </c>
      <c r="E211" s="15"/>
      <c r="F211" s="15" t="s">
        <v>5080</v>
      </c>
      <c r="G211" s="15" t="s">
        <v>5565</v>
      </c>
      <c r="H211" s="15" t="s">
        <v>2660</v>
      </c>
      <c r="I211" s="15">
        <v>-1.0</v>
      </c>
      <c r="J211" s="15" t="s">
        <v>4293</v>
      </c>
      <c r="K211" s="15" t="s">
        <v>22</v>
      </c>
      <c r="L211" s="15" t="s">
        <v>892</v>
      </c>
      <c r="M211" s="15" t="s">
        <v>24</v>
      </c>
      <c r="N211" s="16">
        <v>0.0</v>
      </c>
      <c r="O211" s="16">
        <v>0.2</v>
      </c>
      <c r="P211" s="16">
        <v>0.18</v>
      </c>
      <c r="Q211" s="17">
        <v>45410.0</v>
      </c>
      <c r="R211" s="18">
        <v>1.825</v>
      </c>
      <c r="S211" s="15" t="s">
        <v>70</v>
      </c>
      <c r="T211" s="19">
        <f t="shared" si="1"/>
        <v>0</v>
      </c>
      <c r="U211" s="19">
        <f t="shared" si="4"/>
        <v>-1.306072655</v>
      </c>
    </row>
    <row r="212">
      <c r="A212" s="8">
        <f t="shared" si="3"/>
        <v>211</v>
      </c>
      <c r="B212" s="8" t="s">
        <v>129</v>
      </c>
      <c r="C212" s="8" t="s">
        <v>40</v>
      </c>
      <c r="D212" s="8"/>
      <c r="E212" s="8"/>
      <c r="F212" s="8" t="s">
        <v>5081</v>
      </c>
      <c r="G212" s="8" t="s">
        <v>5565</v>
      </c>
      <c r="H212" s="8" t="s">
        <v>2660</v>
      </c>
      <c r="I212" s="8">
        <v>-1.0</v>
      </c>
      <c r="J212" s="8" t="s">
        <v>82</v>
      </c>
      <c r="K212" s="8" t="s">
        <v>22</v>
      </c>
      <c r="L212" s="8" t="s">
        <v>892</v>
      </c>
      <c r="M212" s="8" t="s">
        <v>24</v>
      </c>
      <c r="N212" s="9">
        <v>0.0</v>
      </c>
      <c r="O212" s="9">
        <v>1.0</v>
      </c>
      <c r="P212" s="9">
        <v>0.93</v>
      </c>
      <c r="Q212" s="10">
        <v>45410.0</v>
      </c>
      <c r="R212" s="11">
        <v>1.9</v>
      </c>
      <c r="S212" s="8" t="s">
        <v>70</v>
      </c>
      <c r="T212" s="12">
        <f t="shared" si="1"/>
        <v>0</v>
      </c>
      <c r="U212" s="12">
        <f t="shared" si="4"/>
        <v>-1.306072655</v>
      </c>
    </row>
    <row r="213">
      <c r="A213" s="15">
        <f t="shared" si="3"/>
        <v>212</v>
      </c>
      <c r="B213" s="15" t="s">
        <v>4225</v>
      </c>
      <c r="C213" s="15" t="s">
        <v>19</v>
      </c>
      <c r="D213" s="15">
        <v>61.0</v>
      </c>
      <c r="E213" s="15"/>
      <c r="F213" s="37" t="s">
        <v>5082</v>
      </c>
      <c r="G213" s="15" t="s">
        <v>5564</v>
      </c>
      <c r="H213" s="15" t="s">
        <v>2573</v>
      </c>
      <c r="I213" s="15">
        <v>0.0</v>
      </c>
      <c r="J213" s="15" t="s">
        <v>316</v>
      </c>
      <c r="K213" s="15" t="s">
        <v>22</v>
      </c>
      <c r="L213" s="15" t="s">
        <v>894</v>
      </c>
      <c r="M213" s="15" t="s">
        <v>24</v>
      </c>
      <c r="N213" s="16">
        <v>-0.5</v>
      </c>
      <c r="O213" s="16">
        <v>0.2</v>
      </c>
      <c r="P213" s="16">
        <v>0.19</v>
      </c>
      <c r="Q213" s="17">
        <v>45412.0</v>
      </c>
      <c r="R213" s="18">
        <v>1.75</v>
      </c>
      <c r="S213" s="15" t="s">
        <v>33</v>
      </c>
      <c r="T213" s="19">
        <f t="shared" si="1"/>
        <v>0.1425</v>
      </c>
      <c r="U213" s="19">
        <f t="shared" si="4"/>
        <v>-1.163572655</v>
      </c>
    </row>
    <row r="214">
      <c r="A214" s="8">
        <f t="shared" si="3"/>
        <v>213</v>
      </c>
      <c r="B214" s="8"/>
      <c r="C214" s="8"/>
      <c r="D214" s="8"/>
      <c r="E214" s="8"/>
      <c r="F214" s="47"/>
      <c r="G214" s="8"/>
      <c r="H214" s="8"/>
      <c r="I214" s="8"/>
      <c r="J214" s="8"/>
      <c r="K214" s="8"/>
      <c r="L214" s="8"/>
      <c r="M214" s="8"/>
      <c r="N214" s="9"/>
      <c r="O214" s="9"/>
      <c r="P214" s="9"/>
      <c r="Q214" s="10"/>
      <c r="R214" s="11"/>
      <c r="S214" s="8"/>
      <c r="T214" s="12" t="str">
        <f t="shared" si="1"/>
        <v/>
      </c>
      <c r="U214" s="12">
        <f t="shared" si="4"/>
        <v>-1.163572655</v>
      </c>
    </row>
    <row r="215">
      <c r="A215" s="15">
        <f t="shared" si="3"/>
        <v>214</v>
      </c>
      <c r="B215" s="15"/>
      <c r="C215" s="15"/>
      <c r="D215" s="15"/>
      <c r="E215" s="15"/>
      <c r="F215" s="42"/>
      <c r="G215" s="15"/>
      <c r="H215" s="15"/>
      <c r="I215" s="15"/>
      <c r="J215" s="15"/>
      <c r="K215" s="15"/>
      <c r="L215" s="15"/>
      <c r="M215" s="15"/>
      <c r="N215" s="16"/>
      <c r="O215" s="16"/>
      <c r="P215" s="16"/>
      <c r="Q215" s="17"/>
      <c r="R215" s="18"/>
      <c r="S215" s="15"/>
      <c r="T215" s="19" t="str">
        <f t="shared" si="1"/>
        <v/>
      </c>
      <c r="U215" s="19">
        <f t="shared" si="4"/>
        <v>-1.163572655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9"/>
      <c r="O216" s="9"/>
      <c r="P216" s="9"/>
      <c r="Q216" s="10"/>
      <c r="R216" s="11"/>
      <c r="S216" s="8"/>
      <c r="T216" s="12" t="str">
        <f t="shared" si="1"/>
        <v/>
      </c>
      <c r="U216" s="12">
        <f t="shared" si="4"/>
        <v>-1.163572655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6"/>
      <c r="O217" s="16"/>
      <c r="P217" s="16"/>
      <c r="Q217" s="17"/>
      <c r="R217" s="18"/>
      <c r="S217" s="15"/>
      <c r="T217" s="19" t="str">
        <f t="shared" si="1"/>
        <v/>
      </c>
      <c r="U217" s="19">
        <f t="shared" si="4"/>
        <v>-1.163572655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9"/>
      <c r="O218" s="9"/>
      <c r="P218" s="9"/>
      <c r="Q218" s="10"/>
      <c r="R218" s="11"/>
      <c r="S218" s="8"/>
      <c r="T218" s="12" t="str">
        <f t="shared" si="1"/>
        <v/>
      </c>
      <c r="U218" s="12">
        <f t="shared" si="4"/>
        <v>-1.163572655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"/>
      <c r="O219" s="16"/>
      <c r="P219" s="16"/>
      <c r="Q219" s="17"/>
      <c r="R219" s="18"/>
      <c r="S219" s="15"/>
      <c r="T219" s="19" t="str">
        <f t="shared" si="1"/>
        <v/>
      </c>
      <c r="U219" s="19">
        <f t="shared" si="4"/>
        <v>-1.163572655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9"/>
      <c r="O220" s="9"/>
      <c r="P220" s="9"/>
      <c r="Q220" s="10"/>
      <c r="R220" s="11"/>
      <c r="S220" s="8"/>
      <c r="T220" s="12" t="str">
        <f t="shared" si="1"/>
        <v/>
      </c>
      <c r="U220" s="12">
        <f t="shared" si="4"/>
        <v>-1.163572655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6"/>
      <c r="O221" s="16"/>
      <c r="P221" s="16"/>
      <c r="Q221" s="17"/>
      <c r="R221" s="18"/>
      <c r="S221" s="15"/>
      <c r="T221" s="19" t="str">
        <f t="shared" si="1"/>
        <v/>
      </c>
      <c r="U221" s="19">
        <f t="shared" si="4"/>
        <v>-1.163572655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9"/>
      <c r="O222" s="9"/>
      <c r="P222" s="9"/>
      <c r="Q222" s="10"/>
      <c r="R222" s="11"/>
      <c r="S222" s="8"/>
      <c r="T222" s="12" t="str">
        <f t="shared" si="1"/>
        <v/>
      </c>
      <c r="U222" s="12">
        <f t="shared" si="4"/>
        <v>-1.163572655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6"/>
      <c r="O223" s="16"/>
      <c r="P223" s="16"/>
      <c r="Q223" s="17"/>
      <c r="R223" s="18"/>
      <c r="S223" s="15"/>
      <c r="T223" s="19" t="str">
        <f t="shared" si="1"/>
        <v/>
      </c>
      <c r="U223" s="19">
        <f t="shared" si="4"/>
        <v>-1.163572655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9"/>
      <c r="O224" s="9"/>
      <c r="P224" s="9"/>
      <c r="Q224" s="10"/>
      <c r="R224" s="11"/>
      <c r="S224" s="8"/>
      <c r="T224" s="12" t="str">
        <f t="shared" si="1"/>
        <v/>
      </c>
      <c r="U224" s="12">
        <f t="shared" si="4"/>
        <v>-1.163572655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6"/>
      <c r="O225" s="16"/>
      <c r="P225" s="16"/>
      <c r="Q225" s="17"/>
      <c r="R225" s="18"/>
      <c r="S225" s="15"/>
      <c r="T225" s="19" t="str">
        <f t="shared" si="1"/>
        <v/>
      </c>
      <c r="U225" s="19">
        <f t="shared" si="4"/>
        <v>-1.163572655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9"/>
      <c r="O226" s="9"/>
      <c r="P226" s="9"/>
      <c r="Q226" s="10"/>
      <c r="R226" s="11"/>
      <c r="S226" s="8"/>
      <c r="T226" s="12" t="str">
        <f t="shared" si="1"/>
        <v/>
      </c>
      <c r="U226" s="12">
        <f t="shared" si="4"/>
        <v>-1.163572655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6"/>
      <c r="O227" s="16"/>
      <c r="P227" s="16"/>
      <c r="Q227" s="17"/>
      <c r="R227" s="18"/>
      <c r="S227" s="15"/>
      <c r="T227" s="19" t="str">
        <f t="shared" si="1"/>
        <v/>
      </c>
      <c r="U227" s="19">
        <f t="shared" si="4"/>
        <v>-1.163572655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9"/>
      <c r="O228" s="9"/>
      <c r="P228" s="9"/>
      <c r="Q228" s="10"/>
      <c r="R228" s="11"/>
      <c r="S228" s="8"/>
      <c r="T228" s="12" t="str">
        <f t="shared" si="1"/>
        <v/>
      </c>
      <c r="U228" s="12">
        <f t="shared" si="4"/>
        <v>-1.163572655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6"/>
      <c r="O229" s="16"/>
      <c r="P229" s="16"/>
      <c r="Q229" s="17"/>
      <c r="R229" s="18"/>
      <c r="S229" s="15"/>
      <c r="T229" s="19" t="str">
        <f t="shared" si="1"/>
        <v/>
      </c>
      <c r="U229" s="19">
        <f t="shared" si="4"/>
        <v>-1.163572655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9"/>
      <c r="O230" s="9"/>
      <c r="P230" s="9"/>
      <c r="Q230" s="10"/>
      <c r="R230" s="11"/>
      <c r="S230" s="8"/>
      <c r="T230" s="12" t="str">
        <f t="shared" si="1"/>
        <v/>
      </c>
      <c r="U230" s="12">
        <f t="shared" si="4"/>
        <v>-1.163572655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6"/>
      <c r="O231" s="16"/>
      <c r="P231" s="16"/>
      <c r="Q231" s="17"/>
      <c r="R231" s="18"/>
      <c r="S231" s="15"/>
      <c r="T231" s="19" t="str">
        <f t="shared" si="1"/>
        <v/>
      </c>
      <c r="U231" s="19">
        <f t="shared" si="4"/>
        <v>-1.163572655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9"/>
      <c r="O232" s="9"/>
      <c r="P232" s="9"/>
      <c r="Q232" s="10"/>
      <c r="R232" s="11"/>
      <c r="S232" s="8"/>
      <c r="T232" s="12" t="str">
        <f t="shared" si="1"/>
        <v/>
      </c>
      <c r="U232" s="12">
        <f t="shared" si="4"/>
        <v>-1.163572655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"/>
      <c r="O233" s="16"/>
      <c r="P233" s="16"/>
      <c r="Q233" s="17"/>
      <c r="R233" s="18"/>
      <c r="S233" s="15"/>
      <c r="T233" s="19" t="str">
        <f t="shared" si="1"/>
        <v/>
      </c>
      <c r="U233" s="19">
        <f t="shared" si="4"/>
        <v>-1.163572655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9"/>
      <c r="O234" s="9"/>
      <c r="P234" s="9"/>
      <c r="Q234" s="10"/>
      <c r="R234" s="11"/>
      <c r="S234" s="8"/>
      <c r="T234" s="12" t="str">
        <f t="shared" si="1"/>
        <v/>
      </c>
      <c r="U234" s="12">
        <f t="shared" si="4"/>
        <v>-1.163572655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6"/>
      <c r="O235" s="16"/>
      <c r="P235" s="16"/>
      <c r="Q235" s="17"/>
      <c r="R235" s="18"/>
      <c r="S235" s="15"/>
      <c r="T235" s="19" t="str">
        <f t="shared" si="1"/>
        <v/>
      </c>
      <c r="U235" s="19">
        <f t="shared" si="4"/>
        <v>-1.163572655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9"/>
      <c r="O236" s="9"/>
      <c r="P236" s="9"/>
      <c r="Q236" s="10"/>
      <c r="R236" s="11"/>
      <c r="S236" s="8"/>
      <c r="T236" s="12" t="str">
        <f t="shared" si="1"/>
        <v/>
      </c>
      <c r="U236" s="12">
        <f t="shared" si="4"/>
        <v>-1.163572655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6"/>
      <c r="O237" s="16"/>
      <c r="P237" s="16"/>
      <c r="Q237" s="17"/>
      <c r="R237" s="18"/>
      <c r="S237" s="15"/>
      <c r="T237" s="19" t="str">
        <f t="shared" si="1"/>
        <v/>
      </c>
      <c r="U237" s="19">
        <f t="shared" si="4"/>
        <v>-1.163572655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9"/>
      <c r="O238" s="9"/>
      <c r="P238" s="9"/>
      <c r="Q238" s="10"/>
      <c r="R238" s="11"/>
      <c r="S238" s="8"/>
      <c r="T238" s="12" t="str">
        <f t="shared" si="1"/>
        <v/>
      </c>
      <c r="U238" s="12">
        <f t="shared" si="4"/>
        <v>-1.163572655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6"/>
      <c r="O239" s="16"/>
      <c r="P239" s="16"/>
      <c r="Q239" s="17"/>
      <c r="R239" s="18"/>
      <c r="S239" s="15"/>
      <c r="T239" s="19" t="str">
        <f t="shared" si="1"/>
        <v/>
      </c>
      <c r="U239" s="19">
        <f t="shared" si="4"/>
        <v>-1.163572655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9"/>
      <c r="O240" s="9"/>
      <c r="P240" s="9"/>
      <c r="Q240" s="10"/>
      <c r="R240" s="11"/>
      <c r="S240" s="8"/>
      <c r="T240" s="12" t="str">
        <f t="shared" si="1"/>
        <v/>
      </c>
      <c r="U240" s="12">
        <f t="shared" si="4"/>
        <v>-1.163572655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6"/>
      <c r="O241" s="16"/>
      <c r="P241" s="16"/>
      <c r="Q241" s="17"/>
      <c r="R241" s="18"/>
      <c r="S241" s="15"/>
      <c r="T241" s="19" t="str">
        <f t="shared" si="1"/>
        <v/>
      </c>
      <c r="U241" s="19">
        <f t="shared" si="4"/>
        <v>-1.163572655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9"/>
      <c r="O242" s="9"/>
      <c r="P242" s="9"/>
      <c r="Q242" s="10"/>
      <c r="R242" s="11"/>
      <c r="S242" s="8"/>
      <c r="T242" s="12" t="str">
        <f t="shared" si="1"/>
        <v/>
      </c>
      <c r="U242" s="12">
        <f t="shared" si="4"/>
        <v>-1.163572655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"/>
      <c r="O243" s="16"/>
      <c r="P243" s="16"/>
      <c r="Q243" s="55"/>
      <c r="R243" s="18"/>
      <c r="S243" s="15"/>
      <c r="T243" s="19" t="str">
        <f t="shared" si="1"/>
        <v/>
      </c>
      <c r="U243" s="19">
        <f t="shared" si="4"/>
        <v>-1.163572655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9"/>
      <c r="O244" s="9"/>
      <c r="P244" s="9"/>
      <c r="Q244" s="10"/>
      <c r="R244" s="11"/>
      <c r="S244" s="8"/>
      <c r="T244" s="12" t="str">
        <f t="shared" si="1"/>
        <v/>
      </c>
      <c r="U244" s="12">
        <f t="shared" si="4"/>
        <v>-1.163572655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6"/>
      <c r="O245" s="16"/>
      <c r="P245" s="16"/>
      <c r="Q245" s="17"/>
      <c r="R245" s="18"/>
      <c r="S245" s="15"/>
      <c r="T245" s="19" t="str">
        <f t="shared" si="1"/>
        <v/>
      </c>
      <c r="U245" s="19">
        <f t="shared" si="4"/>
        <v>-1.163572655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9"/>
      <c r="O246" s="9"/>
      <c r="P246" s="9"/>
      <c r="Q246" s="10"/>
      <c r="R246" s="11"/>
      <c r="S246" s="8"/>
      <c r="T246" s="12" t="str">
        <f t="shared" si="1"/>
        <v/>
      </c>
      <c r="U246" s="12">
        <f t="shared" si="4"/>
        <v>-1.163572655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6"/>
      <c r="O247" s="16"/>
      <c r="P247" s="16"/>
      <c r="Q247" s="17"/>
      <c r="R247" s="18"/>
      <c r="S247" s="15"/>
      <c r="T247" s="19" t="str">
        <f t="shared" si="1"/>
        <v/>
      </c>
      <c r="U247" s="19">
        <f t="shared" si="4"/>
        <v>-1.163572655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9"/>
      <c r="O248" s="9"/>
      <c r="P248" s="9"/>
      <c r="Q248" s="10"/>
      <c r="R248" s="11"/>
      <c r="S248" s="8"/>
      <c r="T248" s="12" t="str">
        <f t="shared" si="1"/>
        <v/>
      </c>
      <c r="U248" s="12">
        <f t="shared" si="4"/>
        <v>-1.163572655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6"/>
      <c r="O249" s="16"/>
      <c r="P249" s="16"/>
      <c r="Q249" s="17"/>
      <c r="R249" s="18"/>
      <c r="S249" s="15"/>
      <c r="T249" s="19" t="str">
        <f t="shared" si="1"/>
        <v/>
      </c>
      <c r="U249" s="19">
        <f t="shared" si="4"/>
        <v>-1.163572655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9"/>
      <c r="P250" s="9"/>
      <c r="Q250" s="10"/>
      <c r="R250" s="11"/>
      <c r="S250" s="8"/>
      <c r="T250" s="12" t="str">
        <f t="shared" si="1"/>
        <v/>
      </c>
      <c r="U250" s="12">
        <f t="shared" si="4"/>
        <v>-1.163572655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6"/>
      <c r="O251" s="16"/>
      <c r="P251" s="16"/>
      <c r="Q251" s="17"/>
      <c r="R251" s="18"/>
      <c r="S251" s="15"/>
      <c r="T251" s="19" t="str">
        <f t="shared" si="1"/>
        <v/>
      </c>
      <c r="U251" s="19">
        <f t="shared" si="4"/>
        <v>-1.163572655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9"/>
      <c r="O252" s="9"/>
      <c r="P252" s="9"/>
      <c r="Q252" s="10"/>
      <c r="R252" s="11"/>
      <c r="S252" s="8"/>
      <c r="T252" s="12" t="str">
        <f t="shared" si="1"/>
        <v/>
      </c>
      <c r="U252" s="12">
        <f t="shared" si="4"/>
        <v>-1.163572655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6"/>
      <c r="O253" s="16"/>
      <c r="P253" s="16"/>
      <c r="Q253" s="17"/>
      <c r="R253" s="18"/>
      <c r="S253" s="15"/>
      <c r="T253" s="19" t="str">
        <f t="shared" si="1"/>
        <v/>
      </c>
      <c r="U253" s="19">
        <f t="shared" si="4"/>
        <v>-1.163572655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9"/>
      <c r="O254" s="9"/>
      <c r="P254" s="9"/>
      <c r="Q254" s="10"/>
      <c r="R254" s="11"/>
      <c r="S254" s="8"/>
      <c r="T254" s="12" t="str">
        <f t="shared" si="1"/>
        <v/>
      </c>
      <c r="U254" s="12">
        <f t="shared" si="4"/>
        <v>-1.163572655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6"/>
      <c r="O255" s="16"/>
      <c r="P255" s="16"/>
      <c r="Q255" s="17"/>
      <c r="R255" s="18"/>
      <c r="S255" s="15"/>
      <c r="T255" s="19" t="str">
        <f t="shared" si="1"/>
        <v/>
      </c>
      <c r="U255" s="19">
        <f t="shared" si="4"/>
        <v>-1.163572655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9"/>
      <c r="O256" s="9"/>
      <c r="P256" s="9"/>
      <c r="Q256" s="10"/>
      <c r="R256" s="11"/>
      <c r="S256" s="8"/>
      <c r="T256" s="12" t="str">
        <f t="shared" si="1"/>
        <v/>
      </c>
      <c r="U256" s="12">
        <f t="shared" si="4"/>
        <v>-1.163572655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6"/>
      <c r="O257" s="16"/>
      <c r="P257" s="16"/>
      <c r="Q257" s="17"/>
      <c r="R257" s="18"/>
      <c r="S257" s="15"/>
      <c r="T257" s="19" t="str">
        <f t="shared" si="1"/>
        <v/>
      </c>
      <c r="U257" s="19">
        <f t="shared" si="4"/>
        <v>-1.163572655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9"/>
      <c r="O258" s="9"/>
      <c r="P258" s="9"/>
      <c r="Q258" s="10"/>
      <c r="R258" s="11"/>
      <c r="S258" s="8"/>
      <c r="T258" s="12" t="str">
        <f t="shared" si="1"/>
        <v/>
      </c>
      <c r="U258" s="12">
        <f t="shared" si="4"/>
        <v>-1.163572655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6"/>
      <c r="O259" s="16"/>
      <c r="P259" s="16"/>
      <c r="Q259" s="17"/>
      <c r="R259" s="18"/>
      <c r="S259" s="15"/>
      <c r="T259" s="19" t="str">
        <f t="shared" si="1"/>
        <v/>
      </c>
      <c r="U259" s="19">
        <f t="shared" si="4"/>
        <v>-1.163572655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9"/>
      <c r="O260" s="9"/>
      <c r="P260" s="9"/>
      <c r="Q260" s="10"/>
      <c r="R260" s="11"/>
      <c r="S260" s="8"/>
      <c r="T260" s="12" t="str">
        <f t="shared" si="1"/>
        <v/>
      </c>
      <c r="U260" s="12">
        <f t="shared" si="4"/>
        <v>-1.163572655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6"/>
      <c r="O261" s="16"/>
      <c r="P261" s="16"/>
      <c r="Q261" s="17"/>
      <c r="R261" s="18"/>
      <c r="S261" s="15"/>
      <c r="T261" s="19" t="str">
        <f t="shared" si="1"/>
        <v/>
      </c>
      <c r="U261" s="19">
        <f t="shared" si="4"/>
        <v>-1.163572655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9"/>
      <c r="O262" s="9"/>
      <c r="P262" s="9"/>
      <c r="Q262" s="10"/>
      <c r="R262" s="11"/>
      <c r="S262" s="8"/>
      <c r="T262" s="12" t="str">
        <f t="shared" si="1"/>
        <v/>
      </c>
      <c r="U262" s="12">
        <f t="shared" si="4"/>
        <v>-1.163572655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6"/>
      <c r="O263" s="16"/>
      <c r="P263" s="16"/>
      <c r="Q263" s="17"/>
      <c r="R263" s="18"/>
      <c r="S263" s="15"/>
      <c r="T263" s="19" t="str">
        <f t="shared" si="1"/>
        <v/>
      </c>
      <c r="U263" s="19">
        <f t="shared" si="4"/>
        <v>-1.163572655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9"/>
      <c r="O264" s="9"/>
      <c r="P264" s="9"/>
      <c r="Q264" s="10"/>
      <c r="R264" s="11"/>
      <c r="S264" s="8"/>
      <c r="T264" s="12" t="str">
        <f t="shared" si="1"/>
        <v/>
      </c>
      <c r="U264" s="12">
        <f t="shared" si="4"/>
        <v>-1.163572655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6"/>
      <c r="O265" s="16"/>
      <c r="P265" s="16"/>
      <c r="Q265" s="17"/>
      <c r="R265" s="18"/>
      <c r="S265" s="15"/>
      <c r="T265" s="19" t="str">
        <f t="shared" si="1"/>
        <v/>
      </c>
      <c r="U265" s="19">
        <f t="shared" si="4"/>
        <v>-1.163572655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9"/>
      <c r="O266" s="9"/>
      <c r="P266" s="9"/>
      <c r="Q266" s="10"/>
      <c r="R266" s="11"/>
      <c r="S266" s="8"/>
      <c r="T266" s="12" t="str">
        <f t="shared" si="1"/>
        <v/>
      </c>
      <c r="U266" s="12">
        <f t="shared" si="4"/>
        <v>-1.163572655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6"/>
      <c r="O267" s="16"/>
      <c r="P267" s="16"/>
      <c r="Q267" s="17"/>
      <c r="R267" s="18"/>
      <c r="S267" s="15"/>
      <c r="T267" s="19" t="str">
        <f t="shared" si="1"/>
        <v/>
      </c>
      <c r="U267" s="19">
        <f t="shared" si="4"/>
        <v>-1.163572655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9"/>
      <c r="O268" s="9"/>
      <c r="P268" s="9"/>
      <c r="Q268" s="10"/>
      <c r="R268" s="11"/>
      <c r="S268" s="8"/>
      <c r="T268" s="12" t="str">
        <f t="shared" si="1"/>
        <v/>
      </c>
      <c r="U268" s="12">
        <f t="shared" si="4"/>
        <v>-1.163572655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6"/>
      <c r="O269" s="16"/>
      <c r="P269" s="16"/>
      <c r="Q269" s="17"/>
      <c r="R269" s="18"/>
      <c r="S269" s="15"/>
      <c r="T269" s="19" t="str">
        <f t="shared" si="1"/>
        <v/>
      </c>
      <c r="U269" s="19">
        <f t="shared" si="4"/>
        <v>-1.163572655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9"/>
      <c r="O270" s="9"/>
      <c r="P270" s="9"/>
      <c r="Q270" s="10"/>
      <c r="R270" s="11"/>
      <c r="S270" s="8"/>
      <c r="T270" s="12" t="str">
        <f t="shared" si="1"/>
        <v/>
      </c>
      <c r="U270" s="12">
        <f t="shared" si="4"/>
        <v>-1.163572655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6"/>
      <c r="O271" s="16"/>
      <c r="P271" s="16"/>
      <c r="Q271" s="17"/>
      <c r="R271" s="18"/>
      <c r="S271" s="15"/>
      <c r="T271" s="19" t="str">
        <f t="shared" si="1"/>
        <v/>
      </c>
      <c r="U271" s="19">
        <f t="shared" si="4"/>
        <v>-1.163572655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9"/>
      <c r="O272" s="9"/>
      <c r="P272" s="9"/>
      <c r="Q272" s="10"/>
      <c r="R272" s="11"/>
      <c r="S272" s="8"/>
      <c r="T272" s="12" t="str">
        <f t="shared" si="1"/>
        <v/>
      </c>
      <c r="U272" s="12">
        <f t="shared" si="4"/>
        <v>-1.163572655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6"/>
      <c r="O273" s="16"/>
      <c r="P273" s="16"/>
      <c r="Q273" s="17"/>
      <c r="R273" s="18"/>
      <c r="S273" s="15"/>
      <c r="T273" s="19" t="str">
        <f t="shared" si="1"/>
        <v/>
      </c>
      <c r="U273" s="19">
        <f t="shared" si="4"/>
        <v>-1.163572655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9"/>
      <c r="O274" s="9"/>
      <c r="P274" s="9"/>
      <c r="Q274" s="10"/>
      <c r="R274" s="11"/>
      <c r="S274" s="8"/>
      <c r="T274" s="12" t="str">
        <f t="shared" si="1"/>
        <v/>
      </c>
      <c r="U274" s="12">
        <f t="shared" si="4"/>
        <v>-1.163572655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6"/>
      <c r="O275" s="16"/>
      <c r="P275" s="16"/>
      <c r="Q275" s="17"/>
      <c r="R275" s="18"/>
      <c r="S275" s="15"/>
      <c r="T275" s="19" t="str">
        <f t="shared" si="1"/>
        <v/>
      </c>
      <c r="U275" s="19">
        <f t="shared" si="4"/>
        <v>-1.163572655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9"/>
      <c r="O276" s="9"/>
      <c r="P276" s="9"/>
      <c r="Q276" s="10"/>
      <c r="R276" s="11"/>
      <c r="S276" s="8"/>
      <c r="T276" s="12" t="str">
        <f t="shared" si="1"/>
        <v/>
      </c>
      <c r="U276" s="12">
        <f t="shared" si="4"/>
        <v>-1.163572655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6"/>
      <c r="O277" s="16"/>
      <c r="P277" s="16"/>
      <c r="Q277" s="17"/>
      <c r="R277" s="18"/>
      <c r="S277" s="15"/>
      <c r="T277" s="19" t="str">
        <f t="shared" si="1"/>
        <v/>
      </c>
      <c r="U277" s="19">
        <f t="shared" si="4"/>
        <v>-1.163572655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114"/>
      <c r="H278" s="8"/>
      <c r="I278" s="8"/>
      <c r="J278" s="8"/>
      <c r="K278" s="8"/>
      <c r="L278" s="8"/>
      <c r="M278" s="8"/>
      <c r="N278" s="9"/>
      <c r="O278" s="9"/>
      <c r="P278" s="9"/>
      <c r="Q278" s="10"/>
      <c r="R278" s="11"/>
      <c r="S278" s="8"/>
      <c r="T278" s="12" t="str">
        <f t="shared" si="1"/>
        <v/>
      </c>
      <c r="U278" s="12">
        <f t="shared" si="4"/>
        <v>-1.163572655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6"/>
      <c r="O279" s="16"/>
      <c r="P279" s="16"/>
      <c r="Q279" s="17"/>
      <c r="R279" s="18"/>
      <c r="S279" s="15"/>
      <c r="T279" s="19" t="str">
        <f t="shared" si="1"/>
        <v/>
      </c>
      <c r="U279" s="19">
        <f t="shared" si="4"/>
        <v>-1.163572655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9"/>
      <c r="O280" s="9"/>
      <c r="P280" s="9"/>
      <c r="Q280" s="10"/>
      <c r="R280" s="11"/>
      <c r="S280" s="8"/>
      <c r="T280" s="12" t="str">
        <f t="shared" si="1"/>
        <v/>
      </c>
      <c r="U280" s="12">
        <f t="shared" si="4"/>
        <v>-1.163572655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6"/>
      <c r="O281" s="16"/>
      <c r="P281" s="16"/>
      <c r="Q281" s="17"/>
      <c r="R281" s="18"/>
      <c r="S281" s="15"/>
      <c r="T281" s="19" t="str">
        <f t="shared" si="1"/>
        <v/>
      </c>
      <c r="U281" s="19">
        <f t="shared" si="4"/>
        <v>-1.163572655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9"/>
      <c r="O282" s="9"/>
      <c r="P282" s="9"/>
      <c r="Q282" s="10"/>
      <c r="R282" s="11"/>
      <c r="S282" s="8"/>
      <c r="T282" s="12" t="str">
        <f t="shared" si="1"/>
        <v/>
      </c>
      <c r="U282" s="12">
        <f t="shared" si="4"/>
        <v>-1.163572655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6"/>
      <c r="O283" s="16"/>
      <c r="P283" s="16"/>
      <c r="Q283" s="17"/>
      <c r="R283" s="18"/>
      <c r="S283" s="15"/>
      <c r="T283" s="19" t="str">
        <f t="shared" si="1"/>
        <v/>
      </c>
      <c r="U283" s="19">
        <f t="shared" si="4"/>
        <v>-1.163572655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9"/>
      <c r="O284" s="9"/>
      <c r="P284" s="9"/>
      <c r="Q284" s="54"/>
      <c r="R284" s="11"/>
      <c r="S284" s="8"/>
      <c r="T284" s="12" t="str">
        <f t="shared" si="1"/>
        <v/>
      </c>
      <c r="U284" s="12">
        <f t="shared" si="4"/>
        <v>-1.163572655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37"/>
      <c r="H285" s="37"/>
      <c r="I285" s="37"/>
      <c r="J285" s="37"/>
      <c r="K285" s="37"/>
      <c r="L285" s="37"/>
      <c r="M285" s="37"/>
      <c r="N285" s="24"/>
      <c r="O285" s="16"/>
      <c r="P285" s="16"/>
      <c r="Q285" s="17"/>
      <c r="R285" s="18"/>
      <c r="S285" s="15"/>
      <c r="T285" s="19" t="str">
        <f t="shared" si="1"/>
        <v/>
      </c>
      <c r="U285" s="19">
        <f t="shared" si="4"/>
        <v>-1.163572655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32"/>
      <c r="H286" s="32"/>
      <c r="I286" s="32"/>
      <c r="J286" s="32"/>
      <c r="K286" s="32"/>
      <c r="L286" s="32"/>
      <c r="M286" s="32"/>
      <c r="N286" s="33"/>
      <c r="O286" s="9"/>
      <c r="P286" s="9"/>
      <c r="Q286" s="10"/>
      <c r="R286" s="11"/>
      <c r="S286" s="8"/>
      <c r="T286" s="12" t="str">
        <f t="shared" si="1"/>
        <v/>
      </c>
      <c r="U286" s="12">
        <f t="shared" si="4"/>
        <v>-1.163572655</v>
      </c>
    </row>
    <row r="287">
      <c r="A287" s="15">
        <f t="shared" si="3"/>
        <v>286</v>
      </c>
      <c r="B287" s="15"/>
      <c r="C287" s="15"/>
      <c r="D287" s="120"/>
      <c r="E287" s="120"/>
      <c r="F287" s="15"/>
      <c r="G287" s="42"/>
      <c r="H287" s="42"/>
      <c r="I287" s="42"/>
      <c r="J287" s="42"/>
      <c r="K287" s="42"/>
      <c r="L287" s="42"/>
      <c r="M287" s="37"/>
      <c r="N287" s="16"/>
      <c r="O287" s="16"/>
      <c r="P287" s="16"/>
      <c r="Q287" s="17"/>
      <c r="R287" s="18"/>
      <c r="S287" s="15"/>
      <c r="T287" s="19" t="str">
        <f t="shared" si="1"/>
        <v/>
      </c>
      <c r="U287" s="19">
        <f t="shared" si="4"/>
        <v>-1.163572655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32"/>
      <c r="N288" s="9"/>
      <c r="O288" s="9"/>
      <c r="P288" s="9"/>
      <c r="Q288" s="10"/>
      <c r="R288" s="11"/>
      <c r="S288" s="8"/>
      <c r="T288" s="12" t="str">
        <f t="shared" si="1"/>
        <v/>
      </c>
      <c r="U288" s="12">
        <f t="shared" si="4"/>
        <v>-1.163572655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37"/>
      <c r="N289" s="16"/>
      <c r="O289" s="16"/>
      <c r="P289" s="16"/>
      <c r="Q289" s="17"/>
      <c r="R289" s="18"/>
      <c r="S289" s="15"/>
      <c r="T289" s="19" t="str">
        <f t="shared" si="1"/>
        <v/>
      </c>
      <c r="U289" s="19">
        <f t="shared" si="4"/>
        <v>-1.163572655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32"/>
      <c r="N290" s="9"/>
      <c r="O290" s="9"/>
      <c r="P290" s="9"/>
      <c r="Q290" s="10"/>
      <c r="R290" s="11"/>
      <c r="S290" s="8"/>
      <c r="T290" s="12" t="str">
        <f t="shared" si="1"/>
        <v/>
      </c>
      <c r="U290" s="12">
        <f t="shared" si="4"/>
        <v>-1.163572655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37"/>
      <c r="N291" s="16"/>
      <c r="O291" s="16"/>
      <c r="P291" s="16"/>
      <c r="Q291" s="17"/>
      <c r="R291" s="18"/>
      <c r="S291" s="15"/>
      <c r="T291" s="19" t="str">
        <f t="shared" si="1"/>
        <v/>
      </c>
      <c r="U291" s="19">
        <f t="shared" si="4"/>
        <v>-1.163572655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32"/>
      <c r="N292" s="9"/>
      <c r="O292" s="9"/>
      <c r="P292" s="9"/>
      <c r="Q292" s="10"/>
      <c r="R292" s="11"/>
      <c r="S292" s="8"/>
      <c r="T292" s="12" t="str">
        <f t="shared" si="1"/>
        <v/>
      </c>
      <c r="U292" s="12">
        <f t="shared" si="4"/>
        <v>-1.163572655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37"/>
      <c r="N293" s="16"/>
      <c r="O293" s="16"/>
      <c r="P293" s="16"/>
      <c r="Q293" s="17"/>
      <c r="R293" s="18"/>
      <c r="S293" s="15"/>
      <c r="T293" s="19" t="str">
        <f t="shared" si="1"/>
        <v/>
      </c>
      <c r="U293" s="19">
        <f t="shared" si="4"/>
        <v>-1.163572655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32"/>
      <c r="N294" s="9"/>
      <c r="O294" s="9"/>
      <c r="P294" s="9"/>
      <c r="Q294" s="10"/>
      <c r="R294" s="11"/>
      <c r="S294" s="8"/>
      <c r="T294" s="12" t="str">
        <f t="shared" si="1"/>
        <v/>
      </c>
      <c r="U294" s="12">
        <f t="shared" si="4"/>
        <v>-1.163572655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37"/>
      <c r="N295" s="16"/>
      <c r="O295" s="16"/>
      <c r="P295" s="16"/>
      <c r="Q295" s="17"/>
      <c r="R295" s="18"/>
      <c r="S295" s="15"/>
      <c r="T295" s="19" t="str">
        <f t="shared" si="1"/>
        <v/>
      </c>
      <c r="U295" s="19">
        <f t="shared" si="4"/>
        <v>-1.163572655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32"/>
      <c r="N296" s="9"/>
      <c r="O296" s="9"/>
      <c r="P296" s="9"/>
      <c r="Q296" s="10"/>
      <c r="R296" s="11"/>
      <c r="S296" s="8"/>
      <c r="T296" s="12" t="str">
        <f t="shared" si="1"/>
        <v/>
      </c>
      <c r="U296" s="12">
        <f t="shared" si="4"/>
        <v>-1.163572655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37"/>
      <c r="N297" s="16"/>
      <c r="O297" s="16"/>
      <c r="P297" s="16"/>
      <c r="Q297" s="17"/>
      <c r="R297" s="18"/>
      <c r="S297" s="15"/>
      <c r="T297" s="19" t="str">
        <f t="shared" si="1"/>
        <v/>
      </c>
      <c r="U297" s="19">
        <f t="shared" si="4"/>
        <v>-1.163572655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32"/>
      <c r="N298" s="9"/>
      <c r="O298" s="9"/>
      <c r="P298" s="9"/>
      <c r="Q298" s="10"/>
      <c r="R298" s="11"/>
      <c r="S298" s="8"/>
      <c r="T298" s="12" t="str">
        <f t="shared" si="1"/>
        <v/>
      </c>
      <c r="U298" s="12">
        <f t="shared" si="4"/>
        <v>-1.163572655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37"/>
      <c r="N299" s="16"/>
      <c r="O299" s="16"/>
      <c r="P299" s="16"/>
      <c r="Q299" s="17"/>
      <c r="R299" s="18"/>
      <c r="S299" s="15"/>
      <c r="T299" s="19" t="str">
        <f t="shared" si="1"/>
        <v/>
      </c>
      <c r="U299" s="19">
        <f t="shared" si="4"/>
        <v>-1.163572655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9"/>
      <c r="O300" s="9"/>
      <c r="P300" s="9"/>
      <c r="Q300" s="10"/>
      <c r="R300" s="11"/>
      <c r="S300" s="8"/>
      <c r="T300" s="12" t="str">
        <f t="shared" si="1"/>
        <v/>
      </c>
      <c r="U300" s="12">
        <f t="shared" si="4"/>
        <v>-1.163572655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"/>
      <c r="O301" s="16"/>
      <c r="P301" s="16"/>
      <c r="Q301" s="17"/>
      <c r="R301" s="18"/>
      <c r="S301" s="15"/>
      <c r="T301" s="19" t="str">
        <f t="shared" si="1"/>
        <v/>
      </c>
      <c r="U301" s="19">
        <f t="shared" si="4"/>
        <v>-1.163572655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9"/>
      <c r="O302" s="9"/>
      <c r="P302" s="9"/>
      <c r="Q302" s="10"/>
      <c r="R302" s="11"/>
      <c r="S302" s="8"/>
      <c r="T302" s="12" t="str">
        <f t="shared" si="1"/>
        <v/>
      </c>
      <c r="U302" s="12">
        <f t="shared" si="4"/>
        <v>-1.163572655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"/>
      <c r="O303" s="16"/>
      <c r="P303" s="16"/>
      <c r="Q303" s="17"/>
      <c r="R303" s="18"/>
      <c r="S303" s="15"/>
      <c r="T303" s="19" t="str">
        <f t="shared" si="1"/>
        <v/>
      </c>
      <c r="U303" s="19">
        <f t="shared" si="4"/>
        <v>-1.163572655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9"/>
      <c r="O304" s="9"/>
      <c r="P304" s="9"/>
      <c r="Q304" s="10"/>
      <c r="R304" s="11"/>
      <c r="S304" s="8"/>
      <c r="T304" s="12" t="str">
        <f t="shared" si="1"/>
        <v/>
      </c>
      <c r="U304" s="12">
        <f t="shared" si="4"/>
        <v>-1.163572655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"/>
      <c r="O305" s="16"/>
      <c r="P305" s="16"/>
      <c r="Q305" s="17"/>
      <c r="R305" s="18"/>
      <c r="S305" s="15"/>
      <c r="T305" s="19" t="str">
        <f t="shared" si="1"/>
        <v/>
      </c>
      <c r="U305" s="19">
        <f t="shared" si="4"/>
        <v>-1.163572655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9"/>
      <c r="P306" s="9"/>
      <c r="Q306" s="10"/>
      <c r="R306" s="11"/>
      <c r="S306" s="8"/>
      <c r="T306" s="12" t="str">
        <f t="shared" si="1"/>
        <v/>
      </c>
      <c r="U306" s="12">
        <f t="shared" si="4"/>
        <v>-1.163572655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"/>
      <c r="O307" s="16"/>
      <c r="P307" s="16"/>
      <c r="Q307" s="17"/>
      <c r="R307" s="18"/>
      <c r="S307" s="15"/>
      <c r="T307" s="19" t="str">
        <f t="shared" si="1"/>
        <v/>
      </c>
      <c r="U307" s="19">
        <f t="shared" si="4"/>
        <v>-1.163572655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9"/>
      <c r="O308" s="9"/>
      <c r="P308" s="9"/>
      <c r="Q308" s="10"/>
      <c r="R308" s="11"/>
      <c r="S308" s="8"/>
      <c r="T308" s="12" t="str">
        <f t="shared" si="1"/>
        <v/>
      </c>
      <c r="U308" s="12">
        <f t="shared" si="4"/>
        <v>-1.163572655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"/>
      <c r="O309" s="16"/>
      <c r="P309" s="16"/>
      <c r="Q309" s="17"/>
      <c r="R309" s="18"/>
      <c r="S309" s="15"/>
      <c r="T309" s="19" t="str">
        <f t="shared" si="1"/>
        <v/>
      </c>
      <c r="U309" s="19">
        <f t="shared" si="4"/>
        <v>-1.163572655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9"/>
      <c r="O310" s="9"/>
      <c r="P310" s="9"/>
      <c r="Q310" s="10"/>
      <c r="R310" s="11"/>
      <c r="S310" s="8"/>
      <c r="T310" s="12" t="str">
        <f t="shared" si="1"/>
        <v/>
      </c>
      <c r="U310" s="12">
        <f t="shared" si="4"/>
        <v>-1.163572655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"/>
      <c r="O311" s="16"/>
      <c r="P311" s="16"/>
      <c r="Q311" s="17"/>
      <c r="R311" s="18"/>
      <c r="S311" s="15"/>
      <c r="T311" s="19" t="str">
        <f t="shared" si="1"/>
        <v/>
      </c>
      <c r="U311" s="19">
        <f t="shared" si="4"/>
        <v>-1.163572655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9"/>
      <c r="O312" s="9"/>
      <c r="P312" s="9"/>
      <c r="Q312" s="10"/>
      <c r="R312" s="11"/>
      <c r="S312" s="8"/>
      <c r="T312" s="12" t="str">
        <f t="shared" si="1"/>
        <v/>
      </c>
      <c r="U312" s="12">
        <f t="shared" si="4"/>
        <v>-1.163572655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"/>
      <c r="O313" s="16"/>
      <c r="P313" s="16"/>
      <c r="Q313" s="17"/>
      <c r="R313" s="18"/>
      <c r="S313" s="15"/>
      <c r="T313" s="19" t="str">
        <f t="shared" si="1"/>
        <v/>
      </c>
      <c r="U313" s="19">
        <f t="shared" si="4"/>
        <v>-1.163572655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9"/>
      <c r="O314" s="9"/>
      <c r="P314" s="9"/>
      <c r="Q314" s="10"/>
      <c r="R314" s="11"/>
      <c r="S314" s="8"/>
      <c r="T314" s="12" t="str">
        <f t="shared" si="1"/>
        <v/>
      </c>
      <c r="U314" s="12">
        <f t="shared" si="4"/>
        <v>-1.163572655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"/>
      <c r="O315" s="16"/>
      <c r="P315" s="16"/>
      <c r="Q315" s="17"/>
      <c r="R315" s="18"/>
      <c r="S315" s="15"/>
      <c r="T315" s="19" t="str">
        <f t="shared" si="1"/>
        <v/>
      </c>
      <c r="U315" s="19">
        <f t="shared" si="4"/>
        <v>-1.163572655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9"/>
      <c r="O316" s="9"/>
      <c r="P316" s="9"/>
      <c r="Q316" s="10"/>
      <c r="R316" s="11"/>
      <c r="S316" s="8"/>
      <c r="T316" s="12" t="str">
        <f t="shared" si="1"/>
        <v/>
      </c>
      <c r="U316" s="12">
        <f t="shared" si="4"/>
        <v>-1.163572655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"/>
      <c r="O317" s="16"/>
      <c r="P317" s="16"/>
      <c r="Q317" s="17"/>
      <c r="R317" s="18"/>
      <c r="S317" s="15"/>
      <c r="T317" s="19" t="str">
        <f t="shared" si="1"/>
        <v/>
      </c>
      <c r="U317" s="19">
        <f t="shared" si="4"/>
        <v>-1.163572655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9"/>
      <c r="O318" s="9"/>
      <c r="P318" s="9"/>
      <c r="Q318" s="10"/>
      <c r="R318" s="11"/>
      <c r="S318" s="8"/>
      <c r="T318" s="12" t="str">
        <f t="shared" si="1"/>
        <v/>
      </c>
      <c r="U318" s="12">
        <f t="shared" si="4"/>
        <v>-1.163572655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"/>
      <c r="O319" s="16"/>
      <c r="P319" s="16"/>
      <c r="Q319" s="17"/>
      <c r="R319" s="18"/>
      <c r="S319" s="15"/>
      <c r="T319" s="19" t="str">
        <f t="shared" si="1"/>
        <v/>
      </c>
      <c r="U319" s="19">
        <f t="shared" si="4"/>
        <v>-1.163572655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123"/>
      <c r="O320" s="9"/>
      <c r="P320" s="9"/>
      <c r="Q320" s="10"/>
      <c r="R320" s="11"/>
      <c r="S320" s="8"/>
      <c r="T320" s="12" t="str">
        <f t="shared" si="1"/>
        <v/>
      </c>
      <c r="U320" s="12">
        <f t="shared" si="4"/>
        <v>-1.163572655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"/>
      <c r="O321" s="16"/>
      <c r="P321" s="16"/>
      <c r="Q321" s="17"/>
      <c r="R321" s="18"/>
      <c r="S321" s="15"/>
      <c r="T321" s="19" t="str">
        <f t="shared" si="1"/>
        <v/>
      </c>
      <c r="U321" s="19">
        <f t="shared" si="4"/>
        <v>-1.163572655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9"/>
      <c r="O322" s="9"/>
      <c r="P322" s="9"/>
      <c r="Q322" s="10"/>
      <c r="R322" s="11"/>
      <c r="S322" s="8"/>
      <c r="T322" s="12" t="str">
        <f t="shared" si="1"/>
        <v/>
      </c>
      <c r="U322" s="12">
        <f t="shared" si="4"/>
        <v>-1.163572655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24"/>
      <c r="O323" s="16"/>
      <c r="P323" s="16"/>
      <c r="Q323" s="17"/>
      <c r="R323" s="18"/>
      <c r="S323" s="15"/>
      <c r="T323" s="19" t="str">
        <f t="shared" si="1"/>
        <v/>
      </c>
      <c r="U323" s="19">
        <f t="shared" si="4"/>
        <v>-1.163572655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9"/>
      <c r="P324" s="9"/>
      <c r="Q324" s="10"/>
      <c r="R324" s="11"/>
      <c r="S324" s="8"/>
      <c r="T324" s="12" t="str">
        <f t="shared" si="1"/>
        <v/>
      </c>
      <c r="U324" s="12">
        <f t="shared" si="4"/>
        <v>-1.163572655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"/>
      <c r="O325" s="16"/>
      <c r="P325" s="16"/>
      <c r="Q325" s="17"/>
      <c r="R325" s="18"/>
      <c r="S325" s="15"/>
      <c r="T325" s="19" t="str">
        <f t="shared" si="1"/>
        <v/>
      </c>
      <c r="U325" s="19">
        <f t="shared" si="4"/>
        <v>-1.163572655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9"/>
      <c r="O326" s="9"/>
      <c r="P326" s="9"/>
      <c r="Q326" s="10"/>
      <c r="R326" s="8"/>
      <c r="S326" s="8"/>
      <c r="T326" s="12" t="str">
        <f t="shared" si="1"/>
        <v/>
      </c>
      <c r="U326" s="12">
        <f t="shared" si="4"/>
        <v>-1.163572655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"/>
      <c r="O327" s="16"/>
      <c r="P327" s="16"/>
      <c r="Q327" s="17"/>
      <c r="R327" s="15"/>
      <c r="S327" s="15"/>
      <c r="T327" s="19" t="str">
        <f t="shared" si="1"/>
        <v/>
      </c>
      <c r="U327" s="19">
        <f t="shared" si="4"/>
        <v>-1.163572655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9"/>
      <c r="O328" s="9"/>
      <c r="P328" s="9"/>
      <c r="Q328" s="10"/>
      <c r="R328" s="8"/>
      <c r="S328" s="8"/>
      <c r="T328" s="12" t="str">
        <f t="shared" si="1"/>
        <v/>
      </c>
      <c r="U328" s="12">
        <f t="shared" si="4"/>
        <v>-1.163572655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"/>
      <c r="O329" s="16"/>
      <c r="P329" s="16"/>
      <c r="Q329" s="17"/>
      <c r="R329" s="18"/>
      <c r="S329" s="15"/>
      <c r="T329" s="19" t="str">
        <f t="shared" si="1"/>
        <v/>
      </c>
      <c r="U329" s="19">
        <f t="shared" si="4"/>
        <v>-1.163572655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9"/>
      <c r="O330" s="9"/>
      <c r="P330" s="9"/>
      <c r="Q330" s="10"/>
      <c r="R330" s="11"/>
      <c r="S330" s="8"/>
      <c r="T330" s="12" t="str">
        <f t="shared" si="1"/>
        <v/>
      </c>
      <c r="U330" s="12">
        <f t="shared" si="4"/>
        <v>-1.163572655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"/>
      <c r="O331" s="16"/>
      <c r="P331" s="16"/>
      <c r="Q331" s="17"/>
      <c r="R331" s="18"/>
      <c r="S331" s="15"/>
      <c r="T331" s="19" t="str">
        <f t="shared" si="1"/>
        <v/>
      </c>
      <c r="U331" s="19">
        <f t="shared" si="4"/>
        <v>-1.163572655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9"/>
      <c r="O332" s="9"/>
      <c r="P332" s="9"/>
      <c r="Q332" s="10"/>
      <c r="R332" s="11"/>
      <c r="S332" s="8"/>
      <c r="T332" s="12" t="str">
        <f t="shared" si="1"/>
        <v/>
      </c>
      <c r="U332" s="12">
        <f t="shared" si="4"/>
        <v>-1.163572655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"/>
      <c r="O333" s="16"/>
      <c r="P333" s="16"/>
      <c r="Q333" s="17"/>
      <c r="R333" s="18"/>
      <c r="S333" s="15"/>
      <c r="T333" s="19" t="str">
        <f t="shared" si="1"/>
        <v/>
      </c>
      <c r="U333" s="19">
        <f t="shared" si="4"/>
        <v>-1.163572655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9"/>
      <c r="P334" s="9"/>
      <c r="Q334" s="10"/>
      <c r="R334" s="11"/>
      <c r="S334" s="8"/>
      <c r="T334" s="12" t="str">
        <f t="shared" si="1"/>
        <v/>
      </c>
      <c r="U334" s="12">
        <f t="shared" si="4"/>
        <v>-1.163572655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"/>
      <c r="O335" s="16"/>
      <c r="P335" s="16"/>
      <c r="Q335" s="17"/>
      <c r="R335" s="18"/>
      <c r="S335" s="15"/>
      <c r="T335" s="19" t="str">
        <f t="shared" si="1"/>
        <v/>
      </c>
      <c r="U335" s="19">
        <f t="shared" si="4"/>
        <v>-1.163572655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9"/>
      <c r="O336" s="9"/>
      <c r="P336" s="9"/>
      <c r="Q336" s="10"/>
      <c r="R336" s="11"/>
      <c r="S336" s="8"/>
      <c r="T336" s="12" t="str">
        <f t="shared" si="1"/>
        <v/>
      </c>
      <c r="U336" s="12">
        <f t="shared" si="4"/>
        <v>-1.163572655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"/>
      <c r="O337" s="16"/>
      <c r="P337" s="16"/>
      <c r="Q337" s="17"/>
      <c r="R337" s="18"/>
      <c r="S337" s="15"/>
      <c r="T337" s="19" t="str">
        <f t="shared" si="1"/>
        <v/>
      </c>
      <c r="U337" s="19">
        <f t="shared" si="4"/>
        <v>-1.163572655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9"/>
      <c r="O338" s="9"/>
      <c r="P338" s="9"/>
      <c r="Q338" s="10"/>
      <c r="R338" s="11"/>
      <c r="S338" s="8"/>
      <c r="T338" s="12" t="str">
        <f t="shared" si="1"/>
        <v/>
      </c>
      <c r="U338" s="12">
        <f t="shared" si="4"/>
        <v>-1.163572655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"/>
      <c r="O339" s="16"/>
      <c r="P339" s="16"/>
      <c r="Q339" s="17"/>
      <c r="R339" s="18"/>
      <c r="S339" s="15"/>
      <c r="T339" s="19" t="str">
        <f t="shared" si="1"/>
        <v/>
      </c>
      <c r="U339" s="19">
        <f t="shared" si="4"/>
        <v>-1.163572655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9"/>
      <c r="O340" s="9"/>
      <c r="P340" s="9"/>
      <c r="Q340" s="10"/>
      <c r="R340" s="11"/>
      <c r="S340" s="8"/>
      <c r="T340" s="12" t="str">
        <f t="shared" si="1"/>
        <v/>
      </c>
      <c r="U340" s="12">
        <f t="shared" si="4"/>
        <v>-1.163572655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"/>
      <c r="O341" s="16"/>
      <c r="P341" s="16"/>
      <c r="Q341" s="17"/>
      <c r="R341" s="18"/>
      <c r="S341" s="15"/>
      <c r="T341" s="19" t="str">
        <f t="shared" si="1"/>
        <v/>
      </c>
      <c r="U341" s="19">
        <f t="shared" si="4"/>
        <v>-1.163572655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9"/>
      <c r="P342" s="9"/>
      <c r="Q342" s="10"/>
      <c r="R342" s="11"/>
      <c r="S342" s="8"/>
      <c r="T342" s="12" t="str">
        <f t="shared" si="1"/>
        <v/>
      </c>
      <c r="U342" s="12">
        <f t="shared" si="4"/>
        <v>-1.163572655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24"/>
      <c r="O343" s="16"/>
      <c r="P343" s="16"/>
      <c r="Q343" s="17"/>
      <c r="R343" s="18"/>
      <c r="S343" s="15"/>
      <c r="T343" s="19" t="str">
        <f t="shared" si="1"/>
        <v/>
      </c>
      <c r="U343" s="19">
        <f t="shared" si="4"/>
        <v>-1.163572655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123"/>
      <c r="O344" s="9"/>
      <c r="P344" s="9"/>
      <c r="Q344" s="10"/>
      <c r="R344" s="11"/>
      <c r="S344" s="8"/>
      <c r="T344" s="12" t="str">
        <f t="shared" si="1"/>
        <v/>
      </c>
      <c r="U344" s="12">
        <f t="shared" si="4"/>
        <v>-1.163572655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24"/>
      <c r="O345" s="16"/>
      <c r="P345" s="16"/>
      <c r="Q345" s="17"/>
      <c r="R345" s="18"/>
      <c r="S345" s="15"/>
      <c r="T345" s="19" t="str">
        <f t="shared" si="1"/>
        <v/>
      </c>
      <c r="U345" s="19">
        <f t="shared" si="4"/>
        <v>-1.163572655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123"/>
      <c r="O346" s="9"/>
      <c r="P346" s="9"/>
      <c r="Q346" s="10"/>
      <c r="R346" s="11"/>
      <c r="S346" s="8"/>
      <c r="T346" s="12" t="str">
        <f t="shared" si="1"/>
        <v/>
      </c>
      <c r="U346" s="12">
        <f t="shared" si="4"/>
        <v>-1.163572655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24"/>
      <c r="O347" s="16"/>
      <c r="P347" s="16"/>
      <c r="Q347" s="17"/>
      <c r="R347" s="18"/>
      <c r="S347" s="15"/>
      <c r="T347" s="19" t="str">
        <f t="shared" si="1"/>
        <v/>
      </c>
      <c r="U347" s="19">
        <f t="shared" si="4"/>
        <v>-1.163572655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123"/>
      <c r="O348" s="9"/>
      <c r="P348" s="9"/>
      <c r="Q348" s="10"/>
      <c r="R348" s="11"/>
      <c r="S348" s="8"/>
      <c r="T348" s="12" t="str">
        <f t="shared" si="1"/>
        <v/>
      </c>
      <c r="U348" s="12">
        <f t="shared" si="4"/>
        <v>-1.163572655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24"/>
      <c r="O349" s="16"/>
      <c r="P349" s="16"/>
      <c r="Q349" s="17"/>
      <c r="R349" s="18"/>
      <c r="S349" s="15"/>
      <c r="T349" s="19" t="str">
        <f t="shared" si="1"/>
        <v/>
      </c>
      <c r="U349" s="19">
        <f t="shared" si="4"/>
        <v>-1.163572655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123"/>
      <c r="O350" s="9"/>
      <c r="P350" s="9"/>
      <c r="Q350" s="10"/>
      <c r="R350" s="11"/>
      <c r="S350" s="8"/>
      <c r="T350" s="12" t="str">
        <f t="shared" si="1"/>
        <v/>
      </c>
      <c r="U350" s="12">
        <f t="shared" si="4"/>
        <v>-1.163572655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24"/>
      <c r="O351" s="16"/>
      <c r="P351" s="16"/>
      <c r="Q351" s="17"/>
      <c r="R351" s="18"/>
      <c r="S351" s="15"/>
      <c r="T351" s="19" t="str">
        <f t="shared" si="1"/>
        <v/>
      </c>
      <c r="U351" s="19">
        <f t="shared" si="4"/>
        <v>-1.163572655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123"/>
      <c r="O352" s="9"/>
      <c r="P352" s="9"/>
      <c r="Q352" s="10"/>
      <c r="R352" s="11"/>
      <c r="S352" s="8"/>
      <c r="T352" s="12" t="str">
        <f t="shared" si="1"/>
        <v/>
      </c>
      <c r="U352" s="12">
        <f t="shared" si="4"/>
        <v>-1.163572655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24"/>
      <c r="O353" s="16"/>
      <c r="P353" s="16"/>
      <c r="Q353" s="17"/>
      <c r="R353" s="18"/>
      <c r="S353" s="15"/>
      <c r="T353" s="19" t="str">
        <f t="shared" si="1"/>
        <v/>
      </c>
      <c r="U353" s="19">
        <f t="shared" si="4"/>
        <v>-1.163572655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123"/>
      <c r="O354" s="9"/>
      <c r="P354" s="9"/>
      <c r="Q354" s="10"/>
      <c r="R354" s="11"/>
      <c r="S354" s="8"/>
      <c r="T354" s="12" t="str">
        <f t="shared" si="1"/>
        <v/>
      </c>
      <c r="U354" s="12">
        <f t="shared" si="4"/>
        <v>-1.163572655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24"/>
      <c r="O355" s="16"/>
      <c r="P355" s="16"/>
      <c r="Q355" s="17"/>
      <c r="R355" s="18"/>
      <c r="S355" s="15"/>
      <c r="T355" s="19" t="str">
        <f t="shared" si="1"/>
        <v/>
      </c>
      <c r="U355" s="19">
        <f t="shared" si="4"/>
        <v>-1.163572655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123"/>
      <c r="O356" s="9"/>
      <c r="P356" s="9"/>
      <c r="Q356" s="10"/>
      <c r="R356" s="11"/>
      <c r="S356" s="8"/>
      <c r="T356" s="12" t="str">
        <f t="shared" si="1"/>
        <v/>
      </c>
      <c r="U356" s="12">
        <f t="shared" si="4"/>
        <v>-1.163572655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24"/>
      <c r="O357" s="16"/>
      <c r="P357" s="16"/>
      <c r="Q357" s="17"/>
      <c r="R357" s="18"/>
      <c r="S357" s="15"/>
      <c r="T357" s="19" t="str">
        <f t="shared" si="1"/>
        <v/>
      </c>
      <c r="U357" s="19">
        <f t="shared" si="4"/>
        <v>-1.163572655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123"/>
      <c r="O358" s="9"/>
      <c r="P358" s="9"/>
      <c r="Q358" s="10"/>
      <c r="R358" s="11"/>
      <c r="S358" s="8"/>
      <c r="T358" s="12" t="str">
        <f t="shared" si="1"/>
        <v/>
      </c>
      <c r="U358" s="12">
        <f t="shared" si="4"/>
        <v>-1.163572655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24"/>
      <c r="O359" s="16"/>
      <c r="P359" s="16"/>
      <c r="Q359" s="17"/>
      <c r="R359" s="18"/>
      <c r="S359" s="15"/>
      <c r="T359" s="19" t="str">
        <f t="shared" si="1"/>
        <v/>
      </c>
      <c r="U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123"/>
      <c r="O360" s="9"/>
      <c r="P360" s="9"/>
      <c r="Q360" s="10"/>
      <c r="R360" s="11"/>
      <c r="S360" s="8"/>
      <c r="T360" s="12" t="str">
        <f t="shared" si="1"/>
        <v/>
      </c>
      <c r="U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24"/>
      <c r="O361" s="16"/>
      <c r="P361" s="16"/>
      <c r="Q361" s="17"/>
      <c r="R361" s="18"/>
      <c r="S361" s="15"/>
      <c r="T361" s="19" t="str">
        <f t="shared" si="1"/>
        <v/>
      </c>
      <c r="U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123"/>
      <c r="O362" s="9"/>
      <c r="P362" s="9"/>
      <c r="Q362" s="10"/>
      <c r="R362" s="11"/>
      <c r="S362" s="8"/>
      <c r="T362" s="12" t="str">
        <f t="shared" si="1"/>
        <v/>
      </c>
      <c r="U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24"/>
      <c r="O363" s="16"/>
      <c r="P363" s="16"/>
      <c r="Q363" s="17"/>
      <c r="R363" s="18"/>
      <c r="S363" s="15"/>
      <c r="T363" s="19" t="str">
        <f t="shared" si="1"/>
        <v/>
      </c>
      <c r="U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123"/>
      <c r="O364" s="9"/>
      <c r="P364" s="9"/>
      <c r="Q364" s="10"/>
      <c r="R364" s="11"/>
      <c r="S364" s="8"/>
      <c r="T364" s="12" t="str">
        <f t="shared" si="1"/>
        <v/>
      </c>
      <c r="U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24"/>
      <c r="O365" s="16"/>
      <c r="P365" s="16"/>
      <c r="Q365" s="17"/>
      <c r="R365" s="18"/>
      <c r="S365" s="15"/>
      <c r="T365" s="19" t="str">
        <f t="shared" si="1"/>
        <v/>
      </c>
      <c r="U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123"/>
      <c r="O366" s="9"/>
      <c r="P366" s="9"/>
      <c r="Q366" s="10"/>
      <c r="R366" s="11"/>
      <c r="S366" s="8"/>
      <c r="T366" s="12" t="str">
        <f t="shared" si="1"/>
        <v/>
      </c>
      <c r="U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24"/>
      <c r="O367" s="16"/>
      <c r="P367" s="16"/>
      <c r="Q367" s="17"/>
      <c r="R367" s="18"/>
      <c r="S367" s="15"/>
      <c r="T367" s="19" t="str">
        <f t="shared" si="1"/>
        <v/>
      </c>
      <c r="U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123"/>
      <c r="O368" s="9"/>
      <c r="P368" s="9"/>
      <c r="Q368" s="10"/>
      <c r="R368" s="11"/>
      <c r="S368" s="8"/>
      <c r="T368" s="12" t="str">
        <f t="shared" si="1"/>
        <v/>
      </c>
      <c r="U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24"/>
      <c r="O369" s="16"/>
      <c r="P369" s="16"/>
      <c r="Q369" s="17"/>
      <c r="R369" s="18"/>
      <c r="S369" s="15"/>
      <c r="T369" s="19" t="str">
        <f t="shared" si="1"/>
        <v/>
      </c>
      <c r="U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123"/>
      <c r="O370" s="9"/>
      <c r="P370" s="9"/>
      <c r="Q370" s="10"/>
      <c r="R370" s="8"/>
      <c r="S370" s="8"/>
      <c r="T370" s="12" t="str">
        <f t="shared" si="1"/>
        <v/>
      </c>
      <c r="U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24"/>
      <c r="O371" s="16"/>
      <c r="P371" s="16"/>
      <c r="Q371" s="17"/>
      <c r="R371" s="15"/>
      <c r="S371" s="15"/>
      <c r="T371" s="19" t="str">
        <f t="shared" si="1"/>
        <v/>
      </c>
      <c r="U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123"/>
      <c r="O372" s="9"/>
      <c r="P372" s="9"/>
      <c r="Q372" s="10"/>
      <c r="R372" s="8"/>
      <c r="S372" s="8"/>
      <c r="T372" s="12" t="str">
        <f t="shared" si="1"/>
        <v/>
      </c>
      <c r="U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24"/>
      <c r="O373" s="16"/>
      <c r="P373" s="16"/>
      <c r="Q373" s="17"/>
      <c r="R373" s="15"/>
      <c r="S373" s="15"/>
      <c r="T373" s="19" t="str">
        <f t="shared" si="1"/>
        <v/>
      </c>
      <c r="U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123"/>
      <c r="O374" s="9"/>
      <c r="P374" s="9"/>
      <c r="Q374" s="10"/>
      <c r="R374" s="8"/>
      <c r="S374" s="8"/>
      <c r="T374" s="12" t="str">
        <f t="shared" si="1"/>
        <v/>
      </c>
      <c r="U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24"/>
      <c r="O375" s="16"/>
      <c r="P375" s="16"/>
      <c r="Q375" s="17"/>
      <c r="R375" s="15"/>
      <c r="S375" s="15"/>
      <c r="T375" s="19" t="str">
        <f t="shared" si="1"/>
        <v/>
      </c>
      <c r="U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123"/>
      <c r="O376" s="9"/>
      <c r="P376" s="9"/>
      <c r="Q376" s="10"/>
      <c r="R376" s="8"/>
      <c r="S376" s="8"/>
      <c r="T376" s="12" t="str">
        <f t="shared" si="1"/>
        <v/>
      </c>
      <c r="U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24"/>
      <c r="O377" s="16"/>
      <c r="P377" s="16"/>
      <c r="Q377" s="17"/>
      <c r="R377" s="15"/>
      <c r="S377" s="15"/>
      <c r="T377" s="19" t="str">
        <f t="shared" si="1"/>
        <v/>
      </c>
      <c r="U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123"/>
      <c r="O378" s="9"/>
      <c r="P378" s="9"/>
      <c r="Q378" s="10"/>
      <c r="R378" s="8"/>
      <c r="S378" s="8"/>
      <c r="T378" s="12" t="str">
        <f t="shared" si="1"/>
        <v/>
      </c>
      <c r="U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24"/>
      <c r="O379" s="16"/>
      <c r="P379" s="16"/>
      <c r="Q379" s="17"/>
      <c r="R379" s="15"/>
      <c r="S379" s="15"/>
      <c r="T379" s="19" t="str">
        <f t="shared" si="1"/>
        <v/>
      </c>
      <c r="U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123"/>
      <c r="O380" s="9"/>
      <c r="P380" s="9"/>
      <c r="Q380" s="10"/>
      <c r="R380" s="8"/>
      <c r="S380" s="8"/>
      <c r="T380" s="12" t="str">
        <f t="shared" si="1"/>
        <v/>
      </c>
      <c r="U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24"/>
      <c r="O381" s="16"/>
      <c r="P381" s="16"/>
      <c r="Q381" s="17"/>
      <c r="R381" s="15"/>
      <c r="S381" s="15"/>
      <c r="T381" s="19" t="str">
        <f t="shared" si="1"/>
        <v/>
      </c>
      <c r="U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123"/>
      <c r="O382" s="9"/>
      <c r="P382" s="9"/>
      <c r="Q382" s="10"/>
      <c r="R382" s="8"/>
      <c r="S382" s="8"/>
      <c r="T382" s="12" t="str">
        <f t="shared" si="1"/>
        <v/>
      </c>
      <c r="U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24"/>
      <c r="O383" s="16"/>
      <c r="P383" s="16"/>
      <c r="Q383" s="17"/>
      <c r="R383" s="15"/>
      <c r="S383" s="15"/>
      <c r="T383" s="19" t="str">
        <f t="shared" si="1"/>
        <v/>
      </c>
      <c r="U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123"/>
      <c r="O384" s="9"/>
      <c r="P384" s="9"/>
      <c r="Q384" s="10"/>
      <c r="R384" s="8"/>
      <c r="S384" s="8"/>
      <c r="T384" s="12" t="str">
        <f t="shared" si="1"/>
        <v/>
      </c>
      <c r="U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24"/>
      <c r="O385" s="16"/>
      <c r="P385" s="16"/>
      <c r="Q385" s="17"/>
      <c r="R385" s="15"/>
      <c r="S385" s="15"/>
      <c r="T385" s="19" t="str">
        <f t="shared" si="1"/>
        <v/>
      </c>
      <c r="U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123"/>
      <c r="O386" s="9"/>
      <c r="P386" s="9"/>
      <c r="Q386" s="10"/>
      <c r="R386" s="8"/>
      <c r="S386" s="8"/>
      <c r="T386" s="12" t="str">
        <f t="shared" si="1"/>
        <v/>
      </c>
      <c r="U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24"/>
      <c r="O387" s="16"/>
      <c r="P387" s="16"/>
      <c r="Q387" s="17"/>
      <c r="R387" s="15"/>
      <c r="S387" s="15"/>
      <c r="T387" s="19" t="str">
        <f t="shared" si="1"/>
        <v/>
      </c>
      <c r="U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123"/>
      <c r="O388" s="9"/>
      <c r="P388" s="9"/>
      <c r="Q388" s="10"/>
      <c r="R388" s="8"/>
      <c r="S388" s="8"/>
      <c r="T388" s="12" t="str">
        <f t="shared" si="1"/>
        <v/>
      </c>
      <c r="U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24"/>
      <c r="O389" s="16"/>
      <c r="P389" s="16"/>
      <c r="Q389" s="17"/>
      <c r="R389" s="15"/>
      <c r="S389" s="15"/>
      <c r="T389" s="19" t="str">
        <f t="shared" si="1"/>
        <v/>
      </c>
      <c r="U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123"/>
      <c r="O390" s="9"/>
      <c r="P390" s="9"/>
      <c r="Q390" s="10"/>
      <c r="R390" s="8"/>
      <c r="S390" s="8"/>
      <c r="T390" s="12" t="str">
        <f t="shared" si="1"/>
        <v/>
      </c>
      <c r="U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24"/>
      <c r="O391" s="16"/>
      <c r="P391" s="16"/>
      <c r="Q391" s="17"/>
      <c r="R391" s="15"/>
      <c r="S391" s="15"/>
      <c r="T391" s="19" t="str">
        <f t="shared" si="1"/>
        <v/>
      </c>
      <c r="U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123"/>
      <c r="O392" s="9"/>
      <c r="P392" s="9"/>
      <c r="Q392" s="10"/>
      <c r="R392" s="8"/>
      <c r="S392" s="8"/>
      <c r="T392" s="12" t="str">
        <f t="shared" si="1"/>
        <v/>
      </c>
      <c r="U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24"/>
      <c r="O393" s="16"/>
      <c r="P393" s="16"/>
      <c r="Q393" s="17"/>
      <c r="R393" s="15"/>
      <c r="S393" s="15"/>
      <c r="T393" s="19" t="str">
        <f t="shared" si="1"/>
        <v/>
      </c>
      <c r="U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123"/>
      <c r="O394" s="9"/>
      <c r="P394" s="9"/>
      <c r="Q394" s="10"/>
      <c r="R394" s="8"/>
      <c r="S394" s="8"/>
      <c r="T394" s="12" t="str">
        <f t="shared" si="1"/>
        <v/>
      </c>
      <c r="U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24"/>
      <c r="O395" s="16"/>
      <c r="P395" s="16"/>
      <c r="Q395" s="17"/>
      <c r="R395" s="15"/>
      <c r="S395" s="15"/>
      <c r="T395" s="124"/>
      <c r="U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123"/>
      <c r="O396" s="9"/>
      <c r="P396" s="9"/>
      <c r="Q396" s="10"/>
      <c r="R396" s="8"/>
      <c r="S396" s="8"/>
      <c r="T396" s="123"/>
      <c r="U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24"/>
      <c r="O397" s="16"/>
      <c r="P397" s="16"/>
      <c r="Q397" s="17"/>
      <c r="R397" s="15"/>
      <c r="S397" s="15"/>
      <c r="T397" s="124"/>
      <c r="U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123"/>
      <c r="O398" s="9"/>
      <c r="P398" s="9"/>
      <c r="Q398" s="10"/>
      <c r="R398" s="8"/>
      <c r="S398" s="8"/>
      <c r="T398" s="123"/>
      <c r="U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24"/>
      <c r="O399" s="16"/>
      <c r="P399" s="16"/>
      <c r="Q399" s="17"/>
      <c r="R399" s="15"/>
      <c r="S399" s="15"/>
      <c r="T399" s="124"/>
      <c r="U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123"/>
      <c r="O400" s="9"/>
      <c r="P400" s="9"/>
      <c r="Q400" s="10"/>
      <c r="R400" s="8"/>
      <c r="S400" s="8"/>
      <c r="T400" s="123"/>
      <c r="U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24"/>
      <c r="O401" s="16"/>
      <c r="P401" s="16"/>
      <c r="Q401" s="17"/>
      <c r="R401" s="15"/>
      <c r="S401" s="15"/>
      <c r="T401" s="124"/>
      <c r="U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123"/>
      <c r="O402" s="9"/>
      <c r="P402" s="9"/>
      <c r="Q402" s="10"/>
      <c r="R402" s="8"/>
      <c r="S402" s="8"/>
      <c r="T402" s="123"/>
      <c r="U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24"/>
      <c r="O403" s="16"/>
      <c r="P403" s="16"/>
      <c r="Q403" s="17"/>
      <c r="R403" s="15"/>
      <c r="S403" s="15"/>
      <c r="T403" s="124"/>
      <c r="U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123"/>
      <c r="O404" s="9"/>
      <c r="P404" s="9"/>
      <c r="Q404" s="10"/>
      <c r="R404" s="8"/>
      <c r="S404" s="8"/>
      <c r="T404" s="123"/>
      <c r="U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24"/>
      <c r="O405" s="16"/>
      <c r="P405" s="16"/>
      <c r="Q405" s="17"/>
      <c r="R405" s="15"/>
      <c r="S405" s="15"/>
      <c r="T405" s="124"/>
      <c r="U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123"/>
      <c r="O406" s="9"/>
      <c r="P406" s="9"/>
      <c r="Q406" s="10"/>
      <c r="R406" s="8"/>
      <c r="S406" s="8"/>
      <c r="T406" s="123"/>
      <c r="U406" s="123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6"/>
      <c r="O407" s="127"/>
      <c r="P407" s="127"/>
      <c r="Q407" s="128"/>
      <c r="R407" s="125"/>
      <c r="S407" s="125"/>
      <c r="T407" s="126"/>
      <c r="U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30"/>
      <c r="O408" s="131"/>
      <c r="P408" s="131"/>
      <c r="Q408" s="132"/>
      <c r="R408" s="129"/>
      <c r="S408" s="129"/>
      <c r="T408" s="130"/>
      <c r="U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6"/>
      <c r="O409" s="127"/>
      <c r="P409" s="127"/>
      <c r="Q409" s="128"/>
      <c r="R409" s="125"/>
      <c r="S409" s="125"/>
      <c r="T409" s="126"/>
      <c r="U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30"/>
      <c r="O410" s="131"/>
      <c r="P410" s="131"/>
      <c r="Q410" s="132"/>
      <c r="R410" s="129"/>
      <c r="S410" s="129"/>
      <c r="T410" s="130"/>
      <c r="U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6"/>
      <c r="O411" s="127"/>
      <c r="P411" s="127"/>
      <c r="Q411" s="128"/>
      <c r="R411" s="125"/>
      <c r="S411" s="125"/>
      <c r="T411" s="126"/>
      <c r="U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30"/>
      <c r="O412" s="131"/>
      <c r="P412" s="131"/>
      <c r="Q412" s="132"/>
      <c r="R412" s="129"/>
      <c r="S412" s="129"/>
      <c r="T412" s="130"/>
      <c r="U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6"/>
      <c r="O413" s="127"/>
      <c r="P413" s="127"/>
      <c r="Q413" s="128"/>
      <c r="R413" s="125"/>
      <c r="S413" s="125"/>
      <c r="T413" s="126"/>
      <c r="U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30"/>
      <c r="O414" s="131"/>
      <c r="P414" s="131"/>
      <c r="Q414" s="132"/>
      <c r="R414" s="129"/>
      <c r="S414" s="129"/>
      <c r="T414" s="130"/>
      <c r="U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6"/>
      <c r="O415" s="127"/>
      <c r="P415" s="127"/>
      <c r="Q415" s="128"/>
      <c r="R415" s="125"/>
      <c r="S415" s="125"/>
      <c r="T415" s="126"/>
      <c r="U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30"/>
      <c r="O416" s="131"/>
      <c r="P416" s="131"/>
      <c r="Q416" s="132"/>
      <c r="R416" s="129"/>
      <c r="S416" s="129"/>
      <c r="T416" s="130"/>
      <c r="U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6"/>
      <c r="O417" s="127"/>
      <c r="P417" s="127"/>
      <c r="Q417" s="128"/>
      <c r="R417" s="125"/>
      <c r="S417" s="125"/>
      <c r="T417" s="126"/>
      <c r="U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30"/>
      <c r="O418" s="131"/>
      <c r="P418" s="131"/>
      <c r="Q418" s="132"/>
      <c r="R418" s="129"/>
      <c r="S418" s="129"/>
      <c r="T418" s="130"/>
      <c r="U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6"/>
      <c r="O419" s="127"/>
      <c r="P419" s="127"/>
      <c r="Q419" s="128"/>
      <c r="R419" s="125"/>
      <c r="S419" s="125"/>
      <c r="T419" s="126"/>
      <c r="U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30"/>
      <c r="O420" s="131"/>
      <c r="P420" s="131"/>
      <c r="Q420" s="132"/>
      <c r="R420" s="129"/>
      <c r="S420" s="129"/>
      <c r="T420" s="130"/>
      <c r="U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6"/>
      <c r="O421" s="127"/>
      <c r="P421" s="127"/>
      <c r="Q421" s="128"/>
      <c r="R421" s="125"/>
      <c r="S421" s="125"/>
      <c r="T421" s="126"/>
      <c r="U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30"/>
      <c r="O422" s="131"/>
      <c r="P422" s="131"/>
      <c r="Q422" s="132"/>
      <c r="R422" s="129"/>
      <c r="S422" s="129"/>
      <c r="T422" s="130"/>
      <c r="U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6"/>
      <c r="O423" s="127"/>
      <c r="P423" s="127"/>
      <c r="Q423" s="128"/>
      <c r="R423" s="125"/>
      <c r="S423" s="125"/>
      <c r="T423" s="126"/>
      <c r="U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30"/>
      <c r="O424" s="131"/>
      <c r="P424" s="131"/>
      <c r="Q424" s="132"/>
      <c r="R424" s="129"/>
      <c r="S424" s="129"/>
      <c r="T424" s="130"/>
      <c r="U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6"/>
      <c r="O425" s="127"/>
      <c r="P425" s="127"/>
      <c r="Q425" s="128"/>
      <c r="R425" s="125"/>
      <c r="S425" s="125"/>
      <c r="T425" s="126"/>
      <c r="U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30"/>
      <c r="O426" s="131"/>
      <c r="P426" s="131"/>
      <c r="Q426" s="132"/>
      <c r="R426" s="129"/>
      <c r="S426" s="129"/>
      <c r="T426" s="130"/>
      <c r="U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6"/>
      <c r="O427" s="127"/>
      <c r="P427" s="127"/>
      <c r="Q427" s="128"/>
      <c r="R427" s="125"/>
      <c r="S427" s="125"/>
      <c r="T427" s="126"/>
      <c r="U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30"/>
      <c r="O428" s="131"/>
      <c r="P428" s="131"/>
      <c r="Q428" s="132"/>
      <c r="R428" s="129"/>
      <c r="S428" s="129"/>
      <c r="T428" s="130"/>
      <c r="U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6"/>
      <c r="O429" s="127"/>
      <c r="P429" s="127"/>
      <c r="Q429" s="128"/>
      <c r="R429" s="125"/>
      <c r="S429" s="125"/>
      <c r="T429" s="126"/>
      <c r="U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30"/>
      <c r="O430" s="131"/>
      <c r="P430" s="131"/>
      <c r="Q430" s="132"/>
      <c r="R430" s="129"/>
      <c r="S430" s="129"/>
      <c r="T430" s="130"/>
      <c r="U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6"/>
      <c r="O431" s="127"/>
      <c r="P431" s="127"/>
      <c r="Q431" s="128"/>
      <c r="R431" s="125"/>
      <c r="S431" s="125"/>
      <c r="T431" s="126"/>
      <c r="U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30"/>
      <c r="O432" s="131"/>
      <c r="P432" s="131"/>
      <c r="Q432" s="132"/>
      <c r="R432" s="129"/>
      <c r="S432" s="129"/>
      <c r="T432" s="130"/>
      <c r="U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6"/>
      <c r="O433" s="127"/>
      <c r="P433" s="127"/>
      <c r="Q433" s="128"/>
      <c r="R433" s="125"/>
      <c r="S433" s="125"/>
      <c r="T433" s="126"/>
      <c r="U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30"/>
      <c r="O434" s="131"/>
      <c r="P434" s="131"/>
      <c r="Q434" s="132"/>
      <c r="R434" s="129"/>
      <c r="S434" s="129"/>
      <c r="T434" s="130"/>
      <c r="U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6"/>
      <c r="O435" s="127"/>
      <c r="P435" s="127"/>
      <c r="Q435" s="128"/>
      <c r="R435" s="125"/>
      <c r="S435" s="125"/>
      <c r="T435" s="126"/>
      <c r="U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30"/>
      <c r="O436" s="131"/>
      <c r="P436" s="131"/>
      <c r="Q436" s="132"/>
      <c r="R436" s="129"/>
      <c r="S436" s="129"/>
      <c r="T436" s="130"/>
      <c r="U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6"/>
      <c r="O437" s="127"/>
      <c r="P437" s="127"/>
      <c r="Q437" s="128"/>
      <c r="R437" s="125"/>
      <c r="S437" s="125"/>
      <c r="T437" s="126"/>
      <c r="U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30"/>
      <c r="O438" s="131"/>
      <c r="P438" s="131"/>
      <c r="Q438" s="132"/>
      <c r="R438" s="129"/>
      <c r="S438" s="129"/>
      <c r="T438" s="130"/>
      <c r="U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6"/>
      <c r="O439" s="127"/>
      <c r="P439" s="127"/>
      <c r="Q439" s="128"/>
      <c r="R439" s="125"/>
      <c r="S439" s="125"/>
      <c r="T439" s="126"/>
      <c r="U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30"/>
      <c r="O440" s="131"/>
      <c r="P440" s="131"/>
      <c r="Q440" s="132"/>
      <c r="R440" s="129"/>
      <c r="S440" s="129"/>
      <c r="T440" s="130"/>
      <c r="U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6"/>
      <c r="O441" s="127"/>
      <c r="P441" s="127"/>
      <c r="Q441" s="128"/>
      <c r="R441" s="125"/>
      <c r="S441" s="125"/>
      <c r="T441" s="126"/>
      <c r="U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30"/>
      <c r="O442" s="131"/>
      <c r="P442" s="131"/>
      <c r="Q442" s="132"/>
      <c r="R442" s="129"/>
      <c r="S442" s="129"/>
      <c r="T442" s="130"/>
      <c r="U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6"/>
      <c r="O443" s="127"/>
      <c r="P443" s="127"/>
      <c r="Q443" s="128"/>
      <c r="R443" s="125"/>
      <c r="S443" s="125"/>
      <c r="T443" s="126"/>
      <c r="U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30"/>
      <c r="O444" s="131"/>
      <c r="P444" s="131"/>
      <c r="Q444" s="132"/>
      <c r="R444" s="129"/>
      <c r="S444" s="129"/>
      <c r="T444" s="130"/>
      <c r="U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6"/>
      <c r="O445" s="127"/>
      <c r="P445" s="127"/>
      <c r="Q445" s="128"/>
      <c r="R445" s="125"/>
      <c r="S445" s="125"/>
      <c r="T445" s="126"/>
      <c r="U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30"/>
      <c r="O446" s="131"/>
      <c r="P446" s="131"/>
      <c r="Q446" s="132"/>
      <c r="R446" s="129"/>
      <c r="S446" s="129"/>
      <c r="T446" s="130"/>
      <c r="U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6"/>
      <c r="O447" s="127"/>
      <c r="P447" s="127"/>
      <c r="Q447" s="128"/>
      <c r="R447" s="125"/>
      <c r="S447" s="125"/>
      <c r="T447" s="126"/>
      <c r="U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30"/>
      <c r="O448" s="131"/>
      <c r="P448" s="131"/>
      <c r="Q448" s="132"/>
      <c r="R448" s="129"/>
      <c r="S448" s="129"/>
      <c r="T448" s="130"/>
      <c r="U448" s="130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126"/>
      <c r="U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130"/>
      <c r="U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126"/>
      <c r="U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130"/>
      <c r="U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126"/>
      <c r="U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130"/>
      <c r="U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126"/>
      <c r="U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130"/>
      <c r="U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126"/>
      <c r="U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</row>
  </sheetData>
  <autoFilter ref="$A$1:$U$406"/>
  <customSheetViews>
    <customSheetView guid="{C0AB1544-F4B4-45C0-8975-97F745A006DC}" filter="1" showAutoFilter="1">
      <autoFilter ref="$A$1:$Y$406"/>
    </customSheetView>
    <customSheetView guid="{9BA04A38-02DA-4F02-BBBB-302FC15326E0}" filter="1" showAutoFilter="1">
      <autoFilter ref="$A$1:$U$406">
        <filterColumn colId="11">
          <filters>
            <filter val="AH-"/>
            <filter val="Under L"/>
            <filter val="Over L"/>
            <filter val="DC"/>
          </filters>
        </filterColumn>
      </autoFilter>
    </customSheetView>
    <customSheetView guid="{B1E9CC24-145D-4007-8A11-90FD9E435072}" filter="1" showAutoFilter="1">
      <autoFilter ref="$A$1:$Y$406">
        <filterColumn colId="9">
          <filters>
            <filter val="Polônia"/>
            <filter val="Zâmbia"/>
            <filter val="Nigéria"/>
            <filter val="Rep. Dominicana"/>
            <filter val="África Sul"/>
            <filter val="Letônia"/>
            <filter val="Bulgária"/>
            <filter val="Malaui"/>
            <filter val="El Salvador"/>
            <filter val="Mali"/>
            <filter val="Noruega"/>
            <filter val="Etiópia"/>
            <filter val="Romênia"/>
            <filter val="Argentina"/>
            <filter val="Argélia"/>
            <filter val="Moçambique"/>
            <filter val="Bélgica"/>
            <filter val="Serra Leoa"/>
            <filter val="Botsuana"/>
            <filter val="Quênia"/>
            <filter val="Eslováquia"/>
            <filter val="Croácia"/>
            <filter val="Rep. Tcheca"/>
            <filter val="Ilhas Faroé"/>
            <filter val="Suécia"/>
            <filter val="Kosovo"/>
            <filter val="Irlanda Norte"/>
            <filter val="Bósnia e Herz."/>
            <filter val="Filipinas"/>
            <filter val="Uruguay"/>
            <filter val="Amistoso"/>
            <filter val="Estônia"/>
            <filter val="Italia"/>
            <filter val="Áustria"/>
            <filter val="Mongólia"/>
            <filter val="Burkina Faso"/>
            <filter val="Sérvia"/>
            <filter val="Camarões"/>
            <filter val="Montenegro"/>
          </filters>
        </filterColumn>
      </autoFilter>
    </customSheetView>
    <customSheetView guid="{BA551338-6311-4C02-9137-137E692B7D93}" filter="1" showAutoFilter="1">
      <autoFilter ref="$A$1:$U$406">
        <filterColumn colId="13">
          <filters>
            <filter val="2.50"/>
            <filter val="0.00"/>
            <filter val="0.75"/>
            <filter val="7.50"/>
            <filter val="-7.50"/>
            <filter val="1.50"/>
            <filter val="0.50"/>
            <filter val="-12.50"/>
            <filter val="-3.50"/>
            <filter val="-0.50"/>
            <filter val="1.25"/>
            <filter val="0.25"/>
            <filter val="-0.25"/>
          </filters>
        </filterColumn>
      </autoFilter>
    </customSheetView>
    <customSheetView guid="{F477B962-7F95-4B58-B796-7F91B20D0221}" filter="1" showAutoFilter="1">
      <autoFilter ref="$A$1:$Y$406">
        <filterColumn colId="11">
          <filters>
            <filter val="AH-"/>
            <filter val="Over L"/>
            <filter val="ML"/>
            <filter val="DC"/>
          </filters>
        </filterColumn>
      </autoFilter>
    </customSheetView>
    <customSheetView guid="{3D13BECD-F97B-4CC8-B9FC-728C2CBFEBF1}" filter="1" showAutoFilter="1">
      <autoFilter ref="$A$1:$U$406">
        <filterColumn colId="9">
          <filters>
            <filter val="Finlândia"/>
            <filter val="Nigéria"/>
            <filter val="Rep. Dominicana"/>
            <filter val="Letônia"/>
            <filter val="Tanzânia"/>
            <filter val="Bulgária"/>
            <filter val="Mali"/>
            <filter val="Argentina"/>
            <filter val="México"/>
            <filter val="Moçambique"/>
            <filter val="Serra Leoa"/>
            <filter val="Botsuana"/>
            <filter val="Austrália"/>
            <filter val="Ilhas Faroé"/>
            <filter val="Suécia"/>
            <filter val="Mauritânia"/>
            <filter val="Bósnia e Herz."/>
            <filter val="Filipinas"/>
            <filter val="Grécia"/>
            <filter val="Uruguay"/>
            <filter val="Índia"/>
            <filter val="Italia"/>
            <filter val="Mongólia"/>
            <filter val="Burkina Faso"/>
            <filter val="Camarões"/>
          </filters>
        </filterColumn>
      </autoFilter>
    </customSheetView>
    <customSheetView guid="{978C25F2-69C0-4E3B-8EFC-6A6EC3E48DD3}" filter="1" showAutoFilter="1">
      <autoFilter ref="$A$1:$Y$406"/>
    </customSheetView>
    <customSheetView guid="{9B5C888F-E11A-4842-8D0B-62F1614802A4}" filter="1" showAutoFilter="1">
      <autoFilter ref="$A$1:$T$284">
        <filterColumn colId="11">
          <filters>
            <filter val="AH+"/>
            <filter val="AH-"/>
            <filter val="Under L"/>
            <filter val="Over L"/>
            <filter val="DC"/>
          </filters>
        </filterColumn>
      </autoFilter>
    </customSheetView>
    <customSheetView guid="{D9D1A42E-DDFC-4032-8664-60A2E47E0D40}" filter="1" showAutoFilter="1">
      <autoFilter ref="$A$1:$T$284"/>
    </customSheetView>
    <customSheetView guid="{8BE028A4-B37D-4082-AE82-07BBC89EBB11}" filter="1" showAutoFilter="1">
      <autoFilter ref="$A$1:$U$406"/>
    </customSheetView>
  </customSheetViews>
  <mergeCells count="11">
    <mergeCell ref="W66:Y66"/>
    <mergeCell ref="W67:Y67"/>
    <mergeCell ref="W68:Y68"/>
    <mergeCell ref="W69:Y69"/>
    <mergeCell ref="W59:Y59"/>
    <mergeCell ref="W60:Y60"/>
    <mergeCell ref="W61:Y61"/>
    <mergeCell ref="W62:Y62"/>
    <mergeCell ref="W63:Y63"/>
    <mergeCell ref="W64:Y64"/>
    <mergeCell ref="W65:Y65"/>
  </mergeCells>
  <conditionalFormatting sqref="S2:S499">
    <cfRule type="cellIs" dxfId="0" priority="1" operator="equal">
      <formula>"Ganha"</formula>
    </cfRule>
  </conditionalFormatting>
  <conditionalFormatting sqref="S2:S499">
    <cfRule type="cellIs" dxfId="1" priority="2" operator="equal">
      <formula>"Ganha/devolvida"</formula>
    </cfRule>
  </conditionalFormatting>
  <conditionalFormatting sqref="S2:S499">
    <cfRule type="cellIs" dxfId="2" priority="3" operator="equal">
      <formula>"Devolvida"</formula>
    </cfRule>
  </conditionalFormatting>
  <conditionalFormatting sqref="S2:S499">
    <cfRule type="cellIs" dxfId="3" priority="4" operator="equal">
      <formula>"Perdida/devolvida"</formula>
    </cfRule>
  </conditionalFormatting>
  <conditionalFormatting sqref="S2:S499">
    <cfRule type="cellIs" dxfId="4" priority="5" operator="equal">
      <formula>"Perdida"</formula>
    </cfRule>
  </conditionalFormatting>
  <conditionalFormatting sqref="T2:T457 U2:U998 X2:X35">
    <cfRule type="cellIs" dxfId="0" priority="6" operator="greaterThan">
      <formula>0</formula>
    </cfRule>
  </conditionalFormatting>
  <conditionalFormatting sqref="T2:T457 U2:U998 X2:X35">
    <cfRule type="cellIs" dxfId="4" priority="7" operator="lessThan">
      <formula>0</formula>
    </cfRule>
  </conditionalFormatting>
  <conditionalFormatting sqref="T2:T998 U2:U13 X2:X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3.75"/>
    <col customWidth="1" min="6" max="6" width="60.88"/>
    <col customWidth="1" min="7" max="7" width="8.38"/>
    <col customWidth="1" min="8" max="8" width="9.25"/>
    <col customWidth="1" min="9" max="9" width="12.88"/>
    <col customWidth="1" min="10" max="10" width="11.25"/>
    <col customWidth="1" min="11" max="11" width="4.5"/>
    <col customWidth="1" min="12" max="12" width="8.13"/>
    <col customWidth="1" min="13" max="13" width="9.5"/>
    <col customWidth="1" min="14" max="17" width="5.88"/>
    <col customWidth="1" min="18" max="18" width="6.5"/>
    <col customWidth="1" min="19" max="19" width="14.75"/>
    <col customWidth="1" min="20" max="20" width="10.75"/>
    <col customWidth="1" min="21" max="21" width="7.25"/>
    <col customWidth="1" min="22" max="22" width="4.13"/>
    <col customWidth="1" min="23" max="23" width="6.25"/>
    <col customWidth="1" min="24" max="24" width="6.5"/>
    <col customWidth="1" min="25" max="25" width="11.25"/>
  </cols>
  <sheetData>
    <row r="1">
      <c r="A1" s="2" t="s">
        <v>5560</v>
      </c>
      <c r="B1" s="2" t="s">
        <v>1</v>
      </c>
      <c r="C1" s="2" t="s">
        <v>2</v>
      </c>
      <c r="D1" s="2" t="s">
        <v>1462</v>
      </c>
      <c r="E1" s="2" t="s">
        <v>1480</v>
      </c>
      <c r="F1" s="3" t="s">
        <v>3</v>
      </c>
      <c r="G1" s="2" t="s">
        <v>1466</v>
      </c>
      <c r="H1" s="2" t="s">
        <v>1467</v>
      </c>
      <c r="I1" s="2" t="s">
        <v>1468</v>
      </c>
      <c r="J1" s="3" t="s">
        <v>4</v>
      </c>
      <c r="K1" s="3" t="s">
        <v>5</v>
      </c>
      <c r="L1" s="3" t="s">
        <v>6</v>
      </c>
      <c r="M1" s="2" t="s">
        <v>7</v>
      </c>
      <c r="N1" s="4" t="s">
        <v>8</v>
      </c>
      <c r="O1" s="5" t="s">
        <v>9</v>
      </c>
      <c r="P1" s="4" t="s">
        <v>10</v>
      </c>
      <c r="Q1" s="6" t="s">
        <v>11</v>
      </c>
      <c r="R1" s="97" t="s">
        <v>12</v>
      </c>
      <c r="S1" s="3" t="s">
        <v>13</v>
      </c>
      <c r="T1" s="4" t="s">
        <v>2372</v>
      </c>
      <c r="U1" s="4" t="s">
        <v>15</v>
      </c>
      <c r="W1" s="3" t="s">
        <v>16</v>
      </c>
      <c r="X1" s="3" t="s">
        <v>15</v>
      </c>
      <c r="Y1" s="3" t="s">
        <v>17</v>
      </c>
    </row>
    <row r="2">
      <c r="A2" s="8">
        <f>1</f>
        <v>1</v>
      </c>
      <c r="B2" s="8" t="s">
        <v>129</v>
      </c>
      <c r="C2" s="8" t="s">
        <v>19</v>
      </c>
      <c r="D2" s="8">
        <v>37.0</v>
      </c>
      <c r="E2" s="8"/>
      <c r="F2" s="8" t="s">
        <v>4583</v>
      </c>
      <c r="G2" s="8" t="s">
        <v>5565</v>
      </c>
      <c r="H2" s="8" t="s">
        <v>2660</v>
      </c>
      <c r="I2" s="8">
        <f>1</f>
        <v>1</v>
      </c>
      <c r="J2" s="8" t="s">
        <v>487</v>
      </c>
      <c r="K2" s="8" t="s">
        <v>22</v>
      </c>
      <c r="L2" s="8" t="s">
        <v>4584</v>
      </c>
      <c r="M2" s="8" t="s">
        <v>24</v>
      </c>
      <c r="N2" s="9">
        <v>0.0</v>
      </c>
      <c r="O2" s="9">
        <v>0.15</v>
      </c>
      <c r="P2" s="9">
        <v>0.027</v>
      </c>
      <c r="Q2" s="10">
        <v>45352.0</v>
      </c>
      <c r="R2" s="11">
        <v>1.65</v>
      </c>
      <c r="S2" s="8" t="s">
        <v>33</v>
      </c>
      <c r="T2" s="12">
        <f t="shared" ref="T2:T394" si="1">IF(S2="ganha",(P2*(R2-1)),IF(S2="perdida",-P2,IF(S2="devolvida",0,IF(S2="ganha/devolvida",((P2*(R2-1)))/2,IF(S2="perdida/devolvida",-P2/2,IF(S2="Aguardando",0,""))))))</f>
        <v>0.01755</v>
      </c>
      <c r="U2" s="12">
        <f>T2</f>
        <v>0.01755</v>
      </c>
      <c r="W2" s="66">
        <v>45352.0</v>
      </c>
      <c r="X2" s="13">
        <f t="shared" ref="X2:X32" si="2">SUMIF($Q$2:$Q$2981,W2,$T$2:$T$2981)</f>
        <v>-2.5853</v>
      </c>
      <c r="Y2" s="14">
        <f>SUMIF($S$2:$S$2981,"Aguardando",$P$2:$P$2981)</f>
        <v>0</v>
      </c>
    </row>
    <row r="3">
      <c r="A3" s="15">
        <f t="shared" ref="A3:A406" si="3">A2+1</f>
        <v>2</v>
      </c>
      <c r="B3" s="15" t="s">
        <v>131</v>
      </c>
      <c r="C3" s="15" t="s">
        <v>19</v>
      </c>
      <c r="D3" s="15">
        <v>66.0</v>
      </c>
      <c r="E3" s="15"/>
      <c r="F3" s="15" t="s">
        <v>4585</v>
      </c>
      <c r="G3" s="15"/>
      <c r="H3" s="15"/>
      <c r="I3" s="15"/>
      <c r="J3" s="15" t="s">
        <v>354</v>
      </c>
      <c r="K3" s="15" t="s">
        <v>22</v>
      </c>
      <c r="L3" s="15" t="s">
        <v>2634</v>
      </c>
      <c r="M3" s="15" t="s">
        <v>24</v>
      </c>
      <c r="N3" s="16"/>
      <c r="O3" s="16">
        <v>0.1</v>
      </c>
      <c r="P3" s="16">
        <v>0.1</v>
      </c>
      <c r="Q3" s="17">
        <v>45352.0</v>
      </c>
      <c r="R3" s="18">
        <v>4.0</v>
      </c>
      <c r="S3" s="15" t="s">
        <v>25</v>
      </c>
      <c r="T3" s="19">
        <f t="shared" si="1"/>
        <v>-0.1</v>
      </c>
      <c r="U3" s="19">
        <f t="shared" ref="U3:U358" si="4">U2+T3</f>
        <v>-0.08245</v>
      </c>
      <c r="W3" s="66">
        <v>45353.0</v>
      </c>
      <c r="X3" s="13">
        <f t="shared" si="2"/>
        <v>-0.30925</v>
      </c>
    </row>
    <row r="4">
      <c r="A4" s="8">
        <f t="shared" si="3"/>
        <v>3</v>
      </c>
      <c r="B4" s="8" t="s">
        <v>131</v>
      </c>
      <c r="C4" s="8" t="s">
        <v>19</v>
      </c>
      <c r="D4" s="8">
        <v>67.0</v>
      </c>
      <c r="E4" s="8"/>
      <c r="F4" s="8" t="s">
        <v>4586</v>
      </c>
      <c r="G4" s="8" t="s">
        <v>5564</v>
      </c>
      <c r="H4" s="8" t="s">
        <v>2556</v>
      </c>
      <c r="I4" s="8">
        <v>-1.0</v>
      </c>
      <c r="J4" s="8" t="s">
        <v>354</v>
      </c>
      <c r="K4" s="8" t="s">
        <v>22</v>
      </c>
      <c r="L4" s="8" t="s">
        <v>225</v>
      </c>
      <c r="M4" s="8" t="s">
        <v>24</v>
      </c>
      <c r="N4" s="9">
        <v>0.25</v>
      </c>
      <c r="O4" s="9">
        <v>0.2</v>
      </c>
      <c r="P4" s="9">
        <v>0.2</v>
      </c>
      <c r="Q4" s="10">
        <v>45352.0</v>
      </c>
      <c r="R4" s="11">
        <v>2.05</v>
      </c>
      <c r="S4" s="8" t="s">
        <v>30</v>
      </c>
      <c r="T4" s="12">
        <f t="shared" si="1"/>
        <v>0.105</v>
      </c>
      <c r="U4" s="12">
        <f t="shared" si="4"/>
        <v>0.02255</v>
      </c>
      <c r="W4" s="66">
        <v>45354.0</v>
      </c>
      <c r="X4" s="13">
        <f t="shared" si="2"/>
        <v>-2.027</v>
      </c>
      <c r="Y4" s="3" t="s">
        <v>34</v>
      </c>
    </row>
    <row r="5">
      <c r="A5" s="15">
        <f t="shared" si="3"/>
        <v>4</v>
      </c>
      <c r="B5" s="15" t="s">
        <v>4225</v>
      </c>
      <c r="C5" s="15" t="s">
        <v>19</v>
      </c>
      <c r="D5" s="15">
        <v>60.0</v>
      </c>
      <c r="E5" s="15"/>
      <c r="F5" s="15" t="s">
        <v>4587</v>
      </c>
      <c r="G5" s="15" t="s">
        <v>5565</v>
      </c>
      <c r="H5" s="15" t="s">
        <v>2660</v>
      </c>
      <c r="I5" s="15">
        <f>1</f>
        <v>1</v>
      </c>
      <c r="J5" s="15" t="s">
        <v>174</v>
      </c>
      <c r="K5" s="15" t="s">
        <v>22</v>
      </c>
      <c r="L5" s="15" t="s">
        <v>892</v>
      </c>
      <c r="M5" s="15" t="s">
        <v>24</v>
      </c>
      <c r="N5" s="16">
        <v>0.0</v>
      </c>
      <c r="O5" s="16">
        <v>1.0</v>
      </c>
      <c r="P5" s="16">
        <v>1.0</v>
      </c>
      <c r="Q5" s="17">
        <v>45352.0</v>
      </c>
      <c r="R5" s="18">
        <v>1.7</v>
      </c>
      <c r="S5" s="15" t="s">
        <v>25</v>
      </c>
      <c r="T5" s="19">
        <f t="shared" si="1"/>
        <v>-1</v>
      </c>
      <c r="U5" s="19">
        <f t="shared" si="4"/>
        <v>-0.97745</v>
      </c>
      <c r="W5" s="66">
        <v>45355.0</v>
      </c>
      <c r="X5" s="13">
        <f t="shared" si="2"/>
        <v>0.225</v>
      </c>
      <c r="Y5" s="20">
        <f>sum(P2:P1014)</f>
        <v>127.6898226</v>
      </c>
    </row>
    <row r="6">
      <c r="A6" s="8">
        <f t="shared" si="3"/>
        <v>5</v>
      </c>
      <c r="B6" s="8" t="s">
        <v>26</v>
      </c>
      <c r="C6" s="8" t="s">
        <v>19</v>
      </c>
      <c r="D6" s="8">
        <v>82.0</v>
      </c>
      <c r="E6" s="8"/>
      <c r="F6" s="8" t="s">
        <v>4588</v>
      </c>
      <c r="G6" s="8" t="s">
        <v>5565</v>
      </c>
      <c r="H6" s="8" t="s">
        <v>2660</v>
      </c>
      <c r="I6" s="8">
        <v>-1.0</v>
      </c>
      <c r="J6" s="8" t="s">
        <v>923</v>
      </c>
      <c r="K6" s="8" t="s">
        <v>22</v>
      </c>
      <c r="L6" s="8" t="s">
        <v>892</v>
      </c>
      <c r="M6" s="8" t="s">
        <v>24</v>
      </c>
      <c r="N6" s="9">
        <v>0.0</v>
      </c>
      <c r="O6" s="9">
        <v>1.0</v>
      </c>
      <c r="P6" s="9">
        <v>1.0</v>
      </c>
      <c r="Q6" s="10">
        <v>45352.0</v>
      </c>
      <c r="R6" s="11">
        <v>1.725</v>
      </c>
      <c r="S6" s="8" t="s">
        <v>70</v>
      </c>
      <c r="T6" s="12">
        <f t="shared" si="1"/>
        <v>0</v>
      </c>
      <c r="U6" s="12">
        <f t="shared" si="4"/>
        <v>-0.97745</v>
      </c>
      <c r="W6" s="66">
        <v>45356.0</v>
      </c>
      <c r="X6" s="13">
        <f t="shared" si="2"/>
        <v>0.1775</v>
      </c>
    </row>
    <row r="7">
      <c r="A7" s="15">
        <f t="shared" si="3"/>
        <v>6</v>
      </c>
      <c r="B7" s="15" t="s">
        <v>129</v>
      </c>
      <c r="C7" s="15" t="s">
        <v>40</v>
      </c>
      <c r="D7" s="15">
        <v>75.0</v>
      </c>
      <c r="E7" s="15"/>
      <c r="F7" s="15" t="s">
        <v>4589</v>
      </c>
      <c r="G7" s="15" t="s">
        <v>5564</v>
      </c>
      <c r="H7" s="15" t="s">
        <v>2556</v>
      </c>
      <c r="I7" s="15">
        <v>0.0</v>
      </c>
      <c r="J7" s="15" t="s">
        <v>820</v>
      </c>
      <c r="K7" s="15" t="s">
        <v>22</v>
      </c>
      <c r="L7" s="15" t="s">
        <v>225</v>
      </c>
      <c r="M7" s="15" t="s">
        <v>24</v>
      </c>
      <c r="N7" s="16">
        <v>0.25</v>
      </c>
      <c r="O7" s="16">
        <v>0.5</v>
      </c>
      <c r="P7" s="16">
        <v>0.5</v>
      </c>
      <c r="Q7" s="17">
        <v>45352.0</v>
      </c>
      <c r="R7" s="18">
        <v>1.775</v>
      </c>
      <c r="S7" s="15" t="s">
        <v>30</v>
      </c>
      <c r="T7" s="19">
        <f t="shared" si="1"/>
        <v>0.19375</v>
      </c>
      <c r="U7" s="19">
        <f t="shared" si="4"/>
        <v>-0.7837</v>
      </c>
      <c r="W7" s="66">
        <v>45357.0</v>
      </c>
      <c r="X7" s="13">
        <f t="shared" si="2"/>
        <v>0.492</v>
      </c>
      <c r="Y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>
        <v>64.0</v>
      </c>
      <c r="E8" s="8"/>
      <c r="F8" s="8" t="s">
        <v>4590</v>
      </c>
      <c r="G8" s="8" t="s">
        <v>5565</v>
      </c>
      <c r="H8" s="8" t="s">
        <v>2660</v>
      </c>
      <c r="I8" s="8">
        <f>1</f>
        <v>1</v>
      </c>
      <c r="J8" s="8" t="s">
        <v>172</v>
      </c>
      <c r="K8" s="8" t="s">
        <v>22</v>
      </c>
      <c r="L8" s="8" t="s">
        <v>892</v>
      </c>
      <c r="M8" s="8" t="s">
        <v>24</v>
      </c>
      <c r="N8" s="9">
        <v>0.0</v>
      </c>
      <c r="O8" s="9">
        <v>1.1</v>
      </c>
      <c r="P8" s="9">
        <v>1.1</v>
      </c>
      <c r="Q8" s="10">
        <v>45352.0</v>
      </c>
      <c r="R8" s="11">
        <v>1.775</v>
      </c>
      <c r="S8" s="8" t="s">
        <v>25</v>
      </c>
      <c r="T8" s="12">
        <f t="shared" si="1"/>
        <v>-1.1</v>
      </c>
      <c r="U8" s="12">
        <f t="shared" si="4"/>
        <v>-1.8837</v>
      </c>
      <c r="W8" s="66">
        <v>45358.0</v>
      </c>
      <c r="X8" s="13">
        <f t="shared" si="2"/>
        <v>1.703</v>
      </c>
      <c r="Y8" s="21">
        <f>X33/(SUM(P2:P4934)-Y2)</f>
        <v>0.05753352434</v>
      </c>
    </row>
    <row r="9">
      <c r="A9" s="15">
        <f t="shared" si="3"/>
        <v>8</v>
      </c>
      <c r="B9" s="15" t="s">
        <v>26</v>
      </c>
      <c r="C9" s="15" t="s">
        <v>19</v>
      </c>
      <c r="D9" s="15">
        <v>26.0</v>
      </c>
      <c r="E9" s="15"/>
      <c r="F9" s="15" t="s">
        <v>4591</v>
      </c>
      <c r="G9" s="15" t="s">
        <v>5564</v>
      </c>
      <c r="H9" s="15" t="s">
        <v>2660</v>
      </c>
      <c r="I9" s="15">
        <v>0.0</v>
      </c>
      <c r="J9" s="15" t="s">
        <v>273</v>
      </c>
      <c r="K9" s="15" t="s">
        <v>22</v>
      </c>
      <c r="L9" s="15" t="s">
        <v>892</v>
      </c>
      <c r="M9" s="15" t="s">
        <v>24</v>
      </c>
      <c r="N9" s="16">
        <v>0.0</v>
      </c>
      <c r="O9" s="16">
        <v>0.5</v>
      </c>
      <c r="P9" s="16">
        <v>0.5</v>
      </c>
      <c r="Q9" s="17">
        <v>45352.0</v>
      </c>
      <c r="R9" s="18">
        <v>1.825</v>
      </c>
      <c r="S9" s="15" t="s">
        <v>25</v>
      </c>
      <c r="T9" s="19">
        <f t="shared" si="1"/>
        <v>-0.5</v>
      </c>
      <c r="U9" s="19">
        <f t="shared" si="4"/>
        <v>-2.3837</v>
      </c>
      <c r="W9" s="66">
        <v>45359.0</v>
      </c>
      <c r="X9" s="13">
        <f t="shared" si="2"/>
        <v>-0.147</v>
      </c>
    </row>
    <row r="10">
      <c r="A10" s="8">
        <f t="shared" si="3"/>
        <v>9</v>
      </c>
      <c r="B10" s="8" t="s">
        <v>4225</v>
      </c>
      <c r="C10" s="8" t="s">
        <v>19</v>
      </c>
      <c r="D10" s="8">
        <v>26.0</v>
      </c>
      <c r="E10" s="8"/>
      <c r="F10" s="8" t="s">
        <v>4591</v>
      </c>
      <c r="G10" s="8" t="s">
        <v>5564</v>
      </c>
      <c r="H10" s="8" t="s">
        <v>2660</v>
      </c>
      <c r="I10" s="8">
        <v>0.0</v>
      </c>
      <c r="J10" s="8" t="s">
        <v>273</v>
      </c>
      <c r="K10" s="8" t="s">
        <v>22</v>
      </c>
      <c r="L10" s="8" t="s">
        <v>892</v>
      </c>
      <c r="M10" s="8" t="s">
        <v>24</v>
      </c>
      <c r="N10" s="9">
        <v>0.0</v>
      </c>
      <c r="O10" s="9">
        <v>0.5</v>
      </c>
      <c r="P10" s="9">
        <v>0.5</v>
      </c>
      <c r="Q10" s="10">
        <v>45352.0</v>
      </c>
      <c r="R10" s="11">
        <v>1.825</v>
      </c>
      <c r="S10" s="8" t="s">
        <v>25</v>
      </c>
      <c r="T10" s="12">
        <f t="shared" si="1"/>
        <v>-0.5</v>
      </c>
      <c r="U10" s="12">
        <f t="shared" si="4"/>
        <v>-2.8837</v>
      </c>
      <c r="W10" s="66">
        <v>45360.0</v>
      </c>
      <c r="X10" s="13">
        <f t="shared" si="2"/>
        <v>3.048997273</v>
      </c>
    </row>
    <row r="11">
      <c r="A11" s="15">
        <f t="shared" si="3"/>
        <v>10</v>
      </c>
      <c r="B11" s="15" t="s">
        <v>26</v>
      </c>
      <c r="C11" s="15" t="s">
        <v>19</v>
      </c>
      <c r="D11" s="15">
        <v>8.0</v>
      </c>
      <c r="E11" s="15"/>
      <c r="F11" s="15" t="s">
        <v>4592</v>
      </c>
      <c r="G11" s="15" t="s">
        <v>5565</v>
      </c>
      <c r="H11" s="15" t="s">
        <v>2556</v>
      </c>
      <c r="I11" s="15">
        <v>2</v>
      </c>
      <c r="J11" s="15" t="s">
        <v>28</v>
      </c>
      <c r="K11" s="15" t="s">
        <v>22</v>
      </c>
      <c r="L11" s="15" t="s">
        <v>225</v>
      </c>
      <c r="M11" s="15" t="s">
        <v>24</v>
      </c>
      <c r="N11" s="16">
        <v>1.25</v>
      </c>
      <c r="O11" s="16">
        <v>0.75</v>
      </c>
      <c r="P11" s="16">
        <v>0.623</v>
      </c>
      <c r="Q11" s="17">
        <v>45352.0</v>
      </c>
      <c r="R11" s="18">
        <v>1.8</v>
      </c>
      <c r="S11" s="15" t="s">
        <v>33</v>
      </c>
      <c r="T11" s="19">
        <f t="shared" si="1"/>
        <v>0.4984</v>
      </c>
      <c r="U11" s="19">
        <f t="shared" si="4"/>
        <v>-2.3853</v>
      </c>
      <c r="W11" s="66">
        <v>45361.0</v>
      </c>
      <c r="X11" s="13">
        <f t="shared" si="2"/>
        <v>-0.96053125</v>
      </c>
      <c r="Y11" s="2" t="s">
        <v>55</v>
      </c>
    </row>
    <row r="12">
      <c r="A12" s="8">
        <f t="shared" si="3"/>
        <v>11</v>
      </c>
      <c r="B12" s="8" t="s">
        <v>26</v>
      </c>
      <c r="C12" s="8" t="s">
        <v>19</v>
      </c>
      <c r="D12" s="8">
        <v>50.0</v>
      </c>
      <c r="E12" s="8"/>
      <c r="F12" s="8" t="s">
        <v>4593</v>
      </c>
      <c r="G12" s="8" t="s">
        <v>5564</v>
      </c>
      <c r="H12" s="8"/>
      <c r="I12" s="8">
        <v>-2.0</v>
      </c>
      <c r="J12" s="8" t="s">
        <v>28</v>
      </c>
      <c r="K12" s="8" t="s">
        <v>22</v>
      </c>
      <c r="L12" s="8" t="s">
        <v>1023</v>
      </c>
      <c r="M12" s="8" t="s">
        <v>24</v>
      </c>
      <c r="N12" s="9">
        <v>0.5</v>
      </c>
      <c r="O12" s="9">
        <v>0.2</v>
      </c>
      <c r="P12" s="9">
        <v>0.2</v>
      </c>
      <c r="Q12" s="10">
        <v>45352.0</v>
      </c>
      <c r="R12" s="11">
        <v>4.33</v>
      </c>
      <c r="S12" s="8" t="s">
        <v>25</v>
      </c>
      <c r="T12" s="12">
        <f t="shared" si="1"/>
        <v>-0.2</v>
      </c>
      <c r="U12" s="12">
        <f t="shared" si="4"/>
        <v>-2.5853</v>
      </c>
      <c r="W12" s="66">
        <v>45362.0</v>
      </c>
      <c r="X12" s="13">
        <f t="shared" si="2"/>
        <v>0</v>
      </c>
      <c r="Y12" s="21">
        <f>(SUMPRODUCT(--(O2:O1000 = P2:P1000))-countif(O2:O1000,""))/countif(O2:O1000,"&gt;0")</f>
        <v>0.8472222222</v>
      </c>
    </row>
    <row r="13">
      <c r="A13" s="15">
        <f t="shared" si="3"/>
        <v>12</v>
      </c>
      <c r="B13" s="15" t="s">
        <v>26</v>
      </c>
      <c r="C13" s="15" t="s">
        <v>19</v>
      </c>
      <c r="D13" s="15">
        <v>80.0</v>
      </c>
      <c r="E13" s="15"/>
      <c r="F13" s="15" t="s">
        <v>4594</v>
      </c>
      <c r="G13" s="15" t="s">
        <v>5565</v>
      </c>
      <c r="H13" s="15" t="s">
        <v>2556</v>
      </c>
      <c r="I13" s="15">
        <v>0.0</v>
      </c>
      <c r="J13" s="15" t="s">
        <v>487</v>
      </c>
      <c r="K13" s="15" t="s">
        <v>22</v>
      </c>
      <c r="L13" s="15" t="s">
        <v>225</v>
      </c>
      <c r="M13" s="15" t="s">
        <v>24</v>
      </c>
      <c r="N13" s="16">
        <v>0.25</v>
      </c>
      <c r="O13" s="16">
        <v>0.15</v>
      </c>
      <c r="P13" s="16">
        <v>0.15</v>
      </c>
      <c r="Q13" s="17">
        <v>45353.0</v>
      </c>
      <c r="R13" s="18">
        <v>2.05</v>
      </c>
      <c r="S13" s="15" t="s">
        <v>30</v>
      </c>
      <c r="T13" s="19">
        <f t="shared" si="1"/>
        <v>0.07875</v>
      </c>
      <c r="U13" s="19">
        <f t="shared" si="4"/>
        <v>-2.50655</v>
      </c>
      <c r="W13" s="66">
        <v>45363.0</v>
      </c>
      <c r="X13" s="13">
        <f t="shared" si="2"/>
        <v>-0.55464</v>
      </c>
    </row>
    <row r="14">
      <c r="A14" s="8">
        <f t="shared" si="3"/>
        <v>13</v>
      </c>
      <c r="B14" s="8" t="s">
        <v>137</v>
      </c>
      <c r="C14" s="8" t="s">
        <v>19</v>
      </c>
      <c r="D14" s="8">
        <v>70.0</v>
      </c>
      <c r="E14" s="8"/>
      <c r="F14" s="8" t="s">
        <v>4595</v>
      </c>
      <c r="G14" s="8" t="s">
        <v>5564</v>
      </c>
      <c r="H14" s="8" t="s">
        <v>2556</v>
      </c>
      <c r="I14" s="8">
        <v>-3.0</v>
      </c>
      <c r="J14" s="8" t="s">
        <v>229</v>
      </c>
      <c r="K14" s="8" t="s">
        <v>22</v>
      </c>
      <c r="L14" s="8" t="s">
        <v>225</v>
      </c>
      <c r="M14" s="8" t="s">
        <v>24</v>
      </c>
      <c r="N14" s="9">
        <v>0.25</v>
      </c>
      <c r="O14" s="9">
        <v>0.2</v>
      </c>
      <c r="P14" s="9">
        <v>0.2</v>
      </c>
      <c r="Q14" s="10">
        <v>45353.0</v>
      </c>
      <c r="R14" s="11">
        <v>1.7</v>
      </c>
      <c r="S14" s="8" t="s">
        <v>25</v>
      </c>
      <c r="T14" s="12">
        <f t="shared" si="1"/>
        <v>-0.2</v>
      </c>
      <c r="U14" s="12">
        <f t="shared" si="4"/>
        <v>-2.70655</v>
      </c>
      <c r="W14" s="66">
        <v>45364.0</v>
      </c>
      <c r="X14" s="13">
        <f t="shared" si="2"/>
        <v>-0.875</v>
      </c>
      <c r="Y14" s="2" t="s">
        <v>61</v>
      </c>
    </row>
    <row r="15">
      <c r="A15" s="15">
        <f t="shared" si="3"/>
        <v>14</v>
      </c>
      <c r="B15" s="15" t="s">
        <v>26</v>
      </c>
      <c r="C15" s="15" t="s">
        <v>19</v>
      </c>
      <c r="D15" s="15">
        <v>50.0</v>
      </c>
      <c r="E15" s="15"/>
      <c r="F15" s="15" t="s">
        <v>4596</v>
      </c>
      <c r="G15" s="15" t="s">
        <v>5564</v>
      </c>
      <c r="H15" s="15" t="s">
        <v>2556</v>
      </c>
      <c r="I15" s="15">
        <v>-2.0</v>
      </c>
      <c r="J15" s="15" t="s">
        <v>487</v>
      </c>
      <c r="K15" s="15" t="s">
        <v>22</v>
      </c>
      <c r="L15" s="15" t="s">
        <v>225</v>
      </c>
      <c r="M15" s="15" t="s">
        <v>24</v>
      </c>
      <c r="N15" s="16">
        <v>0.25</v>
      </c>
      <c r="O15" s="16">
        <v>0.6</v>
      </c>
      <c r="P15" s="16">
        <v>0.6</v>
      </c>
      <c r="Q15" s="17">
        <v>45353.0</v>
      </c>
      <c r="R15" s="18">
        <v>1.85</v>
      </c>
      <c r="S15" s="15" t="s">
        <v>33</v>
      </c>
      <c r="T15" s="19">
        <f t="shared" si="1"/>
        <v>0.51</v>
      </c>
      <c r="U15" s="19">
        <f t="shared" si="4"/>
        <v>-2.19655</v>
      </c>
      <c r="W15" s="66">
        <v>45365.0</v>
      </c>
      <c r="X15" s="13">
        <f t="shared" si="2"/>
        <v>0.7975</v>
      </c>
      <c r="Y15" s="22">
        <f>average(R2:R1000)</f>
        <v>2.063183238</v>
      </c>
    </row>
    <row r="16">
      <c r="A16" s="8">
        <f t="shared" si="3"/>
        <v>15</v>
      </c>
      <c r="B16" s="8" t="s">
        <v>137</v>
      </c>
      <c r="C16" s="8" t="s">
        <v>19</v>
      </c>
      <c r="D16" s="8">
        <v>40.0</v>
      </c>
      <c r="E16" s="8"/>
      <c r="F16" s="8" t="s">
        <v>4597</v>
      </c>
      <c r="G16" s="8" t="s">
        <v>5564</v>
      </c>
      <c r="H16" s="8" t="s">
        <v>2556</v>
      </c>
      <c r="I16" s="8">
        <v>-2.0</v>
      </c>
      <c r="J16" s="8" t="s">
        <v>48</v>
      </c>
      <c r="K16" s="8" t="s">
        <v>22</v>
      </c>
      <c r="L16" s="8" t="s">
        <v>225</v>
      </c>
      <c r="M16" s="8" t="s">
        <v>24</v>
      </c>
      <c r="N16" s="9">
        <v>0.25</v>
      </c>
      <c r="O16" s="9">
        <v>1.0</v>
      </c>
      <c r="P16" s="9">
        <v>1.0</v>
      </c>
      <c r="Q16" s="10">
        <v>45353.0</v>
      </c>
      <c r="R16" s="11">
        <v>1.85</v>
      </c>
      <c r="S16" s="8" t="s">
        <v>30</v>
      </c>
      <c r="T16" s="12">
        <f t="shared" si="1"/>
        <v>0.425</v>
      </c>
      <c r="U16" s="12">
        <f t="shared" si="4"/>
        <v>-1.77155</v>
      </c>
      <c r="W16" s="66">
        <v>45366.0</v>
      </c>
      <c r="X16" s="13">
        <f t="shared" si="2"/>
        <v>1.0028</v>
      </c>
    </row>
    <row r="17">
      <c r="A17" s="15">
        <f t="shared" si="3"/>
        <v>16</v>
      </c>
      <c r="B17" s="15" t="s">
        <v>129</v>
      </c>
      <c r="C17" s="15" t="s">
        <v>19</v>
      </c>
      <c r="D17" s="15">
        <v>60.0</v>
      </c>
      <c r="E17" s="15"/>
      <c r="F17" s="15" t="s">
        <v>4598</v>
      </c>
      <c r="G17" s="15" t="s">
        <v>5564</v>
      </c>
      <c r="H17" s="15" t="s">
        <v>2660</v>
      </c>
      <c r="I17" s="15">
        <v>-2.0</v>
      </c>
      <c r="J17" s="15" t="s">
        <v>101</v>
      </c>
      <c r="K17" s="15" t="s">
        <v>22</v>
      </c>
      <c r="L17" s="15" t="s">
        <v>892</v>
      </c>
      <c r="M17" s="15" t="s">
        <v>24</v>
      </c>
      <c r="N17" s="16">
        <v>0.0</v>
      </c>
      <c r="O17" s="16">
        <v>0.5</v>
      </c>
      <c r="P17" s="16">
        <v>0.5</v>
      </c>
      <c r="Q17" s="17">
        <v>45353.0</v>
      </c>
      <c r="R17" s="18">
        <v>2.02</v>
      </c>
      <c r="S17" s="15" t="s">
        <v>70</v>
      </c>
      <c r="T17" s="19">
        <f t="shared" si="1"/>
        <v>0</v>
      </c>
      <c r="U17" s="19">
        <f t="shared" si="4"/>
        <v>-1.77155</v>
      </c>
      <c r="W17" s="66">
        <v>45367.0</v>
      </c>
      <c r="X17" s="13">
        <f t="shared" si="2"/>
        <v>1.6928375</v>
      </c>
    </row>
    <row r="18">
      <c r="A18" s="8">
        <f t="shared" si="3"/>
        <v>17</v>
      </c>
      <c r="B18" s="8" t="s">
        <v>26</v>
      </c>
      <c r="C18" s="8" t="s">
        <v>19</v>
      </c>
      <c r="D18" s="8">
        <v>16.0</v>
      </c>
      <c r="E18" s="8"/>
      <c r="F18" s="8" t="s">
        <v>4599</v>
      </c>
      <c r="G18" s="8" t="s">
        <v>5564</v>
      </c>
      <c r="H18" s="8" t="s">
        <v>2556</v>
      </c>
      <c r="I18" s="8">
        <v>0.0</v>
      </c>
      <c r="J18" s="8" t="s">
        <v>44</v>
      </c>
      <c r="K18" s="8" t="s">
        <v>22</v>
      </c>
      <c r="L18" s="8" t="s">
        <v>225</v>
      </c>
      <c r="M18" s="8" t="s">
        <v>39</v>
      </c>
      <c r="N18" s="9">
        <v>0.25</v>
      </c>
      <c r="O18" s="9">
        <v>0.1</v>
      </c>
      <c r="P18" s="9">
        <v>0.1</v>
      </c>
      <c r="Q18" s="10">
        <v>45353.0</v>
      </c>
      <c r="R18" s="11">
        <v>1.775</v>
      </c>
      <c r="S18" s="8" t="s">
        <v>25</v>
      </c>
      <c r="T18" s="12">
        <f t="shared" si="1"/>
        <v>-0.1</v>
      </c>
      <c r="U18" s="12">
        <f t="shared" si="4"/>
        <v>-1.87155</v>
      </c>
      <c r="W18" s="66">
        <v>45368.0</v>
      </c>
      <c r="X18" s="13">
        <f t="shared" si="2"/>
        <v>0.32515</v>
      </c>
    </row>
    <row r="19">
      <c r="A19" s="15">
        <f t="shared" si="3"/>
        <v>18</v>
      </c>
      <c r="B19" s="15" t="s">
        <v>18</v>
      </c>
      <c r="C19" s="15" t="s">
        <v>19</v>
      </c>
      <c r="D19" s="15">
        <v>29.0</v>
      </c>
      <c r="E19" s="15"/>
      <c r="F19" s="15" t="s">
        <v>4600</v>
      </c>
      <c r="G19" s="15" t="s">
        <v>5564</v>
      </c>
      <c r="H19" s="15" t="s">
        <v>2556</v>
      </c>
      <c r="I19" s="15">
        <f>1</f>
        <v>1</v>
      </c>
      <c r="J19" s="15" t="s">
        <v>463</v>
      </c>
      <c r="K19" s="15" t="s">
        <v>22</v>
      </c>
      <c r="L19" s="15" t="s">
        <v>225</v>
      </c>
      <c r="M19" s="15" t="s">
        <v>24</v>
      </c>
      <c r="N19" s="16">
        <v>0.5</v>
      </c>
      <c r="O19" s="16">
        <v>0.6</v>
      </c>
      <c r="P19" s="16">
        <v>0.5189</v>
      </c>
      <c r="Q19" s="17">
        <v>45353.0</v>
      </c>
      <c r="R19" s="18">
        <v>1.975</v>
      </c>
      <c r="S19" s="15" t="s">
        <v>25</v>
      </c>
      <c r="T19" s="19">
        <f t="shared" si="1"/>
        <v>-0.5189</v>
      </c>
      <c r="U19" s="19">
        <f t="shared" si="4"/>
        <v>-2.39045</v>
      </c>
      <c r="W19" s="66">
        <v>45369.0</v>
      </c>
      <c r="X19" s="13">
        <f t="shared" si="2"/>
        <v>0</v>
      </c>
    </row>
    <row r="20">
      <c r="A20" s="8">
        <f t="shared" si="3"/>
        <v>19</v>
      </c>
      <c r="B20" s="8" t="s">
        <v>4225</v>
      </c>
      <c r="C20" s="8" t="s">
        <v>19</v>
      </c>
      <c r="D20" s="8">
        <v>36.0</v>
      </c>
      <c r="E20" s="8"/>
      <c r="F20" s="8" t="s">
        <v>4601</v>
      </c>
      <c r="G20" s="8" t="s">
        <v>5565</v>
      </c>
      <c r="H20" s="8" t="s">
        <v>2660</v>
      </c>
      <c r="I20" s="8">
        <v>0.0</v>
      </c>
      <c r="J20" s="8" t="s">
        <v>44</v>
      </c>
      <c r="K20" s="8" t="s">
        <v>22</v>
      </c>
      <c r="L20" s="8" t="s">
        <v>4584</v>
      </c>
      <c r="M20" s="8" t="s">
        <v>24</v>
      </c>
      <c r="N20" s="9">
        <v>0.0</v>
      </c>
      <c r="O20" s="9">
        <v>0.6</v>
      </c>
      <c r="P20" s="9">
        <v>0.6</v>
      </c>
      <c r="Q20" s="54">
        <v>45353.0</v>
      </c>
      <c r="R20" s="11">
        <v>1.9</v>
      </c>
      <c r="S20" s="8" t="s">
        <v>70</v>
      </c>
      <c r="T20" s="12">
        <f t="shared" si="1"/>
        <v>0</v>
      </c>
      <c r="U20" s="12">
        <f t="shared" si="4"/>
        <v>-2.39045</v>
      </c>
      <c r="W20" s="66">
        <v>45370.0</v>
      </c>
      <c r="X20" s="13">
        <f t="shared" si="2"/>
        <v>0.20592125</v>
      </c>
    </row>
    <row r="21">
      <c r="A21" s="15">
        <f t="shared" si="3"/>
        <v>20</v>
      </c>
      <c r="B21" s="15" t="s">
        <v>26</v>
      </c>
      <c r="C21" s="15" t="s">
        <v>19</v>
      </c>
      <c r="D21" s="15">
        <v>60.0</v>
      </c>
      <c r="E21" s="15"/>
      <c r="F21" s="15" t="s">
        <v>4602</v>
      </c>
      <c r="G21" s="15" t="s">
        <v>5564</v>
      </c>
      <c r="H21" s="15" t="s">
        <v>2556</v>
      </c>
      <c r="I21" s="15">
        <v>0.0</v>
      </c>
      <c r="J21" s="15" t="s">
        <v>703</v>
      </c>
      <c r="K21" s="15" t="s">
        <v>22</v>
      </c>
      <c r="L21" s="15" t="s">
        <v>225</v>
      </c>
      <c r="M21" s="15" t="s">
        <v>24</v>
      </c>
      <c r="N21" s="16">
        <v>0.25</v>
      </c>
      <c r="O21" s="16">
        <v>0.4</v>
      </c>
      <c r="P21" s="16">
        <v>0.24</v>
      </c>
      <c r="Q21" s="17">
        <v>45353.0</v>
      </c>
      <c r="R21" s="18">
        <v>1.7</v>
      </c>
      <c r="S21" s="15" t="s">
        <v>25</v>
      </c>
      <c r="T21" s="19">
        <f t="shared" si="1"/>
        <v>-0.24</v>
      </c>
      <c r="U21" s="19">
        <f t="shared" si="4"/>
        <v>-2.63045</v>
      </c>
      <c r="W21" s="66">
        <v>45371.0</v>
      </c>
      <c r="X21" s="13">
        <f t="shared" si="2"/>
        <v>1.59</v>
      </c>
    </row>
    <row r="22">
      <c r="A22" s="8">
        <f t="shared" si="3"/>
        <v>21</v>
      </c>
      <c r="B22" s="8" t="s">
        <v>18</v>
      </c>
      <c r="C22" s="8" t="s">
        <v>19</v>
      </c>
      <c r="D22" s="8">
        <v>45.0</v>
      </c>
      <c r="E22" s="8"/>
      <c r="F22" s="8" t="s">
        <v>4603</v>
      </c>
      <c r="G22" s="8" t="s">
        <v>5564</v>
      </c>
      <c r="H22" s="8" t="s">
        <v>2556</v>
      </c>
      <c r="I22" s="8">
        <v>-1.0</v>
      </c>
      <c r="J22" s="8" t="s">
        <v>683</v>
      </c>
      <c r="K22" s="8" t="s">
        <v>22</v>
      </c>
      <c r="L22" s="8" t="s">
        <v>225</v>
      </c>
      <c r="M22" s="8" t="s">
        <v>24</v>
      </c>
      <c r="N22" s="9">
        <v>0.25</v>
      </c>
      <c r="O22" s="9">
        <v>0.6</v>
      </c>
      <c r="P22" s="9">
        <v>0.6</v>
      </c>
      <c r="Q22" s="10">
        <v>45353.0</v>
      </c>
      <c r="R22" s="11">
        <v>1.7</v>
      </c>
      <c r="S22" s="8" t="s">
        <v>30</v>
      </c>
      <c r="T22" s="12">
        <f t="shared" si="1"/>
        <v>0.21</v>
      </c>
      <c r="U22" s="12">
        <f t="shared" si="4"/>
        <v>-2.42045</v>
      </c>
      <c r="W22" s="66">
        <v>45372.0</v>
      </c>
      <c r="X22" s="13">
        <f t="shared" si="2"/>
        <v>0.72546</v>
      </c>
    </row>
    <row r="23">
      <c r="A23" s="15">
        <f t="shared" si="3"/>
        <v>22</v>
      </c>
      <c r="B23" s="15" t="s">
        <v>26</v>
      </c>
      <c r="C23" s="15" t="s">
        <v>19</v>
      </c>
      <c r="D23" s="15">
        <v>61.0</v>
      </c>
      <c r="E23" s="15"/>
      <c r="F23" s="15" t="s">
        <v>4604</v>
      </c>
      <c r="G23" s="15" t="s">
        <v>5565</v>
      </c>
      <c r="H23" s="15" t="s">
        <v>2660</v>
      </c>
      <c r="I23" s="15">
        <v>0.0</v>
      </c>
      <c r="J23" s="15" t="s">
        <v>44</v>
      </c>
      <c r="K23" s="15" t="s">
        <v>22</v>
      </c>
      <c r="L23" s="15" t="s">
        <v>892</v>
      </c>
      <c r="M23" s="15" t="s">
        <v>24</v>
      </c>
      <c r="N23" s="16">
        <v>0.0</v>
      </c>
      <c r="O23" s="16">
        <v>1.0</v>
      </c>
      <c r="P23" s="16">
        <v>1.0</v>
      </c>
      <c r="Q23" s="17">
        <v>45353.0</v>
      </c>
      <c r="R23" s="18">
        <v>1.9</v>
      </c>
      <c r="S23" s="15" t="s">
        <v>70</v>
      </c>
      <c r="T23" s="19">
        <f t="shared" si="1"/>
        <v>0</v>
      </c>
      <c r="U23" s="19">
        <f t="shared" si="4"/>
        <v>-2.42045</v>
      </c>
      <c r="W23" s="66">
        <v>45373.0</v>
      </c>
      <c r="X23" s="13">
        <f t="shared" si="2"/>
        <v>0.36412775</v>
      </c>
    </row>
    <row r="24">
      <c r="A24" s="8">
        <f t="shared" si="3"/>
        <v>23</v>
      </c>
      <c r="B24" s="8" t="s">
        <v>18</v>
      </c>
      <c r="C24" s="8" t="s">
        <v>19</v>
      </c>
      <c r="D24" s="8">
        <v>35.0</v>
      </c>
      <c r="E24" s="8"/>
      <c r="F24" s="8" t="s">
        <v>4605</v>
      </c>
      <c r="G24" s="8" t="s">
        <v>5565</v>
      </c>
      <c r="H24" s="8" t="s">
        <v>2660</v>
      </c>
      <c r="I24" s="8">
        <f t="shared" ref="I24:I25" si="5">1</f>
        <v>1</v>
      </c>
      <c r="J24" s="8" t="s">
        <v>44</v>
      </c>
      <c r="K24" s="8" t="s">
        <v>22</v>
      </c>
      <c r="L24" s="8" t="s">
        <v>4584</v>
      </c>
      <c r="M24" s="8" t="s">
        <v>24</v>
      </c>
      <c r="N24" s="9">
        <v>0.0</v>
      </c>
      <c r="O24" s="9">
        <v>0.6</v>
      </c>
      <c r="P24" s="9">
        <v>0.583</v>
      </c>
      <c r="Q24" s="10">
        <v>45353.0</v>
      </c>
      <c r="R24" s="11">
        <v>1.8</v>
      </c>
      <c r="S24" s="8" t="s">
        <v>70</v>
      </c>
      <c r="T24" s="12">
        <f t="shared" si="1"/>
        <v>0</v>
      </c>
      <c r="U24" s="12">
        <f t="shared" si="4"/>
        <v>-2.42045</v>
      </c>
      <c r="W24" s="66">
        <v>45374.0</v>
      </c>
      <c r="X24" s="13">
        <f t="shared" si="2"/>
        <v>2.413086735</v>
      </c>
    </row>
    <row r="25">
      <c r="A25" s="15">
        <f t="shared" si="3"/>
        <v>24</v>
      </c>
      <c r="B25" s="15" t="s">
        <v>18</v>
      </c>
      <c r="C25" s="15" t="s">
        <v>19</v>
      </c>
      <c r="D25" s="15">
        <v>75.0</v>
      </c>
      <c r="E25" s="15"/>
      <c r="F25" s="15" t="s">
        <v>4606</v>
      </c>
      <c r="G25" s="15" t="s">
        <v>5565</v>
      </c>
      <c r="H25" s="15" t="s">
        <v>2573</v>
      </c>
      <c r="I25" s="15">
        <f t="shared" si="5"/>
        <v>1</v>
      </c>
      <c r="J25" s="15" t="s">
        <v>683</v>
      </c>
      <c r="K25" s="15" t="s">
        <v>22</v>
      </c>
      <c r="L25" s="15" t="s">
        <v>894</v>
      </c>
      <c r="M25" s="15" t="s">
        <v>24</v>
      </c>
      <c r="N25" s="16">
        <v>-0.25</v>
      </c>
      <c r="O25" s="16">
        <v>0.31</v>
      </c>
      <c r="P25" s="16">
        <v>0.31</v>
      </c>
      <c r="Q25" s="17">
        <v>45353.0</v>
      </c>
      <c r="R25" s="18">
        <v>2.5</v>
      </c>
      <c r="S25" s="15" t="s">
        <v>79</v>
      </c>
      <c r="T25" s="19">
        <f t="shared" si="1"/>
        <v>-0.155</v>
      </c>
      <c r="U25" s="19">
        <f t="shared" si="4"/>
        <v>-2.57545</v>
      </c>
      <c r="W25" s="66">
        <v>45375.0</v>
      </c>
      <c r="X25" s="13">
        <f t="shared" si="2"/>
        <v>-0.33637374</v>
      </c>
    </row>
    <row r="26">
      <c r="A26" s="8">
        <f t="shared" si="3"/>
        <v>25</v>
      </c>
      <c r="B26" s="8" t="s">
        <v>129</v>
      </c>
      <c r="C26" s="8" t="s">
        <v>19</v>
      </c>
      <c r="D26" s="8">
        <v>80.0</v>
      </c>
      <c r="E26" s="8"/>
      <c r="F26" s="8" t="s">
        <v>4607</v>
      </c>
      <c r="G26" s="8" t="s">
        <v>5564</v>
      </c>
      <c r="H26" s="8" t="s">
        <v>2556</v>
      </c>
      <c r="I26" s="8">
        <v>-1.0</v>
      </c>
      <c r="J26" s="8" t="s">
        <v>74</v>
      </c>
      <c r="K26" s="8" t="s">
        <v>22</v>
      </c>
      <c r="L26" s="8" t="s">
        <v>225</v>
      </c>
      <c r="M26" s="8" t="s">
        <v>24</v>
      </c>
      <c r="N26" s="9">
        <v>0.25</v>
      </c>
      <c r="O26" s="9">
        <v>0.2</v>
      </c>
      <c r="P26" s="9">
        <v>0.2</v>
      </c>
      <c r="Q26" s="10">
        <v>45353.0</v>
      </c>
      <c r="R26" s="11">
        <v>1.7</v>
      </c>
      <c r="S26" s="8" t="s">
        <v>30</v>
      </c>
      <c r="T26" s="12">
        <f t="shared" si="1"/>
        <v>0.07</v>
      </c>
      <c r="U26" s="12">
        <f t="shared" si="4"/>
        <v>-2.50545</v>
      </c>
      <c r="W26" s="66">
        <v>45376.0</v>
      </c>
      <c r="X26" s="13">
        <f t="shared" si="2"/>
        <v>0</v>
      </c>
    </row>
    <row r="27">
      <c r="A27" s="15">
        <f t="shared" si="3"/>
        <v>26</v>
      </c>
      <c r="B27" s="15" t="s">
        <v>26</v>
      </c>
      <c r="C27" s="15" t="s">
        <v>19</v>
      </c>
      <c r="D27" s="15">
        <v>60.0</v>
      </c>
      <c r="E27" s="15"/>
      <c r="F27" s="160" t="s">
        <v>4608</v>
      </c>
      <c r="G27" s="15" t="s">
        <v>5565</v>
      </c>
      <c r="H27" s="15" t="s">
        <v>2556</v>
      </c>
      <c r="I27" s="15">
        <v>0.0</v>
      </c>
      <c r="J27" s="15" t="s">
        <v>66</v>
      </c>
      <c r="K27" s="15" t="s">
        <v>22</v>
      </c>
      <c r="L27" s="15" t="s">
        <v>941</v>
      </c>
      <c r="M27" s="15" t="s">
        <v>24</v>
      </c>
      <c r="N27" s="16">
        <v>0.0</v>
      </c>
      <c r="O27" s="16">
        <v>1.0</v>
      </c>
      <c r="P27" s="16">
        <v>1.0</v>
      </c>
      <c r="Q27" s="17">
        <v>45353.0</v>
      </c>
      <c r="R27" s="18">
        <v>1.8</v>
      </c>
      <c r="S27" s="15" t="s">
        <v>33</v>
      </c>
      <c r="T27" s="19">
        <f t="shared" si="1"/>
        <v>0.8</v>
      </c>
      <c r="U27" s="19">
        <f t="shared" si="4"/>
        <v>-1.70545</v>
      </c>
      <c r="W27" s="66">
        <v>45377.0</v>
      </c>
      <c r="X27" s="13">
        <f t="shared" si="2"/>
        <v>0</v>
      </c>
    </row>
    <row r="28">
      <c r="A28" s="8">
        <f t="shared" si="3"/>
        <v>27</v>
      </c>
      <c r="B28" s="8" t="s">
        <v>26</v>
      </c>
      <c r="C28" s="8" t="s">
        <v>40</v>
      </c>
      <c r="D28" s="8">
        <v>27.0</v>
      </c>
      <c r="E28" s="8"/>
      <c r="F28" s="8" t="s">
        <v>4609</v>
      </c>
      <c r="G28" s="8" t="s">
        <v>5564</v>
      </c>
      <c r="H28" s="8" t="s">
        <v>2660</v>
      </c>
      <c r="I28" s="8">
        <v>0.0</v>
      </c>
      <c r="J28" s="8" t="s">
        <v>448</v>
      </c>
      <c r="K28" s="8" t="s">
        <v>22</v>
      </c>
      <c r="L28" s="8" t="s">
        <v>4584</v>
      </c>
      <c r="M28" s="8" t="s">
        <v>24</v>
      </c>
      <c r="N28" s="9">
        <v>0.0</v>
      </c>
      <c r="O28" s="9">
        <v>0.8</v>
      </c>
      <c r="P28" s="9">
        <v>0.8</v>
      </c>
      <c r="Q28" s="10">
        <v>45353.0</v>
      </c>
      <c r="R28" s="11">
        <v>1.75</v>
      </c>
      <c r="S28" s="8" t="s">
        <v>70</v>
      </c>
      <c r="T28" s="12">
        <f t="shared" si="1"/>
        <v>0</v>
      </c>
      <c r="U28" s="12">
        <f t="shared" si="4"/>
        <v>-1.70545</v>
      </c>
      <c r="W28" s="66">
        <v>45378.0</v>
      </c>
      <c r="X28" s="13">
        <f t="shared" si="2"/>
        <v>0.05516</v>
      </c>
    </row>
    <row r="29">
      <c r="A29" s="15">
        <f t="shared" si="3"/>
        <v>28</v>
      </c>
      <c r="B29" s="15" t="s">
        <v>18</v>
      </c>
      <c r="C29" s="15" t="s">
        <v>19</v>
      </c>
      <c r="D29" s="15">
        <v>20.0</v>
      </c>
      <c r="E29" s="15"/>
      <c r="F29" s="15" t="s">
        <v>4610</v>
      </c>
      <c r="G29" s="15" t="s">
        <v>5565</v>
      </c>
      <c r="H29" s="15" t="s">
        <v>2556</v>
      </c>
      <c r="I29" s="15">
        <v>0.0</v>
      </c>
      <c r="J29" s="15" t="s">
        <v>93</v>
      </c>
      <c r="K29" s="15" t="s">
        <v>22</v>
      </c>
      <c r="L29" s="15" t="s">
        <v>225</v>
      </c>
      <c r="M29" s="15" t="s">
        <v>24</v>
      </c>
      <c r="N29" s="16">
        <v>0.5</v>
      </c>
      <c r="O29" s="16">
        <v>1.0</v>
      </c>
      <c r="P29" s="16">
        <v>1.0</v>
      </c>
      <c r="Q29" s="17">
        <v>45353.0</v>
      </c>
      <c r="R29" s="18">
        <v>1.825</v>
      </c>
      <c r="S29" s="15" t="s">
        <v>25</v>
      </c>
      <c r="T29" s="19">
        <f t="shared" si="1"/>
        <v>-1</v>
      </c>
      <c r="U29" s="19">
        <f t="shared" si="4"/>
        <v>-2.70545</v>
      </c>
      <c r="W29" s="66">
        <v>45379.0</v>
      </c>
      <c r="X29" s="13">
        <f t="shared" si="2"/>
        <v>-0.295</v>
      </c>
    </row>
    <row r="30">
      <c r="A30" s="8">
        <f t="shared" si="3"/>
        <v>29</v>
      </c>
      <c r="B30" s="8" t="s">
        <v>18</v>
      </c>
      <c r="C30" s="8" t="s">
        <v>19</v>
      </c>
      <c r="D30" s="8">
        <v>30.0</v>
      </c>
      <c r="E30" s="8"/>
      <c r="F30" s="8" t="s">
        <v>4611</v>
      </c>
      <c r="G30" s="8" t="s">
        <v>5564</v>
      </c>
      <c r="H30" s="8" t="s">
        <v>2556</v>
      </c>
      <c r="I30" s="8">
        <v>0.0</v>
      </c>
      <c r="J30" s="8" t="s">
        <v>93</v>
      </c>
      <c r="K30" s="8" t="s">
        <v>22</v>
      </c>
      <c r="L30" s="8" t="s">
        <v>225</v>
      </c>
      <c r="M30" s="8" t="s">
        <v>24</v>
      </c>
      <c r="N30" s="9">
        <v>0.25</v>
      </c>
      <c r="O30" s="9">
        <v>0.2</v>
      </c>
      <c r="P30" s="9">
        <v>0.1891</v>
      </c>
      <c r="Q30" s="10">
        <v>45353.0</v>
      </c>
      <c r="R30" s="11">
        <v>1.9</v>
      </c>
      <c r="S30" s="8" t="s">
        <v>25</v>
      </c>
      <c r="T30" s="12">
        <f t="shared" si="1"/>
        <v>-0.1891</v>
      </c>
      <c r="U30" s="12">
        <f t="shared" si="4"/>
        <v>-2.89455</v>
      </c>
      <c r="W30" s="66">
        <v>45380.0</v>
      </c>
      <c r="X30" s="13">
        <f t="shared" si="2"/>
        <v>0.175</v>
      </c>
    </row>
    <row r="31">
      <c r="A31" s="15">
        <f t="shared" si="3"/>
        <v>30</v>
      </c>
      <c r="B31" s="15" t="s">
        <v>26</v>
      </c>
      <c r="C31" s="15" t="s">
        <v>19</v>
      </c>
      <c r="D31" s="15">
        <v>72.0</v>
      </c>
      <c r="E31" s="15"/>
      <c r="F31" s="15" t="s">
        <v>4612</v>
      </c>
      <c r="G31" s="15" t="s">
        <v>5565</v>
      </c>
      <c r="H31" s="15" t="s">
        <v>2660</v>
      </c>
      <c r="I31" s="15">
        <f>1</f>
        <v>1</v>
      </c>
      <c r="J31" s="15" t="s">
        <v>432</v>
      </c>
      <c r="K31" s="15" t="s">
        <v>22</v>
      </c>
      <c r="L31" s="15" t="s">
        <v>892</v>
      </c>
      <c r="M31" s="15" t="s">
        <v>39</v>
      </c>
      <c r="N31" s="16">
        <v>0.0</v>
      </c>
      <c r="O31" s="16">
        <v>0.1</v>
      </c>
      <c r="P31" s="16">
        <v>0.1</v>
      </c>
      <c r="Q31" s="17">
        <v>45353.0</v>
      </c>
      <c r="R31" s="18">
        <v>2.025</v>
      </c>
      <c r="S31" s="15" t="s">
        <v>70</v>
      </c>
      <c r="T31" s="19">
        <f t="shared" si="1"/>
        <v>0</v>
      </c>
      <c r="U31" s="19">
        <f t="shared" si="4"/>
        <v>-2.89455</v>
      </c>
      <c r="W31" s="66">
        <v>45381.0</v>
      </c>
      <c r="X31" s="13">
        <f t="shared" si="2"/>
        <v>-0.157</v>
      </c>
    </row>
    <row r="32">
      <c r="A32" s="8">
        <f t="shared" si="3"/>
        <v>31</v>
      </c>
      <c r="B32" s="8" t="s">
        <v>26</v>
      </c>
      <c r="C32" s="8" t="s">
        <v>19</v>
      </c>
      <c r="D32" s="8">
        <v>82.0</v>
      </c>
      <c r="E32" s="8"/>
      <c r="F32" s="8" t="s">
        <v>4613</v>
      </c>
      <c r="G32" s="8" t="s">
        <v>5565</v>
      </c>
      <c r="H32" s="8" t="s">
        <v>2660</v>
      </c>
      <c r="I32" s="8">
        <v>-2.0</v>
      </c>
      <c r="J32" s="8" t="s">
        <v>82</v>
      </c>
      <c r="K32" s="8" t="s">
        <v>22</v>
      </c>
      <c r="L32" s="8" t="s">
        <v>892</v>
      </c>
      <c r="M32" s="8" t="s">
        <v>24</v>
      </c>
      <c r="N32" s="9">
        <v>0.0</v>
      </c>
      <c r="O32" s="9">
        <v>0.5</v>
      </c>
      <c r="P32" s="9">
        <v>0.5</v>
      </c>
      <c r="Q32" s="10">
        <v>45353.0</v>
      </c>
      <c r="R32" s="11">
        <v>1.75</v>
      </c>
      <c r="S32" s="8" t="s">
        <v>70</v>
      </c>
      <c r="T32" s="12">
        <f t="shared" si="1"/>
        <v>0</v>
      </c>
      <c r="U32" s="12">
        <f t="shared" si="4"/>
        <v>-2.89455</v>
      </c>
      <c r="W32" s="66">
        <v>45382.0</v>
      </c>
      <c r="X32" s="13">
        <f t="shared" si="2"/>
        <v>0.6</v>
      </c>
    </row>
    <row r="33">
      <c r="A33" s="15">
        <f t="shared" si="3"/>
        <v>32</v>
      </c>
      <c r="B33" s="15" t="s">
        <v>26</v>
      </c>
      <c r="C33" s="15" t="s">
        <v>40</v>
      </c>
      <c r="D33" s="15">
        <v>60.0</v>
      </c>
      <c r="E33" s="15"/>
      <c r="F33" s="15" t="s">
        <v>4614</v>
      </c>
      <c r="G33" s="15" t="s">
        <v>5565</v>
      </c>
      <c r="H33" s="15" t="s">
        <v>2573</v>
      </c>
      <c r="I33" s="15">
        <v>5</v>
      </c>
      <c r="J33" s="15" t="s">
        <v>229</v>
      </c>
      <c r="K33" s="15" t="s">
        <v>22</v>
      </c>
      <c r="L33" s="15" t="s">
        <v>894</v>
      </c>
      <c r="M33" s="15" t="s">
        <v>24</v>
      </c>
      <c r="N33" s="16">
        <v>-0.25</v>
      </c>
      <c r="O33" s="16">
        <v>0.1</v>
      </c>
      <c r="P33" s="16">
        <v>0.1</v>
      </c>
      <c r="Q33" s="17">
        <v>45354.0</v>
      </c>
      <c r="R33" s="18">
        <v>1.9</v>
      </c>
      <c r="S33" s="15" t="s">
        <v>33</v>
      </c>
      <c r="T33" s="19">
        <f t="shared" si="1"/>
        <v>0.09</v>
      </c>
      <c r="U33" s="19">
        <f t="shared" si="4"/>
        <v>-2.80455</v>
      </c>
      <c r="W33" s="94" t="s">
        <v>89</v>
      </c>
      <c r="X33" s="28">
        <f>SUM(X2:X32)</f>
        <v>7.346445517</v>
      </c>
    </row>
    <row r="34">
      <c r="A34" s="8">
        <f t="shared" si="3"/>
        <v>33</v>
      </c>
      <c r="B34" s="8" t="s">
        <v>4225</v>
      </c>
      <c r="C34" s="8" t="s">
        <v>19</v>
      </c>
      <c r="D34" s="8">
        <v>26.0</v>
      </c>
      <c r="E34" s="8"/>
      <c r="F34" s="8" t="s">
        <v>4615</v>
      </c>
      <c r="G34" s="8" t="s">
        <v>5565</v>
      </c>
      <c r="H34" s="8" t="s">
        <v>2660</v>
      </c>
      <c r="I34" s="8">
        <v>-1.0</v>
      </c>
      <c r="J34" s="8" t="s">
        <v>229</v>
      </c>
      <c r="K34" s="8" t="s">
        <v>22</v>
      </c>
      <c r="L34" s="8" t="s">
        <v>4584</v>
      </c>
      <c r="M34" s="8" t="s">
        <v>24</v>
      </c>
      <c r="N34" s="9">
        <v>0.0</v>
      </c>
      <c r="O34" s="9">
        <v>0.2</v>
      </c>
      <c r="P34" s="9">
        <v>0.2</v>
      </c>
      <c r="Q34" s="10">
        <v>45354.0</v>
      </c>
      <c r="R34" s="11">
        <v>1.775</v>
      </c>
      <c r="S34" s="8" t="s">
        <v>70</v>
      </c>
      <c r="T34" s="12">
        <f t="shared" si="1"/>
        <v>0</v>
      </c>
      <c r="U34" s="12">
        <f t="shared" si="4"/>
        <v>-2.80455</v>
      </c>
    </row>
    <row r="35">
      <c r="A35" s="15">
        <f t="shared" si="3"/>
        <v>34</v>
      </c>
      <c r="B35" s="15" t="s">
        <v>137</v>
      </c>
      <c r="C35" s="15" t="s">
        <v>19</v>
      </c>
      <c r="D35" s="15">
        <v>31.0</v>
      </c>
      <c r="E35" s="15"/>
      <c r="F35" s="15" t="s">
        <v>4616</v>
      </c>
      <c r="G35" s="15" t="s">
        <v>5564</v>
      </c>
      <c r="H35" s="15" t="s">
        <v>2660</v>
      </c>
      <c r="I35" s="15">
        <v>0.0</v>
      </c>
      <c r="J35" s="15" t="s">
        <v>229</v>
      </c>
      <c r="K35" s="15" t="s">
        <v>22</v>
      </c>
      <c r="L35" s="15" t="s">
        <v>225</v>
      </c>
      <c r="M35" s="15" t="s">
        <v>24</v>
      </c>
      <c r="N35" s="16">
        <v>0.25</v>
      </c>
      <c r="O35" s="16">
        <v>0.2</v>
      </c>
      <c r="P35" s="16">
        <v>0.2</v>
      </c>
      <c r="Q35" s="17">
        <v>45354.0</v>
      </c>
      <c r="R35" s="18">
        <v>1.88</v>
      </c>
      <c r="S35" s="15" t="s">
        <v>30</v>
      </c>
      <c r="T35" s="19">
        <f t="shared" si="1"/>
        <v>0.088</v>
      </c>
      <c r="U35" s="19">
        <f t="shared" si="4"/>
        <v>-2.71655</v>
      </c>
      <c r="W35" s="29"/>
    </row>
    <row r="36">
      <c r="A36" s="8">
        <f t="shared" si="3"/>
        <v>35</v>
      </c>
      <c r="B36" s="8" t="s">
        <v>18</v>
      </c>
      <c r="C36" s="8" t="s">
        <v>19</v>
      </c>
      <c r="D36" s="8">
        <v>22.0</v>
      </c>
      <c r="E36" s="8"/>
      <c r="F36" s="8" t="s">
        <v>4617</v>
      </c>
      <c r="G36" s="8" t="s">
        <v>5564</v>
      </c>
      <c r="H36" s="8" t="s">
        <v>2556</v>
      </c>
      <c r="I36" s="8">
        <v>0.0</v>
      </c>
      <c r="J36" s="8" t="s">
        <v>432</v>
      </c>
      <c r="K36" s="8" t="s">
        <v>22</v>
      </c>
      <c r="L36" s="8" t="s">
        <v>225</v>
      </c>
      <c r="M36" s="8" t="s">
        <v>24</v>
      </c>
      <c r="N36" s="9">
        <v>0.75</v>
      </c>
      <c r="O36" s="9">
        <v>0.6</v>
      </c>
      <c r="P36" s="9">
        <v>0.6</v>
      </c>
      <c r="Q36" s="10">
        <v>45354.0</v>
      </c>
      <c r="R36" s="11">
        <v>1.8</v>
      </c>
      <c r="S36" s="8" t="s">
        <v>25</v>
      </c>
      <c r="T36" s="12">
        <f t="shared" si="1"/>
        <v>-0.6</v>
      </c>
      <c r="U36" s="12">
        <f t="shared" si="4"/>
        <v>-3.31655</v>
      </c>
      <c r="W36" s="30"/>
    </row>
    <row r="37">
      <c r="A37" s="15">
        <f t="shared" si="3"/>
        <v>36</v>
      </c>
      <c r="B37" s="15" t="s">
        <v>26</v>
      </c>
      <c r="C37" s="15" t="s">
        <v>40</v>
      </c>
      <c r="D37" s="15">
        <v>67.0</v>
      </c>
      <c r="E37" s="15"/>
      <c r="F37" s="15" t="s">
        <v>4618</v>
      </c>
      <c r="G37" s="15" t="s">
        <v>5565</v>
      </c>
      <c r="H37" s="15" t="s">
        <v>2660</v>
      </c>
      <c r="I37" s="15">
        <v>2</v>
      </c>
      <c r="J37" s="15" t="s">
        <v>583</v>
      </c>
      <c r="K37" s="15" t="s">
        <v>22</v>
      </c>
      <c r="L37" s="15" t="s">
        <v>892</v>
      </c>
      <c r="M37" s="15" t="s">
        <v>24</v>
      </c>
      <c r="N37" s="16">
        <v>0.0</v>
      </c>
      <c r="O37" s="16">
        <v>0.1</v>
      </c>
      <c r="P37" s="16">
        <v>0.1</v>
      </c>
      <c r="Q37" s="17">
        <v>45354.0</v>
      </c>
      <c r="R37" s="18">
        <v>1.85</v>
      </c>
      <c r="S37" s="15" t="s">
        <v>70</v>
      </c>
      <c r="T37" s="19">
        <f t="shared" si="1"/>
        <v>0</v>
      </c>
      <c r="U37" s="19">
        <f t="shared" si="4"/>
        <v>-3.31655</v>
      </c>
      <c r="W37" s="30"/>
    </row>
    <row r="38">
      <c r="A38" s="8">
        <f t="shared" si="3"/>
        <v>37</v>
      </c>
      <c r="B38" s="8" t="s">
        <v>4225</v>
      </c>
      <c r="C38" s="8" t="s">
        <v>19</v>
      </c>
      <c r="D38" s="8">
        <v>82.0</v>
      </c>
      <c r="E38" s="8"/>
      <c r="F38" s="8" t="s">
        <v>4619</v>
      </c>
      <c r="G38" s="8" t="s">
        <v>5565</v>
      </c>
      <c r="H38" s="8" t="s">
        <v>2660</v>
      </c>
      <c r="I38" s="8">
        <v>-1.0</v>
      </c>
      <c r="J38" s="8" t="s">
        <v>229</v>
      </c>
      <c r="K38" s="8" t="s">
        <v>22</v>
      </c>
      <c r="L38" s="8" t="s">
        <v>892</v>
      </c>
      <c r="M38" s="8" t="s">
        <v>24</v>
      </c>
      <c r="N38" s="9">
        <v>0.0</v>
      </c>
      <c r="O38" s="9">
        <v>0.6</v>
      </c>
      <c r="P38" s="9">
        <v>0.6</v>
      </c>
      <c r="Q38" s="10">
        <v>45354.0</v>
      </c>
      <c r="R38" s="11">
        <v>1.9</v>
      </c>
      <c r="S38" s="8" t="s">
        <v>25</v>
      </c>
      <c r="T38" s="12">
        <f t="shared" si="1"/>
        <v>-0.6</v>
      </c>
      <c r="U38" s="12">
        <f t="shared" si="4"/>
        <v>-3.91655</v>
      </c>
      <c r="W38" s="30"/>
    </row>
    <row r="39">
      <c r="A39" s="15">
        <f t="shared" si="3"/>
        <v>38</v>
      </c>
      <c r="B39" s="15" t="s">
        <v>4225</v>
      </c>
      <c r="C39" s="15" t="s">
        <v>40</v>
      </c>
      <c r="D39" s="15">
        <v>84.0</v>
      </c>
      <c r="E39" s="15"/>
      <c r="F39" s="15" t="s">
        <v>4620</v>
      </c>
      <c r="G39" s="15" t="s">
        <v>5564</v>
      </c>
      <c r="H39" s="15" t="s">
        <v>2556</v>
      </c>
      <c r="I39" s="15">
        <v>0.0</v>
      </c>
      <c r="J39" s="15" t="s">
        <v>229</v>
      </c>
      <c r="K39" s="15" t="s">
        <v>22</v>
      </c>
      <c r="L39" s="15" t="s">
        <v>1165</v>
      </c>
      <c r="M39" s="15" t="s">
        <v>24</v>
      </c>
      <c r="N39" s="16"/>
      <c r="O39" s="16">
        <v>0.1</v>
      </c>
      <c r="P39" s="16">
        <v>0.1</v>
      </c>
      <c r="Q39" s="17">
        <v>45354.0</v>
      </c>
      <c r="R39" s="18">
        <v>7.0</v>
      </c>
      <c r="S39" s="15" t="s">
        <v>25</v>
      </c>
      <c r="T39" s="19">
        <f t="shared" si="1"/>
        <v>-0.1</v>
      </c>
      <c r="U39" s="19">
        <f t="shared" si="4"/>
        <v>-4.01655</v>
      </c>
      <c r="W39" s="30"/>
    </row>
    <row r="40">
      <c r="A40" s="8">
        <f t="shared" si="3"/>
        <v>39</v>
      </c>
      <c r="B40" s="8" t="s">
        <v>26</v>
      </c>
      <c r="C40" s="8" t="s">
        <v>19</v>
      </c>
      <c r="D40" s="8">
        <v>24.0</v>
      </c>
      <c r="E40" s="8"/>
      <c r="F40" s="8" t="s">
        <v>4621</v>
      </c>
      <c r="G40" s="8" t="s">
        <v>5564</v>
      </c>
      <c r="H40" s="8" t="s">
        <v>2660</v>
      </c>
      <c r="I40" s="8">
        <v>0.0</v>
      </c>
      <c r="J40" s="8" t="s">
        <v>93</v>
      </c>
      <c r="K40" s="8" t="s">
        <v>22</v>
      </c>
      <c r="L40" s="8" t="s">
        <v>892</v>
      </c>
      <c r="M40" s="8" t="s">
        <v>24</v>
      </c>
      <c r="N40" s="9">
        <v>0.0</v>
      </c>
      <c r="O40" s="9">
        <v>0.2</v>
      </c>
      <c r="P40" s="9">
        <v>0.2</v>
      </c>
      <c r="Q40" s="10">
        <v>45354.0</v>
      </c>
      <c r="R40" s="11">
        <v>1.975</v>
      </c>
      <c r="S40" s="8" t="s">
        <v>70</v>
      </c>
      <c r="T40" s="12">
        <f t="shared" si="1"/>
        <v>0</v>
      </c>
      <c r="U40" s="12">
        <f t="shared" si="4"/>
        <v>-4.01655</v>
      </c>
      <c r="W40" s="30"/>
    </row>
    <row r="41">
      <c r="A41" s="15">
        <f t="shared" si="3"/>
        <v>40</v>
      </c>
      <c r="B41" s="15" t="s">
        <v>26</v>
      </c>
      <c r="C41" s="15" t="s">
        <v>19</v>
      </c>
      <c r="D41" s="15">
        <v>28.0</v>
      </c>
      <c r="E41" s="15"/>
      <c r="F41" s="15" t="s">
        <v>4622</v>
      </c>
      <c r="G41" s="15" t="s">
        <v>5564</v>
      </c>
      <c r="H41" s="15" t="s">
        <v>2556</v>
      </c>
      <c r="I41" s="15">
        <v>0.0</v>
      </c>
      <c r="J41" s="15" t="s">
        <v>44</v>
      </c>
      <c r="K41" s="15" t="s">
        <v>22</v>
      </c>
      <c r="L41" s="15" t="s">
        <v>225</v>
      </c>
      <c r="M41" s="15" t="s">
        <v>24</v>
      </c>
      <c r="N41" s="16">
        <v>0.25</v>
      </c>
      <c r="O41" s="16">
        <v>1.0</v>
      </c>
      <c r="P41" s="16">
        <v>1.0</v>
      </c>
      <c r="Q41" s="17">
        <v>45354.0</v>
      </c>
      <c r="R41" s="18">
        <v>1.9</v>
      </c>
      <c r="S41" s="15" t="s">
        <v>25</v>
      </c>
      <c r="T41" s="19">
        <f t="shared" si="1"/>
        <v>-1</v>
      </c>
      <c r="U41" s="19">
        <f t="shared" si="4"/>
        <v>-5.01655</v>
      </c>
      <c r="W41" s="30"/>
    </row>
    <row r="42">
      <c r="A42" s="8">
        <f t="shared" si="3"/>
        <v>41</v>
      </c>
      <c r="B42" s="8" t="s">
        <v>4225</v>
      </c>
      <c r="C42" s="8" t="s">
        <v>19</v>
      </c>
      <c r="D42" s="8">
        <v>34.0</v>
      </c>
      <c r="E42" s="8"/>
      <c r="F42" s="8" t="s">
        <v>4623</v>
      </c>
      <c r="G42" s="8" t="s">
        <v>5564</v>
      </c>
      <c r="H42" s="8" t="s">
        <v>2660</v>
      </c>
      <c r="I42" s="8">
        <v>0.0</v>
      </c>
      <c r="J42" s="8" t="s">
        <v>1031</v>
      </c>
      <c r="K42" s="8" t="s">
        <v>22</v>
      </c>
      <c r="L42" s="8" t="s">
        <v>4584</v>
      </c>
      <c r="M42" s="8" t="s">
        <v>24</v>
      </c>
      <c r="N42" s="9">
        <v>0.0</v>
      </c>
      <c r="O42" s="9">
        <v>0.15</v>
      </c>
      <c r="P42" s="9">
        <v>0.15</v>
      </c>
      <c r="Q42" s="10">
        <v>45354.0</v>
      </c>
      <c r="R42" s="11">
        <v>2.0</v>
      </c>
      <c r="S42" s="8" t="s">
        <v>70</v>
      </c>
      <c r="T42" s="12">
        <f t="shared" si="1"/>
        <v>0</v>
      </c>
      <c r="U42" s="12">
        <f t="shared" si="4"/>
        <v>-5.01655</v>
      </c>
      <c r="W42" s="30"/>
    </row>
    <row r="43">
      <c r="A43" s="15">
        <f t="shared" si="3"/>
        <v>42</v>
      </c>
      <c r="B43" s="15" t="s">
        <v>4225</v>
      </c>
      <c r="C43" s="15" t="s">
        <v>19</v>
      </c>
      <c r="D43" s="15">
        <v>58.0</v>
      </c>
      <c r="E43" s="15"/>
      <c r="F43" s="15" t="s">
        <v>4624</v>
      </c>
      <c r="G43" s="15" t="s">
        <v>5565</v>
      </c>
      <c r="H43" s="15" t="s">
        <v>2556</v>
      </c>
      <c r="I43" s="15">
        <v>0.0</v>
      </c>
      <c r="J43" s="15" t="s">
        <v>1031</v>
      </c>
      <c r="K43" s="15" t="s">
        <v>22</v>
      </c>
      <c r="L43" s="15" t="s">
        <v>941</v>
      </c>
      <c r="M43" s="15" t="s">
        <v>24</v>
      </c>
      <c r="N43" s="16">
        <v>0.0</v>
      </c>
      <c r="O43" s="16">
        <v>0.5</v>
      </c>
      <c r="P43" s="16">
        <v>0.5</v>
      </c>
      <c r="Q43" s="17">
        <v>45354.0</v>
      </c>
      <c r="R43" s="18">
        <v>2.25</v>
      </c>
      <c r="S43" s="15" t="s">
        <v>33</v>
      </c>
      <c r="T43" s="19">
        <f t="shared" si="1"/>
        <v>0.625</v>
      </c>
      <c r="U43" s="19">
        <f t="shared" si="4"/>
        <v>-4.39155</v>
      </c>
      <c r="W43" s="30"/>
    </row>
    <row r="44">
      <c r="A44" s="8">
        <f t="shared" si="3"/>
        <v>43</v>
      </c>
      <c r="B44" s="8" t="s">
        <v>26</v>
      </c>
      <c r="C44" s="8" t="s">
        <v>19</v>
      </c>
      <c r="D44" s="8">
        <v>58.0</v>
      </c>
      <c r="E44" s="8"/>
      <c r="F44" s="8" t="s">
        <v>4624</v>
      </c>
      <c r="G44" s="8" t="s">
        <v>5565</v>
      </c>
      <c r="H44" s="8" t="s">
        <v>2556</v>
      </c>
      <c r="I44" s="8">
        <v>0.0</v>
      </c>
      <c r="J44" s="8" t="s">
        <v>1031</v>
      </c>
      <c r="K44" s="8" t="s">
        <v>22</v>
      </c>
      <c r="L44" s="8" t="s">
        <v>941</v>
      </c>
      <c r="M44" s="8" t="s">
        <v>24</v>
      </c>
      <c r="N44" s="9">
        <v>0.0</v>
      </c>
      <c r="O44" s="9">
        <v>0.5</v>
      </c>
      <c r="P44" s="9">
        <v>0.5</v>
      </c>
      <c r="Q44" s="10">
        <v>45354.0</v>
      </c>
      <c r="R44" s="11">
        <v>2.25</v>
      </c>
      <c r="S44" s="8" t="s">
        <v>33</v>
      </c>
      <c r="T44" s="12">
        <f t="shared" si="1"/>
        <v>0.625</v>
      </c>
      <c r="U44" s="12">
        <f t="shared" si="4"/>
        <v>-3.76655</v>
      </c>
      <c r="W44" s="30"/>
    </row>
    <row r="45">
      <c r="A45" s="15">
        <f t="shared" si="3"/>
        <v>44</v>
      </c>
      <c r="B45" s="15" t="s">
        <v>129</v>
      </c>
      <c r="C45" s="15" t="s">
        <v>40</v>
      </c>
      <c r="D45" s="15">
        <v>75.0</v>
      </c>
      <c r="E45" s="15"/>
      <c r="F45" s="15" t="s">
        <v>4625</v>
      </c>
      <c r="G45" s="15" t="s">
        <v>5564</v>
      </c>
      <c r="H45" s="15" t="s">
        <v>2556</v>
      </c>
      <c r="I45" s="15">
        <v>0.0</v>
      </c>
      <c r="J45" s="15" t="s">
        <v>50</v>
      </c>
      <c r="K45" s="15" t="s">
        <v>22</v>
      </c>
      <c r="L45" s="15" t="s">
        <v>941</v>
      </c>
      <c r="M45" s="15" t="s">
        <v>24</v>
      </c>
      <c r="N45" s="16">
        <v>0.0</v>
      </c>
      <c r="O45" s="16">
        <v>0.6</v>
      </c>
      <c r="P45" s="16">
        <v>0.6</v>
      </c>
      <c r="Q45" s="17">
        <v>45354.0</v>
      </c>
      <c r="R45" s="18">
        <v>2.5</v>
      </c>
      <c r="S45" s="15" t="s">
        <v>70</v>
      </c>
      <c r="T45" s="19">
        <f t="shared" si="1"/>
        <v>0</v>
      </c>
      <c r="U45" s="19">
        <f t="shared" si="4"/>
        <v>-3.76655</v>
      </c>
    </row>
    <row r="46">
      <c r="A46" s="8">
        <f t="shared" si="3"/>
        <v>45</v>
      </c>
      <c r="B46" s="8" t="s">
        <v>129</v>
      </c>
      <c r="C46" s="8" t="s">
        <v>19</v>
      </c>
      <c r="D46" s="8">
        <v>20.0</v>
      </c>
      <c r="E46" s="8"/>
      <c r="F46" s="8" t="s">
        <v>4626</v>
      </c>
      <c r="G46" s="8" t="s">
        <v>5565</v>
      </c>
      <c r="H46" s="8" t="s">
        <v>2660</v>
      </c>
      <c r="I46" s="8">
        <v>0.0</v>
      </c>
      <c r="J46" s="8" t="s">
        <v>224</v>
      </c>
      <c r="K46" s="8" t="s">
        <v>22</v>
      </c>
      <c r="L46" s="8" t="s">
        <v>4584</v>
      </c>
      <c r="M46" s="8" t="s">
        <v>24</v>
      </c>
      <c r="N46" s="9">
        <v>0.0</v>
      </c>
      <c r="O46" s="9">
        <v>0.2</v>
      </c>
      <c r="P46" s="9">
        <v>0.2</v>
      </c>
      <c r="Q46" s="10">
        <v>45354.0</v>
      </c>
      <c r="R46" s="11">
        <v>1.7</v>
      </c>
      <c r="S46" s="8" t="s">
        <v>70</v>
      </c>
      <c r="T46" s="12">
        <f t="shared" si="1"/>
        <v>0</v>
      </c>
      <c r="U46" s="12">
        <f t="shared" si="4"/>
        <v>-3.76655</v>
      </c>
    </row>
    <row r="47">
      <c r="A47" s="15">
        <f t="shared" si="3"/>
        <v>46</v>
      </c>
      <c r="B47" s="15" t="s">
        <v>26</v>
      </c>
      <c r="C47" s="15" t="s">
        <v>19</v>
      </c>
      <c r="D47" s="15">
        <v>40.0</v>
      </c>
      <c r="E47" s="15"/>
      <c r="F47" s="15" t="s">
        <v>4627</v>
      </c>
      <c r="G47" s="15" t="s">
        <v>5565</v>
      </c>
      <c r="H47" s="15" t="s">
        <v>2660</v>
      </c>
      <c r="I47" s="15">
        <v>0.0</v>
      </c>
      <c r="J47" s="15" t="s">
        <v>66</v>
      </c>
      <c r="K47" s="15" t="s">
        <v>22</v>
      </c>
      <c r="L47" s="15" t="s">
        <v>892</v>
      </c>
      <c r="M47" s="15" t="s">
        <v>24</v>
      </c>
      <c r="N47" s="16">
        <v>0.0</v>
      </c>
      <c r="O47" s="16">
        <v>0.6</v>
      </c>
      <c r="P47" s="16">
        <v>0.6</v>
      </c>
      <c r="Q47" s="17">
        <v>45354.0</v>
      </c>
      <c r="R47" s="18">
        <v>1.975</v>
      </c>
      <c r="S47" s="15" t="s">
        <v>25</v>
      </c>
      <c r="T47" s="19">
        <f t="shared" si="1"/>
        <v>-0.6</v>
      </c>
      <c r="U47" s="19">
        <f t="shared" si="4"/>
        <v>-4.36655</v>
      </c>
    </row>
    <row r="48">
      <c r="A48" s="8">
        <f t="shared" si="3"/>
        <v>47</v>
      </c>
      <c r="B48" s="8" t="s">
        <v>129</v>
      </c>
      <c r="C48" s="8" t="s">
        <v>19</v>
      </c>
      <c r="D48" s="8">
        <v>45.0</v>
      </c>
      <c r="E48" s="8"/>
      <c r="F48" s="8" t="s">
        <v>4628</v>
      </c>
      <c r="G48" s="8" t="s">
        <v>5564</v>
      </c>
      <c r="H48" s="8"/>
      <c r="I48" s="8">
        <v>2</v>
      </c>
      <c r="J48" s="8" t="s">
        <v>191</v>
      </c>
      <c r="K48" s="8" t="s">
        <v>22</v>
      </c>
      <c r="L48" s="8" t="s">
        <v>440</v>
      </c>
      <c r="M48" s="8" t="s">
        <v>24</v>
      </c>
      <c r="N48" s="9">
        <v>2.5</v>
      </c>
      <c r="O48" s="9">
        <v>0.1</v>
      </c>
      <c r="P48" s="9">
        <v>0.1</v>
      </c>
      <c r="Q48" s="10">
        <v>45354.0</v>
      </c>
      <c r="R48" s="11">
        <v>5.5</v>
      </c>
      <c r="S48" s="8" t="s">
        <v>25</v>
      </c>
      <c r="T48" s="12">
        <f t="shared" si="1"/>
        <v>-0.1</v>
      </c>
      <c r="U48" s="12">
        <f t="shared" si="4"/>
        <v>-4.46655</v>
      </c>
    </row>
    <row r="49">
      <c r="A49" s="15">
        <f t="shared" si="3"/>
        <v>48</v>
      </c>
      <c r="B49" s="15" t="s">
        <v>26</v>
      </c>
      <c r="C49" s="15" t="s">
        <v>19</v>
      </c>
      <c r="D49" s="15">
        <v>50.0</v>
      </c>
      <c r="E49" s="15"/>
      <c r="F49" s="15" t="s">
        <v>4629</v>
      </c>
      <c r="G49" s="15"/>
      <c r="H49" s="15"/>
      <c r="I49" s="15">
        <v>0.0</v>
      </c>
      <c r="J49" s="15" t="s">
        <v>93</v>
      </c>
      <c r="K49" s="15" t="s">
        <v>22</v>
      </c>
      <c r="L49" s="15" t="s">
        <v>440</v>
      </c>
      <c r="M49" s="15" t="s">
        <v>39</v>
      </c>
      <c r="N49" s="16">
        <v>0.75</v>
      </c>
      <c r="O49" s="16">
        <v>0.5</v>
      </c>
      <c r="P49" s="16">
        <v>0.5</v>
      </c>
      <c r="Q49" s="17">
        <v>45354.0</v>
      </c>
      <c r="R49" s="18">
        <f>1.75</f>
        <v>1.75</v>
      </c>
      <c r="S49" s="15" t="s">
        <v>33</v>
      </c>
      <c r="T49" s="19">
        <f t="shared" si="1"/>
        <v>0.375</v>
      </c>
      <c r="U49" s="19">
        <f t="shared" si="4"/>
        <v>-4.09155</v>
      </c>
    </row>
    <row r="50">
      <c r="A50" s="8">
        <f t="shared" si="3"/>
        <v>49</v>
      </c>
      <c r="B50" s="8" t="s">
        <v>26</v>
      </c>
      <c r="C50" s="8" t="s">
        <v>19</v>
      </c>
      <c r="D50" s="8">
        <v>69.0</v>
      </c>
      <c r="E50" s="8"/>
      <c r="F50" s="8" t="s">
        <v>4630</v>
      </c>
      <c r="G50" s="8" t="s">
        <v>5564</v>
      </c>
      <c r="H50" s="8" t="s">
        <v>2660</v>
      </c>
      <c r="I50" s="8">
        <v>0.0</v>
      </c>
      <c r="J50" s="8" t="s">
        <v>66</v>
      </c>
      <c r="K50" s="8" t="s">
        <v>22</v>
      </c>
      <c r="L50" s="8" t="s">
        <v>892</v>
      </c>
      <c r="M50" s="8" t="s">
        <v>24</v>
      </c>
      <c r="N50" s="9">
        <v>0.0</v>
      </c>
      <c r="O50" s="9">
        <v>0.2</v>
      </c>
      <c r="P50" s="9">
        <v>0.2</v>
      </c>
      <c r="Q50" s="10">
        <v>45354.0</v>
      </c>
      <c r="R50" s="11">
        <v>1.85</v>
      </c>
      <c r="S50" s="8" t="s">
        <v>33</v>
      </c>
      <c r="T50" s="12">
        <f t="shared" si="1"/>
        <v>0.17</v>
      </c>
      <c r="U50" s="12">
        <f t="shared" si="4"/>
        <v>-3.92155</v>
      </c>
    </row>
    <row r="51">
      <c r="A51" s="15">
        <f t="shared" si="3"/>
        <v>50</v>
      </c>
      <c r="B51" s="15" t="s">
        <v>26</v>
      </c>
      <c r="C51" s="15" t="s">
        <v>19</v>
      </c>
      <c r="D51" s="15">
        <v>63.0</v>
      </c>
      <c r="E51" s="15"/>
      <c r="F51" s="15" t="s">
        <v>4631</v>
      </c>
      <c r="G51" s="15" t="s">
        <v>5564</v>
      </c>
      <c r="H51" s="15" t="s">
        <v>2660</v>
      </c>
      <c r="I51" s="15">
        <v>-1.0</v>
      </c>
      <c r="J51" s="15" t="s">
        <v>93</v>
      </c>
      <c r="K51" s="15" t="s">
        <v>22</v>
      </c>
      <c r="L51" s="15" t="s">
        <v>892</v>
      </c>
      <c r="M51" s="15" t="s">
        <v>24</v>
      </c>
      <c r="N51" s="16">
        <v>0.0</v>
      </c>
      <c r="O51" s="16">
        <v>1.0</v>
      </c>
      <c r="P51" s="16">
        <v>1.0</v>
      </c>
      <c r="Q51" s="17">
        <v>45354.0</v>
      </c>
      <c r="R51" s="18">
        <v>1.9</v>
      </c>
      <c r="S51" s="15" t="s">
        <v>25</v>
      </c>
      <c r="T51" s="19">
        <f t="shared" si="1"/>
        <v>-1</v>
      </c>
      <c r="U51" s="19">
        <f t="shared" si="4"/>
        <v>-4.92155</v>
      </c>
      <c r="V51" s="40"/>
      <c r="W51" s="41" t="s">
        <v>125</v>
      </c>
      <c r="X51" s="41" t="s">
        <v>126</v>
      </c>
      <c r="Y51" s="41" t="s">
        <v>45</v>
      </c>
    </row>
    <row r="52">
      <c r="A52" s="8">
        <f t="shared" si="3"/>
        <v>51</v>
      </c>
      <c r="B52" s="8" t="s">
        <v>137</v>
      </c>
      <c r="C52" s="8" t="s">
        <v>19</v>
      </c>
      <c r="D52" s="8">
        <v>73.0</v>
      </c>
      <c r="E52" s="8"/>
      <c r="F52" s="8" t="s">
        <v>4632</v>
      </c>
      <c r="G52" s="8" t="s">
        <v>5564</v>
      </c>
      <c r="H52" s="8" t="s">
        <v>2556</v>
      </c>
      <c r="I52" s="8">
        <v>0.0</v>
      </c>
      <c r="J52" s="8" t="s">
        <v>42</v>
      </c>
      <c r="K52" s="8" t="s">
        <v>22</v>
      </c>
      <c r="L52" s="8" t="s">
        <v>941</v>
      </c>
      <c r="M52" s="8" t="s">
        <v>24</v>
      </c>
      <c r="N52" s="9">
        <v>0.0</v>
      </c>
      <c r="O52" s="9">
        <v>0.4</v>
      </c>
      <c r="P52" s="9">
        <v>0.2972</v>
      </c>
      <c r="Q52" s="10">
        <v>45354.0</v>
      </c>
      <c r="R52" s="11">
        <v>2.2</v>
      </c>
      <c r="S52" s="8" t="s">
        <v>70</v>
      </c>
      <c r="T52" s="12">
        <f t="shared" si="1"/>
        <v>0</v>
      </c>
      <c r="U52" s="12">
        <f t="shared" si="4"/>
        <v>-4.92155</v>
      </c>
      <c r="V52" s="41" t="s">
        <v>129</v>
      </c>
      <c r="W52" s="45">
        <f t="shared" ref="W52:W57" si="6">SUMIF($B$2:$B$2981,V52,$T$2:$T$2981)</f>
        <v>0.87399</v>
      </c>
      <c r="X52" s="45">
        <f t="shared" ref="X52:X57" si="7">SUMIF($B$2:$B$2981,V52,$P$2:$P$2981)</f>
        <v>19.90294</v>
      </c>
      <c r="Y52" s="46">
        <f t="shared" ref="Y52:Y57" si="8">W52/X52</f>
        <v>0.04391260789</v>
      </c>
    </row>
    <row r="53">
      <c r="A53" s="15">
        <f t="shared" si="3"/>
        <v>52</v>
      </c>
      <c r="B53" s="15" t="s">
        <v>129</v>
      </c>
      <c r="C53" s="15" t="s">
        <v>19</v>
      </c>
      <c r="D53" s="15">
        <v>75.0</v>
      </c>
      <c r="E53" s="15"/>
      <c r="F53" s="15" t="s">
        <v>4633</v>
      </c>
      <c r="G53" s="15" t="s">
        <v>5564</v>
      </c>
      <c r="H53" s="15" t="s">
        <v>2660</v>
      </c>
      <c r="I53" s="15">
        <v>-1.0</v>
      </c>
      <c r="J53" s="15" t="s">
        <v>703</v>
      </c>
      <c r="K53" s="15" t="s">
        <v>22</v>
      </c>
      <c r="L53" s="15" t="s">
        <v>892</v>
      </c>
      <c r="M53" s="15" t="s">
        <v>24</v>
      </c>
      <c r="N53" s="16">
        <v>0.0</v>
      </c>
      <c r="O53" s="16">
        <v>0.6</v>
      </c>
      <c r="P53" s="16">
        <v>0.6</v>
      </c>
      <c r="Q53" s="17">
        <v>45355.0</v>
      </c>
      <c r="R53" s="18">
        <v>1.725</v>
      </c>
      <c r="S53" s="15" t="s">
        <v>70</v>
      </c>
      <c r="T53" s="19">
        <f t="shared" si="1"/>
        <v>0</v>
      </c>
      <c r="U53" s="19">
        <f t="shared" si="4"/>
        <v>-4.92155</v>
      </c>
      <c r="V53" s="41" t="s">
        <v>26</v>
      </c>
      <c r="W53" s="45">
        <f t="shared" si="6"/>
        <v>1.001935046</v>
      </c>
      <c r="X53" s="45">
        <f t="shared" si="7"/>
        <v>58.91677441</v>
      </c>
      <c r="Y53" s="46">
        <f t="shared" si="8"/>
        <v>0.01700593856</v>
      </c>
    </row>
    <row r="54">
      <c r="A54" s="8">
        <f t="shared" si="3"/>
        <v>53</v>
      </c>
      <c r="B54" s="8" t="s">
        <v>129</v>
      </c>
      <c r="C54" s="8" t="s">
        <v>19</v>
      </c>
      <c r="D54" s="8">
        <v>70.0</v>
      </c>
      <c r="E54" s="8"/>
      <c r="F54" s="8" t="s">
        <v>4634</v>
      </c>
      <c r="G54" s="8" t="s">
        <v>5564</v>
      </c>
      <c r="H54" s="8" t="s">
        <v>2556</v>
      </c>
      <c r="I54" s="8">
        <v>0.0</v>
      </c>
      <c r="J54" s="8" t="s">
        <v>162</v>
      </c>
      <c r="K54" s="8" t="s">
        <v>22</v>
      </c>
      <c r="L54" s="8" t="s">
        <v>225</v>
      </c>
      <c r="M54" s="8" t="s">
        <v>24</v>
      </c>
      <c r="N54" s="9">
        <v>0.25</v>
      </c>
      <c r="O54" s="9">
        <v>0.5</v>
      </c>
      <c r="P54" s="9">
        <v>0.5</v>
      </c>
      <c r="Q54" s="54">
        <v>45355.0</v>
      </c>
      <c r="R54" s="11">
        <v>1.9</v>
      </c>
      <c r="S54" s="8" t="s">
        <v>30</v>
      </c>
      <c r="T54" s="12">
        <f t="shared" si="1"/>
        <v>0.225</v>
      </c>
      <c r="U54" s="12">
        <f t="shared" si="4"/>
        <v>-4.69655</v>
      </c>
      <c r="V54" s="41" t="s">
        <v>4225</v>
      </c>
      <c r="W54" s="45">
        <f t="shared" si="6"/>
        <v>0.84582125</v>
      </c>
      <c r="X54" s="45">
        <f t="shared" si="7"/>
        <v>17.00623</v>
      </c>
      <c r="Y54" s="46">
        <f t="shared" si="8"/>
        <v>0.04973596441</v>
      </c>
    </row>
    <row r="55">
      <c r="A55" s="15">
        <f t="shared" si="3"/>
        <v>54</v>
      </c>
      <c r="B55" s="15" t="s">
        <v>26</v>
      </c>
      <c r="C55" s="15" t="s">
        <v>19</v>
      </c>
      <c r="D55" s="15">
        <v>37.0</v>
      </c>
      <c r="E55" s="15"/>
      <c r="F55" s="15" t="s">
        <v>4635</v>
      </c>
      <c r="G55" s="15" t="s">
        <v>5565</v>
      </c>
      <c r="H55" s="15" t="s">
        <v>2660</v>
      </c>
      <c r="I55" s="15">
        <v>0.0</v>
      </c>
      <c r="J55" s="15" t="s">
        <v>231</v>
      </c>
      <c r="K55" s="15" t="s">
        <v>22</v>
      </c>
      <c r="L55" s="15" t="s">
        <v>4584</v>
      </c>
      <c r="M55" s="15" t="s">
        <v>24</v>
      </c>
      <c r="N55" s="16">
        <v>0.0</v>
      </c>
      <c r="O55" s="16">
        <v>1.0</v>
      </c>
      <c r="P55" s="16">
        <v>1.0</v>
      </c>
      <c r="Q55" s="17">
        <v>45356.0</v>
      </c>
      <c r="R55" s="18">
        <v>1.75</v>
      </c>
      <c r="S55" s="15" t="s">
        <v>70</v>
      </c>
      <c r="T55" s="19">
        <f t="shared" si="1"/>
        <v>0</v>
      </c>
      <c r="U55" s="19">
        <f t="shared" si="4"/>
        <v>-4.69655</v>
      </c>
      <c r="V55" s="41" t="s">
        <v>137</v>
      </c>
      <c r="W55" s="45">
        <f t="shared" si="6"/>
        <v>2.965394211</v>
      </c>
      <c r="X55" s="45">
        <f t="shared" si="7"/>
        <v>8.460862152</v>
      </c>
      <c r="Y55" s="46">
        <f t="shared" si="8"/>
        <v>0.3504836928</v>
      </c>
    </row>
    <row r="56">
      <c r="A56" s="8">
        <f t="shared" si="3"/>
        <v>55</v>
      </c>
      <c r="B56" s="8" t="s">
        <v>4225</v>
      </c>
      <c r="C56" s="8" t="s">
        <v>19</v>
      </c>
      <c r="D56" s="8">
        <v>32.0</v>
      </c>
      <c r="E56" s="8"/>
      <c r="F56" s="8" t="s">
        <v>4636</v>
      </c>
      <c r="G56" s="8" t="s">
        <v>5565</v>
      </c>
      <c r="H56" s="8" t="s">
        <v>2660</v>
      </c>
      <c r="I56" s="8">
        <v>-1.0</v>
      </c>
      <c r="J56" s="8" t="s">
        <v>248</v>
      </c>
      <c r="K56" s="8" t="s">
        <v>22</v>
      </c>
      <c r="L56" s="8" t="s">
        <v>4584</v>
      </c>
      <c r="M56" s="8" t="s">
        <v>24</v>
      </c>
      <c r="N56" s="9">
        <v>0.0</v>
      </c>
      <c r="O56" s="9">
        <v>0.8</v>
      </c>
      <c r="P56" s="9">
        <v>0.8</v>
      </c>
      <c r="Q56" s="54">
        <v>45356.0</v>
      </c>
      <c r="R56" s="11">
        <v>1.9</v>
      </c>
      <c r="S56" s="8" t="s">
        <v>70</v>
      </c>
      <c r="T56" s="12">
        <f t="shared" si="1"/>
        <v>0</v>
      </c>
      <c r="U56" s="12">
        <f t="shared" si="4"/>
        <v>-4.69655</v>
      </c>
      <c r="V56" s="41" t="s">
        <v>18</v>
      </c>
      <c r="W56" s="45">
        <f t="shared" si="6"/>
        <v>1.32780501</v>
      </c>
      <c r="X56" s="45">
        <f t="shared" si="7"/>
        <v>20.41901606</v>
      </c>
      <c r="Y56" s="46">
        <f t="shared" si="8"/>
        <v>0.06502786452</v>
      </c>
    </row>
    <row r="57">
      <c r="A57" s="15">
        <f t="shared" si="3"/>
        <v>56</v>
      </c>
      <c r="B57" s="15" t="s">
        <v>4225</v>
      </c>
      <c r="C57" s="15" t="s">
        <v>40</v>
      </c>
      <c r="D57" s="15">
        <v>63.0</v>
      </c>
      <c r="E57" s="15"/>
      <c r="F57" s="15" t="s">
        <v>4637</v>
      </c>
      <c r="G57" s="15" t="s">
        <v>5565</v>
      </c>
      <c r="H57" s="15" t="s">
        <v>2660</v>
      </c>
      <c r="I57" s="15">
        <v>-1.0</v>
      </c>
      <c r="J57" s="15" t="s">
        <v>44</v>
      </c>
      <c r="K57" s="15" t="s">
        <v>22</v>
      </c>
      <c r="L57" s="15" t="s">
        <v>892</v>
      </c>
      <c r="M57" s="15" t="s">
        <v>24</v>
      </c>
      <c r="N57" s="16">
        <v>0.0</v>
      </c>
      <c r="O57" s="16">
        <v>0.5</v>
      </c>
      <c r="P57" s="16">
        <v>0.4</v>
      </c>
      <c r="Q57" s="17">
        <v>45356.0</v>
      </c>
      <c r="R57" s="18">
        <v>1.775</v>
      </c>
      <c r="S57" s="15" t="s">
        <v>70</v>
      </c>
      <c r="T57" s="19">
        <f t="shared" si="1"/>
        <v>0</v>
      </c>
      <c r="U57" s="19">
        <f t="shared" si="4"/>
        <v>-4.69655</v>
      </c>
      <c r="V57" s="41" t="s">
        <v>131</v>
      </c>
      <c r="W57" s="45">
        <f t="shared" si="6"/>
        <v>0.3315</v>
      </c>
      <c r="X57" s="45">
        <f t="shared" si="7"/>
        <v>2.984</v>
      </c>
      <c r="Y57" s="46">
        <f t="shared" si="8"/>
        <v>0.1110924933</v>
      </c>
    </row>
    <row r="58">
      <c r="A58" s="8">
        <f t="shared" si="3"/>
        <v>57</v>
      </c>
      <c r="B58" s="8" t="s">
        <v>26</v>
      </c>
      <c r="C58" s="8" t="s">
        <v>19</v>
      </c>
      <c r="D58" s="8">
        <v>30.0</v>
      </c>
      <c r="E58" s="8"/>
      <c r="F58" s="8" t="s">
        <v>4638</v>
      </c>
      <c r="G58" s="8" t="s">
        <v>5564</v>
      </c>
      <c r="H58" s="8" t="s">
        <v>2556</v>
      </c>
      <c r="I58" s="8">
        <v>0.0</v>
      </c>
      <c r="J58" s="8" t="s">
        <v>82</v>
      </c>
      <c r="K58" s="8" t="s">
        <v>22</v>
      </c>
      <c r="L58" s="8" t="s">
        <v>225</v>
      </c>
      <c r="M58" s="8" t="s">
        <v>24</v>
      </c>
      <c r="N58" s="9">
        <v>0.25</v>
      </c>
      <c r="O58" s="9">
        <v>0.6</v>
      </c>
      <c r="P58" s="9">
        <v>0.6</v>
      </c>
      <c r="Q58" s="10">
        <v>45356.0</v>
      </c>
      <c r="R58" s="11">
        <v>1.925</v>
      </c>
      <c r="S58" s="8" t="s">
        <v>30</v>
      </c>
      <c r="T58" s="12">
        <f t="shared" si="1"/>
        <v>0.2775</v>
      </c>
      <c r="U58" s="12">
        <f t="shared" si="4"/>
        <v>-4.41905</v>
      </c>
    </row>
    <row r="59">
      <c r="A59" s="15">
        <f t="shared" si="3"/>
        <v>58</v>
      </c>
      <c r="B59" s="15" t="s">
        <v>26</v>
      </c>
      <c r="C59" s="15" t="s">
        <v>19</v>
      </c>
      <c r="D59" s="15">
        <v>80.0</v>
      </c>
      <c r="E59" s="15"/>
      <c r="F59" s="15" t="s">
        <v>4639</v>
      </c>
      <c r="G59" s="15" t="s">
        <v>5565</v>
      </c>
      <c r="H59" s="15" t="s">
        <v>2556</v>
      </c>
      <c r="I59" s="15">
        <v>0.0</v>
      </c>
      <c r="J59" s="15" t="s">
        <v>82</v>
      </c>
      <c r="K59" s="15" t="s">
        <v>22</v>
      </c>
      <c r="L59" s="15" t="s">
        <v>1847</v>
      </c>
      <c r="M59" s="15" t="s">
        <v>24</v>
      </c>
      <c r="N59" s="16">
        <v>-0.5</v>
      </c>
      <c r="O59" s="16">
        <v>0.1</v>
      </c>
      <c r="P59" s="16">
        <v>0.1</v>
      </c>
      <c r="Q59" s="17">
        <v>45356.0</v>
      </c>
      <c r="R59" s="18">
        <v>4.33</v>
      </c>
      <c r="S59" s="15" t="s">
        <v>25</v>
      </c>
      <c r="T59" s="19">
        <f t="shared" si="1"/>
        <v>-0.1</v>
      </c>
      <c r="U59" s="49">
        <f t="shared" si="4"/>
        <v>-4.51905</v>
      </c>
      <c r="V59" s="100" t="s">
        <v>0</v>
      </c>
      <c r="W59" s="101" t="s">
        <v>960</v>
      </c>
      <c r="X59" s="102"/>
      <c r="Y59" s="103"/>
    </row>
    <row r="60">
      <c r="A60" s="8">
        <f t="shared" si="3"/>
        <v>59</v>
      </c>
      <c r="B60" s="8" t="s">
        <v>129</v>
      </c>
      <c r="C60" s="8" t="s">
        <v>19</v>
      </c>
      <c r="D60" s="8">
        <v>81.0</v>
      </c>
      <c r="E60" s="8"/>
      <c r="F60" s="8" t="s">
        <v>4640</v>
      </c>
      <c r="G60" s="8" t="s">
        <v>5564</v>
      </c>
      <c r="H60" s="8" t="s">
        <v>2660</v>
      </c>
      <c r="I60" s="8">
        <v>-1.0</v>
      </c>
      <c r="J60" s="8" t="s">
        <v>923</v>
      </c>
      <c r="K60" s="8" t="s">
        <v>22</v>
      </c>
      <c r="L60" s="8" t="s">
        <v>892</v>
      </c>
      <c r="M60" s="8" t="s">
        <v>24</v>
      </c>
      <c r="N60" s="9">
        <v>0.0</v>
      </c>
      <c r="O60" s="9">
        <v>0.6</v>
      </c>
      <c r="P60" s="9">
        <v>0.6</v>
      </c>
      <c r="Q60" s="10">
        <v>45357.0</v>
      </c>
      <c r="R60" s="11">
        <v>1.675</v>
      </c>
      <c r="S60" s="8" t="s">
        <v>33</v>
      </c>
      <c r="T60" s="12">
        <f t="shared" si="1"/>
        <v>0.405</v>
      </c>
      <c r="U60" s="48">
        <f t="shared" si="4"/>
        <v>-4.11405</v>
      </c>
      <c r="V60" s="41">
        <v>1.0</v>
      </c>
      <c r="W60" s="104" t="s">
        <v>962</v>
      </c>
      <c r="X60" s="102"/>
      <c r="Y60" s="103"/>
    </row>
    <row r="61">
      <c r="A61" s="15">
        <f t="shared" si="3"/>
        <v>60</v>
      </c>
      <c r="B61" s="15" t="s">
        <v>18</v>
      </c>
      <c r="C61" s="15" t="s">
        <v>19</v>
      </c>
      <c r="D61" s="15">
        <v>67.0</v>
      </c>
      <c r="E61" s="15"/>
      <c r="F61" s="15" t="s">
        <v>4641</v>
      </c>
      <c r="G61" s="15" t="s">
        <v>5564</v>
      </c>
      <c r="H61" s="15" t="s">
        <v>2660</v>
      </c>
      <c r="I61" s="15">
        <v>-1.0</v>
      </c>
      <c r="J61" s="15" t="s">
        <v>853</v>
      </c>
      <c r="K61" s="15" t="s">
        <v>22</v>
      </c>
      <c r="L61" s="15" t="s">
        <v>892</v>
      </c>
      <c r="M61" s="15" t="s">
        <v>24</v>
      </c>
      <c r="N61" s="16">
        <v>0.0</v>
      </c>
      <c r="O61" s="16">
        <v>1.0</v>
      </c>
      <c r="P61" s="16">
        <v>1.0</v>
      </c>
      <c r="Q61" s="17">
        <v>45357.0</v>
      </c>
      <c r="R61" s="18">
        <v>1.9</v>
      </c>
      <c r="S61" s="15" t="s">
        <v>70</v>
      </c>
      <c r="T61" s="19">
        <f t="shared" si="1"/>
        <v>0</v>
      </c>
      <c r="U61" s="49">
        <f t="shared" si="4"/>
        <v>-4.11405</v>
      </c>
      <c r="V61" s="41">
        <v>2.0</v>
      </c>
      <c r="W61" s="104" t="s">
        <v>965</v>
      </c>
      <c r="X61" s="102"/>
      <c r="Y61" s="103"/>
    </row>
    <row r="62">
      <c r="A62" s="8">
        <f t="shared" si="3"/>
        <v>61</v>
      </c>
      <c r="B62" s="8" t="s">
        <v>4225</v>
      </c>
      <c r="C62" s="8" t="s">
        <v>19</v>
      </c>
      <c r="D62" s="8">
        <v>0.0</v>
      </c>
      <c r="E62" s="8">
        <v>8.0</v>
      </c>
      <c r="F62" s="8" t="s">
        <v>4642</v>
      </c>
      <c r="G62" s="8" t="s">
        <v>5564</v>
      </c>
      <c r="H62" s="8" t="s">
        <v>2660</v>
      </c>
      <c r="I62" s="8">
        <v>0.0</v>
      </c>
      <c r="J62" s="8" t="s">
        <v>873</v>
      </c>
      <c r="K62" s="8" t="s">
        <v>598</v>
      </c>
      <c r="L62" s="8" t="s">
        <v>892</v>
      </c>
      <c r="M62" s="8" t="s">
        <v>1851</v>
      </c>
      <c r="N62" s="9">
        <v>0.0</v>
      </c>
      <c r="O62" s="9">
        <v>0.1</v>
      </c>
      <c r="P62" s="9">
        <v>0.1</v>
      </c>
      <c r="Q62" s="10">
        <v>45357.0</v>
      </c>
      <c r="R62" s="11">
        <v>1.725</v>
      </c>
      <c r="S62" s="8" t="s">
        <v>33</v>
      </c>
      <c r="T62" s="12">
        <f t="shared" si="1"/>
        <v>0.0725</v>
      </c>
      <c r="U62" s="48">
        <f t="shared" si="4"/>
        <v>-4.04155</v>
      </c>
      <c r="V62" s="41">
        <v>3.0</v>
      </c>
      <c r="W62" s="104" t="s">
        <v>967</v>
      </c>
      <c r="X62" s="102"/>
      <c r="Y62" s="103"/>
    </row>
    <row r="63">
      <c r="A63" s="15">
        <f t="shared" si="3"/>
        <v>62</v>
      </c>
      <c r="B63" s="15" t="s">
        <v>129</v>
      </c>
      <c r="C63" s="15" t="s">
        <v>40</v>
      </c>
      <c r="D63" s="15">
        <v>57.0</v>
      </c>
      <c r="E63" s="15"/>
      <c r="F63" s="15" t="s">
        <v>4643</v>
      </c>
      <c r="G63" s="15" t="s">
        <v>5564</v>
      </c>
      <c r="H63" s="15" t="s">
        <v>2660</v>
      </c>
      <c r="I63" s="15">
        <f>1</f>
        <v>1</v>
      </c>
      <c r="J63" s="15" t="s">
        <v>4644</v>
      </c>
      <c r="K63" s="15" t="s">
        <v>22</v>
      </c>
      <c r="L63" s="15" t="s">
        <v>892</v>
      </c>
      <c r="M63" s="15" t="s">
        <v>24</v>
      </c>
      <c r="N63" s="16">
        <v>0.0</v>
      </c>
      <c r="O63" s="16">
        <v>1.0</v>
      </c>
      <c r="P63" s="16">
        <v>1.0</v>
      </c>
      <c r="Q63" s="17">
        <v>45357.0</v>
      </c>
      <c r="R63" s="18">
        <v>1.775</v>
      </c>
      <c r="S63" s="15" t="s">
        <v>70</v>
      </c>
      <c r="T63" s="19">
        <f t="shared" si="1"/>
        <v>0</v>
      </c>
      <c r="U63" s="49">
        <f t="shared" si="4"/>
        <v>-4.04155</v>
      </c>
      <c r="V63" s="41">
        <v>4.0</v>
      </c>
      <c r="W63" s="104" t="s">
        <v>969</v>
      </c>
      <c r="X63" s="102"/>
      <c r="Y63" s="103"/>
    </row>
    <row r="64">
      <c r="A64" s="8">
        <f t="shared" si="3"/>
        <v>63</v>
      </c>
      <c r="B64" s="8" t="s">
        <v>26</v>
      </c>
      <c r="C64" s="8" t="s">
        <v>19</v>
      </c>
      <c r="D64" s="8">
        <v>74.0</v>
      </c>
      <c r="E64" s="8"/>
      <c r="F64" s="8" t="s">
        <v>1108</v>
      </c>
      <c r="G64" s="8" t="s">
        <v>5564</v>
      </c>
      <c r="H64" s="8" t="s">
        <v>2660</v>
      </c>
      <c r="I64" s="8">
        <v>0.0</v>
      </c>
      <c r="J64" s="8" t="s">
        <v>174</v>
      </c>
      <c r="K64" s="8" t="s">
        <v>22</v>
      </c>
      <c r="L64" s="8" t="s">
        <v>892</v>
      </c>
      <c r="M64" s="8" t="s">
        <v>24</v>
      </c>
      <c r="N64" s="9">
        <v>0.0</v>
      </c>
      <c r="O64" s="9">
        <v>0.6</v>
      </c>
      <c r="P64" s="9">
        <v>0.6</v>
      </c>
      <c r="Q64" s="10">
        <v>45357.0</v>
      </c>
      <c r="R64" s="11">
        <v>2.25</v>
      </c>
      <c r="S64" s="8" t="s">
        <v>70</v>
      </c>
      <c r="T64" s="12">
        <f t="shared" si="1"/>
        <v>0</v>
      </c>
      <c r="U64" s="48">
        <f t="shared" si="4"/>
        <v>-4.04155</v>
      </c>
      <c r="V64" s="41">
        <v>5.0</v>
      </c>
      <c r="W64" s="104" t="s">
        <v>971</v>
      </c>
      <c r="X64" s="102"/>
      <c r="Y64" s="103"/>
    </row>
    <row r="65">
      <c r="A65" s="15">
        <f t="shared" si="3"/>
        <v>64</v>
      </c>
      <c r="B65" s="15" t="s">
        <v>4225</v>
      </c>
      <c r="C65" s="15" t="s">
        <v>19</v>
      </c>
      <c r="D65" s="15">
        <v>0.0</v>
      </c>
      <c r="E65" s="15">
        <v>8.0</v>
      </c>
      <c r="F65" s="15" t="s">
        <v>4645</v>
      </c>
      <c r="G65" s="15" t="s">
        <v>5564</v>
      </c>
      <c r="H65" s="15" t="s">
        <v>2556</v>
      </c>
      <c r="I65" s="15">
        <v>0.0</v>
      </c>
      <c r="J65" s="15" t="s">
        <v>1961</v>
      </c>
      <c r="K65" s="15" t="s">
        <v>598</v>
      </c>
      <c r="L65" s="15" t="s">
        <v>225</v>
      </c>
      <c r="M65" s="15" t="s">
        <v>1851</v>
      </c>
      <c r="N65" s="16">
        <v>2.25</v>
      </c>
      <c r="O65" s="16">
        <v>0.1</v>
      </c>
      <c r="P65" s="16">
        <v>0.1</v>
      </c>
      <c r="Q65" s="55">
        <v>45357.0</v>
      </c>
      <c r="R65" s="18">
        <v>1.89</v>
      </c>
      <c r="S65" s="15" t="s">
        <v>30</v>
      </c>
      <c r="T65" s="19">
        <f t="shared" si="1"/>
        <v>0.0445</v>
      </c>
      <c r="U65" s="49">
        <f t="shared" si="4"/>
        <v>-3.99705</v>
      </c>
      <c r="V65" s="41">
        <v>6.0</v>
      </c>
      <c r="W65" s="104" t="s">
        <v>973</v>
      </c>
      <c r="X65" s="102"/>
      <c r="Y65" s="103"/>
    </row>
    <row r="66">
      <c r="A66" s="8">
        <f t="shared" si="3"/>
        <v>65</v>
      </c>
      <c r="B66" s="8" t="s">
        <v>18</v>
      </c>
      <c r="C66" s="8" t="s">
        <v>19</v>
      </c>
      <c r="D66" s="8">
        <v>87.0</v>
      </c>
      <c r="E66" s="8"/>
      <c r="F66" s="8" t="s">
        <v>4646</v>
      </c>
      <c r="G66" s="8" t="s">
        <v>5564</v>
      </c>
      <c r="H66" s="8" t="s">
        <v>2660</v>
      </c>
      <c r="I66" s="8">
        <v>-1.0</v>
      </c>
      <c r="J66" s="8" t="s">
        <v>82</v>
      </c>
      <c r="K66" s="8" t="s">
        <v>22</v>
      </c>
      <c r="L66" s="8" t="s">
        <v>892</v>
      </c>
      <c r="M66" s="8" t="s">
        <v>24</v>
      </c>
      <c r="N66" s="9">
        <v>0.0</v>
      </c>
      <c r="O66" s="9">
        <v>0.5</v>
      </c>
      <c r="P66" s="9">
        <v>0.5</v>
      </c>
      <c r="Q66" s="10">
        <v>45357.0</v>
      </c>
      <c r="R66" s="11">
        <v>1.875</v>
      </c>
      <c r="S66" s="8" t="s">
        <v>70</v>
      </c>
      <c r="T66" s="12">
        <f t="shared" si="1"/>
        <v>0</v>
      </c>
      <c r="U66" s="48">
        <f t="shared" si="4"/>
        <v>-3.99705</v>
      </c>
      <c r="V66" s="41">
        <v>7.0</v>
      </c>
      <c r="W66" s="104" t="s">
        <v>975</v>
      </c>
      <c r="X66" s="102"/>
      <c r="Y66" s="103"/>
    </row>
    <row r="67">
      <c r="A67" s="15">
        <f t="shared" si="3"/>
        <v>66</v>
      </c>
      <c r="B67" s="15" t="s">
        <v>4225</v>
      </c>
      <c r="C67" s="15" t="s">
        <v>19</v>
      </c>
      <c r="D67" s="15">
        <v>85.0</v>
      </c>
      <c r="E67" s="15">
        <v>8.0</v>
      </c>
      <c r="F67" s="15" t="s">
        <v>4647</v>
      </c>
      <c r="G67" s="15" t="s">
        <v>5565</v>
      </c>
      <c r="H67" s="15" t="s">
        <v>2573</v>
      </c>
      <c r="I67" s="15">
        <v>2</v>
      </c>
      <c r="J67" s="15" t="s">
        <v>1961</v>
      </c>
      <c r="K67" s="15" t="s">
        <v>22</v>
      </c>
      <c r="L67" s="15" t="s">
        <v>894</v>
      </c>
      <c r="M67" s="15" t="s">
        <v>39</v>
      </c>
      <c r="N67" s="16">
        <v>-0.25</v>
      </c>
      <c r="O67" s="16">
        <v>0.03</v>
      </c>
      <c r="P67" s="16">
        <v>0.03</v>
      </c>
      <c r="Q67" s="17">
        <v>45357.0</v>
      </c>
      <c r="R67" s="18">
        <v>4.25</v>
      </c>
      <c r="S67" s="15" t="s">
        <v>25</v>
      </c>
      <c r="T67" s="19">
        <f t="shared" si="1"/>
        <v>-0.03</v>
      </c>
      <c r="U67" s="19">
        <f t="shared" si="4"/>
        <v>-4.02705</v>
      </c>
      <c r="V67" s="41">
        <v>8.0</v>
      </c>
      <c r="W67" s="104" t="s">
        <v>977</v>
      </c>
      <c r="X67" s="102"/>
      <c r="Y67" s="103"/>
    </row>
    <row r="68">
      <c r="A68" s="8">
        <f t="shared" si="3"/>
        <v>67</v>
      </c>
      <c r="B68" s="8" t="s">
        <v>4225</v>
      </c>
      <c r="C68" s="8" t="s">
        <v>19</v>
      </c>
      <c r="D68" s="8">
        <v>68.0</v>
      </c>
      <c r="E68" s="8">
        <v>3.0</v>
      </c>
      <c r="F68" s="8" t="s">
        <v>4648</v>
      </c>
      <c r="G68" s="8" t="s">
        <v>5564</v>
      </c>
      <c r="H68" s="8" t="s">
        <v>2660</v>
      </c>
      <c r="I68" s="8">
        <v>0.0</v>
      </c>
      <c r="J68" s="8" t="s">
        <v>675</v>
      </c>
      <c r="K68" s="8" t="s">
        <v>22</v>
      </c>
      <c r="L68" s="8" t="s">
        <v>892</v>
      </c>
      <c r="M68" s="8" t="s">
        <v>24</v>
      </c>
      <c r="N68" s="9">
        <v>0.0</v>
      </c>
      <c r="O68" s="9">
        <v>0.5</v>
      </c>
      <c r="P68" s="9">
        <v>0.5</v>
      </c>
      <c r="Q68" s="10">
        <v>45358.0</v>
      </c>
      <c r="R68" s="11">
        <v>1.9</v>
      </c>
      <c r="S68" s="8" t="s">
        <v>33</v>
      </c>
      <c r="T68" s="12">
        <f t="shared" si="1"/>
        <v>0.45</v>
      </c>
      <c r="U68" s="12">
        <f t="shared" si="4"/>
        <v>-3.57705</v>
      </c>
      <c r="V68" s="41">
        <v>9.0</v>
      </c>
      <c r="W68" s="104" t="s">
        <v>979</v>
      </c>
      <c r="X68" s="102"/>
      <c r="Y68" s="103"/>
    </row>
    <row r="69">
      <c r="A69" s="15">
        <f t="shared" si="3"/>
        <v>68</v>
      </c>
      <c r="B69" s="15" t="s">
        <v>26</v>
      </c>
      <c r="C69" s="15" t="s">
        <v>19</v>
      </c>
      <c r="D69" s="15">
        <v>68.0</v>
      </c>
      <c r="E69" s="15">
        <v>3.0</v>
      </c>
      <c r="F69" s="15" t="s">
        <v>4648</v>
      </c>
      <c r="G69" s="15" t="s">
        <v>5564</v>
      </c>
      <c r="H69" s="15" t="s">
        <v>2660</v>
      </c>
      <c r="I69" s="15">
        <v>0.0</v>
      </c>
      <c r="J69" s="15" t="s">
        <v>675</v>
      </c>
      <c r="K69" s="15" t="s">
        <v>22</v>
      </c>
      <c r="L69" s="15" t="s">
        <v>892</v>
      </c>
      <c r="M69" s="15" t="s">
        <v>24</v>
      </c>
      <c r="N69" s="16">
        <v>0.0</v>
      </c>
      <c r="O69" s="16">
        <v>0.5</v>
      </c>
      <c r="P69" s="16">
        <v>0.5</v>
      </c>
      <c r="Q69" s="17">
        <v>45358.0</v>
      </c>
      <c r="R69" s="18">
        <v>1.9</v>
      </c>
      <c r="S69" s="15" t="s">
        <v>33</v>
      </c>
      <c r="T69" s="19">
        <f t="shared" si="1"/>
        <v>0.45</v>
      </c>
      <c r="U69" s="19">
        <f t="shared" si="4"/>
        <v>-3.12705</v>
      </c>
    </row>
    <row r="70">
      <c r="A70" s="8">
        <f t="shared" si="3"/>
        <v>69</v>
      </c>
      <c r="B70" s="8" t="s">
        <v>131</v>
      </c>
      <c r="C70" s="8" t="s">
        <v>40</v>
      </c>
      <c r="D70" s="8">
        <v>87.0</v>
      </c>
      <c r="E70" s="8">
        <v>7.0</v>
      </c>
      <c r="F70" s="8" t="s">
        <v>4649</v>
      </c>
      <c r="G70" s="8"/>
      <c r="H70" s="8"/>
      <c r="I70" s="8" t="s">
        <v>2868</v>
      </c>
      <c r="J70" s="8" t="s">
        <v>162</v>
      </c>
      <c r="K70" s="8" t="s">
        <v>22</v>
      </c>
      <c r="L70" s="8" t="s">
        <v>29</v>
      </c>
      <c r="M70" s="8" t="s">
        <v>24</v>
      </c>
      <c r="N70" s="9">
        <v>-10.5</v>
      </c>
      <c r="O70" s="9">
        <v>0.1</v>
      </c>
      <c r="P70" s="9">
        <v>0.1</v>
      </c>
      <c r="Q70" s="10">
        <v>45358.0</v>
      </c>
      <c r="R70" s="11">
        <v>1.8</v>
      </c>
      <c r="S70" s="8" t="s">
        <v>33</v>
      </c>
      <c r="T70" s="12">
        <f t="shared" si="1"/>
        <v>0.08</v>
      </c>
      <c r="U70" s="12">
        <f t="shared" si="4"/>
        <v>-3.04705</v>
      </c>
    </row>
    <row r="71">
      <c r="A71" s="15">
        <f t="shared" si="3"/>
        <v>70</v>
      </c>
      <c r="B71" s="15" t="s">
        <v>18</v>
      </c>
      <c r="C71" s="15" t="s">
        <v>19</v>
      </c>
      <c r="D71" s="15">
        <v>60.0</v>
      </c>
      <c r="E71" s="15">
        <v>3.0</v>
      </c>
      <c r="F71" s="15" t="s">
        <v>4650</v>
      </c>
      <c r="G71" s="15" t="s">
        <v>5564</v>
      </c>
      <c r="H71" s="15" t="s">
        <v>2660</v>
      </c>
      <c r="I71" s="15">
        <v>0.0</v>
      </c>
      <c r="J71" s="15" t="s">
        <v>659</v>
      </c>
      <c r="K71" s="15" t="s">
        <v>22</v>
      </c>
      <c r="L71" s="15" t="s">
        <v>892</v>
      </c>
      <c r="M71" s="15" t="s">
        <v>24</v>
      </c>
      <c r="N71" s="16">
        <v>0.0</v>
      </c>
      <c r="O71" s="16">
        <v>0.9</v>
      </c>
      <c r="P71" s="16">
        <v>0.9</v>
      </c>
      <c r="Q71" s="17">
        <v>45358.0</v>
      </c>
      <c r="R71" s="18">
        <v>1.8</v>
      </c>
      <c r="S71" s="15" t="s">
        <v>33</v>
      </c>
      <c r="T71" s="19">
        <f t="shared" si="1"/>
        <v>0.72</v>
      </c>
      <c r="U71" s="19">
        <f t="shared" si="4"/>
        <v>-2.32705</v>
      </c>
    </row>
    <row r="72">
      <c r="A72" s="8">
        <f t="shared" si="3"/>
        <v>71</v>
      </c>
      <c r="B72" s="8" t="s">
        <v>26</v>
      </c>
      <c r="C72" s="8" t="s">
        <v>40</v>
      </c>
      <c r="D72" s="8">
        <v>45.0</v>
      </c>
      <c r="E72" s="8"/>
      <c r="F72" s="8" t="s">
        <v>4651</v>
      </c>
      <c r="G72" s="8" t="s">
        <v>5565</v>
      </c>
      <c r="H72" s="8" t="s">
        <v>2556</v>
      </c>
      <c r="I72" s="8">
        <v>2</v>
      </c>
      <c r="J72" s="8" t="s">
        <v>187</v>
      </c>
      <c r="K72" s="8" t="s">
        <v>22</v>
      </c>
      <c r="L72" s="8" t="s">
        <v>1165</v>
      </c>
      <c r="M72" s="8" t="s">
        <v>24</v>
      </c>
      <c r="N72" s="9"/>
      <c r="O72" s="9">
        <v>0.1</v>
      </c>
      <c r="P72" s="9">
        <v>0.1</v>
      </c>
      <c r="Q72" s="10">
        <v>45358.0</v>
      </c>
      <c r="R72" s="11">
        <v>1.8</v>
      </c>
      <c r="S72" s="8" t="s">
        <v>25</v>
      </c>
      <c r="T72" s="12">
        <f t="shared" si="1"/>
        <v>-0.1</v>
      </c>
      <c r="U72" s="12">
        <f t="shared" si="4"/>
        <v>-2.42705</v>
      </c>
    </row>
    <row r="73">
      <c r="A73" s="15">
        <f t="shared" si="3"/>
        <v>72</v>
      </c>
      <c r="B73" s="15" t="s">
        <v>4225</v>
      </c>
      <c r="C73" s="15" t="s">
        <v>19</v>
      </c>
      <c r="D73" s="15">
        <v>0.0</v>
      </c>
      <c r="E73" s="15">
        <v>8.0</v>
      </c>
      <c r="F73" s="15" t="s">
        <v>4652</v>
      </c>
      <c r="G73" s="15" t="s">
        <v>5564</v>
      </c>
      <c r="H73" s="15" t="s">
        <v>4653</v>
      </c>
      <c r="I73" s="15">
        <v>0.0</v>
      </c>
      <c r="J73" s="15" t="s">
        <v>1961</v>
      </c>
      <c r="K73" s="15" t="s">
        <v>598</v>
      </c>
      <c r="L73" s="15" t="s">
        <v>894</v>
      </c>
      <c r="M73" s="15" t="s">
        <v>1851</v>
      </c>
      <c r="N73" s="16">
        <v>-1.0</v>
      </c>
      <c r="O73" s="16">
        <v>0.1</v>
      </c>
      <c r="P73" s="16">
        <v>0.1</v>
      </c>
      <c r="Q73" s="17">
        <v>45358.0</v>
      </c>
      <c r="R73" s="18">
        <v>2.03</v>
      </c>
      <c r="S73" s="15" t="s">
        <v>33</v>
      </c>
      <c r="T73" s="19">
        <f t="shared" si="1"/>
        <v>0.103</v>
      </c>
      <c r="U73" s="19">
        <f t="shared" si="4"/>
        <v>-2.32405</v>
      </c>
    </row>
    <row r="74">
      <c r="A74" s="8">
        <f t="shared" si="3"/>
        <v>73</v>
      </c>
      <c r="B74" s="8" t="s">
        <v>4225</v>
      </c>
      <c r="C74" s="8" t="s">
        <v>19</v>
      </c>
      <c r="D74" s="8">
        <v>65.0</v>
      </c>
      <c r="E74" s="8">
        <v>3.0</v>
      </c>
      <c r="F74" s="8" t="s">
        <v>4654</v>
      </c>
      <c r="G74" s="8" t="s">
        <v>5564</v>
      </c>
      <c r="H74" s="8" t="s">
        <v>2660</v>
      </c>
      <c r="I74" s="8">
        <v>-1.0</v>
      </c>
      <c r="J74" s="8" t="s">
        <v>106</v>
      </c>
      <c r="K74" s="8" t="s">
        <v>22</v>
      </c>
      <c r="L74" s="8" t="s">
        <v>892</v>
      </c>
      <c r="M74" s="8" t="s">
        <v>24</v>
      </c>
      <c r="N74" s="9">
        <v>0.0</v>
      </c>
      <c r="O74" s="9">
        <v>0.6</v>
      </c>
      <c r="P74" s="9">
        <v>0.6</v>
      </c>
      <c r="Q74" s="10">
        <v>45359.0</v>
      </c>
      <c r="R74" s="11">
        <v>2.05</v>
      </c>
      <c r="S74" s="8" t="s">
        <v>70</v>
      </c>
      <c r="T74" s="12">
        <f t="shared" si="1"/>
        <v>0</v>
      </c>
      <c r="U74" s="12">
        <f t="shared" si="4"/>
        <v>-2.32405</v>
      </c>
    </row>
    <row r="75">
      <c r="A75" s="15">
        <f t="shared" si="3"/>
        <v>74</v>
      </c>
      <c r="B75" s="15" t="s">
        <v>18</v>
      </c>
      <c r="C75" s="15" t="s">
        <v>19</v>
      </c>
      <c r="D75" s="15">
        <v>77.0</v>
      </c>
      <c r="E75" s="15">
        <v>2.0</v>
      </c>
      <c r="F75" s="15" t="s">
        <v>4655</v>
      </c>
      <c r="G75" s="15" t="s">
        <v>5564</v>
      </c>
      <c r="H75" s="15" t="s">
        <v>2556</v>
      </c>
      <c r="I75" s="15">
        <v>0.0</v>
      </c>
      <c r="J75" s="15" t="s">
        <v>1031</v>
      </c>
      <c r="K75" s="15" t="s">
        <v>22</v>
      </c>
      <c r="L75" s="15" t="s">
        <v>941</v>
      </c>
      <c r="M75" s="15" t="s">
        <v>24</v>
      </c>
      <c r="N75" s="16">
        <v>0.0</v>
      </c>
      <c r="O75" s="16">
        <v>0.2</v>
      </c>
      <c r="P75" s="16">
        <v>0.2</v>
      </c>
      <c r="Q75" s="17">
        <v>45359.0</v>
      </c>
      <c r="R75" s="18">
        <v>3.4</v>
      </c>
      <c r="S75" s="15" t="s">
        <v>70</v>
      </c>
      <c r="T75" s="19">
        <f t="shared" si="1"/>
        <v>0</v>
      </c>
      <c r="U75" s="19">
        <f t="shared" si="4"/>
        <v>-2.32405</v>
      </c>
    </row>
    <row r="76">
      <c r="A76" s="8">
        <f t="shared" si="3"/>
        <v>75</v>
      </c>
      <c r="B76" s="8" t="s">
        <v>4225</v>
      </c>
      <c r="C76" s="8" t="s">
        <v>19</v>
      </c>
      <c r="D76" s="8">
        <v>70.0</v>
      </c>
      <c r="E76" s="8">
        <v>3.0</v>
      </c>
      <c r="F76" s="8" t="s">
        <v>4656</v>
      </c>
      <c r="G76" s="8" t="s">
        <v>5565</v>
      </c>
      <c r="H76" s="8" t="s">
        <v>2660</v>
      </c>
      <c r="I76" s="8">
        <f>1</f>
        <v>1</v>
      </c>
      <c r="J76" s="8" t="s">
        <v>44</v>
      </c>
      <c r="K76" s="8" t="s">
        <v>22</v>
      </c>
      <c r="L76" s="8" t="s">
        <v>892</v>
      </c>
      <c r="M76" s="8" t="s">
        <v>24</v>
      </c>
      <c r="N76" s="9">
        <v>0.0</v>
      </c>
      <c r="O76" s="9">
        <v>0.8</v>
      </c>
      <c r="P76" s="9">
        <v>0.8</v>
      </c>
      <c r="Q76" s="10">
        <v>45359.0</v>
      </c>
      <c r="R76" s="11">
        <v>1.75</v>
      </c>
      <c r="S76" s="8" t="s">
        <v>70</v>
      </c>
      <c r="T76" s="12">
        <f t="shared" si="1"/>
        <v>0</v>
      </c>
      <c r="U76" s="12">
        <f t="shared" si="4"/>
        <v>-2.32405</v>
      </c>
    </row>
    <row r="77">
      <c r="A77" s="15">
        <f t="shared" si="3"/>
        <v>76</v>
      </c>
      <c r="B77" s="15" t="s">
        <v>131</v>
      </c>
      <c r="C77" s="15" t="s">
        <v>19</v>
      </c>
      <c r="D77" s="15">
        <v>0.0</v>
      </c>
      <c r="E77" s="15">
        <v>6.0</v>
      </c>
      <c r="F77" s="15" t="s">
        <v>4657</v>
      </c>
      <c r="G77" s="15"/>
      <c r="H77" s="15"/>
      <c r="I77" s="15">
        <v>0.0</v>
      </c>
      <c r="J77" s="15" t="s">
        <v>187</v>
      </c>
      <c r="K77" s="15" t="s">
        <v>598</v>
      </c>
      <c r="L77" s="15" t="s">
        <v>4658</v>
      </c>
      <c r="M77" s="15" t="s">
        <v>24</v>
      </c>
      <c r="N77" s="16"/>
      <c r="O77" s="16">
        <v>0.1</v>
      </c>
      <c r="P77" s="16">
        <v>0.089</v>
      </c>
      <c r="Q77" s="17">
        <v>45359.0</v>
      </c>
      <c r="R77" s="18">
        <v>4.0</v>
      </c>
      <c r="S77" s="15" t="s">
        <v>25</v>
      </c>
      <c r="T77" s="19">
        <f t="shared" si="1"/>
        <v>-0.089</v>
      </c>
      <c r="U77" s="19">
        <f t="shared" si="4"/>
        <v>-2.41305</v>
      </c>
    </row>
    <row r="78">
      <c r="A78" s="8">
        <f t="shared" si="3"/>
        <v>77</v>
      </c>
      <c r="B78" s="8" t="s">
        <v>26</v>
      </c>
      <c r="C78" s="8" t="s">
        <v>19</v>
      </c>
      <c r="D78" s="8">
        <v>35.0</v>
      </c>
      <c r="E78" s="8">
        <v>7.0</v>
      </c>
      <c r="F78" s="8" t="s">
        <v>4659</v>
      </c>
      <c r="G78" s="8" t="s">
        <v>5564</v>
      </c>
      <c r="H78" s="8" t="s">
        <v>2556</v>
      </c>
      <c r="I78" s="8">
        <v>0.0</v>
      </c>
      <c r="J78" s="8" t="s">
        <v>44</v>
      </c>
      <c r="K78" s="8" t="s">
        <v>22</v>
      </c>
      <c r="L78" s="8" t="s">
        <v>225</v>
      </c>
      <c r="M78" s="8" t="s">
        <v>24</v>
      </c>
      <c r="N78" s="9">
        <v>0.5</v>
      </c>
      <c r="O78" s="9">
        <v>0.2</v>
      </c>
      <c r="P78" s="9">
        <v>0.2</v>
      </c>
      <c r="Q78" s="10">
        <v>45359.0</v>
      </c>
      <c r="R78" s="11">
        <v>1.9</v>
      </c>
      <c r="S78" s="8" t="s">
        <v>25</v>
      </c>
      <c r="T78" s="12">
        <f t="shared" si="1"/>
        <v>-0.2</v>
      </c>
      <c r="U78" s="12">
        <f t="shared" si="4"/>
        <v>-2.61305</v>
      </c>
    </row>
    <row r="79">
      <c r="A79" s="15">
        <f t="shared" si="3"/>
        <v>78</v>
      </c>
      <c r="B79" s="15" t="s">
        <v>26</v>
      </c>
      <c r="C79" s="15" t="s">
        <v>19</v>
      </c>
      <c r="D79" s="15">
        <v>80.0</v>
      </c>
      <c r="E79" s="15"/>
      <c r="F79" s="15" t="s">
        <v>4660</v>
      </c>
      <c r="G79" s="15"/>
      <c r="H79" s="15"/>
      <c r="I79" s="15">
        <v>0.0</v>
      </c>
      <c r="J79" s="15" t="s">
        <v>187</v>
      </c>
      <c r="K79" s="15" t="s">
        <v>22</v>
      </c>
      <c r="L79" s="15" t="s">
        <v>440</v>
      </c>
      <c r="M79" s="15" t="s">
        <v>24</v>
      </c>
      <c r="N79" s="16">
        <v>0.5</v>
      </c>
      <c r="O79" s="16">
        <v>0.1</v>
      </c>
      <c r="P79" s="16">
        <v>0.1</v>
      </c>
      <c r="Q79" s="17">
        <v>45359.0</v>
      </c>
      <c r="R79" s="18">
        <v>2.42</v>
      </c>
      <c r="S79" s="15" t="s">
        <v>33</v>
      </c>
      <c r="T79" s="19">
        <f t="shared" si="1"/>
        <v>0.142</v>
      </c>
      <c r="U79" s="19">
        <f t="shared" si="4"/>
        <v>-2.47105</v>
      </c>
    </row>
    <row r="80">
      <c r="A80" s="8">
        <f t="shared" si="3"/>
        <v>79</v>
      </c>
      <c r="B80" s="8" t="s">
        <v>129</v>
      </c>
      <c r="C80" s="8" t="s">
        <v>19</v>
      </c>
      <c r="D80" s="8">
        <v>70.0</v>
      </c>
      <c r="E80" s="8">
        <v>3.0</v>
      </c>
      <c r="F80" s="8" t="s">
        <v>4661</v>
      </c>
      <c r="G80" s="8" t="s">
        <v>5565</v>
      </c>
      <c r="H80" s="8" t="s">
        <v>2660</v>
      </c>
      <c r="I80" s="8">
        <v>-1.0</v>
      </c>
      <c r="J80" s="8" t="s">
        <v>99</v>
      </c>
      <c r="K80" s="8" t="s">
        <v>22</v>
      </c>
      <c r="L80" s="8" t="s">
        <v>892</v>
      </c>
      <c r="M80" s="8" t="s">
        <v>24</v>
      </c>
      <c r="N80" s="9">
        <v>0.0</v>
      </c>
      <c r="O80" s="9">
        <v>0.6</v>
      </c>
      <c r="P80" s="9">
        <v>0.6</v>
      </c>
      <c r="Q80" s="10">
        <v>45360.0</v>
      </c>
      <c r="R80" s="11">
        <v>1.825</v>
      </c>
      <c r="S80" s="8" t="s">
        <v>70</v>
      </c>
      <c r="T80" s="12">
        <f t="shared" si="1"/>
        <v>0</v>
      </c>
      <c r="U80" s="12">
        <f t="shared" si="4"/>
        <v>-2.47105</v>
      </c>
    </row>
    <row r="81">
      <c r="A81" s="15">
        <f t="shared" si="3"/>
        <v>80</v>
      </c>
      <c r="B81" s="15" t="s">
        <v>18</v>
      </c>
      <c r="C81" s="15" t="s">
        <v>19</v>
      </c>
      <c r="D81" s="15">
        <v>70.0</v>
      </c>
      <c r="E81" s="15">
        <v>3.0</v>
      </c>
      <c r="F81" s="15" t="s">
        <v>4662</v>
      </c>
      <c r="G81" s="15" t="s">
        <v>5565</v>
      </c>
      <c r="H81" s="15" t="s">
        <v>2660</v>
      </c>
      <c r="I81" s="15">
        <v>-1.0</v>
      </c>
      <c r="J81" s="15" t="s">
        <v>487</v>
      </c>
      <c r="K81" s="15" t="s">
        <v>22</v>
      </c>
      <c r="L81" s="15" t="s">
        <v>892</v>
      </c>
      <c r="M81" s="15" t="s">
        <v>24</v>
      </c>
      <c r="N81" s="16">
        <v>0.0</v>
      </c>
      <c r="O81" s="16">
        <v>0.8</v>
      </c>
      <c r="P81" s="16">
        <v>0.8</v>
      </c>
      <c r="Q81" s="55">
        <v>45360.0</v>
      </c>
      <c r="R81" s="18">
        <v>1.9</v>
      </c>
      <c r="S81" s="15" t="s">
        <v>70</v>
      </c>
      <c r="T81" s="19">
        <f t="shared" si="1"/>
        <v>0</v>
      </c>
      <c r="U81" s="19">
        <f t="shared" si="4"/>
        <v>-2.47105</v>
      </c>
    </row>
    <row r="82">
      <c r="A82" s="8">
        <f t="shared" si="3"/>
        <v>81</v>
      </c>
      <c r="B82" s="8" t="s">
        <v>129</v>
      </c>
      <c r="C82" s="8" t="s">
        <v>40</v>
      </c>
      <c r="D82" s="8">
        <v>55.0</v>
      </c>
      <c r="E82" s="8">
        <v>2.0</v>
      </c>
      <c r="F82" s="8" t="s">
        <v>4663</v>
      </c>
      <c r="G82" s="8" t="s">
        <v>5565</v>
      </c>
      <c r="H82" s="8" t="s">
        <v>2556</v>
      </c>
      <c r="I82" s="8">
        <v>-1.0</v>
      </c>
      <c r="J82" s="8" t="s">
        <v>88</v>
      </c>
      <c r="K82" s="8" t="s">
        <v>22</v>
      </c>
      <c r="L82" s="8" t="s">
        <v>225</v>
      </c>
      <c r="M82" s="8" t="s">
        <v>24</v>
      </c>
      <c r="N82" s="9">
        <v>0.25</v>
      </c>
      <c r="O82" s="9">
        <v>0.2</v>
      </c>
      <c r="P82" s="9">
        <v>0.2</v>
      </c>
      <c r="Q82" s="54">
        <v>45360.0</v>
      </c>
      <c r="R82" s="11">
        <v>1.75</v>
      </c>
      <c r="S82" s="8" t="s">
        <v>30</v>
      </c>
      <c r="T82" s="12">
        <f t="shared" si="1"/>
        <v>0.075</v>
      </c>
      <c r="U82" s="12">
        <f t="shared" si="4"/>
        <v>-2.39605</v>
      </c>
    </row>
    <row r="83">
      <c r="A83" s="15">
        <f t="shared" si="3"/>
        <v>82</v>
      </c>
      <c r="B83" s="15" t="s">
        <v>26</v>
      </c>
      <c r="C83" s="15" t="s">
        <v>19</v>
      </c>
      <c r="D83" s="15">
        <v>75.0</v>
      </c>
      <c r="E83" s="15">
        <v>3.0</v>
      </c>
      <c r="F83" s="15" t="s">
        <v>4664</v>
      </c>
      <c r="G83" s="15" t="s">
        <v>5564</v>
      </c>
      <c r="H83" s="15" t="s">
        <v>2660</v>
      </c>
      <c r="I83" s="15">
        <f>1</f>
        <v>1</v>
      </c>
      <c r="J83" s="15" t="s">
        <v>448</v>
      </c>
      <c r="K83" s="15" t="s">
        <v>22</v>
      </c>
      <c r="L83" s="15" t="s">
        <v>892</v>
      </c>
      <c r="M83" s="15" t="s">
        <v>24</v>
      </c>
      <c r="N83" s="16">
        <v>0.0</v>
      </c>
      <c r="O83" s="16">
        <v>0.4</v>
      </c>
      <c r="P83" s="16">
        <v>0.4</v>
      </c>
      <c r="Q83" s="55">
        <v>45360.0</v>
      </c>
      <c r="R83" s="18">
        <v>1.875</v>
      </c>
      <c r="S83" s="15" t="s">
        <v>25</v>
      </c>
      <c r="T83" s="19">
        <f t="shared" si="1"/>
        <v>-0.4</v>
      </c>
      <c r="U83" s="19">
        <f t="shared" si="4"/>
        <v>-2.79605</v>
      </c>
    </row>
    <row r="84">
      <c r="A84" s="8">
        <f t="shared" si="3"/>
        <v>83</v>
      </c>
      <c r="B84" s="8" t="s">
        <v>26</v>
      </c>
      <c r="C84" s="8" t="s">
        <v>19</v>
      </c>
      <c r="D84" s="8">
        <v>75.0</v>
      </c>
      <c r="E84" s="8">
        <v>3.0</v>
      </c>
      <c r="F84" s="8" t="s">
        <v>4665</v>
      </c>
      <c r="G84" s="8" t="s">
        <v>5565</v>
      </c>
      <c r="H84" s="8" t="s">
        <v>2660</v>
      </c>
      <c r="I84" s="8">
        <v>-1.0</v>
      </c>
      <c r="J84" s="8" t="s">
        <v>448</v>
      </c>
      <c r="K84" s="8" t="s">
        <v>22</v>
      </c>
      <c r="L84" s="8" t="s">
        <v>892</v>
      </c>
      <c r="M84" s="8" t="s">
        <v>24</v>
      </c>
      <c r="N84" s="9">
        <v>0.0</v>
      </c>
      <c r="O84" s="9">
        <v>0.2</v>
      </c>
      <c r="P84" s="9">
        <v>0.2</v>
      </c>
      <c r="Q84" s="54">
        <v>45360.0</v>
      </c>
      <c r="R84" s="11">
        <v>1.925</v>
      </c>
      <c r="S84" s="8" t="s">
        <v>33</v>
      </c>
      <c r="T84" s="12">
        <f t="shared" si="1"/>
        <v>0.185</v>
      </c>
      <c r="U84" s="12">
        <f t="shared" si="4"/>
        <v>-2.61105</v>
      </c>
    </row>
    <row r="85">
      <c r="A85" s="15">
        <f t="shared" si="3"/>
        <v>84</v>
      </c>
      <c r="B85" s="15" t="s">
        <v>137</v>
      </c>
      <c r="C85" s="15" t="s">
        <v>19</v>
      </c>
      <c r="D85" s="15">
        <v>75.0</v>
      </c>
      <c r="E85" s="15">
        <v>3.0</v>
      </c>
      <c r="F85" s="15" t="s">
        <v>4666</v>
      </c>
      <c r="G85" s="15" t="s">
        <v>5565</v>
      </c>
      <c r="H85" s="15" t="s">
        <v>2660</v>
      </c>
      <c r="I85" s="15">
        <v>-2.0</v>
      </c>
      <c r="J85" s="15" t="s">
        <v>487</v>
      </c>
      <c r="K85" s="15" t="s">
        <v>22</v>
      </c>
      <c r="L85" s="15" t="s">
        <v>892</v>
      </c>
      <c r="M85" s="15" t="s">
        <v>24</v>
      </c>
      <c r="N85" s="16">
        <v>0.0</v>
      </c>
      <c r="O85" s="16">
        <v>0.6</v>
      </c>
      <c r="P85" s="16">
        <v>0.6</v>
      </c>
      <c r="Q85" s="17">
        <v>45360.0</v>
      </c>
      <c r="R85" s="18">
        <v>1.975</v>
      </c>
      <c r="S85" s="15" t="s">
        <v>33</v>
      </c>
      <c r="T85" s="19">
        <f t="shared" si="1"/>
        <v>0.585</v>
      </c>
      <c r="U85" s="19">
        <f t="shared" si="4"/>
        <v>-2.02605</v>
      </c>
    </row>
    <row r="86">
      <c r="A86" s="8">
        <f t="shared" si="3"/>
        <v>85</v>
      </c>
      <c r="B86" s="8" t="s">
        <v>18</v>
      </c>
      <c r="C86" s="8" t="s">
        <v>40</v>
      </c>
      <c r="D86" s="8">
        <v>40.0</v>
      </c>
      <c r="E86" s="8">
        <v>2.0</v>
      </c>
      <c r="F86" s="8" t="s">
        <v>4667</v>
      </c>
      <c r="G86" s="8" t="s">
        <v>5564</v>
      </c>
      <c r="H86" s="8" t="s">
        <v>2556</v>
      </c>
      <c r="I86" s="8">
        <v>-1.0</v>
      </c>
      <c r="J86" s="8" t="s">
        <v>873</v>
      </c>
      <c r="K86" s="8" t="s">
        <v>22</v>
      </c>
      <c r="L86" s="8" t="s">
        <v>225</v>
      </c>
      <c r="M86" s="8" t="s">
        <v>24</v>
      </c>
      <c r="N86" s="9">
        <v>0.5</v>
      </c>
      <c r="O86" s="9">
        <v>0.2</v>
      </c>
      <c r="P86" s="9">
        <v>0.2</v>
      </c>
      <c r="Q86" s="10">
        <v>45360.0</v>
      </c>
      <c r="R86" s="11">
        <v>1.85</v>
      </c>
      <c r="S86" s="8" t="s">
        <v>33</v>
      </c>
      <c r="T86" s="12">
        <f t="shared" si="1"/>
        <v>0.17</v>
      </c>
      <c r="U86" s="12">
        <f t="shared" si="4"/>
        <v>-1.85605</v>
      </c>
    </row>
    <row r="87">
      <c r="A87" s="15">
        <f t="shared" si="3"/>
        <v>86</v>
      </c>
      <c r="B87" s="15" t="s">
        <v>18</v>
      </c>
      <c r="C87" s="15" t="s">
        <v>40</v>
      </c>
      <c r="D87" s="15">
        <v>40.0</v>
      </c>
      <c r="E87" s="15"/>
      <c r="F87" s="15" t="s">
        <v>4668</v>
      </c>
      <c r="G87" s="15" t="s">
        <v>5565</v>
      </c>
      <c r="H87" s="15" t="s">
        <v>4669</v>
      </c>
      <c r="I87" s="15">
        <f>1</f>
        <v>1</v>
      </c>
      <c r="J87" s="15" t="s">
        <v>873</v>
      </c>
      <c r="K87" s="15" t="s">
        <v>22</v>
      </c>
      <c r="L87" s="15" t="s">
        <v>894</v>
      </c>
      <c r="M87" s="15" t="s">
        <v>24</v>
      </c>
      <c r="N87" s="16">
        <v>-1.0</v>
      </c>
      <c r="O87" s="16">
        <v>0.15</v>
      </c>
      <c r="P87" s="16">
        <v>0.15</v>
      </c>
      <c r="Q87" s="17">
        <v>45360.0</v>
      </c>
      <c r="R87" s="18">
        <v>2.5</v>
      </c>
      <c r="S87" s="15" t="s">
        <v>25</v>
      </c>
      <c r="T87" s="19">
        <f t="shared" si="1"/>
        <v>-0.15</v>
      </c>
      <c r="U87" s="19">
        <f t="shared" si="4"/>
        <v>-2.00605</v>
      </c>
    </row>
    <row r="88">
      <c r="A88" s="8">
        <f t="shared" si="3"/>
        <v>87</v>
      </c>
      <c r="B88" s="8" t="s">
        <v>4225</v>
      </c>
      <c r="C88" s="8" t="s">
        <v>19</v>
      </c>
      <c r="D88" s="8">
        <v>0.0</v>
      </c>
      <c r="E88" s="8">
        <v>8.0</v>
      </c>
      <c r="F88" s="8" t="s">
        <v>4670</v>
      </c>
      <c r="G88" s="8" t="s">
        <v>5564</v>
      </c>
      <c r="H88" s="8" t="s">
        <v>2556</v>
      </c>
      <c r="I88" s="8">
        <v>0.0</v>
      </c>
      <c r="J88" s="8" t="s">
        <v>448</v>
      </c>
      <c r="K88" s="8" t="s">
        <v>598</v>
      </c>
      <c r="L88" s="8" t="s">
        <v>1847</v>
      </c>
      <c r="M88" s="8" t="s">
        <v>24</v>
      </c>
      <c r="N88" s="9">
        <v>-0.5</v>
      </c>
      <c r="O88" s="9">
        <v>0.3</v>
      </c>
      <c r="P88" s="9">
        <v>0.3</v>
      </c>
      <c r="Q88" s="10">
        <v>45360.0</v>
      </c>
      <c r="R88" s="11">
        <v>1.733</v>
      </c>
      <c r="S88" s="8" t="s">
        <v>33</v>
      </c>
      <c r="T88" s="12">
        <f t="shared" si="1"/>
        <v>0.2199</v>
      </c>
      <c r="U88" s="12">
        <f t="shared" si="4"/>
        <v>-1.78615</v>
      </c>
    </row>
    <row r="89">
      <c r="A89" s="15">
        <f t="shared" si="3"/>
        <v>88</v>
      </c>
      <c r="B89" s="15" t="s">
        <v>26</v>
      </c>
      <c r="C89" s="15" t="s">
        <v>19</v>
      </c>
      <c r="D89" s="15">
        <v>73.0</v>
      </c>
      <c r="E89" s="15">
        <v>3.0</v>
      </c>
      <c r="F89" s="15" t="s">
        <v>4671</v>
      </c>
      <c r="G89" s="15" t="s">
        <v>5565</v>
      </c>
      <c r="H89" s="15" t="s">
        <v>2660</v>
      </c>
      <c r="I89" s="15">
        <v>-2.0</v>
      </c>
      <c r="J89" s="15" t="s">
        <v>229</v>
      </c>
      <c r="K89" s="15" t="s">
        <v>22</v>
      </c>
      <c r="L89" s="15" t="s">
        <v>892</v>
      </c>
      <c r="M89" s="15" t="s">
        <v>24</v>
      </c>
      <c r="N89" s="16">
        <v>0.0</v>
      </c>
      <c r="O89" s="16">
        <v>0.5</v>
      </c>
      <c r="P89" s="16">
        <v>0.425</v>
      </c>
      <c r="Q89" s="17">
        <v>45360.0</v>
      </c>
      <c r="R89" s="18">
        <v>1.925</v>
      </c>
      <c r="S89" s="15" t="s">
        <v>70</v>
      </c>
      <c r="T89" s="19">
        <f t="shared" si="1"/>
        <v>0</v>
      </c>
      <c r="U89" s="19">
        <f t="shared" si="4"/>
        <v>-1.78615</v>
      </c>
    </row>
    <row r="90">
      <c r="A90" s="8">
        <f t="shared" si="3"/>
        <v>89</v>
      </c>
      <c r="B90" s="8" t="s">
        <v>26</v>
      </c>
      <c r="C90" s="8" t="s">
        <v>40</v>
      </c>
      <c r="D90" s="8">
        <v>29.0</v>
      </c>
      <c r="E90" s="8">
        <v>2.0</v>
      </c>
      <c r="F90" s="8" t="s">
        <v>4672</v>
      </c>
      <c r="G90" s="8" t="s">
        <v>5564</v>
      </c>
      <c r="H90" s="8" t="s">
        <v>2556</v>
      </c>
      <c r="I90" s="8">
        <f>1</f>
        <v>1</v>
      </c>
      <c r="J90" s="8" t="s">
        <v>432</v>
      </c>
      <c r="K90" s="8" t="s">
        <v>22</v>
      </c>
      <c r="L90" s="8" t="s">
        <v>225</v>
      </c>
      <c r="M90" s="8" t="s">
        <v>24</v>
      </c>
      <c r="N90" s="9">
        <v>0.5</v>
      </c>
      <c r="O90" s="9">
        <v>0.7</v>
      </c>
      <c r="P90" s="9">
        <v>0.7</v>
      </c>
      <c r="Q90" s="10">
        <v>45360.0</v>
      </c>
      <c r="R90" s="11">
        <v>1.925</v>
      </c>
      <c r="S90" s="8" t="s">
        <v>33</v>
      </c>
      <c r="T90" s="12">
        <f t="shared" si="1"/>
        <v>0.6475</v>
      </c>
      <c r="U90" s="12">
        <f t="shared" si="4"/>
        <v>-1.13865</v>
      </c>
    </row>
    <row r="91">
      <c r="A91" s="15">
        <f t="shared" si="3"/>
        <v>90</v>
      </c>
      <c r="B91" s="15" t="s">
        <v>129</v>
      </c>
      <c r="C91" s="15" t="s">
        <v>19</v>
      </c>
      <c r="D91" s="15">
        <v>26.0</v>
      </c>
      <c r="E91" s="15">
        <v>3.0</v>
      </c>
      <c r="F91" s="15" t="s">
        <v>4673</v>
      </c>
      <c r="G91" s="15" t="s">
        <v>5564</v>
      </c>
      <c r="H91" s="15" t="s">
        <v>2556</v>
      </c>
      <c r="I91" s="15">
        <v>0.0</v>
      </c>
      <c r="J91" s="15" t="s">
        <v>1031</v>
      </c>
      <c r="K91" s="15" t="s">
        <v>22</v>
      </c>
      <c r="L91" s="15" t="s">
        <v>941</v>
      </c>
      <c r="M91" s="15" t="s">
        <v>24</v>
      </c>
      <c r="N91" s="16">
        <v>0.0</v>
      </c>
      <c r="O91" s="16">
        <v>1.0</v>
      </c>
      <c r="P91" s="16">
        <v>1.0</v>
      </c>
      <c r="Q91" s="17">
        <v>45360.0</v>
      </c>
      <c r="R91" s="18">
        <v>2.1</v>
      </c>
      <c r="S91" s="15" t="s">
        <v>33</v>
      </c>
      <c r="T91" s="19">
        <f t="shared" si="1"/>
        <v>1.1</v>
      </c>
      <c r="U91" s="19">
        <f t="shared" si="4"/>
        <v>-0.03865</v>
      </c>
    </row>
    <row r="92">
      <c r="A92" s="8">
        <f t="shared" si="3"/>
        <v>91</v>
      </c>
      <c r="B92" s="8" t="s">
        <v>26</v>
      </c>
      <c r="C92" s="8" t="s">
        <v>40</v>
      </c>
      <c r="D92" s="8">
        <v>74.0</v>
      </c>
      <c r="E92" s="8"/>
      <c r="F92" s="8" t="s">
        <v>4674</v>
      </c>
      <c r="G92" s="8" t="s">
        <v>5565</v>
      </c>
      <c r="H92" s="8" t="s">
        <v>2556</v>
      </c>
      <c r="I92" s="8">
        <v>-1.0</v>
      </c>
      <c r="J92" s="8" t="s">
        <v>432</v>
      </c>
      <c r="K92" s="8" t="s">
        <v>22</v>
      </c>
      <c r="L92" s="8" t="s">
        <v>1023</v>
      </c>
      <c r="M92" s="8" t="s">
        <v>24</v>
      </c>
      <c r="N92" s="9">
        <v>0.5</v>
      </c>
      <c r="O92" s="9">
        <v>0.1</v>
      </c>
      <c r="P92" s="9">
        <v>0.01363</v>
      </c>
      <c r="Q92" s="10">
        <v>45360.0</v>
      </c>
      <c r="R92" s="11">
        <v>4.5</v>
      </c>
      <c r="S92" s="8" t="s">
        <v>25</v>
      </c>
      <c r="T92" s="12">
        <f t="shared" si="1"/>
        <v>-0.01363</v>
      </c>
      <c r="U92" s="12">
        <f t="shared" si="4"/>
        <v>-0.05228</v>
      </c>
    </row>
    <row r="93">
      <c r="A93" s="15">
        <f t="shared" si="3"/>
        <v>92</v>
      </c>
      <c r="B93" s="15" t="s">
        <v>26</v>
      </c>
      <c r="C93" s="15" t="s">
        <v>40</v>
      </c>
      <c r="D93" s="15">
        <v>75.0</v>
      </c>
      <c r="E93" s="15"/>
      <c r="F93" s="15" t="s">
        <v>4675</v>
      </c>
      <c r="G93" s="15" t="s">
        <v>5565</v>
      </c>
      <c r="H93" s="15" t="s">
        <v>2556</v>
      </c>
      <c r="I93" s="15">
        <v>-1.0</v>
      </c>
      <c r="J93" s="15" t="s">
        <v>432</v>
      </c>
      <c r="K93" s="15" t="s">
        <v>22</v>
      </c>
      <c r="L93" s="15" t="s">
        <v>225</v>
      </c>
      <c r="M93" s="15" t="s">
        <v>24</v>
      </c>
      <c r="N93" s="16">
        <v>1.0</v>
      </c>
      <c r="O93" s="16">
        <v>0.1</v>
      </c>
      <c r="P93" s="16">
        <v>0.1</v>
      </c>
      <c r="Q93" s="17">
        <v>45360.0</v>
      </c>
      <c r="R93" s="18">
        <v>5.5</v>
      </c>
      <c r="S93" s="15" t="s">
        <v>25</v>
      </c>
      <c r="T93" s="19">
        <f t="shared" si="1"/>
        <v>-0.1</v>
      </c>
      <c r="U93" s="19">
        <f t="shared" si="4"/>
        <v>-0.15228</v>
      </c>
    </row>
    <row r="94">
      <c r="A94" s="8">
        <f t="shared" si="3"/>
        <v>93</v>
      </c>
      <c r="B94" s="8" t="s">
        <v>26</v>
      </c>
      <c r="C94" s="8" t="s">
        <v>40</v>
      </c>
      <c r="D94" s="8">
        <v>74.0</v>
      </c>
      <c r="E94" s="8">
        <v>3.0</v>
      </c>
      <c r="F94" s="8" t="s">
        <v>4676</v>
      </c>
      <c r="G94" s="8" t="s">
        <v>5564</v>
      </c>
      <c r="H94" s="8" t="s">
        <v>2660</v>
      </c>
      <c r="I94" s="8">
        <v>-2.0</v>
      </c>
      <c r="J94" s="8" t="s">
        <v>117</v>
      </c>
      <c r="K94" s="8" t="s">
        <v>22</v>
      </c>
      <c r="L94" s="8" t="s">
        <v>892</v>
      </c>
      <c r="M94" s="8" t="s">
        <v>1522</v>
      </c>
      <c r="N94" s="9">
        <v>0.0</v>
      </c>
      <c r="O94" s="9">
        <v>0.5</v>
      </c>
      <c r="P94" s="9">
        <v>0.5</v>
      </c>
      <c r="Q94" s="54">
        <v>45360.0</v>
      </c>
      <c r="R94" s="11">
        <v>1.9</v>
      </c>
      <c r="S94" s="8" t="s">
        <v>70</v>
      </c>
      <c r="T94" s="12">
        <f t="shared" si="1"/>
        <v>0</v>
      </c>
      <c r="U94" s="12">
        <f t="shared" si="4"/>
        <v>-0.15228</v>
      </c>
    </row>
    <row r="95">
      <c r="A95" s="15">
        <f t="shared" si="3"/>
        <v>94</v>
      </c>
      <c r="B95" s="15" t="s">
        <v>26</v>
      </c>
      <c r="C95" s="15" t="s">
        <v>19</v>
      </c>
      <c r="D95" s="15">
        <v>81.0</v>
      </c>
      <c r="E95" s="15">
        <v>3.0</v>
      </c>
      <c r="F95" s="15" t="s">
        <v>4677</v>
      </c>
      <c r="G95" s="15" t="s">
        <v>5564</v>
      </c>
      <c r="H95" s="15" t="s">
        <v>2660</v>
      </c>
      <c r="I95" s="15">
        <v>0.0</v>
      </c>
      <c r="J95" s="15" t="s">
        <v>66</v>
      </c>
      <c r="K95" s="15" t="s">
        <v>22</v>
      </c>
      <c r="L95" s="15" t="s">
        <v>892</v>
      </c>
      <c r="M95" s="15" t="s">
        <v>24</v>
      </c>
      <c r="N95" s="16">
        <v>0.0</v>
      </c>
      <c r="O95" s="16">
        <v>0.2</v>
      </c>
      <c r="P95" s="16">
        <v>0.2</v>
      </c>
      <c r="Q95" s="17">
        <v>45360.0</v>
      </c>
      <c r="R95" s="18">
        <v>1.775</v>
      </c>
      <c r="S95" s="15" t="s">
        <v>33</v>
      </c>
      <c r="T95" s="19">
        <f t="shared" si="1"/>
        <v>0.155</v>
      </c>
      <c r="U95" s="19">
        <f t="shared" si="4"/>
        <v>0.00272</v>
      </c>
    </row>
    <row r="96">
      <c r="A96" s="8">
        <f t="shared" si="3"/>
        <v>95</v>
      </c>
      <c r="B96" s="8" t="s">
        <v>137</v>
      </c>
      <c r="C96" s="8" t="s">
        <v>19</v>
      </c>
      <c r="D96" s="8">
        <v>16.0</v>
      </c>
      <c r="E96" s="8">
        <v>3.0</v>
      </c>
      <c r="F96" s="8" t="s">
        <v>4678</v>
      </c>
      <c r="G96" s="8" t="s">
        <v>5564</v>
      </c>
      <c r="H96" s="8" t="s">
        <v>2660</v>
      </c>
      <c r="I96" s="8">
        <v>0.0</v>
      </c>
      <c r="J96" s="8" t="s">
        <v>3017</v>
      </c>
      <c r="K96" s="8" t="s">
        <v>22</v>
      </c>
      <c r="L96" s="8" t="s">
        <v>892</v>
      </c>
      <c r="M96" s="8" t="s">
        <v>24</v>
      </c>
      <c r="N96" s="9">
        <v>0.0</v>
      </c>
      <c r="O96" s="9">
        <v>0.4</v>
      </c>
      <c r="P96" s="9">
        <v>0.4</v>
      </c>
      <c r="Q96" s="10">
        <v>45360.0</v>
      </c>
      <c r="R96" s="11">
        <v>1.825</v>
      </c>
      <c r="S96" s="8" t="s">
        <v>70</v>
      </c>
      <c r="T96" s="12">
        <f t="shared" si="1"/>
        <v>0</v>
      </c>
      <c r="U96" s="12">
        <f t="shared" si="4"/>
        <v>0.00272</v>
      </c>
    </row>
    <row r="97">
      <c r="A97" s="15">
        <f t="shared" si="3"/>
        <v>96</v>
      </c>
      <c r="B97" s="15" t="s">
        <v>137</v>
      </c>
      <c r="C97" s="15" t="s">
        <v>19</v>
      </c>
      <c r="D97" s="15">
        <v>20.0</v>
      </c>
      <c r="E97" s="15">
        <v>3.0</v>
      </c>
      <c r="F97" s="15" t="s">
        <v>4679</v>
      </c>
      <c r="G97" s="15" t="s">
        <v>5564</v>
      </c>
      <c r="H97" s="15" t="s">
        <v>2660</v>
      </c>
      <c r="I97" s="15">
        <v>0.0</v>
      </c>
      <c r="J97" s="15" t="s">
        <v>3017</v>
      </c>
      <c r="K97" s="15" t="s">
        <v>22</v>
      </c>
      <c r="L97" s="15" t="s">
        <v>4584</v>
      </c>
      <c r="M97" s="15" t="s">
        <v>24</v>
      </c>
      <c r="N97" s="16">
        <v>0.0</v>
      </c>
      <c r="O97" s="16">
        <v>0.4</v>
      </c>
      <c r="P97" s="16">
        <v>0.4</v>
      </c>
      <c r="Q97" s="17">
        <v>45360.0</v>
      </c>
      <c r="R97" s="18">
        <v>1.85</v>
      </c>
      <c r="S97" s="15" t="s">
        <v>33</v>
      </c>
      <c r="T97" s="19">
        <f t="shared" si="1"/>
        <v>0.34</v>
      </c>
      <c r="U97" s="19">
        <f t="shared" si="4"/>
        <v>0.34272</v>
      </c>
    </row>
    <row r="98">
      <c r="A98" s="8">
        <f t="shared" si="3"/>
        <v>97</v>
      </c>
      <c r="B98" s="8" t="s">
        <v>129</v>
      </c>
      <c r="C98" s="8" t="s">
        <v>19</v>
      </c>
      <c r="D98" s="8">
        <v>61.0</v>
      </c>
      <c r="E98" s="8">
        <v>3.0</v>
      </c>
      <c r="F98" s="8" t="s">
        <v>4680</v>
      </c>
      <c r="G98" s="8" t="s">
        <v>5564</v>
      </c>
      <c r="H98" s="8" t="s">
        <v>2660</v>
      </c>
      <c r="I98" s="8">
        <v>0.0</v>
      </c>
      <c r="J98" s="8" t="s">
        <v>248</v>
      </c>
      <c r="K98" s="8" t="s">
        <v>22</v>
      </c>
      <c r="L98" s="8" t="s">
        <v>892</v>
      </c>
      <c r="M98" s="8" t="s">
        <v>24</v>
      </c>
      <c r="N98" s="9">
        <v>0.0</v>
      </c>
      <c r="O98" s="9">
        <v>0.35</v>
      </c>
      <c r="P98" s="9">
        <v>0.35</v>
      </c>
      <c r="Q98" s="54">
        <v>45360.0</v>
      </c>
      <c r="R98" s="11">
        <v>1.7</v>
      </c>
      <c r="S98" s="8" t="s">
        <v>70</v>
      </c>
      <c r="T98" s="12">
        <f t="shared" si="1"/>
        <v>0</v>
      </c>
      <c r="U98" s="12">
        <f t="shared" si="4"/>
        <v>0.34272</v>
      </c>
    </row>
    <row r="99">
      <c r="A99" s="15">
        <f t="shared" si="3"/>
        <v>98</v>
      </c>
      <c r="B99" s="15" t="s">
        <v>137</v>
      </c>
      <c r="C99" s="15" t="s">
        <v>19</v>
      </c>
      <c r="D99" s="15">
        <v>69.0</v>
      </c>
      <c r="E99" s="15"/>
      <c r="F99" s="15" t="s">
        <v>4681</v>
      </c>
      <c r="G99" s="15" t="s">
        <v>5565</v>
      </c>
      <c r="H99" s="15" t="s">
        <v>2556</v>
      </c>
      <c r="I99" s="15">
        <v>-1.0</v>
      </c>
      <c r="J99" s="15" t="s">
        <v>3017</v>
      </c>
      <c r="K99" s="15" t="s">
        <v>22</v>
      </c>
      <c r="L99" s="15" t="s">
        <v>1023</v>
      </c>
      <c r="M99" s="15" t="s">
        <v>24</v>
      </c>
      <c r="N99" s="16">
        <v>0.5</v>
      </c>
      <c r="O99" s="16">
        <v>0.15</v>
      </c>
      <c r="P99" s="16">
        <v>0.0784090909</v>
      </c>
      <c r="Q99" s="17">
        <v>45360.0</v>
      </c>
      <c r="R99" s="18">
        <v>4.0</v>
      </c>
      <c r="S99" s="15" t="s">
        <v>33</v>
      </c>
      <c r="T99" s="19">
        <f t="shared" si="1"/>
        <v>0.2352272727</v>
      </c>
      <c r="U99" s="19">
        <f t="shared" si="4"/>
        <v>0.5779472727</v>
      </c>
    </row>
    <row r="100">
      <c r="A100" s="8">
        <f t="shared" si="3"/>
        <v>99</v>
      </c>
      <c r="B100" s="8" t="s">
        <v>26</v>
      </c>
      <c r="C100" s="8" t="s">
        <v>19</v>
      </c>
      <c r="D100" s="8">
        <v>70.0</v>
      </c>
      <c r="E100" s="8">
        <v>3.0</v>
      </c>
      <c r="F100" s="8" t="s">
        <v>4682</v>
      </c>
      <c r="G100" s="8" t="s">
        <v>5564</v>
      </c>
      <c r="H100" s="8" t="s">
        <v>2660</v>
      </c>
      <c r="I100" s="8">
        <v>-1.0</v>
      </c>
      <c r="J100" s="8" t="s">
        <v>487</v>
      </c>
      <c r="K100" s="8" t="s">
        <v>22</v>
      </c>
      <c r="L100" s="8" t="s">
        <v>892</v>
      </c>
      <c r="M100" s="8" t="s">
        <v>24</v>
      </c>
      <c r="N100" s="9">
        <v>0.0</v>
      </c>
      <c r="O100" s="9">
        <v>0.6</v>
      </c>
      <c r="P100" s="9">
        <v>0.6</v>
      </c>
      <c r="Q100" s="10">
        <v>45361.0</v>
      </c>
      <c r="R100" s="11">
        <f>(1.9+1.9+1.7)/3</f>
        <v>1.833333333</v>
      </c>
      <c r="S100" s="8" t="s">
        <v>33</v>
      </c>
      <c r="T100" s="12">
        <f t="shared" si="1"/>
        <v>0.5</v>
      </c>
      <c r="U100" s="12">
        <f t="shared" si="4"/>
        <v>1.077947273</v>
      </c>
    </row>
    <row r="101">
      <c r="A101" s="15">
        <f t="shared" si="3"/>
        <v>100</v>
      </c>
      <c r="B101" s="15" t="s">
        <v>129</v>
      </c>
      <c r="C101" s="15" t="s">
        <v>19</v>
      </c>
      <c r="D101" s="15">
        <v>70.0</v>
      </c>
      <c r="E101" s="15">
        <v>3.0</v>
      </c>
      <c r="F101" s="15" t="s">
        <v>4683</v>
      </c>
      <c r="G101" s="15" t="s">
        <v>5565</v>
      </c>
      <c r="H101" s="15" t="s">
        <v>2660</v>
      </c>
      <c r="I101" s="15">
        <v>-1.0</v>
      </c>
      <c r="J101" s="15" t="s">
        <v>101</v>
      </c>
      <c r="K101" s="15" t="s">
        <v>22</v>
      </c>
      <c r="L101" s="15" t="s">
        <v>892</v>
      </c>
      <c r="M101" s="15" t="s">
        <v>24</v>
      </c>
      <c r="N101" s="16">
        <v>0.0</v>
      </c>
      <c r="O101" s="16">
        <v>0.4</v>
      </c>
      <c r="P101" s="16">
        <v>0.4</v>
      </c>
      <c r="Q101" s="17">
        <v>45361.0</v>
      </c>
      <c r="R101" s="18">
        <v>2.02</v>
      </c>
      <c r="S101" s="15" t="s">
        <v>25</v>
      </c>
      <c r="T101" s="19">
        <f t="shared" si="1"/>
        <v>-0.4</v>
      </c>
      <c r="U101" s="19">
        <f t="shared" si="4"/>
        <v>0.6779472727</v>
      </c>
    </row>
    <row r="102">
      <c r="A102" s="8">
        <f t="shared" si="3"/>
        <v>101</v>
      </c>
      <c r="B102" s="8" t="s">
        <v>26</v>
      </c>
      <c r="C102" s="8" t="s">
        <v>19</v>
      </c>
      <c r="D102" s="8">
        <v>34.0</v>
      </c>
      <c r="E102" s="8">
        <v>3.0</v>
      </c>
      <c r="F102" s="8" t="s">
        <v>4684</v>
      </c>
      <c r="G102" s="8" t="s">
        <v>5565</v>
      </c>
      <c r="H102" s="8" t="s">
        <v>2660</v>
      </c>
      <c r="I102" s="8">
        <f>1</f>
        <v>1</v>
      </c>
      <c r="J102" s="8" t="s">
        <v>93</v>
      </c>
      <c r="K102" s="8" t="s">
        <v>22</v>
      </c>
      <c r="L102" s="8" t="s">
        <v>4584</v>
      </c>
      <c r="M102" s="8" t="s">
        <v>24</v>
      </c>
      <c r="N102" s="9">
        <v>0.0</v>
      </c>
      <c r="O102" s="9">
        <v>0.6</v>
      </c>
      <c r="P102" s="9">
        <v>0.6</v>
      </c>
      <c r="Q102" s="10">
        <v>45361.0</v>
      </c>
      <c r="R102" s="11">
        <v>1.7</v>
      </c>
      <c r="S102" s="8" t="s">
        <v>70</v>
      </c>
      <c r="T102" s="12">
        <f t="shared" si="1"/>
        <v>0</v>
      </c>
      <c r="U102" s="12">
        <f t="shared" si="4"/>
        <v>0.6779472727</v>
      </c>
    </row>
    <row r="103">
      <c r="A103" s="15">
        <f t="shared" si="3"/>
        <v>102</v>
      </c>
      <c r="B103" s="15" t="s">
        <v>26</v>
      </c>
      <c r="C103" s="15" t="s">
        <v>40</v>
      </c>
      <c r="D103" s="15">
        <v>62.0</v>
      </c>
      <c r="E103" s="15">
        <v>6.0</v>
      </c>
      <c r="F103" s="15" t="s">
        <v>4685</v>
      </c>
      <c r="G103" s="15" t="s">
        <v>5564</v>
      </c>
      <c r="H103" s="15" t="s">
        <v>4669</v>
      </c>
      <c r="I103" s="15">
        <v>0.0</v>
      </c>
      <c r="J103" s="15" t="s">
        <v>93</v>
      </c>
      <c r="K103" s="15" t="s">
        <v>22</v>
      </c>
      <c r="L103" s="15" t="s">
        <v>894</v>
      </c>
      <c r="M103" s="15" t="s">
        <v>1522</v>
      </c>
      <c r="N103" s="16">
        <v>-0.75</v>
      </c>
      <c r="O103" s="16">
        <v>0.2</v>
      </c>
      <c r="P103" s="16">
        <v>0.2</v>
      </c>
      <c r="Q103" s="17">
        <v>45361.0</v>
      </c>
      <c r="R103" s="18">
        <v>1.95</v>
      </c>
      <c r="S103" s="15" t="s">
        <v>30</v>
      </c>
      <c r="T103" s="19">
        <f t="shared" si="1"/>
        <v>0.095</v>
      </c>
      <c r="U103" s="19">
        <f t="shared" si="4"/>
        <v>0.7729472727</v>
      </c>
    </row>
    <row r="104">
      <c r="A104" s="8">
        <f t="shared" si="3"/>
        <v>103</v>
      </c>
      <c r="B104" s="8" t="s">
        <v>129</v>
      </c>
      <c r="C104" s="8" t="s">
        <v>19</v>
      </c>
      <c r="D104" s="8">
        <v>37.0</v>
      </c>
      <c r="E104" s="8">
        <v>3.0</v>
      </c>
      <c r="F104" s="8" t="s">
        <v>4686</v>
      </c>
      <c r="G104" s="8" t="s">
        <v>5565</v>
      </c>
      <c r="H104" s="8" t="s">
        <v>2660</v>
      </c>
      <c r="I104" s="8">
        <v>0.0</v>
      </c>
      <c r="J104" s="8" t="s">
        <v>93</v>
      </c>
      <c r="K104" s="8" t="s">
        <v>22</v>
      </c>
      <c r="L104" s="8" t="s">
        <v>4584</v>
      </c>
      <c r="M104" s="8" t="s">
        <v>24</v>
      </c>
      <c r="N104" s="9">
        <v>0.0</v>
      </c>
      <c r="O104" s="9">
        <v>0.2</v>
      </c>
      <c r="P104" s="9">
        <v>0.2</v>
      </c>
      <c r="Q104" s="10">
        <v>45361.0</v>
      </c>
      <c r="R104" s="11">
        <v>1.675</v>
      </c>
      <c r="S104" s="8" t="s">
        <v>70</v>
      </c>
      <c r="T104" s="12">
        <f t="shared" si="1"/>
        <v>0</v>
      </c>
      <c r="U104" s="12">
        <f t="shared" si="4"/>
        <v>0.7729472727</v>
      </c>
    </row>
    <row r="105">
      <c r="A105" s="15">
        <f t="shared" si="3"/>
        <v>104</v>
      </c>
      <c r="B105" s="15" t="s">
        <v>129</v>
      </c>
      <c r="C105" s="15" t="s">
        <v>19</v>
      </c>
      <c r="D105" s="15">
        <v>28.0</v>
      </c>
      <c r="E105" s="15">
        <v>3.0</v>
      </c>
      <c r="F105" s="15" t="s">
        <v>4687</v>
      </c>
      <c r="G105" s="15" t="s">
        <v>5565</v>
      </c>
      <c r="H105" s="15" t="s">
        <v>2660</v>
      </c>
      <c r="I105" s="15">
        <v>0.0</v>
      </c>
      <c r="J105" s="15" t="s">
        <v>231</v>
      </c>
      <c r="K105" s="15" t="s">
        <v>22</v>
      </c>
      <c r="L105" s="15" t="s">
        <v>892</v>
      </c>
      <c r="M105" s="15" t="s">
        <v>24</v>
      </c>
      <c r="N105" s="16">
        <v>0.0</v>
      </c>
      <c r="O105" s="16">
        <v>0.8</v>
      </c>
      <c r="P105" s="16">
        <v>0.8</v>
      </c>
      <c r="Q105" s="17">
        <v>45361.0</v>
      </c>
      <c r="R105" s="18">
        <v>1.7</v>
      </c>
      <c r="S105" s="15" t="s">
        <v>70</v>
      </c>
      <c r="T105" s="19">
        <f t="shared" si="1"/>
        <v>0</v>
      </c>
      <c r="U105" s="19">
        <f t="shared" si="4"/>
        <v>0.7729472727</v>
      </c>
    </row>
    <row r="106">
      <c r="A106" s="8">
        <f t="shared" si="3"/>
        <v>105</v>
      </c>
      <c r="B106" s="8" t="s">
        <v>129</v>
      </c>
      <c r="C106" s="8" t="s">
        <v>19</v>
      </c>
      <c r="D106" s="8">
        <v>70.0</v>
      </c>
      <c r="E106" s="8">
        <v>3.0</v>
      </c>
      <c r="F106" s="8" t="s">
        <v>4688</v>
      </c>
      <c r="G106" s="8" t="s">
        <v>5565</v>
      </c>
      <c r="H106" s="8" t="s">
        <v>2660</v>
      </c>
      <c r="I106" s="8">
        <v>0.0</v>
      </c>
      <c r="J106" s="8" t="s">
        <v>99</v>
      </c>
      <c r="K106" s="8" t="s">
        <v>22</v>
      </c>
      <c r="L106" s="8" t="s">
        <v>892</v>
      </c>
      <c r="M106" s="8" t="s">
        <v>24</v>
      </c>
      <c r="N106" s="9">
        <v>0.0</v>
      </c>
      <c r="O106" s="9">
        <v>0.4</v>
      </c>
      <c r="P106" s="9">
        <v>0.4</v>
      </c>
      <c r="Q106" s="54">
        <v>45361.0</v>
      </c>
      <c r="R106" s="11">
        <v>1.65</v>
      </c>
      <c r="S106" s="8" t="s">
        <v>70</v>
      </c>
      <c r="T106" s="12">
        <f t="shared" si="1"/>
        <v>0</v>
      </c>
      <c r="U106" s="12">
        <f t="shared" si="4"/>
        <v>0.7729472727</v>
      </c>
    </row>
    <row r="107">
      <c r="A107" s="15">
        <f t="shared" si="3"/>
        <v>106</v>
      </c>
      <c r="B107" s="15" t="s">
        <v>129</v>
      </c>
      <c r="C107" s="15" t="s">
        <v>40</v>
      </c>
      <c r="D107" s="15">
        <v>74.0</v>
      </c>
      <c r="E107" s="15">
        <v>7.0</v>
      </c>
      <c r="F107" s="15" t="s">
        <v>4689</v>
      </c>
      <c r="G107" s="15" t="s">
        <v>5564</v>
      </c>
      <c r="H107" s="15" t="s">
        <v>2556</v>
      </c>
      <c r="I107" s="15">
        <v>-2.0</v>
      </c>
      <c r="J107" s="15" t="s">
        <v>316</v>
      </c>
      <c r="K107" s="15" t="s">
        <v>22</v>
      </c>
      <c r="L107" s="15" t="s">
        <v>225</v>
      </c>
      <c r="M107" s="15" t="s">
        <v>24</v>
      </c>
      <c r="N107" s="16">
        <v>0.5</v>
      </c>
      <c r="O107" s="16">
        <v>0.6</v>
      </c>
      <c r="P107" s="16">
        <v>0.4363</v>
      </c>
      <c r="Q107" s="17">
        <v>45361.0</v>
      </c>
      <c r="R107" s="18">
        <v>1.75</v>
      </c>
      <c r="S107" s="15" t="s">
        <v>25</v>
      </c>
      <c r="T107" s="19">
        <f t="shared" si="1"/>
        <v>-0.4363</v>
      </c>
      <c r="U107" s="19">
        <f t="shared" si="4"/>
        <v>0.3366472727</v>
      </c>
    </row>
    <row r="108">
      <c r="A108" s="8">
        <f t="shared" si="3"/>
        <v>107</v>
      </c>
      <c r="B108" s="8" t="s">
        <v>18</v>
      </c>
      <c r="C108" s="8" t="s">
        <v>19</v>
      </c>
      <c r="D108" s="8">
        <v>55.0</v>
      </c>
      <c r="E108" s="8">
        <v>3.0</v>
      </c>
      <c r="F108" s="8" t="s">
        <v>4690</v>
      </c>
      <c r="G108" s="8" t="s">
        <v>5564</v>
      </c>
      <c r="H108" s="8" t="s">
        <v>2660</v>
      </c>
      <c r="I108" s="8">
        <f>1</f>
        <v>1</v>
      </c>
      <c r="J108" s="8" t="s">
        <v>99</v>
      </c>
      <c r="K108" s="8" t="s">
        <v>22</v>
      </c>
      <c r="L108" s="8" t="s">
        <v>892</v>
      </c>
      <c r="M108" s="8" t="s">
        <v>24</v>
      </c>
      <c r="N108" s="9">
        <v>0.0</v>
      </c>
      <c r="O108" s="9">
        <v>0.6</v>
      </c>
      <c r="P108" s="9">
        <v>0.6</v>
      </c>
      <c r="Q108" s="10">
        <v>45361.0</v>
      </c>
      <c r="R108" s="11">
        <v>1.725</v>
      </c>
      <c r="S108" s="8" t="s">
        <v>70</v>
      </c>
      <c r="T108" s="12">
        <f t="shared" si="1"/>
        <v>0</v>
      </c>
      <c r="U108" s="12">
        <f t="shared" si="4"/>
        <v>0.3366472727</v>
      </c>
    </row>
    <row r="109">
      <c r="A109" s="15">
        <f t="shared" si="3"/>
        <v>108</v>
      </c>
      <c r="B109" s="15" t="s">
        <v>18</v>
      </c>
      <c r="C109" s="15" t="s">
        <v>19</v>
      </c>
      <c r="D109" s="15">
        <v>25.0</v>
      </c>
      <c r="E109" s="15">
        <v>6.0</v>
      </c>
      <c r="F109" s="15" t="s">
        <v>4691</v>
      </c>
      <c r="G109" s="15" t="s">
        <v>5564</v>
      </c>
      <c r="H109" s="15" t="s">
        <v>2556</v>
      </c>
      <c r="I109" s="15">
        <v>0.0</v>
      </c>
      <c r="J109" s="15" t="s">
        <v>82</v>
      </c>
      <c r="K109" s="15" t="s">
        <v>22</v>
      </c>
      <c r="L109" s="15" t="s">
        <v>225</v>
      </c>
      <c r="M109" s="15" t="s">
        <v>1522</v>
      </c>
      <c r="N109" s="16">
        <v>0.25</v>
      </c>
      <c r="O109" s="16">
        <v>0.6</v>
      </c>
      <c r="P109" s="16">
        <v>0.5545</v>
      </c>
      <c r="Q109" s="17">
        <v>45361.0</v>
      </c>
      <c r="R109" s="18">
        <v>1.775</v>
      </c>
      <c r="S109" s="15" t="s">
        <v>30</v>
      </c>
      <c r="T109" s="19">
        <f t="shared" si="1"/>
        <v>0.21486875</v>
      </c>
      <c r="U109" s="19">
        <f t="shared" si="4"/>
        <v>0.5515160227</v>
      </c>
    </row>
    <row r="110">
      <c r="A110" s="8">
        <f t="shared" si="3"/>
        <v>109</v>
      </c>
      <c r="B110" s="8" t="s">
        <v>129</v>
      </c>
      <c r="C110" s="8" t="s">
        <v>19</v>
      </c>
      <c r="D110" s="8">
        <v>30.0</v>
      </c>
      <c r="E110" s="8">
        <v>2.0</v>
      </c>
      <c r="F110" s="8" t="s">
        <v>4692</v>
      </c>
      <c r="G110" s="8" t="s">
        <v>5564</v>
      </c>
      <c r="H110" s="8" t="s">
        <v>2660</v>
      </c>
      <c r="I110" s="8">
        <v>0.0</v>
      </c>
      <c r="J110" s="8" t="s">
        <v>48</v>
      </c>
      <c r="K110" s="8" t="s">
        <v>22</v>
      </c>
      <c r="L110" s="8" t="s">
        <v>4584</v>
      </c>
      <c r="M110" s="8" t="s">
        <v>24</v>
      </c>
      <c r="N110" s="9">
        <v>0.0</v>
      </c>
      <c r="O110" s="9">
        <v>0.2</v>
      </c>
      <c r="P110" s="9">
        <v>0.07272</v>
      </c>
      <c r="Q110" s="10">
        <v>45361.0</v>
      </c>
      <c r="R110" s="11">
        <v>2.25</v>
      </c>
      <c r="S110" s="8" t="s">
        <v>33</v>
      </c>
      <c r="T110" s="12">
        <f t="shared" si="1"/>
        <v>0.0909</v>
      </c>
      <c r="U110" s="12">
        <f t="shared" si="4"/>
        <v>0.6424160227</v>
      </c>
    </row>
    <row r="111">
      <c r="A111" s="15">
        <f t="shared" si="3"/>
        <v>110</v>
      </c>
      <c r="B111" s="15" t="s">
        <v>26</v>
      </c>
      <c r="C111" s="15" t="s">
        <v>19</v>
      </c>
      <c r="D111" s="15">
        <v>67.0</v>
      </c>
      <c r="E111" s="15">
        <v>1.0</v>
      </c>
      <c r="F111" s="15" t="s">
        <v>4693</v>
      </c>
      <c r="G111" s="15" t="s">
        <v>5565</v>
      </c>
      <c r="H111" s="15" t="s">
        <v>2660</v>
      </c>
      <c r="I111" s="15">
        <v>-3.0</v>
      </c>
      <c r="J111" s="15" t="s">
        <v>99</v>
      </c>
      <c r="K111" s="15" t="s">
        <v>22</v>
      </c>
      <c r="L111" s="15" t="s">
        <v>892</v>
      </c>
      <c r="M111" s="15" t="s">
        <v>24</v>
      </c>
      <c r="N111" s="16">
        <v>0.0</v>
      </c>
      <c r="O111" s="16">
        <v>0.6</v>
      </c>
      <c r="P111" s="16">
        <v>0.6</v>
      </c>
      <c r="Q111" s="17">
        <v>45361.0</v>
      </c>
      <c r="R111" s="18">
        <v>1.8</v>
      </c>
      <c r="S111" s="15" t="s">
        <v>70</v>
      </c>
      <c r="T111" s="19">
        <f t="shared" si="1"/>
        <v>0</v>
      </c>
      <c r="U111" s="19">
        <f t="shared" si="4"/>
        <v>0.6424160227</v>
      </c>
    </row>
    <row r="112">
      <c r="A112" s="8">
        <f t="shared" si="3"/>
        <v>111</v>
      </c>
      <c r="B112" s="8" t="s">
        <v>129</v>
      </c>
      <c r="C112" s="8" t="s">
        <v>19</v>
      </c>
      <c r="D112" s="8">
        <v>75.0</v>
      </c>
      <c r="E112" s="8">
        <v>3.0</v>
      </c>
      <c r="F112" s="8" t="s">
        <v>4694</v>
      </c>
      <c r="G112" s="8" t="s">
        <v>5564</v>
      </c>
      <c r="H112" s="8" t="s">
        <v>2660</v>
      </c>
      <c r="I112" s="8">
        <v>-1.0</v>
      </c>
      <c r="J112" s="8" t="s">
        <v>2116</v>
      </c>
      <c r="K112" s="8" t="s">
        <v>22</v>
      </c>
      <c r="L112" s="8" t="s">
        <v>892</v>
      </c>
      <c r="M112" s="8" t="s">
        <v>24</v>
      </c>
      <c r="N112" s="9">
        <v>0.0</v>
      </c>
      <c r="O112" s="9">
        <v>0.6</v>
      </c>
      <c r="P112" s="9">
        <v>0.6</v>
      </c>
      <c r="Q112" s="10">
        <v>45361.0</v>
      </c>
      <c r="R112" s="11">
        <v>1.95</v>
      </c>
      <c r="S112" s="8" t="s">
        <v>70</v>
      </c>
      <c r="T112" s="12">
        <f t="shared" si="1"/>
        <v>0</v>
      </c>
      <c r="U112" s="12">
        <f t="shared" si="4"/>
        <v>0.6424160227</v>
      </c>
    </row>
    <row r="113">
      <c r="A113" s="15">
        <f t="shared" si="3"/>
        <v>112</v>
      </c>
      <c r="B113" s="15" t="s">
        <v>18</v>
      </c>
      <c r="C113" s="15" t="s">
        <v>19</v>
      </c>
      <c r="D113" s="15">
        <v>75.0</v>
      </c>
      <c r="E113" s="15">
        <v>3.0</v>
      </c>
      <c r="F113" s="15" t="s">
        <v>4695</v>
      </c>
      <c r="G113" s="15" t="s">
        <v>5565</v>
      </c>
      <c r="H113" s="15" t="s">
        <v>2660</v>
      </c>
      <c r="I113" s="15">
        <v>0.0</v>
      </c>
      <c r="J113" s="15" t="s">
        <v>82</v>
      </c>
      <c r="K113" s="15" t="s">
        <v>22</v>
      </c>
      <c r="L113" s="15" t="s">
        <v>892</v>
      </c>
      <c r="M113" s="15" t="s">
        <v>24</v>
      </c>
      <c r="N113" s="16">
        <v>0.0</v>
      </c>
      <c r="O113" s="16">
        <v>0.2</v>
      </c>
      <c r="P113" s="16">
        <v>0.2</v>
      </c>
      <c r="Q113" s="17">
        <v>45361.0</v>
      </c>
      <c r="R113" s="18">
        <v>2.35</v>
      </c>
      <c r="S113" s="15" t="s">
        <v>70</v>
      </c>
      <c r="T113" s="19">
        <f t="shared" si="1"/>
        <v>0</v>
      </c>
      <c r="U113" s="19">
        <f t="shared" si="4"/>
        <v>0.6424160227</v>
      </c>
    </row>
    <row r="114">
      <c r="A114" s="8">
        <f t="shared" si="3"/>
        <v>113</v>
      </c>
      <c r="B114" s="8" t="s">
        <v>129</v>
      </c>
      <c r="C114" s="8" t="s">
        <v>19</v>
      </c>
      <c r="D114" s="8">
        <v>75.0</v>
      </c>
      <c r="E114" s="8">
        <v>3.0</v>
      </c>
      <c r="F114" s="8" t="s">
        <v>4696</v>
      </c>
      <c r="G114" s="8" t="s">
        <v>5564</v>
      </c>
      <c r="H114" s="8" t="s">
        <v>2660</v>
      </c>
      <c r="I114" s="8">
        <v>0.0</v>
      </c>
      <c r="J114" s="8" t="s">
        <v>624</v>
      </c>
      <c r="K114" s="8" t="s">
        <v>22</v>
      </c>
      <c r="L114" s="8" t="s">
        <v>892</v>
      </c>
      <c r="M114" s="8" t="s">
        <v>24</v>
      </c>
      <c r="N114" s="9">
        <v>0.0</v>
      </c>
      <c r="O114" s="9">
        <v>0.75</v>
      </c>
      <c r="P114" s="9">
        <v>0.75</v>
      </c>
      <c r="Q114" s="10">
        <v>45361.0</v>
      </c>
      <c r="R114" s="11">
        <v>1.775</v>
      </c>
      <c r="S114" s="8" t="s">
        <v>25</v>
      </c>
      <c r="T114" s="12">
        <f t="shared" si="1"/>
        <v>-0.75</v>
      </c>
      <c r="U114" s="12">
        <f t="shared" si="4"/>
        <v>-0.1075839773</v>
      </c>
    </row>
    <row r="115">
      <c r="A115" s="15">
        <f t="shared" si="3"/>
        <v>114</v>
      </c>
      <c r="B115" s="15" t="s">
        <v>26</v>
      </c>
      <c r="C115" s="15" t="s">
        <v>40</v>
      </c>
      <c r="D115" s="15">
        <v>86.0</v>
      </c>
      <c r="E115" s="15">
        <v>7.0</v>
      </c>
      <c r="F115" s="15" t="s">
        <v>4697</v>
      </c>
      <c r="G115" s="15"/>
      <c r="H115" s="15"/>
      <c r="I115" s="15" t="s">
        <v>2868</v>
      </c>
      <c r="J115" s="15" t="s">
        <v>187</v>
      </c>
      <c r="K115" s="15" t="s">
        <v>22</v>
      </c>
      <c r="L115" s="15" t="s">
        <v>29</v>
      </c>
      <c r="M115" s="15" t="s">
        <v>24</v>
      </c>
      <c r="N115" s="16">
        <v>-4.5</v>
      </c>
      <c r="O115" s="16">
        <v>0.4</v>
      </c>
      <c r="P115" s="16">
        <v>0.4</v>
      </c>
      <c r="Q115" s="17">
        <v>45361.0</v>
      </c>
      <c r="R115" s="18">
        <v>1.9</v>
      </c>
      <c r="S115" s="15" t="s">
        <v>25</v>
      </c>
      <c r="T115" s="19">
        <f t="shared" si="1"/>
        <v>-0.4</v>
      </c>
      <c r="U115" s="19">
        <f t="shared" si="4"/>
        <v>-0.5075839773</v>
      </c>
    </row>
    <row r="116">
      <c r="A116" s="8">
        <f t="shared" si="3"/>
        <v>115</v>
      </c>
      <c r="B116" s="8" t="s">
        <v>26</v>
      </c>
      <c r="C116" s="8" t="s">
        <v>19</v>
      </c>
      <c r="D116" s="8">
        <v>64.0</v>
      </c>
      <c r="E116" s="8">
        <v>3.0</v>
      </c>
      <c r="F116" s="8" t="s">
        <v>4698</v>
      </c>
      <c r="G116" s="8" t="s">
        <v>5565</v>
      </c>
      <c r="H116" s="8" t="s">
        <v>2660</v>
      </c>
      <c r="I116" s="8">
        <v>0.0</v>
      </c>
      <c r="J116" s="8" t="s">
        <v>50</v>
      </c>
      <c r="K116" s="8" t="s">
        <v>22</v>
      </c>
      <c r="L116" s="8" t="s">
        <v>892</v>
      </c>
      <c r="M116" s="8" t="s">
        <v>24</v>
      </c>
      <c r="N116" s="9">
        <v>0.0</v>
      </c>
      <c r="O116" s="9">
        <v>1.0</v>
      </c>
      <c r="P116" s="9">
        <v>1.0</v>
      </c>
      <c r="Q116" s="10">
        <v>45361.0</v>
      </c>
      <c r="R116" s="11">
        <v>1.75</v>
      </c>
      <c r="S116" s="8" t="s">
        <v>70</v>
      </c>
      <c r="T116" s="12">
        <f t="shared" si="1"/>
        <v>0</v>
      </c>
      <c r="U116" s="12">
        <f t="shared" si="4"/>
        <v>-0.5075839773</v>
      </c>
    </row>
    <row r="117">
      <c r="A117" s="15">
        <f t="shared" si="3"/>
        <v>116</v>
      </c>
      <c r="B117" s="15" t="s">
        <v>26</v>
      </c>
      <c r="C117" s="15" t="s">
        <v>40</v>
      </c>
      <c r="D117" s="15">
        <v>80.0</v>
      </c>
      <c r="E117" s="15">
        <v>6.0</v>
      </c>
      <c r="F117" s="15" t="s">
        <v>4699</v>
      </c>
      <c r="G117" s="15" t="s">
        <v>5564</v>
      </c>
      <c r="H117" s="15" t="s">
        <v>2660</v>
      </c>
      <c r="I117" s="15">
        <v>-1.0</v>
      </c>
      <c r="J117" s="15" t="s">
        <v>93</v>
      </c>
      <c r="K117" s="15" t="s">
        <v>22</v>
      </c>
      <c r="L117" s="15" t="s">
        <v>892</v>
      </c>
      <c r="M117" s="15" t="s">
        <v>1522</v>
      </c>
      <c r="N117" s="16">
        <v>0.0</v>
      </c>
      <c r="O117" s="16">
        <v>0.4</v>
      </c>
      <c r="P117" s="16">
        <v>0.4</v>
      </c>
      <c r="Q117" s="17">
        <v>45361.0</v>
      </c>
      <c r="R117" s="18">
        <v>1.88</v>
      </c>
      <c r="S117" s="15" t="s">
        <v>70</v>
      </c>
      <c r="T117" s="19">
        <f t="shared" si="1"/>
        <v>0</v>
      </c>
      <c r="U117" s="19">
        <f t="shared" si="4"/>
        <v>-0.5075839773</v>
      </c>
    </row>
    <row r="118">
      <c r="A118" s="8">
        <f t="shared" si="3"/>
        <v>117</v>
      </c>
      <c r="B118" s="8" t="s">
        <v>18</v>
      </c>
      <c r="C118" s="8" t="s">
        <v>40</v>
      </c>
      <c r="D118" s="8">
        <v>57.0</v>
      </c>
      <c r="E118" s="8">
        <v>2.0</v>
      </c>
      <c r="F118" s="8" t="s">
        <v>4700</v>
      </c>
      <c r="G118" s="8" t="s">
        <v>5564</v>
      </c>
      <c r="H118" s="8" t="s">
        <v>2556</v>
      </c>
      <c r="I118" s="8">
        <v>2</v>
      </c>
      <c r="J118" s="8" t="s">
        <v>93</v>
      </c>
      <c r="K118" s="8" t="s">
        <v>22</v>
      </c>
      <c r="L118" s="8" t="s">
        <v>225</v>
      </c>
      <c r="M118" s="8" t="s">
        <v>24</v>
      </c>
      <c r="N118" s="9">
        <v>0.5</v>
      </c>
      <c r="O118" s="9">
        <v>0.5</v>
      </c>
      <c r="P118" s="9">
        <v>0.5</v>
      </c>
      <c r="Q118" s="10">
        <v>45361.0</v>
      </c>
      <c r="R118" s="11">
        <v>1.75</v>
      </c>
      <c r="S118" s="8" t="s">
        <v>33</v>
      </c>
      <c r="T118" s="12">
        <f t="shared" si="1"/>
        <v>0.375</v>
      </c>
      <c r="U118" s="12">
        <f t="shared" si="4"/>
        <v>-0.1325839773</v>
      </c>
    </row>
    <row r="119">
      <c r="A119" s="15">
        <f t="shared" si="3"/>
        <v>118</v>
      </c>
      <c r="B119" s="15" t="s">
        <v>26</v>
      </c>
      <c r="C119" s="15" t="s">
        <v>19</v>
      </c>
      <c r="D119" s="15">
        <v>0.0</v>
      </c>
      <c r="E119" s="15">
        <v>0.0</v>
      </c>
      <c r="F119" s="15" t="s">
        <v>4701</v>
      </c>
      <c r="G119" s="15"/>
      <c r="H119" s="15"/>
      <c r="I119" s="15"/>
      <c r="J119" s="15" t="s">
        <v>82</v>
      </c>
      <c r="K119" s="15" t="s">
        <v>598</v>
      </c>
      <c r="L119" s="15" t="s">
        <v>2415</v>
      </c>
      <c r="M119" s="15" t="s">
        <v>24</v>
      </c>
      <c r="N119" s="16">
        <v>10.5</v>
      </c>
      <c r="O119" s="16">
        <v>0.25</v>
      </c>
      <c r="P119" s="16">
        <v>0.25</v>
      </c>
      <c r="Q119" s="17">
        <v>45361.0</v>
      </c>
      <c r="R119" s="18">
        <v>1.725</v>
      </c>
      <c r="S119" s="15" t="s">
        <v>25</v>
      </c>
      <c r="T119" s="19">
        <f t="shared" si="1"/>
        <v>-0.25</v>
      </c>
      <c r="U119" s="19">
        <f t="shared" si="4"/>
        <v>-0.3825839773</v>
      </c>
    </row>
    <row r="120">
      <c r="A120" s="8">
        <f t="shared" si="3"/>
        <v>119</v>
      </c>
      <c r="B120" s="8" t="s">
        <v>129</v>
      </c>
      <c r="C120" s="8" t="s">
        <v>19</v>
      </c>
      <c r="D120" s="8">
        <v>73.0</v>
      </c>
      <c r="E120" s="8">
        <v>3.0</v>
      </c>
      <c r="F120" s="8" t="s">
        <v>4702</v>
      </c>
      <c r="G120" s="8" t="s">
        <v>5564</v>
      </c>
      <c r="H120" s="8" t="s">
        <v>2660</v>
      </c>
      <c r="I120" s="8">
        <v>-1.0</v>
      </c>
      <c r="J120" s="8" t="s">
        <v>487</v>
      </c>
      <c r="K120" s="8" t="s">
        <v>22</v>
      </c>
      <c r="L120" s="8" t="s">
        <v>892</v>
      </c>
      <c r="M120" s="8" t="s">
        <v>24</v>
      </c>
      <c r="N120" s="9">
        <v>0.0</v>
      </c>
      <c r="O120" s="9">
        <v>0.6</v>
      </c>
      <c r="P120" s="9">
        <v>0.6</v>
      </c>
      <c r="Q120" s="10">
        <v>45363.0</v>
      </c>
      <c r="R120" s="11">
        <v>1.825</v>
      </c>
      <c r="S120" s="8" t="s">
        <v>25</v>
      </c>
      <c r="T120" s="12">
        <f t="shared" si="1"/>
        <v>-0.6</v>
      </c>
      <c r="U120" s="12">
        <f t="shared" si="4"/>
        <v>-0.9825839773</v>
      </c>
    </row>
    <row r="121">
      <c r="A121" s="15">
        <f t="shared" si="3"/>
        <v>120</v>
      </c>
      <c r="B121" s="15" t="s">
        <v>18</v>
      </c>
      <c r="C121" s="15" t="s">
        <v>19</v>
      </c>
      <c r="D121" s="15">
        <v>61.0</v>
      </c>
      <c r="E121" s="15">
        <v>2.0</v>
      </c>
      <c r="F121" s="15" t="s">
        <v>4703</v>
      </c>
      <c r="G121" s="15" t="s">
        <v>5565</v>
      </c>
      <c r="H121" s="15" t="s">
        <v>2660</v>
      </c>
      <c r="I121" s="15">
        <v>-2.0</v>
      </c>
      <c r="J121" s="15" t="s">
        <v>172</v>
      </c>
      <c r="K121" s="15" t="s">
        <v>22</v>
      </c>
      <c r="L121" s="15" t="s">
        <v>892</v>
      </c>
      <c r="M121" s="15" t="s">
        <v>24</v>
      </c>
      <c r="N121" s="16">
        <v>0.0</v>
      </c>
      <c r="O121" s="16">
        <v>0.2</v>
      </c>
      <c r="P121" s="16">
        <v>0.0432</v>
      </c>
      <c r="Q121" s="17">
        <v>45363.0</v>
      </c>
      <c r="R121" s="18">
        <v>2.05</v>
      </c>
      <c r="S121" s="15" t="s">
        <v>33</v>
      </c>
      <c r="T121" s="19">
        <f t="shared" si="1"/>
        <v>0.04536</v>
      </c>
      <c r="U121" s="19">
        <f t="shared" si="4"/>
        <v>-0.9372239773</v>
      </c>
    </row>
    <row r="122">
      <c r="A122" s="8">
        <f t="shared" si="3"/>
        <v>121</v>
      </c>
      <c r="B122" s="8" t="s">
        <v>18</v>
      </c>
      <c r="C122" s="8" t="s">
        <v>19</v>
      </c>
      <c r="D122" s="8">
        <v>68.0</v>
      </c>
      <c r="E122" s="8">
        <v>2.0</v>
      </c>
      <c r="F122" s="8" t="s">
        <v>4703</v>
      </c>
      <c r="G122" s="8" t="s">
        <v>5565</v>
      </c>
      <c r="H122" s="8" t="s">
        <v>2660</v>
      </c>
      <c r="I122" s="8">
        <v>-1.0</v>
      </c>
      <c r="J122" s="8" t="s">
        <v>172</v>
      </c>
      <c r="K122" s="8" t="s">
        <v>22</v>
      </c>
      <c r="L122" s="8" t="s">
        <v>892</v>
      </c>
      <c r="M122" s="8" t="s">
        <v>24</v>
      </c>
      <c r="N122" s="9">
        <v>0.0</v>
      </c>
      <c r="O122" s="9">
        <v>0.8</v>
      </c>
      <c r="P122" s="9">
        <v>0.8</v>
      </c>
      <c r="Q122" s="10">
        <v>45363.0</v>
      </c>
      <c r="R122" s="11">
        <v>1.7</v>
      </c>
      <c r="S122" s="8" t="s">
        <v>70</v>
      </c>
      <c r="T122" s="12">
        <f t="shared" si="1"/>
        <v>0</v>
      </c>
      <c r="U122" s="12">
        <f t="shared" si="4"/>
        <v>-0.9372239773</v>
      </c>
    </row>
    <row r="123">
      <c r="A123" s="15">
        <f t="shared" si="3"/>
        <v>122</v>
      </c>
      <c r="B123" s="15" t="s">
        <v>26</v>
      </c>
      <c r="C123" s="15" t="s">
        <v>19</v>
      </c>
      <c r="D123" s="15">
        <v>70.0</v>
      </c>
      <c r="E123" s="15">
        <v>3.0</v>
      </c>
      <c r="F123" s="15" t="s">
        <v>4704</v>
      </c>
      <c r="G123" s="15" t="s">
        <v>5564</v>
      </c>
      <c r="H123" s="15" t="s">
        <v>2660</v>
      </c>
      <c r="I123" s="15">
        <v>-2.0</v>
      </c>
      <c r="J123" s="15" t="s">
        <v>316</v>
      </c>
      <c r="K123" s="15" t="s">
        <v>22</v>
      </c>
      <c r="L123" s="15" t="s">
        <v>892</v>
      </c>
      <c r="M123" s="15" t="s">
        <v>24</v>
      </c>
      <c r="N123" s="16">
        <v>0.0</v>
      </c>
      <c r="O123" s="16">
        <v>0.8</v>
      </c>
      <c r="P123" s="16">
        <v>0.8</v>
      </c>
      <c r="Q123" s="17">
        <v>45363.0</v>
      </c>
      <c r="R123" s="18">
        <v>1.75</v>
      </c>
      <c r="S123" s="15" t="s">
        <v>70</v>
      </c>
      <c r="T123" s="19">
        <f t="shared" si="1"/>
        <v>0</v>
      </c>
      <c r="U123" s="19">
        <f t="shared" si="4"/>
        <v>-0.9372239773</v>
      </c>
    </row>
    <row r="124">
      <c r="A124" s="8">
        <f t="shared" si="3"/>
        <v>123</v>
      </c>
      <c r="B124" s="8" t="s">
        <v>137</v>
      </c>
      <c r="C124" s="8" t="s">
        <v>19</v>
      </c>
      <c r="D124" s="8">
        <v>82.0</v>
      </c>
      <c r="E124" s="8">
        <v>3.0</v>
      </c>
      <c r="F124" s="8" t="s">
        <v>4705</v>
      </c>
      <c r="G124" s="8" t="s">
        <v>5564</v>
      </c>
      <c r="H124" s="8" t="s">
        <v>2660</v>
      </c>
      <c r="I124" s="8">
        <v>-1.0</v>
      </c>
      <c r="J124" s="8" t="s">
        <v>675</v>
      </c>
      <c r="K124" s="8" t="s">
        <v>22</v>
      </c>
      <c r="L124" s="8" t="s">
        <v>892</v>
      </c>
      <c r="M124" s="8" t="s">
        <v>24</v>
      </c>
      <c r="N124" s="9">
        <v>0.0</v>
      </c>
      <c r="O124" s="9">
        <v>0.2</v>
      </c>
      <c r="P124" s="9">
        <v>0.2</v>
      </c>
      <c r="Q124" s="54">
        <v>45364.0</v>
      </c>
      <c r="R124" s="11">
        <v>1.7</v>
      </c>
      <c r="S124" s="8" t="s">
        <v>70</v>
      </c>
      <c r="T124" s="12">
        <f t="shared" si="1"/>
        <v>0</v>
      </c>
      <c r="U124" s="12">
        <f t="shared" si="4"/>
        <v>-0.9372239773</v>
      </c>
    </row>
    <row r="125">
      <c r="A125" s="15">
        <f t="shared" si="3"/>
        <v>124</v>
      </c>
      <c r="B125" s="15" t="s">
        <v>26</v>
      </c>
      <c r="C125" s="15" t="s">
        <v>19</v>
      </c>
      <c r="D125" s="15">
        <v>83.0</v>
      </c>
      <c r="E125" s="15">
        <v>3.0</v>
      </c>
      <c r="F125" s="15" t="s">
        <v>4706</v>
      </c>
      <c r="G125" s="15" t="s">
        <v>5564</v>
      </c>
      <c r="H125" s="15" t="s">
        <v>2660</v>
      </c>
      <c r="I125" s="15">
        <v>-1.0</v>
      </c>
      <c r="J125" s="15" t="s">
        <v>525</v>
      </c>
      <c r="K125" s="15" t="s">
        <v>22</v>
      </c>
      <c r="L125" s="15" t="s">
        <v>892</v>
      </c>
      <c r="M125" s="15" t="s">
        <v>24</v>
      </c>
      <c r="N125" s="16">
        <v>0.0</v>
      </c>
      <c r="O125" s="16">
        <v>1.0</v>
      </c>
      <c r="P125" s="16">
        <v>1.0</v>
      </c>
      <c r="Q125" s="17">
        <v>45364.0</v>
      </c>
      <c r="R125" s="18">
        <v>1.95</v>
      </c>
      <c r="S125" s="15" t="s">
        <v>70</v>
      </c>
      <c r="T125" s="19">
        <f t="shared" si="1"/>
        <v>0</v>
      </c>
      <c r="U125" s="19">
        <f t="shared" si="4"/>
        <v>-0.9372239773</v>
      </c>
    </row>
    <row r="126">
      <c r="A126" s="8">
        <f t="shared" si="3"/>
        <v>125</v>
      </c>
      <c r="B126" s="8" t="s">
        <v>26</v>
      </c>
      <c r="C126" s="8" t="s">
        <v>19</v>
      </c>
      <c r="D126" s="8">
        <v>55.0</v>
      </c>
      <c r="E126" s="8">
        <v>5.0</v>
      </c>
      <c r="F126" s="8" t="s">
        <v>4707</v>
      </c>
      <c r="G126" s="8" t="s">
        <v>5565</v>
      </c>
      <c r="H126" s="8" t="s">
        <v>4653</v>
      </c>
      <c r="I126" s="8">
        <v>-1.0</v>
      </c>
      <c r="J126" s="8" t="s">
        <v>191</v>
      </c>
      <c r="K126" s="8" t="s">
        <v>22</v>
      </c>
      <c r="L126" s="8" t="s">
        <v>894</v>
      </c>
      <c r="M126" s="8" t="s">
        <v>24</v>
      </c>
      <c r="N126" s="9">
        <v>-0.5</v>
      </c>
      <c r="O126" s="9">
        <v>0.5</v>
      </c>
      <c r="P126" s="9">
        <v>0.5</v>
      </c>
      <c r="Q126" s="10">
        <v>45364.0</v>
      </c>
      <c r="R126" s="11">
        <v>1.9</v>
      </c>
      <c r="S126" s="8" t="s">
        <v>25</v>
      </c>
      <c r="T126" s="12">
        <f t="shared" si="1"/>
        <v>-0.5</v>
      </c>
      <c r="U126" s="12">
        <f t="shared" si="4"/>
        <v>-1.437223977</v>
      </c>
    </row>
    <row r="127">
      <c r="A127" s="15">
        <f t="shared" si="3"/>
        <v>126</v>
      </c>
      <c r="B127" s="15" t="s">
        <v>26</v>
      </c>
      <c r="C127" s="15" t="s">
        <v>19</v>
      </c>
      <c r="D127" s="15">
        <v>76.0</v>
      </c>
      <c r="E127" s="15">
        <v>3.0</v>
      </c>
      <c r="F127" s="15" t="s">
        <v>4708</v>
      </c>
      <c r="G127" s="15" t="s">
        <v>5565</v>
      </c>
      <c r="H127" s="15" t="s">
        <v>2660</v>
      </c>
      <c r="I127" s="15">
        <v>-2.0</v>
      </c>
      <c r="J127" s="15" t="s">
        <v>316</v>
      </c>
      <c r="K127" s="15" t="s">
        <v>22</v>
      </c>
      <c r="L127" s="15" t="s">
        <v>892</v>
      </c>
      <c r="M127" s="15" t="s">
        <v>24</v>
      </c>
      <c r="N127" s="16">
        <v>0.0</v>
      </c>
      <c r="O127" s="16">
        <v>0.75</v>
      </c>
      <c r="P127" s="16">
        <v>0.75</v>
      </c>
      <c r="Q127" s="55">
        <v>45364.0</v>
      </c>
      <c r="R127" s="18">
        <v>1.75</v>
      </c>
      <c r="S127" s="15" t="s">
        <v>25</v>
      </c>
      <c r="T127" s="19">
        <f t="shared" si="1"/>
        <v>-0.75</v>
      </c>
      <c r="U127" s="19">
        <f t="shared" si="4"/>
        <v>-2.187223977</v>
      </c>
    </row>
    <row r="128">
      <c r="A128" s="8">
        <f t="shared" si="3"/>
        <v>127</v>
      </c>
      <c r="B128" s="8" t="s">
        <v>18</v>
      </c>
      <c r="C128" s="8" t="s">
        <v>19</v>
      </c>
      <c r="D128" s="8">
        <v>55.0</v>
      </c>
      <c r="E128" s="8">
        <v>2.0</v>
      </c>
      <c r="F128" s="8" t="s">
        <v>4709</v>
      </c>
      <c r="G128" s="8" t="s">
        <v>5564</v>
      </c>
      <c r="H128" s="8" t="s">
        <v>2556</v>
      </c>
      <c r="I128" s="8">
        <v>0.0</v>
      </c>
      <c r="J128" s="8" t="s">
        <v>93</v>
      </c>
      <c r="K128" s="8" t="s">
        <v>22</v>
      </c>
      <c r="L128" s="8" t="s">
        <v>225</v>
      </c>
      <c r="M128" s="8" t="s">
        <v>24</v>
      </c>
      <c r="N128" s="9">
        <v>0.25</v>
      </c>
      <c r="O128" s="9">
        <v>1.0</v>
      </c>
      <c r="P128" s="9">
        <v>1.0</v>
      </c>
      <c r="Q128" s="10">
        <v>45364.0</v>
      </c>
      <c r="R128" s="11">
        <v>1.75</v>
      </c>
      <c r="S128" s="8" t="s">
        <v>30</v>
      </c>
      <c r="T128" s="12">
        <f t="shared" si="1"/>
        <v>0.375</v>
      </c>
      <c r="U128" s="12">
        <f t="shared" si="4"/>
        <v>-1.812223977</v>
      </c>
    </row>
    <row r="129">
      <c r="A129" s="15">
        <f t="shared" si="3"/>
        <v>128</v>
      </c>
      <c r="B129" s="15" t="s">
        <v>26</v>
      </c>
      <c r="C129" s="15" t="s">
        <v>19</v>
      </c>
      <c r="D129" s="15">
        <v>81.0</v>
      </c>
      <c r="E129" s="15">
        <v>3.0</v>
      </c>
      <c r="F129" s="15" t="s">
        <v>4710</v>
      </c>
      <c r="G129" s="15" t="s">
        <v>5565</v>
      </c>
      <c r="H129" s="15" t="s">
        <v>2660</v>
      </c>
      <c r="I129" s="15">
        <v>-1.0</v>
      </c>
      <c r="J129" s="15" t="s">
        <v>82</v>
      </c>
      <c r="K129" s="15" t="s">
        <v>22</v>
      </c>
      <c r="L129" s="15" t="s">
        <v>892</v>
      </c>
      <c r="M129" s="15" t="s">
        <v>24</v>
      </c>
      <c r="N129" s="16">
        <v>0.0</v>
      </c>
      <c r="O129" s="16">
        <v>1.0</v>
      </c>
      <c r="P129" s="16">
        <v>1.0</v>
      </c>
      <c r="Q129" s="17">
        <v>45364.0</v>
      </c>
      <c r="R129" s="18">
        <v>1.85</v>
      </c>
      <c r="S129" s="15" t="s">
        <v>70</v>
      </c>
      <c r="T129" s="19">
        <f t="shared" si="1"/>
        <v>0</v>
      </c>
      <c r="U129" s="19">
        <f t="shared" si="4"/>
        <v>-1.812223977</v>
      </c>
    </row>
    <row r="130">
      <c r="A130" s="8">
        <f t="shared" si="3"/>
        <v>129</v>
      </c>
      <c r="B130" s="8" t="s">
        <v>26</v>
      </c>
      <c r="C130" s="8" t="s">
        <v>40</v>
      </c>
      <c r="D130" s="8">
        <v>60.0</v>
      </c>
      <c r="E130" s="8">
        <v>3.0</v>
      </c>
      <c r="F130" s="8" t="s">
        <v>4711</v>
      </c>
      <c r="G130" s="8" t="s">
        <v>5564</v>
      </c>
      <c r="H130" s="8" t="s">
        <v>2660</v>
      </c>
      <c r="I130" s="8">
        <v>0.0</v>
      </c>
      <c r="J130" s="8" t="s">
        <v>162</v>
      </c>
      <c r="K130" s="8" t="s">
        <v>22</v>
      </c>
      <c r="L130" s="8" t="s">
        <v>892</v>
      </c>
      <c r="M130" s="8" t="s">
        <v>24</v>
      </c>
      <c r="N130" s="9">
        <v>0.0</v>
      </c>
      <c r="O130" s="9">
        <v>1.0</v>
      </c>
      <c r="P130" s="9">
        <v>1.0</v>
      </c>
      <c r="Q130" s="10">
        <v>45364.0</v>
      </c>
      <c r="R130" s="11">
        <v>1.8</v>
      </c>
      <c r="S130" s="8" t="s">
        <v>70</v>
      </c>
      <c r="T130" s="12">
        <f t="shared" si="1"/>
        <v>0</v>
      </c>
      <c r="U130" s="12">
        <f t="shared" si="4"/>
        <v>-1.812223977</v>
      </c>
    </row>
    <row r="131">
      <c r="A131" s="15">
        <f t="shared" si="3"/>
        <v>130</v>
      </c>
      <c r="B131" s="15" t="s">
        <v>4225</v>
      </c>
      <c r="C131" s="15" t="s">
        <v>19</v>
      </c>
      <c r="D131" s="15">
        <v>0.0</v>
      </c>
      <c r="E131" s="15">
        <v>8.0</v>
      </c>
      <c r="F131" s="15" t="s">
        <v>4712</v>
      </c>
      <c r="G131" s="15" t="s">
        <v>5564</v>
      </c>
      <c r="H131" s="15" t="s">
        <v>4653</v>
      </c>
      <c r="I131" s="15">
        <v>0.0</v>
      </c>
      <c r="J131" s="15" t="s">
        <v>863</v>
      </c>
      <c r="K131" s="15" t="s">
        <v>598</v>
      </c>
      <c r="L131" s="15" t="s">
        <v>894</v>
      </c>
      <c r="M131" s="15" t="s">
        <v>1851</v>
      </c>
      <c r="N131" s="16">
        <v>-0.5</v>
      </c>
      <c r="O131" s="16">
        <v>0.1</v>
      </c>
      <c r="P131" s="16">
        <v>0.1</v>
      </c>
      <c r="Q131" s="17">
        <v>45365.0</v>
      </c>
      <c r="R131" s="18">
        <v>1.9</v>
      </c>
      <c r="S131" s="15" t="s">
        <v>33</v>
      </c>
      <c r="T131" s="19">
        <f t="shared" si="1"/>
        <v>0.09</v>
      </c>
      <c r="U131" s="19">
        <f t="shared" si="4"/>
        <v>-1.722223977</v>
      </c>
    </row>
    <row r="132">
      <c r="A132" s="8">
        <f t="shared" si="3"/>
        <v>131</v>
      </c>
      <c r="B132" s="8" t="s">
        <v>26</v>
      </c>
      <c r="C132" s="8" t="s">
        <v>19</v>
      </c>
      <c r="D132" s="8">
        <v>82.0</v>
      </c>
      <c r="E132" s="8">
        <v>3.0</v>
      </c>
      <c r="F132" s="8" t="s">
        <v>4713</v>
      </c>
      <c r="G132" s="8" t="s">
        <v>5565</v>
      </c>
      <c r="H132" s="8" t="s">
        <v>2660</v>
      </c>
      <c r="I132" s="8">
        <v>-1.0</v>
      </c>
      <c r="J132" s="8" t="s">
        <v>174</v>
      </c>
      <c r="K132" s="8" t="s">
        <v>22</v>
      </c>
      <c r="L132" s="8" t="s">
        <v>892</v>
      </c>
      <c r="M132" s="8" t="s">
        <v>24</v>
      </c>
      <c r="N132" s="9">
        <v>0.0</v>
      </c>
      <c r="O132" s="9">
        <v>0.2</v>
      </c>
      <c r="P132" s="9">
        <v>0.2</v>
      </c>
      <c r="Q132" s="10">
        <v>45365.0</v>
      </c>
      <c r="R132" s="11">
        <v>1.88</v>
      </c>
      <c r="S132" s="8" t="s">
        <v>70</v>
      </c>
      <c r="T132" s="12">
        <f t="shared" si="1"/>
        <v>0</v>
      </c>
      <c r="U132" s="12">
        <f t="shared" si="4"/>
        <v>-1.722223977</v>
      </c>
    </row>
    <row r="133">
      <c r="A133" s="15">
        <f t="shared" si="3"/>
        <v>132</v>
      </c>
      <c r="B133" s="15" t="s">
        <v>26</v>
      </c>
      <c r="C133" s="15" t="s">
        <v>19</v>
      </c>
      <c r="D133" s="15">
        <v>70.0</v>
      </c>
      <c r="E133" s="15">
        <v>2.0</v>
      </c>
      <c r="F133" s="15" t="s">
        <v>4714</v>
      </c>
      <c r="G133" s="15" t="s">
        <v>5565</v>
      </c>
      <c r="H133" s="15" t="s">
        <v>2556</v>
      </c>
      <c r="I133" s="15">
        <v>-1.0</v>
      </c>
      <c r="J133" s="15" t="s">
        <v>525</v>
      </c>
      <c r="K133" s="15" t="s">
        <v>22</v>
      </c>
      <c r="L133" s="15" t="s">
        <v>225</v>
      </c>
      <c r="M133" s="15" t="s">
        <v>24</v>
      </c>
      <c r="N133" s="16">
        <v>0.25</v>
      </c>
      <c r="O133" s="16">
        <v>0.2</v>
      </c>
      <c r="P133" s="16">
        <v>0.2</v>
      </c>
      <c r="Q133" s="17">
        <v>45365.0</v>
      </c>
      <c r="R133" s="18">
        <v>1.7</v>
      </c>
      <c r="S133" s="15" t="s">
        <v>30</v>
      </c>
      <c r="T133" s="19">
        <f t="shared" si="1"/>
        <v>0.07</v>
      </c>
      <c r="U133" s="19">
        <f t="shared" si="4"/>
        <v>-1.652223977</v>
      </c>
    </row>
    <row r="134">
      <c r="A134" s="8">
        <f t="shared" si="3"/>
        <v>133</v>
      </c>
      <c r="B134" s="8" t="s">
        <v>4225</v>
      </c>
      <c r="C134" s="8" t="s">
        <v>19</v>
      </c>
      <c r="D134" s="8">
        <v>1.0</v>
      </c>
      <c r="E134" s="8">
        <v>8.0</v>
      </c>
      <c r="F134" s="8" t="s">
        <v>4715</v>
      </c>
      <c r="G134" s="8" t="s">
        <v>5564</v>
      </c>
      <c r="H134" s="8" t="s">
        <v>2556</v>
      </c>
      <c r="I134" s="8">
        <v>0.0</v>
      </c>
      <c r="J134" s="8" t="s">
        <v>157</v>
      </c>
      <c r="K134" s="8" t="s">
        <v>22</v>
      </c>
      <c r="L134" s="8" t="s">
        <v>225</v>
      </c>
      <c r="M134" s="8" t="s">
        <v>1851</v>
      </c>
      <c r="N134" s="9">
        <v>0.75</v>
      </c>
      <c r="O134" s="9">
        <v>0.1</v>
      </c>
      <c r="P134" s="9">
        <v>0.1</v>
      </c>
      <c r="Q134" s="10">
        <v>45365.0</v>
      </c>
      <c r="R134" s="11">
        <v>2.05</v>
      </c>
      <c r="S134" s="8" t="s">
        <v>79</v>
      </c>
      <c r="T134" s="12">
        <f t="shared" si="1"/>
        <v>-0.05</v>
      </c>
      <c r="U134" s="12">
        <f t="shared" si="4"/>
        <v>-1.702223977</v>
      </c>
    </row>
    <row r="135">
      <c r="A135" s="15">
        <f t="shared" si="3"/>
        <v>134</v>
      </c>
      <c r="B135" s="15" t="s">
        <v>4225</v>
      </c>
      <c r="C135" s="15" t="s">
        <v>19</v>
      </c>
      <c r="D135" s="15">
        <v>0.0</v>
      </c>
      <c r="E135" s="15">
        <v>8.0</v>
      </c>
      <c r="F135" s="15" t="s">
        <v>4716</v>
      </c>
      <c r="G135" s="15" t="s">
        <v>5565</v>
      </c>
      <c r="H135" s="15" t="s">
        <v>2556</v>
      </c>
      <c r="I135" s="15"/>
      <c r="J135" s="15" t="s">
        <v>157</v>
      </c>
      <c r="K135" s="15" t="s">
        <v>22</v>
      </c>
      <c r="L135" s="15" t="s">
        <v>1847</v>
      </c>
      <c r="M135" s="15" t="s">
        <v>39</v>
      </c>
      <c r="N135" s="16">
        <v>-0.5</v>
      </c>
      <c r="O135" s="16">
        <v>0.07</v>
      </c>
      <c r="P135" s="16">
        <v>0.07</v>
      </c>
      <c r="Q135" s="17">
        <v>45365.0</v>
      </c>
      <c r="R135" s="18">
        <v>2.75</v>
      </c>
      <c r="S135" s="15" t="s">
        <v>33</v>
      </c>
      <c r="T135" s="19">
        <f t="shared" si="1"/>
        <v>0.1225</v>
      </c>
      <c r="U135" s="19">
        <f t="shared" si="4"/>
        <v>-1.579723977</v>
      </c>
    </row>
    <row r="136">
      <c r="A136" s="8">
        <f t="shared" si="3"/>
        <v>135</v>
      </c>
      <c r="B136" s="8" t="s">
        <v>4225</v>
      </c>
      <c r="C136" s="8" t="s">
        <v>19</v>
      </c>
      <c r="D136" s="8">
        <v>0.0</v>
      </c>
      <c r="E136" s="8">
        <v>8.0</v>
      </c>
      <c r="F136" s="8" t="s">
        <v>4717</v>
      </c>
      <c r="G136" s="8" t="s">
        <v>5565</v>
      </c>
      <c r="H136" s="8" t="s">
        <v>2556</v>
      </c>
      <c r="I136" s="8"/>
      <c r="J136" s="8" t="s">
        <v>863</v>
      </c>
      <c r="K136" s="8" t="s">
        <v>22</v>
      </c>
      <c r="L136" s="8" t="s">
        <v>1023</v>
      </c>
      <c r="M136" s="8" t="s">
        <v>39</v>
      </c>
      <c r="N136" s="9">
        <v>0.5</v>
      </c>
      <c r="O136" s="9">
        <v>0.04</v>
      </c>
      <c r="P136" s="9">
        <v>0.04</v>
      </c>
      <c r="Q136" s="10">
        <v>45365.0</v>
      </c>
      <c r="R136" s="11">
        <v>4.0</v>
      </c>
      <c r="S136" s="8" t="s">
        <v>25</v>
      </c>
      <c r="T136" s="12">
        <f t="shared" si="1"/>
        <v>-0.04</v>
      </c>
      <c r="U136" s="12">
        <f t="shared" si="4"/>
        <v>-1.619723977</v>
      </c>
    </row>
    <row r="137">
      <c r="A137" s="15">
        <f t="shared" si="3"/>
        <v>136</v>
      </c>
      <c r="B137" s="15" t="s">
        <v>26</v>
      </c>
      <c r="C137" s="15" t="s">
        <v>19</v>
      </c>
      <c r="D137" s="15">
        <v>61.0</v>
      </c>
      <c r="E137" s="15">
        <v>5.0</v>
      </c>
      <c r="F137" s="15" t="s">
        <v>4718</v>
      </c>
      <c r="G137" s="15" t="s">
        <v>5565</v>
      </c>
      <c r="H137" s="15" t="s">
        <v>4653</v>
      </c>
      <c r="I137" s="15">
        <v>-1.0</v>
      </c>
      <c r="J137" s="15" t="s">
        <v>248</v>
      </c>
      <c r="K137" s="15" t="s">
        <v>22</v>
      </c>
      <c r="L137" s="15" t="s">
        <v>894</v>
      </c>
      <c r="M137" s="15" t="s">
        <v>24</v>
      </c>
      <c r="N137" s="16">
        <v>-0.25</v>
      </c>
      <c r="O137" s="16">
        <v>0.5</v>
      </c>
      <c r="P137" s="16">
        <v>0.5</v>
      </c>
      <c r="Q137" s="17">
        <v>45365.0</v>
      </c>
      <c r="R137" s="18">
        <v>1.735</v>
      </c>
      <c r="S137" s="15" t="s">
        <v>33</v>
      </c>
      <c r="T137" s="19">
        <f t="shared" si="1"/>
        <v>0.3675</v>
      </c>
      <c r="U137" s="19">
        <f t="shared" si="4"/>
        <v>-1.252223977</v>
      </c>
    </row>
    <row r="138">
      <c r="A138" s="8">
        <f t="shared" si="3"/>
        <v>137</v>
      </c>
      <c r="B138" s="8" t="s">
        <v>131</v>
      </c>
      <c r="C138" s="8" t="s">
        <v>19</v>
      </c>
      <c r="D138" s="8">
        <v>87.0</v>
      </c>
      <c r="E138" s="8">
        <v>6.0</v>
      </c>
      <c r="F138" s="8" t="s">
        <v>4719</v>
      </c>
      <c r="G138" s="8"/>
      <c r="H138" s="8"/>
      <c r="I138" s="8" t="s">
        <v>2868</v>
      </c>
      <c r="J138" s="8" t="s">
        <v>513</v>
      </c>
      <c r="K138" s="8" t="s">
        <v>22</v>
      </c>
      <c r="L138" s="8" t="s">
        <v>29</v>
      </c>
      <c r="M138" s="8" t="s">
        <v>1522</v>
      </c>
      <c r="N138" s="9">
        <v>-2.5</v>
      </c>
      <c r="O138" s="9">
        <v>0.25</v>
      </c>
      <c r="P138" s="9">
        <v>0.25</v>
      </c>
      <c r="Q138" s="54">
        <v>45365.0</v>
      </c>
      <c r="R138" s="11">
        <v>1.95</v>
      </c>
      <c r="S138" s="8" t="s">
        <v>33</v>
      </c>
      <c r="T138" s="12">
        <f t="shared" si="1"/>
        <v>0.2375</v>
      </c>
      <c r="U138" s="12">
        <f t="shared" si="4"/>
        <v>-1.014723977</v>
      </c>
    </row>
    <row r="139">
      <c r="A139" s="15">
        <f t="shared" si="3"/>
        <v>138</v>
      </c>
      <c r="B139" s="15" t="s">
        <v>26</v>
      </c>
      <c r="C139" s="15" t="s">
        <v>19</v>
      </c>
      <c r="D139" s="139">
        <v>25.0</v>
      </c>
      <c r="E139" s="139">
        <v>2.0</v>
      </c>
      <c r="F139" s="15" t="s">
        <v>4720</v>
      </c>
      <c r="G139" s="15" t="s">
        <v>5564</v>
      </c>
      <c r="H139" s="15" t="s">
        <v>2556</v>
      </c>
      <c r="I139" s="15">
        <f>1</f>
        <v>1</v>
      </c>
      <c r="J139" s="15" t="s">
        <v>2108</v>
      </c>
      <c r="K139" s="15" t="s">
        <v>22</v>
      </c>
      <c r="L139" s="15" t="s">
        <v>225</v>
      </c>
      <c r="M139" s="15" t="s">
        <v>24</v>
      </c>
      <c r="N139" s="16">
        <v>0.25</v>
      </c>
      <c r="O139" s="16">
        <v>0.2</v>
      </c>
      <c r="P139" s="16">
        <v>0.2</v>
      </c>
      <c r="Q139" s="17">
        <v>45366.0</v>
      </c>
      <c r="R139" s="18">
        <v>1.85</v>
      </c>
      <c r="S139" s="15" t="s">
        <v>30</v>
      </c>
      <c r="T139" s="19">
        <f t="shared" si="1"/>
        <v>0.085</v>
      </c>
      <c r="U139" s="19">
        <f t="shared" si="4"/>
        <v>-0.9297239773</v>
      </c>
    </row>
    <row r="140">
      <c r="A140" s="8">
        <f t="shared" si="3"/>
        <v>139</v>
      </c>
      <c r="B140" s="8" t="s">
        <v>26</v>
      </c>
      <c r="C140" s="8" t="s">
        <v>19</v>
      </c>
      <c r="D140" s="8">
        <v>59.0</v>
      </c>
      <c r="E140" s="8">
        <v>1.0</v>
      </c>
      <c r="F140" s="8" t="s">
        <v>4721</v>
      </c>
      <c r="G140" s="8" t="s">
        <v>5565</v>
      </c>
      <c r="H140" s="8" t="s">
        <v>2660</v>
      </c>
      <c r="I140" s="8">
        <v>-2.0</v>
      </c>
      <c r="J140" s="8" t="s">
        <v>101</v>
      </c>
      <c r="K140" s="8" t="s">
        <v>22</v>
      </c>
      <c r="L140" s="8" t="s">
        <v>892</v>
      </c>
      <c r="M140" s="8" t="s">
        <v>1522</v>
      </c>
      <c r="N140" s="9">
        <v>0.0</v>
      </c>
      <c r="O140" s="9">
        <v>0.75</v>
      </c>
      <c r="P140" s="9">
        <v>0.75</v>
      </c>
      <c r="Q140" s="10">
        <v>45366.0</v>
      </c>
      <c r="R140" s="11">
        <v>1.7</v>
      </c>
      <c r="S140" s="8" t="s">
        <v>33</v>
      </c>
      <c r="T140" s="12">
        <f t="shared" si="1"/>
        <v>0.525</v>
      </c>
      <c r="U140" s="12">
        <f t="shared" si="4"/>
        <v>-0.4047239773</v>
      </c>
    </row>
    <row r="141">
      <c r="A141" s="15">
        <f t="shared" si="3"/>
        <v>140</v>
      </c>
      <c r="B141" s="15" t="s">
        <v>4225</v>
      </c>
      <c r="C141" s="15" t="s">
        <v>19</v>
      </c>
      <c r="D141" s="15">
        <v>61.0</v>
      </c>
      <c r="E141" s="15">
        <v>3.0</v>
      </c>
      <c r="F141" s="15" t="s">
        <v>4722</v>
      </c>
      <c r="G141" s="15" t="s">
        <v>5565</v>
      </c>
      <c r="H141" s="15" t="s">
        <v>2660</v>
      </c>
      <c r="I141" s="15">
        <v>-1.0</v>
      </c>
      <c r="J141" s="15" t="s">
        <v>923</v>
      </c>
      <c r="K141" s="15" t="s">
        <v>22</v>
      </c>
      <c r="L141" s="15" t="s">
        <v>892</v>
      </c>
      <c r="M141" s="15" t="s">
        <v>24</v>
      </c>
      <c r="N141" s="16">
        <v>0.0</v>
      </c>
      <c r="O141" s="16">
        <v>0.25</v>
      </c>
      <c r="P141" s="16">
        <v>0.25</v>
      </c>
      <c r="Q141" s="55">
        <v>45366.0</v>
      </c>
      <c r="R141" s="18">
        <v>1.7</v>
      </c>
      <c r="S141" s="15" t="s">
        <v>70</v>
      </c>
      <c r="T141" s="19">
        <f t="shared" si="1"/>
        <v>0</v>
      </c>
      <c r="U141" s="19">
        <f t="shared" si="4"/>
        <v>-0.4047239773</v>
      </c>
    </row>
    <row r="142">
      <c r="A142" s="8">
        <f t="shared" si="3"/>
        <v>141</v>
      </c>
      <c r="B142" s="8" t="s">
        <v>26</v>
      </c>
      <c r="C142" s="8" t="s">
        <v>40</v>
      </c>
      <c r="D142" s="8">
        <v>60.0</v>
      </c>
      <c r="E142" s="8">
        <v>3.0</v>
      </c>
      <c r="F142" s="8" t="s">
        <v>4723</v>
      </c>
      <c r="G142" s="8" t="s">
        <v>5565</v>
      </c>
      <c r="H142" s="8" t="s">
        <v>2660</v>
      </c>
      <c r="I142" s="8">
        <v>-2.0</v>
      </c>
      <c r="J142" s="8" t="s">
        <v>487</v>
      </c>
      <c r="K142" s="8" t="s">
        <v>22</v>
      </c>
      <c r="L142" s="8" t="s">
        <v>892</v>
      </c>
      <c r="M142" s="8" t="s">
        <v>24</v>
      </c>
      <c r="N142" s="9">
        <v>0.0</v>
      </c>
      <c r="O142" s="9">
        <v>0.6</v>
      </c>
      <c r="P142" s="9">
        <v>0.5872</v>
      </c>
      <c r="Q142" s="10">
        <v>45366.0</v>
      </c>
      <c r="R142" s="11">
        <v>2.08</v>
      </c>
      <c r="S142" s="8" t="s">
        <v>25</v>
      </c>
      <c r="T142" s="12">
        <f t="shared" si="1"/>
        <v>-0.5872</v>
      </c>
      <c r="U142" s="12">
        <f t="shared" si="4"/>
        <v>-0.9919239773</v>
      </c>
    </row>
    <row r="143">
      <c r="A143" s="15">
        <f t="shared" si="3"/>
        <v>142</v>
      </c>
      <c r="B143" s="15" t="s">
        <v>137</v>
      </c>
      <c r="C143" s="15" t="s">
        <v>19</v>
      </c>
      <c r="D143" s="15">
        <v>27.0</v>
      </c>
      <c r="E143" s="15">
        <v>3.0</v>
      </c>
      <c r="F143" s="15" t="s">
        <v>4724</v>
      </c>
      <c r="G143" s="15" t="s">
        <v>5564</v>
      </c>
      <c r="H143" s="15" t="s">
        <v>2660</v>
      </c>
      <c r="I143" s="15">
        <v>-1.0</v>
      </c>
      <c r="J143" s="15" t="s">
        <v>583</v>
      </c>
      <c r="K143" s="15" t="s">
        <v>22</v>
      </c>
      <c r="L143" s="15" t="s">
        <v>892</v>
      </c>
      <c r="M143" s="15" t="s">
        <v>24</v>
      </c>
      <c r="N143" s="16">
        <v>0.0</v>
      </c>
      <c r="O143" s="16">
        <v>0.2</v>
      </c>
      <c r="P143" s="16">
        <v>0.2</v>
      </c>
      <c r="Q143" s="17">
        <v>45366.0</v>
      </c>
      <c r="R143" s="18">
        <v>1.9</v>
      </c>
      <c r="S143" s="15" t="s">
        <v>70</v>
      </c>
      <c r="T143" s="19">
        <f t="shared" si="1"/>
        <v>0</v>
      </c>
      <c r="U143" s="19">
        <f t="shared" si="4"/>
        <v>-0.9919239773</v>
      </c>
    </row>
    <row r="144">
      <c r="A144" s="8">
        <f t="shared" si="3"/>
        <v>143</v>
      </c>
      <c r="B144" s="8" t="s">
        <v>26</v>
      </c>
      <c r="C144" s="8" t="s">
        <v>40</v>
      </c>
      <c r="D144" s="8">
        <v>82.0</v>
      </c>
      <c r="E144" s="8">
        <v>3.0</v>
      </c>
      <c r="F144" s="8" t="s">
        <v>4725</v>
      </c>
      <c r="G144" s="8" t="s">
        <v>5564</v>
      </c>
      <c r="H144" s="8" t="s">
        <v>2660</v>
      </c>
      <c r="I144" s="8">
        <v>2</v>
      </c>
      <c r="J144" s="8" t="s">
        <v>487</v>
      </c>
      <c r="K144" s="8" t="s">
        <v>22</v>
      </c>
      <c r="L144" s="8" t="s">
        <v>892</v>
      </c>
      <c r="M144" s="8" t="s">
        <v>24</v>
      </c>
      <c r="N144" s="9">
        <v>0.0</v>
      </c>
      <c r="O144" s="9">
        <v>0.5</v>
      </c>
      <c r="P144" s="9">
        <v>0.5</v>
      </c>
      <c r="Q144" s="10">
        <v>45366.0</v>
      </c>
      <c r="R144" s="11">
        <v>2.3</v>
      </c>
      <c r="S144" s="8" t="s">
        <v>33</v>
      </c>
      <c r="T144" s="12">
        <f t="shared" si="1"/>
        <v>0.65</v>
      </c>
      <c r="U144" s="12">
        <f t="shared" si="4"/>
        <v>-0.3419239773</v>
      </c>
    </row>
    <row r="145">
      <c r="A145" s="15">
        <f t="shared" si="3"/>
        <v>144</v>
      </c>
      <c r="B145" s="15" t="s">
        <v>18</v>
      </c>
      <c r="C145" s="15" t="s">
        <v>19</v>
      </c>
      <c r="D145" s="15">
        <v>42.0</v>
      </c>
      <c r="E145" s="15">
        <v>2.0</v>
      </c>
      <c r="F145" s="15" t="s">
        <v>4726</v>
      </c>
      <c r="G145" s="15" t="s">
        <v>5564</v>
      </c>
      <c r="H145" s="15" t="s">
        <v>2556</v>
      </c>
      <c r="I145" s="15">
        <v>0.0</v>
      </c>
      <c r="J145" s="15" t="s">
        <v>4293</v>
      </c>
      <c r="K145" s="15" t="s">
        <v>22</v>
      </c>
      <c r="L145" s="15" t="s">
        <v>225</v>
      </c>
      <c r="M145" s="15" t="s">
        <v>24</v>
      </c>
      <c r="N145" s="16">
        <v>0.25</v>
      </c>
      <c r="O145" s="16">
        <v>0.4</v>
      </c>
      <c r="P145" s="16">
        <v>0.4</v>
      </c>
      <c r="Q145" s="17">
        <v>45366.0</v>
      </c>
      <c r="R145" s="18">
        <v>1.825</v>
      </c>
      <c r="S145" s="15" t="s">
        <v>33</v>
      </c>
      <c r="T145" s="19">
        <f t="shared" si="1"/>
        <v>0.33</v>
      </c>
      <c r="U145" s="19">
        <f t="shared" si="4"/>
        <v>-0.0119239773</v>
      </c>
    </row>
    <row r="146">
      <c r="A146" s="8">
        <f t="shared" si="3"/>
        <v>145</v>
      </c>
      <c r="B146" s="8" t="s">
        <v>26</v>
      </c>
      <c r="C146" s="8" t="s">
        <v>19</v>
      </c>
      <c r="D146" s="8">
        <v>66.0</v>
      </c>
      <c r="E146" s="8">
        <v>3.0</v>
      </c>
      <c r="F146" s="8" t="s">
        <v>4727</v>
      </c>
      <c r="G146" s="8" t="s">
        <v>5565</v>
      </c>
      <c r="H146" s="8" t="s">
        <v>2556</v>
      </c>
      <c r="I146" s="8">
        <v>0.0</v>
      </c>
      <c r="J146" s="8" t="s">
        <v>248</v>
      </c>
      <c r="K146" s="8" t="s">
        <v>22</v>
      </c>
      <c r="L146" s="8" t="s">
        <v>941</v>
      </c>
      <c r="M146" s="8" t="s">
        <v>24</v>
      </c>
      <c r="N146" s="9">
        <v>0.0</v>
      </c>
      <c r="O146" s="9">
        <v>0.6</v>
      </c>
      <c r="P146" s="9">
        <v>0.6</v>
      </c>
      <c r="Q146" s="10">
        <v>45366.0</v>
      </c>
      <c r="R146" s="11">
        <v>1.5</v>
      </c>
      <c r="S146" s="8" t="s">
        <v>70</v>
      </c>
      <c r="T146" s="12">
        <f t="shared" si="1"/>
        <v>0</v>
      </c>
      <c r="U146" s="12">
        <f t="shared" si="4"/>
        <v>-0.0119239773</v>
      </c>
    </row>
    <row r="147">
      <c r="A147" s="15">
        <f t="shared" si="3"/>
        <v>146</v>
      </c>
      <c r="B147" s="15" t="s">
        <v>26</v>
      </c>
      <c r="C147" s="15" t="s">
        <v>19</v>
      </c>
      <c r="D147" s="15">
        <v>81.0</v>
      </c>
      <c r="E147" s="15">
        <v>3.0</v>
      </c>
      <c r="F147" s="15" t="s">
        <v>4728</v>
      </c>
      <c r="G147" s="15" t="s">
        <v>5564</v>
      </c>
      <c r="H147" s="15" t="s">
        <v>2556</v>
      </c>
      <c r="I147" s="15">
        <v>0.0</v>
      </c>
      <c r="J147" s="15" t="s">
        <v>248</v>
      </c>
      <c r="K147" s="15" t="s">
        <v>22</v>
      </c>
      <c r="L147" s="15" t="s">
        <v>941</v>
      </c>
      <c r="M147" s="15" t="s">
        <v>24</v>
      </c>
      <c r="N147" s="16">
        <v>0.0</v>
      </c>
      <c r="O147" s="16">
        <v>0.2</v>
      </c>
      <c r="P147" s="16">
        <v>0.131914</v>
      </c>
      <c r="Q147" s="17">
        <v>45366.0</v>
      </c>
      <c r="R147" s="18">
        <v>3.0</v>
      </c>
      <c r="S147" s="15" t="s">
        <v>70</v>
      </c>
      <c r="T147" s="19">
        <f t="shared" si="1"/>
        <v>0</v>
      </c>
      <c r="U147" s="19">
        <f t="shared" si="4"/>
        <v>-0.0119239773</v>
      </c>
    </row>
    <row r="148">
      <c r="A148" s="8">
        <f t="shared" si="3"/>
        <v>147</v>
      </c>
      <c r="B148" s="8" t="s">
        <v>18</v>
      </c>
      <c r="C148" s="8" t="s">
        <v>19</v>
      </c>
      <c r="D148" s="8">
        <v>80.0</v>
      </c>
      <c r="E148" s="8">
        <v>3.0</v>
      </c>
      <c r="F148" s="8" t="s">
        <v>4729</v>
      </c>
      <c r="G148" s="8" t="s">
        <v>5565</v>
      </c>
      <c r="H148" s="8" t="s">
        <v>2660</v>
      </c>
      <c r="I148" s="8">
        <v>-1.0</v>
      </c>
      <c r="J148" s="8" t="s">
        <v>487</v>
      </c>
      <c r="K148" s="8" t="s">
        <v>22</v>
      </c>
      <c r="L148" s="8" t="s">
        <v>892</v>
      </c>
      <c r="M148" s="8" t="s">
        <v>24</v>
      </c>
      <c r="N148" s="9">
        <v>0.0</v>
      </c>
      <c r="O148" s="9">
        <v>0.8</v>
      </c>
      <c r="P148" s="9">
        <v>0.8</v>
      </c>
      <c r="Q148" s="10">
        <v>45367.0</v>
      </c>
      <c r="R148" s="11">
        <v>2.0</v>
      </c>
      <c r="S148" s="8" t="s">
        <v>33</v>
      </c>
      <c r="T148" s="12">
        <f t="shared" si="1"/>
        <v>0.8</v>
      </c>
      <c r="U148" s="12">
        <f t="shared" si="4"/>
        <v>0.7880760227</v>
      </c>
    </row>
    <row r="149">
      <c r="A149" s="15">
        <f t="shared" si="3"/>
        <v>148</v>
      </c>
      <c r="B149" s="15" t="s">
        <v>18</v>
      </c>
      <c r="C149" s="15" t="s">
        <v>19</v>
      </c>
      <c r="D149" s="15">
        <v>20.0</v>
      </c>
      <c r="E149" s="15">
        <v>3.0</v>
      </c>
      <c r="F149" s="15" t="s">
        <v>4730</v>
      </c>
      <c r="G149" s="15" t="s">
        <v>5565</v>
      </c>
      <c r="H149" s="15" t="s">
        <v>2660</v>
      </c>
      <c r="I149" s="15">
        <v>0.0</v>
      </c>
      <c r="J149" s="15" t="s">
        <v>227</v>
      </c>
      <c r="K149" s="15" t="s">
        <v>22</v>
      </c>
      <c r="L149" s="15" t="s">
        <v>4584</v>
      </c>
      <c r="M149" s="15" t="s">
        <v>24</v>
      </c>
      <c r="N149" s="16">
        <v>0.0</v>
      </c>
      <c r="O149" s="16">
        <v>0.6</v>
      </c>
      <c r="P149" s="16">
        <v>0.6</v>
      </c>
      <c r="Q149" s="17">
        <v>45367.0</v>
      </c>
      <c r="R149" s="18">
        <v>1.825</v>
      </c>
      <c r="S149" s="15" t="s">
        <v>25</v>
      </c>
      <c r="T149" s="19">
        <f t="shared" si="1"/>
        <v>-0.6</v>
      </c>
      <c r="U149" s="19">
        <f t="shared" si="4"/>
        <v>0.1880760227</v>
      </c>
    </row>
    <row r="150">
      <c r="A150" s="8">
        <f t="shared" si="3"/>
        <v>149</v>
      </c>
      <c r="B150" s="8" t="s">
        <v>26</v>
      </c>
      <c r="C150" s="8" t="s">
        <v>19</v>
      </c>
      <c r="D150" s="8">
        <v>34.0</v>
      </c>
      <c r="E150" s="8">
        <v>2.0</v>
      </c>
      <c r="F150" s="8" t="s">
        <v>4731</v>
      </c>
      <c r="G150" s="8" t="s">
        <v>5564</v>
      </c>
      <c r="H150" s="8" t="s">
        <v>2556</v>
      </c>
      <c r="I150" s="8">
        <v>0.0</v>
      </c>
      <c r="J150" s="8" t="s">
        <v>675</v>
      </c>
      <c r="K150" s="8" t="s">
        <v>22</v>
      </c>
      <c r="L150" s="8" t="s">
        <v>225</v>
      </c>
      <c r="M150" s="8" t="s">
        <v>24</v>
      </c>
      <c r="N150" s="9">
        <v>0.25</v>
      </c>
      <c r="O150" s="9">
        <v>0.5</v>
      </c>
      <c r="P150" s="9">
        <v>0.5</v>
      </c>
      <c r="Q150" s="10">
        <v>45367.0</v>
      </c>
      <c r="R150" s="11">
        <v>1.8</v>
      </c>
      <c r="S150" s="8" t="s">
        <v>30</v>
      </c>
      <c r="T150" s="12">
        <f t="shared" si="1"/>
        <v>0.2</v>
      </c>
      <c r="U150" s="12">
        <f t="shared" si="4"/>
        <v>0.3880760227</v>
      </c>
    </row>
    <row r="151">
      <c r="A151" s="15">
        <f t="shared" si="3"/>
        <v>150</v>
      </c>
      <c r="B151" s="15" t="s">
        <v>129</v>
      </c>
      <c r="C151" s="15" t="s">
        <v>40</v>
      </c>
      <c r="D151" s="15">
        <v>67.0</v>
      </c>
      <c r="E151" s="15">
        <v>5.0</v>
      </c>
      <c r="F151" s="15" t="s">
        <v>4732</v>
      </c>
      <c r="G151" s="15" t="s">
        <v>5565</v>
      </c>
      <c r="H151" s="15" t="s">
        <v>2573</v>
      </c>
      <c r="I151" s="15">
        <v>0.0</v>
      </c>
      <c r="J151" s="15" t="s">
        <v>42</v>
      </c>
      <c r="K151" s="15" t="s">
        <v>22</v>
      </c>
      <c r="L151" s="15" t="s">
        <v>894</v>
      </c>
      <c r="M151" s="15" t="s">
        <v>24</v>
      </c>
      <c r="N151" s="16">
        <v>-0.25</v>
      </c>
      <c r="O151" s="16">
        <v>0.2</v>
      </c>
      <c r="P151" s="16">
        <v>0.2</v>
      </c>
      <c r="Q151" s="17">
        <v>45367.0</v>
      </c>
      <c r="R151" s="18">
        <v>2.0</v>
      </c>
      <c r="S151" s="15" t="s">
        <v>79</v>
      </c>
      <c r="T151" s="19">
        <f t="shared" si="1"/>
        <v>-0.1</v>
      </c>
      <c r="U151" s="19">
        <f t="shared" si="4"/>
        <v>0.2880760227</v>
      </c>
    </row>
    <row r="152">
      <c r="A152" s="8">
        <f t="shared" si="3"/>
        <v>151</v>
      </c>
      <c r="B152" s="8" t="s">
        <v>4225</v>
      </c>
      <c r="C152" s="8" t="s">
        <v>19</v>
      </c>
      <c r="D152" s="8">
        <v>26.0</v>
      </c>
      <c r="E152" s="8">
        <v>2.0</v>
      </c>
      <c r="F152" s="8" t="s">
        <v>4733</v>
      </c>
      <c r="G152" s="8" t="s">
        <v>5565</v>
      </c>
      <c r="H152" s="8" t="s">
        <v>2556</v>
      </c>
      <c r="I152" s="8">
        <v>0.0</v>
      </c>
      <c r="J152" s="8" t="s">
        <v>178</v>
      </c>
      <c r="K152" s="8" t="s">
        <v>22</v>
      </c>
      <c r="L152" s="8" t="s">
        <v>225</v>
      </c>
      <c r="M152" s="8" t="s">
        <v>24</v>
      </c>
      <c r="N152" s="9">
        <v>0.25</v>
      </c>
      <c r="O152" s="9">
        <v>1.0</v>
      </c>
      <c r="P152" s="9">
        <v>1.0</v>
      </c>
      <c r="Q152" s="10">
        <v>45367.0</v>
      </c>
      <c r="R152" s="11">
        <v>1.825</v>
      </c>
      <c r="S152" s="8" t="s">
        <v>33</v>
      </c>
      <c r="T152" s="12">
        <f t="shared" si="1"/>
        <v>0.825</v>
      </c>
      <c r="U152" s="12">
        <f t="shared" si="4"/>
        <v>1.113076023</v>
      </c>
    </row>
    <row r="153">
      <c r="A153" s="15">
        <f t="shared" si="3"/>
        <v>152</v>
      </c>
      <c r="B153" s="15" t="s">
        <v>131</v>
      </c>
      <c r="C153" s="15" t="s">
        <v>19</v>
      </c>
      <c r="D153" s="15">
        <v>78.0</v>
      </c>
      <c r="E153" s="15">
        <v>3.0</v>
      </c>
      <c r="F153" s="15" t="s">
        <v>4734</v>
      </c>
      <c r="G153" s="15" t="s">
        <v>5564</v>
      </c>
      <c r="H153" s="15" t="s">
        <v>2660</v>
      </c>
      <c r="I153" s="15">
        <v>0.0</v>
      </c>
      <c r="J153" s="15" t="s">
        <v>432</v>
      </c>
      <c r="K153" s="15" t="s">
        <v>22</v>
      </c>
      <c r="L153" s="15" t="s">
        <v>892</v>
      </c>
      <c r="M153" s="15" t="s">
        <v>24</v>
      </c>
      <c r="N153" s="16">
        <v>0.0</v>
      </c>
      <c r="O153" s="16">
        <v>0.6</v>
      </c>
      <c r="P153" s="16">
        <v>0.6</v>
      </c>
      <c r="Q153" s="17">
        <v>45367.0</v>
      </c>
      <c r="R153" s="18">
        <v>2.05</v>
      </c>
      <c r="S153" s="15" t="s">
        <v>70</v>
      </c>
      <c r="T153" s="19">
        <f t="shared" si="1"/>
        <v>0</v>
      </c>
      <c r="U153" s="19">
        <f t="shared" si="4"/>
        <v>1.113076023</v>
      </c>
    </row>
    <row r="154">
      <c r="A154" s="8">
        <f t="shared" si="3"/>
        <v>153</v>
      </c>
      <c r="B154" s="8" t="s">
        <v>26</v>
      </c>
      <c r="C154" s="8" t="s">
        <v>19</v>
      </c>
      <c r="D154" s="8">
        <v>91.0</v>
      </c>
      <c r="E154" s="8"/>
      <c r="F154" s="8" t="s">
        <v>4735</v>
      </c>
      <c r="G154" s="8"/>
      <c r="H154" s="8" t="s">
        <v>4736</v>
      </c>
      <c r="I154" s="8">
        <v>0.0</v>
      </c>
      <c r="J154" s="8" t="s">
        <v>675</v>
      </c>
      <c r="K154" s="8" t="s">
        <v>22</v>
      </c>
      <c r="L154" s="8" t="s">
        <v>440</v>
      </c>
      <c r="M154" s="8" t="s">
        <v>24</v>
      </c>
      <c r="N154" s="9">
        <v>0.5</v>
      </c>
      <c r="O154" s="9">
        <v>0.1</v>
      </c>
      <c r="P154" s="9">
        <v>0.07</v>
      </c>
      <c r="Q154" s="10">
        <v>45367.0</v>
      </c>
      <c r="R154" s="11">
        <v>6.0</v>
      </c>
      <c r="S154" s="8" t="s">
        <v>25</v>
      </c>
      <c r="T154" s="12">
        <f t="shared" si="1"/>
        <v>-0.07</v>
      </c>
      <c r="U154" s="12">
        <f t="shared" si="4"/>
        <v>1.043076023</v>
      </c>
    </row>
    <row r="155">
      <c r="A155" s="15">
        <f t="shared" si="3"/>
        <v>154</v>
      </c>
      <c r="B155" s="15" t="s">
        <v>26</v>
      </c>
      <c r="C155" s="15" t="s">
        <v>19</v>
      </c>
      <c r="D155" s="15">
        <v>72.0</v>
      </c>
      <c r="E155" s="15">
        <v>3.0</v>
      </c>
      <c r="F155" s="15" t="s">
        <v>4737</v>
      </c>
      <c r="G155" s="15" t="s">
        <v>5565</v>
      </c>
      <c r="H155" s="15" t="s">
        <v>2660</v>
      </c>
      <c r="I155" s="15">
        <v>-1.0</v>
      </c>
      <c r="J155" s="15" t="s">
        <v>703</v>
      </c>
      <c r="K155" s="15" t="s">
        <v>22</v>
      </c>
      <c r="L155" s="15" t="s">
        <v>892</v>
      </c>
      <c r="M155" s="15" t="s">
        <v>24</v>
      </c>
      <c r="N155" s="16">
        <v>0.0</v>
      </c>
      <c r="O155" s="16">
        <v>0.4</v>
      </c>
      <c r="P155" s="16">
        <v>0.4</v>
      </c>
      <c r="Q155" s="17">
        <v>45367.0</v>
      </c>
      <c r="R155" s="18">
        <v>1.7</v>
      </c>
      <c r="S155" s="15" t="s">
        <v>70</v>
      </c>
      <c r="T155" s="19">
        <f t="shared" si="1"/>
        <v>0</v>
      </c>
      <c r="U155" s="19">
        <f t="shared" si="4"/>
        <v>1.043076023</v>
      </c>
    </row>
    <row r="156">
      <c r="A156" s="8">
        <f t="shared" si="3"/>
        <v>155</v>
      </c>
      <c r="B156" s="8" t="s">
        <v>129</v>
      </c>
      <c r="C156" s="8" t="s">
        <v>19</v>
      </c>
      <c r="D156" s="8">
        <v>56.0</v>
      </c>
      <c r="E156" s="8">
        <v>3.0</v>
      </c>
      <c r="F156" s="8" t="s">
        <v>4738</v>
      </c>
      <c r="G156" s="8" t="s">
        <v>5564</v>
      </c>
      <c r="H156" s="8" t="s">
        <v>2660</v>
      </c>
      <c r="I156" s="8">
        <v>-1.0</v>
      </c>
      <c r="J156" s="8" t="s">
        <v>703</v>
      </c>
      <c r="K156" s="8" t="s">
        <v>22</v>
      </c>
      <c r="L156" s="8" t="s">
        <v>892</v>
      </c>
      <c r="M156" s="8" t="s">
        <v>24</v>
      </c>
      <c r="N156" s="9">
        <v>0.0</v>
      </c>
      <c r="O156" s="9">
        <v>0.8</v>
      </c>
      <c r="P156" s="9">
        <v>0.8</v>
      </c>
      <c r="Q156" s="54">
        <v>45367.0</v>
      </c>
      <c r="R156" s="11">
        <v>1.725</v>
      </c>
      <c r="S156" s="8" t="s">
        <v>70</v>
      </c>
      <c r="T156" s="12">
        <f t="shared" si="1"/>
        <v>0</v>
      </c>
      <c r="U156" s="12">
        <f t="shared" si="4"/>
        <v>1.043076023</v>
      </c>
    </row>
    <row r="157">
      <c r="A157" s="15">
        <f t="shared" si="3"/>
        <v>156</v>
      </c>
      <c r="B157" s="15" t="s">
        <v>131</v>
      </c>
      <c r="C157" s="15" t="s">
        <v>40</v>
      </c>
      <c r="D157" s="15">
        <v>65.0</v>
      </c>
      <c r="E157" s="15">
        <v>3.0</v>
      </c>
      <c r="F157" s="15" t="s">
        <v>4739</v>
      </c>
      <c r="G157" s="15" t="s">
        <v>5564</v>
      </c>
      <c r="H157" s="15" t="s">
        <v>2660</v>
      </c>
      <c r="I157" s="15">
        <v>0.0</v>
      </c>
      <c r="J157" s="15" t="s">
        <v>432</v>
      </c>
      <c r="K157" s="15" t="s">
        <v>22</v>
      </c>
      <c r="L157" s="15" t="s">
        <v>892</v>
      </c>
      <c r="M157" s="15" t="s">
        <v>24</v>
      </c>
      <c r="N157" s="16">
        <v>0.0</v>
      </c>
      <c r="O157" s="16">
        <v>1.0</v>
      </c>
      <c r="P157" s="16">
        <v>1.0</v>
      </c>
      <c r="Q157" s="17">
        <v>45367.0</v>
      </c>
      <c r="R157" s="18">
        <v>2.05</v>
      </c>
      <c r="S157" s="15" t="s">
        <v>70</v>
      </c>
      <c r="T157" s="19">
        <f t="shared" si="1"/>
        <v>0</v>
      </c>
      <c r="U157" s="19">
        <f t="shared" si="4"/>
        <v>1.043076023</v>
      </c>
    </row>
    <row r="158">
      <c r="A158" s="8">
        <f t="shared" si="3"/>
        <v>157</v>
      </c>
      <c r="B158" s="8" t="s">
        <v>129</v>
      </c>
      <c r="C158" s="8" t="s">
        <v>19</v>
      </c>
      <c r="D158" s="8">
        <v>75.0</v>
      </c>
      <c r="E158" s="8">
        <v>3.0</v>
      </c>
      <c r="F158" s="8" t="s">
        <v>4740</v>
      </c>
      <c r="G158" s="8" t="s">
        <v>5564</v>
      </c>
      <c r="H158" s="8" t="s">
        <v>2556</v>
      </c>
      <c r="I158" s="8"/>
      <c r="J158" s="8" t="s">
        <v>273</v>
      </c>
      <c r="K158" s="8" t="s">
        <v>22</v>
      </c>
      <c r="L158" s="8" t="s">
        <v>941</v>
      </c>
      <c r="M158" s="8" t="s">
        <v>24</v>
      </c>
      <c r="N158" s="9">
        <v>0.0</v>
      </c>
      <c r="O158" s="9">
        <v>0.2</v>
      </c>
      <c r="P158" s="9">
        <v>0.1583</v>
      </c>
      <c r="Q158" s="10">
        <v>45367.0</v>
      </c>
      <c r="R158" s="11">
        <v>2.1</v>
      </c>
      <c r="S158" s="8" t="s">
        <v>25</v>
      </c>
      <c r="T158" s="12">
        <f t="shared" si="1"/>
        <v>-0.1583</v>
      </c>
      <c r="U158" s="12">
        <f t="shared" si="4"/>
        <v>0.8847760227</v>
      </c>
    </row>
    <row r="159">
      <c r="A159" s="15">
        <f t="shared" si="3"/>
        <v>158</v>
      </c>
      <c r="B159" s="15" t="s">
        <v>18</v>
      </c>
      <c r="C159" s="15" t="s">
        <v>19</v>
      </c>
      <c r="D159" s="15">
        <v>75.0</v>
      </c>
      <c r="E159" s="15">
        <v>3.0</v>
      </c>
      <c r="F159" s="15" t="s">
        <v>4741</v>
      </c>
      <c r="G159" s="15" t="s">
        <v>5564</v>
      </c>
      <c r="H159" s="15" t="s">
        <v>2660</v>
      </c>
      <c r="I159" s="15">
        <v>-2.0</v>
      </c>
      <c r="J159" s="15" t="s">
        <v>448</v>
      </c>
      <c r="K159" s="15" t="s">
        <v>22</v>
      </c>
      <c r="L159" s="15" t="s">
        <v>892</v>
      </c>
      <c r="M159" s="15" t="s">
        <v>24</v>
      </c>
      <c r="N159" s="16">
        <v>0.0</v>
      </c>
      <c r="O159" s="16">
        <v>0.2</v>
      </c>
      <c r="P159" s="16">
        <v>0.2</v>
      </c>
      <c r="Q159" s="17">
        <v>45367.0</v>
      </c>
      <c r="R159" s="18">
        <v>2.1</v>
      </c>
      <c r="S159" s="15" t="s">
        <v>33</v>
      </c>
      <c r="T159" s="19">
        <f t="shared" si="1"/>
        <v>0.22</v>
      </c>
      <c r="U159" s="19">
        <f t="shared" si="4"/>
        <v>1.104776023</v>
      </c>
    </row>
    <row r="160">
      <c r="A160" s="8">
        <f t="shared" si="3"/>
        <v>159</v>
      </c>
      <c r="B160" s="8" t="s">
        <v>26</v>
      </c>
      <c r="C160" s="8" t="s">
        <v>19</v>
      </c>
      <c r="D160" s="8">
        <v>22.0</v>
      </c>
      <c r="E160" s="8">
        <v>3.0</v>
      </c>
      <c r="F160" s="8" t="s">
        <v>4742</v>
      </c>
      <c r="G160" s="8" t="s">
        <v>5564</v>
      </c>
      <c r="H160" s="8" t="s">
        <v>2660</v>
      </c>
      <c r="I160" s="8">
        <v>0.0</v>
      </c>
      <c r="J160" s="8" t="s">
        <v>66</v>
      </c>
      <c r="K160" s="8" t="s">
        <v>22</v>
      </c>
      <c r="L160" s="8" t="s">
        <v>892</v>
      </c>
      <c r="M160" s="8" t="s">
        <v>24</v>
      </c>
      <c r="N160" s="9">
        <v>0.0</v>
      </c>
      <c r="O160" s="9">
        <v>1.0</v>
      </c>
      <c r="P160" s="9">
        <v>1.0</v>
      </c>
      <c r="Q160" s="10">
        <v>45367.0</v>
      </c>
      <c r="R160" s="11">
        <v>1.8</v>
      </c>
      <c r="S160" s="8" t="s">
        <v>33</v>
      </c>
      <c r="T160" s="12">
        <f t="shared" si="1"/>
        <v>0.8</v>
      </c>
      <c r="U160" s="12">
        <f t="shared" si="4"/>
        <v>1.904776023</v>
      </c>
    </row>
    <row r="161">
      <c r="A161" s="15">
        <f t="shared" si="3"/>
        <v>160</v>
      </c>
      <c r="B161" s="15" t="s">
        <v>4225</v>
      </c>
      <c r="C161" s="15" t="s">
        <v>40</v>
      </c>
      <c r="D161" s="15">
        <v>81.0</v>
      </c>
      <c r="E161" s="15">
        <v>3.0</v>
      </c>
      <c r="F161" s="15" t="s">
        <v>4743</v>
      </c>
      <c r="G161" s="15" t="s">
        <v>5564</v>
      </c>
      <c r="H161" s="15" t="s">
        <v>2660</v>
      </c>
      <c r="I161" s="15">
        <v>0.0</v>
      </c>
      <c r="J161" s="15" t="s">
        <v>93</v>
      </c>
      <c r="K161" s="15" t="s">
        <v>22</v>
      </c>
      <c r="L161" s="15" t="s">
        <v>892</v>
      </c>
      <c r="M161" s="15" t="s">
        <v>24</v>
      </c>
      <c r="N161" s="16">
        <v>0.0</v>
      </c>
      <c r="O161" s="16">
        <v>0.75</v>
      </c>
      <c r="P161" s="16">
        <v>0.75</v>
      </c>
      <c r="Q161" s="17">
        <v>45367.0</v>
      </c>
      <c r="R161" s="18">
        <v>1.9</v>
      </c>
      <c r="S161" s="15" t="s">
        <v>70</v>
      </c>
      <c r="T161" s="19">
        <f t="shared" si="1"/>
        <v>0</v>
      </c>
      <c r="U161" s="19">
        <f t="shared" si="4"/>
        <v>1.904776023</v>
      </c>
    </row>
    <row r="162">
      <c r="A162" s="8">
        <f t="shared" si="3"/>
        <v>161</v>
      </c>
      <c r="B162" s="8" t="s">
        <v>26</v>
      </c>
      <c r="C162" s="8" t="s">
        <v>19</v>
      </c>
      <c r="D162" s="8">
        <v>73.0</v>
      </c>
      <c r="E162" s="8">
        <v>3.0</v>
      </c>
      <c r="F162" s="8" t="s">
        <v>4744</v>
      </c>
      <c r="G162" s="8" t="s">
        <v>5565</v>
      </c>
      <c r="H162" s="8" t="s">
        <v>2660</v>
      </c>
      <c r="I162" s="8">
        <v>-1.0</v>
      </c>
      <c r="J162" s="8" t="s">
        <v>172</v>
      </c>
      <c r="K162" s="8" t="s">
        <v>22</v>
      </c>
      <c r="L162" s="8" t="s">
        <v>892</v>
      </c>
      <c r="M162" s="8" t="s">
        <v>24</v>
      </c>
      <c r="N162" s="9">
        <v>0.0</v>
      </c>
      <c r="O162" s="9">
        <v>0.75</v>
      </c>
      <c r="P162" s="9">
        <v>0.75</v>
      </c>
      <c r="Q162" s="10">
        <v>45367.0</v>
      </c>
      <c r="R162" s="11">
        <v>1.825</v>
      </c>
      <c r="S162" s="8" t="s">
        <v>70</v>
      </c>
      <c r="T162" s="12">
        <f t="shared" si="1"/>
        <v>0</v>
      </c>
      <c r="U162" s="12">
        <f t="shared" si="4"/>
        <v>1.904776023</v>
      </c>
    </row>
    <row r="163">
      <c r="A163" s="15">
        <f t="shared" si="3"/>
        <v>162</v>
      </c>
      <c r="B163" s="15" t="s">
        <v>26</v>
      </c>
      <c r="C163" s="15" t="s">
        <v>19</v>
      </c>
      <c r="D163" s="15">
        <v>73.0</v>
      </c>
      <c r="E163" s="15">
        <v>3.0</v>
      </c>
      <c r="F163" s="15" t="s">
        <v>4745</v>
      </c>
      <c r="G163" s="15" t="s">
        <v>5564</v>
      </c>
      <c r="H163" s="15" t="s">
        <v>2660</v>
      </c>
      <c r="I163" s="15">
        <v>-1.0</v>
      </c>
      <c r="J163" s="15" t="s">
        <v>231</v>
      </c>
      <c r="K163" s="15" t="s">
        <v>22</v>
      </c>
      <c r="L163" s="15" t="s">
        <v>892</v>
      </c>
      <c r="M163" s="15" t="s">
        <v>24</v>
      </c>
      <c r="N163" s="16">
        <v>0.0</v>
      </c>
      <c r="O163" s="16">
        <v>0.4</v>
      </c>
      <c r="P163" s="16">
        <v>0.4</v>
      </c>
      <c r="Q163" s="17">
        <v>45367.0</v>
      </c>
      <c r="R163" s="18">
        <v>1.975</v>
      </c>
      <c r="S163" s="15" t="s">
        <v>25</v>
      </c>
      <c r="T163" s="19">
        <f t="shared" si="1"/>
        <v>-0.4</v>
      </c>
      <c r="U163" s="19">
        <f t="shared" si="4"/>
        <v>1.504776023</v>
      </c>
    </row>
    <row r="164">
      <c r="A164" s="8">
        <f t="shared" si="3"/>
        <v>163</v>
      </c>
      <c r="B164" s="8" t="s">
        <v>26</v>
      </c>
      <c r="C164" s="8" t="s">
        <v>19</v>
      </c>
      <c r="D164" s="8">
        <v>78.0</v>
      </c>
      <c r="E164" s="8">
        <v>3.0</v>
      </c>
      <c r="F164" s="8" t="s">
        <v>4746</v>
      </c>
      <c r="G164" s="8" t="s">
        <v>5565</v>
      </c>
      <c r="H164" s="8" t="s">
        <v>2660</v>
      </c>
      <c r="I164" s="8">
        <v>0.0</v>
      </c>
      <c r="J164" s="8" t="s">
        <v>231</v>
      </c>
      <c r="K164" s="8" t="s">
        <v>22</v>
      </c>
      <c r="L164" s="8" t="s">
        <v>892</v>
      </c>
      <c r="M164" s="8" t="s">
        <v>24</v>
      </c>
      <c r="N164" s="9">
        <v>0.0</v>
      </c>
      <c r="O164" s="9">
        <v>0.25</v>
      </c>
      <c r="P164" s="9">
        <v>0.2135</v>
      </c>
      <c r="Q164" s="10">
        <v>45367.0</v>
      </c>
      <c r="R164" s="11">
        <v>1.825</v>
      </c>
      <c r="S164" s="8" t="s">
        <v>33</v>
      </c>
      <c r="T164" s="12">
        <f t="shared" si="1"/>
        <v>0.1761375</v>
      </c>
      <c r="U164" s="12">
        <f t="shared" si="4"/>
        <v>1.680913523</v>
      </c>
    </row>
    <row r="165">
      <c r="A165" s="15">
        <f t="shared" si="3"/>
        <v>164</v>
      </c>
      <c r="B165" s="15" t="s">
        <v>26</v>
      </c>
      <c r="C165" s="15" t="s">
        <v>19</v>
      </c>
      <c r="D165" s="15">
        <v>20.0</v>
      </c>
      <c r="E165" s="15">
        <v>3.0</v>
      </c>
      <c r="F165" s="15" t="s">
        <v>4747</v>
      </c>
      <c r="G165" s="15" t="s">
        <v>5564</v>
      </c>
      <c r="H165" s="15" t="s">
        <v>2660</v>
      </c>
      <c r="I165" s="15">
        <v>0.0</v>
      </c>
      <c r="J165" s="15" t="s">
        <v>583</v>
      </c>
      <c r="K165" s="15" t="s">
        <v>22</v>
      </c>
      <c r="L165" s="15" t="s">
        <v>4584</v>
      </c>
      <c r="M165" s="15" t="s">
        <v>24</v>
      </c>
      <c r="N165" s="16">
        <v>0.0</v>
      </c>
      <c r="O165" s="16">
        <v>0.6</v>
      </c>
      <c r="P165" s="16">
        <v>0.6</v>
      </c>
      <c r="Q165" s="17">
        <v>45368.0</v>
      </c>
      <c r="R165" s="18">
        <v>1.7</v>
      </c>
      <c r="S165" s="15" t="s">
        <v>70</v>
      </c>
      <c r="T165" s="19">
        <f t="shared" si="1"/>
        <v>0</v>
      </c>
      <c r="U165" s="19">
        <f t="shared" si="4"/>
        <v>1.680913523</v>
      </c>
    </row>
    <row r="166">
      <c r="A166" s="8">
        <f t="shared" si="3"/>
        <v>165</v>
      </c>
      <c r="B166" s="8" t="s">
        <v>26</v>
      </c>
      <c r="C166" s="8" t="s">
        <v>19</v>
      </c>
      <c r="D166" s="8">
        <v>55.0</v>
      </c>
      <c r="E166" s="8">
        <v>3.0</v>
      </c>
      <c r="F166" s="8" t="s">
        <v>4748</v>
      </c>
      <c r="G166" s="8" t="s">
        <v>5565</v>
      </c>
      <c r="H166" s="8" t="s">
        <v>2660</v>
      </c>
      <c r="I166" s="8">
        <v>-1.0</v>
      </c>
      <c r="J166" s="8" t="s">
        <v>583</v>
      </c>
      <c r="K166" s="8" t="s">
        <v>22</v>
      </c>
      <c r="L166" s="8" t="s">
        <v>892</v>
      </c>
      <c r="M166" s="8" t="s">
        <v>24</v>
      </c>
      <c r="N166" s="9">
        <v>0.0</v>
      </c>
      <c r="O166" s="9">
        <v>1.0</v>
      </c>
      <c r="P166" s="9">
        <v>1.0</v>
      </c>
      <c r="Q166" s="10">
        <v>45368.0</v>
      </c>
      <c r="R166" s="11">
        <v>1.7</v>
      </c>
      <c r="S166" s="8" t="s">
        <v>70</v>
      </c>
      <c r="T166" s="12">
        <f t="shared" si="1"/>
        <v>0</v>
      </c>
      <c r="U166" s="12">
        <f t="shared" si="4"/>
        <v>1.680913523</v>
      </c>
    </row>
    <row r="167">
      <c r="A167" s="15">
        <f t="shared" si="3"/>
        <v>166</v>
      </c>
      <c r="B167" s="15" t="s">
        <v>129</v>
      </c>
      <c r="C167" s="15" t="s">
        <v>19</v>
      </c>
      <c r="D167" s="15">
        <v>28.0</v>
      </c>
      <c r="E167" s="15">
        <v>3.0</v>
      </c>
      <c r="F167" s="15" t="s">
        <v>4749</v>
      </c>
      <c r="G167" s="15" t="s">
        <v>5564</v>
      </c>
      <c r="H167" s="15" t="s">
        <v>2660</v>
      </c>
      <c r="I167" s="15">
        <v>0.0</v>
      </c>
      <c r="J167" s="15" t="s">
        <v>93</v>
      </c>
      <c r="K167" s="15" t="s">
        <v>22</v>
      </c>
      <c r="L167" s="15" t="s">
        <v>4584</v>
      </c>
      <c r="M167" s="15" t="s">
        <v>39</v>
      </c>
      <c r="N167" s="16">
        <v>0.0</v>
      </c>
      <c r="O167" s="16">
        <v>0.4</v>
      </c>
      <c r="P167" s="16">
        <v>0.4</v>
      </c>
      <c r="Q167" s="17">
        <v>45368.0</v>
      </c>
      <c r="R167" s="18">
        <v>1.775</v>
      </c>
      <c r="S167" s="15" t="s">
        <v>70</v>
      </c>
      <c r="T167" s="19">
        <f t="shared" si="1"/>
        <v>0</v>
      </c>
      <c r="U167" s="19">
        <f t="shared" si="4"/>
        <v>1.680913523</v>
      </c>
    </row>
    <row r="168">
      <c r="A168" s="8">
        <f t="shared" si="3"/>
        <v>167</v>
      </c>
      <c r="B168" s="8" t="s">
        <v>129</v>
      </c>
      <c r="C168" s="8" t="s">
        <v>19</v>
      </c>
      <c r="D168" s="8">
        <v>23.0</v>
      </c>
      <c r="E168" s="8">
        <v>3.0</v>
      </c>
      <c r="F168" s="8" t="s">
        <v>4750</v>
      </c>
      <c r="G168" s="8" t="s">
        <v>5564</v>
      </c>
      <c r="H168" s="8" t="s">
        <v>2660</v>
      </c>
      <c r="I168" s="8">
        <v>0.0</v>
      </c>
      <c r="J168" s="8" t="s">
        <v>93</v>
      </c>
      <c r="K168" s="8" t="s">
        <v>22</v>
      </c>
      <c r="L168" s="8" t="s">
        <v>892</v>
      </c>
      <c r="M168" s="8" t="s">
        <v>24</v>
      </c>
      <c r="N168" s="9">
        <v>0.0</v>
      </c>
      <c r="O168" s="9">
        <v>0.6</v>
      </c>
      <c r="P168" s="9">
        <v>0.6</v>
      </c>
      <c r="Q168" s="10">
        <v>45368.0</v>
      </c>
      <c r="R168" s="11">
        <v>1.8</v>
      </c>
      <c r="S168" s="8" t="s">
        <v>25</v>
      </c>
      <c r="T168" s="12">
        <f t="shared" si="1"/>
        <v>-0.6</v>
      </c>
      <c r="U168" s="12">
        <f t="shared" si="4"/>
        <v>1.080913523</v>
      </c>
    </row>
    <row r="169">
      <c r="A169" s="15">
        <f t="shared" si="3"/>
        <v>168</v>
      </c>
      <c r="B169" s="15" t="s">
        <v>129</v>
      </c>
      <c r="C169" s="15" t="s">
        <v>19</v>
      </c>
      <c r="D169" s="15">
        <v>26.0</v>
      </c>
      <c r="E169" s="15">
        <v>3.0</v>
      </c>
      <c r="F169" s="15" t="s">
        <v>4751</v>
      </c>
      <c r="G169" s="15" t="s">
        <v>5564</v>
      </c>
      <c r="H169" s="15" t="s">
        <v>2660</v>
      </c>
      <c r="I169" s="15">
        <v>0.0</v>
      </c>
      <c r="J169" s="15" t="s">
        <v>93</v>
      </c>
      <c r="K169" s="15" t="s">
        <v>22</v>
      </c>
      <c r="L169" s="15" t="s">
        <v>941</v>
      </c>
      <c r="M169" s="15" t="s">
        <v>24</v>
      </c>
      <c r="N169" s="16">
        <v>0.0</v>
      </c>
      <c r="O169" s="16">
        <v>0.4</v>
      </c>
      <c r="P169" s="16">
        <v>0.4</v>
      </c>
      <c r="Q169" s="17">
        <v>45368.0</v>
      </c>
      <c r="R169" s="18">
        <v>1.8</v>
      </c>
      <c r="S169" s="15" t="s">
        <v>25</v>
      </c>
      <c r="T169" s="19">
        <f t="shared" si="1"/>
        <v>-0.4</v>
      </c>
      <c r="U169" s="19">
        <f t="shared" si="4"/>
        <v>0.6809135227</v>
      </c>
    </row>
    <row r="170">
      <c r="A170" s="8">
        <f t="shared" si="3"/>
        <v>169</v>
      </c>
      <c r="B170" s="8" t="s">
        <v>4225</v>
      </c>
      <c r="C170" s="8" t="s">
        <v>40</v>
      </c>
      <c r="D170" s="8">
        <v>80.0</v>
      </c>
      <c r="E170" s="8">
        <v>7.0</v>
      </c>
      <c r="F170" s="8" t="s">
        <v>4752</v>
      </c>
      <c r="G170" s="8" t="s">
        <v>5564</v>
      </c>
      <c r="H170" s="8" t="s">
        <v>2556</v>
      </c>
      <c r="I170" s="8">
        <v>0.0</v>
      </c>
      <c r="J170" s="8" t="s">
        <v>316</v>
      </c>
      <c r="K170" s="8" t="s">
        <v>22</v>
      </c>
      <c r="L170" s="8" t="s">
        <v>225</v>
      </c>
      <c r="M170" s="8" t="s">
        <v>24</v>
      </c>
      <c r="N170" s="9">
        <v>0.5</v>
      </c>
      <c r="O170" s="9">
        <v>0.4</v>
      </c>
      <c r="P170" s="9">
        <v>0.4</v>
      </c>
      <c r="Q170" s="10">
        <v>45368.0</v>
      </c>
      <c r="R170" s="11">
        <v>1.725</v>
      </c>
      <c r="S170" s="8" t="s">
        <v>33</v>
      </c>
      <c r="T170" s="12">
        <f t="shared" si="1"/>
        <v>0.29</v>
      </c>
      <c r="U170" s="12">
        <f t="shared" si="4"/>
        <v>0.9709135227</v>
      </c>
    </row>
    <row r="171">
      <c r="A171" s="15">
        <f t="shared" si="3"/>
        <v>170</v>
      </c>
      <c r="B171" s="15" t="s">
        <v>129</v>
      </c>
      <c r="C171" s="15" t="s">
        <v>19</v>
      </c>
      <c r="D171" s="15">
        <v>20.0</v>
      </c>
      <c r="E171" s="15">
        <v>3.0</v>
      </c>
      <c r="F171" s="15" t="s">
        <v>4753</v>
      </c>
      <c r="G171" s="15" t="s">
        <v>5565</v>
      </c>
      <c r="H171" s="15" t="s">
        <v>2660</v>
      </c>
      <c r="I171" s="15">
        <v>0.0</v>
      </c>
      <c r="J171" s="15" t="s">
        <v>1031</v>
      </c>
      <c r="K171" s="15" t="s">
        <v>22</v>
      </c>
      <c r="L171" s="15" t="s">
        <v>4584</v>
      </c>
      <c r="M171" s="15" t="s">
        <v>24</v>
      </c>
      <c r="N171" s="16">
        <v>0.0</v>
      </c>
      <c r="O171" s="16">
        <v>0.6</v>
      </c>
      <c r="P171" s="16">
        <v>0.6</v>
      </c>
      <c r="Q171" s="17">
        <v>45368.0</v>
      </c>
      <c r="R171" s="18">
        <v>1.65</v>
      </c>
      <c r="S171" s="15" t="s">
        <v>70</v>
      </c>
      <c r="T171" s="19">
        <f t="shared" si="1"/>
        <v>0</v>
      </c>
      <c r="U171" s="19">
        <f t="shared" si="4"/>
        <v>0.9709135227</v>
      </c>
    </row>
    <row r="172">
      <c r="A172" s="8">
        <f t="shared" si="3"/>
        <v>171</v>
      </c>
      <c r="B172" s="8" t="s">
        <v>26</v>
      </c>
      <c r="C172" s="8" t="s">
        <v>19</v>
      </c>
      <c r="D172" s="8">
        <v>65.0</v>
      </c>
      <c r="E172" s="8">
        <v>3.0</v>
      </c>
      <c r="F172" s="8" t="s">
        <v>4754</v>
      </c>
      <c r="G172" s="8" t="s">
        <v>5565</v>
      </c>
      <c r="H172" s="8" t="s">
        <v>2660</v>
      </c>
      <c r="I172" s="8">
        <v>-1.0</v>
      </c>
      <c r="J172" s="8" t="s">
        <v>4755</v>
      </c>
      <c r="K172" s="8" t="s">
        <v>22</v>
      </c>
      <c r="L172" s="8" t="s">
        <v>892</v>
      </c>
      <c r="M172" s="8" t="s">
        <v>24</v>
      </c>
      <c r="N172" s="9">
        <v>0.0</v>
      </c>
      <c r="O172" s="9">
        <v>0.6</v>
      </c>
      <c r="P172" s="9">
        <v>0.6</v>
      </c>
      <c r="Q172" s="10">
        <v>45368.0</v>
      </c>
      <c r="R172" s="11">
        <v>1.675</v>
      </c>
      <c r="S172" s="8" t="s">
        <v>70</v>
      </c>
      <c r="T172" s="12">
        <f t="shared" si="1"/>
        <v>0</v>
      </c>
      <c r="U172" s="12">
        <f t="shared" si="4"/>
        <v>0.9709135227</v>
      </c>
    </row>
    <row r="173">
      <c r="A173" s="15">
        <f t="shared" si="3"/>
        <v>172</v>
      </c>
      <c r="B173" s="15" t="s">
        <v>26</v>
      </c>
      <c r="C173" s="15" t="s">
        <v>19</v>
      </c>
      <c r="D173" s="15">
        <v>31.0</v>
      </c>
      <c r="E173" s="15">
        <v>3.0</v>
      </c>
      <c r="F173" s="15" t="s">
        <v>4756</v>
      </c>
      <c r="G173" s="15" t="s">
        <v>5564</v>
      </c>
      <c r="H173" s="15" t="s">
        <v>2660</v>
      </c>
      <c r="I173" s="15">
        <v>0.0</v>
      </c>
      <c r="J173" s="15" t="s">
        <v>50</v>
      </c>
      <c r="K173" s="15" t="s">
        <v>22</v>
      </c>
      <c r="L173" s="15" t="s">
        <v>4584</v>
      </c>
      <c r="M173" s="15" t="s">
        <v>24</v>
      </c>
      <c r="N173" s="16">
        <v>0.0</v>
      </c>
      <c r="O173" s="16">
        <v>1.0</v>
      </c>
      <c r="P173" s="16">
        <v>1.0</v>
      </c>
      <c r="Q173" s="17">
        <v>45368.0</v>
      </c>
      <c r="R173" s="18">
        <v>1.975</v>
      </c>
      <c r="S173" s="15" t="s">
        <v>70</v>
      </c>
      <c r="T173" s="19">
        <f t="shared" si="1"/>
        <v>0</v>
      </c>
      <c r="U173" s="19">
        <f t="shared" si="4"/>
        <v>0.9709135227</v>
      </c>
    </row>
    <row r="174">
      <c r="A174" s="8">
        <f t="shared" si="3"/>
        <v>173</v>
      </c>
      <c r="B174" s="8" t="s">
        <v>26</v>
      </c>
      <c r="C174" s="8" t="s">
        <v>19</v>
      </c>
      <c r="D174" s="8">
        <v>57.0</v>
      </c>
      <c r="E174" s="8">
        <v>3.0</v>
      </c>
      <c r="F174" s="8" t="s">
        <v>4757</v>
      </c>
      <c r="G174" s="8" t="s">
        <v>5565</v>
      </c>
      <c r="H174" s="8" t="s">
        <v>2660</v>
      </c>
      <c r="I174" s="8">
        <v>-1.0</v>
      </c>
      <c r="J174" s="8" t="s">
        <v>99</v>
      </c>
      <c r="K174" s="8" t="s">
        <v>22</v>
      </c>
      <c r="L174" s="8" t="s">
        <v>892</v>
      </c>
      <c r="M174" s="8" t="s">
        <v>24</v>
      </c>
      <c r="N174" s="9">
        <v>0.0</v>
      </c>
      <c r="O174" s="9">
        <v>0.2</v>
      </c>
      <c r="P174" s="9">
        <v>0.1125</v>
      </c>
      <c r="Q174" s="10">
        <v>45368.0</v>
      </c>
      <c r="R174" s="11">
        <v>1.7</v>
      </c>
      <c r="S174" s="8" t="s">
        <v>33</v>
      </c>
      <c r="T174" s="12">
        <f t="shared" si="1"/>
        <v>0.07875</v>
      </c>
      <c r="U174" s="12">
        <f t="shared" si="4"/>
        <v>1.049663523</v>
      </c>
    </row>
    <row r="175">
      <c r="A175" s="15">
        <f t="shared" si="3"/>
        <v>174</v>
      </c>
      <c r="B175" s="15" t="s">
        <v>26</v>
      </c>
      <c r="C175" s="15" t="s">
        <v>19</v>
      </c>
      <c r="D175" s="15">
        <v>55.0</v>
      </c>
      <c r="E175" s="15">
        <v>3.0</v>
      </c>
      <c r="F175" s="15" t="s">
        <v>4758</v>
      </c>
      <c r="G175" s="15" t="s">
        <v>5564</v>
      </c>
      <c r="H175" s="15" t="s">
        <v>2660</v>
      </c>
      <c r="I175" s="15">
        <v>0.0</v>
      </c>
      <c r="J175" s="15" t="s">
        <v>50</v>
      </c>
      <c r="K175" s="15" t="s">
        <v>22</v>
      </c>
      <c r="L175" s="15" t="s">
        <v>892</v>
      </c>
      <c r="M175" s="15" t="s">
        <v>24</v>
      </c>
      <c r="N175" s="16">
        <v>0.0</v>
      </c>
      <c r="O175" s="16">
        <v>0.4</v>
      </c>
      <c r="P175" s="16">
        <v>0.3877</v>
      </c>
      <c r="Q175" s="17">
        <v>45368.0</v>
      </c>
      <c r="R175" s="18">
        <v>2.0</v>
      </c>
      <c r="S175" s="15" t="s">
        <v>33</v>
      </c>
      <c r="T175" s="19">
        <f t="shared" si="1"/>
        <v>0.3877</v>
      </c>
      <c r="U175" s="19">
        <f t="shared" si="4"/>
        <v>1.437363523</v>
      </c>
    </row>
    <row r="176">
      <c r="A176" s="8">
        <f t="shared" si="3"/>
        <v>175</v>
      </c>
      <c r="B176" s="8" t="s">
        <v>26</v>
      </c>
      <c r="C176" s="8" t="s">
        <v>19</v>
      </c>
      <c r="D176" s="8">
        <v>80.0</v>
      </c>
      <c r="E176" s="8">
        <v>3.0</v>
      </c>
      <c r="F176" s="8" t="s">
        <v>4759</v>
      </c>
      <c r="G176" s="8" t="s">
        <v>5564</v>
      </c>
      <c r="H176" s="8" t="s">
        <v>2660</v>
      </c>
      <c r="I176" s="8">
        <v>0.0</v>
      </c>
      <c r="J176" s="8" t="s">
        <v>101</v>
      </c>
      <c r="K176" s="8" t="s">
        <v>22</v>
      </c>
      <c r="L176" s="8" t="s">
        <v>892</v>
      </c>
      <c r="M176" s="8" t="s">
        <v>24</v>
      </c>
      <c r="N176" s="9">
        <v>0.0</v>
      </c>
      <c r="O176" s="9">
        <v>0.6</v>
      </c>
      <c r="P176" s="9">
        <v>0.4938</v>
      </c>
      <c r="Q176" s="54">
        <v>45368.0</v>
      </c>
      <c r="R176" s="11">
        <v>1.85</v>
      </c>
      <c r="S176" s="8" t="s">
        <v>25</v>
      </c>
      <c r="T176" s="12">
        <f t="shared" si="1"/>
        <v>-0.4938</v>
      </c>
      <c r="U176" s="12">
        <f t="shared" si="4"/>
        <v>0.9435635227</v>
      </c>
    </row>
    <row r="177">
      <c r="A177" s="15">
        <f t="shared" si="3"/>
        <v>176</v>
      </c>
      <c r="B177" s="15" t="s">
        <v>26</v>
      </c>
      <c r="C177" s="15" t="s">
        <v>19</v>
      </c>
      <c r="D177" s="15">
        <v>20.0</v>
      </c>
      <c r="E177" s="15">
        <v>3.0</v>
      </c>
      <c r="F177" s="15" t="s">
        <v>4760</v>
      </c>
      <c r="G177" s="15" t="s">
        <v>5565</v>
      </c>
      <c r="H177" s="15" t="s">
        <v>2660</v>
      </c>
      <c r="I177" s="15">
        <v>-1.0</v>
      </c>
      <c r="J177" s="15" t="s">
        <v>93</v>
      </c>
      <c r="K177" s="15" t="s">
        <v>22</v>
      </c>
      <c r="L177" s="15" t="s">
        <v>892</v>
      </c>
      <c r="M177" s="15" t="s">
        <v>24</v>
      </c>
      <c r="N177" s="16">
        <v>0.0</v>
      </c>
      <c r="O177" s="16">
        <v>1.0</v>
      </c>
      <c r="P177" s="16">
        <v>1.0</v>
      </c>
      <c r="Q177" s="17">
        <v>45368.0</v>
      </c>
      <c r="R177" s="18">
        <v>1.825</v>
      </c>
      <c r="S177" s="15" t="s">
        <v>33</v>
      </c>
      <c r="T177" s="19">
        <f t="shared" si="1"/>
        <v>0.825</v>
      </c>
      <c r="U177" s="19">
        <f t="shared" si="4"/>
        <v>1.768563523</v>
      </c>
    </row>
    <row r="178">
      <c r="A178" s="8">
        <f t="shared" si="3"/>
        <v>177</v>
      </c>
      <c r="B178" s="8" t="s">
        <v>26</v>
      </c>
      <c r="C178" s="8" t="s">
        <v>19</v>
      </c>
      <c r="D178" s="8">
        <v>60.0</v>
      </c>
      <c r="E178" s="8">
        <v>3.0</v>
      </c>
      <c r="F178" s="8" t="s">
        <v>4761</v>
      </c>
      <c r="G178" s="8" t="s">
        <v>5565</v>
      </c>
      <c r="H178" s="8" t="s">
        <v>2556</v>
      </c>
      <c r="I178" s="8">
        <v>0.0</v>
      </c>
      <c r="J178" s="8" t="s">
        <v>66</v>
      </c>
      <c r="K178" s="8" t="s">
        <v>22</v>
      </c>
      <c r="L178" s="8" t="s">
        <v>941</v>
      </c>
      <c r="M178" s="8" t="s">
        <v>24</v>
      </c>
      <c r="N178" s="9">
        <v>0.0</v>
      </c>
      <c r="O178" s="9">
        <v>1.0</v>
      </c>
      <c r="P178" s="9">
        <v>1.0</v>
      </c>
      <c r="Q178" s="10">
        <v>45368.0</v>
      </c>
      <c r="R178" s="11">
        <v>1.8</v>
      </c>
      <c r="S178" s="8" t="s">
        <v>70</v>
      </c>
      <c r="T178" s="12">
        <f t="shared" si="1"/>
        <v>0</v>
      </c>
      <c r="U178" s="12">
        <f t="shared" si="4"/>
        <v>1.768563523</v>
      </c>
    </row>
    <row r="179">
      <c r="A179" s="15">
        <f t="shared" si="3"/>
        <v>178</v>
      </c>
      <c r="B179" s="15" t="s">
        <v>4225</v>
      </c>
      <c r="C179" s="15" t="s">
        <v>19</v>
      </c>
      <c r="D179" s="15">
        <v>65.0</v>
      </c>
      <c r="E179" s="15">
        <v>5.0</v>
      </c>
      <c r="F179" s="15" t="s">
        <v>4762</v>
      </c>
      <c r="G179" s="15" t="s">
        <v>5564</v>
      </c>
      <c r="H179" s="15" t="s">
        <v>2573</v>
      </c>
      <c r="I179" s="15">
        <v>0.0</v>
      </c>
      <c r="J179" s="15" t="s">
        <v>66</v>
      </c>
      <c r="K179" s="15" t="s">
        <v>22</v>
      </c>
      <c r="L179" s="15" t="s">
        <v>894</v>
      </c>
      <c r="M179" s="15" t="s">
        <v>24</v>
      </c>
      <c r="N179" s="16">
        <v>-0.5</v>
      </c>
      <c r="O179" s="16">
        <v>0.25</v>
      </c>
      <c r="P179" s="16">
        <v>0.25</v>
      </c>
      <c r="Q179" s="17">
        <v>45368.0</v>
      </c>
      <c r="R179" s="18">
        <v>1.95</v>
      </c>
      <c r="S179" s="15" t="s">
        <v>33</v>
      </c>
      <c r="T179" s="19">
        <f t="shared" si="1"/>
        <v>0.2375</v>
      </c>
      <c r="U179" s="19">
        <f t="shared" si="4"/>
        <v>2.006063523</v>
      </c>
    </row>
    <row r="180">
      <c r="A180" s="8">
        <f t="shared" si="3"/>
        <v>179</v>
      </c>
      <c r="B180" s="8" t="s">
        <v>4225</v>
      </c>
      <c r="C180" s="8" t="s">
        <v>19</v>
      </c>
      <c r="D180" s="8">
        <v>15.0</v>
      </c>
      <c r="E180" s="8">
        <v>2.0</v>
      </c>
      <c r="F180" s="8" t="s">
        <v>4763</v>
      </c>
      <c r="G180" s="8" t="s">
        <v>5565</v>
      </c>
      <c r="H180" s="8" t="s">
        <v>2556</v>
      </c>
      <c r="I180" s="8">
        <v>0.0</v>
      </c>
      <c r="J180" s="8" t="s">
        <v>38</v>
      </c>
      <c r="K180" s="8" t="s">
        <v>22</v>
      </c>
      <c r="L180" s="8" t="s">
        <v>225</v>
      </c>
      <c r="M180" s="8" t="s">
        <v>24</v>
      </c>
      <c r="N180" s="9">
        <v>0.5</v>
      </c>
      <c r="O180" s="9">
        <v>0.2</v>
      </c>
      <c r="P180" s="9">
        <v>0.18333</v>
      </c>
      <c r="Q180" s="10">
        <v>45370.0</v>
      </c>
      <c r="R180" s="11">
        <v>1.75</v>
      </c>
      <c r="S180" s="8" t="s">
        <v>33</v>
      </c>
      <c r="T180" s="12">
        <f t="shared" si="1"/>
        <v>0.1374975</v>
      </c>
      <c r="U180" s="12">
        <f t="shared" si="4"/>
        <v>2.143561023</v>
      </c>
    </row>
    <row r="181">
      <c r="A181" s="15">
        <f t="shared" si="3"/>
        <v>180</v>
      </c>
      <c r="B181" s="15" t="s">
        <v>4225</v>
      </c>
      <c r="C181" s="15" t="s">
        <v>19</v>
      </c>
      <c r="D181" s="15">
        <v>37.0</v>
      </c>
      <c r="E181" s="15">
        <v>2.0</v>
      </c>
      <c r="F181" s="15" t="s">
        <v>4764</v>
      </c>
      <c r="G181" s="15" t="s">
        <v>5564</v>
      </c>
      <c r="H181" s="15" t="s">
        <v>2556</v>
      </c>
      <c r="I181" s="15">
        <v>0.0</v>
      </c>
      <c r="J181" s="15" t="s">
        <v>38</v>
      </c>
      <c r="K181" s="15" t="s">
        <v>22</v>
      </c>
      <c r="L181" s="15" t="s">
        <v>1847</v>
      </c>
      <c r="M181" s="15" t="s">
        <v>24</v>
      </c>
      <c r="N181" s="16">
        <v>-0.5</v>
      </c>
      <c r="O181" s="16">
        <v>0.1</v>
      </c>
      <c r="P181" s="16">
        <v>0.1</v>
      </c>
      <c r="Q181" s="17">
        <v>45370.0</v>
      </c>
      <c r="R181" s="18">
        <v>3.5</v>
      </c>
      <c r="S181" s="15" t="s">
        <v>25</v>
      </c>
      <c r="T181" s="19">
        <f t="shared" si="1"/>
        <v>-0.1</v>
      </c>
      <c r="U181" s="19">
        <f t="shared" si="4"/>
        <v>2.043561023</v>
      </c>
    </row>
    <row r="182">
      <c r="A182" s="8">
        <f t="shared" si="3"/>
        <v>181</v>
      </c>
      <c r="B182" s="8" t="s">
        <v>4225</v>
      </c>
      <c r="C182" s="8" t="s">
        <v>19</v>
      </c>
      <c r="D182" s="8">
        <v>73.0</v>
      </c>
      <c r="E182" s="8">
        <v>7.0</v>
      </c>
      <c r="F182" s="8" t="s">
        <v>4765</v>
      </c>
      <c r="G182" s="8" t="s">
        <v>5565</v>
      </c>
      <c r="H182" s="8" t="s">
        <v>2556</v>
      </c>
      <c r="I182" s="8">
        <v>-1.0</v>
      </c>
      <c r="J182" s="8" t="s">
        <v>38</v>
      </c>
      <c r="K182" s="8" t="s">
        <v>22</v>
      </c>
      <c r="L182" s="8" t="s">
        <v>225</v>
      </c>
      <c r="M182" s="8" t="s">
        <v>1803</v>
      </c>
      <c r="N182" s="9">
        <v>0.25</v>
      </c>
      <c r="O182" s="9">
        <v>0.5</v>
      </c>
      <c r="P182" s="9">
        <v>0.4083</v>
      </c>
      <c r="Q182" s="10">
        <v>45370.0</v>
      </c>
      <c r="R182" s="11">
        <v>1.825</v>
      </c>
      <c r="S182" s="8" t="s">
        <v>30</v>
      </c>
      <c r="T182" s="12">
        <f t="shared" si="1"/>
        <v>0.16842375</v>
      </c>
      <c r="U182" s="12">
        <f t="shared" si="4"/>
        <v>2.211984773</v>
      </c>
    </row>
    <row r="183">
      <c r="A183" s="15">
        <f t="shared" si="3"/>
        <v>182</v>
      </c>
      <c r="B183" s="15" t="s">
        <v>129</v>
      </c>
      <c r="C183" s="15" t="s">
        <v>19</v>
      </c>
      <c r="D183" s="15">
        <v>20.0</v>
      </c>
      <c r="E183" s="15">
        <v>3.0</v>
      </c>
      <c r="F183" s="15" t="s">
        <v>4766</v>
      </c>
      <c r="G183" s="15" t="s">
        <v>5565</v>
      </c>
      <c r="H183" s="15" t="s">
        <v>2660</v>
      </c>
      <c r="I183" s="15">
        <v>0.0</v>
      </c>
      <c r="J183" s="15" t="s">
        <v>616</v>
      </c>
      <c r="K183" s="15" t="s">
        <v>22</v>
      </c>
      <c r="L183" s="15" t="s">
        <v>4584</v>
      </c>
      <c r="M183" s="15" t="s">
        <v>24</v>
      </c>
      <c r="N183" s="16">
        <v>0.0</v>
      </c>
      <c r="O183" s="16">
        <v>0.6</v>
      </c>
      <c r="P183" s="16">
        <v>0.4864</v>
      </c>
      <c r="Q183" s="17">
        <v>45370.0</v>
      </c>
      <c r="R183" s="18">
        <v>1.95</v>
      </c>
      <c r="S183" s="15" t="s">
        <v>70</v>
      </c>
      <c r="T183" s="19">
        <f t="shared" si="1"/>
        <v>0</v>
      </c>
      <c r="U183" s="19">
        <f t="shared" si="4"/>
        <v>2.211984773</v>
      </c>
    </row>
    <row r="184">
      <c r="A184" s="8">
        <f t="shared" si="3"/>
        <v>183</v>
      </c>
      <c r="B184" s="8" t="s">
        <v>4225</v>
      </c>
      <c r="C184" s="8" t="s">
        <v>19</v>
      </c>
      <c r="D184" s="8">
        <v>85.0</v>
      </c>
      <c r="E184" s="8">
        <v>3.0</v>
      </c>
      <c r="F184" s="8" t="s">
        <v>4767</v>
      </c>
      <c r="G184" s="8" t="s">
        <v>5565</v>
      </c>
      <c r="H184" s="8" t="s">
        <v>2660</v>
      </c>
      <c r="I184" s="8">
        <v>0.0</v>
      </c>
      <c r="J184" s="8" t="s">
        <v>624</v>
      </c>
      <c r="K184" s="8" t="s">
        <v>22</v>
      </c>
      <c r="L184" s="8" t="s">
        <v>892</v>
      </c>
      <c r="M184" s="8" t="s">
        <v>24</v>
      </c>
      <c r="N184" s="9">
        <v>0.0</v>
      </c>
      <c r="O184" s="9">
        <v>0.6</v>
      </c>
      <c r="P184" s="9">
        <v>0.4333</v>
      </c>
      <c r="Q184" s="10">
        <v>45371.0</v>
      </c>
      <c r="R184" s="11">
        <v>1.825</v>
      </c>
      <c r="S184" s="8" t="s">
        <v>70</v>
      </c>
      <c r="T184" s="12">
        <f t="shared" si="1"/>
        <v>0</v>
      </c>
      <c r="U184" s="12">
        <f t="shared" si="4"/>
        <v>2.211984773</v>
      </c>
    </row>
    <row r="185">
      <c r="A185" s="15">
        <f t="shared" si="3"/>
        <v>184</v>
      </c>
      <c r="B185" s="15" t="s">
        <v>26</v>
      </c>
      <c r="C185" s="15" t="s">
        <v>40</v>
      </c>
      <c r="D185" s="15">
        <v>66.0</v>
      </c>
      <c r="E185" s="15">
        <v>9.0</v>
      </c>
      <c r="F185" s="15" t="s">
        <v>4768</v>
      </c>
      <c r="G185" s="15"/>
      <c r="H185" s="15"/>
      <c r="I185" s="15" t="s">
        <v>2608</v>
      </c>
      <c r="J185" s="15" t="s">
        <v>583</v>
      </c>
      <c r="K185" s="15" t="s">
        <v>22</v>
      </c>
      <c r="L185" s="15" t="s">
        <v>440</v>
      </c>
      <c r="M185" s="15" t="s">
        <v>24</v>
      </c>
      <c r="N185" s="16">
        <v>1.0</v>
      </c>
      <c r="O185" s="16">
        <v>0.4</v>
      </c>
      <c r="P185" s="16">
        <v>0.4</v>
      </c>
      <c r="Q185" s="17">
        <v>45371.0</v>
      </c>
      <c r="R185" s="18">
        <f>(1.825+1.9)/2</f>
        <v>1.8625</v>
      </c>
      <c r="S185" s="15" t="s">
        <v>33</v>
      </c>
      <c r="T185" s="19">
        <f t="shared" si="1"/>
        <v>0.345</v>
      </c>
      <c r="U185" s="19">
        <f t="shared" si="4"/>
        <v>2.556984773</v>
      </c>
    </row>
    <row r="186">
      <c r="A186" s="8">
        <f t="shared" si="3"/>
        <v>185</v>
      </c>
      <c r="B186" s="8" t="s">
        <v>26</v>
      </c>
      <c r="C186" s="8" t="s">
        <v>40</v>
      </c>
      <c r="D186" s="8">
        <v>66.0</v>
      </c>
      <c r="E186" s="8">
        <v>9.0</v>
      </c>
      <c r="F186" s="8" t="s">
        <v>4769</v>
      </c>
      <c r="G186" s="8"/>
      <c r="H186" s="8"/>
      <c r="I186" s="8" t="s">
        <v>2608</v>
      </c>
      <c r="J186" s="8" t="s">
        <v>583</v>
      </c>
      <c r="K186" s="8" t="s">
        <v>22</v>
      </c>
      <c r="L186" s="8" t="s">
        <v>440</v>
      </c>
      <c r="M186" s="8" t="s">
        <v>24</v>
      </c>
      <c r="N186" s="9">
        <v>0.75</v>
      </c>
      <c r="O186" s="9">
        <v>0.1</v>
      </c>
      <c r="P186" s="9">
        <v>0.1</v>
      </c>
      <c r="Q186" s="10">
        <v>45371.0</v>
      </c>
      <c r="R186" s="11">
        <v>1.7</v>
      </c>
      <c r="S186" s="8" t="s">
        <v>33</v>
      </c>
      <c r="T186" s="12">
        <f t="shared" si="1"/>
        <v>0.07</v>
      </c>
      <c r="U186" s="12">
        <f t="shared" si="4"/>
        <v>2.626984773</v>
      </c>
    </row>
    <row r="187">
      <c r="A187" s="15">
        <f t="shared" si="3"/>
        <v>186</v>
      </c>
      <c r="B187" s="15" t="s">
        <v>129</v>
      </c>
      <c r="C187" s="15" t="s">
        <v>40</v>
      </c>
      <c r="D187" s="15">
        <v>45.0</v>
      </c>
      <c r="E187" s="15">
        <v>2.0</v>
      </c>
      <c r="F187" s="15" t="s">
        <v>4770</v>
      </c>
      <c r="G187" s="15" t="s">
        <v>5565</v>
      </c>
      <c r="H187" s="15" t="s">
        <v>2556</v>
      </c>
      <c r="I187" s="15">
        <v>0.0</v>
      </c>
      <c r="J187" s="15" t="s">
        <v>191</v>
      </c>
      <c r="K187" s="15" t="s">
        <v>22</v>
      </c>
      <c r="L187" s="15" t="s">
        <v>225</v>
      </c>
      <c r="M187" s="15" t="s">
        <v>24</v>
      </c>
      <c r="N187" s="16">
        <v>0.25</v>
      </c>
      <c r="O187" s="16">
        <v>0.4</v>
      </c>
      <c r="P187" s="16">
        <v>0.4</v>
      </c>
      <c r="Q187" s="17">
        <v>45371.0</v>
      </c>
      <c r="R187" s="18">
        <v>1.7</v>
      </c>
      <c r="S187" s="15" t="s">
        <v>33</v>
      </c>
      <c r="T187" s="19">
        <f t="shared" si="1"/>
        <v>0.28</v>
      </c>
      <c r="U187" s="19">
        <f t="shared" si="4"/>
        <v>2.906984773</v>
      </c>
    </row>
    <row r="188">
      <c r="A188" s="8">
        <f t="shared" si="3"/>
        <v>187</v>
      </c>
      <c r="B188" s="8" t="s">
        <v>137</v>
      </c>
      <c r="C188" s="8" t="s">
        <v>40</v>
      </c>
      <c r="D188" s="8">
        <v>62.0</v>
      </c>
      <c r="E188" s="8">
        <v>3.0</v>
      </c>
      <c r="F188" s="8" t="s">
        <v>4771</v>
      </c>
      <c r="G188" s="8" t="s">
        <v>5565</v>
      </c>
      <c r="H188" s="8" t="s">
        <v>2660</v>
      </c>
      <c r="I188" s="8">
        <v>0.0</v>
      </c>
      <c r="J188" s="8" t="s">
        <v>191</v>
      </c>
      <c r="K188" s="8" t="s">
        <v>22</v>
      </c>
      <c r="L188" s="8" t="s">
        <v>892</v>
      </c>
      <c r="M188" s="8" t="s">
        <v>24</v>
      </c>
      <c r="N188" s="9">
        <v>0.0</v>
      </c>
      <c r="O188" s="9">
        <v>0.6</v>
      </c>
      <c r="P188" s="9">
        <v>0.6</v>
      </c>
      <c r="Q188" s="10">
        <v>45371.0</v>
      </c>
      <c r="R188" s="11">
        <v>2.0</v>
      </c>
      <c r="S188" s="8" t="s">
        <v>33</v>
      </c>
      <c r="T188" s="12">
        <f t="shared" si="1"/>
        <v>0.6</v>
      </c>
      <c r="U188" s="12">
        <f t="shared" si="4"/>
        <v>3.506984773</v>
      </c>
    </row>
    <row r="189">
      <c r="A189" s="15">
        <f t="shared" si="3"/>
        <v>188</v>
      </c>
      <c r="B189" s="15" t="s">
        <v>4225</v>
      </c>
      <c r="C189" s="15" t="s">
        <v>40</v>
      </c>
      <c r="D189" s="15">
        <v>68.0</v>
      </c>
      <c r="E189" s="15">
        <v>1.0</v>
      </c>
      <c r="F189" s="15" t="s">
        <v>4772</v>
      </c>
      <c r="G189" s="15" t="s">
        <v>5565</v>
      </c>
      <c r="H189" s="15" t="s">
        <v>2660</v>
      </c>
      <c r="I189" s="15">
        <v>0.0</v>
      </c>
      <c r="J189" s="15" t="s">
        <v>191</v>
      </c>
      <c r="K189" s="15" t="s">
        <v>22</v>
      </c>
      <c r="L189" s="15" t="s">
        <v>892</v>
      </c>
      <c r="M189" s="15" t="s">
        <v>24</v>
      </c>
      <c r="N189" s="16">
        <v>0.0</v>
      </c>
      <c r="O189" s="16">
        <v>0.75</v>
      </c>
      <c r="P189" s="16">
        <v>0.75</v>
      </c>
      <c r="Q189" s="17">
        <v>45371.0</v>
      </c>
      <c r="R189" s="18">
        <v>1.675</v>
      </c>
      <c r="S189" s="15" t="s">
        <v>70</v>
      </c>
      <c r="T189" s="19">
        <f t="shared" si="1"/>
        <v>0</v>
      </c>
      <c r="U189" s="19">
        <f t="shared" si="4"/>
        <v>3.506984773</v>
      </c>
    </row>
    <row r="190">
      <c r="A190" s="8">
        <f t="shared" si="3"/>
        <v>189</v>
      </c>
      <c r="B190" s="8" t="s">
        <v>129</v>
      </c>
      <c r="C190" s="8" t="s">
        <v>40</v>
      </c>
      <c r="D190" s="8">
        <v>73.0</v>
      </c>
      <c r="E190" s="8">
        <v>2.0</v>
      </c>
      <c r="F190" s="8" t="s">
        <v>4773</v>
      </c>
      <c r="G190" s="8" t="s">
        <v>5565</v>
      </c>
      <c r="H190" s="8" t="s">
        <v>2660</v>
      </c>
      <c r="I190" s="8">
        <v>0.0</v>
      </c>
      <c r="J190" s="8" t="s">
        <v>191</v>
      </c>
      <c r="K190" s="8" t="s">
        <v>22</v>
      </c>
      <c r="L190" s="8" t="s">
        <v>892</v>
      </c>
      <c r="M190" s="8" t="s">
        <v>24</v>
      </c>
      <c r="N190" s="9">
        <v>0.0</v>
      </c>
      <c r="O190" s="9">
        <v>0.35</v>
      </c>
      <c r="P190" s="9">
        <v>0.35</v>
      </c>
      <c r="Q190" s="10">
        <v>45371.0</v>
      </c>
      <c r="R190" s="11">
        <v>2.2</v>
      </c>
      <c r="S190" s="8" t="s">
        <v>33</v>
      </c>
      <c r="T190" s="12">
        <f t="shared" si="1"/>
        <v>0.42</v>
      </c>
      <c r="U190" s="12">
        <f t="shared" si="4"/>
        <v>3.926984773</v>
      </c>
    </row>
    <row r="191">
      <c r="A191" s="15">
        <f t="shared" si="3"/>
        <v>190</v>
      </c>
      <c r="B191" s="15" t="s">
        <v>4225</v>
      </c>
      <c r="C191" s="15" t="s">
        <v>40</v>
      </c>
      <c r="D191" s="15">
        <v>69.0</v>
      </c>
      <c r="E191" s="15">
        <v>5.0</v>
      </c>
      <c r="F191" s="15" t="s">
        <v>4774</v>
      </c>
      <c r="G191" s="15" t="s">
        <v>5564</v>
      </c>
      <c r="H191" s="15" t="s">
        <v>2573</v>
      </c>
      <c r="I191" s="15">
        <v>-1.0</v>
      </c>
      <c r="J191" s="15" t="s">
        <v>99</v>
      </c>
      <c r="K191" s="15" t="s">
        <v>22</v>
      </c>
      <c r="L191" s="15" t="s">
        <v>894</v>
      </c>
      <c r="M191" s="15" t="s">
        <v>24</v>
      </c>
      <c r="N191" s="16">
        <v>-0.25</v>
      </c>
      <c r="O191" s="16">
        <v>0.25</v>
      </c>
      <c r="P191" s="16">
        <v>0.25</v>
      </c>
      <c r="Q191" s="55">
        <v>45371.0</v>
      </c>
      <c r="R191" s="18">
        <v>1.775</v>
      </c>
      <c r="S191" s="15" t="s">
        <v>79</v>
      </c>
      <c r="T191" s="19">
        <f t="shared" si="1"/>
        <v>-0.125</v>
      </c>
      <c r="U191" s="19">
        <f t="shared" si="4"/>
        <v>3.801984773</v>
      </c>
    </row>
    <row r="192">
      <c r="A192" s="8">
        <f t="shared" si="3"/>
        <v>191</v>
      </c>
      <c r="B192" s="8" t="s">
        <v>26</v>
      </c>
      <c r="C192" s="8" t="s">
        <v>40</v>
      </c>
      <c r="D192" s="8">
        <v>82.0</v>
      </c>
      <c r="E192" s="8">
        <v>7.0</v>
      </c>
      <c r="F192" s="8" t="s">
        <v>4775</v>
      </c>
      <c r="G192" s="8"/>
      <c r="H192" s="8"/>
      <c r="I192" s="8" t="s">
        <v>2615</v>
      </c>
      <c r="J192" s="8" t="s">
        <v>683</v>
      </c>
      <c r="K192" s="8" t="s">
        <v>22</v>
      </c>
      <c r="L192" s="8" t="s">
        <v>29</v>
      </c>
      <c r="M192" s="8" t="s">
        <v>24</v>
      </c>
      <c r="N192" s="9">
        <v>-1.5</v>
      </c>
      <c r="O192" s="9">
        <v>0.25</v>
      </c>
      <c r="P192" s="9">
        <v>0.25</v>
      </c>
      <c r="Q192" s="10">
        <v>45372.0</v>
      </c>
      <c r="R192" s="11">
        <v>1.8</v>
      </c>
      <c r="S192" s="8" t="s">
        <v>25</v>
      </c>
      <c r="T192" s="12">
        <f t="shared" si="1"/>
        <v>-0.25</v>
      </c>
      <c r="U192" s="12">
        <f t="shared" si="4"/>
        <v>3.551984773</v>
      </c>
    </row>
    <row r="193">
      <c r="A193" s="15">
        <f t="shared" si="3"/>
        <v>192</v>
      </c>
      <c r="B193" s="15" t="s">
        <v>18</v>
      </c>
      <c r="C193" s="15" t="s">
        <v>19</v>
      </c>
      <c r="D193" s="15">
        <v>23.0</v>
      </c>
      <c r="E193" s="15">
        <v>3.0</v>
      </c>
      <c r="F193" s="15" t="s">
        <v>4776</v>
      </c>
      <c r="G193" s="15" t="s">
        <v>5565</v>
      </c>
      <c r="H193" s="15" t="s">
        <v>2660</v>
      </c>
      <c r="I193" s="15">
        <f>1</f>
        <v>1</v>
      </c>
      <c r="J193" s="15" t="s">
        <v>28</v>
      </c>
      <c r="K193" s="15" t="s">
        <v>22</v>
      </c>
      <c r="L193" s="15" t="s">
        <v>4584</v>
      </c>
      <c r="M193" s="15" t="s">
        <v>24</v>
      </c>
      <c r="N193" s="16">
        <v>0.0</v>
      </c>
      <c r="O193" s="16">
        <v>0.6</v>
      </c>
      <c r="P193" s="16">
        <v>0.6</v>
      </c>
      <c r="Q193" s="17">
        <v>45372.0</v>
      </c>
      <c r="R193" s="18">
        <v>1.725</v>
      </c>
      <c r="S193" s="15" t="s">
        <v>70</v>
      </c>
      <c r="T193" s="19">
        <f t="shared" si="1"/>
        <v>0</v>
      </c>
      <c r="U193" s="19">
        <f t="shared" si="4"/>
        <v>3.551984773</v>
      </c>
    </row>
    <row r="194">
      <c r="A194" s="8">
        <f t="shared" si="3"/>
        <v>193</v>
      </c>
      <c r="B194" s="8" t="s">
        <v>26</v>
      </c>
      <c r="C194" s="8" t="s">
        <v>19</v>
      </c>
      <c r="D194" s="8">
        <v>29.0</v>
      </c>
      <c r="E194" s="8">
        <v>3.0</v>
      </c>
      <c r="F194" s="8" t="s">
        <v>4777</v>
      </c>
      <c r="G194" s="8" t="s">
        <v>5564</v>
      </c>
      <c r="H194" s="8" t="s">
        <v>2660</v>
      </c>
      <c r="I194" s="8">
        <v>0.0</v>
      </c>
      <c r="J194" s="8" t="s">
        <v>28</v>
      </c>
      <c r="K194" s="8" t="s">
        <v>22</v>
      </c>
      <c r="L194" s="8" t="s">
        <v>4584</v>
      </c>
      <c r="M194" s="8" t="s">
        <v>24</v>
      </c>
      <c r="N194" s="9">
        <v>0.0</v>
      </c>
      <c r="O194" s="9">
        <v>0.75</v>
      </c>
      <c r="P194" s="9">
        <v>0.75</v>
      </c>
      <c r="Q194" s="10">
        <v>45372.0</v>
      </c>
      <c r="R194" s="11">
        <v>1.825</v>
      </c>
      <c r="S194" s="8" t="s">
        <v>33</v>
      </c>
      <c r="T194" s="12">
        <f t="shared" si="1"/>
        <v>0.61875</v>
      </c>
      <c r="U194" s="12">
        <f t="shared" si="4"/>
        <v>4.170734773</v>
      </c>
    </row>
    <row r="195">
      <c r="A195" s="15">
        <f t="shared" si="3"/>
        <v>194</v>
      </c>
      <c r="B195" s="15" t="s">
        <v>4225</v>
      </c>
      <c r="C195" s="15" t="s">
        <v>19</v>
      </c>
      <c r="D195" s="15">
        <v>70.0</v>
      </c>
      <c r="E195" s="15">
        <v>3.0</v>
      </c>
      <c r="F195" s="15" t="s">
        <v>4778</v>
      </c>
      <c r="G195" s="15" t="s">
        <v>5564</v>
      </c>
      <c r="H195" s="15" t="s">
        <v>2660</v>
      </c>
      <c r="I195" s="15">
        <v>0.0</v>
      </c>
      <c r="J195" s="15" t="s">
        <v>248</v>
      </c>
      <c r="K195" s="15" t="s">
        <v>22</v>
      </c>
      <c r="L195" s="15" t="s">
        <v>892</v>
      </c>
      <c r="M195" s="15" t="s">
        <v>24</v>
      </c>
      <c r="N195" s="16">
        <v>0.0</v>
      </c>
      <c r="O195" s="16">
        <v>0.1</v>
      </c>
      <c r="P195" s="16">
        <v>0.0913</v>
      </c>
      <c r="Q195" s="17">
        <v>45372.0</v>
      </c>
      <c r="R195" s="18">
        <v>5.2</v>
      </c>
      <c r="S195" s="15" t="s">
        <v>70</v>
      </c>
      <c r="T195" s="19">
        <f t="shared" si="1"/>
        <v>0</v>
      </c>
      <c r="U195" s="19">
        <f t="shared" si="4"/>
        <v>4.170734773</v>
      </c>
    </row>
    <row r="196">
      <c r="A196" s="8">
        <f t="shared" si="3"/>
        <v>195</v>
      </c>
      <c r="B196" s="8" t="s">
        <v>137</v>
      </c>
      <c r="C196" s="8" t="s">
        <v>19</v>
      </c>
      <c r="D196" s="8">
        <v>65.0</v>
      </c>
      <c r="E196" s="8">
        <v>3.0</v>
      </c>
      <c r="F196" s="8" t="s">
        <v>4779</v>
      </c>
      <c r="G196" s="8" t="s">
        <v>5564</v>
      </c>
      <c r="H196" s="8" t="s">
        <v>2660</v>
      </c>
      <c r="I196" s="8">
        <f>1</f>
        <v>1</v>
      </c>
      <c r="J196" s="8" t="s">
        <v>28</v>
      </c>
      <c r="K196" s="8" t="s">
        <v>22</v>
      </c>
      <c r="L196" s="8" t="s">
        <v>892</v>
      </c>
      <c r="M196" s="8" t="s">
        <v>24</v>
      </c>
      <c r="N196" s="9">
        <v>0.0</v>
      </c>
      <c r="O196" s="9">
        <v>0.2</v>
      </c>
      <c r="P196" s="9">
        <v>0.1826</v>
      </c>
      <c r="Q196" s="10">
        <v>45372.0</v>
      </c>
      <c r="R196" s="11">
        <v>1.7</v>
      </c>
      <c r="S196" s="8" t="s">
        <v>33</v>
      </c>
      <c r="T196" s="12">
        <f t="shared" si="1"/>
        <v>0.12782</v>
      </c>
      <c r="U196" s="12">
        <f t="shared" si="4"/>
        <v>4.298554773</v>
      </c>
    </row>
    <row r="197">
      <c r="A197" s="15">
        <f t="shared" si="3"/>
        <v>196</v>
      </c>
      <c r="B197" s="15" t="s">
        <v>129</v>
      </c>
      <c r="C197" s="15" t="s">
        <v>19</v>
      </c>
      <c r="D197" s="15">
        <v>35.0</v>
      </c>
      <c r="E197" s="15">
        <v>2.0</v>
      </c>
      <c r="F197" s="15" t="s">
        <v>4780</v>
      </c>
      <c r="G197" s="15" t="s">
        <v>5565</v>
      </c>
      <c r="H197" s="15" t="s">
        <v>2556</v>
      </c>
      <c r="I197" s="15">
        <v>0.0</v>
      </c>
      <c r="J197" s="15" t="s">
        <v>1003</v>
      </c>
      <c r="K197" s="15" t="s">
        <v>22</v>
      </c>
      <c r="L197" s="15" t="s">
        <v>225</v>
      </c>
      <c r="M197" s="15" t="s">
        <v>24</v>
      </c>
      <c r="N197" s="16">
        <v>0.75</v>
      </c>
      <c r="O197" s="16">
        <v>0.4</v>
      </c>
      <c r="P197" s="16">
        <v>0.38222</v>
      </c>
      <c r="Q197" s="17">
        <v>45372.0</v>
      </c>
      <c r="R197" s="18">
        <v>1.8</v>
      </c>
      <c r="S197" s="15" t="s">
        <v>79</v>
      </c>
      <c r="T197" s="19">
        <f t="shared" si="1"/>
        <v>-0.19111</v>
      </c>
      <c r="U197" s="19">
        <f t="shared" si="4"/>
        <v>4.107444773</v>
      </c>
    </row>
    <row r="198">
      <c r="A198" s="8">
        <f t="shared" si="3"/>
        <v>197</v>
      </c>
      <c r="B198" s="8" t="s">
        <v>129</v>
      </c>
      <c r="C198" s="8" t="s">
        <v>19</v>
      </c>
      <c r="D198" s="8">
        <v>65.0</v>
      </c>
      <c r="E198" s="8">
        <v>2.0</v>
      </c>
      <c r="F198" s="8" t="s">
        <v>4781</v>
      </c>
      <c r="G198" s="8" t="s">
        <v>5564</v>
      </c>
      <c r="H198" s="8" t="s">
        <v>2556</v>
      </c>
      <c r="I198" s="8">
        <v>0.0</v>
      </c>
      <c r="J198" s="8" t="s">
        <v>1003</v>
      </c>
      <c r="K198" s="8" t="s">
        <v>22</v>
      </c>
      <c r="L198" s="8" t="s">
        <v>1847</v>
      </c>
      <c r="M198" s="8" t="s">
        <v>24</v>
      </c>
      <c r="N198" s="9">
        <v>-0.5</v>
      </c>
      <c r="O198" s="9">
        <v>0.2</v>
      </c>
      <c r="P198" s="9">
        <v>0.2</v>
      </c>
      <c r="Q198" s="10">
        <v>45372.0</v>
      </c>
      <c r="R198" s="11">
        <v>3.1</v>
      </c>
      <c r="S198" s="8" t="s">
        <v>33</v>
      </c>
      <c r="T198" s="12">
        <f t="shared" si="1"/>
        <v>0.42</v>
      </c>
      <c r="U198" s="12">
        <f t="shared" si="4"/>
        <v>4.527444773</v>
      </c>
    </row>
    <row r="199">
      <c r="A199" s="15">
        <f t="shared" si="3"/>
        <v>198</v>
      </c>
      <c r="B199" s="15" t="s">
        <v>18</v>
      </c>
      <c r="C199" s="15" t="s">
        <v>19</v>
      </c>
      <c r="D199" s="15">
        <v>59.0</v>
      </c>
      <c r="E199" s="15">
        <v>5.0</v>
      </c>
      <c r="F199" s="15" t="s">
        <v>4782</v>
      </c>
      <c r="G199" s="15" t="s">
        <v>5564</v>
      </c>
      <c r="H199" s="15" t="s">
        <v>2573</v>
      </c>
      <c r="I199" s="15">
        <v>0.0</v>
      </c>
      <c r="J199" s="15" t="s">
        <v>923</v>
      </c>
      <c r="K199" s="15" t="s">
        <v>22</v>
      </c>
      <c r="L199" s="15" t="s">
        <v>894</v>
      </c>
      <c r="M199" s="15" t="s">
        <v>24</v>
      </c>
      <c r="N199" s="16">
        <v>-0.5</v>
      </c>
      <c r="O199" s="16">
        <v>0.1</v>
      </c>
      <c r="P199" s="16">
        <v>0.1</v>
      </c>
      <c r="Q199" s="17">
        <v>45373.0</v>
      </c>
      <c r="R199" s="18">
        <v>1.95</v>
      </c>
      <c r="S199" s="15" t="s">
        <v>33</v>
      </c>
      <c r="T199" s="19">
        <f t="shared" si="1"/>
        <v>0.095</v>
      </c>
      <c r="U199" s="19">
        <f t="shared" si="4"/>
        <v>4.622444773</v>
      </c>
    </row>
    <row r="200">
      <c r="A200" s="8">
        <f t="shared" si="3"/>
        <v>199</v>
      </c>
      <c r="B200" s="8" t="s">
        <v>4225</v>
      </c>
      <c r="C200" s="8" t="s">
        <v>19</v>
      </c>
      <c r="D200" s="8">
        <v>59.0</v>
      </c>
      <c r="E200" s="8">
        <v>5.0</v>
      </c>
      <c r="F200" s="8" t="s">
        <v>4782</v>
      </c>
      <c r="G200" s="8" t="s">
        <v>5564</v>
      </c>
      <c r="H200" s="8" t="s">
        <v>2573</v>
      </c>
      <c r="I200" s="8">
        <v>0.0</v>
      </c>
      <c r="J200" s="8" t="s">
        <v>923</v>
      </c>
      <c r="K200" s="8" t="s">
        <v>22</v>
      </c>
      <c r="L200" s="8" t="s">
        <v>894</v>
      </c>
      <c r="M200" s="8" t="s">
        <v>24</v>
      </c>
      <c r="N200" s="9">
        <v>-0.5</v>
      </c>
      <c r="O200" s="9">
        <v>0.1</v>
      </c>
      <c r="P200" s="9">
        <v>0.1</v>
      </c>
      <c r="Q200" s="10">
        <v>45373.0</v>
      </c>
      <c r="R200" s="11">
        <v>1.95</v>
      </c>
      <c r="S200" s="8" t="s">
        <v>33</v>
      </c>
      <c r="T200" s="12">
        <f t="shared" si="1"/>
        <v>0.095</v>
      </c>
      <c r="U200" s="12">
        <f t="shared" si="4"/>
        <v>4.717444773</v>
      </c>
    </row>
    <row r="201">
      <c r="A201" s="15">
        <f t="shared" si="3"/>
        <v>200</v>
      </c>
      <c r="B201" s="15" t="s">
        <v>18</v>
      </c>
      <c r="C201" s="15" t="s">
        <v>19</v>
      </c>
      <c r="D201" s="15">
        <v>29.0</v>
      </c>
      <c r="E201" s="15">
        <v>3.0</v>
      </c>
      <c r="F201" s="15" t="s">
        <v>4783</v>
      </c>
      <c r="G201" s="15" t="s">
        <v>5564</v>
      </c>
      <c r="H201" s="15" t="s">
        <v>2660</v>
      </c>
      <c r="I201" s="15">
        <v>0.0</v>
      </c>
      <c r="J201" s="15" t="s">
        <v>157</v>
      </c>
      <c r="K201" s="15" t="s">
        <v>22</v>
      </c>
      <c r="L201" s="15" t="s">
        <v>4584</v>
      </c>
      <c r="M201" s="15" t="s">
        <v>24</v>
      </c>
      <c r="N201" s="16">
        <v>0.0</v>
      </c>
      <c r="O201" s="16">
        <v>0.2</v>
      </c>
      <c r="P201" s="16">
        <v>0.2</v>
      </c>
      <c r="Q201" s="17">
        <v>45373.0</v>
      </c>
      <c r="R201" s="18">
        <v>1.925</v>
      </c>
      <c r="S201" s="15" t="s">
        <v>25</v>
      </c>
      <c r="T201" s="19">
        <f t="shared" si="1"/>
        <v>-0.2</v>
      </c>
      <c r="U201" s="19">
        <f t="shared" si="4"/>
        <v>4.517444773</v>
      </c>
    </row>
    <row r="202">
      <c r="A202" s="8">
        <f t="shared" si="3"/>
        <v>201</v>
      </c>
      <c r="B202" s="8" t="s">
        <v>4225</v>
      </c>
      <c r="C202" s="8" t="s">
        <v>19</v>
      </c>
      <c r="D202" s="8">
        <v>29.0</v>
      </c>
      <c r="E202" s="8">
        <v>3.0</v>
      </c>
      <c r="F202" s="8" t="s">
        <v>4783</v>
      </c>
      <c r="G202" s="8" t="s">
        <v>5564</v>
      </c>
      <c r="H202" s="8" t="s">
        <v>2660</v>
      </c>
      <c r="I202" s="8">
        <v>0.0</v>
      </c>
      <c r="J202" s="8" t="s">
        <v>157</v>
      </c>
      <c r="K202" s="8" t="s">
        <v>22</v>
      </c>
      <c r="L202" s="8" t="s">
        <v>4584</v>
      </c>
      <c r="M202" s="8" t="s">
        <v>24</v>
      </c>
      <c r="N202" s="9">
        <v>0.0</v>
      </c>
      <c r="O202" s="9">
        <v>0.2</v>
      </c>
      <c r="P202" s="9">
        <v>0.2</v>
      </c>
      <c r="Q202" s="10">
        <v>45373.0</v>
      </c>
      <c r="R202" s="11">
        <v>1.925</v>
      </c>
      <c r="S202" s="8" t="s">
        <v>25</v>
      </c>
      <c r="T202" s="12">
        <f t="shared" si="1"/>
        <v>-0.2</v>
      </c>
      <c r="U202" s="12">
        <f t="shared" si="4"/>
        <v>4.317444773</v>
      </c>
    </row>
    <row r="203">
      <c r="A203" s="15">
        <f t="shared" si="3"/>
        <v>202</v>
      </c>
      <c r="B203" s="15" t="s">
        <v>4225</v>
      </c>
      <c r="C203" s="15" t="s">
        <v>19</v>
      </c>
      <c r="D203" s="15">
        <v>83.0</v>
      </c>
      <c r="E203" s="15">
        <v>7.0</v>
      </c>
      <c r="F203" s="15" t="s">
        <v>4784</v>
      </c>
      <c r="G203" s="15"/>
      <c r="H203" s="15"/>
      <c r="I203" s="15"/>
      <c r="J203" s="15" t="s">
        <v>42</v>
      </c>
      <c r="K203" s="15" t="s">
        <v>22</v>
      </c>
      <c r="L203" s="15" t="s">
        <v>29</v>
      </c>
      <c r="M203" s="15" t="s">
        <v>24</v>
      </c>
      <c r="N203" s="16">
        <v>-4.5</v>
      </c>
      <c r="O203" s="16">
        <v>0.25</v>
      </c>
      <c r="P203" s="16">
        <v>0.25</v>
      </c>
      <c r="Q203" s="17">
        <v>45373.0</v>
      </c>
      <c r="R203" s="18">
        <v>1.8</v>
      </c>
      <c r="S203" s="15" t="s">
        <v>33</v>
      </c>
      <c r="T203" s="19">
        <f t="shared" si="1"/>
        <v>0.2</v>
      </c>
      <c r="U203" s="19">
        <f t="shared" si="4"/>
        <v>4.517444773</v>
      </c>
    </row>
    <row r="204">
      <c r="A204" s="8">
        <f t="shared" si="3"/>
        <v>203</v>
      </c>
      <c r="B204" s="8" t="s">
        <v>26</v>
      </c>
      <c r="C204" s="8" t="s">
        <v>19</v>
      </c>
      <c r="D204" s="8">
        <v>79.0</v>
      </c>
      <c r="E204" s="8">
        <v>3.0</v>
      </c>
      <c r="F204" s="8" t="s">
        <v>4785</v>
      </c>
      <c r="G204" s="8" t="s">
        <v>5565</v>
      </c>
      <c r="H204" s="8" t="s">
        <v>2660</v>
      </c>
      <c r="I204" s="8">
        <v>-1.0</v>
      </c>
      <c r="J204" s="8" t="s">
        <v>74</v>
      </c>
      <c r="K204" s="8" t="s">
        <v>22</v>
      </c>
      <c r="L204" s="8" t="s">
        <v>892</v>
      </c>
      <c r="M204" s="8" t="s">
        <v>24</v>
      </c>
      <c r="N204" s="9">
        <v>0.0</v>
      </c>
      <c r="O204" s="9">
        <v>0.2</v>
      </c>
      <c r="P204" s="9">
        <v>0.2</v>
      </c>
      <c r="Q204" s="10">
        <v>45373.0</v>
      </c>
      <c r="R204" s="11">
        <v>1.65</v>
      </c>
      <c r="S204" s="8" t="s">
        <v>33</v>
      </c>
      <c r="T204" s="12">
        <f t="shared" si="1"/>
        <v>0.13</v>
      </c>
      <c r="U204" s="12">
        <f t="shared" si="4"/>
        <v>4.647444773</v>
      </c>
    </row>
    <row r="205">
      <c r="A205" s="15">
        <f t="shared" si="3"/>
        <v>204</v>
      </c>
      <c r="B205" s="15" t="s">
        <v>137</v>
      </c>
      <c r="C205" s="15" t="s">
        <v>19</v>
      </c>
      <c r="D205" s="15">
        <v>32.0</v>
      </c>
      <c r="E205" s="15">
        <v>3.0</v>
      </c>
      <c r="F205" s="15" t="s">
        <v>4786</v>
      </c>
      <c r="G205" s="15" t="s">
        <v>5565</v>
      </c>
      <c r="H205" s="15" t="s">
        <v>2660</v>
      </c>
      <c r="I205" s="15">
        <v>-1.0</v>
      </c>
      <c r="J205" s="15" t="s">
        <v>4293</v>
      </c>
      <c r="K205" s="15" t="s">
        <v>22</v>
      </c>
      <c r="L205" s="15" t="s">
        <v>892</v>
      </c>
      <c r="M205" s="15" t="s">
        <v>24</v>
      </c>
      <c r="N205" s="16">
        <v>0.0</v>
      </c>
      <c r="O205" s="16">
        <v>0.6</v>
      </c>
      <c r="P205" s="16">
        <v>0.6</v>
      </c>
      <c r="Q205" s="17">
        <v>45373.0</v>
      </c>
      <c r="R205" s="18">
        <v>1.775</v>
      </c>
      <c r="S205" s="15" t="s">
        <v>70</v>
      </c>
      <c r="T205" s="19">
        <f t="shared" si="1"/>
        <v>0</v>
      </c>
      <c r="U205" s="19">
        <f t="shared" si="4"/>
        <v>4.647444773</v>
      </c>
    </row>
    <row r="206">
      <c r="A206" s="8">
        <f t="shared" si="3"/>
        <v>205</v>
      </c>
      <c r="B206" s="8" t="s">
        <v>131</v>
      </c>
      <c r="C206" s="8" t="s">
        <v>40</v>
      </c>
      <c r="D206" s="8">
        <v>42.0</v>
      </c>
      <c r="E206" s="8">
        <v>7.0</v>
      </c>
      <c r="F206" s="8" t="s">
        <v>4787</v>
      </c>
      <c r="G206" s="8"/>
      <c r="H206" s="8"/>
      <c r="I206" s="8"/>
      <c r="J206" s="8" t="s">
        <v>82</v>
      </c>
      <c r="K206" s="8" t="s">
        <v>22</v>
      </c>
      <c r="L206" s="8" t="s">
        <v>29</v>
      </c>
      <c r="M206" s="8" t="s">
        <v>39</v>
      </c>
      <c r="N206" s="9">
        <v>-3.5</v>
      </c>
      <c r="O206" s="9">
        <v>0.1</v>
      </c>
      <c r="P206" s="9">
        <v>0.065</v>
      </c>
      <c r="Q206" s="10">
        <v>45373.0</v>
      </c>
      <c r="R206" s="11">
        <v>1.825</v>
      </c>
      <c r="S206" s="8" t="s">
        <v>25</v>
      </c>
      <c r="T206" s="12">
        <f t="shared" si="1"/>
        <v>-0.065</v>
      </c>
      <c r="U206" s="12">
        <f t="shared" si="4"/>
        <v>4.582444773</v>
      </c>
    </row>
    <row r="207">
      <c r="A207" s="15">
        <f t="shared" si="3"/>
        <v>206</v>
      </c>
      <c r="B207" s="15" t="s">
        <v>18</v>
      </c>
      <c r="C207" s="15" t="s">
        <v>19</v>
      </c>
      <c r="D207" s="15">
        <v>28.0</v>
      </c>
      <c r="E207" s="15">
        <v>3.0</v>
      </c>
      <c r="F207" s="15" t="s">
        <v>4788</v>
      </c>
      <c r="G207" s="15" t="s">
        <v>5565</v>
      </c>
      <c r="H207" s="15" t="s">
        <v>2660</v>
      </c>
      <c r="I207" s="15">
        <v>-1.0</v>
      </c>
      <c r="J207" s="15" t="s">
        <v>316</v>
      </c>
      <c r="K207" s="15" t="s">
        <v>22</v>
      </c>
      <c r="L207" s="15" t="s">
        <v>4584</v>
      </c>
      <c r="M207" s="15" t="s">
        <v>24</v>
      </c>
      <c r="N207" s="16">
        <v>0.0</v>
      </c>
      <c r="O207" s="16">
        <v>0.4</v>
      </c>
      <c r="P207" s="16">
        <v>0.3795</v>
      </c>
      <c r="Q207" s="17">
        <v>45373.0</v>
      </c>
      <c r="R207" s="18">
        <v>2.0</v>
      </c>
      <c r="S207" s="15" t="s">
        <v>25</v>
      </c>
      <c r="T207" s="19">
        <f t="shared" si="1"/>
        <v>-0.3795</v>
      </c>
      <c r="U207" s="19">
        <f t="shared" si="4"/>
        <v>4.202944773</v>
      </c>
    </row>
    <row r="208">
      <c r="A208" s="8">
        <f t="shared" si="3"/>
        <v>207</v>
      </c>
      <c r="B208" s="8" t="s">
        <v>137</v>
      </c>
      <c r="C208" s="8" t="s">
        <v>19</v>
      </c>
      <c r="D208" s="8">
        <v>78.0</v>
      </c>
      <c r="E208" s="8">
        <v>2.0</v>
      </c>
      <c r="F208" s="8" t="s">
        <v>4789</v>
      </c>
      <c r="G208" s="8" t="s">
        <v>5565</v>
      </c>
      <c r="H208" s="8" t="s">
        <v>2556</v>
      </c>
      <c r="I208" s="8">
        <v>2</v>
      </c>
      <c r="J208" s="8" t="s">
        <v>28</v>
      </c>
      <c r="K208" s="8" t="s">
        <v>22</v>
      </c>
      <c r="L208" s="8" t="s">
        <v>225</v>
      </c>
      <c r="M208" s="8" t="s">
        <v>24</v>
      </c>
      <c r="N208" s="9">
        <v>0.25</v>
      </c>
      <c r="O208" s="9">
        <v>0.6</v>
      </c>
      <c r="P208" s="9">
        <v>0.6</v>
      </c>
      <c r="Q208" s="10">
        <v>45373.0</v>
      </c>
      <c r="R208" s="11">
        <v>1.69</v>
      </c>
      <c r="S208" s="8" t="s">
        <v>30</v>
      </c>
      <c r="T208" s="12">
        <f t="shared" si="1"/>
        <v>0.207</v>
      </c>
      <c r="U208" s="12">
        <f t="shared" si="4"/>
        <v>4.409944773</v>
      </c>
    </row>
    <row r="209">
      <c r="A209" s="15">
        <f t="shared" si="3"/>
        <v>208</v>
      </c>
      <c r="B209" s="15" t="s">
        <v>26</v>
      </c>
      <c r="C209" s="15" t="s">
        <v>19</v>
      </c>
      <c r="D209" s="15">
        <v>53.0</v>
      </c>
      <c r="E209" s="15">
        <v>3.0</v>
      </c>
      <c r="F209" s="15" t="s">
        <v>4790</v>
      </c>
      <c r="G209" s="15" t="s">
        <v>5564</v>
      </c>
      <c r="H209" s="15" t="s">
        <v>2660</v>
      </c>
      <c r="I209" s="15">
        <v>-2.0</v>
      </c>
      <c r="J209" s="15" t="s">
        <v>316</v>
      </c>
      <c r="K209" s="15" t="s">
        <v>22</v>
      </c>
      <c r="L209" s="15" t="s">
        <v>892</v>
      </c>
      <c r="M209" s="15" t="s">
        <v>24</v>
      </c>
      <c r="N209" s="16">
        <v>0.0</v>
      </c>
      <c r="O209" s="16">
        <v>0.6</v>
      </c>
      <c r="P209" s="16">
        <v>0.44081</v>
      </c>
      <c r="Q209" s="17">
        <v>45373.0</v>
      </c>
      <c r="R209" s="18">
        <v>1.775</v>
      </c>
      <c r="S209" s="15" t="s">
        <v>33</v>
      </c>
      <c r="T209" s="19">
        <f t="shared" si="1"/>
        <v>0.34162775</v>
      </c>
      <c r="U209" s="19">
        <f t="shared" si="4"/>
        <v>4.751572523</v>
      </c>
    </row>
    <row r="210">
      <c r="A210" s="8">
        <f t="shared" si="3"/>
        <v>209</v>
      </c>
      <c r="B210" s="8" t="s">
        <v>26</v>
      </c>
      <c r="C210" s="8" t="s">
        <v>19</v>
      </c>
      <c r="D210" s="8">
        <v>62.0</v>
      </c>
      <c r="E210" s="8">
        <v>3.0</v>
      </c>
      <c r="F210" s="8" t="s">
        <v>4791</v>
      </c>
      <c r="G210" s="8" t="s">
        <v>5564</v>
      </c>
      <c r="H210" s="8" t="s">
        <v>2660</v>
      </c>
      <c r="I210" s="8">
        <v>-1.0</v>
      </c>
      <c r="J210" s="8" t="s">
        <v>316</v>
      </c>
      <c r="K210" s="8" t="s">
        <v>22</v>
      </c>
      <c r="L210" s="8" t="s">
        <v>892</v>
      </c>
      <c r="M210" s="8" t="s">
        <v>24</v>
      </c>
      <c r="N210" s="9">
        <v>0.0</v>
      </c>
      <c r="O210" s="9">
        <v>0.2</v>
      </c>
      <c r="P210" s="9">
        <v>0.2</v>
      </c>
      <c r="Q210" s="54">
        <v>45373.0</v>
      </c>
      <c r="R210" s="11">
        <v>1.7</v>
      </c>
      <c r="S210" s="8" t="s">
        <v>33</v>
      </c>
      <c r="T210" s="12">
        <f t="shared" si="1"/>
        <v>0.14</v>
      </c>
      <c r="U210" s="12">
        <f t="shared" si="4"/>
        <v>4.891572523</v>
      </c>
    </row>
    <row r="211">
      <c r="A211" s="15">
        <f t="shared" si="3"/>
        <v>210</v>
      </c>
      <c r="B211" s="15" t="s">
        <v>129</v>
      </c>
      <c r="C211" s="15" t="s">
        <v>40</v>
      </c>
      <c r="D211" s="15">
        <v>35.0</v>
      </c>
      <c r="E211" s="15">
        <v>2.0</v>
      </c>
      <c r="F211" s="15" t="s">
        <v>4792</v>
      </c>
      <c r="G211" s="15" t="s">
        <v>5565</v>
      </c>
      <c r="H211" s="15" t="s">
        <v>2556</v>
      </c>
      <c r="I211" s="15">
        <v>0.0</v>
      </c>
      <c r="J211" s="15" t="s">
        <v>106</v>
      </c>
      <c r="K211" s="15" t="s">
        <v>22</v>
      </c>
      <c r="L211" s="15" t="s">
        <v>225</v>
      </c>
      <c r="M211" s="15" t="s">
        <v>24</v>
      </c>
      <c r="N211" s="16">
        <v>0.25</v>
      </c>
      <c r="O211" s="16">
        <v>0.2</v>
      </c>
      <c r="P211" s="16">
        <v>0.2</v>
      </c>
      <c r="Q211" s="17">
        <v>45374.0</v>
      </c>
      <c r="R211" s="18">
        <v>1.725</v>
      </c>
      <c r="S211" s="15" t="s">
        <v>30</v>
      </c>
      <c r="T211" s="19">
        <f t="shared" si="1"/>
        <v>0.0725</v>
      </c>
      <c r="U211" s="19">
        <f t="shared" si="4"/>
        <v>4.964072523</v>
      </c>
    </row>
    <row r="212">
      <c r="A212" s="8">
        <f t="shared" si="3"/>
        <v>211</v>
      </c>
      <c r="B212" s="8" t="s">
        <v>26</v>
      </c>
      <c r="C212" s="8" t="s">
        <v>19</v>
      </c>
      <c r="D212" s="8">
        <v>22.0</v>
      </c>
      <c r="E212" s="8">
        <v>3.0</v>
      </c>
      <c r="F212" s="8" t="s">
        <v>4793</v>
      </c>
      <c r="G212" s="8" t="s">
        <v>5564</v>
      </c>
      <c r="H212" s="8" t="s">
        <v>2660</v>
      </c>
      <c r="I212" s="8">
        <v>0.0</v>
      </c>
      <c r="J212" s="8" t="s">
        <v>229</v>
      </c>
      <c r="K212" s="8" t="s">
        <v>22</v>
      </c>
      <c r="L212" s="8" t="s">
        <v>4584</v>
      </c>
      <c r="M212" s="8" t="s">
        <v>39</v>
      </c>
      <c r="N212" s="9">
        <v>0.0</v>
      </c>
      <c r="O212" s="9">
        <v>0.5</v>
      </c>
      <c r="P212" s="9">
        <v>0.5</v>
      </c>
      <c r="Q212" s="10">
        <v>45374.0</v>
      </c>
      <c r="R212" s="11">
        <v>1.95</v>
      </c>
      <c r="S212" s="8" t="s">
        <v>70</v>
      </c>
      <c r="T212" s="12">
        <f t="shared" si="1"/>
        <v>0</v>
      </c>
      <c r="U212" s="12">
        <f t="shared" si="4"/>
        <v>4.964072523</v>
      </c>
    </row>
    <row r="213">
      <c r="A213" s="15">
        <f t="shared" si="3"/>
        <v>212</v>
      </c>
      <c r="B213" s="15" t="s">
        <v>26</v>
      </c>
      <c r="C213" s="15" t="s">
        <v>19</v>
      </c>
      <c r="D213" s="15">
        <v>60.0</v>
      </c>
      <c r="E213" s="15">
        <v>2.0</v>
      </c>
      <c r="F213" s="37" t="s">
        <v>4794</v>
      </c>
      <c r="G213" s="15" t="s">
        <v>5565</v>
      </c>
      <c r="H213" s="15" t="s">
        <v>2556</v>
      </c>
      <c r="I213" s="15">
        <v>-1.0</v>
      </c>
      <c r="J213" s="15" t="s">
        <v>583</v>
      </c>
      <c r="K213" s="15" t="s">
        <v>22</v>
      </c>
      <c r="L213" s="15" t="s">
        <v>225</v>
      </c>
      <c r="M213" s="15" t="s">
        <v>24</v>
      </c>
      <c r="N213" s="16">
        <v>0.75</v>
      </c>
      <c r="O213" s="16">
        <v>0.2</v>
      </c>
      <c r="P213" s="16">
        <f>0.2*37/49</f>
        <v>0.1510204082</v>
      </c>
      <c r="Q213" s="17">
        <v>45374.0</v>
      </c>
      <c r="R213" s="18">
        <v>1.975</v>
      </c>
      <c r="S213" s="15" t="s">
        <v>79</v>
      </c>
      <c r="T213" s="19">
        <f t="shared" si="1"/>
        <v>-0.07551020408</v>
      </c>
      <c r="U213" s="19">
        <f t="shared" si="4"/>
        <v>4.888562319</v>
      </c>
    </row>
    <row r="214">
      <c r="A214" s="8">
        <f t="shared" si="3"/>
        <v>213</v>
      </c>
      <c r="B214" s="8" t="s">
        <v>26</v>
      </c>
      <c r="C214" s="8" t="s">
        <v>19</v>
      </c>
      <c r="D214" s="8">
        <v>60.0</v>
      </c>
      <c r="E214" s="8">
        <v>2.0</v>
      </c>
      <c r="F214" s="47" t="s">
        <v>4795</v>
      </c>
      <c r="G214" s="8" t="s">
        <v>5565</v>
      </c>
      <c r="H214" s="8" t="s">
        <v>2556</v>
      </c>
      <c r="I214" s="8">
        <v>-1.0</v>
      </c>
      <c r="J214" s="8" t="s">
        <v>583</v>
      </c>
      <c r="K214" s="8" t="s">
        <v>22</v>
      </c>
      <c r="L214" s="8" t="s">
        <v>225</v>
      </c>
      <c r="M214" s="8" t="s">
        <v>24</v>
      </c>
      <c r="N214" s="9">
        <v>0.5</v>
      </c>
      <c r="O214" s="9">
        <v>0.4</v>
      </c>
      <c r="P214" s="9">
        <v>0.4</v>
      </c>
      <c r="Q214" s="10">
        <v>45374.0</v>
      </c>
      <c r="R214" s="11">
        <v>2.0</v>
      </c>
      <c r="S214" s="8" t="s">
        <v>25</v>
      </c>
      <c r="T214" s="12">
        <f t="shared" si="1"/>
        <v>-0.4</v>
      </c>
      <c r="U214" s="12">
        <f t="shared" si="4"/>
        <v>4.488562319</v>
      </c>
    </row>
    <row r="215">
      <c r="A215" s="15">
        <f t="shared" si="3"/>
        <v>214</v>
      </c>
      <c r="B215" s="15" t="s">
        <v>26</v>
      </c>
      <c r="C215" s="15" t="s">
        <v>19</v>
      </c>
      <c r="D215" s="15">
        <v>60.0</v>
      </c>
      <c r="E215" s="15">
        <v>2.0</v>
      </c>
      <c r="F215" s="42" t="s">
        <v>4796</v>
      </c>
      <c r="G215" s="15" t="s">
        <v>5565</v>
      </c>
      <c r="H215" s="15" t="s">
        <v>2556</v>
      </c>
      <c r="I215" s="15"/>
      <c r="J215" s="15" t="s">
        <v>583</v>
      </c>
      <c r="K215" s="15"/>
      <c r="L215" s="15"/>
      <c r="M215" s="15" t="s">
        <v>24</v>
      </c>
      <c r="N215" s="16"/>
      <c r="O215" s="16"/>
      <c r="P215" s="16">
        <v>0.1</v>
      </c>
      <c r="Q215" s="17">
        <v>45374.0</v>
      </c>
      <c r="R215" s="18">
        <v>4.33</v>
      </c>
      <c r="S215" s="15" t="s">
        <v>25</v>
      </c>
      <c r="T215" s="19">
        <f t="shared" si="1"/>
        <v>-0.1</v>
      </c>
      <c r="U215" s="19">
        <f t="shared" si="4"/>
        <v>4.388562319</v>
      </c>
    </row>
    <row r="216">
      <c r="A216" s="8">
        <f t="shared" si="3"/>
        <v>215</v>
      </c>
      <c r="B216" s="8" t="s">
        <v>137</v>
      </c>
      <c r="C216" s="8" t="s">
        <v>19</v>
      </c>
      <c r="D216" s="8">
        <v>21.0</v>
      </c>
      <c r="E216" s="8">
        <v>3.0</v>
      </c>
      <c r="F216" s="8" t="s">
        <v>4797</v>
      </c>
      <c r="G216" s="8" t="s">
        <v>5565</v>
      </c>
      <c r="H216" s="8" t="s">
        <v>2660</v>
      </c>
      <c r="I216" s="8">
        <v>-1.0</v>
      </c>
      <c r="J216" s="8" t="s">
        <v>432</v>
      </c>
      <c r="K216" s="8" t="s">
        <v>22</v>
      </c>
      <c r="L216" s="8" t="s">
        <v>892</v>
      </c>
      <c r="M216" s="8" t="s">
        <v>24</v>
      </c>
      <c r="N216" s="9">
        <v>0.0</v>
      </c>
      <c r="O216" s="9">
        <v>0.6</v>
      </c>
      <c r="P216" s="9">
        <v>0.6</v>
      </c>
      <c r="Q216" s="10">
        <v>45374.0</v>
      </c>
      <c r="R216" s="11">
        <v>2.0</v>
      </c>
      <c r="S216" s="8" t="s">
        <v>33</v>
      </c>
      <c r="T216" s="12">
        <f t="shared" si="1"/>
        <v>0.6</v>
      </c>
      <c r="U216" s="12">
        <f t="shared" si="4"/>
        <v>4.988562319</v>
      </c>
    </row>
    <row r="217">
      <c r="A217" s="15">
        <f t="shared" si="3"/>
        <v>216</v>
      </c>
      <c r="B217" s="15" t="s">
        <v>137</v>
      </c>
      <c r="C217" s="15" t="s">
        <v>19</v>
      </c>
      <c r="D217" s="15">
        <v>80.0</v>
      </c>
      <c r="E217" s="15">
        <v>3.0</v>
      </c>
      <c r="F217" s="15" t="s">
        <v>4798</v>
      </c>
      <c r="G217" s="15" t="s">
        <v>5564</v>
      </c>
      <c r="H217" s="15" t="s">
        <v>2573</v>
      </c>
      <c r="I217" s="15">
        <v>0.0</v>
      </c>
      <c r="J217" s="15" t="s">
        <v>432</v>
      </c>
      <c r="K217" s="15" t="s">
        <v>22</v>
      </c>
      <c r="L217" s="15" t="s">
        <v>892</v>
      </c>
      <c r="M217" s="15" t="s">
        <v>24</v>
      </c>
      <c r="N217" s="16">
        <v>-0.75</v>
      </c>
      <c r="O217" s="16">
        <v>0.15</v>
      </c>
      <c r="P217" s="16">
        <f t="shared" ref="P217:P218" si="9">0.15*27/49</f>
        <v>0.08265306122</v>
      </c>
      <c r="Q217" s="17">
        <v>45374.0</v>
      </c>
      <c r="R217" s="18">
        <v>4.15</v>
      </c>
      <c r="S217" s="15" t="s">
        <v>25</v>
      </c>
      <c r="T217" s="19">
        <f t="shared" si="1"/>
        <v>-0.08265306122</v>
      </c>
      <c r="U217" s="19">
        <f t="shared" si="4"/>
        <v>4.905909257</v>
      </c>
    </row>
    <row r="218">
      <c r="A218" s="8">
        <f t="shared" si="3"/>
        <v>217</v>
      </c>
      <c r="B218" s="8" t="s">
        <v>18</v>
      </c>
      <c r="C218" s="8" t="s">
        <v>19</v>
      </c>
      <c r="D218" s="8">
        <v>25.0</v>
      </c>
      <c r="E218" s="8">
        <v>3.0</v>
      </c>
      <c r="F218" s="8" t="s">
        <v>4799</v>
      </c>
      <c r="G218" s="8" t="s">
        <v>5565</v>
      </c>
      <c r="H218" s="8" t="s">
        <v>2660</v>
      </c>
      <c r="I218" s="8">
        <v>0.0</v>
      </c>
      <c r="J218" s="8" t="s">
        <v>1025</v>
      </c>
      <c r="K218" s="8" t="s">
        <v>22</v>
      </c>
      <c r="L218" s="8" t="s">
        <v>892</v>
      </c>
      <c r="M218" s="8" t="s">
        <v>24</v>
      </c>
      <c r="N218" s="9">
        <v>0.0</v>
      </c>
      <c r="O218" s="9">
        <v>0.2</v>
      </c>
      <c r="P218" s="9">
        <f t="shared" si="9"/>
        <v>0.08265306122</v>
      </c>
      <c r="Q218" s="10">
        <v>45374.0</v>
      </c>
      <c r="R218" s="11">
        <f>0.2*26/49</f>
        <v>0.106122449</v>
      </c>
      <c r="S218" s="8" t="s">
        <v>70</v>
      </c>
      <c r="T218" s="12">
        <f t="shared" si="1"/>
        <v>0</v>
      </c>
      <c r="U218" s="12">
        <f t="shared" si="4"/>
        <v>4.905909257</v>
      </c>
    </row>
    <row r="219">
      <c r="A219" s="15">
        <f t="shared" si="3"/>
        <v>218</v>
      </c>
      <c r="B219" s="15" t="s">
        <v>129</v>
      </c>
      <c r="C219" s="15" t="s">
        <v>19</v>
      </c>
      <c r="D219" s="15">
        <v>85.0</v>
      </c>
      <c r="E219" s="15">
        <v>7.0</v>
      </c>
      <c r="F219" s="15" t="s">
        <v>4800</v>
      </c>
      <c r="G219" s="15"/>
      <c r="H219" s="15"/>
      <c r="I219" s="15"/>
      <c r="J219" s="15" t="s">
        <v>88</v>
      </c>
      <c r="K219" s="15" t="s">
        <v>22</v>
      </c>
      <c r="L219" s="15" t="s">
        <v>29</v>
      </c>
      <c r="M219" s="15" t="s">
        <v>24</v>
      </c>
      <c r="N219" s="16">
        <v>-2.5</v>
      </c>
      <c r="O219" s="16">
        <v>0.2</v>
      </c>
      <c r="P219" s="16">
        <v>0.2</v>
      </c>
      <c r="Q219" s="17">
        <v>45374.0</v>
      </c>
      <c r="R219" s="18">
        <v>1.775</v>
      </c>
      <c r="S219" s="15" t="s">
        <v>33</v>
      </c>
      <c r="T219" s="19">
        <f t="shared" si="1"/>
        <v>0.155</v>
      </c>
      <c r="U219" s="19">
        <f t="shared" si="4"/>
        <v>5.060909257</v>
      </c>
    </row>
    <row r="220">
      <c r="A220" s="8">
        <f t="shared" si="3"/>
        <v>219</v>
      </c>
      <c r="B220" s="8" t="s">
        <v>18</v>
      </c>
      <c r="C220" s="8" t="s">
        <v>40</v>
      </c>
      <c r="D220" s="8">
        <v>60.0</v>
      </c>
      <c r="E220" s="8">
        <v>3.0</v>
      </c>
      <c r="F220" s="8" t="s">
        <v>4801</v>
      </c>
      <c r="G220" s="8" t="s">
        <v>5565</v>
      </c>
      <c r="H220" s="8" t="s">
        <v>2660</v>
      </c>
      <c r="I220" s="8">
        <v>0.0</v>
      </c>
      <c r="J220" s="8" t="s">
        <v>101</v>
      </c>
      <c r="K220" s="8" t="s">
        <v>22</v>
      </c>
      <c r="L220" s="8" t="s">
        <v>892</v>
      </c>
      <c r="M220" s="8" t="s">
        <v>24</v>
      </c>
      <c r="N220" s="9">
        <v>0.0</v>
      </c>
      <c r="O220" s="9">
        <v>0.6</v>
      </c>
      <c r="P220" s="9">
        <v>0.6</v>
      </c>
      <c r="Q220" s="10">
        <v>45374.0</v>
      </c>
      <c r="R220" s="11">
        <v>1.825</v>
      </c>
      <c r="S220" s="8" t="s">
        <v>33</v>
      </c>
      <c r="T220" s="12">
        <f t="shared" si="1"/>
        <v>0.495</v>
      </c>
      <c r="U220" s="12">
        <f t="shared" si="4"/>
        <v>5.555909257</v>
      </c>
    </row>
    <row r="221">
      <c r="A221" s="15">
        <f t="shared" si="3"/>
        <v>220</v>
      </c>
      <c r="B221" s="15" t="s">
        <v>4225</v>
      </c>
      <c r="C221" s="15" t="s">
        <v>40</v>
      </c>
      <c r="D221" s="15">
        <v>40.0</v>
      </c>
      <c r="E221" s="15">
        <v>2.0</v>
      </c>
      <c r="F221" s="15" t="s">
        <v>4802</v>
      </c>
      <c r="G221" s="15" t="s">
        <v>5565</v>
      </c>
      <c r="H221" s="15" t="s">
        <v>2556</v>
      </c>
      <c r="I221" s="15">
        <f>1</f>
        <v>1</v>
      </c>
      <c r="J221" s="15" t="s">
        <v>908</v>
      </c>
      <c r="K221" s="15" t="s">
        <v>22</v>
      </c>
      <c r="L221" s="15" t="s">
        <v>225</v>
      </c>
      <c r="M221" s="15" t="s">
        <v>24</v>
      </c>
      <c r="N221" s="16">
        <v>0.5</v>
      </c>
      <c r="O221" s="16">
        <v>0.4</v>
      </c>
      <c r="P221" s="16">
        <v>0.4</v>
      </c>
      <c r="Q221" s="17">
        <v>45374.0</v>
      </c>
      <c r="R221" s="18">
        <v>1.9</v>
      </c>
      <c r="S221" s="15" t="s">
        <v>33</v>
      </c>
      <c r="T221" s="19">
        <f t="shared" si="1"/>
        <v>0.36</v>
      </c>
      <c r="U221" s="19">
        <f t="shared" si="4"/>
        <v>5.915909257</v>
      </c>
    </row>
    <row r="222">
      <c r="A222" s="8">
        <f t="shared" si="3"/>
        <v>221</v>
      </c>
      <c r="B222" s="8" t="s">
        <v>129</v>
      </c>
      <c r="C222" s="8" t="s">
        <v>40</v>
      </c>
      <c r="D222" s="8">
        <v>31.0</v>
      </c>
      <c r="E222" s="8">
        <v>3.0</v>
      </c>
      <c r="F222" s="8" t="s">
        <v>4803</v>
      </c>
      <c r="G222" s="8" t="s">
        <v>5565</v>
      </c>
      <c r="H222" s="8" t="s">
        <v>2573</v>
      </c>
      <c r="I222" s="8">
        <v>-1.0</v>
      </c>
      <c r="J222" s="8" t="s">
        <v>908</v>
      </c>
      <c r="K222" s="8" t="s">
        <v>22</v>
      </c>
      <c r="L222" s="8" t="s">
        <v>4584</v>
      </c>
      <c r="M222" s="8" t="s">
        <v>24</v>
      </c>
      <c r="N222" s="9">
        <v>0.0</v>
      </c>
      <c r="O222" s="9">
        <v>0.4</v>
      </c>
      <c r="P222" s="9">
        <v>0.4</v>
      </c>
      <c r="Q222" s="10">
        <v>45374.0</v>
      </c>
      <c r="R222" s="11">
        <v>1.75</v>
      </c>
      <c r="S222" s="8" t="s">
        <v>33</v>
      </c>
      <c r="T222" s="12">
        <f t="shared" si="1"/>
        <v>0.3</v>
      </c>
      <c r="U222" s="12">
        <f t="shared" si="4"/>
        <v>6.215909257</v>
      </c>
    </row>
    <row r="223">
      <c r="A223" s="15">
        <f t="shared" si="3"/>
        <v>222</v>
      </c>
      <c r="B223" s="15" t="s">
        <v>18</v>
      </c>
      <c r="C223" s="15" t="s">
        <v>40</v>
      </c>
      <c r="D223" s="15">
        <v>79.0</v>
      </c>
      <c r="E223" s="15">
        <v>2.0</v>
      </c>
      <c r="F223" s="15" t="s">
        <v>4804</v>
      </c>
      <c r="G223" s="15" t="s">
        <v>5565</v>
      </c>
      <c r="H223" s="15" t="s">
        <v>2556</v>
      </c>
      <c r="I223" s="15">
        <v>-3.0</v>
      </c>
      <c r="J223" s="15" t="s">
        <v>221</v>
      </c>
      <c r="K223" s="15" t="s">
        <v>22</v>
      </c>
      <c r="L223" s="15" t="s">
        <v>225</v>
      </c>
      <c r="M223" s="15" t="s">
        <v>24</v>
      </c>
      <c r="N223" s="16">
        <v>0.25</v>
      </c>
      <c r="O223" s="16">
        <v>0.3</v>
      </c>
      <c r="P223" s="16">
        <v>0.3</v>
      </c>
      <c r="Q223" s="17">
        <v>45374.0</v>
      </c>
      <c r="R223" s="18">
        <v>1.925</v>
      </c>
      <c r="S223" s="15" t="s">
        <v>996</v>
      </c>
      <c r="T223" s="19">
        <f t="shared" si="1"/>
        <v>0.13875</v>
      </c>
      <c r="U223" s="19">
        <f t="shared" si="4"/>
        <v>6.354659257</v>
      </c>
    </row>
    <row r="224">
      <c r="A224" s="8">
        <f t="shared" si="3"/>
        <v>223</v>
      </c>
      <c r="B224" s="8" t="s">
        <v>129</v>
      </c>
      <c r="C224" s="8" t="s">
        <v>40</v>
      </c>
      <c r="D224" s="8">
        <v>60.0</v>
      </c>
      <c r="E224" s="8">
        <v>2.0</v>
      </c>
      <c r="F224" s="8" t="s">
        <v>4805</v>
      </c>
      <c r="G224" s="8" t="s">
        <v>5564</v>
      </c>
      <c r="H224" s="8" t="s">
        <v>2556</v>
      </c>
      <c r="I224" s="8">
        <v>-1.0</v>
      </c>
      <c r="J224" s="8" t="s">
        <v>659</v>
      </c>
      <c r="K224" s="8" t="s">
        <v>22</v>
      </c>
      <c r="L224" s="8" t="s">
        <v>225</v>
      </c>
      <c r="M224" s="8" t="s">
        <v>24</v>
      </c>
      <c r="N224" s="9">
        <v>0.5</v>
      </c>
      <c r="O224" s="9">
        <v>0.4</v>
      </c>
      <c r="P224" s="9">
        <v>0.4</v>
      </c>
      <c r="Q224" s="10">
        <v>45374.0</v>
      </c>
      <c r="R224" s="11">
        <v>1.725</v>
      </c>
      <c r="S224" s="8" t="s">
        <v>33</v>
      </c>
      <c r="T224" s="12">
        <f t="shared" si="1"/>
        <v>0.29</v>
      </c>
      <c r="U224" s="12">
        <f t="shared" si="4"/>
        <v>6.644659257</v>
      </c>
    </row>
    <row r="225">
      <c r="A225" s="15">
        <f t="shared" si="3"/>
        <v>224</v>
      </c>
      <c r="B225" s="15" t="s">
        <v>26</v>
      </c>
      <c r="C225" s="15" t="s">
        <v>19</v>
      </c>
      <c r="D225" s="15">
        <v>79.0</v>
      </c>
      <c r="E225" s="15">
        <v>3.0</v>
      </c>
      <c r="F225" s="15" t="s">
        <v>4806</v>
      </c>
      <c r="G225" s="15" t="s">
        <v>5565</v>
      </c>
      <c r="H225" s="15" t="s">
        <v>2660</v>
      </c>
      <c r="I225" s="15">
        <v>-1.0</v>
      </c>
      <c r="J225" s="15" t="s">
        <v>121</v>
      </c>
      <c r="K225" s="15" t="s">
        <v>22</v>
      </c>
      <c r="L225" s="15" t="s">
        <v>892</v>
      </c>
      <c r="M225" s="15" t="s">
        <v>24</v>
      </c>
      <c r="N225" s="16">
        <v>0.0</v>
      </c>
      <c r="O225" s="16">
        <v>0.7</v>
      </c>
      <c r="P225" s="16">
        <v>0.7</v>
      </c>
      <c r="Q225" s="17">
        <v>45374.0</v>
      </c>
      <c r="R225" s="18">
        <v>1.775</v>
      </c>
      <c r="S225" s="15" t="s">
        <v>70</v>
      </c>
      <c r="T225" s="19">
        <f t="shared" si="1"/>
        <v>0</v>
      </c>
      <c r="U225" s="19">
        <f t="shared" si="4"/>
        <v>6.644659257</v>
      </c>
    </row>
    <row r="226">
      <c r="A226" s="8">
        <f t="shared" si="3"/>
        <v>225</v>
      </c>
      <c r="B226" s="8" t="s">
        <v>131</v>
      </c>
      <c r="C226" s="8" t="s">
        <v>19</v>
      </c>
      <c r="D226" s="8">
        <v>83.0</v>
      </c>
      <c r="E226" s="8">
        <v>7.0</v>
      </c>
      <c r="F226" s="8" t="s">
        <v>4807</v>
      </c>
      <c r="G226" s="8"/>
      <c r="H226" s="8"/>
      <c r="I226" s="8"/>
      <c r="J226" s="8" t="s">
        <v>28</v>
      </c>
      <c r="K226" s="8" t="s">
        <v>22</v>
      </c>
      <c r="L226" s="8" t="s">
        <v>2939</v>
      </c>
      <c r="M226" s="8" t="s">
        <v>24</v>
      </c>
      <c r="N226" s="9">
        <v>-5.5</v>
      </c>
      <c r="O226" s="9">
        <v>0.2</v>
      </c>
      <c r="P226" s="9">
        <v>0.2</v>
      </c>
      <c r="Q226" s="10">
        <v>45374.0</v>
      </c>
      <c r="R226" s="11">
        <v>1.825</v>
      </c>
      <c r="S226" s="8" t="s">
        <v>33</v>
      </c>
      <c r="T226" s="12">
        <f t="shared" si="1"/>
        <v>0.165</v>
      </c>
      <c r="U226" s="12">
        <f t="shared" si="4"/>
        <v>6.809659257</v>
      </c>
    </row>
    <row r="227">
      <c r="A227" s="15">
        <f t="shared" si="3"/>
        <v>226</v>
      </c>
      <c r="B227" s="15" t="s">
        <v>26</v>
      </c>
      <c r="C227" s="15" t="s">
        <v>19</v>
      </c>
      <c r="D227" s="15">
        <v>84.0</v>
      </c>
      <c r="E227" s="15">
        <v>3.0</v>
      </c>
      <c r="F227" s="15" t="s">
        <v>4808</v>
      </c>
      <c r="G227" s="15" t="s">
        <v>5565</v>
      </c>
      <c r="H227" s="15" t="s">
        <v>2660</v>
      </c>
      <c r="I227" s="15">
        <v>0.0</v>
      </c>
      <c r="J227" s="15" t="s">
        <v>42</v>
      </c>
      <c r="K227" s="15" t="s">
        <v>22</v>
      </c>
      <c r="L227" s="15" t="s">
        <v>892</v>
      </c>
      <c r="M227" s="15" t="s">
        <v>24</v>
      </c>
      <c r="N227" s="16">
        <v>0.0</v>
      </c>
      <c r="O227" s="16">
        <v>0.6</v>
      </c>
      <c r="P227" s="16">
        <v>0.6</v>
      </c>
      <c r="Q227" s="17">
        <v>45374.0</v>
      </c>
      <c r="R227" s="18">
        <v>1.8</v>
      </c>
      <c r="S227" s="15" t="s">
        <v>70</v>
      </c>
      <c r="T227" s="19">
        <f t="shared" si="1"/>
        <v>0</v>
      </c>
      <c r="U227" s="19">
        <f t="shared" si="4"/>
        <v>6.809659257</v>
      </c>
    </row>
    <row r="228">
      <c r="A228" s="8">
        <f t="shared" si="3"/>
        <v>227</v>
      </c>
      <c r="B228" s="8" t="s">
        <v>4225</v>
      </c>
      <c r="C228" s="8" t="s">
        <v>19</v>
      </c>
      <c r="D228" s="8">
        <v>64.0</v>
      </c>
      <c r="E228" s="8">
        <v>3.0</v>
      </c>
      <c r="F228" s="8" t="s">
        <v>4809</v>
      </c>
      <c r="G228" s="8" t="s">
        <v>5564</v>
      </c>
      <c r="H228" s="8" t="s">
        <v>2660</v>
      </c>
      <c r="I228" s="8">
        <v>-2.0</v>
      </c>
      <c r="J228" s="8" t="s">
        <v>93</v>
      </c>
      <c r="K228" s="8" t="s">
        <v>22</v>
      </c>
      <c r="L228" s="8" t="s">
        <v>892</v>
      </c>
      <c r="M228" s="8" t="s">
        <v>24</v>
      </c>
      <c r="N228" s="9">
        <v>0.0</v>
      </c>
      <c r="O228" s="9">
        <v>0.6</v>
      </c>
      <c r="P228" s="9">
        <v>0.6</v>
      </c>
      <c r="Q228" s="10">
        <v>45374.0</v>
      </c>
      <c r="R228" s="11">
        <v>1.925</v>
      </c>
      <c r="S228" s="8" t="s">
        <v>70</v>
      </c>
      <c r="T228" s="12">
        <f t="shared" si="1"/>
        <v>0</v>
      </c>
      <c r="U228" s="12">
        <f t="shared" si="4"/>
        <v>6.809659257</v>
      </c>
    </row>
    <row r="229">
      <c r="A229" s="15">
        <f t="shared" si="3"/>
        <v>228</v>
      </c>
      <c r="B229" s="15" t="s">
        <v>129</v>
      </c>
      <c r="C229" s="15" t="s">
        <v>40</v>
      </c>
      <c r="D229" s="15">
        <v>64.0</v>
      </c>
      <c r="E229" s="15">
        <v>3.0</v>
      </c>
      <c r="F229" s="15" t="s">
        <v>4810</v>
      </c>
      <c r="G229" s="15" t="s">
        <v>5565</v>
      </c>
      <c r="H229" s="15" t="s">
        <v>2660</v>
      </c>
      <c r="I229" s="15">
        <v>0.0</v>
      </c>
      <c r="J229" s="15" t="s">
        <v>66</v>
      </c>
      <c r="K229" s="15" t="s">
        <v>22</v>
      </c>
      <c r="L229" s="15" t="s">
        <v>892</v>
      </c>
      <c r="M229" s="15" t="s">
        <v>24</v>
      </c>
      <c r="N229" s="16">
        <v>0.0</v>
      </c>
      <c r="O229" s="16">
        <v>0.6</v>
      </c>
      <c r="P229" s="16">
        <v>0.6</v>
      </c>
      <c r="Q229" s="17">
        <v>45374.0</v>
      </c>
      <c r="R229" s="18">
        <v>1.825</v>
      </c>
      <c r="S229" s="15" t="s">
        <v>33</v>
      </c>
      <c r="T229" s="19">
        <f t="shared" si="1"/>
        <v>0.495</v>
      </c>
      <c r="U229" s="19">
        <f t="shared" si="4"/>
        <v>7.304659257</v>
      </c>
    </row>
    <row r="230">
      <c r="A230" s="8">
        <f t="shared" si="3"/>
        <v>229</v>
      </c>
      <c r="B230" s="8" t="s">
        <v>26</v>
      </c>
      <c r="C230" s="8" t="s">
        <v>19</v>
      </c>
      <c r="D230" s="8">
        <v>60.0</v>
      </c>
      <c r="E230" s="8">
        <v>2.0</v>
      </c>
      <c r="F230" s="8" t="s">
        <v>4811</v>
      </c>
      <c r="G230" s="8" t="s">
        <v>5565</v>
      </c>
      <c r="H230" s="8" t="s">
        <v>2556</v>
      </c>
      <c r="I230" s="8">
        <f>1</f>
        <v>1</v>
      </c>
      <c r="J230" s="8" t="s">
        <v>583</v>
      </c>
      <c r="K230" s="8" t="s">
        <v>22</v>
      </c>
      <c r="L230" s="8" t="s">
        <v>225</v>
      </c>
      <c r="M230" s="8" t="s">
        <v>24</v>
      </c>
      <c r="N230" s="9">
        <v>0.5</v>
      </c>
      <c r="O230" s="9">
        <v>0.4</v>
      </c>
      <c r="P230" s="9">
        <v>0.4</v>
      </c>
      <c r="Q230" s="10">
        <v>45375.0</v>
      </c>
      <c r="R230" s="11">
        <v>1.825</v>
      </c>
      <c r="S230" s="8" t="s">
        <v>25</v>
      </c>
      <c r="T230" s="12">
        <f t="shared" si="1"/>
        <v>-0.4</v>
      </c>
      <c r="U230" s="12">
        <f t="shared" si="4"/>
        <v>6.904659257</v>
      </c>
    </row>
    <row r="231">
      <c r="A231" s="15">
        <f t="shared" si="3"/>
        <v>230</v>
      </c>
      <c r="B231" s="15" t="s">
        <v>26</v>
      </c>
      <c r="C231" s="15" t="s">
        <v>19</v>
      </c>
      <c r="D231" s="15">
        <v>25.0</v>
      </c>
      <c r="E231" s="15">
        <v>3.0</v>
      </c>
      <c r="F231" s="15" t="s">
        <v>4812</v>
      </c>
      <c r="G231" s="15" t="s">
        <v>5564</v>
      </c>
      <c r="H231" s="15" t="s">
        <v>2660</v>
      </c>
      <c r="I231" s="15">
        <v>0.0</v>
      </c>
      <c r="J231" s="15" t="s">
        <v>99</v>
      </c>
      <c r="K231" s="15" t="s">
        <v>22</v>
      </c>
      <c r="L231" s="15" t="s">
        <v>892</v>
      </c>
      <c r="M231" s="15" t="s">
        <v>24</v>
      </c>
      <c r="N231" s="16">
        <v>0.0</v>
      </c>
      <c r="O231" s="16">
        <v>0.85</v>
      </c>
      <c r="P231" s="16">
        <v>0.85</v>
      </c>
      <c r="Q231" s="17">
        <v>45375.0</v>
      </c>
      <c r="R231" s="18">
        <v>1.8</v>
      </c>
      <c r="S231" s="15" t="s">
        <v>25</v>
      </c>
      <c r="T231" s="19">
        <f t="shared" si="1"/>
        <v>-0.85</v>
      </c>
      <c r="U231" s="19">
        <f t="shared" si="4"/>
        <v>6.054659257</v>
      </c>
    </row>
    <row r="232">
      <c r="A232" s="8">
        <f t="shared" si="3"/>
        <v>231</v>
      </c>
      <c r="B232" s="8" t="s">
        <v>18</v>
      </c>
      <c r="C232" s="8" t="s">
        <v>19</v>
      </c>
      <c r="D232" s="8">
        <v>81.0</v>
      </c>
      <c r="E232" s="8">
        <v>3.0</v>
      </c>
      <c r="F232" s="8" t="s">
        <v>4813</v>
      </c>
      <c r="G232" s="8" t="s">
        <v>5564</v>
      </c>
      <c r="H232" s="8" t="s">
        <v>2556</v>
      </c>
      <c r="I232" s="8">
        <v>0.0</v>
      </c>
      <c r="J232" s="8" t="s">
        <v>221</v>
      </c>
      <c r="K232" s="8" t="s">
        <v>22</v>
      </c>
      <c r="L232" s="8" t="s">
        <v>941</v>
      </c>
      <c r="M232" s="8" t="s">
        <v>24</v>
      </c>
      <c r="N232" s="9">
        <v>0.0</v>
      </c>
      <c r="O232" s="9">
        <v>0.4</v>
      </c>
      <c r="P232" s="9">
        <v>0.4</v>
      </c>
      <c r="Q232" s="10">
        <v>45375.0</v>
      </c>
      <c r="R232" s="11">
        <v>1.675</v>
      </c>
      <c r="S232" s="8" t="s">
        <v>33</v>
      </c>
      <c r="T232" s="12">
        <f t="shared" si="1"/>
        <v>0.27</v>
      </c>
      <c r="U232" s="12">
        <f t="shared" si="4"/>
        <v>6.324659257</v>
      </c>
    </row>
    <row r="233">
      <c r="A233" s="15">
        <f t="shared" si="3"/>
        <v>232</v>
      </c>
      <c r="B233" s="15" t="s">
        <v>129</v>
      </c>
      <c r="C233" s="15" t="s">
        <v>19</v>
      </c>
      <c r="D233" s="15">
        <v>75.0</v>
      </c>
      <c r="E233" s="15">
        <v>3.0</v>
      </c>
      <c r="F233" s="15" t="s">
        <v>4814</v>
      </c>
      <c r="G233" s="15" t="s">
        <v>5565</v>
      </c>
      <c r="H233" s="15" t="s">
        <v>2660</v>
      </c>
      <c r="I233" s="15">
        <v>-1.0</v>
      </c>
      <c r="J233" s="15" t="s">
        <v>99</v>
      </c>
      <c r="K233" s="15" t="s">
        <v>22</v>
      </c>
      <c r="L233" s="15" t="s">
        <v>892</v>
      </c>
      <c r="M233" s="15" t="s">
        <v>24</v>
      </c>
      <c r="N233" s="16">
        <v>0.0</v>
      </c>
      <c r="O233" s="16">
        <v>0.5</v>
      </c>
      <c r="P233" s="16">
        <v>0.5</v>
      </c>
      <c r="Q233" s="17">
        <v>45375.0</v>
      </c>
      <c r="R233" s="18">
        <v>1.95</v>
      </c>
      <c r="S233" s="15" t="s">
        <v>70</v>
      </c>
      <c r="T233" s="19">
        <f t="shared" si="1"/>
        <v>0</v>
      </c>
      <c r="U233" s="19">
        <f t="shared" si="4"/>
        <v>6.324659257</v>
      </c>
    </row>
    <row r="234">
      <c r="A234" s="8">
        <f t="shared" si="3"/>
        <v>233</v>
      </c>
      <c r="B234" s="8" t="s">
        <v>26</v>
      </c>
      <c r="C234" s="8" t="s">
        <v>19</v>
      </c>
      <c r="D234" s="8">
        <v>44.0</v>
      </c>
      <c r="E234" s="8">
        <v>2.0</v>
      </c>
      <c r="F234" s="8" t="s">
        <v>4815</v>
      </c>
      <c r="G234" s="8" t="s">
        <v>5564</v>
      </c>
      <c r="H234" s="8" t="s">
        <v>2556</v>
      </c>
      <c r="I234" s="8">
        <v>0.0</v>
      </c>
      <c r="J234" s="8" t="s">
        <v>229</v>
      </c>
      <c r="K234" s="8" t="s">
        <v>22</v>
      </c>
      <c r="L234" s="8" t="s">
        <v>892</v>
      </c>
      <c r="M234" s="8" t="s">
        <v>24</v>
      </c>
      <c r="N234" s="9">
        <v>0.0</v>
      </c>
      <c r="O234" s="9">
        <v>0.4</v>
      </c>
      <c r="P234" s="9">
        <v>0.3551</v>
      </c>
      <c r="Q234" s="10">
        <v>45375.0</v>
      </c>
      <c r="R234" s="11">
        <v>1.725</v>
      </c>
      <c r="S234" s="8" t="s">
        <v>25</v>
      </c>
      <c r="T234" s="12">
        <f t="shared" si="1"/>
        <v>-0.3551</v>
      </c>
      <c r="U234" s="12">
        <f t="shared" si="4"/>
        <v>5.969559257</v>
      </c>
    </row>
    <row r="235">
      <c r="A235" s="15">
        <f t="shared" si="3"/>
        <v>234</v>
      </c>
      <c r="B235" s="15" t="s">
        <v>26</v>
      </c>
      <c r="C235" s="15" t="s">
        <v>40</v>
      </c>
      <c r="D235" s="15">
        <v>67.0</v>
      </c>
      <c r="E235" s="15">
        <v>5.0</v>
      </c>
      <c r="F235" s="15" t="s">
        <v>4816</v>
      </c>
      <c r="G235" s="15" t="s">
        <v>5565</v>
      </c>
      <c r="H235" s="15" t="s">
        <v>2573</v>
      </c>
      <c r="I235" s="15">
        <v>-1.0</v>
      </c>
      <c r="J235" s="15" t="s">
        <v>683</v>
      </c>
      <c r="K235" s="15" t="s">
        <v>22</v>
      </c>
      <c r="L235" s="15" t="s">
        <v>894</v>
      </c>
      <c r="M235" s="15" t="s">
        <v>24</v>
      </c>
      <c r="N235" s="16">
        <v>-0.25</v>
      </c>
      <c r="O235" s="16">
        <v>0.4</v>
      </c>
      <c r="P235" s="16">
        <v>0.4</v>
      </c>
      <c r="Q235" s="17">
        <v>45375.0</v>
      </c>
      <c r="R235" s="18">
        <v>1.9</v>
      </c>
      <c r="S235" s="15" t="s">
        <v>79</v>
      </c>
      <c r="T235" s="19">
        <f t="shared" si="1"/>
        <v>-0.2</v>
      </c>
      <c r="U235" s="19">
        <f t="shared" si="4"/>
        <v>5.769559257</v>
      </c>
    </row>
    <row r="236">
      <c r="A236" s="8">
        <f t="shared" si="3"/>
        <v>235</v>
      </c>
      <c r="B236" s="8" t="s">
        <v>26</v>
      </c>
      <c r="C236" s="8" t="s">
        <v>19</v>
      </c>
      <c r="D236" s="8">
        <v>81.0</v>
      </c>
      <c r="E236" s="8"/>
      <c r="F236" s="8" t="s">
        <v>4817</v>
      </c>
      <c r="G236" s="8"/>
      <c r="H236" s="8"/>
      <c r="I236" s="8"/>
      <c r="J236" s="8" t="s">
        <v>229</v>
      </c>
      <c r="K236" s="8" t="s">
        <v>22</v>
      </c>
      <c r="L236" s="8" t="s">
        <v>440</v>
      </c>
      <c r="M236" s="8" t="s">
        <v>24</v>
      </c>
      <c r="N236" s="9">
        <v>0.5</v>
      </c>
      <c r="O236" s="9">
        <v>0.22</v>
      </c>
      <c r="P236" s="9">
        <v>0.22</v>
      </c>
      <c r="Q236" s="10">
        <v>45375.0</v>
      </c>
      <c r="R236" s="11">
        <v>2.67</v>
      </c>
      <c r="S236" s="8" t="s">
        <v>33</v>
      </c>
      <c r="T236" s="12">
        <f t="shared" si="1"/>
        <v>0.3674</v>
      </c>
      <c r="U236" s="12">
        <f t="shared" si="4"/>
        <v>6.136959257</v>
      </c>
    </row>
    <row r="237">
      <c r="A237" s="15">
        <f t="shared" si="3"/>
        <v>236</v>
      </c>
      <c r="B237" s="15" t="s">
        <v>18</v>
      </c>
      <c r="C237" s="15" t="s">
        <v>19</v>
      </c>
      <c r="D237" s="15">
        <v>27.0</v>
      </c>
      <c r="E237" s="15">
        <v>2.0</v>
      </c>
      <c r="F237" s="15" t="s">
        <v>4818</v>
      </c>
      <c r="G237" s="15" t="s">
        <v>5564</v>
      </c>
      <c r="H237" s="15" t="s">
        <v>2556</v>
      </c>
      <c r="I237" s="15">
        <v>0.0</v>
      </c>
      <c r="J237" s="15" t="s">
        <v>48</v>
      </c>
      <c r="K237" s="15" t="s">
        <v>22</v>
      </c>
      <c r="L237" s="15" t="s">
        <v>225</v>
      </c>
      <c r="M237" s="15" t="s">
        <v>39</v>
      </c>
      <c r="N237" s="16">
        <v>0.25</v>
      </c>
      <c r="O237" s="16">
        <v>0.6</v>
      </c>
      <c r="P237" s="16">
        <v>0.408163</v>
      </c>
      <c r="Q237" s="17">
        <v>45375.0</v>
      </c>
      <c r="R237" s="18">
        <v>2.02</v>
      </c>
      <c r="S237" s="15" t="s">
        <v>33</v>
      </c>
      <c r="T237" s="19">
        <f t="shared" si="1"/>
        <v>0.41632626</v>
      </c>
      <c r="U237" s="19">
        <f t="shared" si="4"/>
        <v>6.553285517</v>
      </c>
    </row>
    <row r="238">
      <c r="A238" s="8">
        <f t="shared" si="3"/>
        <v>237</v>
      </c>
      <c r="B238" s="8" t="s">
        <v>129</v>
      </c>
      <c r="C238" s="8" t="s">
        <v>19</v>
      </c>
      <c r="D238" s="8">
        <v>36.0</v>
      </c>
      <c r="E238" s="8">
        <v>3.0</v>
      </c>
      <c r="F238" s="8" t="s">
        <v>4819</v>
      </c>
      <c r="G238" s="8" t="s">
        <v>5565</v>
      </c>
      <c r="H238" s="8" t="s">
        <v>2660</v>
      </c>
      <c r="I238" s="8">
        <v>0.0</v>
      </c>
      <c r="J238" s="8" t="s">
        <v>121</v>
      </c>
      <c r="K238" s="8" t="s">
        <v>22</v>
      </c>
      <c r="L238" s="8" t="s">
        <v>4584</v>
      </c>
      <c r="M238" s="8" t="s">
        <v>24</v>
      </c>
      <c r="N238" s="9">
        <v>0.0</v>
      </c>
      <c r="O238" s="9">
        <v>0.25</v>
      </c>
      <c r="P238" s="9">
        <v>0.25</v>
      </c>
      <c r="Q238" s="10">
        <v>45375.0</v>
      </c>
      <c r="R238" s="11">
        <v>1.9</v>
      </c>
      <c r="S238" s="8" t="s">
        <v>70</v>
      </c>
      <c r="T238" s="12">
        <f t="shared" si="1"/>
        <v>0</v>
      </c>
      <c r="U238" s="12">
        <f t="shared" si="4"/>
        <v>6.553285517</v>
      </c>
    </row>
    <row r="239">
      <c r="A239" s="15">
        <f t="shared" si="3"/>
        <v>238</v>
      </c>
      <c r="B239" s="15" t="s">
        <v>18</v>
      </c>
      <c r="C239" s="15" t="s">
        <v>19</v>
      </c>
      <c r="D239" s="15">
        <v>50.0</v>
      </c>
      <c r="E239" s="15"/>
      <c r="F239" s="15" t="s">
        <v>4820</v>
      </c>
      <c r="G239" s="15"/>
      <c r="H239" s="15"/>
      <c r="I239" s="15"/>
      <c r="J239" s="15" t="s">
        <v>48</v>
      </c>
      <c r="K239" s="15" t="s">
        <v>22</v>
      </c>
      <c r="L239" s="15" t="s">
        <v>440</v>
      </c>
      <c r="M239" s="15" t="s">
        <v>39</v>
      </c>
      <c r="N239" s="16">
        <v>2.0</v>
      </c>
      <c r="O239" s="16">
        <v>0.4</v>
      </c>
      <c r="P239" s="16">
        <v>0.4</v>
      </c>
      <c r="Q239" s="17">
        <v>45375.0</v>
      </c>
      <c r="R239" s="18">
        <v>2.0</v>
      </c>
      <c r="S239" s="15" t="s">
        <v>25</v>
      </c>
      <c r="T239" s="19">
        <f t="shared" si="1"/>
        <v>-0.4</v>
      </c>
      <c r="U239" s="19">
        <f t="shared" si="4"/>
        <v>6.153285517</v>
      </c>
    </row>
    <row r="240">
      <c r="A240" s="8">
        <f t="shared" si="3"/>
        <v>239</v>
      </c>
      <c r="B240" s="8" t="s">
        <v>26</v>
      </c>
      <c r="C240" s="8" t="s">
        <v>40</v>
      </c>
      <c r="D240" s="8">
        <v>26.0</v>
      </c>
      <c r="E240" s="8">
        <v>2.0</v>
      </c>
      <c r="F240" s="8" t="s">
        <v>4821</v>
      </c>
      <c r="G240" s="8" t="s">
        <v>5564</v>
      </c>
      <c r="H240" s="8" t="s">
        <v>2556</v>
      </c>
      <c r="I240" s="8">
        <v>0.0</v>
      </c>
      <c r="J240" s="8" t="s">
        <v>50</v>
      </c>
      <c r="K240" s="8" t="s">
        <v>22</v>
      </c>
      <c r="L240" s="8" t="s">
        <v>225</v>
      </c>
      <c r="M240" s="8" t="s">
        <v>24</v>
      </c>
      <c r="N240" s="9">
        <v>0.5</v>
      </c>
      <c r="O240" s="9">
        <v>1.0</v>
      </c>
      <c r="P240" s="9">
        <v>1.0</v>
      </c>
      <c r="Q240" s="10">
        <v>45375.0</v>
      </c>
      <c r="R240" s="11">
        <v>1.825</v>
      </c>
      <c r="S240" s="8" t="s">
        <v>33</v>
      </c>
      <c r="T240" s="12">
        <f t="shared" si="1"/>
        <v>0.825</v>
      </c>
      <c r="U240" s="12">
        <f t="shared" si="4"/>
        <v>6.978285517</v>
      </c>
    </row>
    <row r="241">
      <c r="A241" s="15">
        <f t="shared" si="3"/>
        <v>240</v>
      </c>
      <c r="B241" s="15" t="s">
        <v>129</v>
      </c>
      <c r="C241" s="15" t="s">
        <v>40</v>
      </c>
      <c r="D241" s="15">
        <v>86.0</v>
      </c>
      <c r="E241" s="15">
        <v>3.0</v>
      </c>
      <c r="F241" s="15" t="s">
        <v>4822</v>
      </c>
      <c r="G241" s="15" t="s">
        <v>5564</v>
      </c>
      <c r="H241" s="15" t="s">
        <v>2660</v>
      </c>
      <c r="I241" s="15">
        <v>-2.0</v>
      </c>
      <c r="J241" s="15" t="s">
        <v>117</v>
      </c>
      <c r="K241" s="15" t="s">
        <v>22</v>
      </c>
      <c r="L241" s="15" t="s">
        <v>892</v>
      </c>
      <c r="M241" s="15" t="s">
        <v>39</v>
      </c>
      <c r="N241" s="16">
        <v>0.0</v>
      </c>
      <c r="O241" s="16">
        <v>0.25</v>
      </c>
      <c r="P241" s="16">
        <v>0.25</v>
      </c>
      <c r="Q241" s="17">
        <v>45375.0</v>
      </c>
      <c r="R241" s="18">
        <v>1.95</v>
      </c>
      <c r="S241" s="15" t="s">
        <v>70</v>
      </c>
      <c r="T241" s="19">
        <f t="shared" si="1"/>
        <v>0</v>
      </c>
      <c r="U241" s="19">
        <f t="shared" si="4"/>
        <v>6.978285517</v>
      </c>
    </row>
    <row r="242">
      <c r="A242" s="8">
        <f t="shared" si="3"/>
        <v>241</v>
      </c>
      <c r="B242" s="8" t="s">
        <v>26</v>
      </c>
      <c r="C242" s="8" t="s">
        <v>19</v>
      </c>
      <c r="D242" s="8">
        <v>83.0</v>
      </c>
      <c r="E242" s="8">
        <v>3.0</v>
      </c>
      <c r="F242" s="8" t="s">
        <v>4823</v>
      </c>
      <c r="G242" s="8" t="s">
        <v>5565</v>
      </c>
      <c r="H242" s="8" t="s">
        <v>2660</v>
      </c>
      <c r="I242" s="8">
        <v>0.0</v>
      </c>
      <c r="J242" s="8" t="s">
        <v>93</v>
      </c>
      <c r="K242" s="8" t="s">
        <v>22</v>
      </c>
      <c r="L242" s="8" t="s">
        <v>892</v>
      </c>
      <c r="M242" s="8" t="s">
        <v>24</v>
      </c>
      <c r="N242" s="9">
        <v>0.0</v>
      </c>
      <c r="O242" s="9">
        <v>0.1</v>
      </c>
      <c r="P242" s="9">
        <v>0.1</v>
      </c>
      <c r="Q242" s="10">
        <v>45375.0</v>
      </c>
      <c r="R242" s="11">
        <v>1.675</v>
      </c>
      <c r="S242" s="8" t="s">
        <v>25</v>
      </c>
      <c r="T242" s="12">
        <f t="shared" si="1"/>
        <v>-0.1</v>
      </c>
      <c r="U242" s="12">
        <f t="shared" si="4"/>
        <v>6.878285517</v>
      </c>
    </row>
    <row r="243">
      <c r="A243" s="15">
        <f t="shared" si="3"/>
        <v>242</v>
      </c>
      <c r="B243" s="15" t="s">
        <v>26</v>
      </c>
      <c r="C243" s="15" t="s">
        <v>19</v>
      </c>
      <c r="D243" s="15">
        <v>70.0</v>
      </c>
      <c r="E243" s="15">
        <v>9.0</v>
      </c>
      <c r="F243" s="15" t="s">
        <v>4824</v>
      </c>
      <c r="G243" s="15"/>
      <c r="H243" s="15"/>
      <c r="I243" s="15"/>
      <c r="J243" s="15" t="s">
        <v>191</v>
      </c>
      <c r="K243" s="15" t="s">
        <v>22</v>
      </c>
      <c r="L243" s="15" t="s">
        <v>440</v>
      </c>
      <c r="M243" s="15" t="s">
        <v>24</v>
      </c>
      <c r="N243" s="16">
        <v>0.5</v>
      </c>
      <c r="O243" s="16">
        <v>0.1</v>
      </c>
      <c r="P243" s="16">
        <v>0.1</v>
      </c>
      <c r="Q243" s="55">
        <v>45375.0</v>
      </c>
      <c r="R243" s="18">
        <v>1.9</v>
      </c>
      <c r="S243" s="15" t="s">
        <v>33</v>
      </c>
      <c r="T243" s="19">
        <f t="shared" si="1"/>
        <v>0.09</v>
      </c>
      <c r="U243" s="19">
        <f t="shared" si="4"/>
        <v>6.968285517</v>
      </c>
    </row>
    <row r="244">
      <c r="A244" s="8">
        <f t="shared" si="3"/>
        <v>243</v>
      </c>
      <c r="B244" s="8" t="s">
        <v>18</v>
      </c>
      <c r="C244" s="8" t="s">
        <v>40</v>
      </c>
      <c r="D244" s="8">
        <v>83.0</v>
      </c>
      <c r="E244" s="8">
        <v>3.0</v>
      </c>
      <c r="F244" s="8" t="s">
        <v>4825</v>
      </c>
      <c r="G244" s="8" t="s">
        <v>5564</v>
      </c>
      <c r="H244" s="8" t="s">
        <v>2660</v>
      </c>
      <c r="I244" s="8">
        <v>-2.0</v>
      </c>
      <c r="J244" s="8" t="s">
        <v>191</v>
      </c>
      <c r="K244" s="8" t="s">
        <v>22</v>
      </c>
      <c r="L244" s="8" t="s">
        <v>892</v>
      </c>
      <c r="M244" s="8" t="s">
        <v>24</v>
      </c>
      <c r="N244" s="9">
        <v>0.0</v>
      </c>
      <c r="O244" s="9">
        <v>0.1</v>
      </c>
      <c r="P244" s="9">
        <v>0.1</v>
      </c>
      <c r="Q244" s="10">
        <v>45378.0</v>
      </c>
      <c r="R244" s="11">
        <v>2.25</v>
      </c>
      <c r="S244" s="8" t="s">
        <v>70</v>
      </c>
      <c r="T244" s="12">
        <f t="shared" si="1"/>
        <v>0</v>
      </c>
      <c r="U244" s="12">
        <f t="shared" si="4"/>
        <v>6.968285517</v>
      </c>
    </row>
    <row r="245">
      <c r="A245" s="15">
        <f t="shared" si="3"/>
        <v>244</v>
      </c>
      <c r="B245" s="15" t="s">
        <v>4225</v>
      </c>
      <c r="C245" s="15" t="s">
        <v>19</v>
      </c>
      <c r="D245" s="15">
        <v>35.0</v>
      </c>
      <c r="E245" s="15">
        <v>2.0</v>
      </c>
      <c r="F245" s="15" t="s">
        <v>4826</v>
      </c>
      <c r="G245" s="15" t="s">
        <v>5564</v>
      </c>
      <c r="H245" s="15" t="s">
        <v>2556</v>
      </c>
      <c r="I245" s="15">
        <v>0.0</v>
      </c>
      <c r="J245" s="15" t="s">
        <v>248</v>
      </c>
      <c r="K245" s="15" t="s">
        <v>22</v>
      </c>
      <c r="L245" s="15" t="s">
        <v>225</v>
      </c>
      <c r="M245" s="15" t="s">
        <v>24</v>
      </c>
      <c r="N245" s="16">
        <v>0.25</v>
      </c>
      <c r="O245" s="16">
        <v>0.5</v>
      </c>
      <c r="P245" s="16">
        <v>0.5</v>
      </c>
      <c r="Q245" s="17">
        <v>45378.0</v>
      </c>
      <c r="R245" s="18">
        <v>1.75</v>
      </c>
      <c r="S245" s="15" t="s">
        <v>25</v>
      </c>
      <c r="T245" s="19">
        <f t="shared" si="1"/>
        <v>-0.5</v>
      </c>
      <c r="U245" s="19">
        <f t="shared" si="4"/>
        <v>6.468285517</v>
      </c>
    </row>
    <row r="246">
      <c r="A246" s="8">
        <f t="shared" si="3"/>
        <v>245</v>
      </c>
      <c r="B246" s="8" t="s">
        <v>26</v>
      </c>
      <c r="C246" s="8" t="s">
        <v>19</v>
      </c>
      <c r="D246" s="8">
        <v>77.0</v>
      </c>
      <c r="E246" s="8">
        <v>3.0</v>
      </c>
      <c r="F246" s="8" t="s">
        <v>4827</v>
      </c>
      <c r="G246" s="8" t="s">
        <v>5565</v>
      </c>
      <c r="H246" s="8" t="s">
        <v>2660</v>
      </c>
      <c r="I246" s="8">
        <v>0.0</v>
      </c>
      <c r="J246" s="8" t="s">
        <v>231</v>
      </c>
      <c r="K246" s="8" t="s">
        <v>22</v>
      </c>
      <c r="L246" s="8" t="s">
        <v>892</v>
      </c>
      <c r="M246" s="8" t="s">
        <v>24</v>
      </c>
      <c r="N246" s="9">
        <v>0.0</v>
      </c>
      <c r="O246" s="9">
        <v>0.2</v>
      </c>
      <c r="P246" s="9">
        <v>0.2</v>
      </c>
      <c r="Q246" s="10">
        <v>45378.0</v>
      </c>
      <c r="R246" s="11">
        <v>1.825</v>
      </c>
      <c r="S246" s="8" t="s">
        <v>33</v>
      </c>
      <c r="T246" s="12">
        <f t="shared" si="1"/>
        <v>0.165</v>
      </c>
      <c r="U246" s="12">
        <f t="shared" si="4"/>
        <v>6.633285517</v>
      </c>
    </row>
    <row r="247">
      <c r="A247" s="15">
        <f t="shared" si="3"/>
        <v>246</v>
      </c>
      <c r="B247" s="15" t="s">
        <v>18</v>
      </c>
      <c r="C247" s="15" t="s">
        <v>19</v>
      </c>
      <c r="D247" s="15">
        <v>69.0</v>
      </c>
      <c r="E247" s="15">
        <v>3.0</v>
      </c>
      <c r="F247" s="15" t="s">
        <v>4828</v>
      </c>
      <c r="G247" s="15" t="s">
        <v>5564</v>
      </c>
      <c r="H247" s="15" t="s">
        <v>2660</v>
      </c>
      <c r="I247" s="15">
        <v>-1.0</v>
      </c>
      <c r="J247" s="15" t="s">
        <v>68</v>
      </c>
      <c r="K247" s="15" t="s">
        <v>22</v>
      </c>
      <c r="L247" s="15" t="s">
        <v>892</v>
      </c>
      <c r="M247" s="15" t="s">
        <v>24</v>
      </c>
      <c r="N247" s="16">
        <v>0.0</v>
      </c>
      <c r="O247" s="16">
        <v>0.5</v>
      </c>
      <c r="P247" s="16">
        <v>0.5</v>
      </c>
      <c r="Q247" s="17">
        <v>45378.0</v>
      </c>
      <c r="R247" s="18">
        <v>2.15</v>
      </c>
      <c r="S247" s="15" t="s">
        <v>25</v>
      </c>
      <c r="T247" s="19">
        <f t="shared" si="1"/>
        <v>-0.5</v>
      </c>
      <c r="U247" s="19">
        <f t="shared" si="4"/>
        <v>6.133285517</v>
      </c>
    </row>
    <row r="248">
      <c r="A248" s="8">
        <f t="shared" si="3"/>
        <v>247</v>
      </c>
      <c r="B248" s="8" t="s">
        <v>26</v>
      </c>
      <c r="C248" s="8" t="s">
        <v>19</v>
      </c>
      <c r="D248" s="8">
        <v>62.0</v>
      </c>
      <c r="E248" s="8">
        <v>3.0</v>
      </c>
      <c r="F248" s="8" t="s">
        <v>4829</v>
      </c>
      <c r="G248" s="8" t="s">
        <v>5564</v>
      </c>
      <c r="H248" s="8" t="s">
        <v>2660</v>
      </c>
      <c r="I248" s="8">
        <v>-1.0</v>
      </c>
      <c r="J248" s="8" t="s">
        <v>93</v>
      </c>
      <c r="K248" s="8" t="s">
        <v>22</v>
      </c>
      <c r="L248" s="8" t="s">
        <v>892</v>
      </c>
      <c r="M248" s="8" t="s">
        <v>24</v>
      </c>
      <c r="N248" s="9">
        <v>0.0</v>
      </c>
      <c r="O248" s="9">
        <v>1.0</v>
      </c>
      <c r="P248" s="9">
        <v>0.8416</v>
      </c>
      <c r="Q248" s="10">
        <v>45378.0</v>
      </c>
      <c r="R248" s="11">
        <v>1.725</v>
      </c>
      <c r="S248" s="8" t="s">
        <v>33</v>
      </c>
      <c r="T248" s="12">
        <f t="shared" si="1"/>
        <v>0.61016</v>
      </c>
      <c r="U248" s="12">
        <f t="shared" si="4"/>
        <v>6.743445517</v>
      </c>
    </row>
    <row r="249">
      <c r="A249" s="15">
        <f t="shared" si="3"/>
        <v>248</v>
      </c>
      <c r="B249" s="15" t="s">
        <v>18</v>
      </c>
      <c r="C249" s="15" t="s">
        <v>19</v>
      </c>
      <c r="D249" s="15">
        <v>28.0</v>
      </c>
      <c r="E249" s="15">
        <v>3.0</v>
      </c>
      <c r="F249" s="15" t="s">
        <v>4830</v>
      </c>
      <c r="G249" s="15" t="s">
        <v>5565</v>
      </c>
      <c r="H249" s="15" t="s">
        <v>2660</v>
      </c>
      <c r="I249" s="15">
        <v>0.0</v>
      </c>
      <c r="J249" s="15" t="s">
        <v>167</v>
      </c>
      <c r="K249" s="15" t="s">
        <v>22</v>
      </c>
      <c r="L249" s="15" t="s">
        <v>4584</v>
      </c>
      <c r="M249" s="15" t="s">
        <v>24</v>
      </c>
      <c r="N249" s="16">
        <v>0.0</v>
      </c>
      <c r="O249" s="16">
        <v>0.2</v>
      </c>
      <c r="P249" s="16">
        <v>0.2</v>
      </c>
      <c r="Q249" s="17">
        <v>45378.0</v>
      </c>
      <c r="R249" s="18">
        <v>1.825</v>
      </c>
      <c r="S249" s="15" t="s">
        <v>70</v>
      </c>
      <c r="T249" s="19">
        <f t="shared" si="1"/>
        <v>0</v>
      </c>
      <c r="U249" s="19">
        <f t="shared" si="4"/>
        <v>6.743445517</v>
      </c>
    </row>
    <row r="250">
      <c r="A250" s="8">
        <f t="shared" si="3"/>
        <v>249</v>
      </c>
      <c r="B250" s="8" t="s">
        <v>26</v>
      </c>
      <c r="C250" s="8" t="s">
        <v>19</v>
      </c>
      <c r="D250" s="8">
        <v>63.0</v>
      </c>
      <c r="E250" s="8">
        <v>3.0</v>
      </c>
      <c r="F250" s="8" t="s">
        <v>4831</v>
      </c>
      <c r="G250" s="8" t="s">
        <v>5565</v>
      </c>
      <c r="H250" s="8" t="s">
        <v>2660</v>
      </c>
      <c r="I250" s="8">
        <v>0.0</v>
      </c>
      <c r="J250" s="8" t="s">
        <v>164</v>
      </c>
      <c r="K250" s="8" t="s">
        <v>22</v>
      </c>
      <c r="L250" s="8" t="s">
        <v>892</v>
      </c>
      <c r="M250" s="8" t="s">
        <v>24</v>
      </c>
      <c r="N250" s="9">
        <v>0.0</v>
      </c>
      <c r="O250" s="9">
        <v>0.5</v>
      </c>
      <c r="P250" s="9">
        <v>0.5</v>
      </c>
      <c r="Q250" s="10">
        <v>45378.0</v>
      </c>
      <c r="R250" s="11">
        <v>1.7</v>
      </c>
      <c r="S250" s="8" t="s">
        <v>33</v>
      </c>
      <c r="T250" s="12">
        <f t="shared" si="1"/>
        <v>0.35</v>
      </c>
      <c r="U250" s="12">
        <f t="shared" si="4"/>
        <v>7.093445517</v>
      </c>
    </row>
    <row r="251">
      <c r="A251" s="15">
        <f t="shared" si="3"/>
        <v>250</v>
      </c>
      <c r="B251" s="15" t="s">
        <v>26</v>
      </c>
      <c r="C251" s="15" t="s">
        <v>19</v>
      </c>
      <c r="D251" s="15">
        <v>90.0</v>
      </c>
      <c r="E251" s="15">
        <v>3.0</v>
      </c>
      <c r="F251" s="15" t="s">
        <v>4832</v>
      </c>
      <c r="G251" s="15"/>
      <c r="H251" s="15"/>
      <c r="I251" s="15" t="s">
        <v>4736</v>
      </c>
      <c r="J251" s="15" t="s">
        <v>164</v>
      </c>
      <c r="K251" s="15" t="s">
        <v>22</v>
      </c>
      <c r="L251" s="15" t="s">
        <v>440</v>
      </c>
      <c r="M251" s="15" t="s">
        <v>24</v>
      </c>
      <c r="N251" s="16">
        <v>1.5</v>
      </c>
      <c r="O251" s="16">
        <v>0.07</v>
      </c>
      <c r="P251" s="16">
        <v>0.07</v>
      </c>
      <c r="Q251" s="17">
        <v>45378.0</v>
      </c>
      <c r="R251" s="18">
        <v>8.75</v>
      </c>
      <c r="S251" s="15" t="s">
        <v>25</v>
      </c>
      <c r="T251" s="19">
        <f t="shared" si="1"/>
        <v>-0.07</v>
      </c>
      <c r="U251" s="19">
        <f t="shared" si="4"/>
        <v>7.023445517</v>
      </c>
    </row>
    <row r="252">
      <c r="A252" s="8">
        <f t="shared" si="3"/>
        <v>251</v>
      </c>
      <c r="B252" s="8" t="s">
        <v>137</v>
      </c>
      <c r="C252" s="8" t="s">
        <v>19</v>
      </c>
      <c r="D252" s="8">
        <v>25.0</v>
      </c>
      <c r="E252" s="8">
        <v>3.0</v>
      </c>
      <c r="F252" s="8" t="s">
        <v>4833</v>
      </c>
      <c r="G252" s="8" t="s">
        <v>5564</v>
      </c>
      <c r="H252" s="8" t="s">
        <v>2660</v>
      </c>
      <c r="I252" s="8">
        <v>0.0</v>
      </c>
      <c r="J252" s="8" t="s">
        <v>121</v>
      </c>
      <c r="K252" s="8" t="s">
        <v>22</v>
      </c>
      <c r="L252" s="8" t="s">
        <v>4584</v>
      </c>
      <c r="M252" s="8" t="s">
        <v>24</v>
      </c>
      <c r="N252" s="9">
        <v>0.0</v>
      </c>
      <c r="O252" s="9">
        <v>1.0</v>
      </c>
      <c r="P252" s="9">
        <v>1.0</v>
      </c>
      <c r="Q252" s="10">
        <v>45379.0</v>
      </c>
      <c r="R252" s="11">
        <v>1.85</v>
      </c>
      <c r="S252" s="8" t="s">
        <v>70</v>
      </c>
      <c r="T252" s="12">
        <f t="shared" si="1"/>
        <v>0</v>
      </c>
      <c r="U252" s="12">
        <f t="shared" si="4"/>
        <v>7.023445517</v>
      </c>
    </row>
    <row r="253">
      <c r="A253" s="15">
        <f t="shared" si="3"/>
        <v>252</v>
      </c>
      <c r="B253" s="15" t="s">
        <v>26</v>
      </c>
      <c r="C253" s="15" t="s">
        <v>19</v>
      </c>
      <c r="D253" s="15">
        <v>70.0</v>
      </c>
      <c r="E253" s="15">
        <v>3.0</v>
      </c>
      <c r="F253" s="15" t="s">
        <v>4834</v>
      </c>
      <c r="G253" s="15" t="s">
        <v>5565</v>
      </c>
      <c r="H253" s="15" t="s">
        <v>2660</v>
      </c>
      <c r="I253" s="15">
        <f>1</f>
        <v>1</v>
      </c>
      <c r="J253" s="15" t="s">
        <v>121</v>
      </c>
      <c r="K253" s="15" t="s">
        <v>22</v>
      </c>
      <c r="L253" s="15" t="s">
        <v>892</v>
      </c>
      <c r="M253" s="15" t="s">
        <v>24</v>
      </c>
      <c r="N253" s="16">
        <v>0.0</v>
      </c>
      <c r="O253" s="16">
        <v>1.0</v>
      </c>
      <c r="P253" s="16">
        <v>1.0</v>
      </c>
      <c r="Q253" s="17">
        <v>45379.0</v>
      </c>
      <c r="R253" s="18">
        <v>1.7</v>
      </c>
      <c r="S253" s="15" t="s">
        <v>70</v>
      </c>
      <c r="T253" s="19">
        <f t="shared" si="1"/>
        <v>0</v>
      </c>
      <c r="U253" s="19">
        <f t="shared" si="4"/>
        <v>7.023445517</v>
      </c>
    </row>
    <row r="254">
      <c r="A254" s="8">
        <f t="shared" si="3"/>
        <v>253</v>
      </c>
      <c r="B254" s="8" t="s">
        <v>4225</v>
      </c>
      <c r="C254" s="8" t="s">
        <v>19</v>
      </c>
      <c r="D254" s="8">
        <v>75.0</v>
      </c>
      <c r="E254" s="8">
        <v>3.0</v>
      </c>
      <c r="F254" s="8" t="s">
        <v>4835</v>
      </c>
      <c r="G254" s="8" t="s">
        <v>5564</v>
      </c>
      <c r="H254" s="8" t="s">
        <v>2660</v>
      </c>
      <c r="I254" s="8">
        <v>0.0</v>
      </c>
      <c r="J254" s="8" t="s">
        <v>42</v>
      </c>
      <c r="K254" s="8" t="s">
        <v>22</v>
      </c>
      <c r="L254" s="8" t="s">
        <v>892</v>
      </c>
      <c r="M254" s="8" t="s">
        <v>24</v>
      </c>
      <c r="N254" s="9">
        <v>0.0</v>
      </c>
      <c r="O254" s="9">
        <v>0.25</v>
      </c>
      <c r="P254" s="9">
        <v>0.25</v>
      </c>
      <c r="Q254" s="10">
        <v>45379.0</v>
      </c>
      <c r="R254" s="11">
        <v>1.6</v>
      </c>
      <c r="S254" s="8" t="s">
        <v>33</v>
      </c>
      <c r="T254" s="12">
        <f t="shared" si="1"/>
        <v>0.15</v>
      </c>
      <c r="U254" s="12">
        <f t="shared" si="4"/>
        <v>7.173445517</v>
      </c>
    </row>
    <row r="255">
      <c r="A255" s="15">
        <f t="shared" si="3"/>
        <v>254</v>
      </c>
      <c r="B255" s="15" t="s">
        <v>26</v>
      </c>
      <c r="C255" s="15" t="s">
        <v>19</v>
      </c>
      <c r="D255" s="15">
        <v>70.0</v>
      </c>
      <c r="E255" s="15">
        <v>3.0</v>
      </c>
      <c r="F255" s="15" t="s">
        <v>4836</v>
      </c>
      <c r="G255" s="15" t="s">
        <v>5565</v>
      </c>
      <c r="H255" s="15" t="s">
        <v>2660</v>
      </c>
      <c r="I255" s="15">
        <v>-1.0</v>
      </c>
      <c r="J255" s="15" t="s">
        <v>248</v>
      </c>
      <c r="K255" s="15" t="s">
        <v>22</v>
      </c>
      <c r="L255" s="15" t="s">
        <v>892</v>
      </c>
      <c r="M255" s="15" t="s">
        <v>24</v>
      </c>
      <c r="N255" s="16">
        <v>0.0</v>
      </c>
      <c r="O255" s="16">
        <v>0.2</v>
      </c>
      <c r="P255" s="16">
        <v>0.2</v>
      </c>
      <c r="Q255" s="17">
        <v>45379.0</v>
      </c>
      <c r="R255" s="18">
        <v>1.775</v>
      </c>
      <c r="S255" s="15" t="s">
        <v>33</v>
      </c>
      <c r="T255" s="19">
        <f t="shared" si="1"/>
        <v>0.155</v>
      </c>
      <c r="U255" s="19">
        <f t="shared" si="4"/>
        <v>7.328445517</v>
      </c>
    </row>
    <row r="256">
      <c r="A256" s="8">
        <f t="shared" si="3"/>
        <v>255</v>
      </c>
      <c r="B256" s="8" t="s">
        <v>26</v>
      </c>
      <c r="C256" s="8" t="s">
        <v>19</v>
      </c>
      <c r="D256" s="8">
        <v>59.0</v>
      </c>
      <c r="E256" s="8">
        <v>3.0</v>
      </c>
      <c r="F256" s="8" t="s">
        <v>4837</v>
      </c>
      <c r="G256" s="8" t="s">
        <v>5565</v>
      </c>
      <c r="H256" s="8" t="s">
        <v>2660</v>
      </c>
      <c r="I256" s="8">
        <v>0.0</v>
      </c>
      <c r="J256" s="8" t="s">
        <v>940</v>
      </c>
      <c r="K256" s="8" t="s">
        <v>22</v>
      </c>
      <c r="L256" s="8" t="s">
        <v>892</v>
      </c>
      <c r="M256" s="8" t="s">
        <v>24</v>
      </c>
      <c r="N256" s="9">
        <v>0.0</v>
      </c>
      <c r="O256" s="9">
        <v>0.6</v>
      </c>
      <c r="P256" s="9">
        <v>0.6</v>
      </c>
      <c r="Q256" s="10">
        <v>45379.0</v>
      </c>
      <c r="R256" s="11">
        <v>1.9</v>
      </c>
      <c r="S256" s="8" t="s">
        <v>25</v>
      </c>
      <c r="T256" s="12">
        <f t="shared" si="1"/>
        <v>-0.6</v>
      </c>
      <c r="U256" s="12">
        <f t="shared" si="4"/>
        <v>6.728445517</v>
      </c>
    </row>
    <row r="257">
      <c r="A257" s="15">
        <f t="shared" si="3"/>
        <v>256</v>
      </c>
      <c r="B257" s="15" t="s">
        <v>4225</v>
      </c>
      <c r="C257" s="15" t="s">
        <v>19</v>
      </c>
      <c r="D257" s="15">
        <v>85.0</v>
      </c>
      <c r="E257" s="15">
        <v>7.0</v>
      </c>
      <c r="F257" s="15" t="s">
        <v>4838</v>
      </c>
      <c r="G257" s="15"/>
      <c r="H257" s="15"/>
      <c r="I257" s="15"/>
      <c r="J257" s="15" t="s">
        <v>207</v>
      </c>
      <c r="K257" s="15" t="s">
        <v>22</v>
      </c>
      <c r="L257" s="15" t="s">
        <v>29</v>
      </c>
      <c r="M257" s="15" t="s">
        <v>24</v>
      </c>
      <c r="N257" s="16">
        <v>-0.5</v>
      </c>
      <c r="O257" s="16">
        <v>0.1</v>
      </c>
      <c r="P257" s="16">
        <v>0.1</v>
      </c>
      <c r="Q257" s="17">
        <v>45380.0</v>
      </c>
      <c r="R257" s="18">
        <v>1.75</v>
      </c>
      <c r="S257" s="15" t="s">
        <v>25</v>
      </c>
      <c r="T257" s="19">
        <f t="shared" si="1"/>
        <v>-0.1</v>
      </c>
      <c r="U257" s="19">
        <f t="shared" si="4"/>
        <v>6.628445517</v>
      </c>
    </row>
    <row r="258">
      <c r="A258" s="8">
        <f t="shared" si="3"/>
        <v>257</v>
      </c>
      <c r="B258" s="8" t="s">
        <v>4225</v>
      </c>
      <c r="C258" s="8" t="s">
        <v>19</v>
      </c>
      <c r="D258" s="8">
        <v>35.0</v>
      </c>
      <c r="E258" s="8">
        <v>3.0</v>
      </c>
      <c r="F258" s="8" t="s">
        <v>4839</v>
      </c>
      <c r="G258" s="8" t="s">
        <v>5564</v>
      </c>
      <c r="H258" s="8" t="s">
        <v>2660</v>
      </c>
      <c r="I258" s="8">
        <v>0.0</v>
      </c>
      <c r="J258" s="8" t="s">
        <v>908</v>
      </c>
      <c r="K258" s="8" t="s">
        <v>22</v>
      </c>
      <c r="L258" s="8" t="s">
        <v>4584</v>
      </c>
      <c r="M258" s="8" t="s">
        <v>24</v>
      </c>
      <c r="N258" s="9">
        <v>0.0</v>
      </c>
      <c r="O258" s="9">
        <v>0.75</v>
      </c>
      <c r="P258" s="9">
        <v>0.75</v>
      </c>
      <c r="Q258" s="10">
        <v>45380.0</v>
      </c>
      <c r="R258" s="11">
        <v>1.975</v>
      </c>
      <c r="S258" s="8" t="s">
        <v>70</v>
      </c>
      <c r="T258" s="12">
        <f t="shared" si="1"/>
        <v>0</v>
      </c>
      <c r="U258" s="12">
        <f t="shared" si="4"/>
        <v>6.628445517</v>
      </c>
    </row>
    <row r="259">
      <c r="A259" s="15">
        <f t="shared" si="3"/>
        <v>258</v>
      </c>
      <c r="B259" s="15" t="s">
        <v>137</v>
      </c>
      <c r="C259" s="15" t="s">
        <v>19</v>
      </c>
      <c r="D259" s="15">
        <v>70.0</v>
      </c>
      <c r="E259" s="15">
        <v>3.0</v>
      </c>
      <c r="F259" s="15" t="s">
        <v>4840</v>
      </c>
      <c r="G259" s="15" t="s">
        <v>5565</v>
      </c>
      <c r="H259" s="15" t="s">
        <v>2660</v>
      </c>
      <c r="I259" s="15">
        <v>-2.0</v>
      </c>
      <c r="J259" s="15" t="s">
        <v>583</v>
      </c>
      <c r="K259" s="15" t="s">
        <v>22</v>
      </c>
      <c r="L259" s="15" t="s">
        <v>892</v>
      </c>
      <c r="M259" s="15" t="s">
        <v>24</v>
      </c>
      <c r="N259" s="16">
        <v>0.0</v>
      </c>
      <c r="O259" s="16">
        <v>0.5</v>
      </c>
      <c r="P259" s="16">
        <v>0.5</v>
      </c>
      <c r="Q259" s="17">
        <v>45380.0</v>
      </c>
      <c r="R259" s="18">
        <v>1.8</v>
      </c>
      <c r="S259" s="15" t="s">
        <v>70</v>
      </c>
      <c r="T259" s="19">
        <f t="shared" si="1"/>
        <v>0</v>
      </c>
      <c r="U259" s="19">
        <f t="shared" si="4"/>
        <v>6.628445517</v>
      </c>
    </row>
    <row r="260">
      <c r="A260" s="8">
        <f t="shared" si="3"/>
        <v>259</v>
      </c>
      <c r="B260" s="8" t="s">
        <v>26</v>
      </c>
      <c r="C260" s="8" t="s">
        <v>19</v>
      </c>
      <c r="D260" s="8">
        <v>62.0</v>
      </c>
      <c r="E260" s="8">
        <v>2.0</v>
      </c>
      <c r="F260" s="8" t="s">
        <v>4841</v>
      </c>
      <c r="G260" s="8" t="s">
        <v>5564</v>
      </c>
      <c r="H260" s="8" t="s">
        <v>2556</v>
      </c>
      <c r="I260" s="8">
        <v>-1.0</v>
      </c>
      <c r="J260" s="8" t="s">
        <v>121</v>
      </c>
      <c r="K260" s="8" t="s">
        <v>22</v>
      </c>
      <c r="L260" s="8" t="s">
        <v>225</v>
      </c>
      <c r="M260" s="8" t="s">
        <v>24</v>
      </c>
      <c r="N260" s="9">
        <v>0.25</v>
      </c>
      <c r="O260" s="9">
        <v>0.5</v>
      </c>
      <c r="P260" s="9">
        <v>0.5</v>
      </c>
      <c r="Q260" s="10">
        <v>45380.0</v>
      </c>
      <c r="R260" s="11">
        <v>1.9</v>
      </c>
      <c r="S260" s="8" t="s">
        <v>25</v>
      </c>
      <c r="T260" s="12">
        <f t="shared" si="1"/>
        <v>-0.5</v>
      </c>
      <c r="U260" s="12">
        <f t="shared" si="4"/>
        <v>6.128445517</v>
      </c>
    </row>
    <row r="261">
      <c r="A261" s="15">
        <f t="shared" si="3"/>
        <v>260</v>
      </c>
      <c r="B261" s="15" t="s">
        <v>26</v>
      </c>
      <c r="C261" s="15" t="s">
        <v>19</v>
      </c>
      <c r="D261" s="15">
        <v>62.0</v>
      </c>
      <c r="E261" s="15">
        <v>2.0</v>
      </c>
      <c r="F261" s="15" t="s">
        <v>4842</v>
      </c>
      <c r="G261" s="15" t="s">
        <v>5564</v>
      </c>
      <c r="H261" s="15" t="s">
        <v>2556</v>
      </c>
      <c r="I261" s="15">
        <v>-1.0</v>
      </c>
      <c r="J261" s="15" t="s">
        <v>121</v>
      </c>
      <c r="K261" s="15" t="s">
        <v>22</v>
      </c>
      <c r="L261" s="15" t="s">
        <v>1165</v>
      </c>
      <c r="M261" s="15" t="s">
        <v>24</v>
      </c>
      <c r="N261" s="16"/>
      <c r="O261" s="16">
        <v>0.05</v>
      </c>
      <c r="P261" s="16">
        <v>0.05</v>
      </c>
      <c r="Q261" s="17">
        <v>45380.0</v>
      </c>
      <c r="R261" s="18">
        <v>3.75</v>
      </c>
      <c r="S261" s="15" t="s">
        <v>25</v>
      </c>
      <c r="T261" s="19">
        <f t="shared" si="1"/>
        <v>-0.05</v>
      </c>
      <c r="U261" s="19">
        <f t="shared" si="4"/>
        <v>6.078445517</v>
      </c>
    </row>
    <row r="262">
      <c r="A262" s="8">
        <f t="shared" si="3"/>
        <v>261</v>
      </c>
      <c r="B262" s="8" t="s">
        <v>26</v>
      </c>
      <c r="C262" s="8" t="s">
        <v>19</v>
      </c>
      <c r="D262" s="8">
        <v>73.0</v>
      </c>
      <c r="E262" s="8">
        <v>3.0</v>
      </c>
      <c r="F262" s="8" t="s">
        <v>4843</v>
      </c>
      <c r="G262" s="8" t="s">
        <v>5564</v>
      </c>
      <c r="H262" s="8" t="s">
        <v>2660</v>
      </c>
      <c r="I262" s="8">
        <v>-1.0</v>
      </c>
      <c r="J262" s="8" t="s">
        <v>121</v>
      </c>
      <c r="K262" s="8" t="s">
        <v>22</v>
      </c>
      <c r="L262" s="8" t="s">
        <v>892</v>
      </c>
      <c r="M262" s="8" t="s">
        <v>24</v>
      </c>
      <c r="N262" s="9">
        <v>0.0</v>
      </c>
      <c r="O262" s="9">
        <v>0.75</v>
      </c>
      <c r="P262" s="9">
        <v>0.75</v>
      </c>
      <c r="Q262" s="10">
        <v>45380.0</v>
      </c>
      <c r="R262" s="11">
        <v>2.1</v>
      </c>
      <c r="S262" s="8" t="s">
        <v>33</v>
      </c>
      <c r="T262" s="12">
        <f t="shared" si="1"/>
        <v>0.825</v>
      </c>
      <c r="U262" s="12">
        <f t="shared" si="4"/>
        <v>6.903445517</v>
      </c>
    </row>
    <row r="263">
      <c r="A263" s="15">
        <f t="shared" si="3"/>
        <v>262</v>
      </c>
      <c r="B263" s="15" t="s">
        <v>18</v>
      </c>
      <c r="C263" s="15" t="s">
        <v>40</v>
      </c>
      <c r="D263" s="15">
        <v>69.0</v>
      </c>
      <c r="E263" s="15"/>
      <c r="F263" s="15" t="s">
        <v>4844</v>
      </c>
      <c r="G263" s="15" t="s">
        <v>5565</v>
      </c>
      <c r="H263" s="15" t="s">
        <v>2556</v>
      </c>
      <c r="I263" s="15">
        <v>0.0</v>
      </c>
      <c r="J263" s="15" t="s">
        <v>583</v>
      </c>
      <c r="K263" s="15" t="s">
        <v>22</v>
      </c>
      <c r="L263" s="15" t="s">
        <v>225</v>
      </c>
      <c r="M263" s="15" t="s">
        <v>24</v>
      </c>
      <c r="N263" s="16">
        <v>0.5</v>
      </c>
      <c r="O263" s="16">
        <v>0.2</v>
      </c>
      <c r="P263" s="16">
        <v>0.2</v>
      </c>
      <c r="Q263" s="17">
        <v>45381.0</v>
      </c>
      <c r="R263" s="18">
        <v>1.725</v>
      </c>
      <c r="S263" s="15" t="s">
        <v>33</v>
      </c>
      <c r="T263" s="19">
        <f t="shared" si="1"/>
        <v>0.145</v>
      </c>
      <c r="U263" s="19">
        <f t="shared" si="4"/>
        <v>7.048445517</v>
      </c>
    </row>
    <row r="264">
      <c r="A264" s="8">
        <f t="shared" si="3"/>
        <v>263</v>
      </c>
      <c r="B264" s="8" t="s">
        <v>26</v>
      </c>
      <c r="C264" s="8" t="s">
        <v>40</v>
      </c>
      <c r="D264" s="8">
        <v>69.0</v>
      </c>
      <c r="E264" s="8"/>
      <c r="F264" s="8" t="s">
        <v>4845</v>
      </c>
      <c r="G264" s="8" t="s">
        <v>5565</v>
      </c>
      <c r="H264" s="8" t="s">
        <v>2660</v>
      </c>
      <c r="I264" s="8">
        <v>-2.0</v>
      </c>
      <c r="J264" s="8" t="s">
        <v>229</v>
      </c>
      <c r="K264" s="8" t="s">
        <v>22</v>
      </c>
      <c r="L264" s="8" t="s">
        <v>892</v>
      </c>
      <c r="M264" s="8" t="s">
        <v>24</v>
      </c>
      <c r="N264" s="9">
        <v>0.0</v>
      </c>
      <c r="O264" s="9">
        <v>0.5</v>
      </c>
      <c r="P264" s="9">
        <v>0.5</v>
      </c>
      <c r="Q264" s="10">
        <v>45381.0</v>
      </c>
      <c r="R264" s="11">
        <v>1.7</v>
      </c>
      <c r="S264" s="8" t="s">
        <v>70</v>
      </c>
      <c r="T264" s="12">
        <f t="shared" si="1"/>
        <v>0</v>
      </c>
      <c r="U264" s="12">
        <f t="shared" si="4"/>
        <v>7.048445517</v>
      </c>
    </row>
    <row r="265">
      <c r="A265" s="15">
        <f t="shared" si="3"/>
        <v>264</v>
      </c>
      <c r="B265" s="15" t="s">
        <v>131</v>
      </c>
      <c r="C265" s="15" t="s">
        <v>40</v>
      </c>
      <c r="D265" s="15">
        <v>81.0</v>
      </c>
      <c r="E265" s="15"/>
      <c r="F265" s="15" t="s">
        <v>4846</v>
      </c>
      <c r="G265" s="15" t="s">
        <v>5564</v>
      </c>
      <c r="H265" s="15" t="s">
        <v>2556</v>
      </c>
      <c r="I265" s="15">
        <v>-1.0</v>
      </c>
      <c r="J265" s="15" t="s">
        <v>624</v>
      </c>
      <c r="K265" s="15" t="s">
        <v>22</v>
      </c>
      <c r="L265" s="15" t="s">
        <v>225</v>
      </c>
      <c r="M265" s="15" t="s">
        <v>24</v>
      </c>
      <c r="N265" s="16">
        <v>0.25</v>
      </c>
      <c r="O265" s="16">
        <v>0.5</v>
      </c>
      <c r="P265" s="16">
        <v>0.28</v>
      </c>
      <c r="Q265" s="17">
        <v>45381.0</v>
      </c>
      <c r="R265" s="18">
        <v>1.7</v>
      </c>
      <c r="S265" s="15" t="s">
        <v>996</v>
      </c>
      <c r="T265" s="19">
        <f t="shared" si="1"/>
        <v>0.098</v>
      </c>
      <c r="U265" s="19">
        <f t="shared" si="4"/>
        <v>7.146445517</v>
      </c>
    </row>
    <row r="266">
      <c r="A266" s="8">
        <f t="shared" si="3"/>
        <v>265</v>
      </c>
      <c r="B266" s="8" t="s">
        <v>26</v>
      </c>
      <c r="C266" s="8" t="s">
        <v>40</v>
      </c>
      <c r="D266" s="8">
        <v>85.0</v>
      </c>
      <c r="E266" s="8"/>
      <c r="F266" s="8" t="s">
        <v>4847</v>
      </c>
      <c r="G266" s="8" t="s">
        <v>5564</v>
      </c>
      <c r="H266" s="8" t="s">
        <v>2660</v>
      </c>
      <c r="I266" s="8">
        <v>2</v>
      </c>
      <c r="J266" s="8" t="s">
        <v>229</v>
      </c>
      <c r="K266" s="8" t="s">
        <v>22</v>
      </c>
      <c r="L266" s="8" t="s">
        <v>892</v>
      </c>
      <c r="M266" s="8" t="s">
        <v>24</v>
      </c>
      <c r="N266" s="9">
        <v>0.0</v>
      </c>
      <c r="O266" s="9">
        <v>0.35</v>
      </c>
      <c r="P266" s="9">
        <v>0.35</v>
      </c>
      <c r="Q266" s="10">
        <v>45381.0</v>
      </c>
      <c r="R266" s="11">
        <v>2.35</v>
      </c>
      <c r="S266" s="8" t="s">
        <v>70</v>
      </c>
      <c r="T266" s="12">
        <f t="shared" si="1"/>
        <v>0</v>
      </c>
      <c r="U266" s="12">
        <f t="shared" si="4"/>
        <v>7.146445517</v>
      </c>
    </row>
    <row r="267">
      <c r="A267" s="15">
        <f t="shared" si="3"/>
        <v>266</v>
      </c>
      <c r="B267" s="15" t="s">
        <v>26</v>
      </c>
      <c r="C267" s="15" t="s">
        <v>19</v>
      </c>
      <c r="D267" s="15">
        <v>24.0</v>
      </c>
      <c r="E267" s="15"/>
      <c r="F267" s="15" t="s">
        <v>4848</v>
      </c>
      <c r="G267" s="15" t="s">
        <v>5564</v>
      </c>
      <c r="H267" s="15" t="s">
        <v>2660</v>
      </c>
      <c r="I267" s="15">
        <f>1</f>
        <v>1</v>
      </c>
      <c r="J267" s="15" t="s">
        <v>908</v>
      </c>
      <c r="K267" s="15" t="s">
        <v>22</v>
      </c>
      <c r="L267" s="15" t="s">
        <v>4584</v>
      </c>
      <c r="M267" s="15" t="s">
        <v>24</v>
      </c>
      <c r="N267" s="16">
        <v>0.0</v>
      </c>
      <c r="O267" s="16">
        <v>0.5</v>
      </c>
      <c r="P267" s="16">
        <v>0.5</v>
      </c>
      <c r="Q267" s="17">
        <v>45381.0</v>
      </c>
      <c r="R267" s="18">
        <v>1.775</v>
      </c>
      <c r="S267" s="15" t="s">
        <v>70</v>
      </c>
      <c r="T267" s="19">
        <f t="shared" si="1"/>
        <v>0</v>
      </c>
      <c r="U267" s="19">
        <f t="shared" si="4"/>
        <v>7.146445517</v>
      </c>
    </row>
    <row r="268">
      <c r="A268" s="8">
        <f t="shared" si="3"/>
        <v>267</v>
      </c>
      <c r="B268" s="8" t="s">
        <v>26</v>
      </c>
      <c r="C268" s="8" t="s">
        <v>19</v>
      </c>
      <c r="D268" s="8">
        <v>26.0</v>
      </c>
      <c r="E268" s="8"/>
      <c r="F268" s="8" t="s">
        <v>4849</v>
      </c>
      <c r="G268" s="8" t="s">
        <v>5564</v>
      </c>
      <c r="H268" s="8" t="s">
        <v>2660</v>
      </c>
      <c r="I268" s="8">
        <v>-1.0</v>
      </c>
      <c r="J268" s="8" t="s">
        <v>115</v>
      </c>
      <c r="K268" s="8" t="s">
        <v>22</v>
      </c>
      <c r="L268" s="8" t="s">
        <v>892</v>
      </c>
      <c r="M268" s="8" t="s">
        <v>24</v>
      </c>
      <c r="N268" s="9">
        <v>0.0</v>
      </c>
      <c r="O268" s="9">
        <v>1.0</v>
      </c>
      <c r="P268" s="9">
        <v>1.0</v>
      </c>
      <c r="Q268" s="10">
        <v>45381.0</v>
      </c>
      <c r="R268" s="11">
        <v>1.7</v>
      </c>
      <c r="S268" s="8" t="s">
        <v>70</v>
      </c>
      <c r="T268" s="12">
        <f t="shared" si="1"/>
        <v>0</v>
      </c>
      <c r="U268" s="12">
        <f t="shared" si="4"/>
        <v>7.146445517</v>
      </c>
    </row>
    <row r="269">
      <c r="A269" s="15">
        <f t="shared" si="3"/>
        <v>268</v>
      </c>
      <c r="B269" s="15" t="s">
        <v>129</v>
      </c>
      <c r="C269" s="15" t="s">
        <v>40</v>
      </c>
      <c r="D269" s="15">
        <v>18.0</v>
      </c>
      <c r="E269" s="15"/>
      <c r="F269" s="15" t="s">
        <v>4850</v>
      </c>
      <c r="G269" s="15" t="s">
        <v>5564</v>
      </c>
      <c r="H269" s="15" t="s">
        <v>2660</v>
      </c>
      <c r="I269" s="15">
        <f>1</f>
        <v>1</v>
      </c>
      <c r="J269" s="15" t="s">
        <v>99</v>
      </c>
      <c r="K269" s="15" t="s">
        <v>22</v>
      </c>
      <c r="L269" s="15" t="s">
        <v>4584</v>
      </c>
      <c r="M269" s="15" t="s">
        <v>24</v>
      </c>
      <c r="N269" s="16">
        <v>0.0</v>
      </c>
      <c r="O269" s="16">
        <v>0.2</v>
      </c>
      <c r="P269" s="16">
        <v>0.2</v>
      </c>
      <c r="Q269" s="17">
        <v>45381.0</v>
      </c>
      <c r="R269" s="18">
        <v>1.75</v>
      </c>
      <c r="S269" s="15" t="s">
        <v>70</v>
      </c>
      <c r="T269" s="19">
        <f t="shared" si="1"/>
        <v>0</v>
      </c>
      <c r="U269" s="19">
        <f t="shared" si="4"/>
        <v>7.146445517</v>
      </c>
    </row>
    <row r="270">
      <c r="A270" s="8">
        <f t="shared" si="3"/>
        <v>269</v>
      </c>
      <c r="B270" s="8" t="s">
        <v>129</v>
      </c>
      <c r="C270" s="8" t="s">
        <v>19</v>
      </c>
      <c r="D270" s="8">
        <v>73.0</v>
      </c>
      <c r="E270" s="8"/>
      <c r="F270" s="8" t="s">
        <v>4851</v>
      </c>
      <c r="G270" s="8" t="s">
        <v>5564</v>
      </c>
      <c r="H270" s="8" t="s">
        <v>2660</v>
      </c>
      <c r="I270" s="8">
        <v>-2.0</v>
      </c>
      <c r="J270" s="8" t="s">
        <v>923</v>
      </c>
      <c r="K270" s="8" t="s">
        <v>22</v>
      </c>
      <c r="L270" s="8" t="s">
        <v>892</v>
      </c>
      <c r="M270" s="8" t="s">
        <v>24</v>
      </c>
      <c r="N270" s="9">
        <v>0.0</v>
      </c>
      <c r="O270" s="9">
        <v>0.4</v>
      </c>
      <c r="P270" s="9">
        <v>0.4</v>
      </c>
      <c r="Q270" s="10">
        <v>45381.0</v>
      </c>
      <c r="R270" s="11">
        <v>2.425</v>
      </c>
      <c r="S270" s="8" t="s">
        <v>70</v>
      </c>
      <c r="T270" s="12">
        <f t="shared" si="1"/>
        <v>0</v>
      </c>
      <c r="U270" s="12">
        <f t="shared" si="4"/>
        <v>7.146445517</v>
      </c>
    </row>
    <row r="271">
      <c r="A271" s="15">
        <f t="shared" si="3"/>
        <v>270</v>
      </c>
      <c r="B271" s="15" t="s">
        <v>129</v>
      </c>
      <c r="C271" s="15" t="s">
        <v>19</v>
      </c>
      <c r="D271" s="15">
        <v>75.0</v>
      </c>
      <c r="E271" s="15"/>
      <c r="F271" s="15" t="s">
        <v>4852</v>
      </c>
      <c r="G271" s="15" t="s">
        <v>5564</v>
      </c>
      <c r="H271" s="15" t="s">
        <v>2660</v>
      </c>
      <c r="I271" s="15">
        <v>0.0</v>
      </c>
      <c r="J271" s="15" t="s">
        <v>525</v>
      </c>
      <c r="K271" s="15" t="s">
        <v>22</v>
      </c>
      <c r="L271" s="15" t="s">
        <v>892</v>
      </c>
      <c r="M271" s="15" t="s">
        <v>24</v>
      </c>
      <c r="N271" s="16">
        <v>0.0</v>
      </c>
      <c r="O271" s="16">
        <v>0.25</v>
      </c>
      <c r="P271" s="16">
        <v>0.09</v>
      </c>
      <c r="Q271" s="17">
        <v>45381.0</v>
      </c>
      <c r="R271" s="18">
        <v>1.65</v>
      </c>
      <c r="S271" s="15" t="s">
        <v>70</v>
      </c>
      <c r="T271" s="19">
        <f t="shared" si="1"/>
        <v>0</v>
      </c>
      <c r="U271" s="19">
        <f t="shared" si="4"/>
        <v>7.146445517</v>
      </c>
    </row>
    <row r="272">
      <c r="A272" s="8">
        <f t="shared" si="3"/>
        <v>271</v>
      </c>
      <c r="B272" s="8" t="s">
        <v>26</v>
      </c>
      <c r="C272" s="8" t="s">
        <v>19</v>
      </c>
      <c r="D272" s="8">
        <v>68.0</v>
      </c>
      <c r="E272" s="8"/>
      <c r="F272" s="8" t="s">
        <v>4853</v>
      </c>
      <c r="G272" s="8" t="s">
        <v>5565</v>
      </c>
      <c r="H272" s="8" t="s">
        <v>2660</v>
      </c>
      <c r="I272" s="8">
        <v>-1.0</v>
      </c>
      <c r="J272" s="8" t="s">
        <v>583</v>
      </c>
      <c r="K272" s="8" t="s">
        <v>22</v>
      </c>
      <c r="L272" s="8" t="s">
        <v>892</v>
      </c>
      <c r="M272" s="8" t="s">
        <v>24</v>
      </c>
      <c r="N272" s="9">
        <v>0.0</v>
      </c>
      <c r="O272" s="9">
        <v>0.75</v>
      </c>
      <c r="P272" s="9">
        <v>0.75</v>
      </c>
      <c r="Q272" s="10">
        <v>45381.0</v>
      </c>
      <c r="R272" s="11">
        <v>1.825</v>
      </c>
      <c r="S272" s="8" t="s">
        <v>70</v>
      </c>
      <c r="T272" s="12">
        <f t="shared" si="1"/>
        <v>0</v>
      </c>
      <c r="U272" s="12">
        <f t="shared" si="4"/>
        <v>7.146445517</v>
      </c>
    </row>
    <row r="273">
      <c r="A273" s="15">
        <f t="shared" si="3"/>
        <v>272</v>
      </c>
      <c r="B273" s="15" t="s">
        <v>26</v>
      </c>
      <c r="C273" s="15" t="s">
        <v>19</v>
      </c>
      <c r="D273" s="15">
        <v>71.0</v>
      </c>
      <c r="E273" s="15"/>
      <c r="F273" s="15" t="s">
        <v>4854</v>
      </c>
      <c r="G273" s="15" t="s">
        <v>5565</v>
      </c>
      <c r="H273" s="15" t="s">
        <v>2660</v>
      </c>
      <c r="I273" s="15">
        <v>-3.0</v>
      </c>
      <c r="J273" s="15" t="s">
        <v>583</v>
      </c>
      <c r="K273" s="15" t="s">
        <v>22</v>
      </c>
      <c r="L273" s="15" t="s">
        <v>892</v>
      </c>
      <c r="M273" s="15" t="s">
        <v>24</v>
      </c>
      <c r="N273" s="16">
        <v>0.0</v>
      </c>
      <c r="O273" s="16">
        <v>0.25</v>
      </c>
      <c r="P273" s="16">
        <v>0.24</v>
      </c>
      <c r="Q273" s="17">
        <v>45381.0</v>
      </c>
      <c r="R273" s="18">
        <v>1.75</v>
      </c>
      <c r="S273" s="15" t="s">
        <v>25</v>
      </c>
      <c r="T273" s="19">
        <f t="shared" si="1"/>
        <v>-0.24</v>
      </c>
      <c r="U273" s="19">
        <f t="shared" si="4"/>
        <v>6.906445517</v>
      </c>
    </row>
    <row r="274">
      <c r="A274" s="8">
        <f t="shared" si="3"/>
        <v>273</v>
      </c>
      <c r="B274" s="8" t="s">
        <v>18</v>
      </c>
      <c r="C274" s="8" t="s">
        <v>19</v>
      </c>
      <c r="D274" s="8">
        <v>31.0</v>
      </c>
      <c r="E274" s="8"/>
      <c r="F274" s="8" t="s">
        <v>4855</v>
      </c>
      <c r="G274" s="8" t="s">
        <v>5565</v>
      </c>
      <c r="H274" s="8" t="s">
        <v>2660</v>
      </c>
      <c r="I274" s="8">
        <v>0.0</v>
      </c>
      <c r="J274" s="8" t="s">
        <v>624</v>
      </c>
      <c r="K274" s="8" t="s">
        <v>22</v>
      </c>
      <c r="L274" s="8" t="s">
        <v>4584</v>
      </c>
      <c r="M274" s="8" t="s">
        <v>24</v>
      </c>
      <c r="N274" s="9">
        <v>0.0</v>
      </c>
      <c r="O274" s="9">
        <v>0.25</v>
      </c>
      <c r="P274" s="9">
        <v>0.25</v>
      </c>
      <c r="Q274" s="10">
        <v>45381.0</v>
      </c>
      <c r="R274" s="11">
        <v>2.0</v>
      </c>
      <c r="S274" s="8" t="s">
        <v>70</v>
      </c>
      <c r="T274" s="12">
        <f t="shared" si="1"/>
        <v>0</v>
      </c>
      <c r="U274" s="12">
        <f t="shared" si="4"/>
        <v>6.906445517</v>
      </c>
    </row>
    <row r="275">
      <c r="A275" s="15">
        <f t="shared" si="3"/>
        <v>274</v>
      </c>
      <c r="B275" s="15" t="s">
        <v>18</v>
      </c>
      <c r="C275" s="15" t="s">
        <v>19</v>
      </c>
      <c r="D275" s="15">
        <v>32.0</v>
      </c>
      <c r="E275" s="15"/>
      <c r="F275" s="15" t="s">
        <v>4856</v>
      </c>
      <c r="G275" s="15" t="s">
        <v>5564</v>
      </c>
      <c r="H275" s="15" t="s">
        <v>2660</v>
      </c>
      <c r="I275" s="15">
        <v>0.0</v>
      </c>
      <c r="J275" s="15" t="s">
        <v>624</v>
      </c>
      <c r="K275" s="15" t="s">
        <v>22</v>
      </c>
      <c r="L275" s="15" t="s">
        <v>4584</v>
      </c>
      <c r="M275" s="15" t="s">
        <v>24</v>
      </c>
      <c r="N275" s="16">
        <v>0.0</v>
      </c>
      <c r="O275" s="16">
        <v>0.4</v>
      </c>
      <c r="P275" s="16">
        <v>0.4</v>
      </c>
      <c r="Q275" s="17">
        <v>45381.0</v>
      </c>
      <c r="R275" s="18">
        <v>2.1</v>
      </c>
      <c r="S275" s="15" t="s">
        <v>70</v>
      </c>
      <c r="T275" s="19">
        <f t="shared" si="1"/>
        <v>0</v>
      </c>
      <c r="U275" s="19">
        <f t="shared" si="4"/>
        <v>6.906445517</v>
      </c>
    </row>
    <row r="276">
      <c r="A276" s="8">
        <f t="shared" si="3"/>
        <v>275</v>
      </c>
      <c r="B276" s="8" t="s">
        <v>137</v>
      </c>
      <c r="C276" s="8" t="s">
        <v>19</v>
      </c>
      <c r="D276" s="8">
        <v>32.0</v>
      </c>
      <c r="E276" s="8"/>
      <c r="F276" s="8" t="s">
        <v>4857</v>
      </c>
      <c r="G276" s="8" t="s">
        <v>5564</v>
      </c>
      <c r="H276" s="8" t="s">
        <v>2660</v>
      </c>
      <c r="I276" s="8">
        <v>0.0</v>
      </c>
      <c r="J276" s="8" t="s">
        <v>44</v>
      </c>
      <c r="K276" s="8" t="s">
        <v>22</v>
      </c>
      <c r="L276" s="8" t="s">
        <v>2805</v>
      </c>
      <c r="M276" s="8" t="s">
        <v>24</v>
      </c>
      <c r="N276" s="9">
        <v>0.0</v>
      </c>
      <c r="O276" s="9">
        <v>0.4</v>
      </c>
      <c r="P276" s="9">
        <v>0.4</v>
      </c>
      <c r="Q276" s="10">
        <v>45381.0</v>
      </c>
      <c r="R276" s="11">
        <v>1.9</v>
      </c>
      <c r="S276" s="8" t="s">
        <v>33</v>
      </c>
      <c r="T276" s="12">
        <f t="shared" si="1"/>
        <v>0.36</v>
      </c>
      <c r="U276" s="12">
        <f t="shared" si="4"/>
        <v>7.266445517</v>
      </c>
    </row>
    <row r="277">
      <c r="A277" s="15">
        <f t="shared" si="3"/>
        <v>276</v>
      </c>
      <c r="B277" s="15" t="s">
        <v>26</v>
      </c>
      <c r="C277" s="15" t="s">
        <v>19</v>
      </c>
      <c r="D277" s="15">
        <v>63.0</v>
      </c>
      <c r="E277" s="15"/>
      <c r="F277" s="15" t="s">
        <v>4858</v>
      </c>
      <c r="G277" s="15" t="s">
        <v>5565</v>
      </c>
      <c r="H277" s="15" t="s">
        <v>2660</v>
      </c>
      <c r="I277" s="15">
        <f>1</f>
        <v>1</v>
      </c>
      <c r="J277" s="15" t="s">
        <v>316</v>
      </c>
      <c r="K277" s="15" t="s">
        <v>22</v>
      </c>
      <c r="L277" s="15" t="s">
        <v>892</v>
      </c>
      <c r="M277" s="15" t="s">
        <v>24</v>
      </c>
      <c r="N277" s="16">
        <v>0.0</v>
      </c>
      <c r="O277" s="16">
        <v>1.0</v>
      </c>
      <c r="P277" s="16">
        <v>1.0</v>
      </c>
      <c r="Q277" s="17">
        <v>45381.0</v>
      </c>
      <c r="R277" s="18">
        <v>1.8</v>
      </c>
      <c r="S277" s="15" t="s">
        <v>70</v>
      </c>
      <c r="T277" s="19">
        <f t="shared" si="1"/>
        <v>0</v>
      </c>
      <c r="U277" s="19">
        <f t="shared" si="4"/>
        <v>7.266445517</v>
      </c>
    </row>
    <row r="278">
      <c r="A278" s="8">
        <f t="shared" si="3"/>
        <v>277</v>
      </c>
      <c r="B278" s="8" t="s">
        <v>137</v>
      </c>
      <c r="C278" s="8" t="s">
        <v>19</v>
      </c>
      <c r="D278" s="8">
        <v>65.0</v>
      </c>
      <c r="E278" s="8"/>
      <c r="F278" s="8" t="s">
        <v>4859</v>
      </c>
      <c r="G278" s="114"/>
      <c r="H278" s="8"/>
      <c r="I278" s="8"/>
      <c r="J278" s="8" t="s">
        <v>44</v>
      </c>
      <c r="K278" s="8" t="s">
        <v>22</v>
      </c>
      <c r="L278" s="8" t="s">
        <v>440</v>
      </c>
      <c r="M278" s="8" t="s">
        <v>24</v>
      </c>
      <c r="N278" s="9">
        <v>2.0</v>
      </c>
      <c r="O278" s="9">
        <v>0.2</v>
      </c>
      <c r="P278" s="9">
        <v>0.2</v>
      </c>
      <c r="Q278" s="10">
        <v>45381.0</v>
      </c>
      <c r="R278" s="11">
        <v>2.2</v>
      </c>
      <c r="S278" s="8" t="s">
        <v>25</v>
      </c>
      <c r="T278" s="12">
        <f t="shared" si="1"/>
        <v>-0.2</v>
      </c>
      <c r="U278" s="12">
        <f t="shared" si="4"/>
        <v>7.066445517</v>
      </c>
    </row>
    <row r="279">
      <c r="A279" s="15">
        <f t="shared" si="3"/>
        <v>278</v>
      </c>
      <c r="B279" s="15" t="s">
        <v>137</v>
      </c>
      <c r="C279" s="15" t="s">
        <v>19</v>
      </c>
      <c r="D279" s="15">
        <v>65.0</v>
      </c>
      <c r="E279" s="15"/>
      <c r="F279" s="15" t="s">
        <v>4860</v>
      </c>
      <c r="G279" s="15"/>
      <c r="H279" s="15"/>
      <c r="I279" s="15"/>
      <c r="J279" s="15" t="s">
        <v>44</v>
      </c>
      <c r="K279" s="15" t="s">
        <v>22</v>
      </c>
      <c r="L279" s="15" t="s">
        <v>440</v>
      </c>
      <c r="M279" s="15" t="s">
        <v>24</v>
      </c>
      <c r="N279" s="16">
        <v>1.75</v>
      </c>
      <c r="O279" s="16">
        <v>0.12</v>
      </c>
      <c r="P279" s="16">
        <v>0.12</v>
      </c>
      <c r="Q279" s="17">
        <v>45381.0</v>
      </c>
      <c r="R279" s="18">
        <v>1.825</v>
      </c>
      <c r="S279" s="15" t="s">
        <v>25</v>
      </c>
      <c r="T279" s="19">
        <f t="shared" si="1"/>
        <v>-0.12</v>
      </c>
      <c r="U279" s="19">
        <f t="shared" si="4"/>
        <v>6.946445517</v>
      </c>
    </row>
    <row r="280">
      <c r="A280" s="8">
        <f t="shared" si="3"/>
        <v>279</v>
      </c>
      <c r="B280" s="8" t="s">
        <v>18</v>
      </c>
      <c r="C280" s="8" t="s">
        <v>40</v>
      </c>
      <c r="D280" s="8">
        <v>25.0</v>
      </c>
      <c r="E280" s="8"/>
      <c r="F280" s="8" t="s">
        <v>4861</v>
      </c>
      <c r="G280" s="8" t="s">
        <v>5564</v>
      </c>
      <c r="H280" s="8" t="s">
        <v>2660</v>
      </c>
      <c r="I280" s="8">
        <f>1</f>
        <v>1</v>
      </c>
      <c r="J280" s="8" t="s">
        <v>873</v>
      </c>
      <c r="K280" s="8" t="s">
        <v>22</v>
      </c>
      <c r="L280" s="8" t="s">
        <v>4584</v>
      </c>
      <c r="M280" s="8" t="s">
        <v>24</v>
      </c>
      <c r="N280" s="9">
        <v>0.0</v>
      </c>
      <c r="O280" s="9">
        <v>0.4</v>
      </c>
      <c r="P280" s="9">
        <v>0.4</v>
      </c>
      <c r="Q280" s="10">
        <v>45381.0</v>
      </c>
      <c r="R280" s="11">
        <v>2.02</v>
      </c>
      <c r="S280" s="8" t="s">
        <v>70</v>
      </c>
      <c r="T280" s="12">
        <f t="shared" si="1"/>
        <v>0</v>
      </c>
      <c r="U280" s="12">
        <f t="shared" si="4"/>
        <v>6.946445517</v>
      </c>
    </row>
    <row r="281">
      <c r="A281" s="15">
        <f t="shared" si="3"/>
        <v>280</v>
      </c>
      <c r="B281" s="15" t="s">
        <v>26</v>
      </c>
      <c r="C281" s="15" t="s">
        <v>19</v>
      </c>
      <c r="D281" s="15">
        <v>74.0</v>
      </c>
      <c r="E281" s="15"/>
      <c r="F281" s="15" t="s">
        <v>4862</v>
      </c>
      <c r="G281" s="15" t="s">
        <v>5565</v>
      </c>
      <c r="H281" s="15" t="s">
        <v>2556</v>
      </c>
      <c r="I281" s="15">
        <v>0.0</v>
      </c>
      <c r="J281" s="15" t="s">
        <v>38</v>
      </c>
      <c r="K281" s="15" t="s">
        <v>22</v>
      </c>
      <c r="L281" s="15" t="s">
        <v>225</v>
      </c>
      <c r="M281" s="15" t="s">
        <v>24</v>
      </c>
      <c r="N281" s="16">
        <v>0.25</v>
      </c>
      <c r="O281" s="16">
        <v>0.5</v>
      </c>
      <c r="P281" s="16">
        <v>0.5</v>
      </c>
      <c r="Q281" s="17">
        <v>45381.0</v>
      </c>
      <c r="R281" s="18">
        <v>1.725</v>
      </c>
      <c r="S281" s="15" t="s">
        <v>25</v>
      </c>
      <c r="T281" s="19">
        <f t="shared" si="1"/>
        <v>-0.5</v>
      </c>
      <c r="U281" s="19">
        <f t="shared" si="4"/>
        <v>6.446445517</v>
      </c>
    </row>
    <row r="282">
      <c r="A282" s="8">
        <f t="shared" si="3"/>
        <v>281</v>
      </c>
      <c r="B282" s="8" t="s">
        <v>26</v>
      </c>
      <c r="C282" s="8" t="s">
        <v>40</v>
      </c>
      <c r="D282" s="8">
        <v>65.0</v>
      </c>
      <c r="E282" s="8"/>
      <c r="F282" s="8" t="s">
        <v>4863</v>
      </c>
      <c r="G282" s="8" t="s">
        <v>5565</v>
      </c>
      <c r="H282" s="8" t="s">
        <v>2660</v>
      </c>
      <c r="I282" s="8">
        <v>-1.0</v>
      </c>
      <c r="J282" s="8" t="s">
        <v>873</v>
      </c>
      <c r="K282" s="8" t="s">
        <v>22</v>
      </c>
      <c r="L282" s="8" t="s">
        <v>892</v>
      </c>
      <c r="M282" s="8" t="s">
        <v>24</v>
      </c>
      <c r="N282" s="9">
        <v>0.0</v>
      </c>
      <c r="O282" s="9">
        <v>1.0</v>
      </c>
      <c r="P282" s="9">
        <v>1.0</v>
      </c>
      <c r="Q282" s="10">
        <v>45381.0</v>
      </c>
      <c r="R282" s="11">
        <v>1.75</v>
      </c>
      <c r="S282" s="8" t="s">
        <v>70</v>
      </c>
      <c r="T282" s="12">
        <f t="shared" si="1"/>
        <v>0</v>
      </c>
      <c r="U282" s="12">
        <f t="shared" si="4"/>
        <v>6.446445517</v>
      </c>
    </row>
    <row r="283">
      <c r="A283" s="15">
        <f t="shared" si="3"/>
        <v>282</v>
      </c>
      <c r="B283" s="15" t="s">
        <v>131</v>
      </c>
      <c r="C283" s="15" t="s">
        <v>40</v>
      </c>
      <c r="D283" s="15">
        <v>83.0</v>
      </c>
      <c r="E283" s="15"/>
      <c r="F283" s="15" t="s">
        <v>4864</v>
      </c>
      <c r="G283" s="15"/>
      <c r="H283" s="15"/>
      <c r="I283" s="15"/>
      <c r="J283" s="15" t="s">
        <v>873</v>
      </c>
      <c r="K283" s="15" t="s">
        <v>22</v>
      </c>
      <c r="L283" s="15" t="s">
        <v>29</v>
      </c>
      <c r="M283" s="15" t="s">
        <v>24</v>
      </c>
      <c r="N283" s="16">
        <v>-2.5</v>
      </c>
      <c r="O283" s="16">
        <v>0.1</v>
      </c>
      <c r="P283" s="16">
        <v>0.1</v>
      </c>
      <c r="Q283" s="17">
        <v>45381.0</v>
      </c>
      <c r="R283" s="18">
        <v>1.75</v>
      </c>
      <c r="S283" s="15" t="s">
        <v>25</v>
      </c>
      <c r="T283" s="19">
        <f t="shared" si="1"/>
        <v>-0.1</v>
      </c>
      <c r="U283" s="19">
        <f t="shared" si="4"/>
        <v>6.346445517</v>
      </c>
    </row>
    <row r="284">
      <c r="A284" s="8">
        <f t="shared" si="3"/>
        <v>283</v>
      </c>
      <c r="B284" s="8" t="s">
        <v>18</v>
      </c>
      <c r="C284" s="8" t="s">
        <v>19</v>
      </c>
      <c r="D284" s="8">
        <v>77.0</v>
      </c>
      <c r="E284" s="8"/>
      <c r="F284" s="8" t="s">
        <v>4865</v>
      </c>
      <c r="G284" s="8" t="s">
        <v>5564</v>
      </c>
      <c r="H284" s="8" t="s">
        <v>2556</v>
      </c>
      <c r="I284" s="8">
        <v>-2.0</v>
      </c>
      <c r="J284" s="8" t="s">
        <v>66</v>
      </c>
      <c r="K284" s="8" t="s">
        <v>22</v>
      </c>
      <c r="L284" s="8" t="s">
        <v>225</v>
      </c>
      <c r="M284" s="8" t="s">
        <v>24</v>
      </c>
      <c r="N284" s="9">
        <v>0.25</v>
      </c>
      <c r="O284" s="9">
        <v>0.5</v>
      </c>
      <c r="P284" s="9">
        <v>0.5</v>
      </c>
      <c r="Q284" s="54">
        <v>45381.0</v>
      </c>
      <c r="R284" s="11">
        <v>1.8</v>
      </c>
      <c r="S284" s="8" t="s">
        <v>33</v>
      </c>
      <c r="T284" s="12">
        <f t="shared" si="1"/>
        <v>0.4</v>
      </c>
      <c r="U284" s="12">
        <f t="shared" si="4"/>
        <v>6.746445517</v>
      </c>
    </row>
    <row r="285">
      <c r="A285" s="15">
        <f t="shared" si="3"/>
        <v>284</v>
      </c>
      <c r="B285" s="15" t="s">
        <v>4225</v>
      </c>
      <c r="C285" s="15" t="s">
        <v>19</v>
      </c>
      <c r="D285" s="15">
        <v>38.0</v>
      </c>
      <c r="E285" s="15">
        <v>3.0</v>
      </c>
      <c r="F285" s="15" t="s">
        <v>4866</v>
      </c>
      <c r="G285" s="37" t="s">
        <v>5565</v>
      </c>
      <c r="H285" s="37" t="s">
        <v>2660</v>
      </c>
      <c r="I285" s="37">
        <v>0.0</v>
      </c>
      <c r="J285" s="37" t="s">
        <v>93</v>
      </c>
      <c r="K285" s="37" t="s">
        <v>22</v>
      </c>
      <c r="L285" s="37" t="s">
        <v>4584</v>
      </c>
      <c r="M285" s="37" t="s">
        <v>24</v>
      </c>
      <c r="N285" s="24">
        <v>0.0</v>
      </c>
      <c r="O285" s="16">
        <v>0.4</v>
      </c>
      <c r="P285" s="16">
        <v>0.4</v>
      </c>
      <c r="Q285" s="17">
        <v>45382.0</v>
      </c>
      <c r="R285" s="18">
        <v>1.75</v>
      </c>
      <c r="S285" s="15" t="s">
        <v>70</v>
      </c>
      <c r="T285" s="19">
        <f t="shared" si="1"/>
        <v>0</v>
      </c>
      <c r="U285" s="19">
        <f t="shared" si="4"/>
        <v>6.746445517</v>
      </c>
    </row>
    <row r="286">
      <c r="A286" s="8">
        <f t="shared" si="3"/>
        <v>285</v>
      </c>
      <c r="B286" s="8" t="s">
        <v>4225</v>
      </c>
      <c r="C286" s="8" t="s">
        <v>19</v>
      </c>
      <c r="D286" s="8">
        <v>25.0</v>
      </c>
      <c r="E286" s="8">
        <v>3.0</v>
      </c>
      <c r="F286" s="8" t="s">
        <v>4867</v>
      </c>
      <c r="G286" s="32" t="s">
        <v>5565</v>
      </c>
      <c r="H286" s="32" t="s">
        <v>2660</v>
      </c>
      <c r="I286" s="32">
        <v>0.0</v>
      </c>
      <c r="J286" s="32" t="s">
        <v>923</v>
      </c>
      <c r="K286" s="32" t="s">
        <v>22</v>
      </c>
      <c r="L286" s="32" t="s">
        <v>4584</v>
      </c>
      <c r="M286" s="32" t="s">
        <v>24</v>
      </c>
      <c r="N286" s="33">
        <v>0.0</v>
      </c>
      <c r="O286" s="9">
        <v>0.4</v>
      </c>
      <c r="P286" s="9">
        <v>0.4</v>
      </c>
      <c r="Q286" s="10">
        <v>45382.0</v>
      </c>
      <c r="R286" s="11">
        <v>1.675</v>
      </c>
      <c r="S286" s="8" t="s">
        <v>70</v>
      </c>
      <c r="T286" s="12">
        <f t="shared" si="1"/>
        <v>0</v>
      </c>
      <c r="U286" s="12">
        <f t="shared" si="4"/>
        <v>6.746445517</v>
      </c>
    </row>
    <row r="287">
      <c r="A287" s="15">
        <f t="shared" si="3"/>
        <v>286</v>
      </c>
      <c r="B287" s="15" t="s">
        <v>18</v>
      </c>
      <c r="C287" s="15" t="s">
        <v>19</v>
      </c>
      <c r="D287" s="120">
        <v>65.0</v>
      </c>
      <c r="E287" s="120">
        <v>3.0</v>
      </c>
      <c r="F287" s="15" t="s">
        <v>4868</v>
      </c>
      <c r="G287" s="42" t="s">
        <v>5564</v>
      </c>
      <c r="H287" s="42" t="s">
        <v>2660</v>
      </c>
      <c r="I287" s="42">
        <v>0.0</v>
      </c>
      <c r="J287" s="42" t="s">
        <v>923</v>
      </c>
      <c r="K287" s="42" t="s">
        <v>22</v>
      </c>
      <c r="L287" s="42" t="s">
        <v>892</v>
      </c>
      <c r="M287" s="37" t="s">
        <v>24</v>
      </c>
      <c r="N287" s="16">
        <v>0.0</v>
      </c>
      <c r="O287" s="16">
        <v>0.4</v>
      </c>
      <c r="P287" s="16">
        <v>0.4</v>
      </c>
      <c r="Q287" s="17">
        <v>45382.0</v>
      </c>
      <c r="R287" s="18">
        <v>2.0</v>
      </c>
      <c r="S287" s="15" t="s">
        <v>70</v>
      </c>
      <c r="T287" s="19">
        <f t="shared" si="1"/>
        <v>0</v>
      </c>
      <c r="U287" s="19">
        <f t="shared" si="4"/>
        <v>6.746445517</v>
      </c>
    </row>
    <row r="288">
      <c r="A288" s="8">
        <f t="shared" si="3"/>
        <v>287</v>
      </c>
      <c r="B288" s="8" t="s">
        <v>18</v>
      </c>
      <c r="C288" s="8" t="s">
        <v>19</v>
      </c>
      <c r="D288" s="8">
        <v>38.0</v>
      </c>
      <c r="E288" s="8">
        <v>2.0</v>
      </c>
      <c r="F288" s="8" t="s">
        <v>4869</v>
      </c>
      <c r="G288" s="8" t="s">
        <v>5564</v>
      </c>
      <c r="H288" s="8" t="s">
        <v>2556</v>
      </c>
      <c r="I288" s="8">
        <f>1</f>
        <v>1</v>
      </c>
      <c r="J288" s="8" t="s">
        <v>106</v>
      </c>
      <c r="K288" s="8" t="s">
        <v>22</v>
      </c>
      <c r="L288" s="8" t="s">
        <v>1847</v>
      </c>
      <c r="M288" s="32" t="s">
        <v>24</v>
      </c>
      <c r="N288" s="9">
        <v>-0.5</v>
      </c>
      <c r="O288" s="9">
        <v>0.75</v>
      </c>
      <c r="P288" s="9">
        <v>0.75</v>
      </c>
      <c r="Q288" s="10">
        <v>45382.0</v>
      </c>
      <c r="R288" s="11">
        <v>1.8</v>
      </c>
      <c r="S288" s="8" t="s">
        <v>33</v>
      </c>
      <c r="T288" s="12">
        <f t="shared" si="1"/>
        <v>0.6</v>
      </c>
      <c r="U288" s="12">
        <f t="shared" si="4"/>
        <v>7.346445517</v>
      </c>
    </row>
    <row r="289">
      <c r="A289" s="15">
        <f t="shared" si="3"/>
        <v>288</v>
      </c>
      <c r="B289" s="15" t="s">
        <v>4225</v>
      </c>
      <c r="C289" s="15" t="s">
        <v>19</v>
      </c>
      <c r="D289" s="15">
        <v>38.0</v>
      </c>
      <c r="E289" s="15">
        <v>4.0</v>
      </c>
      <c r="F289" s="15" t="s">
        <v>4870</v>
      </c>
      <c r="G289" s="15" t="s">
        <v>5565</v>
      </c>
      <c r="H289" s="15" t="s">
        <v>2573</v>
      </c>
      <c r="I289" s="15">
        <v>-1.0</v>
      </c>
      <c r="J289" s="15" t="s">
        <v>3017</v>
      </c>
      <c r="K289" s="15" t="s">
        <v>22</v>
      </c>
      <c r="L289" s="15" t="s">
        <v>4584</v>
      </c>
      <c r="M289" s="37" t="s">
        <v>24</v>
      </c>
      <c r="N289" s="16">
        <v>0.0</v>
      </c>
      <c r="O289" s="16">
        <v>0.5</v>
      </c>
      <c r="P289" s="16">
        <v>0.5</v>
      </c>
      <c r="Q289" s="17">
        <v>45382.0</v>
      </c>
      <c r="R289" s="18">
        <v>1.775</v>
      </c>
      <c r="S289" s="15" t="s">
        <v>70</v>
      </c>
      <c r="T289" s="19">
        <f t="shared" si="1"/>
        <v>0</v>
      </c>
      <c r="U289" s="19">
        <f t="shared" si="4"/>
        <v>7.346445517</v>
      </c>
    </row>
    <row r="290">
      <c r="A290" s="8">
        <f t="shared" si="3"/>
        <v>289</v>
      </c>
      <c r="B290" s="8" t="s">
        <v>129</v>
      </c>
      <c r="C290" s="8" t="s">
        <v>19</v>
      </c>
      <c r="D290" s="8">
        <v>83.0</v>
      </c>
      <c r="E290" s="8">
        <v>3.0</v>
      </c>
      <c r="F290" s="8" t="s">
        <v>4871</v>
      </c>
      <c r="G290" s="8" t="s">
        <v>5564</v>
      </c>
      <c r="H290" s="8" t="s">
        <v>2660</v>
      </c>
      <c r="I290" s="8">
        <v>0.0</v>
      </c>
      <c r="J290" s="8" t="s">
        <v>42</v>
      </c>
      <c r="K290" s="8" t="s">
        <v>22</v>
      </c>
      <c r="L290" s="8" t="s">
        <v>892</v>
      </c>
      <c r="M290" s="32" t="s">
        <v>24</v>
      </c>
      <c r="N290" s="9">
        <v>0.0</v>
      </c>
      <c r="O290" s="9">
        <v>0.2</v>
      </c>
      <c r="P290" s="9">
        <v>0.2</v>
      </c>
      <c r="Q290" s="10">
        <v>45382.0</v>
      </c>
      <c r="R290" s="11">
        <v>2.3</v>
      </c>
      <c r="S290" s="8" t="s">
        <v>70</v>
      </c>
      <c r="T290" s="12">
        <f t="shared" si="1"/>
        <v>0</v>
      </c>
      <c r="U290" s="12">
        <f t="shared" si="4"/>
        <v>7.346445517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37"/>
      <c r="N291" s="16"/>
      <c r="O291" s="16"/>
      <c r="P291" s="16"/>
      <c r="Q291" s="17"/>
      <c r="R291" s="18"/>
      <c r="S291" s="15"/>
      <c r="T291" s="19" t="str">
        <f t="shared" si="1"/>
        <v/>
      </c>
      <c r="U291" s="19">
        <f t="shared" si="4"/>
        <v>7.346445517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32"/>
      <c r="N292" s="9"/>
      <c r="O292" s="9"/>
      <c r="P292" s="9"/>
      <c r="Q292" s="10"/>
      <c r="R292" s="11"/>
      <c r="S292" s="8"/>
      <c r="T292" s="12" t="str">
        <f t="shared" si="1"/>
        <v/>
      </c>
      <c r="U292" s="12">
        <f t="shared" si="4"/>
        <v>7.346445517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37"/>
      <c r="N293" s="16"/>
      <c r="O293" s="16"/>
      <c r="P293" s="16"/>
      <c r="Q293" s="17"/>
      <c r="R293" s="18"/>
      <c r="S293" s="15"/>
      <c r="T293" s="19" t="str">
        <f t="shared" si="1"/>
        <v/>
      </c>
      <c r="U293" s="19">
        <f t="shared" si="4"/>
        <v>7.346445517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32"/>
      <c r="N294" s="9"/>
      <c r="O294" s="9"/>
      <c r="P294" s="9"/>
      <c r="Q294" s="10"/>
      <c r="R294" s="11"/>
      <c r="S294" s="8"/>
      <c r="T294" s="12" t="str">
        <f t="shared" si="1"/>
        <v/>
      </c>
      <c r="U294" s="12">
        <f t="shared" si="4"/>
        <v>7.346445517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37"/>
      <c r="N295" s="16"/>
      <c r="O295" s="16"/>
      <c r="P295" s="16"/>
      <c r="Q295" s="17"/>
      <c r="R295" s="18"/>
      <c r="S295" s="15"/>
      <c r="T295" s="19" t="str">
        <f t="shared" si="1"/>
        <v/>
      </c>
      <c r="U295" s="19">
        <f t="shared" si="4"/>
        <v>7.346445517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32"/>
      <c r="N296" s="9"/>
      <c r="O296" s="9"/>
      <c r="P296" s="9"/>
      <c r="Q296" s="10"/>
      <c r="R296" s="11"/>
      <c r="S296" s="8"/>
      <c r="T296" s="12" t="str">
        <f t="shared" si="1"/>
        <v/>
      </c>
      <c r="U296" s="12">
        <f t="shared" si="4"/>
        <v>7.346445517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37"/>
      <c r="N297" s="16"/>
      <c r="O297" s="16"/>
      <c r="P297" s="16"/>
      <c r="Q297" s="17"/>
      <c r="R297" s="18"/>
      <c r="S297" s="15"/>
      <c r="T297" s="19" t="str">
        <f t="shared" si="1"/>
        <v/>
      </c>
      <c r="U297" s="19">
        <f t="shared" si="4"/>
        <v>7.346445517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32"/>
      <c r="N298" s="9"/>
      <c r="O298" s="9"/>
      <c r="P298" s="9"/>
      <c r="Q298" s="10"/>
      <c r="R298" s="11"/>
      <c r="S298" s="8"/>
      <c r="T298" s="12" t="str">
        <f t="shared" si="1"/>
        <v/>
      </c>
      <c r="U298" s="12">
        <f t="shared" si="4"/>
        <v>7.346445517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37"/>
      <c r="N299" s="16"/>
      <c r="O299" s="16"/>
      <c r="P299" s="16"/>
      <c r="Q299" s="17"/>
      <c r="R299" s="18"/>
      <c r="S299" s="15"/>
      <c r="T299" s="19" t="str">
        <f t="shared" si="1"/>
        <v/>
      </c>
      <c r="U299" s="19">
        <f t="shared" si="4"/>
        <v>7.346445517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9"/>
      <c r="O300" s="9"/>
      <c r="P300" s="9"/>
      <c r="Q300" s="10"/>
      <c r="R300" s="11"/>
      <c r="S300" s="8"/>
      <c r="T300" s="12" t="str">
        <f t="shared" si="1"/>
        <v/>
      </c>
      <c r="U300" s="12">
        <f t="shared" si="4"/>
        <v>7.346445517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"/>
      <c r="O301" s="16"/>
      <c r="P301" s="16"/>
      <c r="Q301" s="17"/>
      <c r="R301" s="18"/>
      <c r="S301" s="15"/>
      <c r="T301" s="19" t="str">
        <f t="shared" si="1"/>
        <v/>
      </c>
      <c r="U301" s="19">
        <f t="shared" si="4"/>
        <v>7.346445517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9"/>
      <c r="O302" s="9"/>
      <c r="P302" s="9"/>
      <c r="Q302" s="10"/>
      <c r="R302" s="11"/>
      <c r="S302" s="8"/>
      <c r="T302" s="12" t="str">
        <f t="shared" si="1"/>
        <v/>
      </c>
      <c r="U302" s="12">
        <f t="shared" si="4"/>
        <v>7.346445517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"/>
      <c r="O303" s="16"/>
      <c r="P303" s="16"/>
      <c r="Q303" s="17"/>
      <c r="R303" s="18"/>
      <c r="S303" s="15"/>
      <c r="T303" s="19" t="str">
        <f t="shared" si="1"/>
        <v/>
      </c>
      <c r="U303" s="19">
        <f t="shared" si="4"/>
        <v>7.346445517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9"/>
      <c r="O304" s="9"/>
      <c r="P304" s="9"/>
      <c r="Q304" s="10"/>
      <c r="R304" s="11"/>
      <c r="S304" s="8"/>
      <c r="T304" s="12" t="str">
        <f t="shared" si="1"/>
        <v/>
      </c>
      <c r="U304" s="12">
        <f t="shared" si="4"/>
        <v>7.346445517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"/>
      <c r="O305" s="16"/>
      <c r="P305" s="16"/>
      <c r="Q305" s="17"/>
      <c r="R305" s="18"/>
      <c r="S305" s="15"/>
      <c r="T305" s="19" t="str">
        <f t="shared" si="1"/>
        <v/>
      </c>
      <c r="U305" s="19">
        <f t="shared" si="4"/>
        <v>7.346445517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9"/>
      <c r="P306" s="9"/>
      <c r="Q306" s="10"/>
      <c r="R306" s="11"/>
      <c r="S306" s="8"/>
      <c r="T306" s="12" t="str">
        <f t="shared" si="1"/>
        <v/>
      </c>
      <c r="U306" s="12">
        <f t="shared" si="4"/>
        <v>7.346445517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"/>
      <c r="O307" s="16"/>
      <c r="P307" s="16"/>
      <c r="Q307" s="17"/>
      <c r="R307" s="18"/>
      <c r="S307" s="15"/>
      <c r="T307" s="19" t="str">
        <f t="shared" si="1"/>
        <v/>
      </c>
      <c r="U307" s="19">
        <f t="shared" si="4"/>
        <v>7.346445517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9"/>
      <c r="O308" s="9"/>
      <c r="P308" s="9"/>
      <c r="Q308" s="10"/>
      <c r="R308" s="11"/>
      <c r="S308" s="8"/>
      <c r="T308" s="12" t="str">
        <f t="shared" si="1"/>
        <v/>
      </c>
      <c r="U308" s="12">
        <f t="shared" si="4"/>
        <v>7.346445517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"/>
      <c r="O309" s="16"/>
      <c r="P309" s="16"/>
      <c r="Q309" s="17"/>
      <c r="R309" s="18"/>
      <c r="S309" s="15"/>
      <c r="T309" s="19" t="str">
        <f t="shared" si="1"/>
        <v/>
      </c>
      <c r="U309" s="19">
        <f t="shared" si="4"/>
        <v>7.346445517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9"/>
      <c r="O310" s="9"/>
      <c r="P310" s="9"/>
      <c r="Q310" s="10"/>
      <c r="R310" s="11"/>
      <c r="S310" s="8"/>
      <c r="T310" s="12" t="str">
        <f t="shared" si="1"/>
        <v/>
      </c>
      <c r="U310" s="12">
        <f t="shared" si="4"/>
        <v>7.346445517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"/>
      <c r="O311" s="16"/>
      <c r="P311" s="16"/>
      <c r="Q311" s="17"/>
      <c r="R311" s="18"/>
      <c r="S311" s="15"/>
      <c r="T311" s="19" t="str">
        <f t="shared" si="1"/>
        <v/>
      </c>
      <c r="U311" s="19">
        <f t="shared" si="4"/>
        <v>7.346445517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9"/>
      <c r="O312" s="9"/>
      <c r="P312" s="9"/>
      <c r="Q312" s="10"/>
      <c r="R312" s="11"/>
      <c r="S312" s="8"/>
      <c r="T312" s="12" t="str">
        <f t="shared" si="1"/>
        <v/>
      </c>
      <c r="U312" s="12">
        <f t="shared" si="4"/>
        <v>7.346445517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"/>
      <c r="O313" s="16"/>
      <c r="P313" s="16"/>
      <c r="Q313" s="17"/>
      <c r="R313" s="18"/>
      <c r="S313" s="15"/>
      <c r="T313" s="19" t="str">
        <f t="shared" si="1"/>
        <v/>
      </c>
      <c r="U313" s="19">
        <f t="shared" si="4"/>
        <v>7.346445517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9"/>
      <c r="O314" s="9"/>
      <c r="P314" s="9"/>
      <c r="Q314" s="10"/>
      <c r="R314" s="11"/>
      <c r="S314" s="8"/>
      <c r="T314" s="12" t="str">
        <f t="shared" si="1"/>
        <v/>
      </c>
      <c r="U314" s="12">
        <f t="shared" si="4"/>
        <v>7.346445517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"/>
      <c r="O315" s="16"/>
      <c r="P315" s="16"/>
      <c r="Q315" s="17"/>
      <c r="R315" s="18"/>
      <c r="S315" s="15"/>
      <c r="T315" s="19" t="str">
        <f t="shared" si="1"/>
        <v/>
      </c>
      <c r="U315" s="19">
        <f t="shared" si="4"/>
        <v>7.346445517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9"/>
      <c r="O316" s="9"/>
      <c r="P316" s="9"/>
      <c r="Q316" s="10"/>
      <c r="R316" s="11"/>
      <c r="S316" s="8"/>
      <c r="T316" s="12" t="str">
        <f t="shared" si="1"/>
        <v/>
      </c>
      <c r="U316" s="12">
        <f t="shared" si="4"/>
        <v>7.346445517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"/>
      <c r="O317" s="16"/>
      <c r="P317" s="16"/>
      <c r="Q317" s="17"/>
      <c r="R317" s="18"/>
      <c r="S317" s="15"/>
      <c r="T317" s="19" t="str">
        <f t="shared" si="1"/>
        <v/>
      </c>
      <c r="U317" s="19">
        <f t="shared" si="4"/>
        <v>7.346445517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9"/>
      <c r="O318" s="9"/>
      <c r="P318" s="9"/>
      <c r="Q318" s="10"/>
      <c r="R318" s="11"/>
      <c r="S318" s="8"/>
      <c r="T318" s="12" t="str">
        <f t="shared" si="1"/>
        <v/>
      </c>
      <c r="U318" s="12">
        <f t="shared" si="4"/>
        <v>7.346445517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"/>
      <c r="O319" s="16"/>
      <c r="P319" s="16"/>
      <c r="Q319" s="17"/>
      <c r="R319" s="18"/>
      <c r="S319" s="15"/>
      <c r="T319" s="19" t="str">
        <f t="shared" si="1"/>
        <v/>
      </c>
      <c r="U319" s="19">
        <f t="shared" si="4"/>
        <v>7.346445517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123"/>
      <c r="O320" s="9"/>
      <c r="P320" s="9"/>
      <c r="Q320" s="10"/>
      <c r="R320" s="11"/>
      <c r="S320" s="8"/>
      <c r="T320" s="12" t="str">
        <f t="shared" si="1"/>
        <v/>
      </c>
      <c r="U320" s="12">
        <f t="shared" si="4"/>
        <v>7.346445517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"/>
      <c r="O321" s="16"/>
      <c r="P321" s="16"/>
      <c r="Q321" s="17"/>
      <c r="R321" s="18"/>
      <c r="S321" s="15"/>
      <c r="T321" s="19" t="str">
        <f t="shared" si="1"/>
        <v/>
      </c>
      <c r="U321" s="19">
        <f t="shared" si="4"/>
        <v>7.346445517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9"/>
      <c r="O322" s="9"/>
      <c r="P322" s="9"/>
      <c r="Q322" s="10"/>
      <c r="R322" s="11"/>
      <c r="S322" s="8"/>
      <c r="T322" s="12" t="str">
        <f t="shared" si="1"/>
        <v/>
      </c>
      <c r="U322" s="12">
        <f t="shared" si="4"/>
        <v>7.346445517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24"/>
      <c r="O323" s="16"/>
      <c r="P323" s="16"/>
      <c r="Q323" s="17"/>
      <c r="R323" s="18"/>
      <c r="S323" s="15"/>
      <c r="T323" s="19" t="str">
        <f t="shared" si="1"/>
        <v/>
      </c>
      <c r="U323" s="19">
        <f t="shared" si="4"/>
        <v>7.346445517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9"/>
      <c r="P324" s="9"/>
      <c r="Q324" s="10"/>
      <c r="R324" s="11"/>
      <c r="S324" s="8"/>
      <c r="T324" s="12" t="str">
        <f t="shared" si="1"/>
        <v/>
      </c>
      <c r="U324" s="12">
        <f t="shared" si="4"/>
        <v>7.346445517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"/>
      <c r="O325" s="16"/>
      <c r="P325" s="16"/>
      <c r="Q325" s="17"/>
      <c r="R325" s="18"/>
      <c r="S325" s="15"/>
      <c r="T325" s="19" t="str">
        <f t="shared" si="1"/>
        <v/>
      </c>
      <c r="U325" s="19">
        <f t="shared" si="4"/>
        <v>7.346445517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9"/>
      <c r="O326" s="9"/>
      <c r="P326" s="9"/>
      <c r="Q326" s="10"/>
      <c r="R326" s="8"/>
      <c r="S326" s="8"/>
      <c r="T326" s="12" t="str">
        <f t="shared" si="1"/>
        <v/>
      </c>
      <c r="U326" s="12">
        <f t="shared" si="4"/>
        <v>7.346445517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"/>
      <c r="O327" s="16"/>
      <c r="P327" s="16"/>
      <c r="Q327" s="17"/>
      <c r="R327" s="15"/>
      <c r="S327" s="15"/>
      <c r="T327" s="19" t="str">
        <f t="shared" si="1"/>
        <v/>
      </c>
      <c r="U327" s="19">
        <f t="shared" si="4"/>
        <v>7.346445517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9"/>
      <c r="O328" s="9"/>
      <c r="P328" s="9"/>
      <c r="Q328" s="10"/>
      <c r="R328" s="8"/>
      <c r="S328" s="8"/>
      <c r="T328" s="12" t="str">
        <f t="shared" si="1"/>
        <v/>
      </c>
      <c r="U328" s="12">
        <f t="shared" si="4"/>
        <v>7.346445517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"/>
      <c r="O329" s="16"/>
      <c r="P329" s="16"/>
      <c r="Q329" s="17"/>
      <c r="R329" s="18"/>
      <c r="S329" s="15"/>
      <c r="T329" s="19" t="str">
        <f t="shared" si="1"/>
        <v/>
      </c>
      <c r="U329" s="19">
        <f t="shared" si="4"/>
        <v>7.346445517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9"/>
      <c r="O330" s="9"/>
      <c r="P330" s="9"/>
      <c r="Q330" s="10"/>
      <c r="R330" s="11"/>
      <c r="S330" s="8"/>
      <c r="T330" s="12" t="str">
        <f t="shared" si="1"/>
        <v/>
      </c>
      <c r="U330" s="12">
        <f t="shared" si="4"/>
        <v>7.346445517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"/>
      <c r="O331" s="16"/>
      <c r="P331" s="16"/>
      <c r="Q331" s="17"/>
      <c r="R331" s="18"/>
      <c r="S331" s="15"/>
      <c r="T331" s="19" t="str">
        <f t="shared" si="1"/>
        <v/>
      </c>
      <c r="U331" s="19">
        <f t="shared" si="4"/>
        <v>7.346445517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9"/>
      <c r="O332" s="9"/>
      <c r="P332" s="9"/>
      <c r="Q332" s="10"/>
      <c r="R332" s="11"/>
      <c r="S332" s="8"/>
      <c r="T332" s="12" t="str">
        <f t="shared" si="1"/>
        <v/>
      </c>
      <c r="U332" s="12">
        <f t="shared" si="4"/>
        <v>7.346445517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"/>
      <c r="O333" s="16"/>
      <c r="P333" s="16"/>
      <c r="Q333" s="17"/>
      <c r="R333" s="18"/>
      <c r="S333" s="15"/>
      <c r="T333" s="19" t="str">
        <f t="shared" si="1"/>
        <v/>
      </c>
      <c r="U333" s="19">
        <f t="shared" si="4"/>
        <v>7.346445517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9"/>
      <c r="P334" s="9"/>
      <c r="Q334" s="10"/>
      <c r="R334" s="11"/>
      <c r="S334" s="8"/>
      <c r="T334" s="12" t="str">
        <f t="shared" si="1"/>
        <v/>
      </c>
      <c r="U334" s="12">
        <f t="shared" si="4"/>
        <v>7.346445517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"/>
      <c r="O335" s="16"/>
      <c r="P335" s="16"/>
      <c r="Q335" s="17"/>
      <c r="R335" s="18"/>
      <c r="S335" s="15"/>
      <c r="T335" s="19" t="str">
        <f t="shared" si="1"/>
        <v/>
      </c>
      <c r="U335" s="19">
        <f t="shared" si="4"/>
        <v>7.346445517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9"/>
      <c r="O336" s="9"/>
      <c r="P336" s="9"/>
      <c r="Q336" s="10"/>
      <c r="R336" s="11"/>
      <c r="S336" s="8"/>
      <c r="T336" s="12" t="str">
        <f t="shared" si="1"/>
        <v/>
      </c>
      <c r="U336" s="12">
        <f t="shared" si="4"/>
        <v>7.346445517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"/>
      <c r="O337" s="16"/>
      <c r="P337" s="16"/>
      <c r="Q337" s="17"/>
      <c r="R337" s="18"/>
      <c r="S337" s="15"/>
      <c r="T337" s="19" t="str">
        <f t="shared" si="1"/>
        <v/>
      </c>
      <c r="U337" s="19">
        <f t="shared" si="4"/>
        <v>7.346445517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9"/>
      <c r="O338" s="9"/>
      <c r="P338" s="9"/>
      <c r="Q338" s="10"/>
      <c r="R338" s="11"/>
      <c r="S338" s="8"/>
      <c r="T338" s="12" t="str">
        <f t="shared" si="1"/>
        <v/>
      </c>
      <c r="U338" s="12">
        <f t="shared" si="4"/>
        <v>7.346445517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"/>
      <c r="O339" s="16"/>
      <c r="P339" s="16"/>
      <c r="Q339" s="17"/>
      <c r="R339" s="18"/>
      <c r="S339" s="15"/>
      <c r="T339" s="19" t="str">
        <f t="shared" si="1"/>
        <v/>
      </c>
      <c r="U339" s="19">
        <f t="shared" si="4"/>
        <v>7.346445517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9"/>
      <c r="O340" s="9"/>
      <c r="P340" s="9"/>
      <c r="Q340" s="10"/>
      <c r="R340" s="11"/>
      <c r="S340" s="8"/>
      <c r="T340" s="12" t="str">
        <f t="shared" si="1"/>
        <v/>
      </c>
      <c r="U340" s="12">
        <f t="shared" si="4"/>
        <v>7.346445517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"/>
      <c r="O341" s="16"/>
      <c r="P341" s="16"/>
      <c r="Q341" s="17"/>
      <c r="R341" s="18"/>
      <c r="S341" s="15"/>
      <c r="T341" s="19" t="str">
        <f t="shared" si="1"/>
        <v/>
      </c>
      <c r="U341" s="19">
        <f t="shared" si="4"/>
        <v>7.346445517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9"/>
      <c r="P342" s="9"/>
      <c r="Q342" s="10"/>
      <c r="R342" s="11"/>
      <c r="S342" s="8"/>
      <c r="T342" s="12" t="str">
        <f t="shared" si="1"/>
        <v/>
      </c>
      <c r="U342" s="12">
        <f t="shared" si="4"/>
        <v>7.346445517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24"/>
      <c r="O343" s="16"/>
      <c r="P343" s="16"/>
      <c r="Q343" s="17"/>
      <c r="R343" s="18"/>
      <c r="S343" s="15"/>
      <c r="T343" s="19" t="str">
        <f t="shared" si="1"/>
        <v/>
      </c>
      <c r="U343" s="19">
        <f t="shared" si="4"/>
        <v>7.346445517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123"/>
      <c r="O344" s="9"/>
      <c r="P344" s="9"/>
      <c r="Q344" s="10"/>
      <c r="R344" s="11"/>
      <c r="S344" s="8"/>
      <c r="T344" s="12" t="str">
        <f t="shared" si="1"/>
        <v/>
      </c>
      <c r="U344" s="12">
        <f t="shared" si="4"/>
        <v>7.346445517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24"/>
      <c r="O345" s="16"/>
      <c r="P345" s="16"/>
      <c r="Q345" s="17"/>
      <c r="R345" s="18"/>
      <c r="S345" s="15"/>
      <c r="T345" s="19" t="str">
        <f t="shared" si="1"/>
        <v/>
      </c>
      <c r="U345" s="19">
        <f t="shared" si="4"/>
        <v>7.346445517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123"/>
      <c r="O346" s="9"/>
      <c r="P346" s="9"/>
      <c r="Q346" s="10"/>
      <c r="R346" s="11"/>
      <c r="S346" s="8"/>
      <c r="T346" s="12" t="str">
        <f t="shared" si="1"/>
        <v/>
      </c>
      <c r="U346" s="12">
        <f t="shared" si="4"/>
        <v>7.346445517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24"/>
      <c r="O347" s="16"/>
      <c r="P347" s="16"/>
      <c r="Q347" s="17"/>
      <c r="R347" s="18"/>
      <c r="S347" s="15"/>
      <c r="T347" s="19" t="str">
        <f t="shared" si="1"/>
        <v/>
      </c>
      <c r="U347" s="19">
        <f t="shared" si="4"/>
        <v>7.346445517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123"/>
      <c r="O348" s="9"/>
      <c r="P348" s="9"/>
      <c r="Q348" s="10"/>
      <c r="R348" s="11"/>
      <c r="S348" s="8"/>
      <c r="T348" s="12" t="str">
        <f t="shared" si="1"/>
        <v/>
      </c>
      <c r="U348" s="12">
        <f t="shared" si="4"/>
        <v>7.346445517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24"/>
      <c r="O349" s="16"/>
      <c r="P349" s="16"/>
      <c r="Q349" s="17"/>
      <c r="R349" s="18"/>
      <c r="S349" s="15"/>
      <c r="T349" s="19" t="str">
        <f t="shared" si="1"/>
        <v/>
      </c>
      <c r="U349" s="19">
        <f t="shared" si="4"/>
        <v>7.346445517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123"/>
      <c r="O350" s="9"/>
      <c r="P350" s="9"/>
      <c r="Q350" s="10"/>
      <c r="R350" s="11"/>
      <c r="S350" s="8"/>
      <c r="T350" s="12" t="str">
        <f t="shared" si="1"/>
        <v/>
      </c>
      <c r="U350" s="12">
        <f t="shared" si="4"/>
        <v>7.346445517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24"/>
      <c r="O351" s="16"/>
      <c r="P351" s="16"/>
      <c r="Q351" s="17"/>
      <c r="R351" s="18"/>
      <c r="S351" s="15"/>
      <c r="T351" s="19" t="str">
        <f t="shared" si="1"/>
        <v/>
      </c>
      <c r="U351" s="19">
        <f t="shared" si="4"/>
        <v>7.346445517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123"/>
      <c r="O352" s="9"/>
      <c r="P352" s="9"/>
      <c r="Q352" s="10"/>
      <c r="R352" s="11"/>
      <c r="S352" s="8"/>
      <c r="T352" s="12" t="str">
        <f t="shared" si="1"/>
        <v/>
      </c>
      <c r="U352" s="12">
        <f t="shared" si="4"/>
        <v>7.346445517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24"/>
      <c r="O353" s="16"/>
      <c r="P353" s="16"/>
      <c r="Q353" s="17"/>
      <c r="R353" s="18"/>
      <c r="S353" s="15"/>
      <c r="T353" s="19" t="str">
        <f t="shared" si="1"/>
        <v/>
      </c>
      <c r="U353" s="19">
        <f t="shared" si="4"/>
        <v>7.346445517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123"/>
      <c r="O354" s="9"/>
      <c r="P354" s="9"/>
      <c r="Q354" s="10"/>
      <c r="R354" s="11"/>
      <c r="S354" s="8"/>
      <c r="T354" s="12" t="str">
        <f t="shared" si="1"/>
        <v/>
      </c>
      <c r="U354" s="12">
        <f t="shared" si="4"/>
        <v>7.346445517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24"/>
      <c r="O355" s="16"/>
      <c r="P355" s="16"/>
      <c r="Q355" s="17"/>
      <c r="R355" s="18"/>
      <c r="S355" s="15"/>
      <c r="T355" s="19" t="str">
        <f t="shared" si="1"/>
        <v/>
      </c>
      <c r="U355" s="19">
        <f t="shared" si="4"/>
        <v>7.346445517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123"/>
      <c r="O356" s="9"/>
      <c r="P356" s="9"/>
      <c r="Q356" s="10"/>
      <c r="R356" s="11"/>
      <c r="S356" s="8"/>
      <c r="T356" s="12" t="str">
        <f t="shared" si="1"/>
        <v/>
      </c>
      <c r="U356" s="12">
        <f t="shared" si="4"/>
        <v>7.346445517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24"/>
      <c r="O357" s="16"/>
      <c r="P357" s="16"/>
      <c r="Q357" s="17"/>
      <c r="R357" s="18"/>
      <c r="S357" s="15"/>
      <c r="T357" s="19" t="str">
        <f t="shared" si="1"/>
        <v/>
      </c>
      <c r="U357" s="19">
        <f t="shared" si="4"/>
        <v>7.346445517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123"/>
      <c r="O358" s="9"/>
      <c r="P358" s="9"/>
      <c r="Q358" s="10"/>
      <c r="R358" s="11"/>
      <c r="S358" s="8"/>
      <c r="T358" s="12" t="str">
        <f t="shared" si="1"/>
        <v/>
      </c>
      <c r="U358" s="12">
        <f t="shared" si="4"/>
        <v>7.346445517</v>
      </c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24"/>
      <c r="O359" s="16"/>
      <c r="P359" s="16"/>
      <c r="Q359" s="17"/>
      <c r="R359" s="18"/>
      <c r="S359" s="15"/>
      <c r="T359" s="19" t="str">
        <f t="shared" si="1"/>
        <v/>
      </c>
      <c r="U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123"/>
      <c r="O360" s="9"/>
      <c r="P360" s="9"/>
      <c r="Q360" s="10"/>
      <c r="R360" s="11"/>
      <c r="S360" s="8"/>
      <c r="T360" s="12" t="str">
        <f t="shared" si="1"/>
        <v/>
      </c>
      <c r="U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24"/>
      <c r="O361" s="16"/>
      <c r="P361" s="16"/>
      <c r="Q361" s="17"/>
      <c r="R361" s="18"/>
      <c r="S361" s="15"/>
      <c r="T361" s="19" t="str">
        <f t="shared" si="1"/>
        <v/>
      </c>
      <c r="U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123"/>
      <c r="O362" s="9"/>
      <c r="P362" s="9"/>
      <c r="Q362" s="10"/>
      <c r="R362" s="11"/>
      <c r="S362" s="8"/>
      <c r="T362" s="12" t="str">
        <f t="shared" si="1"/>
        <v/>
      </c>
      <c r="U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24"/>
      <c r="O363" s="16"/>
      <c r="P363" s="16"/>
      <c r="Q363" s="17"/>
      <c r="R363" s="18"/>
      <c r="S363" s="15"/>
      <c r="T363" s="19" t="str">
        <f t="shared" si="1"/>
        <v/>
      </c>
      <c r="U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123"/>
      <c r="O364" s="9"/>
      <c r="P364" s="9"/>
      <c r="Q364" s="10"/>
      <c r="R364" s="11"/>
      <c r="S364" s="8"/>
      <c r="T364" s="12" t="str">
        <f t="shared" si="1"/>
        <v/>
      </c>
      <c r="U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24"/>
      <c r="O365" s="16"/>
      <c r="P365" s="16"/>
      <c r="Q365" s="17"/>
      <c r="R365" s="18"/>
      <c r="S365" s="15"/>
      <c r="T365" s="19" t="str">
        <f t="shared" si="1"/>
        <v/>
      </c>
      <c r="U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123"/>
      <c r="O366" s="9"/>
      <c r="P366" s="9"/>
      <c r="Q366" s="10"/>
      <c r="R366" s="11"/>
      <c r="S366" s="8"/>
      <c r="T366" s="12" t="str">
        <f t="shared" si="1"/>
        <v/>
      </c>
      <c r="U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24"/>
      <c r="O367" s="16"/>
      <c r="P367" s="16"/>
      <c r="Q367" s="17"/>
      <c r="R367" s="18"/>
      <c r="S367" s="15"/>
      <c r="T367" s="19" t="str">
        <f t="shared" si="1"/>
        <v/>
      </c>
      <c r="U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123"/>
      <c r="O368" s="9"/>
      <c r="P368" s="9"/>
      <c r="Q368" s="10"/>
      <c r="R368" s="11"/>
      <c r="S368" s="8"/>
      <c r="T368" s="12" t="str">
        <f t="shared" si="1"/>
        <v/>
      </c>
      <c r="U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24"/>
      <c r="O369" s="16"/>
      <c r="P369" s="16"/>
      <c r="Q369" s="17"/>
      <c r="R369" s="18"/>
      <c r="S369" s="15"/>
      <c r="T369" s="19" t="str">
        <f t="shared" si="1"/>
        <v/>
      </c>
      <c r="U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123"/>
      <c r="O370" s="9"/>
      <c r="P370" s="9"/>
      <c r="Q370" s="10"/>
      <c r="R370" s="8"/>
      <c r="S370" s="8"/>
      <c r="T370" s="12" t="str">
        <f t="shared" si="1"/>
        <v/>
      </c>
      <c r="U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24"/>
      <c r="O371" s="16"/>
      <c r="P371" s="16"/>
      <c r="Q371" s="17"/>
      <c r="R371" s="15"/>
      <c r="S371" s="15"/>
      <c r="T371" s="19" t="str">
        <f t="shared" si="1"/>
        <v/>
      </c>
      <c r="U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123"/>
      <c r="O372" s="9"/>
      <c r="P372" s="9"/>
      <c r="Q372" s="10"/>
      <c r="R372" s="8"/>
      <c r="S372" s="8"/>
      <c r="T372" s="12" t="str">
        <f t="shared" si="1"/>
        <v/>
      </c>
      <c r="U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24"/>
      <c r="O373" s="16"/>
      <c r="P373" s="16"/>
      <c r="Q373" s="17"/>
      <c r="R373" s="15"/>
      <c r="S373" s="15"/>
      <c r="T373" s="19" t="str">
        <f t="shared" si="1"/>
        <v/>
      </c>
      <c r="U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123"/>
      <c r="O374" s="9"/>
      <c r="P374" s="9"/>
      <c r="Q374" s="10"/>
      <c r="R374" s="8"/>
      <c r="S374" s="8"/>
      <c r="T374" s="12" t="str">
        <f t="shared" si="1"/>
        <v/>
      </c>
      <c r="U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24"/>
      <c r="O375" s="16"/>
      <c r="P375" s="16"/>
      <c r="Q375" s="17"/>
      <c r="R375" s="15"/>
      <c r="S375" s="15"/>
      <c r="T375" s="19" t="str">
        <f t="shared" si="1"/>
        <v/>
      </c>
      <c r="U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123"/>
      <c r="O376" s="9"/>
      <c r="P376" s="9"/>
      <c r="Q376" s="10"/>
      <c r="R376" s="8"/>
      <c r="S376" s="8"/>
      <c r="T376" s="12" t="str">
        <f t="shared" si="1"/>
        <v/>
      </c>
      <c r="U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24"/>
      <c r="O377" s="16"/>
      <c r="P377" s="16"/>
      <c r="Q377" s="17"/>
      <c r="R377" s="15"/>
      <c r="S377" s="15"/>
      <c r="T377" s="19" t="str">
        <f t="shared" si="1"/>
        <v/>
      </c>
      <c r="U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123"/>
      <c r="O378" s="9"/>
      <c r="P378" s="9"/>
      <c r="Q378" s="10"/>
      <c r="R378" s="8"/>
      <c r="S378" s="8"/>
      <c r="T378" s="12" t="str">
        <f t="shared" si="1"/>
        <v/>
      </c>
      <c r="U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24"/>
      <c r="O379" s="16"/>
      <c r="P379" s="16"/>
      <c r="Q379" s="17"/>
      <c r="R379" s="15"/>
      <c r="S379" s="15"/>
      <c r="T379" s="19" t="str">
        <f t="shared" si="1"/>
        <v/>
      </c>
      <c r="U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123"/>
      <c r="O380" s="9"/>
      <c r="P380" s="9"/>
      <c r="Q380" s="10"/>
      <c r="R380" s="8"/>
      <c r="S380" s="8"/>
      <c r="T380" s="12" t="str">
        <f t="shared" si="1"/>
        <v/>
      </c>
      <c r="U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24"/>
      <c r="O381" s="16"/>
      <c r="P381" s="16"/>
      <c r="Q381" s="17"/>
      <c r="R381" s="15"/>
      <c r="S381" s="15"/>
      <c r="T381" s="19" t="str">
        <f t="shared" si="1"/>
        <v/>
      </c>
      <c r="U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123"/>
      <c r="O382" s="9"/>
      <c r="P382" s="9"/>
      <c r="Q382" s="10"/>
      <c r="R382" s="8"/>
      <c r="S382" s="8"/>
      <c r="T382" s="12" t="str">
        <f t="shared" si="1"/>
        <v/>
      </c>
      <c r="U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24"/>
      <c r="O383" s="16"/>
      <c r="P383" s="16"/>
      <c r="Q383" s="17"/>
      <c r="R383" s="15"/>
      <c r="S383" s="15"/>
      <c r="T383" s="19" t="str">
        <f t="shared" si="1"/>
        <v/>
      </c>
      <c r="U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123"/>
      <c r="O384" s="9"/>
      <c r="P384" s="9"/>
      <c r="Q384" s="10"/>
      <c r="R384" s="8"/>
      <c r="S384" s="8"/>
      <c r="T384" s="12" t="str">
        <f t="shared" si="1"/>
        <v/>
      </c>
      <c r="U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24"/>
      <c r="O385" s="16"/>
      <c r="P385" s="16"/>
      <c r="Q385" s="17"/>
      <c r="R385" s="15"/>
      <c r="S385" s="15"/>
      <c r="T385" s="19" t="str">
        <f t="shared" si="1"/>
        <v/>
      </c>
      <c r="U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123"/>
      <c r="O386" s="9"/>
      <c r="P386" s="9"/>
      <c r="Q386" s="10"/>
      <c r="R386" s="8"/>
      <c r="S386" s="8"/>
      <c r="T386" s="12" t="str">
        <f t="shared" si="1"/>
        <v/>
      </c>
      <c r="U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24"/>
      <c r="O387" s="16"/>
      <c r="P387" s="16"/>
      <c r="Q387" s="17"/>
      <c r="R387" s="15"/>
      <c r="S387" s="15"/>
      <c r="T387" s="19" t="str">
        <f t="shared" si="1"/>
        <v/>
      </c>
      <c r="U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123"/>
      <c r="O388" s="9"/>
      <c r="P388" s="9"/>
      <c r="Q388" s="10"/>
      <c r="R388" s="8"/>
      <c r="S388" s="8"/>
      <c r="T388" s="12" t="str">
        <f t="shared" si="1"/>
        <v/>
      </c>
      <c r="U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24"/>
      <c r="O389" s="16"/>
      <c r="P389" s="16"/>
      <c r="Q389" s="17"/>
      <c r="R389" s="15"/>
      <c r="S389" s="15"/>
      <c r="T389" s="19" t="str">
        <f t="shared" si="1"/>
        <v/>
      </c>
      <c r="U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123"/>
      <c r="O390" s="9"/>
      <c r="P390" s="9"/>
      <c r="Q390" s="10"/>
      <c r="R390" s="8"/>
      <c r="S390" s="8"/>
      <c r="T390" s="12" t="str">
        <f t="shared" si="1"/>
        <v/>
      </c>
      <c r="U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24"/>
      <c r="O391" s="16"/>
      <c r="P391" s="16"/>
      <c r="Q391" s="17"/>
      <c r="R391" s="15"/>
      <c r="S391" s="15"/>
      <c r="T391" s="19" t="str">
        <f t="shared" si="1"/>
        <v/>
      </c>
      <c r="U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123"/>
      <c r="O392" s="9"/>
      <c r="P392" s="9"/>
      <c r="Q392" s="10"/>
      <c r="R392" s="8"/>
      <c r="S392" s="8"/>
      <c r="T392" s="12" t="str">
        <f t="shared" si="1"/>
        <v/>
      </c>
      <c r="U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24"/>
      <c r="O393" s="16"/>
      <c r="P393" s="16"/>
      <c r="Q393" s="17"/>
      <c r="R393" s="15"/>
      <c r="S393" s="15"/>
      <c r="T393" s="19" t="str">
        <f t="shared" si="1"/>
        <v/>
      </c>
      <c r="U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123"/>
      <c r="O394" s="9"/>
      <c r="P394" s="9"/>
      <c r="Q394" s="10"/>
      <c r="R394" s="8"/>
      <c r="S394" s="8"/>
      <c r="T394" s="12" t="str">
        <f t="shared" si="1"/>
        <v/>
      </c>
      <c r="U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24"/>
      <c r="O395" s="16"/>
      <c r="P395" s="16"/>
      <c r="Q395" s="17"/>
      <c r="R395" s="15"/>
      <c r="S395" s="15"/>
      <c r="T395" s="124"/>
      <c r="U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123"/>
      <c r="O396" s="9"/>
      <c r="P396" s="9"/>
      <c r="Q396" s="10"/>
      <c r="R396" s="8"/>
      <c r="S396" s="8"/>
      <c r="T396" s="123"/>
      <c r="U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24"/>
      <c r="O397" s="16"/>
      <c r="P397" s="16"/>
      <c r="Q397" s="17"/>
      <c r="R397" s="15"/>
      <c r="S397" s="15"/>
      <c r="T397" s="124"/>
      <c r="U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123"/>
      <c r="O398" s="9"/>
      <c r="P398" s="9"/>
      <c r="Q398" s="10"/>
      <c r="R398" s="8"/>
      <c r="S398" s="8"/>
      <c r="T398" s="123"/>
      <c r="U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24"/>
      <c r="O399" s="16"/>
      <c r="P399" s="16"/>
      <c r="Q399" s="17"/>
      <c r="R399" s="15"/>
      <c r="S399" s="15"/>
      <c r="T399" s="124"/>
      <c r="U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123"/>
      <c r="O400" s="9"/>
      <c r="P400" s="9"/>
      <c r="Q400" s="10"/>
      <c r="R400" s="8"/>
      <c r="S400" s="8"/>
      <c r="T400" s="123"/>
      <c r="U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24"/>
      <c r="O401" s="16"/>
      <c r="P401" s="16"/>
      <c r="Q401" s="17"/>
      <c r="R401" s="15"/>
      <c r="S401" s="15"/>
      <c r="T401" s="124"/>
      <c r="U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123"/>
      <c r="O402" s="9"/>
      <c r="P402" s="9"/>
      <c r="Q402" s="10"/>
      <c r="R402" s="8"/>
      <c r="S402" s="8"/>
      <c r="T402" s="123"/>
      <c r="U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24"/>
      <c r="O403" s="16"/>
      <c r="P403" s="16"/>
      <c r="Q403" s="17"/>
      <c r="R403" s="15"/>
      <c r="S403" s="15"/>
      <c r="T403" s="124"/>
      <c r="U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123"/>
      <c r="O404" s="9"/>
      <c r="P404" s="9"/>
      <c r="Q404" s="10"/>
      <c r="R404" s="8"/>
      <c r="S404" s="8"/>
      <c r="T404" s="123"/>
      <c r="U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24"/>
      <c r="O405" s="16"/>
      <c r="P405" s="16"/>
      <c r="Q405" s="17"/>
      <c r="R405" s="15"/>
      <c r="S405" s="15"/>
      <c r="T405" s="124"/>
      <c r="U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123"/>
      <c r="O406" s="9"/>
      <c r="P406" s="9"/>
      <c r="Q406" s="10"/>
      <c r="R406" s="8"/>
      <c r="S406" s="8"/>
      <c r="T406" s="123"/>
      <c r="U406" s="123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6"/>
      <c r="O407" s="127"/>
      <c r="P407" s="127"/>
      <c r="Q407" s="128"/>
      <c r="R407" s="125"/>
      <c r="S407" s="125"/>
      <c r="T407" s="126"/>
      <c r="U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29"/>
      <c r="N408" s="130"/>
      <c r="O408" s="131"/>
      <c r="P408" s="131"/>
      <c r="Q408" s="132"/>
      <c r="R408" s="129"/>
      <c r="S408" s="129"/>
      <c r="T408" s="130"/>
      <c r="U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6"/>
      <c r="O409" s="127"/>
      <c r="P409" s="127"/>
      <c r="Q409" s="128"/>
      <c r="R409" s="125"/>
      <c r="S409" s="125"/>
      <c r="T409" s="126"/>
      <c r="U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29"/>
      <c r="N410" s="130"/>
      <c r="O410" s="131"/>
      <c r="P410" s="131"/>
      <c r="Q410" s="132"/>
      <c r="R410" s="129"/>
      <c r="S410" s="129"/>
      <c r="T410" s="130"/>
      <c r="U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6"/>
      <c r="O411" s="127"/>
      <c r="P411" s="127"/>
      <c r="Q411" s="128"/>
      <c r="R411" s="125"/>
      <c r="S411" s="125"/>
      <c r="T411" s="126"/>
      <c r="U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29"/>
      <c r="N412" s="130"/>
      <c r="O412" s="131"/>
      <c r="P412" s="131"/>
      <c r="Q412" s="132"/>
      <c r="R412" s="129"/>
      <c r="S412" s="129"/>
      <c r="T412" s="130"/>
      <c r="U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6"/>
      <c r="O413" s="127"/>
      <c r="P413" s="127"/>
      <c r="Q413" s="128"/>
      <c r="R413" s="125"/>
      <c r="S413" s="125"/>
      <c r="T413" s="126"/>
      <c r="U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29"/>
      <c r="N414" s="130"/>
      <c r="O414" s="131"/>
      <c r="P414" s="131"/>
      <c r="Q414" s="132"/>
      <c r="R414" s="129"/>
      <c r="S414" s="129"/>
      <c r="T414" s="130"/>
      <c r="U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6"/>
      <c r="O415" s="127"/>
      <c r="P415" s="127"/>
      <c r="Q415" s="128"/>
      <c r="R415" s="125"/>
      <c r="S415" s="125"/>
      <c r="T415" s="126"/>
      <c r="U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29"/>
      <c r="N416" s="130"/>
      <c r="O416" s="131"/>
      <c r="P416" s="131"/>
      <c r="Q416" s="132"/>
      <c r="R416" s="129"/>
      <c r="S416" s="129"/>
      <c r="T416" s="130"/>
      <c r="U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6"/>
      <c r="O417" s="127"/>
      <c r="P417" s="127"/>
      <c r="Q417" s="128"/>
      <c r="R417" s="125"/>
      <c r="S417" s="125"/>
      <c r="T417" s="126"/>
      <c r="U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29"/>
      <c r="N418" s="130"/>
      <c r="O418" s="131"/>
      <c r="P418" s="131"/>
      <c r="Q418" s="132"/>
      <c r="R418" s="129"/>
      <c r="S418" s="129"/>
      <c r="T418" s="130"/>
      <c r="U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6"/>
      <c r="O419" s="127"/>
      <c r="P419" s="127"/>
      <c r="Q419" s="128"/>
      <c r="R419" s="125"/>
      <c r="S419" s="125"/>
      <c r="T419" s="126"/>
      <c r="U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29"/>
      <c r="N420" s="130"/>
      <c r="O420" s="131"/>
      <c r="P420" s="131"/>
      <c r="Q420" s="132"/>
      <c r="R420" s="129"/>
      <c r="S420" s="129"/>
      <c r="T420" s="130"/>
      <c r="U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6"/>
      <c r="O421" s="127"/>
      <c r="P421" s="127"/>
      <c r="Q421" s="128"/>
      <c r="R421" s="125"/>
      <c r="S421" s="125"/>
      <c r="T421" s="126"/>
      <c r="U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29"/>
      <c r="N422" s="130"/>
      <c r="O422" s="131"/>
      <c r="P422" s="131"/>
      <c r="Q422" s="132"/>
      <c r="R422" s="129"/>
      <c r="S422" s="129"/>
      <c r="T422" s="130"/>
      <c r="U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6"/>
      <c r="O423" s="127"/>
      <c r="P423" s="127"/>
      <c r="Q423" s="128"/>
      <c r="R423" s="125"/>
      <c r="S423" s="125"/>
      <c r="T423" s="126"/>
      <c r="U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29"/>
      <c r="N424" s="130"/>
      <c r="O424" s="131"/>
      <c r="P424" s="131"/>
      <c r="Q424" s="132"/>
      <c r="R424" s="129"/>
      <c r="S424" s="129"/>
      <c r="T424" s="130"/>
      <c r="U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6"/>
      <c r="O425" s="127"/>
      <c r="P425" s="127"/>
      <c r="Q425" s="128"/>
      <c r="R425" s="125"/>
      <c r="S425" s="125"/>
      <c r="T425" s="126"/>
      <c r="U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29"/>
      <c r="N426" s="130"/>
      <c r="O426" s="131"/>
      <c r="P426" s="131"/>
      <c r="Q426" s="132"/>
      <c r="R426" s="129"/>
      <c r="S426" s="129"/>
      <c r="T426" s="130"/>
      <c r="U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6"/>
      <c r="O427" s="127"/>
      <c r="P427" s="127"/>
      <c r="Q427" s="128"/>
      <c r="R427" s="125"/>
      <c r="S427" s="125"/>
      <c r="T427" s="126"/>
      <c r="U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29"/>
      <c r="N428" s="130"/>
      <c r="O428" s="131"/>
      <c r="P428" s="131"/>
      <c r="Q428" s="132"/>
      <c r="R428" s="129"/>
      <c r="S428" s="129"/>
      <c r="T428" s="130"/>
      <c r="U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6"/>
      <c r="O429" s="127"/>
      <c r="P429" s="127"/>
      <c r="Q429" s="128"/>
      <c r="R429" s="125"/>
      <c r="S429" s="125"/>
      <c r="T429" s="126"/>
      <c r="U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29"/>
      <c r="N430" s="130"/>
      <c r="O430" s="131"/>
      <c r="P430" s="131"/>
      <c r="Q430" s="132"/>
      <c r="R430" s="129"/>
      <c r="S430" s="129"/>
      <c r="T430" s="130"/>
      <c r="U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6"/>
      <c r="O431" s="127"/>
      <c r="P431" s="127"/>
      <c r="Q431" s="128"/>
      <c r="R431" s="125"/>
      <c r="S431" s="125"/>
      <c r="T431" s="126"/>
      <c r="U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29"/>
      <c r="N432" s="130"/>
      <c r="O432" s="131"/>
      <c r="P432" s="131"/>
      <c r="Q432" s="132"/>
      <c r="R432" s="129"/>
      <c r="S432" s="129"/>
      <c r="T432" s="130"/>
      <c r="U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6"/>
      <c r="O433" s="127"/>
      <c r="P433" s="127"/>
      <c r="Q433" s="128"/>
      <c r="R433" s="125"/>
      <c r="S433" s="125"/>
      <c r="T433" s="126"/>
      <c r="U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29"/>
      <c r="N434" s="130"/>
      <c r="O434" s="131"/>
      <c r="P434" s="131"/>
      <c r="Q434" s="132"/>
      <c r="R434" s="129"/>
      <c r="S434" s="129"/>
      <c r="T434" s="130"/>
      <c r="U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6"/>
      <c r="O435" s="127"/>
      <c r="P435" s="127"/>
      <c r="Q435" s="128"/>
      <c r="R435" s="125"/>
      <c r="S435" s="125"/>
      <c r="T435" s="126"/>
      <c r="U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29"/>
      <c r="N436" s="130"/>
      <c r="O436" s="131"/>
      <c r="P436" s="131"/>
      <c r="Q436" s="132"/>
      <c r="R436" s="129"/>
      <c r="S436" s="129"/>
      <c r="T436" s="130"/>
      <c r="U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6"/>
      <c r="O437" s="127"/>
      <c r="P437" s="127"/>
      <c r="Q437" s="128"/>
      <c r="R437" s="125"/>
      <c r="S437" s="125"/>
      <c r="T437" s="126"/>
      <c r="U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29"/>
      <c r="N438" s="130"/>
      <c r="O438" s="131"/>
      <c r="P438" s="131"/>
      <c r="Q438" s="132"/>
      <c r="R438" s="129"/>
      <c r="S438" s="129"/>
      <c r="T438" s="130"/>
      <c r="U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6"/>
      <c r="O439" s="127"/>
      <c r="P439" s="127"/>
      <c r="Q439" s="128"/>
      <c r="R439" s="125"/>
      <c r="S439" s="125"/>
      <c r="T439" s="126"/>
      <c r="U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29"/>
      <c r="N440" s="130"/>
      <c r="O440" s="131"/>
      <c r="P440" s="131"/>
      <c r="Q440" s="132"/>
      <c r="R440" s="129"/>
      <c r="S440" s="129"/>
      <c r="T440" s="130"/>
      <c r="U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6"/>
      <c r="O441" s="127"/>
      <c r="P441" s="127"/>
      <c r="Q441" s="128"/>
      <c r="R441" s="125"/>
      <c r="S441" s="125"/>
      <c r="T441" s="126"/>
      <c r="U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29"/>
      <c r="N442" s="130"/>
      <c r="O442" s="131"/>
      <c r="P442" s="131"/>
      <c r="Q442" s="132"/>
      <c r="R442" s="129"/>
      <c r="S442" s="129"/>
      <c r="T442" s="130"/>
      <c r="U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6"/>
      <c r="O443" s="127"/>
      <c r="P443" s="127"/>
      <c r="Q443" s="128"/>
      <c r="R443" s="125"/>
      <c r="S443" s="125"/>
      <c r="T443" s="126"/>
      <c r="U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29"/>
      <c r="N444" s="130"/>
      <c r="O444" s="131"/>
      <c r="P444" s="131"/>
      <c r="Q444" s="132"/>
      <c r="R444" s="129"/>
      <c r="S444" s="129"/>
      <c r="T444" s="130"/>
      <c r="U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6"/>
      <c r="O445" s="127"/>
      <c r="P445" s="127"/>
      <c r="Q445" s="128"/>
      <c r="R445" s="125"/>
      <c r="S445" s="125"/>
      <c r="T445" s="126"/>
      <c r="U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29"/>
      <c r="N446" s="130"/>
      <c r="O446" s="131"/>
      <c r="P446" s="131"/>
      <c r="Q446" s="132"/>
      <c r="R446" s="129"/>
      <c r="S446" s="129"/>
      <c r="T446" s="130"/>
      <c r="U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6"/>
      <c r="O447" s="127"/>
      <c r="P447" s="127"/>
      <c r="Q447" s="128"/>
      <c r="R447" s="125"/>
      <c r="S447" s="125"/>
      <c r="T447" s="126"/>
      <c r="U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29"/>
      <c r="L448" s="129"/>
      <c r="M448" s="129"/>
      <c r="N448" s="130"/>
      <c r="O448" s="131"/>
      <c r="P448" s="131"/>
      <c r="Q448" s="132"/>
      <c r="R448" s="129"/>
      <c r="S448" s="129"/>
      <c r="T448" s="130"/>
      <c r="U448" s="130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126"/>
      <c r="U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130"/>
      <c r="U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126"/>
      <c r="U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130"/>
      <c r="U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126"/>
      <c r="U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130"/>
      <c r="U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126"/>
      <c r="U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130"/>
      <c r="U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126"/>
      <c r="U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</row>
  </sheetData>
  <autoFilter ref="$A$1:$U$406"/>
  <customSheetViews>
    <customSheetView guid="{D9D1A42E-DDFC-4032-8664-60A2E47E0D40}" filter="1" showAutoFilter="1">
      <autoFilter ref="$A$1:$T$284"/>
    </customSheetView>
    <customSheetView guid="{3D13BECD-F97B-4CC8-B9FC-728C2CBFEBF1}" filter="1" showAutoFilter="1">
      <autoFilter ref="$A$1:$U$406">
        <filterColumn colId="9">
          <filters>
            <filter val="Finlândia"/>
            <filter val="Nigéria"/>
            <filter val="Líbano"/>
            <filter val="Tanzânia"/>
            <filter val="Máli"/>
            <filter val="México"/>
            <filter val="Algéria"/>
            <filter val="Colômbia"/>
            <filter val="Azerbaijão"/>
            <filter val="Serra Leoa"/>
            <filter val="Austrália"/>
            <filter val="Hong Kong"/>
            <filter val="Ruanda"/>
            <filter val="Suécia"/>
            <filter val="Mauritânia"/>
            <filter val="Bahrein"/>
            <filter val="Bósnia e Herz."/>
            <filter val="Ucrania"/>
            <filter val="USA"/>
            <filter val="Grécia"/>
            <filter val="Togo"/>
            <filter val="Índia"/>
            <filter val="Paises Baixos"/>
            <filter val="UEFA"/>
            <filter val="Zimbábue"/>
            <filter val="Mongólia"/>
            <filter val="Camarões"/>
          </filters>
        </filterColumn>
      </autoFilter>
    </customSheetView>
    <customSheetView guid="{9B5C888F-E11A-4842-8D0B-62F1614802A4}" filter="1" showAutoFilter="1">
      <autoFilter ref="$A$1:$T$284">
        <filterColumn colId="11">
          <filters>
            <filter val="AH+"/>
            <filter val="Draw"/>
            <filter val="AH-"/>
            <filter val="BTTS"/>
            <filter val="Under L"/>
            <filter val="DC"/>
          </filters>
        </filterColumn>
      </autoFilter>
    </customSheetView>
    <customSheetView guid="{978C25F2-69C0-4E3B-8EFC-6A6EC3E48DD3}" filter="1" showAutoFilter="1">
      <autoFilter ref="$A$1:$Y$406"/>
    </customSheetView>
    <customSheetView guid="{BA551338-6311-4C02-9137-137E692B7D93}" filter="1" showAutoFilter="1">
      <autoFilter ref="$A$1:$U$406">
        <filterColumn colId="13">
          <filters>
            <filter val="2.50"/>
            <filter val="10.50"/>
            <filter val="0.00"/>
            <filter val="2.25"/>
            <filter val="0.75"/>
            <filter val="1.00"/>
            <filter val="2.00"/>
            <filter val="1.75"/>
            <filter val="-10.50"/>
            <filter val="1.50"/>
            <filter val="0.50"/>
            <filter val="-4.50"/>
            <filter val="-3.50"/>
            <filter val="-5.50"/>
            <filter val="-1.50"/>
            <filter val="-2.50"/>
            <filter val="1.25"/>
            <filter val="-0.50"/>
            <filter val="0.25"/>
            <filter val="-0.75"/>
            <filter val="-1.00"/>
            <filter val="-0.25"/>
          </filters>
        </filterColumn>
      </autoFilter>
    </customSheetView>
    <customSheetView guid="{9BA04A38-02DA-4F02-BBBB-302FC15326E0}" filter="1" showAutoFilter="1">
      <autoFilter ref="$A$1:$U$406">
        <filterColumn colId="11">
          <filters>
            <filter val="Draw"/>
            <filter val="AH-"/>
            <filter val="BTTS"/>
            <filter val="Under L"/>
            <filter val="NG"/>
            <filter val="DC"/>
          </filters>
        </filterColumn>
      </autoFilter>
    </customSheetView>
    <customSheetView guid="{B1E9CC24-145D-4007-8A11-90FD9E435072}" filter="1" showAutoFilter="1">
      <autoFilter ref="$A$1:$Y$406">
        <filterColumn colId="9">
          <filters>
            <filter val="Polônia"/>
            <filter val="Hungria"/>
            <filter val="Nigéria"/>
            <filter val="África Sul"/>
            <filter val="Noruega"/>
            <filter val="Máli"/>
            <filter val="Romênia"/>
            <filter val="Chile"/>
            <filter val="Argélia"/>
            <filter val="Algéria"/>
            <filter val="Colômbia"/>
            <filter val="Eslovênia"/>
            <filter val="Azerbaijão"/>
            <filter val="Serra Leoa"/>
            <filter val="Quênia"/>
            <filter val="Eslováquia"/>
            <filter val="Indonésia"/>
            <filter val="Rep. Tcheca"/>
            <filter val="Burundi"/>
            <filter val="Hong Kong"/>
            <filter val="Suécia"/>
            <filter val="Bahrein"/>
            <filter val="Kosovo"/>
            <filter val="Marrocos"/>
            <filter val="Bósnia e Herz."/>
            <filter val="Ucrania"/>
            <filter val="USA"/>
            <filter val="Togo"/>
            <filter val="Amistoso"/>
            <filter val="UEFA"/>
            <filter val="Zimbábue"/>
            <filter val="Áustria"/>
            <filter val="Mongólia"/>
            <filter val="Ucrânia"/>
            <filter val="Camarões"/>
            <filter val="Montenegro"/>
          </filters>
        </filterColumn>
      </autoFilter>
    </customSheetView>
    <customSheetView guid="{8BE028A4-B37D-4082-AE82-07BBC89EBB11}" filter="1" showAutoFilter="1">
      <autoFilter ref="$A$1:$U$406"/>
    </customSheetView>
  </customSheetViews>
  <mergeCells count="10">
    <mergeCell ref="W66:Y66"/>
    <mergeCell ref="W67:Y67"/>
    <mergeCell ref="W68:Y68"/>
    <mergeCell ref="W59:Y59"/>
    <mergeCell ref="W60:Y60"/>
    <mergeCell ref="W61:Y61"/>
    <mergeCell ref="W62:Y62"/>
    <mergeCell ref="W63:Y63"/>
    <mergeCell ref="W64:Y64"/>
    <mergeCell ref="W65:Y65"/>
  </mergeCells>
  <conditionalFormatting sqref="S2:S499">
    <cfRule type="cellIs" dxfId="0" priority="1" operator="equal">
      <formula>"Ganha"</formula>
    </cfRule>
  </conditionalFormatting>
  <conditionalFormatting sqref="S2:S499">
    <cfRule type="cellIs" dxfId="1" priority="2" operator="equal">
      <formula>"Ganha/devolvida"</formula>
    </cfRule>
  </conditionalFormatting>
  <conditionalFormatting sqref="S2:S499">
    <cfRule type="cellIs" dxfId="2" priority="3" operator="equal">
      <formula>"Devolvida"</formula>
    </cfRule>
  </conditionalFormatting>
  <conditionalFormatting sqref="S2:S499">
    <cfRule type="cellIs" dxfId="3" priority="4" operator="equal">
      <formula>"Perdida/devolvida"</formula>
    </cfRule>
  </conditionalFormatting>
  <conditionalFormatting sqref="S2:S499">
    <cfRule type="cellIs" dxfId="4" priority="5" operator="equal">
      <formula>"Perdida"</formula>
    </cfRule>
  </conditionalFormatting>
  <conditionalFormatting sqref="T2:T457 U2:U998 X2:X35">
    <cfRule type="cellIs" dxfId="0" priority="6" operator="greaterThan">
      <formula>0</formula>
    </cfRule>
  </conditionalFormatting>
  <conditionalFormatting sqref="T2:T457 U2:U998 X2:X35">
    <cfRule type="cellIs" dxfId="4" priority="7" operator="lessThan">
      <formula>0</formula>
    </cfRule>
  </conditionalFormatting>
  <conditionalFormatting sqref="T2:T998 U2:U13 X2:X35">
    <cfRule type="cellIs" dxfId="2" priority="8" operator="equal">
      <formula>0</formula>
    </cfRule>
  </conditionalFormatting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60.88"/>
    <col customWidth="1" min="6" max="6" width="8.38"/>
    <col customWidth="1" min="7" max="7" width="9.25"/>
    <col customWidth="1" min="8" max="8" width="12.88"/>
    <col customWidth="1" min="9" max="9" width="11.25"/>
    <col customWidth="1" min="10" max="10" width="4.5"/>
    <col customWidth="1" min="11" max="11" width="8.13"/>
    <col customWidth="1" min="12" max="12" width="9.5"/>
    <col customWidth="1" min="13" max="16" width="5.88"/>
    <col customWidth="1" min="17" max="17" width="6.5"/>
    <col customWidth="1" min="18" max="18" width="14.75"/>
    <col customWidth="1" min="19" max="19" width="10.75"/>
    <col customWidth="1" min="20" max="20" width="7.25"/>
    <col customWidth="1" min="21" max="21" width="4.13"/>
    <col customWidth="1" min="22" max="22" width="6.25"/>
    <col customWidth="1" min="23" max="23" width="6.5"/>
    <col customWidth="1" min="24" max="24" width="11.25"/>
  </cols>
  <sheetData>
    <row r="1">
      <c r="A1" s="2"/>
      <c r="B1" s="2" t="s">
        <v>1</v>
      </c>
      <c r="C1" s="2" t="s">
        <v>2</v>
      </c>
      <c r="D1" s="2" t="s">
        <v>1462</v>
      </c>
      <c r="E1" s="3" t="s">
        <v>3</v>
      </c>
      <c r="F1" s="2" t="s">
        <v>1466</v>
      </c>
      <c r="G1" s="2" t="s">
        <v>1467</v>
      </c>
      <c r="H1" s="2" t="s">
        <v>1468</v>
      </c>
      <c r="I1" s="3" t="s">
        <v>4</v>
      </c>
      <c r="J1" s="3" t="s">
        <v>5</v>
      </c>
      <c r="K1" s="3" t="s">
        <v>6</v>
      </c>
      <c r="L1" s="2" t="s">
        <v>7</v>
      </c>
      <c r="M1" s="4" t="s">
        <v>8</v>
      </c>
      <c r="N1" s="5" t="s">
        <v>9</v>
      </c>
      <c r="O1" s="4" t="s">
        <v>10</v>
      </c>
      <c r="P1" s="6" t="s">
        <v>11</v>
      </c>
      <c r="Q1" s="97" t="s">
        <v>12</v>
      </c>
      <c r="R1" s="3" t="s">
        <v>13</v>
      </c>
      <c r="S1" s="4" t="s">
        <v>2372</v>
      </c>
      <c r="T1" s="4" t="s">
        <v>15</v>
      </c>
      <c r="V1" s="3" t="s">
        <v>16</v>
      </c>
      <c r="W1" s="3" t="s">
        <v>15</v>
      </c>
      <c r="X1" s="3" t="s">
        <v>17</v>
      </c>
    </row>
    <row r="2">
      <c r="A2" s="8">
        <f>1</f>
        <v>1</v>
      </c>
      <c r="B2" s="8" t="s">
        <v>129</v>
      </c>
      <c r="C2" s="8" t="s">
        <v>19</v>
      </c>
      <c r="D2" s="8">
        <v>70.0</v>
      </c>
      <c r="E2" s="8" t="s">
        <v>4348</v>
      </c>
      <c r="F2" s="8" t="s">
        <v>5565</v>
      </c>
      <c r="G2" s="8" t="s">
        <v>2660</v>
      </c>
      <c r="H2" s="8">
        <v>-1.0</v>
      </c>
      <c r="I2" s="8" t="s">
        <v>923</v>
      </c>
      <c r="J2" s="8" t="s">
        <v>22</v>
      </c>
      <c r="K2" s="8" t="s">
        <v>892</v>
      </c>
      <c r="L2" s="8" t="s">
        <v>24</v>
      </c>
      <c r="M2" s="9">
        <v>0.0</v>
      </c>
      <c r="N2" s="9">
        <v>0.25</v>
      </c>
      <c r="O2" s="9">
        <v>0.237</v>
      </c>
      <c r="P2" s="10">
        <v>45323.0</v>
      </c>
      <c r="Q2" s="11">
        <v>1.65</v>
      </c>
      <c r="R2" s="8" t="s">
        <v>33</v>
      </c>
      <c r="S2" s="12">
        <f t="shared" ref="S2:S392" si="1">IF(R2="ganha",(O2*(Q2-1)),IF(R2="perdida",-O2,IF(R2="devolvida",0,IF(R2="ganha/devolvida",((O2*(Q2-1)))/2,IF(R2="perdida/devolvida",-O2/2,IF(R2="Aguardando",0,""))))))</f>
        <v>0.15405</v>
      </c>
      <c r="T2" s="12">
        <f>S2</f>
        <v>0.15405</v>
      </c>
      <c r="V2" s="10">
        <v>45323.0</v>
      </c>
      <c r="W2" s="13">
        <f t="shared" ref="W2:W32" si="2">SUMIF($P$2:$P$2979,V2,$S$2:$S$2979)</f>
        <v>-0.46755</v>
      </c>
      <c r="X2" s="14">
        <f>SUMIF($R$2:$R$2979,"Aguardando",$O$2:$O$2979)</f>
        <v>0</v>
      </c>
    </row>
    <row r="3">
      <c r="A3" s="15">
        <f t="shared" ref="A3:A404" si="3">A2+1</f>
        <v>2</v>
      </c>
      <c r="B3" s="15" t="s">
        <v>26</v>
      </c>
      <c r="C3" s="15" t="s">
        <v>40</v>
      </c>
      <c r="D3" s="15">
        <v>18.0</v>
      </c>
      <c r="E3" s="15" t="s">
        <v>4349</v>
      </c>
      <c r="F3" s="15" t="s">
        <v>5565</v>
      </c>
      <c r="G3" s="15" t="s">
        <v>2660</v>
      </c>
      <c r="H3" s="15">
        <v>0.0</v>
      </c>
      <c r="I3" s="15" t="s">
        <v>28</v>
      </c>
      <c r="J3" s="15" t="s">
        <v>22</v>
      </c>
      <c r="K3" s="15" t="s">
        <v>1150</v>
      </c>
      <c r="L3" s="15" t="s">
        <v>24</v>
      </c>
      <c r="M3" s="16">
        <v>0.0</v>
      </c>
      <c r="N3" s="16">
        <v>0.2</v>
      </c>
      <c r="O3" s="16">
        <v>0.2</v>
      </c>
      <c r="P3" s="17">
        <v>45323.0</v>
      </c>
      <c r="Q3" s="18">
        <v>1.725</v>
      </c>
      <c r="R3" s="15" t="s">
        <v>70</v>
      </c>
      <c r="S3" s="19">
        <f t="shared" si="1"/>
        <v>0</v>
      </c>
      <c r="T3" s="19">
        <f t="shared" ref="T3:T356" si="4">T2+S3</f>
        <v>0.15405</v>
      </c>
      <c r="V3" s="17">
        <v>45324.0</v>
      </c>
      <c r="W3" s="13">
        <f t="shared" si="2"/>
        <v>1.90272</v>
      </c>
    </row>
    <row r="4">
      <c r="A4" s="8">
        <f t="shared" si="3"/>
        <v>3</v>
      </c>
      <c r="B4" s="8" t="s">
        <v>26</v>
      </c>
      <c r="C4" s="8" t="s">
        <v>40</v>
      </c>
      <c r="D4" s="8">
        <v>18.0</v>
      </c>
      <c r="E4" s="8" t="s">
        <v>4350</v>
      </c>
      <c r="F4" s="8" t="s">
        <v>5565</v>
      </c>
      <c r="G4" s="8" t="s">
        <v>2660</v>
      </c>
      <c r="H4" s="8">
        <v>0.0</v>
      </c>
      <c r="I4" s="8" t="s">
        <v>28</v>
      </c>
      <c r="J4" s="8" t="s">
        <v>22</v>
      </c>
      <c r="K4" s="8" t="s">
        <v>892</v>
      </c>
      <c r="L4" s="8" t="s">
        <v>24</v>
      </c>
      <c r="M4" s="9">
        <v>0.0</v>
      </c>
      <c r="N4" s="9">
        <v>0.2</v>
      </c>
      <c r="O4" s="9">
        <v>0.2</v>
      </c>
      <c r="P4" s="10">
        <v>45323.0</v>
      </c>
      <c r="Q4" s="11">
        <v>1.092</v>
      </c>
      <c r="R4" s="8" t="s">
        <v>33</v>
      </c>
      <c r="S4" s="12">
        <f t="shared" si="1"/>
        <v>0.0184</v>
      </c>
      <c r="T4" s="12">
        <f t="shared" si="4"/>
        <v>0.17245</v>
      </c>
      <c r="V4" s="10">
        <v>45325.0</v>
      </c>
      <c r="W4" s="13">
        <f t="shared" si="2"/>
        <v>1.01175</v>
      </c>
      <c r="X4" s="3" t="s">
        <v>34</v>
      </c>
    </row>
    <row r="5">
      <c r="A5" s="15">
        <f t="shared" si="3"/>
        <v>4</v>
      </c>
      <c r="B5" s="15" t="s">
        <v>4225</v>
      </c>
      <c r="C5" s="15" t="s">
        <v>19</v>
      </c>
      <c r="D5" s="15">
        <v>0.0</v>
      </c>
      <c r="E5" s="15" t="s">
        <v>4351</v>
      </c>
      <c r="F5" s="15" t="s">
        <v>5564</v>
      </c>
      <c r="G5" s="15" t="s">
        <v>2556</v>
      </c>
      <c r="H5" s="15">
        <v>0.0</v>
      </c>
      <c r="I5" s="15" t="s">
        <v>82</v>
      </c>
      <c r="J5" s="15" t="s">
        <v>598</v>
      </c>
      <c r="K5" s="15" t="s">
        <v>4352</v>
      </c>
      <c r="L5" s="15" t="s">
        <v>39</v>
      </c>
      <c r="M5" s="16">
        <v>0.0</v>
      </c>
      <c r="N5" s="16">
        <v>1.0</v>
      </c>
      <c r="O5" s="16">
        <v>1.0</v>
      </c>
      <c r="P5" s="17">
        <v>45323.0</v>
      </c>
      <c r="Q5" s="18">
        <v>2.0</v>
      </c>
      <c r="R5" s="15" t="s">
        <v>25</v>
      </c>
      <c r="S5" s="19">
        <f t="shared" si="1"/>
        <v>-1</v>
      </c>
      <c r="T5" s="19">
        <f t="shared" si="4"/>
        <v>-0.82755</v>
      </c>
      <c r="V5" s="17">
        <v>45326.0</v>
      </c>
      <c r="W5" s="13">
        <f t="shared" si="2"/>
        <v>1.4583</v>
      </c>
      <c r="X5" s="20">
        <f>sum(O2:O1012)</f>
        <v>123.1606286</v>
      </c>
    </row>
    <row r="6">
      <c r="A6" s="8">
        <f t="shared" si="3"/>
        <v>5</v>
      </c>
      <c r="B6" s="8" t="s">
        <v>4225</v>
      </c>
      <c r="C6" s="8" t="s">
        <v>19</v>
      </c>
      <c r="D6" s="8">
        <v>68.0</v>
      </c>
      <c r="E6" s="8" t="s">
        <v>4353</v>
      </c>
      <c r="F6" s="8" t="s">
        <v>5565</v>
      </c>
      <c r="G6" s="8" t="s">
        <v>2660</v>
      </c>
      <c r="H6" s="8">
        <v>-1.0</v>
      </c>
      <c r="I6" s="8" t="s">
        <v>4354</v>
      </c>
      <c r="J6" s="8" t="s">
        <v>22</v>
      </c>
      <c r="K6" s="8" t="s">
        <v>892</v>
      </c>
      <c r="L6" s="8" t="s">
        <v>24</v>
      </c>
      <c r="M6" s="9">
        <v>0.0</v>
      </c>
      <c r="N6" s="9">
        <v>1.0</v>
      </c>
      <c r="O6" s="9">
        <v>1.0</v>
      </c>
      <c r="P6" s="10">
        <v>45323.0</v>
      </c>
      <c r="Q6" s="11">
        <v>1.85</v>
      </c>
      <c r="R6" s="8" t="s">
        <v>70</v>
      </c>
      <c r="S6" s="12">
        <f t="shared" si="1"/>
        <v>0</v>
      </c>
      <c r="T6" s="12">
        <f t="shared" si="4"/>
        <v>-0.82755</v>
      </c>
      <c r="V6" s="10">
        <v>45327.0</v>
      </c>
      <c r="W6" s="13">
        <f t="shared" si="2"/>
        <v>0</v>
      </c>
    </row>
    <row r="7">
      <c r="A7" s="15">
        <f t="shared" si="3"/>
        <v>6</v>
      </c>
      <c r="B7" s="15" t="s">
        <v>26</v>
      </c>
      <c r="C7" s="15" t="s">
        <v>19</v>
      </c>
      <c r="D7" s="15">
        <v>11.0</v>
      </c>
      <c r="E7" s="15" t="s">
        <v>4355</v>
      </c>
      <c r="F7" s="15" t="s">
        <v>5564</v>
      </c>
      <c r="G7" s="15" t="s">
        <v>2660</v>
      </c>
      <c r="H7" s="15">
        <v>0.0</v>
      </c>
      <c r="I7" s="15" t="s">
        <v>28</v>
      </c>
      <c r="J7" s="15" t="s">
        <v>22</v>
      </c>
      <c r="K7" s="15" t="s">
        <v>1150</v>
      </c>
      <c r="L7" s="15" t="s">
        <v>1522</v>
      </c>
      <c r="M7" s="16">
        <v>0.0</v>
      </c>
      <c r="N7" s="16">
        <v>0.4</v>
      </c>
      <c r="O7" s="16">
        <v>0.4</v>
      </c>
      <c r="P7" s="17">
        <v>45323.0</v>
      </c>
      <c r="Q7" s="18">
        <v>2.0</v>
      </c>
      <c r="R7" s="15" t="s">
        <v>25</v>
      </c>
      <c r="S7" s="19">
        <f t="shared" si="1"/>
        <v>-0.4</v>
      </c>
      <c r="T7" s="19">
        <f t="shared" si="4"/>
        <v>-1.22755</v>
      </c>
      <c r="V7" s="17">
        <v>45328.0</v>
      </c>
      <c r="W7" s="13">
        <f t="shared" si="2"/>
        <v>1.12475</v>
      </c>
      <c r="X7" s="3" t="s">
        <v>45</v>
      </c>
    </row>
    <row r="8">
      <c r="A8" s="8">
        <f t="shared" si="3"/>
        <v>7</v>
      </c>
      <c r="B8" s="8" t="s">
        <v>26</v>
      </c>
      <c r="C8" s="8" t="s">
        <v>19</v>
      </c>
      <c r="D8" s="8">
        <v>75.0</v>
      </c>
      <c r="E8" s="8" t="s">
        <v>4356</v>
      </c>
      <c r="F8" s="8"/>
      <c r="G8" s="8"/>
      <c r="H8" s="8"/>
      <c r="I8" s="8" t="s">
        <v>28</v>
      </c>
      <c r="J8" s="8" t="s">
        <v>22</v>
      </c>
      <c r="K8" s="8" t="s">
        <v>29</v>
      </c>
      <c r="L8" s="8" t="s">
        <v>24</v>
      </c>
      <c r="M8" s="9">
        <v>-4.0</v>
      </c>
      <c r="N8" s="9">
        <v>0.25</v>
      </c>
      <c r="O8" s="9">
        <v>0.05</v>
      </c>
      <c r="P8" s="10">
        <v>45323.0</v>
      </c>
      <c r="Q8" s="11">
        <v>1.7</v>
      </c>
      <c r="R8" s="8" t="s">
        <v>70</v>
      </c>
      <c r="S8" s="12">
        <f t="shared" si="1"/>
        <v>0</v>
      </c>
      <c r="T8" s="12">
        <f t="shared" si="4"/>
        <v>-1.22755</v>
      </c>
      <c r="V8" s="10">
        <v>45329.0</v>
      </c>
      <c r="W8" s="13">
        <f t="shared" si="2"/>
        <v>0.495</v>
      </c>
      <c r="X8" s="21">
        <f>W33/(SUM(O2:O4932)-X2)</f>
        <v>0.114543284</v>
      </c>
    </row>
    <row r="9">
      <c r="A9" s="15">
        <f t="shared" si="3"/>
        <v>8</v>
      </c>
      <c r="B9" s="15" t="s">
        <v>26</v>
      </c>
      <c r="C9" s="15" t="s">
        <v>19</v>
      </c>
      <c r="D9" s="15">
        <v>62.0</v>
      </c>
      <c r="E9" s="15" t="s">
        <v>4357</v>
      </c>
      <c r="F9" s="15" t="s">
        <v>5564</v>
      </c>
      <c r="G9" s="15" t="s">
        <v>2556</v>
      </c>
      <c r="H9" s="15">
        <v>-1.0</v>
      </c>
      <c r="I9" s="15" t="s">
        <v>28</v>
      </c>
      <c r="J9" s="15" t="s">
        <v>22</v>
      </c>
      <c r="K9" s="15" t="s">
        <v>225</v>
      </c>
      <c r="L9" s="15" t="s">
        <v>24</v>
      </c>
      <c r="M9" s="16">
        <v>0.25</v>
      </c>
      <c r="N9" s="16">
        <v>0.8</v>
      </c>
      <c r="O9" s="16">
        <v>0.65</v>
      </c>
      <c r="P9" s="17">
        <v>45323.0</v>
      </c>
      <c r="Q9" s="18">
        <v>1.8</v>
      </c>
      <c r="R9" s="15" t="s">
        <v>33</v>
      </c>
      <c r="S9" s="19">
        <f t="shared" si="1"/>
        <v>0.52</v>
      </c>
      <c r="T9" s="19">
        <f t="shared" si="4"/>
        <v>-0.70755</v>
      </c>
      <c r="V9" s="17">
        <v>45330.0</v>
      </c>
      <c r="W9" s="13">
        <f t="shared" si="2"/>
        <v>-1.47275</v>
      </c>
    </row>
    <row r="10">
      <c r="A10" s="8">
        <f t="shared" si="3"/>
        <v>9</v>
      </c>
      <c r="B10" s="8" t="s">
        <v>26</v>
      </c>
      <c r="C10" s="8" t="s">
        <v>19</v>
      </c>
      <c r="D10" s="8">
        <v>63.0</v>
      </c>
      <c r="E10" s="8" t="s">
        <v>4358</v>
      </c>
      <c r="F10" s="8" t="s">
        <v>5564</v>
      </c>
      <c r="G10" s="8" t="s">
        <v>2660</v>
      </c>
      <c r="H10" s="8">
        <v>-1.0</v>
      </c>
      <c r="I10" s="8" t="s">
        <v>28</v>
      </c>
      <c r="J10" s="8" t="s">
        <v>22</v>
      </c>
      <c r="K10" s="8" t="s">
        <v>892</v>
      </c>
      <c r="L10" s="8" t="s">
        <v>24</v>
      </c>
      <c r="M10" s="9">
        <v>0.0</v>
      </c>
      <c r="N10" s="9">
        <v>0.2</v>
      </c>
      <c r="O10" s="9">
        <v>0.2</v>
      </c>
      <c r="P10" s="10">
        <v>45323.0</v>
      </c>
      <c r="Q10" s="11">
        <v>2.2</v>
      </c>
      <c r="R10" s="8" t="s">
        <v>33</v>
      </c>
      <c r="S10" s="12">
        <f t="shared" si="1"/>
        <v>0.24</v>
      </c>
      <c r="T10" s="12">
        <f t="shared" si="4"/>
        <v>-0.46755</v>
      </c>
      <c r="V10" s="10">
        <v>45331.0</v>
      </c>
      <c r="W10" s="13">
        <f t="shared" si="2"/>
        <v>-0.951475</v>
      </c>
      <c r="X10" s="2" t="s">
        <v>55</v>
      </c>
    </row>
    <row r="11">
      <c r="A11" s="15">
        <f t="shared" si="3"/>
        <v>10</v>
      </c>
      <c r="B11" s="15" t="s">
        <v>129</v>
      </c>
      <c r="C11" s="15" t="s">
        <v>19</v>
      </c>
      <c r="D11" s="15">
        <v>62.0</v>
      </c>
      <c r="E11" s="15" t="s">
        <v>4359</v>
      </c>
      <c r="F11" s="15" t="s">
        <v>5564</v>
      </c>
      <c r="G11" s="15" t="s">
        <v>2660</v>
      </c>
      <c r="H11" s="15">
        <f>1</f>
        <v>1</v>
      </c>
      <c r="I11" s="15" t="s">
        <v>231</v>
      </c>
      <c r="J11" s="15" t="s">
        <v>22</v>
      </c>
      <c r="K11" s="15" t="s">
        <v>892</v>
      </c>
      <c r="L11" s="15" t="s">
        <v>24</v>
      </c>
      <c r="M11" s="16">
        <v>0.0</v>
      </c>
      <c r="N11" s="16">
        <v>1.0</v>
      </c>
      <c r="O11" s="16">
        <v>1.0</v>
      </c>
      <c r="P11" s="17">
        <v>45324.0</v>
      </c>
      <c r="Q11" s="18">
        <v>1.75</v>
      </c>
      <c r="R11" s="15" t="s">
        <v>33</v>
      </c>
      <c r="S11" s="19">
        <f t="shared" si="1"/>
        <v>0.75</v>
      </c>
      <c r="T11" s="19">
        <f t="shared" si="4"/>
        <v>0.28245</v>
      </c>
      <c r="V11" s="17">
        <v>45332.0</v>
      </c>
      <c r="W11" s="13">
        <f t="shared" si="2"/>
        <v>2.22295</v>
      </c>
      <c r="X11" s="21">
        <f>(SUMPRODUCT(--(N2:N998 = O2:O998))-countif(N2:N998,""))/countif(N2:N998,"&gt;0")</f>
        <v>0.8695652174</v>
      </c>
    </row>
    <row r="12">
      <c r="A12" s="8">
        <f t="shared" si="3"/>
        <v>11</v>
      </c>
      <c r="B12" s="8" t="s">
        <v>26</v>
      </c>
      <c r="C12" s="8" t="s">
        <v>19</v>
      </c>
      <c r="D12" s="8">
        <v>34.0</v>
      </c>
      <c r="E12" s="8" t="s">
        <v>4360</v>
      </c>
      <c r="F12" s="8" t="s">
        <v>5564</v>
      </c>
      <c r="G12" s="8" t="s">
        <v>2660</v>
      </c>
      <c r="H12" s="8">
        <v>3</v>
      </c>
      <c r="I12" s="8" t="s">
        <v>28</v>
      </c>
      <c r="J12" s="8" t="s">
        <v>22</v>
      </c>
      <c r="K12" s="8" t="s">
        <v>1150</v>
      </c>
      <c r="L12" s="8" t="s">
        <v>39</v>
      </c>
      <c r="M12" s="9">
        <v>0.0</v>
      </c>
      <c r="N12" s="9">
        <v>0.25</v>
      </c>
      <c r="O12" s="9">
        <v>0.25</v>
      </c>
      <c r="P12" s="10">
        <v>45324.0</v>
      </c>
      <c r="Q12" s="11">
        <v>1.65</v>
      </c>
      <c r="R12" s="8" t="s">
        <v>70</v>
      </c>
      <c r="S12" s="12">
        <f t="shared" si="1"/>
        <v>0</v>
      </c>
      <c r="T12" s="12">
        <f t="shared" si="4"/>
        <v>0.28245</v>
      </c>
      <c r="V12" s="10">
        <v>45333.0</v>
      </c>
      <c r="W12" s="13">
        <f t="shared" si="2"/>
        <v>-0.204</v>
      </c>
    </row>
    <row r="13">
      <c r="A13" s="15">
        <f t="shared" si="3"/>
        <v>12</v>
      </c>
      <c r="B13" s="15" t="s">
        <v>137</v>
      </c>
      <c r="C13" s="15" t="s">
        <v>19</v>
      </c>
      <c r="D13" s="15">
        <v>52.0</v>
      </c>
      <c r="E13" s="15" t="s">
        <v>4361</v>
      </c>
      <c r="F13" s="15" t="s">
        <v>5564</v>
      </c>
      <c r="G13" s="15" t="s">
        <v>2556</v>
      </c>
      <c r="H13" s="15">
        <v>-1.0</v>
      </c>
      <c r="I13" s="15" t="s">
        <v>1031</v>
      </c>
      <c r="J13" s="15" t="s">
        <v>22</v>
      </c>
      <c r="K13" s="15" t="s">
        <v>225</v>
      </c>
      <c r="L13" s="15" t="s">
        <v>24</v>
      </c>
      <c r="M13" s="16">
        <v>0.25</v>
      </c>
      <c r="N13" s="16">
        <v>0.25</v>
      </c>
      <c r="O13" s="16">
        <v>0.25</v>
      </c>
      <c r="P13" s="17">
        <v>45324.0</v>
      </c>
      <c r="Q13" s="18">
        <v>1.123</v>
      </c>
      <c r="R13" s="15" t="s">
        <v>33</v>
      </c>
      <c r="S13" s="19">
        <f t="shared" si="1"/>
        <v>0.03075</v>
      </c>
      <c r="T13" s="19">
        <f t="shared" si="4"/>
        <v>0.3132</v>
      </c>
      <c r="V13" s="17">
        <v>45334.0</v>
      </c>
      <c r="W13" s="13">
        <f t="shared" si="2"/>
        <v>0</v>
      </c>
      <c r="X13" s="2" t="s">
        <v>61</v>
      </c>
    </row>
    <row r="14">
      <c r="A14" s="8">
        <f t="shared" si="3"/>
        <v>13</v>
      </c>
      <c r="B14" s="8" t="s">
        <v>137</v>
      </c>
      <c r="C14" s="8" t="s">
        <v>19</v>
      </c>
      <c r="D14" s="8">
        <v>64.0</v>
      </c>
      <c r="E14" s="8" t="s">
        <v>4362</v>
      </c>
      <c r="F14" s="8" t="s">
        <v>5564</v>
      </c>
      <c r="G14" s="8" t="s">
        <v>2660</v>
      </c>
      <c r="H14" s="8">
        <v>-1.0</v>
      </c>
      <c r="I14" s="8" t="s">
        <v>1031</v>
      </c>
      <c r="J14" s="8" t="s">
        <v>22</v>
      </c>
      <c r="K14" s="8" t="s">
        <v>892</v>
      </c>
      <c r="L14" s="8" t="s">
        <v>24</v>
      </c>
      <c r="M14" s="9">
        <v>0.0</v>
      </c>
      <c r="N14" s="9">
        <v>0.4</v>
      </c>
      <c r="O14" s="9">
        <v>0.4</v>
      </c>
      <c r="P14" s="10">
        <v>45324.0</v>
      </c>
      <c r="Q14" s="11">
        <v>2.25</v>
      </c>
      <c r="R14" s="8" t="s">
        <v>25</v>
      </c>
      <c r="S14" s="12">
        <f t="shared" si="1"/>
        <v>-0.4</v>
      </c>
      <c r="T14" s="12">
        <f t="shared" si="4"/>
        <v>-0.0868</v>
      </c>
      <c r="V14" s="10">
        <v>45335.0</v>
      </c>
      <c r="W14" s="13">
        <f t="shared" si="2"/>
        <v>0</v>
      </c>
      <c r="X14" s="22">
        <f>average(Q2:Q998)</f>
        <v>1.926917043</v>
      </c>
    </row>
    <row r="15">
      <c r="A15" s="15">
        <f t="shared" si="3"/>
        <v>14</v>
      </c>
      <c r="B15" s="15" t="s">
        <v>26</v>
      </c>
      <c r="C15" s="15" t="s">
        <v>40</v>
      </c>
      <c r="D15" s="15">
        <v>33.0</v>
      </c>
      <c r="E15" s="15" t="s">
        <v>4363</v>
      </c>
      <c r="F15" s="15" t="s">
        <v>5565</v>
      </c>
      <c r="G15" s="15" t="s">
        <v>2556</v>
      </c>
      <c r="H15" s="15">
        <f t="shared" ref="H15:H16" si="5">1</f>
        <v>1</v>
      </c>
      <c r="I15" s="15" t="s">
        <v>644</v>
      </c>
      <c r="J15" s="15" t="s">
        <v>22</v>
      </c>
      <c r="K15" s="15" t="s">
        <v>225</v>
      </c>
      <c r="L15" s="15" t="s">
        <v>24</v>
      </c>
      <c r="M15" s="16">
        <v>1.5</v>
      </c>
      <c r="N15" s="16">
        <v>0.2</v>
      </c>
      <c r="O15" s="16">
        <v>0.085</v>
      </c>
      <c r="P15" s="17">
        <v>45324.0</v>
      </c>
      <c r="Q15" s="18">
        <v>1.03</v>
      </c>
      <c r="R15" s="15" t="s">
        <v>33</v>
      </c>
      <c r="S15" s="19">
        <f t="shared" si="1"/>
        <v>0.00255</v>
      </c>
      <c r="T15" s="19">
        <f t="shared" si="4"/>
        <v>-0.08425</v>
      </c>
      <c r="V15" s="17">
        <v>45336.0</v>
      </c>
      <c r="W15" s="13">
        <f t="shared" si="2"/>
        <v>0.69285</v>
      </c>
    </row>
    <row r="16">
      <c r="A16" s="8">
        <f t="shared" si="3"/>
        <v>15</v>
      </c>
      <c r="B16" s="8" t="s">
        <v>26</v>
      </c>
      <c r="C16" s="8" t="s">
        <v>40</v>
      </c>
      <c r="D16" s="8">
        <v>34.0</v>
      </c>
      <c r="E16" s="8" t="s">
        <v>4364</v>
      </c>
      <c r="F16" s="8" t="s">
        <v>5565</v>
      </c>
      <c r="G16" s="8" t="s">
        <v>2556</v>
      </c>
      <c r="H16" s="8">
        <f t="shared" si="5"/>
        <v>1</v>
      </c>
      <c r="I16" s="8" t="s">
        <v>644</v>
      </c>
      <c r="J16" s="8" t="s">
        <v>22</v>
      </c>
      <c r="K16" s="8" t="s">
        <v>1165</v>
      </c>
      <c r="L16" s="8" t="s">
        <v>24</v>
      </c>
      <c r="M16" s="9"/>
      <c r="N16" s="9">
        <v>0.15</v>
      </c>
      <c r="O16" s="9">
        <v>0.15</v>
      </c>
      <c r="P16" s="10">
        <v>45324.0</v>
      </c>
      <c r="Q16" s="11">
        <v>4.0</v>
      </c>
      <c r="R16" s="8" t="s">
        <v>33</v>
      </c>
      <c r="S16" s="12">
        <f t="shared" si="1"/>
        <v>0.45</v>
      </c>
      <c r="T16" s="12">
        <f t="shared" si="4"/>
        <v>0.36575</v>
      </c>
      <c r="V16" s="10">
        <v>45337.0</v>
      </c>
      <c r="W16" s="13">
        <f t="shared" si="2"/>
        <v>0.859</v>
      </c>
    </row>
    <row r="17">
      <c r="A17" s="15">
        <f t="shared" si="3"/>
        <v>16</v>
      </c>
      <c r="B17" s="15" t="s">
        <v>4225</v>
      </c>
      <c r="C17" s="15" t="s">
        <v>19</v>
      </c>
      <c r="D17" s="15">
        <v>16.0</v>
      </c>
      <c r="E17" s="95" t="s">
        <v>4365</v>
      </c>
      <c r="F17" s="15" t="s">
        <v>5565</v>
      </c>
      <c r="G17" s="15" t="s">
        <v>2556</v>
      </c>
      <c r="H17" s="15">
        <v>0.0</v>
      </c>
      <c r="I17" s="15" t="s">
        <v>172</v>
      </c>
      <c r="J17" s="15" t="s">
        <v>22</v>
      </c>
      <c r="K17" s="15" t="s">
        <v>225</v>
      </c>
      <c r="L17" s="15" t="s">
        <v>24</v>
      </c>
      <c r="M17" s="16">
        <v>0.75</v>
      </c>
      <c r="N17" s="16">
        <v>0.25</v>
      </c>
      <c r="O17" s="16">
        <v>0.106</v>
      </c>
      <c r="P17" s="17">
        <v>45324.0</v>
      </c>
      <c r="Q17" s="18">
        <v>1.675</v>
      </c>
      <c r="R17" s="15" t="s">
        <v>33</v>
      </c>
      <c r="S17" s="19">
        <f t="shared" si="1"/>
        <v>0.07155</v>
      </c>
      <c r="T17" s="19">
        <f t="shared" si="4"/>
        <v>0.4373</v>
      </c>
      <c r="V17" s="17">
        <v>45338.0</v>
      </c>
      <c r="W17" s="13">
        <f t="shared" si="2"/>
        <v>-0.28</v>
      </c>
    </row>
    <row r="18">
      <c r="A18" s="8">
        <f t="shared" si="3"/>
        <v>17</v>
      </c>
      <c r="B18" s="8" t="s">
        <v>4225</v>
      </c>
      <c r="C18" s="8" t="s">
        <v>19</v>
      </c>
      <c r="D18" s="8">
        <v>18.0</v>
      </c>
      <c r="E18" s="8" t="s">
        <v>4366</v>
      </c>
      <c r="F18" s="8" t="s">
        <v>5565</v>
      </c>
      <c r="G18" s="8" t="s">
        <v>2556</v>
      </c>
      <c r="H18" s="8">
        <v>0.0</v>
      </c>
      <c r="I18" s="8" t="s">
        <v>172</v>
      </c>
      <c r="J18" s="8" t="s">
        <v>22</v>
      </c>
      <c r="K18" s="8" t="s">
        <v>225</v>
      </c>
      <c r="L18" s="8" t="s">
        <v>24</v>
      </c>
      <c r="M18" s="9">
        <v>0.5</v>
      </c>
      <c r="N18" s="9">
        <v>0.25</v>
      </c>
      <c r="O18" s="9">
        <v>0.243</v>
      </c>
      <c r="P18" s="10">
        <v>45324.0</v>
      </c>
      <c r="Q18" s="11">
        <v>1.75</v>
      </c>
      <c r="R18" s="8" t="s">
        <v>33</v>
      </c>
      <c r="S18" s="12">
        <f t="shared" si="1"/>
        <v>0.18225</v>
      </c>
      <c r="T18" s="12">
        <f t="shared" si="4"/>
        <v>0.61955</v>
      </c>
      <c r="V18" s="10">
        <v>45339.0</v>
      </c>
      <c r="W18" s="13">
        <f t="shared" si="2"/>
        <v>-0.1055</v>
      </c>
    </row>
    <row r="19">
      <c r="A19" s="15">
        <f t="shared" si="3"/>
        <v>18</v>
      </c>
      <c r="B19" s="15" t="s">
        <v>129</v>
      </c>
      <c r="C19" s="15" t="s">
        <v>19</v>
      </c>
      <c r="D19" s="15">
        <v>79.0</v>
      </c>
      <c r="E19" s="15" t="s">
        <v>4367</v>
      </c>
      <c r="F19" s="15" t="s">
        <v>5564</v>
      </c>
      <c r="G19" s="15" t="s">
        <v>2660</v>
      </c>
      <c r="H19" s="15">
        <v>0.0</v>
      </c>
      <c r="I19" s="15" t="s">
        <v>1031</v>
      </c>
      <c r="J19" s="15" t="s">
        <v>22</v>
      </c>
      <c r="K19" s="15" t="s">
        <v>892</v>
      </c>
      <c r="L19" s="15" t="s">
        <v>24</v>
      </c>
      <c r="M19" s="16">
        <v>0.0</v>
      </c>
      <c r="N19" s="16">
        <v>0.4</v>
      </c>
      <c r="O19" s="16">
        <v>0.293</v>
      </c>
      <c r="P19" s="55">
        <v>45324.0</v>
      </c>
      <c r="Q19" s="18">
        <v>2.2</v>
      </c>
      <c r="R19" s="15" t="s">
        <v>70</v>
      </c>
      <c r="S19" s="19">
        <f t="shared" si="1"/>
        <v>0</v>
      </c>
      <c r="T19" s="19">
        <f t="shared" si="4"/>
        <v>0.61955</v>
      </c>
      <c r="V19" s="17">
        <v>45340.0</v>
      </c>
      <c r="W19" s="13">
        <f t="shared" si="2"/>
        <v>1.06006</v>
      </c>
    </row>
    <row r="20">
      <c r="A20" s="8">
        <f t="shared" si="3"/>
        <v>19</v>
      </c>
      <c r="B20" s="8" t="s">
        <v>129</v>
      </c>
      <c r="C20" s="8" t="s">
        <v>40</v>
      </c>
      <c r="D20" s="8">
        <v>81.0</v>
      </c>
      <c r="E20" s="8" t="s">
        <v>4368</v>
      </c>
      <c r="F20" s="8" t="s">
        <v>5564</v>
      </c>
      <c r="G20" s="8" t="s">
        <v>2556</v>
      </c>
      <c r="H20" s="8">
        <v>0.0</v>
      </c>
      <c r="I20" s="8" t="s">
        <v>162</v>
      </c>
      <c r="J20" s="8" t="s">
        <v>22</v>
      </c>
      <c r="K20" s="8" t="s">
        <v>4352</v>
      </c>
      <c r="L20" s="8" t="s">
        <v>24</v>
      </c>
      <c r="M20" s="9">
        <v>0.0</v>
      </c>
      <c r="N20" s="9">
        <v>0.3</v>
      </c>
      <c r="O20" s="9">
        <v>0.3</v>
      </c>
      <c r="P20" s="10">
        <v>45324.0</v>
      </c>
      <c r="Q20" s="11">
        <v>2.387</v>
      </c>
      <c r="R20" s="8" t="s">
        <v>33</v>
      </c>
      <c r="S20" s="12">
        <f t="shared" si="1"/>
        <v>0.4161</v>
      </c>
      <c r="T20" s="12">
        <f t="shared" si="4"/>
        <v>1.03565</v>
      </c>
      <c r="V20" s="10">
        <v>45341.0</v>
      </c>
      <c r="W20" s="13">
        <f t="shared" si="2"/>
        <v>0.2175</v>
      </c>
    </row>
    <row r="21">
      <c r="A21" s="15">
        <f t="shared" si="3"/>
        <v>20</v>
      </c>
      <c r="B21" s="15" t="s">
        <v>137</v>
      </c>
      <c r="C21" s="15" t="s">
        <v>19</v>
      </c>
      <c r="D21" s="15">
        <v>27.0</v>
      </c>
      <c r="E21" s="15" t="s">
        <v>4369</v>
      </c>
      <c r="F21" s="15" t="s">
        <v>5564</v>
      </c>
      <c r="G21" s="15" t="s">
        <v>2660</v>
      </c>
      <c r="H21" s="15">
        <v>0.0</v>
      </c>
      <c r="I21" s="15" t="s">
        <v>28</v>
      </c>
      <c r="J21" s="15" t="s">
        <v>22</v>
      </c>
      <c r="K21" s="15" t="s">
        <v>1150</v>
      </c>
      <c r="L21" s="15" t="s">
        <v>1803</v>
      </c>
      <c r="M21" s="16">
        <v>0.0</v>
      </c>
      <c r="N21" s="16">
        <v>0.25</v>
      </c>
      <c r="O21" s="16">
        <v>0.25</v>
      </c>
      <c r="P21" s="17">
        <v>45324.0</v>
      </c>
      <c r="Q21" s="18">
        <v>1.85</v>
      </c>
      <c r="R21" s="15" t="s">
        <v>25</v>
      </c>
      <c r="S21" s="19">
        <f t="shared" si="1"/>
        <v>-0.25</v>
      </c>
      <c r="T21" s="19">
        <f t="shared" si="4"/>
        <v>0.78565</v>
      </c>
      <c r="V21" s="17">
        <v>45342.0</v>
      </c>
      <c r="W21" s="13">
        <f t="shared" si="2"/>
        <v>1.0075</v>
      </c>
    </row>
    <row r="22">
      <c r="A22" s="8">
        <f t="shared" si="3"/>
        <v>21</v>
      </c>
      <c r="B22" s="8" t="s">
        <v>137</v>
      </c>
      <c r="C22" s="8" t="s">
        <v>19</v>
      </c>
      <c r="D22" s="8">
        <v>36.0</v>
      </c>
      <c r="E22" s="8" t="s">
        <v>4370</v>
      </c>
      <c r="F22" s="8" t="s">
        <v>5565</v>
      </c>
      <c r="G22" s="8" t="s">
        <v>2660</v>
      </c>
      <c r="H22" s="8">
        <v>0.0</v>
      </c>
      <c r="I22" s="8" t="s">
        <v>28</v>
      </c>
      <c r="J22" s="8" t="s">
        <v>22</v>
      </c>
      <c r="K22" s="8" t="s">
        <v>1150</v>
      </c>
      <c r="L22" s="8" t="s">
        <v>24</v>
      </c>
      <c r="M22" s="9">
        <v>0.0</v>
      </c>
      <c r="N22" s="9">
        <v>0.25</v>
      </c>
      <c r="O22" s="9">
        <v>0.25</v>
      </c>
      <c r="P22" s="10">
        <v>45324.0</v>
      </c>
      <c r="Q22" s="11">
        <v>2.0</v>
      </c>
      <c r="R22" s="8" t="s">
        <v>33</v>
      </c>
      <c r="S22" s="12">
        <f t="shared" si="1"/>
        <v>0.25</v>
      </c>
      <c r="T22" s="12">
        <f t="shared" si="4"/>
        <v>1.03565</v>
      </c>
      <c r="V22" s="10">
        <v>45343.0</v>
      </c>
      <c r="W22" s="13">
        <f t="shared" si="2"/>
        <v>-0.9378571429</v>
      </c>
    </row>
    <row r="23">
      <c r="A23" s="15">
        <f t="shared" si="3"/>
        <v>22</v>
      </c>
      <c r="B23" s="15" t="s">
        <v>26</v>
      </c>
      <c r="C23" s="15" t="s">
        <v>19</v>
      </c>
      <c r="D23" s="15">
        <v>61.0</v>
      </c>
      <c r="E23" s="15" t="s">
        <v>4371</v>
      </c>
      <c r="F23" s="15" t="s">
        <v>5565</v>
      </c>
      <c r="G23" s="15" t="s">
        <v>2556</v>
      </c>
      <c r="H23" s="15">
        <v>0.0</v>
      </c>
      <c r="I23" s="15" t="s">
        <v>28</v>
      </c>
      <c r="J23" s="15" t="s">
        <v>22</v>
      </c>
      <c r="K23" s="15" t="s">
        <v>225</v>
      </c>
      <c r="L23" s="15" t="s">
        <v>24</v>
      </c>
      <c r="M23" s="16">
        <v>0.75</v>
      </c>
      <c r="N23" s="16">
        <v>0.5</v>
      </c>
      <c r="O23" s="16">
        <v>0.468</v>
      </c>
      <c r="P23" s="17">
        <v>45324.0</v>
      </c>
      <c r="Q23" s="18">
        <v>1.64</v>
      </c>
      <c r="R23" s="15" t="s">
        <v>33</v>
      </c>
      <c r="S23" s="19">
        <f t="shared" si="1"/>
        <v>0.29952</v>
      </c>
      <c r="T23" s="19">
        <f t="shared" si="4"/>
        <v>1.33517</v>
      </c>
      <c r="V23" s="17">
        <v>45344.0</v>
      </c>
      <c r="W23" s="13">
        <f t="shared" si="2"/>
        <v>1.8075</v>
      </c>
    </row>
    <row r="24">
      <c r="A24" s="8">
        <f t="shared" si="3"/>
        <v>23</v>
      </c>
      <c r="B24" s="8" t="s">
        <v>26</v>
      </c>
      <c r="C24" s="8" t="s">
        <v>19</v>
      </c>
      <c r="D24" s="8">
        <v>64.0</v>
      </c>
      <c r="E24" s="8" t="s">
        <v>4372</v>
      </c>
      <c r="F24" s="8" t="s">
        <v>5565</v>
      </c>
      <c r="G24" s="8" t="s">
        <v>2556</v>
      </c>
      <c r="H24" s="8">
        <v>0.0</v>
      </c>
      <c r="I24" s="8" t="s">
        <v>28</v>
      </c>
      <c r="J24" s="8" t="s">
        <v>22</v>
      </c>
      <c r="K24" s="8" t="s">
        <v>4352</v>
      </c>
      <c r="L24" s="8" t="s">
        <v>24</v>
      </c>
      <c r="M24" s="9">
        <v>0.0</v>
      </c>
      <c r="N24" s="9">
        <v>0.5</v>
      </c>
      <c r="O24" s="9">
        <v>0.5</v>
      </c>
      <c r="P24" s="10">
        <v>45324.0</v>
      </c>
      <c r="Q24" s="11">
        <v>1.05</v>
      </c>
      <c r="R24" s="8" t="s">
        <v>33</v>
      </c>
      <c r="S24" s="12">
        <f t="shared" si="1"/>
        <v>0.025</v>
      </c>
      <c r="T24" s="12">
        <f t="shared" si="4"/>
        <v>1.36017</v>
      </c>
      <c r="V24" s="10">
        <v>45345.0</v>
      </c>
      <c r="W24" s="13">
        <f t="shared" si="2"/>
        <v>0.9375</v>
      </c>
    </row>
    <row r="25">
      <c r="A25" s="15">
        <f t="shared" si="3"/>
        <v>24</v>
      </c>
      <c r="B25" s="15" t="s">
        <v>4225</v>
      </c>
      <c r="C25" s="15" t="s">
        <v>19</v>
      </c>
      <c r="D25" s="15">
        <v>0.0</v>
      </c>
      <c r="E25" s="15" t="s">
        <v>4373</v>
      </c>
      <c r="F25" s="15" t="s">
        <v>5565</v>
      </c>
      <c r="G25" s="15" t="s">
        <v>2573</v>
      </c>
      <c r="H25" s="15">
        <v>0.0</v>
      </c>
      <c r="I25" s="15" t="s">
        <v>401</v>
      </c>
      <c r="J25" s="15" t="s">
        <v>22</v>
      </c>
      <c r="K25" s="15" t="s">
        <v>894</v>
      </c>
      <c r="L25" s="15" t="s">
        <v>1851</v>
      </c>
      <c r="M25" s="16">
        <v>-0.25</v>
      </c>
      <c r="N25" s="16">
        <v>0.1</v>
      </c>
      <c r="O25" s="16">
        <v>0.1</v>
      </c>
      <c r="P25" s="17">
        <v>45324.0</v>
      </c>
      <c r="Q25" s="18">
        <v>1.75</v>
      </c>
      <c r="R25" s="15" t="s">
        <v>33</v>
      </c>
      <c r="S25" s="19">
        <f t="shared" si="1"/>
        <v>0.075</v>
      </c>
      <c r="T25" s="19">
        <f t="shared" si="4"/>
        <v>1.43517</v>
      </c>
      <c r="V25" s="17">
        <v>45346.0</v>
      </c>
      <c r="W25" s="13">
        <f t="shared" si="2"/>
        <v>2.8075</v>
      </c>
    </row>
    <row r="26">
      <c r="A26" s="8">
        <f t="shared" si="3"/>
        <v>25</v>
      </c>
      <c r="B26" s="8" t="s">
        <v>26</v>
      </c>
      <c r="C26" s="8" t="s">
        <v>19</v>
      </c>
      <c r="D26" s="8">
        <v>70.0</v>
      </c>
      <c r="E26" s="8" t="s">
        <v>4374</v>
      </c>
      <c r="F26" s="8" t="s">
        <v>5565</v>
      </c>
      <c r="G26" s="8" t="s">
        <v>2660</v>
      </c>
      <c r="H26" s="8">
        <v>0.0</v>
      </c>
      <c r="I26" s="8" t="s">
        <v>88</v>
      </c>
      <c r="J26" s="8" t="s">
        <v>22</v>
      </c>
      <c r="K26" s="8" t="s">
        <v>892</v>
      </c>
      <c r="L26" s="8" t="s">
        <v>24</v>
      </c>
      <c r="M26" s="9">
        <v>0.0</v>
      </c>
      <c r="N26" s="9">
        <v>0.75</v>
      </c>
      <c r="O26" s="9">
        <v>0.6</v>
      </c>
      <c r="P26" s="10">
        <v>45325.0</v>
      </c>
      <c r="Q26" s="11">
        <v>1.9</v>
      </c>
      <c r="R26" s="8" t="s">
        <v>70</v>
      </c>
      <c r="S26" s="12">
        <f t="shared" si="1"/>
        <v>0</v>
      </c>
      <c r="T26" s="12">
        <f t="shared" si="4"/>
        <v>1.43517</v>
      </c>
      <c r="V26" s="10">
        <v>45347.0</v>
      </c>
      <c r="W26" s="13">
        <f t="shared" si="2"/>
        <v>-0.09375</v>
      </c>
    </row>
    <row r="27">
      <c r="A27" s="15">
        <f t="shared" si="3"/>
        <v>26</v>
      </c>
      <c r="B27" s="15" t="s">
        <v>26</v>
      </c>
      <c r="C27" s="15" t="s">
        <v>19</v>
      </c>
      <c r="D27" s="15">
        <v>70.0</v>
      </c>
      <c r="E27" s="15" t="s">
        <v>4375</v>
      </c>
      <c r="F27" s="15" t="s">
        <v>5564</v>
      </c>
      <c r="G27" s="15" t="s">
        <v>2660</v>
      </c>
      <c r="H27" s="15">
        <v>0.0</v>
      </c>
      <c r="I27" s="15" t="s">
        <v>28</v>
      </c>
      <c r="J27" s="15" t="s">
        <v>22</v>
      </c>
      <c r="K27" s="15" t="s">
        <v>892</v>
      </c>
      <c r="L27" s="15" t="s">
        <v>24</v>
      </c>
      <c r="M27" s="16">
        <v>0.0</v>
      </c>
      <c r="N27" s="16">
        <v>1.0</v>
      </c>
      <c r="O27" s="16">
        <v>1.0</v>
      </c>
      <c r="P27" s="17">
        <v>45325.0</v>
      </c>
      <c r="Q27" s="18">
        <v>1.875</v>
      </c>
      <c r="R27" s="15" t="s">
        <v>70</v>
      </c>
      <c r="S27" s="19">
        <f t="shared" si="1"/>
        <v>0</v>
      </c>
      <c r="T27" s="19">
        <f t="shared" si="4"/>
        <v>1.43517</v>
      </c>
      <c r="V27" s="17">
        <v>45348.0</v>
      </c>
      <c r="W27" s="13">
        <f t="shared" si="2"/>
        <v>0</v>
      </c>
    </row>
    <row r="28">
      <c r="A28" s="8">
        <f t="shared" si="3"/>
        <v>27</v>
      </c>
      <c r="B28" s="8" t="s">
        <v>137</v>
      </c>
      <c r="C28" s="8" t="s">
        <v>19</v>
      </c>
      <c r="D28" s="8">
        <v>75.0</v>
      </c>
      <c r="E28" s="8" t="s">
        <v>4376</v>
      </c>
      <c r="F28" s="8" t="s">
        <v>5565</v>
      </c>
      <c r="G28" s="8" t="s">
        <v>2660</v>
      </c>
      <c r="H28" s="8">
        <v>0.0</v>
      </c>
      <c r="I28" s="8" t="s">
        <v>28</v>
      </c>
      <c r="J28" s="8" t="s">
        <v>22</v>
      </c>
      <c r="K28" s="8" t="s">
        <v>892</v>
      </c>
      <c r="L28" s="8" t="s">
        <v>24</v>
      </c>
      <c r="M28" s="9">
        <v>0.0</v>
      </c>
      <c r="N28" s="9">
        <v>1.0</v>
      </c>
      <c r="O28" s="9">
        <v>0.5</v>
      </c>
      <c r="P28" s="10">
        <v>45325.0</v>
      </c>
      <c r="Q28" s="11">
        <v>1.675</v>
      </c>
      <c r="R28" s="8" t="s">
        <v>70</v>
      </c>
      <c r="S28" s="12">
        <f t="shared" si="1"/>
        <v>0</v>
      </c>
      <c r="T28" s="12">
        <f t="shared" si="4"/>
        <v>1.43517</v>
      </c>
      <c r="V28" s="10">
        <v>45349.0</v>
      </c>
      <c r="W28" s="13">
        <f t="shared" si="2"/>
        <v>-0.68875</v>
      </c>
    </row>
    <row r="29">
      <c r="A29" s="15">
        <f t="shared" si="3"/>
        <v>28</v>
      </c>
      <c r="B29" s="15" t="s">
        <v>129</v>
      </c>
      <c r="C29" s="15" t="s">
        <v>19</v>
      </c>
      <c r="D29" s="15">
        <v>28.0</v>
      </c>
      <c r="E29" s="15" t="s">
        <v>4377</v>
      </c>
      <c r="F29" s="15" t="s">
        <v>5564</v>
      </c>
      <c r="G29" s="15" t="s">
        <v>2556</v>
      </c>
      <c r="H29" s="15">
        <v>0.0</v>
      </c>
      <c r="I29" s="15" t="s">
        <v>167</v>
      </c>
      <c r="J29" s="15" t="s">
        <v>22</v>
      </c>
      <c r="K29" s="15" t="s">
        <v>225</v>
      </c>
      <c r="L29" s="15" t="s">
        <v>1522</v>
      </c>
      <c r="M29" s="16">
        <v>0.5</v>
      </c>
      <c r="N29" s="16">
        <v>0.5</v>
      </c>
      <c r="O29" s="16">
        <v>0.5</v>
      </c>
      <c r="P29" s="17">
        <v>45325.0</v>
      </c>
      <c r="Q29" s="18">
        <v>1.75</v>
      </c>
      <c r="R29" s="15" t="s">
        <v>33</v>
      </c>
      <c r="S29" s="19">
        <f t="shared" si="1"/>
        <v>0.375</v>
      </c>
      <c r="T29" s="19">
        <f t="shared" si="4"/>
        <v>1.81017</v>
      </c>
      <c r="V29" s="17">
        <v>45350.0</v>
      </c>
      <c r="W29" s="13">
        <f t="shared" si="2"/>
        <v>1.405275</v>
      </c>
    </row>
    <row r="30">
      <c r="A30" s="8">
        <f t="shared" si="3"/>
        <v>29</v>
      </c>
      <c r="B30" s="8" t="s">
        <v>26</v>
      </c>
      <c r="C30" s="8" t="s">
        <v>40</v>
      </c>
      <c r="D30" s="8">
        <v>30.0</v>
      </c>
      <c r="E30" s="8" t="s">
        <v>4378</v>
      </c>
      <c r="F30" s="8" t="s">
        <v>5565</v>
      </c>
      <c r="G30" s="8" t="s">
        <v>2556</v>
      </c>
      <c r="H30" s="8">
        <f>1</f>
        <v>1</v>
      </c>
      <c r="I30" s="8" t="s">
        <v>106</v>
      </c>
      <c r="J30" s="8" t="s">
        <v>22</v>
      </c>
      <c r="K30" s="8" t="s">
        <v>1847</v>
      </c>
      <c r="L30" s="8" t="s">
        <v>24</v>
      </c>
      <c r="M30" s="9">
        <v>0.5</v>
      </c>
      <c r="N30" s="9">
        <v>0.75</v>
      </c>
      <c r="O30" s="9">
        <v>0.55</v>
      </c>
      <c r="P30" s="10">
        <v>45325.0</v>
      </c>
      <c r="Q30" s="11">
        <v>1.775</v>
      </c>
      <c r="R30" s="8" t="s">
        <v>33</v>
      </c>
      <c r="S30" s="12">
        <f t="shared" si="1"/>
        <v>0.42625</v>
      </c>
      <c r="T30" s="12">
        <f t="shared" si="4"/>
        <v>2.23642</v>
      </c>
      <c r="V30" s="10">
        <v>45351.0</v>
      </c>
      <c r="W30" s="13">
        <f t="shared" si="2"/>
        <v>0.2987</v>
      </c>
    </row>
    <row r="31">
      <c r="A31" s="15">
        <f t="shared" si="3"/>
        <v>30</v>
      </c>
      <c r="B31" s="15" t="s">
        <v>18</v>
      </c>
      <c r="C31" s="15" t="s">
        <v>40</v>
      </c>
      <c r="D31" s="15">
        <v>58.0</v>
      </c>
      <c r="E31" s="15" t="s">
        <v>4379</v>
      </c>
      <c r="F31" s="15" t="s">
        <v>5564</v>
      </c>
      <c r="G31" s="15" t="s">
        <v>2660</v>
      </c>
      <c r="H31" s="15">
        <v>-2.0</v>
      </c>
      <c r="I31" s="15" t="s">
        <v>48</v>
      </c>
      <c r="J31" s="15" t="s">
        <v>22</v>
      </c>
      <c r="K31" s="15" t="s">
        <v>892</v>
      </c>
      <c r="L31" s="15" t="s">
        <v>24</v>
      </c>
      <c r="M31" s="16">
        <v>0.0</v>
      </c>
      <c r="N31" s="16">
        <v>1.0</v>
      </c>
      <c r="O31" s="16">
        <v>0.98</v>
      </c>
      <c r="P31" s="17">
        <v>45325.0</v>
      </c>
      <c r="Q31" s="18">
        <v>1.95</v>
      </c>
      <c r="R31" s="15" t="s">
        <v>70</v>
      </c>
      <c r="S31" s="19">
        <f t="shared" si="1"/>
        <v>0</v>
      </c>
      <c r="T31" s="19">
        <f t="shared" si="4"/>
        <v>2.23642</v>
      </c>
      <c r="V31" s="17"/>
      <c r="W31" s="13">
        <f t="shared" si="2"/>
        <v>0</v>
      </c>
    </row>
    <row r="32">
      <c r="A32" s="8">
        <f t="shared" si="3"/>
        <v>31</v>
      </c>
      <c r="B32" s="8" t="s">
        <v>4225</v>
      </c>
      <c r="C32" s="8" t="s">
        <v>19</v>
      </c>
      <c r="D32" s="8">
        <v>70.0</v>
      </c>
      <c r="E32" s="8" t="s">
        <v>4380</v>
      </c>
      <c r="F32" s="8" t="s">
        <v>5565</v>
      </c>
      <c r="G32" s="8" t="s">
        <v>2660</v>
      </c>
      <c r="H32" s="8" t="s">
        <v>4381</v>
      </c>
      <c r="I32" s="8" t="s">
        <v>1493</v>
      </c>
      <c r="J32" s="8" t="s">
        <v>22</v>
      </c>
      <c r="K32" s="8" t="s">
        <v>892</v>
      </c>
      <c r="L32" s="8" t="s">
        <v>24</v>
      </c>
      <c r="M32" s="9">
        <v>0.0</v>
      </c>
      <c r="N32" s="9">
        <v>0.5</v>
      </c>
      <c r="O32" s="9">
        <v>0.5</v>
      </c>
      <c r="P32" s="10">
        <v>45325.0</v>
      </c>
      <c r="Q32" s="11">
        <v>1.75</v>
      </c>
      <c r="R32" s="8" t="s">
        <v>70</v>
      </c>
      <c r="S32" s="12">
        <f t="shared" si="1"/>
        <v>0</v>
      </c>
      <c r="T32" s="12">
        <f t="shared" si="4"/>
        <v>2.23642</v>
      </c>
      <c r="V32" s="10"/>
      <c r="W32" s="13">
        <f t="shared" si="2"/>
        <v>0</v>
      </c>
    </row>
    <row r="33">
      <c r="A33" s="15">
        <f t="shared" si="3"/>
        <v>32</v>
      </c>
      <c r="B33" s="15" t="s">
        <v>26</v>
      </c>
      <c r="C33" s="15" t="s">
        <v>19</v>
      </c>
      <c r="D33" s="15">
        <v>45.0</v>
      </c>
      <c r="E33" s="15" t="s">
        <v>4382</v>
      </c>
      <c r="F33" s="15" t="s">
        <v>5564</v>
      </c>
      <c r="G33" s="15" t="s">
        <v>2556</v>
      </c>
      <c r="H33" s="15">
        <v>-2.0</v>
      </c>
      <c r="I33" s="15" t="s">
        <v>121</v>
      </c>
      <c r="J33" s="15" t="s">
        <v>22</v>
      </c>
      <c r="K33" s="15" t="s">
        <v>225</v>
      </c>
      <c r="L33" s="15" t="s">
        <v>1522</v>
      </c>
      <c r="M33" s="16">
        <v>0.25</v>
      </c>
      <c r="N33" s="16">
        <v>0.5</v>
      </c>
      <c r="O33" s="16">
        <v>0.5</v>
      </c>
      <c r="P33" s="17">
        <v>45325.0</v>
      </c>
      <c r="Q33" s="18">
        <v>1.021</v>
      </c>
      <c r="R33" s="15" t="s">
        <v>33</v>
      </c>
      <c r="S33" s="19">
        <f t="shared" si="1"/>
        <v>0.0105</v>
      </c>
      <c r="T33" s="19">
        <f t="shared" si="4"/>
        <v>2.24692</v>
      </c>
      <c r="V33" s="184" t="s">
        <v>89</v>
      </c>
      <c r="W33" s="28">
        <f>SUM(W2:W32)</f>
        <v>14.10722286</v>
      </c>
    </row>
    <row r="34">
      <c r="A34" s="8">
        <f t="shared" si="3"/>
        <v>33</v>
      </c>
      <c r="B34" s="8" t="s">
        <v>129</v>
      </c>
      <c r="C34" s="8" t="s">
        <v>19</v>
      </c>
      <c r="D34" s="8">
        <v>63.0</v>
      </c>
      <c r="E34" s="8" t="s">
        <v>4383</v>
      </c>
      <c r="F34" s="8" t="s">
        <v>5564</v>
      </c>
      <c r="G34" s="8" t="s">
        <v>2660</v>
      </c>
      <c r="H34" s="8">
        <v>0.0</v>
      </c>
      <c r="I34" s="8" t="s">
        <v>4354</v>
      </c>
      <c r="J34" s="8" t="s">
        <v>22</v>
      </c>
      <c r="K34" s="8" t="s">
        <v>892</v>
      </c>
      <c r="L34" s="8" t="s">
        <v>24</v>
      </c>
      <c r="M34" s="9">
        <v>0.0</v>
      </c>
      <c r="N34" s="9">
        <v>0.5</v>
      </c>
      <c r="O34" s="9">
        <v>0.5</v>
      </c>
      <c r="P34" s="10">
        <v>45325.0</v>
      </c>
      <c r="Q34" s="11">
        <v>2.5</v>
      </c>
      <c r="R34" s="8" t="s">
        <v>70</v>
      </c>
      <c r="S34" s="12">
        <f t="shared" si="1"/>
        <v>0</v>
      </c>
      <c r="T34" s="12">
        <f t="shared" si="4"/>
        <v>2.24692</v>
      </c>
      <c r="V34" s="29"/>
    </row>
    <row r="35">
      <c r="A35" s="15">
        <f t="shared" si="3"/>
        <v>34</v>
      </c>
      <c r="B35" s="15" t="s">
        <v>129</v>
      </c>
      <c r="C35" s="15" t="s">
        <v>19</v>
      </c>
      <c r="D35" s="15">
        <v>61.0</v>
      </c>
      <c r="E35" s="15" t="s">
        <v>4384</v>
      </c>
      <c r="F35" s="15" t="s">
        <v>5564</v>
      </c>
      <c r="G35" s="15" t="s">
        <v>2660</v>
      </c>
      <c r="H35" s="15">
        <f>1</f>
        <v>1</v>
      </c>
      <c r="I35" s="15" t="s">
        <v>121</v>
      </c>
      <c r="J35" s="15" t="s">
        <v>22</v>
      </c>
      <c r="K35" s="15" t="s">
        <v>892</v>
      </c>
      <c r="L35" s="15" t="s">
        <v>39</v>
      </c>
      <c r="M35" s="16">
        <v>0.0</v>
      </c>
      <c r="N35" s="16">
        <v>0.1</v>
      </c>
      <c r="O35" s="16">
        <v>0.1</v>
      </c>
      <c r="P35" s="17">
        <v>45325.0</v>
      </c>
      <c r="Q35" s="18">
        <v>1.75</v>
      </c>
      <c r="R35" s="15" t="s">
        <v>70</v>
      </c>
      <c r="S35" s="19">
        <f t="shared" si="1"/>
        <v>0</v>
      </c>
      <c r="T35" s="19">
        <f t="shared" si="4"/>
        <v>2.24692</v>
      </c>
      <c r="V35" s="30"/>
    </row>
    <row r="36">
      <c r="A36" s="8">
        <f t="shared" si="3"/>
        <v>35</v>
      </c>
      <c r="B36" s="8" t="s">
        <v>26</v>
      </c>
      <c r="C36" s="8" t="s">
        <v>19</v>
      </c>
      <c r="D36" s="8">
        <v>55.0</v>
      </c>
      <c r="E36" s="8" t="s">
        <v>4385</v>
      </c>
      <c r="F36" s="8" t="s">
        <v>5565</v>
      </c>
      <c r="G36" s="8" t="s">
        <v>2660</v>
      </c>
      <c r="H36" s="8">
        <v>2</v>
      </c>
      <c r="I36" s="8" t="s">
        <v>28</v>
      </c>
      <c r="J36" s="8" t="s">
        <v>22</v>
      </c>
      <c r="K36" s="8" t="s">
        <v>892</v>
      </c>
      <c r="L36" s="8" t="s">
        <v>24</v>
      </c>
      <c r="M36" s="9">
        <v>0.0</v>
      </c>
      <c r="N36" s="9">
        <v>0.75</v>
      </c>
      <c r="O36" s="9">
        <v>0.25</v>
      </c>
      <c r="P36" s="10">
        <v>45325.0</v>
      </c>
      <c r="Q36" s="11">
        <v>1.8</v>
      </c>
      <c r="R36" s="8" t="s">
        <v>33</v>
      </c>
      <c r="S36" s="12">
        <f t="shared" si="1"/>
        <v>0.2</v>
      </c>
      <c r="T36" s="12">
        <f t="shared" si="4"/>
        <v>2.44692</v>
      </c>
      <c r="V36" s="30"/>
    </row>
    <row r="37">
      <c r="A37" s="15">
        <f t="shared" si="3"/>
        <v>36</v>
      </c>
      <c r="B37" s="15" t="s">
        <v>137</v>
      </c>
      <c r="C37" s="15" t="s">
        <v>19</v>
      </c>
      <c r="D37" s="15">
        <v>70.0</v>
      </c>
      <c r="E37" s="15" t="s">
        <v>4386</v>
      </c>
      <c r="F37" s="15" t="s">
        <v>5565</v>
      </c>
      <c r="G37" s="15" t="s">
        <v>2556</v>
      </c>
      <c r="H37" s="15">
        <f>1</f>
        <v>1</v>
      </c>
      <c r="I37" s="15" t="s">
        <v>273</v>
      </c>
      <c r="J37" s="15" t="s">
        <v>22</v>
      </c>
      <c r="K37" s="15" t="s">
        <v>225</v>
      </c>
      <c r="L37" s="15" t="s">
        <v>24</v>
      </c>
      <c r="M37" s="16">
        <v>0.25</v>
      </c>
      <c r="N37" s="16">
        <v>0.75</v>
      </c>
      <c r="O37" s="16">
        <v>0.75</v>
      </c>
      <c r="P37" s="17">
        <v>45326.0</v>
      </c>
      <c r="Q37" s="18">
        <v>1.7</v>
      </c>
      <c r="R37" s="15" t="s">
        <v>30</v>
      </c>
      <c r="S37" s="19">
        <f t="shared" si="1"/>
        <v>0.2625</v>
      </c>
      <c r="T37" s="19">
        <f t="shared" si="4"/>
        <v>2.70942</v>
      </c>
      <c r="V37" s="30"/>
    </row>
    <row r="38">
      <c r="A38" s="8">
        <f t="shared" si="3"/>
        <v>37</v>
      </c>
      <c r="B38" s="8" t="s">
        <v>129</v>
      </c>
      <c r="C38" s="8" t="s">
        <v>19</v>
      </c>
      <c r="D38" s="8">
        <v>65.0</v>
      </c>
      <c r="E38" s="8" t="s">
        <v>4387</v>
      </c>
      <c r="F38" s="8" t="s">
        <v>5564</v>
      </c>
      <c r="G38" s="8" t="s">
        <v>2556</v>
      </c>
      <c r="H38" s="8">
        <v>-1.0</v>
      </c>
      <c r="I38" s="8" t="s">
        <v>875</v>
      </c>
      <c r="J38" s="8" t="s">
        <v>22</v>
      </c>
      <c r="K38" s="8" t="s">
        <v>225</v>
      </c>
      <c r="L38" s="8" t="s">
        <v>24</v>
      </c>
      <c r="M38" s="9">
        <v>0.25</v>
      </c>
      <c r="N38" s="9">
        <v>0.5</v>
      </c>
      <c r="O38" s="9">
        <v>0.5</v>
      </c>
      <c r="P38" s="10">
        <v>45326.0</v>
      </c>
      <c r="Q38" s="11">
        <v>1.7</v>
      </c>
      <c r="R38" s="8" t="s">
        <v>30</v>
      </c>
      <c r="S38" s="12">
        <f t="shared" si="1"/>
        <v>0.175</v>
      </c>
      <c r="T38" s="12">
        <f t="shared" si="4"/>
        <v>2.88442</v>
      </c>
      <c r="V38" s="30"/>
    </row>
    <row r="39">
      <c r="A39" s="15">
        <f t="shared" si="3"/>
        <v>38</v>
      </c>
      <c r="B39" s="15" t="s">
        <v>137</v>
      </c>
      <c r="C39" s="15" t="s">
        <v>40</v>
      </c>
      <c r="D39" s="15">
        <v>69.0</v>
      </c>
      <c r="E39" s="15" t="s">
        <v>4388</v>
      </c>
      <c r="F39" s="15" t="s">
        <v>5565</v>
      </c>
      <c r="G39" s="15" t="s">
        <v>2660</v>
      </c>
      <c r="H39" s="15">
        <v>-1.0</v>
      </c>
      <c r="I39" s="15" t="s">
        <v>93</v>
      </c>
      <c r="J39" s="15" t="s">
        <v>22</v>
      </c>
      <c r="K39" s="15" t="s">
        <v>892</v>
      </c>
      <c r="L39" s="15" t="s">
        <v>39</v>
      </c>
      <c r="M39" s="16">
        <v>0.0</v>
      </c>
      <c r="N39" s="16">
        <v>0.5</v>
      </c>
      <c r="O39" s="16">
        <v>0.5</v>
      </c>
      <c r="P39" s="17">
        <v>45326.0</v>
      </c>
      <c r="Q39" s="18">
        <v>1.95</v>
      </c>
      <c r="R39" s="15" t="s">
        <v>70</v>
      </c>
      <c r="S39" s="19">
        <f t="shared" si="1"/>
        <v>0</v>
      </c>
      <c r="T39" s="19">
        <f t="shared" si="4"/>
        <v>2.88442</v>
      </c>
      <c r="V39" s="30"/>
    </row>
    <row r="40">
      <c r="A40" s="8">
        <f t="shared" si="3"/>
        <v>39</v>
      </c>
      <c r="B40" s="8" t="s">
        <v>4225</v>
      </c>
      <c r="C40" s="8" t="s">
        <v>19</v>
      </c>
      <c r="D40" s="8">
        <v>45.0</v>
      </c>
      <c r="E40" s="8" t="s">
        <v>4389</v>
      </c>
      <c r="F40" s="8" t="s">
        <v>5564</v>
      </c>
      <c r="G40" s="8" t="s">
        <v>2556</v>
      </c>
      <c r="H40" s="8">
        <v>0.0</v>
      </c>
      <c r="I40" s="8" t="s">
        <v>174</v>
      </c>
      <c r="J40" s="8" t="s">
        <v>22</v>
      </c>
      <c r="K40" s="8" t="s">
        <v>225</v>
      </c>
      <c r="L40" s="8" t="s">
        <v>24</v>
      </c>
      <c r="M40" s="9">
        <v>0.5</v>
      </c>
      <c r="N40" s="9">
        <v>0.25</v>
      </c>
      <c r="O40" s="9">
        <v>0.25</v>
      </c>
      <c r="P40" s="10">
        <v>45326.0</v>
      </c>
      <c r="Q40" s="11">
        <v>1.75</v>
      </c>
      <c r="R40" s="8" t="s">
        <v>33</v>
      </c>
      <c r="S40" s="12">
        <f t="shared" si="1"/>
        <v>0.1875</v>
      </c>
      <c r="T40" s="12">
        <f t="shared" si="4"/>
        <v>3.07192</v>
      </c>
      <c r="V40" s="30"/>
    </row>
    <row r="41">
      <c r="A41" s="15">
        <f t="shared" si="3"/>
        <v>40</v>
      </c>
      <c r="B41" s="15" t="s">
        <v>26</v>
      </c>
      <c r="C41" s="15" t="s">
        <v>19</v>
      </c>
      <c r="D41" s="15">
        <v>68.0</v>
      </c>
      <c r="E41" s="15" t="s">
        <v>4390</v>
      </c>
      <c r="F41" s="15" t="s">
        <v>5565</v>
      </c>
      <c r="G41" s="15" t="s">
        <v>2660</v>
      </c>
      <c r="H41" s="15">
        <v>0.0</v>
      </c>
      <c r="I41" s="15" t="s">
        <v>93</v>
      </c>
      <c r="J41" s="15" t="s">
        <v>22</v>
      </c>
      <c r="K41" s="15" t="s">
        <v>892</v>
      </c>
      <c r="L41" s="15" t="s">
        <v>24</v>
      </c>
      <c r="M41" s="16">
        <v>0.0</v>
      </c>
      <c r="N41" s="16">
        <v>0.75</v>
      </c>
      <c r="O41" s="16">
        <v>0.75</v>
      </c>
      <c r="P41" s="17">
        <v>45326.0</v>
      </c>
      <c r="Q41" s="18">
        <v>2.05</v>
      </c>
      <c r="R41" s="15" t="s">
        <v>70</v>
      </c>
      <c r="S41" s="19">
        <f t="shared" si="1"/>
        <v>0</v>
      </c>
      <c r="T41" s="19">
        <f t="shared" si="4"/>
        <v>3.07192</v>
      </c>
      <c r="V41" s="30"/>
    </row>
    <row r="42">
      <c r="A42" s="8">
        <f t="shared" si="3"/>
        <v>41</v>
      </c>
      <c r="B42" s="8" t="s">
        <v>26</v>
      </c>
      <c r="C42" s="8" t="s">
        <v>40</v>
      </c>
      <c r="D42" s="8">
        <v>43.0</v>
      </c>
      <c r="E42" s="8" t="s">
        <v>4391</v>
      </c>
      <c r="F42" s="8" t="s">
        <v>5565</v>
      </c>
      <c r="G42" s="8" t="s">
        <v>2556</v>
      </c>
      <c r="H42" s="8">
        <v>0.0</v>
      </c>
      <c r="I42" s="8" t="s">
        <v>106</v>
      </c>
      <c r="J42" s="8" t="s">
        <v>22</v>
      </c>
      <c r="K42" s="8" t="s">
        <v>4352</v>
      </c>
      <c r="L42" s="8" t="s">
        <v>24</v>
      </c>
      <c r="M42" s="9">
        <v>0.0</v>
      </c>
      <c r="N42" s="9">
        <v>0.1</v>
      </c>
      <c r="O42" s="9">
        <v>0.1</v>
      </c>
      <c r="P42" s="10">
        <v>45326.0</v>
      </c>
      <c r="Q42" s="11">
        <v>9.0</v>
      </c>
      <c r="R42" s="8" t="s">
        <v>70</v>
      </c>
      <c r="S42" s="12">
        <f t="shared" si="1"/>
        <v>0</v>
      </c>
      <c r="T42" s="12">
        <f t="shared" si="4"/>
        <v>3.07192</v>
      </c>
      <c r="V42" s="30"/>
    </row>
    <row r="43">
      <c r="A43" s="15">
        <f t="shared" si="3"/>
        <v>42</v>
      </c>
      <c r="B43" s="15" t="s">
        <v>26</v>
      </c>
      <c r="C43" s="15" t="s">
        <v>40</v>
      </c>
      <c r="D43" s="15">
        <v>43.0</v>
      </c>
      <c r="E43" s="15" t="s">
        <v>4392</v>
      </c>
      <c r="F43" s="15" t="s">
        <v>5565</v>
      </c>
      <c r="G43" s="15" t="s">
        <v>2556</v>
      </c>
      <c r="H43" s="15">
        <v>0.0</v>
      </c>
      <c r="I43" s="15" t="s">
        <v>106</v>
      </c>
      <c r="J43" s="15" t="s">
        <v>22</v>
      </c>
      <c r="K43" s="15" t="s">
        <v>1023</v>
      </c>
      <c r="L43" s="15" t="s">
        <v>24</v>
      </c>
      <c r="M43" s="16">
        <v>0.5</v>
      </c>
      <c r="N43" s="16">
        <v>0.3</v>
      </c>
      <c r="O43" s="16">
        <v>0.285</v>
      </c>
      <c r="P43" s="17">
        <v>45326.0</v>
      </c>
      <c r="Q43" s="18">
        <v>1.5</v>
      </c>
      <c r="R43" s="15" t="s">
        <v>33</v>
      </c>
      <c r="S43" s="19">
        <f t="shared" si="1"/>
        <v>0.1425</v>
      </c>
      <c r="T43" s="19">
        <f t="shared" si="4"/>
        <v>3.21442</v>
      </c>
      <c r="V43" s="30"/>
    </row>
    <row r="44">
      <c r="A44" s="8">
        <f t="shared" si="3"/>
        <v>43</v>
      </c>
      <c r="B44" s="8" t="s">
        <v>137</v>
      </c>
      <c r="C44" s="8" t="s">
        <v>19</v>
      </c>
      <c r="D44" s="8">
        <v>24.0</v>
      </c>
      <c r="E44" s="8" t="s">
        <v>4393</v>
      </c>
      <c r="F44" s="8" t="s">
        <v>5565</v>
      </c>
      <c r="G44" s="8" t="s">
        <v>2660</v>
      </c>
      <c r="H44" s="8">
        <v>0.0</v>
      </c>
      <c r="I44" s="8" t="s">
        <v>93</v>
      </c>
      <c r="J44" s="8" t="s">
        <v>22</v>
      </c>
      <c r="K44" s="8" t="s">
        <v>892</v>
      </c>
      <c r="L44" s="8" t="s">
        <v>24</v>
      </c>
      <c r="M44" s="9">
        <v>0.0</v>
      </c>
      <c r="N44" s="9">
        <v>1.0</v>
      </c>
      <c r="O44" s="9">
        <v>1.0</v>
      </c>
      <c r="P44" s="10">
        <v>45326.0</v>
      </c>
      <c r="Q44" s="11">
        <v>1.6908</v>
      </c>
      <c r="R44" s="8" t="s">
        <v>33</v>
      </c>
      <c r="S44" s="12">
        <f t="shared" si="1"/>
        <v>0.6908</v>
      </c>
      <c r="T44" s="12">
        <f t="shared" si="4"/>
        <v>3.90522</v>
      </c>
    </row>
    <row r="45">
      <c r="A45" s="15">
        <f t="shared" si="3"/>
        <v>44</v>
      </c>
      <c r="B45" s="15" t="s">
        <v>4225</v>
      </c>
      <c r="C45" s="15" t="s">
        <v>19</v>
      </c>
      <c r="D45" s="15">
        <v>58.0</v>
      </c>
      <c r="E45" s="15" t="s">
        <v>4394</v>
      </c>
      <c r="F45" s="15" t="s">
        <v>5565</v>
      </c>
      <c r="G45" s="15" t="s">
        <v>2660</v>
      </c>
      <c r="H45" s="15">
        <v>0.0</v>
      </c>
      <c r="I45" s="15" t="s">
        <v>68</v>
      </c>
      <c r="J45" s="15" t="s">
        <v>22</v>
      </c>
      <c r="K45" s="15" t="s">
        <v>892</v>
      </c>
      <c r="L45" s="15" t="s">
        <v>24</v>
      </c>
      <c r="M45" s="16">
        <v>0.0</v>
      </c>
      <c r="N45" s="16">
        <v>0.75</v>
      </c>
      <c r="O45" s="16">
        <v>0.75</v>
      </c>
      <c r="P45" s="17">
        <v>45326.0</v>
      </c>
      <c r="Q45" s="18">
        <v>1.975</v>
      </c>
      <c r="R45" s="15" t="s">
        <v>70</v>
      </c>
      <c r="S45" s="19">
        <f t="shared" si="1"/>
        <v>0</v>
      </c>
      <c r="T45" s="19">
        <f t="shared" si="4"/>
        <v>3.90522</v>
      </c>
    </row>
    <row r="46">
      <c r="A46" s="8">
        <f t="shared" si="3"/>
        <v>45</v>
      </c>
      <c r="B46" s="8" t="s">
        <v>4225</v>
      </c>
      <c r="C46" s="8" t="s">
        <v>40</v>
      </c>
      <c r="D46" s="8">
        <v>27.0</v>
      </c>
      <c r="E46" s="8" t="s">
        <v>4395</v>
      </c>
      <c r="F46" s="8" t="s">
        <v>5565</v>
      </c>
      <c r="G46" s="8" t="s">
        <v>2556</v>
      </c>
      <c r="H46" s="8">
        <f>1</f>
        <v>1</v>
      </c>
      <c r="I46" s="8" t="s">
        <v>187</v>
      </c>
      <c r="J46" s="8" t="s">
        <v>22</v>
      </c>
      <c r="K46" s="8" t="s">
        <v>225</v>
      </c>
      <c r="L46" s="8" t="s">
        <v>24</v>
      </c>
      <c r="M46" s="9">
        <v>0.75</v>
      </c>
      <c r="N46" s="9">
        <v>0.6</v>
      </c>
      <c r="O46" s="9">
        <v>0.565</v>
      </c>
      <c r="P46" s="10">
        <v>45328.0</v>
      </c>
      <c r="Q46" s="11">
        <v>1.275</v>
      </c>
      <c r="R46" s="8" t="s">
        <v>33</v>
      </c>
      <c r="S46" s="12">
        <f t="shared" si="1"/>
        <v>0.155375</v>
      </c>
      <c r="T46" s="12">
        <f t="shared" si="4"/>
        <v>4.060595</v>
      </c>
    </row>
    <row r="47">
      <c r="A47" s="15">
        <f t="shared" si="3"/>
        <v>46</v>
      </c>
      <c r="B47" s="15" t="s">
        <v>129</v>
      </c>
      <c r="C47" s="15" t="s">
        <v>40</v>
      </c>
      <c r="D47" s="15">
        <v>37.0</v>
      </c>
      <c r="E47" s="15" t="s">
        <v>4396</v>
      </c>
      <c r="F47" s="15" t="s">
        <v>5564</v>
      </c>
      <c r="G47" s="15" t="s">
        <v>2556</v>
      </c>
      <c r="H47" s="15">
        <v>0.0</v>
      </c>
      <c r="I47" s="15" t="s">
        <v>187</v>
      </c>
      <c r="J47" s="15" t="s">
        <v>22</v>
      </c>
      <c r="K47" s="15" t="s">
        <v>225</v>
      </c>
      <c r="L47" s="15" t="s">
        <v>24</v>
      </c>
      <c r="M47" s="16">
        <v>0.25</v>
      </c>
      <c r="N47" s="16">
        <v>0.4</v>
      </c>
      <c r="O47" s="16">
        <v>0.4</v>
      </c>
      <c r="P47" s="17">
        <v>45328.0</v>
      </c>
      <c r="Q47" s="18">
        <v>1.775</v>
      </c>
      <c r="R47" s="15" t="s">
        <v>33</v>
      </c>
      <c r="S47" s="19">
        <f t="shared" si="1"/>
        <v>0.31</v>
      </c>
      <c r="T47" s="19">
        <f t="shared" si="4"/>
        <v>4.370595</v>
      </c>
    </row>
    <row r="48">
      <c r="A48" s="8">
        <f t="shared" si="3"/>
        <v>47</v>
      </c>
      <c r="B48" s="8" t="s">
        <v>26</v>
      </c>
      <c r="C48" s="8" t="s">
        <v>19</v>
      </c>
      <c r="D48" s="8">
        <v>73.0</v>
      </c>
      <c r="E48" s="8" t="s">
        <v>4397</v>
      </c>
      <c r="F48" s="8" t="s">
        <v>5565</v>
      </c>
      <c r="G48" s="8" t="s">
        <v>2556</v>
      </c>
      <c r="H48" s="8">
        <v>0.0</v>
      </c>
      <c r="I48" s="8" t="s">
        <v>167</v>
      </c>
      <c r="J48" s="8" t="s">
        <v>22</v>
      </c>
      <c r="K48" s="8" t="s">
        <v>225</v>
      </c>
      <c r="L48" s="8" t="s">
        <v>24</v>
      </c>
      <c r="M48" s="9">
        <v>0.25</v>
      </c>
      <c r="N48" s="9">
        <v>0.25</v>
      </c>
      <c r="O48" s="9">
        <v>0.25</v>
      </c>
      <c r="P48" s="10">
        <v>45328.0</v>
      </c>
      <c r="Q48" s="11">
        <v>2.075</v>
      </c>
      <c r="R48" s="8" t="s">
        <v>30</v>
      </c>
      <c r="S48" s="12">
        <f t="shared" si="1"/>
        <v>0.134375</v>
      </c>
      <c r="T48" s="12">
        <f t="shared" si="4"/>
        <v>4.50497</v>
      </c>
    </row>
    <row r="49">
      <c r="A49" s="15">
        <f t="shared" si="3"/>
        <v>48</v>
      </c>
      <c r="B49" s="15" t="s">
        <v>129</v>
      </c>
      <c r="C49" s="15" t="s">
        <v>40</v>
      </c>
      <c r="D49" s="15">
        <v>51.0</v>
      </c>
      <c r="E49" s="15" t="s">
        <v>4398</v>
      </c>
      <c r="F49" s="15" t="s">
        <v>5564</v>
      </c>
      <c r="G49" s="15" t="s">
        <v>2660</v>
      </c>
      <c r="H49" s="15">
        <v>0.0</v>
      </c>
      <c r="I49" s="15" t="s">
        <v>187</v>
      </c>
      <c r="J49" s="15" t="s">
        <v>22</v>
      </c>
      <c r="K49" s="15" t="s">
        <v>892</v>
      </c>
      <c r="L49" s="15" t="s">
        <v>24</v>
      </c>
      <c r="M49" s="16">
        <v>0.0</v>
      </c>
      <c r="N49" s="16">
        <v>0.25</v>
      </c>
      <c r="O49" s="16">
        <v>0.25</v>
      </c>
      <c r="P49" s="17">
        <v>45328.0</v>
      </c>
      <c r="Q49" s="18">
        <v>1.7</v>
      </c>
      <c r="R49" s="15" t="s">
        <v>33</v>
      </c>
      <c r="S49" s="19">
        <f t="shared" si="1"/>
        <v>0.175</v>
      </c>
      <c r="T49" s="19">
        <f t="shared" si="4"/>
        <v>4.67997</v>
      </c>
    </row>
    <row r="50">
      <c r="A50" s="8">
        <f t="shared" si="3"/>
        <v>49</v>
      </c>
      <c r="B50" s="8" t="s">
        <v>26</v>
      </c>
      <c r="C50" s="8" t="s">
        <v>19</v>
      </c>
      <c r="D50" s="8">
        <v>11.0</v>
      </c>
      <c r="E50" s="8" t="s">
        <v>4399</v>
      </c>
      <c r="F50" s="8" t="s">
        <v>5565</v>
      </c>
      <c r="G50" s="8" t="s">
        <v>2556</v>
      </c>
      <c r="H50" s="8">
        <f>1</f>
        <v>1</v>
      </c>
      <c r="I50" s="8" t="s">
        <v>28</v>
      </c>
      <c r="J50" s="8" t="s">
        <v>22</v>
      </c>
      <c r="K50" s="8" t="s">
        <v>2725</v>
      </c>
      <c r="L50" s="8" t="s">
        <v>4400</v>
      </c>
      <c r="M50" s="9">
        <v>0.5</v>
      </c>
      <c r="N50" s="9">
        <v>0.4</v>
      </c>
      <c r="O50" s="9">
        <v>0.4</v>
      </c>
      <c r="P50" s="10">
        <v>45328.0</v>
      </c>
      <c r="Q50" s="11">
        <v>1.725</v>
      </c>
      <c r="R50" s="8" t="s">
        <v>25</v>
      </c>
      <c r="S50" s="12">
        <f t="shared" si="1"/>
        <v>-0.4</v>
      </c>
      <c r="T50" s="12">
        <f t="shared" si="4"/>
        <v>4.27997</v>
      </c>
      <c r="U50" s="40"/>
      <c r="V50" s="41" t="s">
        <v>125</v>
      </c>
      <c r="W50" s="41" t="s">
        <v>126</v>
      </c>
      <c r="X50" s="41" t="s">
        <v>45</v>
      </c>
    </row>
    <row r="51">
      <c r="A51" s="15">
        <f t="shared" si="3"/>
        <v>50</v>
      </c>
      <c r="B51" s="15" t="s">
        <v>129</v>
      </c>
      <c r="C51" s="15" t="s">
        <v>19</v>
      </c>
      <c r="D51" s="15">
        <v>59.0</v>
      </c>
      <c r="E51" s="15" t="s">
        <v>4401</v>
      </c>
      <c r="F51" s="15" t="s">
        <v>5565</v>
      </c>
      <c r="G51" s="15" t="s">
        <v>2660</v>
      </c>
      <c r="H51" s="15">
        <v>0.0</v>
      </c>
      <c r="I51" s="15" t="s">
        <v>167</v>
      </c>
      <c r="J51" s="15" t="s">
        <v>22</v>
      </c>
      <c r="K51" s="15" t="s">
        <v>892</v>
      </c>
      <c r="L51" s="15" t="s">
        <v>24</v>
      </c>
      <c r="M51" s="16">
        <v>0.0</v>
      </c>
      <c r="N51" s="16">
        <v>1.0</v>
      </c>
      <c r="O51" s="16">
        <v>1.0</v>
      </c>
      <c r="P51" s="17">
        <v>45328.0</v>
      </c>
      <c r="Q51" s="18">
        <v>1.75</v>
      </c>
      <c r="R51" s="15" t="s">
        <v>33</v>
      </c>
      <c r="S51" s="19">
        <f t="shared" si="1"/>
        <v>0.75</v>
      </c>
      <c r="T51" s="19">
        <f t="shared" si="4"/>
        <v>5.02997</v>
      </c>
      <c r="U51" s="41" t="s">
        <v>129</v>
      </c>
      <c r="V51" s="45">
        <f t="shared" ref="V51:V56" si="6">SUMIF($B$2:$B$2979,U51,$S$2:$S$2979)</f>
        <v>7.95501</v>
      </c>
      <c r="W51" s="45">
        <f t="shared" ref="W51:W56" si="7">SUMIF($B$2:$B$2979,U51,$O$2:$O$2979)</f>
        <v>36.867</v>
      </c>
      <c r="X51" s="46">
        <f t="shared" ref="X51:X56" si="8">V51/W51</f>
        <v>0.2157758971</v>
      </c>
    </row>
    <row r="52">
      <c r="A52" s="8">
        <f t="shared" si="3"/>
        <v>51</v>
      </c>
      <c r="B52" s="8" t="s">
        <v>129</v>
      </c>
      <c r="C52" s="8" t="s">
        <v>40</v>
      </c>
      <c r="D52" s="8">
        <v>15.0</v>
      </c>
      <c r="E52" s="8" t="s">
        <v>4402</v>
      </c>
      <c r="F52" s="8" t="s">
        <v>5564</v>
      </c>
      <c r="G52" s="8" t="s">
        <v>2556</v>
      </c>
      <c r="H52" s="8">
        <f>1</f>
        <v>1</v>
      </c>
      <c r="I52" s="8" t="s">
        <v>28</v>
      </c>
      <c r="J52" s="8" t="s">
        <v>22</v>
      </c>
      <c r="K52" s="8" t="s">
        <v>225</v>
      </c>
      <c r="L52" s="8" t="s">
        <v>24</v>
      </c>
      <c r="M52" s="9">
        <v>0.25</v>
      </c>
      <c r="N52" s="9">
        <v>0.75</v>
      </c>
      <c r="O52" s="9">
        <v>0.75</v>
      </c>
      <c r="P52" s="10">
        <v>45329.0</v>
      </c>
      <c r="Q52" s="11">
        <v>2.0</v>
      </c>
      <c r="R52" s="8" t="s">
        <v>25</v>
      </c>
      <c r="S52" s="12">
        <f t="shared" si="1"/>
        <v>-0.75</v>
      </c>
      <c r="T52" s="12">
        <f t="shared" si="4"/>
        <v>4.27997</v>
      </c>
      <c r="U52" s="41" t="s">
        <v>26</v>
      </c>
      <c r="V52" s="45">
        <f t="shared" si="6"/>
        <v>-0.1845621429</v>
      </c>
      <c r="W52" s="45">
        <f t="shared" si="7"/>
        <v>44.77742857</v>
      </c>
      <c r="X52" s="46">
        <f t="shared" si="8"/>
        <v>-0.004121767345</v>
      </c>
    </row>
    <row r="53">
      <c r="A53" s="15">
        <f t="shared" si="3"/>
        <v>52</v>
      </c>
      <c r="B53" s="15" t="s">
        <v>4225</v>
      </c>
      <c r="C53" s="15" t="s">
        <v>19</v>
      </c>
      <c r="D53" s="15">
        <v>31.0</v>
      </c>
      <c r="E53" s="15" t="s">
        <v>4403</v>
      </c>
      <c r="F53" s="15" t="s">
        <v>5565</v>
      </c>
      <c r="G53" s="15" t="s">
        <v>2660</v>
      </c>
      <c r="H53" s="15">
        <v>-1.0</v>
      </c>
      <c r="I53" s="15" t="s">
        <v>96</v>
      </c>
      <c r="J53" s="15" t="s">
        <v>22</v>
      </c>
      <c r="K53" s="15" t="s">
        <v>1150</v>
      </c>
      <c r="L53" s="15" t="s">
        <v>24</v>
      </c>
      <c r="M53" s="16">
        <v>0.0</v>
      </c>
      <c r="N53" s="16">
        <v>0.75</v>
      </c>
      <c r="O53" s="16">
        <v>0.75</v>
      </c>
      <c r="P53" s="55">
        <v>45329.0</v>
      </c>
      <c r="Q53" s="18">
        <v>1.7</v>
      </c>
      <c r="R53" s="15" t="s">
        <v>33</v>
      </c>
      <c r="S53" s="19">
        <f t="shared" si="1"/>
        <v>0.525</v>
      </c>
      <c r="T53" s="19">
        <f t="shared" si="4"/>
        <v>4.80497</v>
      </c>
      <c r="U53" s="41" t="s">
        <v>4225</v>
      </c>
      <c r="V53" s="45">
        <f t="shared" si="6"/>
        <v>-0.07705</v>
      </c>
      <c r="W53" s="45">
        <f t="shared" si="7"/>
        <v>13.365</v>
      </c>
      <c r="X53" s="46">
        <f t="shared" si="8"/>
        <v>-0.005765057987</v>
      </c>
    </row>
    <row r="54">
      <c r="A54" s="8">
        <f t="shared" si="3"/>
        <v>53</v>
      </c>
      <c r="B54" s="8" t="s">
        <v>129</v>
      </c>
      <c r="C54" s="8" t="s">
        <v>19</v>
      </c>
      <c r="D54" s="8">
        <v>75.0</v>
      </c>
      <c r="E54" s="8" t="s">
        <v>4404</v>
      </c>
      <c r="F54" s="8" t="s">
        <v>5564</v>
      </c>
      <c r="G54" s="8" t="s">
        <v>2660</v>
      </c>
      <c r="H54" s="8">
        <v>0.0</v>
      </c>
      <c r="I54" s="8" t="s">
        <v>96</v>
      </c>
      <c r="J54" s="8" t="s">
        <v>22</v>
      </c>
      <c r="K54" s="8" t="s">
        <v>892</v>
      </c>
      <c r="L54" s="8" t="s">
        <v>24</v>
      </c>
      <c r="M54" s="9">
        <v>0.0</v>
      </c>
      <c r="N54" s="9">
        <v>0.6</v>
      </c>
      <c r="O54" s="9">
        <v>0.6</v>
      </c>
      <c r="P54" s="10">
        <v>45329.0</v>
      </c>
      <c r="Q54" s="11">
        <v>2.2</v>
      </c>
      <c r="R54" s="8" t="s">
        <v>33</v>
      </c>
      <c r="S54" s="12">
        <f t="shared" si="1"/>
        <v>0.72</v>
      </c>
      <c r="T54" s="12">
        <f t="shared" si="4"/>
        <v>5.52497</v>
      </c>
      <c r="U54" s="41" t="s">
        <v>137</v>
      </c>
      <c r="V54" s="45">
        <f t="shared" si="6"/>
        <v>3.95555</v>
      </c>
      <c r="W54" s="45">
        <f t="shared" si="7"/>
        <v>15.5652</v>
      </c>
      <c r="X54" s="46">
        <f t="shared" si="8"/>
        <v>0.2541277979</v>
      </c>
    </row>
    <row r="55">
      <c r="A55" s="15">
        <f t="shared" si="3"/>
        <v>54</v>
      </c>
      <c r="B55" s="15" t="s">
        <v>129</v>
      </c>
      <c r="C55" s="15" t="s">
        <v>19</v>
      </c>
      <c r="D55" s="15">
        <v>81.0</v>
      </c>
      <c r="E55" s="15" t="s">
        <v>4405</v>
      </c>
      <c r="F55" s="15" t="s">
        <v>5565</v>
      </c>
      <c r="G55" s="15" t="s">
        <v>2660</v>
      </c>
      <c r="H55" s="15">
        <v>0.0</v>
      </c>
      <c r="I55" s="15" t="s">
        <v>167</v>
      </c>
      <c r="J55" s="15" t="s">
        <v>22</v>
      </c>
      <c r="K55" s="15" t="s">
        <v>892</v>
      </c>
      <c r="L55" s="15" t="s">
        <v>39</v>
      </c>
      <c r="M55" s="16">
        <v>0.0</v>
      </c>
      <c r="N55" s="16">
        <v>0.5</v>
      </c>
      <c r="O55" s="16">
        <v>0.5</v>
      </c>
      <c r="P55" s="55">
        <v>45329.0</v>
      </c>
      <c r="Q55" s="18">
        <v>1.725</v>
      </c>
      <c r="R55" s="15" t="s">
        <v>70</v>
      </c>
      <c r="S55" s="19">
        <f t="shared" si="1"/>
        <v>0</v>
      </c>
      <c r="T55" s="19">
        <f t="shared" si="4"/>
        <v>5.52497</v>
      </c>
      <c r="U55" s="41" t="s">
        <v>18</v>
      </c>
      <c r="V55" s="45">
        <f t="shared" si="6"/>
        <v>2.740775</v>
      </c>
      <c r="W55" s="45">
        <f t="shared" si="7"/>
        <v>11.486</v>
      </c>
      <c r="X55" s="46">
        <f t="shared" si="8"/>
        <v>0.2386187533</v>
      </c>
    </row>
    <row r="56">
      <c r="A56" s="8">
        <f t="shared" si="3"/>
        <v>55</v>
      </c>
      <c r="B56" s="8" t="s">
        <v>4225</v>
      </c>
      <c r="C56" s="8" t="s">
        <v>19</v>
      </c>
      <c r="D56" s="8">
        <v>0.0</v>
      </c>
      <c r="E56" s="8" t="s">
        <v>4406</v>
      </c>
      <c r="F56" s="8" t="s">
        <v>5564</v>
      </c>
      <c r="G56" s="8" t="s">
        <v>2556</v>
      </c>
      <c r="H56" s="8">
        <v>0.0</v>
      </c>
      <c r="I56" s="8" t="s">
        <v>513</v>
      </c>
      <c r="J56" s="8" t="s">
        <v>598</v>
      </c>
      <c r="K56" s="8" t="s">
        <v>225</v>
      </c>
      <c r="L56" s="8" t="s">
        <v>1851</v>
      </c>
      <c r="M56" s="9">
        <v>0.25</v>
      </c>
      <c r="N56" s="9">
        <v>0.1</v>
      </c>
      <c r="O56" s="9">
        <v>0.1</v>
      </c>
      <c r="P56" s="10">
        <v>45330.0</v>
      </c>
      <c r="Q56" s="11">
        <v>1.9</v>
      </c>
      <c r="R56" s="8" t="s">
        <v>25</v>
      </c>
      <c r="S56" s="12">
        <f t="shared" si="1"/>
        <v>-0.1</v>
      </c>
      <c r="T56" s="12">
        <f t="shared" si="4"/>
        <v>5.42497</v>
      </c>
      <c r="U56" s="41" t="s">
        <v>131</v>
      </c>
      <c r="V56" s="45">
        <f t="shared" si="6"/>
        <v>-0.2825</v>
      </c>
      <c r="W56" s="45">
        <f t="shared" si="7"/>
        <v>1.1</v>
      </c>
      <c r="X56" s="46">
        <f t="shared" si="8"/>
        <v>-0.2568181818</v>
      </c>
    </row>
    <row r="57">
      <c r="A57" s="15">
        <f t="shared" si="3"/>
        <v>56</v>
      </c>
      <c r="B57" s="15" t="s">
        <v>26</v>
      </c>
      <c r="C57" s="15" t="s">
        <v>19</v>
      </c>
      <c r="D57" s="15">
        <v>38.0</v>
      </c>
      <c r="E57" s="15" t="s">
        <v>4407</v>
      </c>
      <c r="F57" s="15" t="s">
        <v>5565</v>
      </c>
      <c r="G57" s="15" t="s">
        <v>2660</v>
      </c>
      <c r="H57" s="15">
        <v>0.0</v>
      </c>
      <c r="I57" s="15" t="s">
        <v>96</v>
      </c>
      <c r="J57" s="15" t="s">
        <v>22</v>
      </c>
      <c r="K57" s="15" t="s">
        <v>892</v>
      </c>
      <c r="L57" s="15" t="s">
        <v>24</v>
      </c>
      <c r="M57" s="16">
        <v>0.0</v>
      </c>
      <c r="N57" s="16">
        <v>0.75</v>
      </c>
      <c r="O57" s="16">
        <v>0.75</v>
      </c>
      <c r="P57" s="17">
        <v>45330.0</v>
      </c>
      <c r="Q57" s="18">
        <v>1.725</v>
      </c>
      <c r="R57" s="15" t="s">
        <v>25</v>
      </c>
      <c r="S57" s="19">
        <f t="shared" si="1"/>
        <v>-0.75</v>
      </c>
      <c r="T57" s="19">
        <f t="shared" si="4"/>
        <v>4.67497</v>
      </c>
    </row>
    <row r="58">
      <c r="A58" s="8">
        <f t="shared" si="3"/>
        <v>57</v>
      </c>
      <c r="B58" s="8" t="s">
        <v>129</v>
      </c>
      <c r="C58" s="8" t="s">
        <v>19</v>
      </c>
      <c r="D58" s="8">
        <v>26.0</v>
      </c>
      <c r="E58" s="8" t="s">
        <v>4408</v>
      </c>
      <c r="F58" s="8" t="s">
        <v>5564</v>
      </c>
      <c r="G58" s="8" t="s">
        <v>2556</v>
      </c>
      <c r="H58" s="8">
        <v>-1.0</v>
      </c>
      <c r="I58" s="8" t="s">
        <v>157</v>
      </c>
      <c r="J58" s="8" t="s">
        <v>22</v>
      </c>
      <c r="K58" s="8" t="s">
        <v>225</v>
      </c>
      <c r="L58" s="8" t="s">
        <v>24</v>
      </c>
      <c r="M58" s="9">
        <v>0.5</v>
      </c>
      <c r="N58" s="9">
        <v>0.5</v>
      </c>
      <c r="O58" s="9">
        <v>0.5</v>
      </c>
      <c r="P58" s="10">
        <v>45330.0</v>
      </c>
      <c r="Q58" s="11">
        <v>1.725</v>
      </c>
      <c r="R58" s="8" t="s">
        <v>25</v>
      </c>
      <c r="S58" s="12">
        <f t="shared" si="1"/>
        <v>-0.5</v>
      </c>
      <c r="T58" s="12">
        <f t="shared" si="4"/>
        <v>4.17497</v>
      </c>
    </row>
    <row r="59">
      <c r="A59" s="15">
        <f t="shared" si="3"/>
        <v>58</v>
      </c>
      <c r="B59" s="15" t="s">
        <v>4225</v>
      </c>
      <c r="C59" s="15" t="s">
        <v>19</v>
      </c>
      <c r="D59" s="15">
        <v>47.0</v>
      </c>
      <c r="E59" s="15" t="s">
        <v>4409</v>
      </c>
      <c r="F59" s="15" t="s">
        <v>5564</v>
      </c>
      <c r="G59" s="15" t="s">
        <v>2556</v>
      </c>
      <c r="H59" s="15">
        <v>-1.0</v>
      </c>
      <c r="I59" s="15" t="s">
        <v>96</v>
      </c>
      <c r="J59" s="15" t="s">
        <v>22</v>
      </c>
      <c r="K59" s="15" t="s">
        <v>225</v>
      </c>
      <c r="L59" s="15" t="s">
        <v>24</v>
      </c>
      <c r="M59" s="16">
        <v>0.5</v>
      </c>
      <c r="N59" s="16">
        <v>0.75</v>
      </c>
      <c r="O59" s="16">
        <v>0.47</v>
      </c>
      <c r="P59" s="17">
        <v>45330.0</v>
      </c>
      <c r="Q59" s="18">
        <v>1.75</v>
      </c>
      <c r="R59" s="15" t="s">
        <v>25</v>
      </c>
      <c r="S59" s="19">
        <f t="shared" si="1"/>
        <v>-0.47</v>
      </c>
      <c r="T59" s="19">
        <f t="shared" si="4"/>
        <v>3.70497</v>
      </c>
    </row>
    <row r="60">
      <c r="A60" s="8">
        <f t="shared" si="3"/>
        <v>59</v>
      </c>
      <c r="B60" s="8" t="s">
        <v>129</v>
      </c>
      <c r="C60" s="8" t="s">
        <v>40</v>
      </c>
      <c r="D60" s="8">
        <v>63.0</v>
      </c>
      <c r="E60" s="8" t="s">
        <v>4410</v>
      </c>
      <c r="F60" s="8" t="s">
        <v>5564</v>
      </c>
      <c r="G60" s="8" t="s">
        <v>2556</v>
      </c>
      <c r="H60" s="8">
        <v>0.0</v>
      </c>
      <c r="I60" s="8" t="s">
        <v>162</v>
      </c>
      <c r="J60" s="8" t="s">
        <v>22</v>
      </c>
      <c r="K60" s="8" t="s">
        <v>225</v>
      </c>
      <c r="L60" s="8" t="s">
        <v>24</v>
      </c>
      <c r="M60" s="9">
        <v>0.5</v>
      </c>
      <c r="N60" s="9">
        <v>0.75</v>
      </c>
      <c r="O60" s="9">
        <v>0.75</v>
      </c>
      <c r="P60" s="10">
        <v>45330.0</v>
      </c>
      <c r="Q60" s="11">
        <v>1.043</v>
      </c>
      <c r="R60" s="8" t="s">
        <v>33</v>
      </c>
      <c r="S60" s="12">
        <f t="shared" si="1"/>
        <v>0.03225</v>
      </c>
      <c r="T60" s="12">
        <f t="shared" si="4"/>
        <v>3.73722</v>
      </c>
    </row>
    <row r="61">
      <c r="A61" s="15">
        <f t="shared" si="3"/>
        <v>60</v>
      </c>
      <c r="B61" s="15" t="s">
        <v>129</v>
      </c>
      <c r="C61" s="15" t="s">
        <v>19</v>
      </c>
      <c r="D61" s="15">
        <v>55.0</v>
      </c>
      <c r="E61" s="15" t="s">
        <v>4411</v>
      </c>
      <c r="F61" s="15" t="s">
        <v>5564</v>
      </c>
      <c r="G61" s="15" t="s">
        <v>2660</v>
      </c>
      <c r="H61" s="15">
        <v>-1.0</v>
      </c>
      <c r="I61" s="15" t="s">
        <v>157</v>
      </c>
      <c r="J61" s="15" t="s">
        <v>22</v>
      </c>
      <c r="K61" s="15" t="s">
        <v>892</v>
      </c>
      <c r="L61" s="15" t="s">
        <v>24</v>
      </c>
      <c r="M61" s="16">
        <v>0.0</v>
      </c>
      <c r="N61" s="16">
        <v>0.25</v>
      </c>
      <c r="O61" s="16">
        <v>0.25</v>
      </c>
      <c r="P61" s="17">
        <v>45330.0</v>
      </c>
      <c r="Q61" s="18">
        <v>2.1</v>
      </c>
      <c r="R61" s="15" t="s">
        <v>25</v>
      </c>
      <c r="S61" s="19">
        <f t="shared" si="1"/>
        <v>-0.25</v>
      </c>
      <c r="T61" s="19">
        <f t="shared" si="4"/>
        <v>3.48722</v>
      </c>
    </row>
    <row r="62">
      <c r="A62" s="8">
        <f t="shared" si="3"/>
        <v>61</v>
      </c>
      <c r="B62" s="8" t="s">
        <v>26</v>
      </c>
      <c r="C62" s="8" t="s">
        <v>40</v>
      </c>
      <c r="D62" s="8">
        <v>64.0</v>
      </c>
      <c r="E62" s="8" t="s">
        <v>4412</v>
      </c>
      <c r="F62" s="8" t="s">
        <v>5564</v>
      </c>
      <c r="G62" s="8" t="s">
        <v>2660</v>
      </c>
      <c r="H62" s="8">
        <v>0.0</v>
      </c>
      <c r="I62" s="8" t="s">
        <v>93</v>
      </c>
      <c r="J62" s="8" t="s">
        <v>22</v>
      </c>
      <c r="K62" s="8" t="s">
        <v>892</v>
      </c>
      <c r="L62" s="8" t="s">
        <v>39</v>
      </c>
      <c r="M62" s="9">
        <v>0.0</v>
      </c>
      <c r="N62" s="9">
        <v>0.5</v>
      </c>
      <c r="O62" s="9">
        <v>0.5</v>
      </c>
      <c r="P62" s="10">
        <v>45330.0</v>
      </c>
      <c r="Q62" s="11">
        <v>2.13</v>
      </c>
      <c r="R62" s="8" t="s">
        <v>33</v>
      </c>
      <c r="S62" s="12">
        <f t="shared" si="1"/>
        <v>0.565</v>
      </c>
      <c r="T62" s="12">
        <f t="shared" si="4"/>
        <v>4.05222</v>
      </c>
    </row>
    <row r="63">
      <c r="A63" s="15">
        <f t="shared" si="3"/>
        <v>62</v>
      </c>
      <c r="B63" s="15" t="s">
        <v>129</v>
      </c>
      <c r="C63" s="15" t="s">
        <v>19</v>
      </c>
      <c r="D63" s="15">
        <v>86.0</v>
      </c>
      <c r="E63" s="15" t="s">
        <v>4413</v>
      </c>
      <c r="F63" s="15" t="s">
        <v>5565</v>
      </c>
      <c r="G63" s="15" t="s">
        <v>2660</v>
      </c>
      <c r="H63" s="15">
        <v>-1.0</v>
      </c>
      <c r="I63" s="15" t="s">
        <v>82</v>
      </c>
      <c r="J63" s="15" t="s">
        <v>22</v>
      </c>
      <c r="K63" s="15" t="s">
        <v>892</v>
      </c>
      <c r="L63" s="15" t="s">
        <v>39</v>
      </c>
      <c r="M63" s="16">
        <v>0.0</v>
      </c>
      <c r="N63" s="16">
        <v>0.3</v>
      </c>
      <c r="O63" s="16">
        <v>0.3</v>
      </c>
      <c r="P63" s="17">
        <v>45330.0</v>
      </c>
      <c r="Q63" s="18">
        <v>2.1</v>
      </c>
      <c r="R63" s="15" t="s">
        <v>70</v>
      </c>
      <c r="S63" s="19">
        <f t="shared" si="1"/>
        <v>0</v>
      </c>
      <c r="T63" s="19">
        <f t="shared" si="4"/>
        <v>4.05222</v>
      </c>
    </row>
    <row r="64">
      <c r="A64" s="8">
        <f t="shared" si="3"/>
        <v>63</v>
      </c>
      <c r="B64" s="8" t="s">
        <v>137</v>
      </c>
      <c r="C64" s="8" t="s">
        <v>19</v>
      </c>
      <c r="D64" s="8">
        <v>73.0</v>
      </c>
      <c r="E64" s="8" t="s">
        <v>4414</v>
      </c>
      <c r="F64" s="8" t="s">
        <v>5564</v>
      </c>
      <c r="G64" s="8" t="s">
        <v>2556</v>
      </c>
      <c r="H64" s="8">
        <v>0.0</v>
      </c>
      <c r="I64" s="8" t="s">
        <v>923</v>
      </c>
      <c r="J64" s="8" t="s">
        <v>22</v>
      </c>
      <c r="K64" s="8" t="s">
        <v>4352</v>
      </c>
      <c r="L64" s="8" t="s">
        <v>24</v>
      </c>
      <c r="M64" s="9">
        <v>0.0</v>
      </c>
      <c r="N64" s="9">
        <v>0.25</v>
      </c>
      <c r="O64" s="9">
        <v>0.2232</v>
      </c>
      <c r="P64" s="10">
        <v>45331.0</v>
      </c>
      <c r="Q64" s="11">
        <v>3.0</v>
      </c>
      <c r="R64" s="8" t="s">
        <v>70</v>
      </c>
      <c r="S64" s="12">
        <f t="shared" si="1"/>
        <v>0</v>
      </c>
      <c r="T64" s="12">
        <f t="shared" si="4"/>
        <v>4.05222</v>
      </c>
    </row>
    <row r="65">
      <c r="A65" s="15">
        <f t="shared" si="3"/>
        <v>64</v>
      </c>
      <c r="B65" s="15" t="s">
        <v>18</v>
      </c>
      <c r="C65" s="15" t="s">
        <v>19</v>
      </c>
      <c r="D65" s="15">
        <v>27.0</v>
      </c>
      <c r="E65" s="15" t="s">
        <v>4415</v>
      </c>
      <c r="F65" s="15" t="s">
        <v>5564</v>
      </c>
      <c r="G65" s="15" t="s">
        <v>2556</v>
      </c>
      <c r="H65" s="15">
        <v>0.0</v>
      </c>
      <c r="I65" s="15" t="s">
        <v>1031</v>
      </c>
      <c r="J65" s="15" t="s">
        <v>22</v>
      </c>
      <c r="K65" s="15" t="s">
        <v>225</v>
      </c>
      <c r="L65" s="15" t="s">
        <v>24</v>
      </c>
      <c r="M65" s="16">
        <v>0.25</v>
      </c>
      <c r="N65" s="16">
        <v>1.0</v>
      </c>
      <c r="O65" s="16">
        <v>0.982</v>
      </c>
      <c r="P65" s="17">
        <v>45331.0</v>
      </c>
      <c r="Q65" s="18">
        <v>1.775</v>
      </c>
      <c r="R65" s="15" t="s">
        <v>30</v>
      </c>
      <c r="S65" s="19">
        <f t="shared" si="1"/>
        <v>0.380525</v>
      </c>
      <c r="T65" s="19">
        <f t="shared" si="4"/>
        <v>4.432745</v>
      </c>
    </row>
    <row r="66">
      <c r="A66" s="8">
        <f t="shared" si="3"/>
        <v>65</v>
      </c>
      <c r="B66" s="8" t="s">
        <v>4225</v>
      </c>
      <c r="C66" s="8" t="s">
        <v>19</v>
      </c>
      <c r="D66" s="8">
        <v>31.0</v>
      </c>
      <c r="E66" s="8" t="s">
        <v>4416</v>
      </c>
      <c r="F66" s="8" t="s">
        <v>5565</v>
      </c>
      <c r="G66" s="8" t="s">
        <v>2660</v>
      </c>
      <c r="H66" s="8">
        <v>0.0</v>
      </c>
      <c r="I66" s="8" t="s">
        <v>96</v>
      </c>
      <c r="J66" s="8" t="s">
        <v>22</v>
      </c>
      <c r="K66" s="8" t="s">
        <v>892</v>
      </c>
      <c r="L66" s="8" t="s">
        <v>24</v>
      </c>
      <c r="M66" s="9">
        <v>0.0</v>
      </c>
      <c r="N66" s="9">
        <v>1.0</v>
      </c>
      <c r="O66" s="9">
        <v>0.972</v>
      </c>
      <c r="P66" s="10">
        <v>45331.0</v>
      </c>
      <c r="Q66" s="11">
        <v>1.75</v>
      </c>
      <c r="R66" s="8" t="s">
        <v>33</v>
      </c>
      <c r="S66" s="12">
        <f t="shared" si="1"/>
        <v>0.729</v>
      </c>
      <c r="T66" s="12">
        <f t="shared" si="4"/>
        <v>5.161745</v>
      </c>
    </row>
    <row r="67">
      <c r="A67" s="15">
        <f t="shared" si="3"/>
        <v>66</v>
      </c>
      <c r="B67" s="15" t="s">
        <v>18</v>
      </c>
      <c r="C67" s="15" t="s">
        <v>19</v>
      </c>
      <c r="D67" s="15">
        <v>14.0</v>
      </c>
      <c r="E67" s="15" t="s">
        <v>4417</v>
      </c>
      <c r="F67" s="15" t="s">
        <v>5565</v>
      </c>
      <c r="G67" s="15" t="s">
        <v>2556</v>
      </c>
      <c r="H67" s="15">
        <v>0.0</v>
      </c>
      <c r="I67" s="15" t="s">
        <v>28</v>
      </c>
      <c r="J67" s="15" t="s">
        <v>22</v>
      </c>
      <c r="K67" s="15" t="s">
        <v>225</v>
      </c>
      <c r="L67" s="15" t="s">
        <v>24</v>
      </c>
      <c r="M67" s="16">
        <v>0.5</v>
      </c>
      <c r="N67" s="16">
        <v>0.25</v>
      </c>
      <c r="O67" s="16">
        <v>0.25</v>
      </c>
      <c r="P67" s="17">
        <v>45331.0</v>
      </c>
      <c r="Q67" s="18">
        <f>127/125</f>
        <v>1.016</v>
      </c>
      <c r="R67" s="15" t="s">
        <v>33</v>
      </c>
      <c r="S67" s="19">
        <f t="shared" si="1"/>
        <v>0.004</v>
      </c>
      <c r="T67" s="19">
        <f t="shared" si="4"/>
        <v>5.165745</v>
      </c>
    </row>
    <row r="68">
      <c r="A68" s="8">
        <f t="shared" si="3"/>
        <v>67</v>
      </c>
      <c r="B68" s="8" t="s">
        <v>129</v>
      </c>
      <c r="C68" s="8" t="s">
        <v>19</v>
      </c>
      <c r="D68" s="8">
        <v>74.0</v>
      </c>
      <c r="E68" s="8" t="s">
        <v>4418</v>
      </c>
      <c r="F68" s="8" t="s">
        <v>5565</v>
      </c>
      <c r="G68" s="8" t="s">
        <v>2660</v>
      </c>
      <c r="H68" s="8">
        <v>-2.0</v>
      </c>
      <c r="I68" s="8" t="s">
        <v>167</v>
      </c>
      <c r="J68" s="8" t="s">
        <v>22</v>
      </c>
      <c r="K68" s="8" t="s">
        <v>892</v>
      </c>
      <c r="L68" s="8" t="s">
        <v>24</v>
      </c>
      <c r="M68" s="9">
        <v>0.0</v>
      </c>
      <c r="N68" s="9">
        <v>1.0</v>
      </c>
      <c r="O68" s="9">
        <v>0.982</v>
      </c>
      <c r="P68" s="10">
        <v>45331.0</v>
      </c>
      <c r="Q68" s="11">
        <v>1.7</v>
      </c>
      <c r="R68" s="8" t="s">
        <v>25</v>
      </c>
      <c r="S68" s="12">
        <f t="shared" si="1"/>
        <v>-0.982</v>
      </c>
      <c r="T68" s="12">
        <f t="shared" si="4"/>
        <v>4.183745</v>
      </c>
    </row>
    <row r="69">
      <c r="A69" s="15">
        <f t="shared" si="3"/>
        <v>68</v>
      </c>
      <c r="B69" s="15" t="s">
        <v>26</v>
      </c>
      <c r="C69" s="15" t="s">
        <v>19</v>
      </c>
      <c r="D69" s="15">
        <v>70.0</v>
      </c>
      <c r="E69" s="15" t="s">
        <v>4419</v>
      </c>
      <c r="F69" s="15" t="s">
        <v>5565</v>
      </c>
      <c r="G69" s="15" t="s">
        <v>2556</v>
      </c>
      <c r="H69" s="15">
        <v>0.0</v>
      </c>
      <c r="I69" s="15" t="s">
        <v>28</v>
      </c>
      <c r="J69" s="15" t="s">
        <v>22</v>
      </c>
      <c r="K69" s="15" t="s">
        <v>4352</v>
      </c>
      <c r="L69" s="15" t="s">
        <v>24</v>
      </c>
      <c r="M69" s="16">
        <v>0.0</v>
      </c>
      <c r="N69" s="16">
        <v>0.5</v>
      </c>
      <c r="O69" s="16">
        <v>0.5</v>
      </c>
      <c r="P69" s="17">
        <v>45331.0</v>
      </c>
      <c r="Q69" s="18">
        <v>2.5</v>
      </c>
      <c r="R69" s="15" t="s">
        <v>70</v>
      </c>
      <c r="S69" s="19">
        <f t="shared" si="1"/>
        <v>0</v>
      </c>
      <c r="T69" s="19">
        <f t="shared" si="4"/>
        <v>4.183745</v>
      </c>
    </row>
    <row r="70">
      <c r="A70" s="8">
        <f t="shared" si="3"/>
        <v>69</v>
      </c>
      <c r="B70" s="8" t="s">
        <v>129</v>
      </c>
      <c r="C70" s="8" t="s">
        <v>19</v>
      </c>
      <c r="D70" s="8">
        <v>35.0</v>
      </c>
      <c r="E70" s="8" t="s">
        <v>4420</v>
      </c>
      <c r="F70" s="8" t="s">
        <v>5564</v>
      </c>
      <c r="G70" s="8" t="s">
        <v>2556</v>
      </c>
      <c r="H70" s="8">
        <v>0.0</v>
      </c>
      <c r="I70" s="8" t="s">
        <v>616</v>
      </c>
      <c r="J70" s="8" t="s">
        <v>22</v>
      </c>
      <c r="K70" s="8" t="s">
        <v>225</v>
      </c>
      <c r="L70" s="8" t="s">
        <v>24</v>
      </c>
      <c r="M70" s="9">
        <v>0.75</v>
      </c>
      <c r="N70" s="9">
        <v>0.5</v>
      </c>
      <c r="O70" s="9">
        <v>0.5</v>
      </c>
      <c r="P70" s="10">
        <v>45331.0</v>
      </c>
      <c r="Q70" s="11">
        <v>1.234</v>
      </c>
      <c r="R70" s="8" t="s">
        <v>33</v>
      </c>
      <c r="S70" s="12">
        <f t="shared" si="1"/>
        <v>0.117</v>
      </c>
      <c r="T70" s="12">
        <f t="shared" si="4"/>
        <v>4.300745</v>
      </c>
    </row>
    <row r="71">
      <c r="A71" s="15">
        <f t="shared" si="3"/>
        <v>70</v>
      </c>
      <c r="B71" s="15" t="s">
        <v>129</v>
      </c>
      <c r="C71" s="15" t="s">
        <v>19</v>
      </c>
      <c r="D71" s="15">
        <v>38.0</v>
      </c>
      <c r="E71" s="15" t="s">
        <v>4421</v>
      </c>
      <c r="F71" s="15" t="s">
        <v>5564</v>
      </c>
      <c r="G71" s="15" t="s">
        <v>2556</v>
      </c>
      <c r="H71" s="15">
        <v>0.0</v>
      </c>
      <c r="I71" s="15" t="s">
        <v>616</v>
      </c>
      <c r="J71" s="15" t="s">
        <v>22</v>
      </c>
      <c r="K71" s="15" t="s">
        <v>4352</v>
      </c>
      <c r="L71" s="15" t="s">
        <v>24</v>
      </c>
      <c r="M71" s="16">
        <v>0.0</v>
      </c>
      <c r="N71" s="16">
        <v>0.1</v>
      </c>
      <c r="O71" s="16">
        <v>0.1</v>
      </c>
      <c r="P71" s="17">
        <v>45331.0</v>
      </c>
      <c r="Q71" s="18">
        <v>4.0</v>
      </c>
      <c r="R71" s="15" t="s">
        <v>25</v>
      </c>
      <c r="S71" s="19">
        <f t="shared" si="1"/>
        <v>-0.1</v>
      </c>
      <c r="T71" s="19">
        <f t="shared" si="4"/>
        <v>4.200745</v>
      </c>
    </row>
    <row r="72">
      <c r="A72" s="8">
        <f t="shared" si="3"/>
        <v>71</v>
      </c>
      <c r="B72" s="8" t="s">
        <v>26</v>
      </c>
      <c r="C72" s="8" t="s">
        <v>19</v>
      </c>
      <c r="D72" s="8">
        <v>12.0</v>
      </c>
      <c r="E72" s="8" t="s">
        <v>4422</v>
      </c>
      <c r="F72" s="8"/>
      <c r="G72" s="8"/>
      <c r="H72" s="8"/>
      <c r="I72" s="8" t="s">
        <v>229</v>
      </c>
      <c r="J72" s="8" t="s">
        <v>22</v>
      </c>
      <c r="K72" s="8" t="s">
        <v>440</v>
      </c>
      <c r="L72" s="8" t="s">
        <v>39</v>
      </c>
      <c r="M72" s="9">
        <v>2.25</v>
      </c>
      <c r="N72" s="9">
        <v>0.1</v>
      </c>
      <c r="O72" s="9">
        <v>0.1</v>
      </c>
      <c r="P72" s="10">
        <v>45331.0</v>
      </c>
      <c r="Q72" s="11">
        <v>1.7</v>
      </c>
      <c r="R72" s="8" t="s">
        <v>25</v>
      </c>
      <c r="S72" s="12">
        <f t="shared" si="1"/>
        <v>-0.1</v>
      </c>
      <c r="T72" s="12">
        <f t="shared" si="4"/>
        <v>4.100745</v>
      </c>
    </row>
    <row r="73">
      <c r="A73" s="15">
        <f t="shared" si="3"/>
        <v>72</v>
      </c>
      <c r="B73" s="15" t="s">
        <v>26</v>
      </c>
      <c r="C73" s="15" t="s">
        <v>19</v>
      </c>
      <c r="D73" s="15">
        <v>29.0</v>
      </c>
      <c r="E73" s="15" t="s">
        <v>4423</v>
      </c>
      <c r="F73" s="15" t="s">
        <v>5565</v>
      </c>
      <c r="G73" s="15" t="s">
        <v>2556</v>
      </c>
      <c r="H73" s="15">
        <v>0.0</v>
      </c>
      <c r="I73" s="15" t="s">
        <v>44</v>
      </c>
      <c r="J73" s="15" t="s">
        <v>22</v>
      </c>
      <c r="K73" s="15" t="s">
        <v>225</v>
      </c>
      <c r="L73" s="15" t="s">
        <v>24</v>
      </c>
      <c r="M73" s="16">
        <v>0.25</v>
      </c>
      <c r="N73" s="16">
        <v>1.0</v>
      </c>
      <c r="O73" s="16">
        <v>1.0</v>
      </c>
      <c r="P73" s="17">
        <v>45331.0</v>
      </c>
      <c r="Q73" s="18">
        <v>1.825</v>
      </c>
      <c r="R73" s="15" t="s">
        <v>25</v>
      </c>
      <c r="S73" s="19">
        <f t="shared" si="1"/>
        <v>-1</v>
      </c>
      <c r="T73" s="19">
        <f t="shared" si="4"/>
        <v>3.100745</v>
      </c>
    </row>
    <row r="74">
      <c r="A74" s="8">
        <f t="shared" si="3"/>
        <v>73</v>
      </c>
      <c r="B74" s="8" t="s">
        <v>26</v>
      </c>
      <c r="C74" s="8" t="s">
        <v>19</v>
      </c>
      <c r="D74" s="8">
        <v>14.0</v>
      </c>
      <c r="E74" s="8" t="s">
        <v>4424</v>
      </c>
      <c r="F74" s="8" t="s">
        <v>5564</v>
      </c>
      <c r="G74" s="8" t="s">
        <v>2660</v>
      </c>
      <c r="H74" s="8">
        <f t="shared" ref="H74:H75" si="9">1</f>
        <v>1</v>
      </c>
      <c r="I74" s="8" t="s">
        <v>48</v>
      </c>
      <c r="J74" s="8" t="s">
        <v>22</v>
      </c>
      <c r="K74" s="8" t="s">
        <v>892</v>
      </c>
      <c r="L74" s="8" t="s">
        <v>1522</v>
      </c>
      <c r="M74" s="9">
        <v>0.0</v>
      </c>
      <c r="N74" s="9">
        <v>0.25</v>
      </c>
      <c r="O74" s="9">
        <v>0.25</v>
      </c>
      <c r="P74" s="10">
        <v>45332.0</v>
      </c>
      <c r="Q74" s="11">
        <v>1.85</v>
      </c>
      <c r="R74" s="8" t="s">
        <v>25</v>
      </c>
      <c r="S74" s="12">
        <f t="shared" si="1"/>
        <v>-0.25</v>
      </c>
      <c r="T74" s="12">
        <f t="shared" si="4"/>
        <v>2.850745</v>
      </c>
    </row>
    <row r="75">
      <c r="A75" s="15">
        <f t="shared" si="3"/>
        <v>74</v>
      </c>
      <c r="B75" s="15" t="s">
        <v>26</v>
      </c>
      <c r="C75" s="15" t="s">
        <v>19</v>
      </c>
      <c r="D75" s="15">
        <v>24.0</v>
      </c>
      <c r="E75" s="15" t="s">
        <v>4425</v>
      </c>
      <c r="F75" s="15" t="s">
        <v>5564</v>
      </c>
      <c r="G75" s="15" t="s">
        <v>2660</v>
      </c>
      <c r="H75" s="15">
        <f t="shared" si="9"/>
        <v>1</v>
      </c>
      <c r="I75" s="15" t="s">
        <v>48</v>
      </c>
      <c r="J75" s="15" t="s">
        <v>22</v>
      </c>
      <c r="K75" s="15" t="s">
        <v>1150</v>
      </c>
      <c r="L75" s="15" t="s">
        <v>39</v>
      </c>
      <c r="M75" s="16">
        <v>0.0</v>
      </c>
      <c r="N75" s="16">
        <v>0.75</v>
      </c>
      <c r="O75" s="16">
        <v>0.75</v>
      </c>
      <c r="P75" s="17">
        <v>45332.0</v>
      </c>
      <c r="Q75" s="18">
        <v>1.725</v>
      </c>
      <c r="R75" s="15" t="s">
        <v>25</v>
      </c>
      <c r="S75" s="19">
        <f t="shared" si="1"/>
        <v>-0.75</v>
      </c>
      <c r="T75" s="19">
        <f t="shared" si="4"/>
        <v>2.100745</v>
      </c>
    </row>
    <row r="76">
      <c r="A76" s="8">
        <f t="shared" si="3"/>
        <v>75</v>
      </c>
      <c r="B76" s="8" t="s">
        <v>26</v>
      </c>
      <c r="C76" s="8" t="s">
        <v>19</v>
      </c>
      <c r="D76" s="8">
        <v>28.0</v>
      </c>
      <c r="E76" s="8" t="s">
        <v>4426</v>
      </c>
      <c r="F76" s="8" t="s">
        <v>5564</v>
      </c>
      <c r="G76" s="8" t="s">
        <v>2556</v>
      </c>
      <c r="H76" s="8">
        <v>0.0</v>
      </c>
      <c r="I76" s="8" t="s">
        <v>121</v>
      </c>
      <c r="J76" s="8" t="s">
        <v>22</v>
      </c>
      <c r="K76" s="8" t="s">
        <v>225</v>
      </c>
      <c r="L76" s="8" t="s">
        <v>1522</v>
      </c>
      <c r="M76" s="9">
        <v>0.25</v>
      </c>
      <c r="N76" s="9">
        <v>1.0</v>
      </c>
      <c r="O76" s="9">
        <v>1.0</v>
      </c>
      <c r="P76" s="10">
        <v>45332.0</v>
      </c>
      <c r="Q76" s="11">
        <f>(1.352+1.775)/2</f>
        <v>1.5635</v>
      </c>
      <c r="R76" s="8" t="s">
        <v>30</v>
      </c>
      <c r="S76" s="12">
        <f t="shared" si="1"/>
        <v>0.28175</v>
      </c>
      <c r="T76" s="12">
        <f t="shared" si="4"/>
        <v>2.382495</v>
      </c>
    </row>
    <row r="77">
      <c r="A77" s="15">
        <f t="shared" si="3"/>
        <v>76</v>
      </c>
      <c r="B77" s="15" t="s">
        <v>4225</v>
      </c>
      <c r="C77" s="15" t="s">
        <v>40</v>
      </c>
      <c r="D77" s="15">
        <v>37.0</v>
      </c>
      <c r="E77" s="15" t="s">
        <v>4427</v>
      </c>
      <c r="F77" s="15" t="s">
        <v>5564</v>
      </c>
      <c r="G77" s="15" t="s">
        <v>2556</v>
      </c>
      <c r="H77" s="15">
        <f>1</f>
        <v>1</v>
      </c>
      <c r="I77" s="15" t="s">
        <v>644</v>
      </c>
      <c r="J77" s="15" t="s">
        <v>22</v>
      </c>
      <c r="K77" s="15" t="s">
        <v>1847</v>
      </c>
      <c r="L77" s="15" t="s">
        <v>24</v>
      </c>
      <c r="M77" s="16">
        <v>-0.5</v>
      </c>
      <c r="N77" s="16">
        <v>1.0</v>
      </c>
      <c r="O77" s="16">
        <v>1.0</v>
      </c>
      <c r="P77" s="17">
        <v>45332.0</v>
      </c>
      <c r="Q77" s="18">
        <v>1.725</v>
      </c>
      <c r="R77" s="15" t="s">
        <v>33</v>
      </c>
      <c r="S77" s="19">
        <f t="shared" si="1"/>
        <v>0.725</v>
      </c>
      <c r="T77" s="19">
        <f t="shared" si="4"/>
        <v>3.107495</v>
      </c>
    </row>
    <row r="78">
      <c r="A78" s="8">
        <f t="shared" si="3"/>
        <v>77</v>
      </c>
      <c r="B78" s="8" t="s">
        <v>129</v>
      </c>
      <c r="C78" s="8" t="s">
        <v>40</v>
      </c>
      <c r="D78" s="8">
        <v>39.0</v>
      </c>
      <c r="E78" s="8" t="s">
        <v>4428</v>
      </c>
      <c r="F78" s="8" t="s">
        <v>5564</v>
      </c>
      <c r="G78" s="8" t="s">
        <v>2556</v>
      </c>
      <c r="H78" s="8">
        <v>0.0</v>
      </c>
      <c r="I78" s="8" t="s">
        <v>106</v>
      </c>
      <c r="J78" s="8" t="s">
        <v>22</v>
      </c>
      <c r="K78" s="8" t="s">
        <v>225</v>
      </c>
      <c r="L78" s="8" t="s">
        <v>24</v>
      </c>
      <c r="M78" s="9">
        <v>0.75</v>
      </c>
      <c r="N78" s="9">
        <v>0.5</v>
      </c>
      <c r="O78" s="9">
        <v>0.5</v>
      </c>
      <c r="P78" s="10">
        <v>45332.0</v>
      </c>
      <c r="Q78" s="11">
        <v>2.025</v>
      </c>
      <c r="R78" s="8" t="s">
        <v>33</v>
      </c>
      <c r="S78" s="12">
        <f t="shared" si="1"/>
        <v>0.5125</v>
      </c>
      <c r="T78" s="12">
        <f t="shared" si="4"/>
        <v>3.619995</v>
      </c>
    </row>
    <row r="79">
      <c r="A79" s="15">
        <f t="shared" si="3"/>
        <v>78</v>
      </c>
      <c r="B79" s="15" t="s">
        <v>129</v>
      </c>
      <c r="C79" s="15" t="s">
        <v>40</v>
      </c>
      <c r="D79" s="15">
        <v>39.0</v>
      </c>
      <c r="E79" s="15" t="s">
        <v>4429</v>
      </c>
      <c r="F79" s="15" t="s">
        <v>5564</v>
      </c>
      <c r="G79" s="15" t="s">
        <v>2556</v>
      </c>
      <c r="H79" s="15">
        <v>0.0</v>
      </c>
      <c r="I79" s="15" t="s">
        <v>106</v>
      </c>
      <c r="J79" s="15" t="s">
        <v>22</v>
      </c>
      <c r="K79" s="15" t="s">
        <v>1165</v>
      </c>
      <c r="L79" s="15" t="s">
        <v>24</v>
      </c>
      <c r="M79" s="16"/>
      <c r="N79" s="16">
        <v>0.1</v>
      </c>
      <c r="O79" s="16">
        <v>0.1</v>
      </c>
      <c r="P79" s="17">
        <v>45332.0</v>
      </c>
      <c r="Q79" s="18">
        <v>3.75</v>
      </c>
      <c r="R79" s="15" t="s">
        <v>33</v>
      </c>
      <c r="S79" s="19">
        <f t="shared" si="1"/>
        <v>0.275</v>
      </c>
      <c r="T79" s="19">
        <f t="shared" si="4"/>
        <v>3.894995</v>
      </c>
    </row>
    <row r="80">
      <c r="A80" s="8">
        <f t="shared" si="3"/>
        <v>79</v>
      </c>
      <c r="B80" s="8" t="s">
        <v>26</v>
      </c>
      <c r="C80" s="8" t="s">
        <v>19</v>
      </c>
      <c r="D80" s="8">
        <v>50.0</v>
      </c>
      <c r="E80" s="8" t="s">
        <v>4430</v>
      </c>
      <c r="F80" s="8" t="s">
        <v>5565</v>
      </c>
      <c r="G80" s="8" t="s">
        <v>2660</v>
      </c>
      <c r="H80" s="8">
        <f>1</f>
        <v>1</v>
      </c>
      <c r="I80" s="8" t="s">
        <v>28</v>
      </c>
      <c r="J80" s="8" t="s">
        <v>22</v>
      </c>
      <c r="K80" s="8" t="s">
        <v>892</v>
      </c>
      <c r="L80" s="8" t="s">
        <v>24</v>
      </c>
      <c r="M80" s="9">
        <v>0.0</v>
      </c>
      <c r="N80" s="9">
        <v>0.01</v>
      </c>
      <c r="O80" s="9">
        <v>0.01</v>
      </c>
      <c r="P80" s="54">
        <v>45332.0</v>
      </c>
      <c r="Q80" s="11">
        <v>1.825</v>
      </c>
      <c r="R80" s="8" t="s">
        <v>25</v>
      </c>
      <c r="S80" s="12">
        <f t="shared" si="1"/>
        <v>-0.01</v>
      </c>
      <c r="T80" s="12">
        <f t="shared" si="4"/>
        <v>3.884995</v>
      </c>
    </row>
    <row r="81">
      <c r="A81" s="15">
        <f t="shared" si="3"/>
        <v>80</v>
      </c>
      <c r="B81" s="15" t="s">
        <v>129</v>
      </c>
      <c r="C81" s="15" t="s">
        <v>40</v>
      </c>
      <c r="D81" s="15">
        <v>74.0</v>
      </c>
      <c r="E81" s="15" t="s">
        <v>4431</v>
      </c>
      <c r="F81" s="15" t="s">
        <v>5564</v>
      </c>
      <c r="G81" s="15" t="s">
        <v>2556</v>
      </c>
      <c r="H81" s="15">
        <v>0.0</v>
      </c>
      <c r="I81" s="15" t="s">
        <v>28</v>
      </c>
      <c r="J81" s="15" t="s">
        <v>22</v>
      </c>
      <c r="K81" s="15" t="s">
        <v>4352</v>
      </c>
      <c r="L81" s="15" t="s">
        <v>24</v>
      </c>
      <c r="M81" s="16">
        <v>0.0</v>
      </c>
      <c r="N81" s="16">
        <v>0.15</v>
      </c>
      <c r="O81" s="16">
        <v>0.15</v>
      </c>
      <c r="P81" s="55">
        <v>45332.0</v>
      </c>
      <c r="Q81" s="18">
        <v>6.5</v>
      </c>
      <c r="R81" s="15" t="s">
        <v>25</v>
      </c>
      <c r="S81" s="19">
        <f t="shared" si="1"/>
        <v>-0.15</v>
      </c>
      <c r="T81" s="19">
        <f t="shared" si="4"/>
        <v>3.734995</v>
      </c>
    </row>
    <row r="82">
      <c r="A82" s="8">
        <f t="shared" si="3"/>
        <v>81</v>
      </c>
      <c r="B82" s="8" t="s">
        <v>129</v>
      </c>
      <c r="C82" s="8" t="s">
        <v>40</v>
      </c>
      <c r="D82" s="8">
        <v>76.0</v>
      </c>
      <c r="E82" s="8" t="s">
        <v>4432</v>
      </c>
      <c r="F82" s="8" t="s">
        <v>5564</v>
      </c>
      <c r="G82" s="8" t="s">
        <v>2556</v>
      </c>
      <c r="H82" s="8">
        <v>0.0</v>
      </c>
      <c r="I82" s="8" t="s">
        <v>28</v>
      </c>
      <c r="J82" s="8" t="s">
        <v>22</v>
      </c>
      <c r="K82" s="8" t="s">
        <v>225</v>
      </c>
      <c r="L82" s="8" t="s">
        <v>24</v>
      </c>
      <c r="M82" s="9">
        <v>0.5</v>
      </c>
      <c r="N82" s="9">
        <v>0.7</v>
      </c>
      <c r="O82" s="9">
        <v>0.7</v>
      </c>
      <c r="P82" s="54">
        <v>45332.0</v>
      </c>
      <c r="Q82" s="11">
        <f>(1.215+1.488+1.65)/3</f>
        <v>1.451</v>
      </c>
      <c r="R82" s="8" t="s">
        <v>33</v>
      </c>
      <c r="S82" s="12">
        <f t="shared" si="1"/>
        <v>0.3157</v>
      </c>
      <c r="T82" s="12">
        <f t="shared" si="4"/>
        <v>4.050695</v>
      </c>
    </row>
    <row r="83">
      <c r="A83" s="15">
        <f t="shared" si="3"/>
        <v>82</v>
      </c>
      <c r="B83" s="15" t="s">
        <v>18</v>
      </c>
      <c r="C83" s="15" t="s">
        <v>19</v>
      </c>
      <c r="D83" s="15">
        <v>35.0</v>
      </c>
      <c r="E83" s="15" t="s">
        <v>4433</v>
      </c>
      <c r="F83" s="15" t="s">
        <v>5564</v>
      </c>
      <c r="G83" s="15" t="s">
        <v>2556</v>
      </c>
      <c r="H83" s="15">
        <v>0.0</v>
      </c>
      <c r="I83" s="15" t="s">
        <v>121</v>
      </c>
      <c r="J83" s="15" t="s">
        <v>22</v>
      </c>
      <c r="K83" s="15" t="s">
        <v>225</v>
      </c>
      <c r="L83" s="15" t="s">
        <v>24</v>
      </c>
      <c r="M83" s="16">
        <v>0.5</v>
      </c>
      <c r="N83" s="16">
        <v>0.5</v>
      </c>
      <c r="O83" s="16">
        <v>0.5</v>
      </c>
      <c r="P83" s="55">
        <v>45332.0</v>
      </c>
      <c r="Q83" s="18">
        <v>1.7</v>
      </c>
      <c r="R83" s="15" t="s">
        <v>25</v>
      </c>
      <c r="S83" s="19">
        <f t="shared" si="1"/>
        <v>-0.5</v>
      </c>
      <c r="T83" s="19">
        <f t="shared" si="4"/>
        <v>3.550695</v>
      </c>
    </row>
    <row r="84">
      <c r="A84" s="8">
        <f t="shared" si="3"/>
        <v>83</v>
      </c>
      <c r="B84" s="8" t="s">
        <v>129</v>
      </c>
      <c r="C84" s="8" t="s">
        <v>40</v>
      </c>
      <c r="D84" s="8">
        <v>82.0</v>
      </c>
      <c r="E84" s="8" t="s">
        <v>4434</v>
      </c>
      <c r="F84" s="8" t="s">
        <v>5564</v>
      </c>
      <c r="G84" s="8" t="s">
        <v>2556</v>
      </c>
      <c r="H84" s="8">
        <v>0.0</v>
      </c>
      <c r="I84" s="8" t="s">
        <v>644</v>
      </c>
      <c r="J84" s="8" t="s">
        <v>22</v>
      </c>
      <c r="K84" s="8" t="s">
        <v>4352</v>
      </c>
      <c r="L84" s="8" t="s">
        <v>24</v>
      </c>
      <c r="M84" s="9">
        <v>0.0</v>
      </c>
      <c r="N84" s="9">
        <v>0.4</v>
      </c>
      <c r="O84" s="9">
        <v>0.4</v>
      </c>
      <c r="P84" s="10">
        <v>45332.0</v>
      </c>
      <c r="Q84" s="11">
        <v>2.75</v>
      </c>
      <c r="R84" s="8" t="s">
        <v>70</v>
      </c>
      <c r="S84" s="12">
        <f t="shared" si="1"/>
        <v>0</v>
      </c>
      <c r="T84" s="12">
        <f t="shared" si="4"/>
        <v>3.550695</v>
      </c>
    </row>
    <row r="85">
      <c r="A85" s="15">
        <f t="shared" si="3"/>
        <v>84</v>
      </c>
      <c r="B85" s="15" t="s">
        <v>26</v>
      </c>
      <c r="C85" s="15" t="s">
        <v>19</v>
      </c>
      <c r="D85" s="15">
        <v>30.0</v>
      </c>
      <c r="E85" s="15" t="s">
        <v>4435</v>
      </c>
      <c r="F85" s="15" t="s">
        <v>5564</v>
      </c>
      <c r="G85" s="15" t="s">
        <v>2660</v>
      </c>
      <c r="H85" s="15">
        <v>-2.0</v>
      </c>
      <c r="I85" s="15" t="s">
        <v>66</v>
      </c>
      <c r="J85" s="15" t="s">
        <v>22</v>
      </c>
      <c r="K85" s="15" t="s">
        <v>892</v>
      </c>
      <c r="L85" s="15" t="s">
        <v>24</v>
      </c>
      <c r="M85" s="16">
        <v>0.0</v>
      </c>
      <c r="N85" s="16">
        <v>1.0</v>
      </c>
      <c r="O85" s="16">
        <v>1.0</v>
      </c>
      <c r="P85" s="17">
        <v>45332.0</v>
      </c>
      <c r="Q85" s="18">
        <v>1.8</v>
      </c>
      <c r="R85" s="15" t="s">
        <v>70</v>
      </c>
      <c r="S85" s="19">
        <f t="shared" si="1"/>
        <v>0</v>
      </c>
      <c r="T85" s="19">
        <f t="shared" si="4"/>
        <v>3.550695</v>
      </c>
    </row>
    <row r="86">
      <c r="A86" s="8">
        <f t="shared" si="3"/>
        <v>85</v>
      </c>
      <c r="B86" s="8" t="s">
        <v>137</v>
      </c>
      <c r="C86" s="8" t="s">
        <v>19</v>
      </c>
      <c r="D86" s="8">
        <v>76.0</v>
      </c>
      <c r="E86" s="8" t="s">
        <v>4436</v>
      </c>
      <c r="F86" s="8" t="s">
        <v>5565</v>
      </c>
      <c r="G86" s="8" t="s">
        <v>2660</v>
      </c>
      <c r="H86" s="8">
        <v>-2.0</v>
      </c>
      <c r="I86" s="8" t="s">
        <v>38</v>
      </c>
      <c r="J86" s="8" t="s">
        <v>22</v>
      </c>
      <c r="K86" s="8" t="s">
        <v>892</v>
      </c>
      <c r="L86" s="8" t="s">
        <v>24</v>
      </c>
      <c r="M86" s="9">
        <v>0.0</v>
      </c>
      <c r="N86" s="9">
        <v>1.0</v>
      </c>
      <c r="O86" s="9">
        <v>1.0</v>
      </c>
      <c r="P86" s="10">
        <v>45332.0</v>
      </c>
      <c r="Q86" s="11">
        <v>1.85</v>
      </c>
      <c r="R86" s="8" t="s">
        <v>33</v>
      </c>
      <c r="S86" s="12">
        <f t="shared" si="1"/>
        <v>0.85</v>
      </c>
      <c r="T86" s="12">
        <f t="shared" si="4"/>
        <v>4.400695</v>
      </c>
    </row>
    <row r="87">
      <c r="A87" s="15">
        <f t="shared" si="3"/>
        <v>86</v>
      </c>
      <c r="B87" s="15" t="s">
        <v>26</v>
      </c>
      <c r="C87" s="15" t="s">
        <v>19</v>
      </c>
      <c r="D87" s="15">
        <v>78.0</v>
      </c>
      <c r="E87" s="15" t="s">
        <v>4437</v>
      </c>
      <c r="F87" s="15" t="s">
        <v>5565</v>
      </c>
      <c r="G87" s="15" t="s">
        <v>2660</v>
      </c>
      <c r="H87" s="15">
        <v>0.0</v>
      </c>
      <c r="I87" s="15" t="s">
        <v>38</v>
      </c>
      <c r="J87" s="15" t="s">
        <v>22</v>
      </c>
      <c r="K87" s="15" t="s">
        <v>892</v>
      </c>
      <c r="L87" s="15" t="s">
        <v>39</v>
      </c>
      <c r="M87" s="16">
        <v>0.0</v>
      </c>
      <c r="N87" s="16">
        <v>0.5</v>
      </c>
      <c r="O87" s="16">
        <v>0.5</v>
      </c>
      <c r="P87" s="17">
        <v>45332.0</v>
      </c>
      <c r="Q87" s="18">
        <v>2.175</v>
      </c>
      <c r="R87" s="15" t="s">
        <v>33</v>
      </c>
      <c r="S87" s="19">
        <f t="shared" si="1"/>
        <v>0.5875</v>
      </c>
      <c r="T87" s="19">
        <f t="shared" si="4"/>
        <v>4.988195</v>
      </c>
    </row>
    <row r="88">
      <c r="A88" s="8">
        <f t="shared" si="3"/>
        <v>87</v>
      </c>
      <c r="B88" s="8" t="s">
        <v>137</v>
      </c>
      <c r="C88" s="8" t="s">
        <v>19</v>
      </c>
      <c r="D88" s="8">
        <v>80.0</v>
      </c>
      <c r="E88" s="8" t="s">
        <v>4438</v>
      </c>
      <c r="F88" s="8" t="s">
        <v>5565</v>
      </c>
      <c r="G88" s="8" t="s">
        <v>2660</v>
      </c>
      <c r="H88" s="8">
        <v>0.0</v>
      </c>
      <c r="I88" s="8" t="s">
        <v>93</v>
      </c>
      <c r="J88" s="8" t="s">
        <v>22</v>
      </c>
      <c r="K88" s="8" t="s">
        <v>892</v>
      </c>
      <c r="L88" s="8" t="s">
        <v>24</v>
      </c>
      <c r="M88" s="9">
        <v>0.0</v>
      </c>
      <c r="N88" s="9">
        <v>0.25</v>
      </c>
      <c r="O88" s="9">
        <v>0.25</v>
      </c>
      <c r="P88" s="10">
        <v>45332.0</v>
      </c>
      <c r="Q88" s="11">
        <v>1.825</v>
      </c>
      <c r="R88" s="8" t="s">
        <v>70</v>
      </c>
      <c r="S88" s="12">
        <f t="shared" si="1"/>
        <v>0</v>
      </c>
      <c r="T88" s="12">
        <f t="shared" si="4"/>
        <v>4.988195</v>
      </c>
    </row>
    <row r="89">
      <c r="A89" s="15">
        <f t="shared" si="3"/>
        <v>88</v>
      </c>
      <c r="B89" s="15" t="s">
        <v>26</v>
      </c>
      <c r="C89" s="15" t="s">
        <v>19</v>
      </c>
      <c r="D89" s="15">
        <v>41.0</v>
      </c>
      <c r="E89" s="15" t="s">
        <v>4439</v>
      </c>
      <c r="F89" s="15" t="s">
        <v>5564</v>
      </c>
      <c r="G89" s="15" t="s">
        <v>2660</v>
      </c>
      <c r="H89" s="15">
        <v>-1.0</v>
      </c>
      <c r="I89" s="15" t="s">
        <v>172</v>
      </c>
      <c r="J89" s="15" t="s">
        <v>22</v>
      </c>
      <c r="K89" s="15" t="s">
        <v>892</v>
      </c>
      <c r="L89" s="15" t="s">
        <v>1803</v>
      </c>
      <c r="M89" s="16">
        <v>0.0</v>
      </c>
      <c r="N89" s="16">
        <v>0.5</v>
      </c>
      <c r="O89" s="16">
        <v>0.5</v>
      </c>
      <c r="P89" s="17">
        <v>45332.0</v>
      </c>
      <c r="Q89" s="18">
        <v>1.671</v>
      </c>
      <c r="R89" s="15" t="s">
        <v>33</v>
      </c>
      <c r="S89" s="19">
        <f t="shared" si="1"/>
        <v>0.3355</v>
      </c>
      <c r="T89" s="19">
        <f t="shared" si="4"/>
        <v>5.323695</v>
      </c>
    </row>
    <row r="90">
      <c r="A90" s="8">
        <f t="shared" si="3"/>
        <v>89</v>
      </c>
      <c r="B90" s="8" t="s">
        <v>26</v>
      </c>
      <c r="C90" s="8" t="s">
        <v>19</v>
      </c>
      <c r="D90" s="8">
        <v>29.0</v>
      </c>
      <c r="E90" s="8" t="s">
        <v>4440</v>
      </c>
      <c r="F90" s="8" t="s">
        <v>5564</v>
      </c>
      <c r="G90" s="8" t="s">
        <v>2660</v>
      </c>
      <c r="H90" s="8">
        <v>0.0</v>
      </c>
      <c r="I90" s="8" t="s">
        <v>50</v>
      </c>
      <c r="J90" s="8" t="s">
        <v>22</v>
      </c>
      <c r="K90" s="8" t="s">
        <v>892</v>
      </c>
      <c r="L90" s="8" t="s">
        <v>24</v>
      </c>
      <c r="M90" s="9">
        <v>0.0</v>
      </c>
      <c r="N90" s="9">
        <v>1.0</v>
      </c>
      <c r="O90" s="9">
        <v>1.0</v>
      </c>
      <c r="P90" s="10">
        <v>45333.0</v>
      </c>
      <c r="Q90" s="11">
        <v>1.473</v>
      </c>
      <c r="R90" s="8" t="s">
        <v>33</v>
      </c>
      <c r="S90" s="12">
        <f t="shared" si="1"/>
        <v>0.473</v>
      </c>
      <c r="T90" s="12">
        <f t="shared" si="4"/>
        <v>5.796695</v>
      </c>
    </row>
    <row r="91">
      <c r="A91" s="15">
        <f t="shared" si="3"/>
        <v>90</v>
      </c>
      <c r="B91" s="15" t="s">
        <v>18</v>
      </c>
      <c r="C91" s="15" t="s">
        <v>40</v>
      </c>
      <c r="D91" s="15">
        <v>35.0</v>
      </c>
      <c r="E91" s="15" t="s">
        <v>4441</v>
      </c>
      <c r="F91" s="15" t="s">
        <v>5564</v>
      </c>
      <c r="G91" s="15" t="s">
        <v>2556</v>
      </c>
      <c r="H91" s="15">
        <v>0.0</v>
      </c>
      <c r="I91" s="15" t="s">
        <v>229</v>
      </c>
      <c r="J91" s="15" t="s">
        <v>22</v>
      </c>
      <c r="K91" s="15" t="s">
        <v>1165</v>
      </c>
      <c r="L91" s="15" t="s">
        <v>24</v>
      </c>
      <c r="M91" s="16"/>
      <c r="N91" s="16">
        <v>0.1</v>
      </c>
      <c r="O91" s="16">
        <v>0.1</v>
      </c>
      <c r="P91" s="17">
        <v>45333.0</v>
      </c>
      <c r="Q91" s="18">
        <v>4.75</v>
      </c>
      <c r="R91" s="15" t="s">
        <v>25</v>
      </c>
      <c r="S91" s="19">
        <f t="shared" si="1"/>
        <v>-0.1</v>
      </c>
      <c r="T91" s="19">
        <f t="shared" si="4"/>
        <v>5.696695</v>
      </c>
    </row>
    <row r="92">
      <c r="A92" s="8">
        <f t="shared" si="3"/>
        <v>91</v>
      </c>
      <c r="B92" s="8" t="s">
        <v>129</v>
      </c>
      <c r="C92" s="8" t="s">
        <v>19</v>
      </c>
      <c r="D92" s="8">
        <v>24.0</v>
      </c>
      <c r="E92" s="8" t="s">
        <v>4442</v>
      </c>
      <c r="F92" s="8" t="s">
        <v>5565</v>
      </c>
      <c r="G92" s="8" t="s">
        <v>2556</v>
      </c>
      <c r="H92" s="8">
        <v>0.0</v>
      </c>
      <c r="I92" s="8" t="s">
        <v>174</v>
      </c>
      <c r="J92" s="8" t="s">
        <v>22</v>
      </c>
      <c r="K92" s="8" t="s">
        <v>225</v>
      </c>
      <c r="L92" s="8" t="s">
        <v>24</v>
      </c>
      <c r="M92" s="9">
        <v>0.5</v>
      </c>
      <c r="N92" s="9">
        <v>0.75</v>
      </c>
      <c r="O92" s="9">
        <v>0.75</v>
      </c>
      <c r="P92" s="10">
        <v>45333.0</v>
      </c>
      <c r="Q92" s="11">
        <v>1.7</v>
      </c>
      <c r="R92" s="8" t="s">
        <v>33</v>
      </c>
      <c r="S92" s="12">
        <f t="shared" si="1"/>
        <v>0.525</v>
      </c>
      <c r="T92" s="12">
        <f t="shared" si="4"/>
        <v>6.221695</v>
      </c>
    </row>
    <row r="93">
      <c r="A93" s="15">
        <f t="shared" si="3"/>
        <v>92</v>
      </c>
      <c r="B93" s="15" t="s">
        <v>129</v>
      </c>
      <c r="C93" s="15" t="s">
        <v>40</v>
      </c>
      <c r="D93" s="15">
        <v>45.0</v>
      </c>
      <c r="E93" s="15" t="s">
        <v>4443</v>
      </c>
      <c r="F93" s="15" t="s">
        <v>5564</v>
      </c>
      <c r="G93" s="15" t="s">
        <v>2556</v>
      </c>
      <c r="H93" s="15">
        <v>0.0</v>
      </c>
      <c r="I93" s="15" t="s">
        <v>93</v>
      </c>
      <c r="J93" s="15" t="s">
        <v>22</v>
      </c>
      <c r="K93" s="15" t="s">
        <v>225</v>
      </c>
      <c r="L93" s="15" t="s">
        <v>24</v>
      </c>
      <c r="M93" s="16">
        <v>0.5</v>
      </c>
      <c r="N93" s="16">
        <v>1.0</v>
      </c>
      <c r="O93" s="16">
        <v>1.0</v>
      </c>
      <c r="P93" s="55">
        <v>45333.0</v>
      </c>
      <c r="Q93" s="18">
        <v>1.123</v>
      </c>
      <c r="R93" s="15" t="s">
        <v>33</v>
      </c>
      <c r="S93" s="19">
        <f t="shared" si="1"/>
        <v>0.123</v>
      </c>
      <c r="T93" s="19">
        <f t="shared" si="4"/>
        <v>6.344695</v>
      </c>
    </row>
    <row r="94">
      <c r="A94" s="8">
        <f t="shared" si="3"/>
        <v>93</v>
      </c>
      <c r="B94" s="8" t="s">
        <v>26</v>
      </c>
      <c r="C94" s="8" t="s">
        <v>40</v>
      </c>
      <c r="D94" s="8">
        <v>82.0</v>
      </c>
      <c r="E94" s="8" t="s">
        <v>4444</v>
      </c>
      <c r="F94" s="8" t="s">
        <v>5565</v>
      </c>
      <c r="G94" s="8" t="s">
        <v>2660</v>
      </c>
      <c r="H94" s="8">
        <v>0.0</v>
      </c>
      <c r="I94" s="8" t="s">
        <v>93</v>
      </c>
      <c r="J94" s="8" t="s">
        <v>22</v>
      </c>
      <c r="K94" s="8" t="s">
        <v>892</v>
      </c>
      <c r="L94" s="8" t="s">
        <v>24</v>
      </c>
      <c r="M94" s="9">
        <v>0.0</v>
      </c>
      <c r="N94" s="9">
        <v>0.25</v>
      </c>
      <c r="O94" s="9">
        <v>0.25</v>
      </c>
      <c r="P94" s="10">
        <v>45333.0</v>
      </c>
      <c r="Q94" s="11">
        <v>1.7</v>
      </c>
      <c r="R94" s="8" t="s">
        <v>25</v>
      </c>
      <c r="S94" s="12">
        <f t="shared" si="1"/>
        <v>-0.25</v>
      </c>
      <c r="T94" s="12">
        <f t="shared" si="4"/>
        <v>6.094695</v>
      </c>
    </row>
    <row r="95">
      <c r="A95" s="15">
        <f t="shared" si="3"/>
        <v>94</v>
      </c>
      <c r="B95" s="15" t="s">
        <v>129</v>
      </c>
      <c r="C95" s="15" t="s">
        <v>19</v>
      </c>
      <c r="D95" s="15">
        <v>80.0</v>
      </c>
      <c r="E95" s="15" t="s">
        <v>4445</v>
      </c>
      <c r="F95" s="15" t="s">
        <v>5564</v>
      </c>
      <c r="G95" s="15" t="s">
        <v>2660</v>
      </c>
      <c r="H95" s="15">
        <v>0.0</v>
      </c>
      <c r="I95" s="15" t="s">
        <v>853</v>
      </c>
      <c r="J95" s="15" t="s">
        <v>22</v>
      </c>
      <c r="K95" s="15" t="s">
        <v>892</v>
      </c>
      <c r="L95" s="15" t="s">
        <v>24</v>
      </c>
      <c r="M95" s="16">
        <v>0.0</v>
      </c>
      <c r="N95" s="16">
        <v>0.5</v>
      </c>
      <c r="O95" s="16">
        <v>0.5</v>
      </c>
      <c r="P95" s="17">
        <v>45333.0</v>
      </c>
      <c r="Q95" s="18">
        <v>1.975</v>
      </c>
      <c r="R95" s="15" t="s">
        <v>70</v>
      </c>
      <c r="S95" s="19">
        <f t="shared" si="1"/>
        <v>0</v>
      </c>
      <c r="T95" s="19">
        <f t="shared" si="4"/>
        <v>6.094695</v>
      </c>
    </row>
    <row r="96">
      <c r="A96" s="8">
        <f t="shared" si="3"/>
        <v>95</v>
      </c>
      <c r="B96" s="8" t="s">
        <v>18</v>
      </c>
      <c r="C96" s="8" t="s">
        <v>19</v>
      </c>
      <c r="D96" s="8">
        <v>63.0</v>
      </c>
      <c r="E96" s="8" t="s">
        <v>4446</v>
      </c>
      <c r="F96" s="8" t="s">
        <v>5564</v>
      </c>
      <c r="G96" s="8" t="s">
        <v>2556</v>
      </c>
      <c r="H96" s="8">
        <v>-1.0</v>
      </c>
      <c r="I96" s="8" t="s">
        <v>48</v>
      </c>
      <c r="J96" s="8" t="s">
        <v>22</v>
      </c>
      <c r="K96" s="8" t="s">
        <v>225</v>
      </c>
      <c r="L96" s="8" t="s">
        <v>24</v>
      </c>
      <c r="M96" s="9">
        <v>0.25</v>
      </c>
      <c r="N96" s="9">
        <v>0.75</v>
      </c>
      <c r="O96" s="9">
        <v>0.75</v>
      </c>
      <c r="P96" s="10">
        <v>45333.0</v>
      </c>
      <c r="Q96" s="11">
        <v>1.875</v>
      </c>
      <c r="R96" s="8" t="s">
        <v>25</v>
      </c>
      <c r="S96" s="12">
        <f t="shared" si="1"/>
        <v>-0.75</v>
      </c>
      <c r="T96" s="12">
        <f t="shared" si="4"/>
        <v>5.344695</v>
      </c>
    </row>
    <row r="97">
      <c r="A97" s="15">
        <f t="shared" si="3"/>
        <v>96</v>
      </c>
      <c r="B97" s="15" t="s">
        <v>26</v>
      </c>
      <c r="C97" s="15" t="s">
        <v>19</v>
      </c>
      <c r="D97" s="15">
        <v>37.0</v>
      </c>
      <c r="E97" s="15" t="s">
        <v>4447</v>
      </c>
      <c r="F97" s="15" t="s">
        <v>5564</v>
      </c>
      <c r="G97" s="15" t="s">
        <v>2556</v>
      </c>
      <c r="H97" s="15">
        <v>0.0</v>
      </c>
      <c r="I97" s="15" t="s">
        <v>44</v>
      </c>
      <c r="J97" s="15" t="s">
        <v>22</v>
      </c>
      <c r="K97" s="15" t="s">
        <v>225</v>
      </c>
      <c r="L97" s="15" t="s">
        <v>24</v>
      </c>
      <c r="M97" s="16">
        <v>0.25</v>
      </c>
      <c r="N97" s="16">
        <v>1.0</v>
      </c>
      <c r="O97" s="16">
        <v>1.0</v>
      </c>
      <c r="P97" s="55">
        <v>45333.0</v>
      </c>
      <c r="Q97" s="18">
        <v>1.8</v>
      </c>
      <c r="R97" s="15" t="s">
        <v>25</v>
      </c>
      <c r="S97" s="19">
        <f t="shared" si="1"/>
        <v>-1</v>
      </c>
      <c r="T97" s="19">
        <f t="shared" si="4"/>
        <v>4.344695</v>
      </c>
    </row>
    <row r="98">
      <c r="A98" s="8">
        <f t="shared" si="3"/>
        <v>97</v>
      </c>
      <c r="B98" s="8" t="s">
        <v>129</v>
      </c>
      <c r="C98" s="8" t="s">
        <v>19</v>
      </c>
      <c r="D98" s="8">
        <v>40.0</v>
      </c>
      <c r="E98" s="8" t="s">
        <v>4448</v>
      </c>
      <c r="F98" s="8" t="s">
        <v>5564</v>
      </c>
      <c r="G98" s="8" t="s">
        <v>2660</v>
      </c>
      <c r="H98" s="8">
        <v>-1.0</v>
      </c>
      <c r="I98" s="8" t="s">
        <v>644</v>
      </c>
      <c r="J98" s="8" t="s">
        <v>22</v>
      </c>
      <c r="K98" s="8" t="s">
        <v>892</v>
      </c>
      <c r="L98" s="8" t="s">
        <v>24</v>
      </c>
      <c r="M98" s="9">
        <v>0.0</v>
      </c>
      <c r="N98" s="9">
        <v>1.0</v>
      </c>
      <c r="O98" s="9">
        <v>1.0</v>
      </c>
      <c r="P98" s="10">
        <v>45333.0</v>
      </c>
      <c r="Q98" s="11">
        <v>1.775</v>
      </c>
      <c r="R98" s="8" t="s">
        <v>33</v>
      </c>
      <c r="S98" s="12">
        <f t="shared" si="1"/>
        <v>0.775</v>
      </c>
      <c r="T98" s="12">
        <f t="shared" si="4"/>
        <v>5.119695</v>
      </c>
    </row>
    <row r="99">
      <c r="A99" s="15">
        <f t="shared" si="3"/>
        <v>98</v>
      </c>
      <c r="B99" s="15" t="s">
        <v>18</v>
      </c>
      <c r="C99" s="15" t="s">
        <v>19</v>
      </c>
      <c r="D99" s="15">
        <v>72.0</v>
      </c>
      <c r="E99" s="15" t="s">
        <v>4449</v>
      </c>
      <c r="F99" s="15" t="s">
        <v>5565</v>
      </c>
      <c r="G99" s="15" t="s">
        <v>2660</v>
      </c>
      <c r="H99" s="15">
        <f>1</f>
        <v>1</v>
      </c>
      <c r="I99" s="15" t="s">
        <v>44</v>
      </c>
      <c r="J99" s="15" t="s">
        <v>22</v>
      </c>
      <c r="K99" s="15" t="s">
        <v>892</v>
      </c>
      <c r="L99" s="15" t="s">
        <v>39</v>
      </c>
      <c r="M99" s="16">
        <v>0.0</v>
      </c>
      <c r="N99" s="16">
        <v>0.1</v>
      </c>
      <c r="O99" s="16">
        <v>0.1</v>
      </c>
      <c r="P99" s="17">
        <v>45333.0</v>
      </c>
      <c r="Q99" s="18">
        <v>1.775</v>
      </c>
      <c r="R99" s="15" t="s">
        <v>70</v>
      </c>
      <c r="S99" s="19">
        <f t="shared" si="1"/>
        <v>0</v>
      </c>
      <c r="T99" s="19">
        <f t="shared" si="4"/>
        <v>5.119695</v>
      </c>
    </row>
    <row r="100">
      <c r="A100" s="8">
        <f t="shared" si="3"/>
        <v>99</v>
      </c>
      <c r="B100" s="8" t="s">
        <v>129</v>
      </c>
      <c r="C100" s="8" t="s">
        <v>19</v>
      </c>
      <c r="D100" s="8">
        <v>71.0</v>
      </c>
      <c r="E100" s="8" t="s">
        <v>4450</v>
      </c>
      <c r="F100" s="8" t="s">
        <v>5564</v>
      </c>
      <c r="G100" s="8" t="s">
        <v>2556</v>
      </c>
      <c r="H100" s="8">
        <v>-1.0</v>
      </c>
      <c r="I100" s="8" t="s">
        <v>88</v>
      </c>
      <c r="J100" s="8" t="s">
        <v>22</v>
      </c>
      <c r="K100" s="8" t="s">
        <v>225</v>
      </c>
      <c r="L100" s="8" t="s">
        <v>24</v>
      </c>
      <c r="M100" s="9">
        <v>0.5</v>
      </c>
      <c r="N100" s="9">
        <v>0.75</v>
      </c>
      <c r="O100" s="9">
        <v>0.75</v>
      </c>
      <c r="P100" s="10">
        <v>45336.0</v>
      </c>
      <c r="Q100" s="11">
        <v>1.56</v>
      </c>
      <c r="R100" s="8" t="s">
        <v>33</v>
      </c>
      <c r="S100" s="12">
        <f t="shared" si="1"/>
        <v>0.42</v>
      </c>
      <c r="T100" s="12">
        <f t="shared" si="4"/>
        <v>5.539695</v>
      </c>
    </row>
    <row r="101">
      <c r="A101" s="15">
        <f t="shared" si="3"/>
        <v>100</v>
      </c>
      <c r="B101" s="15" t="s">
        <v>4225</v>
      </c>
      <c r="C101" s="15" t="s">
        <v>19</v>
      </c>
      <c r="D101" s="15">
        <v>0.0</v>
      </c>
      <c r="E101" s="15" t="s">
        <v>4451</v>
      </c>
      <c r="F101" s="15" t="s">
        <v>5564</v>
      </c>
      <c r="G101" s="15" t="s">
        <v>2660</v>
      </c>
      <c r="H101" s="15">
        <v>0.0</v>
      </c>
      <c r="I101" s="15" t="s">
        <v>187</v>
      </c>
      <c r="J101" s="15" t="s">
        <v>598</v>
      </c>
      <c r="K101" s="15" t="s">
        <v>892</v>
      </c>
      <c r="L101" s="15" t="s">
        <v>1851</v>
      </c>
      <c r="M101" s="16">
        <v>0.0</v>
      </c>
      <c r="N101" s="16">
        <v>0.1</v>
      </c>
      <c r="O101" s="16">
        <v>0.1</v>
      </c>
      <c r="P101" s="17">
        <v>45336.0</v>
      </c>
      <c r="Q101" s="18">
        <v>1.8</v>
      </c>
      <c r="R101" s="15" t="s">
        <v>33</v>
      </c>
      <c r="S101" s="19">
        <f t="shared" si="1"/>
        <v>0.08</v>
      </c>
      <c r="T101" s="19">
        <f t="shared" si="4"/>
        <v>5.619695</v>
      </c>
    </row>
    <row r="102">
      <c r="A102" s="8">
        <f t="shared" si="3"/>
        <v>101</v>
      </c>
      <c r="B102" s="8" t="s">
        <v>129</v>
      </c>
      <c r="C102" s="8" t="s">
        <v>19</v>
      </c>
      <c r="D102" s="8">
        <v>45.0</v>
      </c>
      <c r="E102" s="8" t="s">
        <v>4452</v>
      </c>
      <c r="F102" s="8" t="s">
        <v>5564</v>
      </c>
      <c r="G102" s="8" t="s">
        <v>2556</v>
      </c>
      <c r="H102" s="8">
        <v>0.0</v>
      </c>
      <c r="I102" s="8" t="s">
        <v>616</v>
      </c>
      <c r="J102" s="8" t="s">
        <v>22</v>
      </c>
      <c r="K102" s="8" t="s">
        <v>225</v>
      </c>
      <c r="L102" s="8" t="s">
        <v>24</v>
      </c>
      <c r="M102" s="9">
        <v>0.75</v>
      </c>
      <c r="N102" s="9">
        <v>0.4</v>
      </c>
      <c r="O102" s="9">
        <v>0.4</v>
      </c>
      <c r="P102" s="10">
        <v>45336.0</v>
      </c>
      <c r="Q102" s="11">
        <v>1.3</v>
      </c>
      <c r="R102" s="8" t="s">
        <v>33</v>
      </c>
      <c r="S102" s="12">
        <f t="shared" si="1"/>
        <v>0.12</v>
      </c>
      <c r="T102" s="12">
        <f t="shared" si="4"/>
        <v>5.739695</v>
      </c>
    </row>
    <row r="103">
      <c r="A103" s="15">
        <f t="shared" si="3"/>
        <v>102</v>
      </c>
      <c r="B103" s="15" t="s">
        <v>129</v>
      </c>
      <c r="C103" s="15" t="s">
        <v>19</v>
      </c>
      <c r="D103" s="15">
        <v>45.0</v>
      </c>
      <c r="E103" s="15" t="s">
        <v>4453</v>
      </c>
      <c r="F103" s="15" t="s">
        <v>5564</v>
      </c>
      <c r="G103" s="15" t="s">
        <v>2556</v>
      </c>
      <c r="H103" s="15">
        <v>0.0</v>
      </c>
      <c r="I103" s="15" t="s">
        <v>616</v>
      </c>
      <c r="J103" s="15" t="s">
        <v>22</v>
      </c>
      <c r="K103" s="15" t="s">
        <v>225</v>
      </c>
      <c r="L103" s="15" t="s">
        <v>24</v>
      </c>
      <c r="M103" s="16">
        <v>0.5</v>
      </c>
      <c r="N103" s="16">
        <v>0.4</v>
      </c>
      <c r="O103" s="16">
        <v>0.235</v>
      </c>
      <c r="P103" s="17">
        <v>45336.0</v>
      </c>
      <c r="Q103" s="18">
        <v>1.31</v>
      </c>
      <c r="R103" s="15" t="s">
        <v>33</v>
      </c>
      <c r="S103" s="19">
        <f t="shared" si="1"/>
        <v>0.07285</v>
      </c>
      <c r="T103" s="19">
        <f t="shared" si="4"/>
        <v>5.812545</v>
      </c>
    </row>
    <row r="104">
      <c r="A104" s="8">
        <f t="shared" si="3"/>
        <v>103</v>
      </c>
      <c r="B104" s="8" t="s">
        <v>18</v>
      </c>
      <c r="C104" s="8" t="s">
        <v>19</v>
      </c>
      <c r="D104" s="8">
        <v>67.0</v>
      </c>
      <c r="E104" s="8" t="s">
        <v>4454</v>
      </c>
      <c r="F104" s="8" t="s">
        <v>5564</v>
      </c>
      <c r="G104" s="8" t="s">
        <v>2660</v>
      </c>
      <c r="H104" s="8">
        <v>-1.0</v>
      </c>
      <c r="I104" s="8" t="s">
        <v>248</v>
      </c>
      <c r="J104" s="8" t="s">
        <v>22</v>
      </c>
      <c r="K104" s="8" t="s">
        <v>892</v>
      </c>
      <c r="L104" s="8" t="s">
        <v>24</v>
      </c>
      <c r="M104" s="9">
        <v>0.0</v>
      </c>
      <c r="N104" s="9">
        <v>1.0</v>
      </c>
      <c r="O104" s="9">
        <v>1.0</v>
      </c>
      <c r="P104" s="10">
        <v>45336.0</v>
      </c>
      <c r="Q104" s="11">
        <v>1.825</v>
      </c>
      <c r="R104" s="8" t="s">
        <v>70</v>
      </c>
      <c r="S104" s="12">
        <f t="shared" si="1"/>
        <v>0</v>
      </c>
      <c r="T104" s="12">
        <f t="shared" si="4"/>
        <v>5.812545</v>
      </c>
    </row>
    <row r="105">
      <c r="A105" s="15">
        <f t="shared" si="3"/>
        <v>104</v>
      </c>
      <c r="B105" s="15" t="s">
        <v>26</v>
      </c>
      <c r="C105" s="15" t="s">
        <v>19</v>
      </c>
      <c r="D105" s="15">
        <v>57.0</v>
      </c>
      <c r="E105" s="15" t="s">
        <v>4455</v>
      </c>
      <c r="F105" s="15" t="s">
        <v>5564</v>
      </c>
      <c r="G105" s="15" t="s">
        <v>2660</v>
      </c>
      <c r="H105" s="15">
        <v>-1.0</v>
      </c>
      <c r="I105" s="15" t="s">
        <v>121</v>
      </c>
      <c r="J105" s="15" t="s">
        <v>22</v>
      </c>
      <c r="K105" s="15" t="s">
        <v>892</v>
      </c>
      <c r="L105" s="15" t="s">
        <v>39</v>
      </c>
      <c r="M105" s="16">
        <v>0.0</v>
      </c>
      <c r="N105" s="16">
        <v>0.1</v>
      </c>
      <c r="O105" s="16">
        <v>0.1</v>
      </c>
      <c r="P105" s="55">
        <v>45336.0</v>
      </c>
      <c r="Q105" s="18">
        <v>1.825</v>
      </c>
      <c r="R105" s="15" t="s">
        <v>70</v>
      </c>
      <c r="S105" s="19">
        <f t="shared" si="1"/>
        <v>0</v>
      </c>
      <c r="T105" s="19">
        <f t="shared" si="4"/>
        <v>5.812545</v>
      </c>
    </row>
    <row r="106">
      <c r="A106" s="8">
        <f t="shared" si="3"/>
        <v>105</v>
      </c>
      <c r="B106" s="8" t="s">
        <v>137</v>
      </c>
      <c r="C106" s="8" t="s">
        <v>19</v>
      </c>
      <c r="D106" s="8">
        <v>42.0</v>
      </c>
      <c r="E106" s="8" t="s">
        <v>4456</v>
      </c>
      <c r="F106" s="8" t="s">
        <v>5565</v>
      </c>
      <c r="G106" s="8" t="s">
        <v>2660</v>
      </c>
      <c r="H106" s="8">
        <v>0.0</v>
      </c>
      <c r="I106" s="8" t="s">
        <v>231</v>
      </c>
      <c r="J106" s="8" t="s">
        <v>22</v>
      </c>
      <c r="K106" s="8" t="s">
        <v>892</v>
      </c>
      <c r="L106" s="8" t="s">
        <v>24</v>
      </c>
      <c r="M106" s="9">
        <v>0.0</v>
      </c>
      <c r="N106" s="9">
        <v>1.0</v>
      </c>
      <c r="O106" s="9">
        <v>1.0</v>
      </c>
      <c r="P106" s="10">
        <v>45337.0</v>
      </c>
      <c r="Q106" s="11">
        <v>1.8</v>
      </c>
      <c r="R106" s="8" t="s">
        <v>70</v>
      </c>
      <c r="S106" s="12">
        <f t="shared" si="1"/>
        <v>0</v>
      </c>
      <c r="T106" s="12">
        <f t="shared" si="4"/>
        <v>5.812545</v>
      </c>
    </row>
    <row r="107">
      <c r="A107" s="15">
        <f t="shared" si="3"/>
        <v>106</v>
      </c>
      <c r="B107" s="15" t="s">
        <v>129</v>
      </c>
      <c r="C107" s="15" t="s">
        <v>19</v>
      </c>
      <c r="D107" s="15">
        <v>75.0</v>
      </c>
      <c r="E107" s="15" t="s">
        <v>4457</v>
      </c>
      <c r="F107" s="15" t="s">
        <v>5564</v>
      </c>
      <c r="G107" s="15" t="s">
        <v>2660</v>
      </c>
      <c r="H107" s="15">
        <v>0.0</v>
      </c>
      <c r="I107" s="15" t="s">
        <v>231</v>
      </c>
      <c r="J107" s="15" t="s">
        <v>22</v>
      </c>
      <c r="K107" s="15" t="s">
        <v>892</v>
      </c>
      <c r="L107" s="15" t="s">
        <v>24</v>
      </c>
      <c r="M107" s="16">
        <v>0.0</v>
      </c>
      <c r="N107" s="16">
        <v>1.0</v>
      </c>
      <c r="O107" s="16">
        <v>0.15</v>
      </c>
      <c r="P107" s="17">
        <v>45337.0</v>
      </c>
      <c r="Q107" s="18">
        <v>1.9</v>
      </c>
      <c r="R107" s="15" t="s">
        <v>25</v>
      </c>
      <c r="S107" s="19">
        <f t="shared" si="1"/>
        <v>-0.15</v>
      </c>
      <c r="T107" s="19">
        <f t="shared" si="4"/>
        <v>5.662545</v>
      </c>
    </row>
    <row r="108">
      <c r="A108" s="8">
        <f t="shared" si="3"/>
        <v>107</v>
      </c>
      <c r="B108" s="8" t="s">
        <v>26</v>
      </c>
      <c r="C108" s="8" t="s">
        <v>19</v>
      </c>
      <c r="D108" s="8">
        <v>45.0</v>
      </c>
      <c r="E108" s="8" t="s">
        <v>4458</v>
      </c>
      <c r="F108" s="8" t="s">
        <v>5565</v>
      </c>
      <c r="G108" s="8" t="s">
        <v>2556</v>
      </c>
      <c r="H108" s="8">
        <v>0.0</v>
      </c>
      <c r="I108" s="8" t="s">
        <v>1031</v>
      </c>
      <c r="J108" s="8" t="s">
        <v>22</v>
      </c>
      <c r="K108" s="8" t="s">
        <v>225</v>
      </c>
      <c r="L108" s="8" t="s">
        <v>24</v>
      </c>
      <c r="M108" s="9">
        <v>1.5</v>
      </c>
      <c r="N108" s="9">
        <v>0.6</v>
      </c>
      <c r="O108" s="9">
        <v>0.6</v>
      </c>
      <c r="P108" s="10">
        <v>45337.0</v>
      </c>
      <c r="Q108" s="11">
        <v>1.39</v>
      </c>
      <c r="R108" s="8" t="s">
        <v>33</v>
      </c>
      <c r="S108" s="12">
        <f t="shared" si="1"/>
        <v>0.234</v>
      </c>
      <c r="T108" s="12">
        <f t="shared" si="4"/>
        <v>5.896545</v>
      </c>
    </row>
    <row r="109">
      <c r="A109" s="15">
        <f t="shared" si="3"/>
        <v>108</v>
      </c>
      <c r="B109" s="15" t="s">
        <v>129</v>
      </c>
      <c r="C109" s="15" t="s">
        <v>19</v>
      </c>
      <c r="D109" s="15">
        <v>15.0</v>
      </c>
      <c r="E109" s="15" t="s">
        <v>4459</v>
      </c>
      <c r="F109" s="15" t="s">
        <v>5564</v>
      </c>
      <c r="G109" s="15" t="s">
        <v>2556</v>
      </c>
      <c r="H109" s="15">
        <v>0.0</v>
      </c>
      <c r="I109" s="15" t="s">
        <v>616</v>
      </c>
      <c r="J109" s="15" t="s">
        <v>22</v>
      </c>
      <c r="K109" s="15" t="s">
        <v>225</v>
      </c>
      <c r="L109" s="15" t="s">
        <v>24</v>
      </c>
      <c r="M109" s="16">
        <v>0.25</v>
      </c>
      <c r="N109" s="16">
        <v>1.0</v>
      </c>
      <c r="O109" s="16">
        <v>1.0</v>
      </c>
      <c r="P109" s="17">
        <v>45337.0</v>
      </c>
      <c r="Q109" s="18">
        <v>1.775</v>
      </c>
      <c r="R109" s="15" t="s">
        <v>33</v>
      </c>
      <c r="S109" s="19">
        <f t="shared" si="1"/>
        <v>0.775</v>
      </c>
      <c r="T109" s="19">
        <f t="shared" si="4"/>
        <v>6.671545</v>
      </c>
    </row>
    <row r="110">
      <c r="A110" s="8">
        <f t="shared" si="3"/>
        <v>109</v>
      </c>
      <c r="B110" s="8" t="s">
        <v>129</v>
      </c>
      <c r="C110" s="8" t="s">
        <v>19</v>
      </c>
      <c r="D110" s="8">
        <v>40.0</v>
      </c>
      <c r="E110" s="8" t="s">
        <v>4460</v>
      </c>
      <c r="F110" s="8" t="s">
        <v>5565</v>
      </c>
      <c r="G110" s="8" t="s">
        <v>2660</v>
      </c>
      <c r="H110" s="8">
        <v>0.0</v>
      </c>
      <c r="I110" s="8" t="s">
        <v>923</v>
      </c>
      <c r="J110" s="8" t="s">
        <v>22</v>
      </c>
      <c r="K110" s="8" t="s">
        <v>892</v>
      </c>
      <c r="L110" s="8" t="s">
        <v>24</v>
      </c>
      <c r="M110" s="9">
        <v>0.0</v>
      </c>
      <c r="N110" s="9">
        <v>0.8</v>
      </c>
      <c r="O110" s="9">
        <v>0.8</v>
      </c>
      <c r="P110" s="10">
        <v>45338.0</v>
      </c>
      <c r="Q110" s="11">
        <v>1.725</v>
      </c>
      <c r="R110" s="8" t="s">
        <v>70</v>
      </c>
      <c r="S110" s="12">
        <f t="shared" si="1"/>
        <v>0</v>
      </c>
      <c r="T110" s="12">
        <f t="shared" si="4"/>
        <v>6.671545</v>
      </c>
    </row>
    <row r="111">
      <c r="A111" s="15">
        <f t="shared" si="3"/>
        <v>110</v>
      </c>
      <c r="B111" s="15" t="s">
        <v>137</v>
      </c>
      <c r="C111" s="15" t="s">
        <v>19</v>
      </c>
      <c r="D111" s="15">
        <v>25.0</v>
      </c>
      <c r="E111" s="15" t="s">
        <v>4461</v>
      </c>
      <c r="F111" s="15" t="s">
        <v>5564</v>
      </c>
      <c r="G111" s="15" t="s">
        <v>2660</v>
      </c>
      <c r="H111" s="15">
        <v>0.0</v>
      </c>
      <c r="I111" s="15" t="s">
        <v>187</v>
      </c>
      <c r="J111" s="15" t="s">
        <v>22</v>
      </c>
      <c r="K111" s="15" t="s">
        <v>892</v>
      </c>
      <c r="L111" s="15" t="s">
        <v>39</v>
      </c>
      <c r="M111" s="16">
        <v>0.0</v>
      </c>
      <c r="N111" s="16">
        <v>1.0</v>
      </c>
      <c r="O111" s="16">
        <v>1.0</v>
      </c>
      <c r="P111" s="17">
        <v>45338.0</v>
      </c>
      <c r="Q111" s="18">
        <v>1.85</v>
      </c>
      <c r="R111" s="15" t="s">
        <v>70</v>
      </c>
      <c r="S111" s="19">
        <f t="shared" si="1"/>
        <v>0</v>
      </c>
      <c r="T111" s="19">
        <f t="shared" si="4"/>
        <v>6.671545</v>
      </c>
    </row>
    <row r="112">
      <c r="A112" s="8">
        <f t="shared" si="3"/>
        <v>111</v>
      </c>
      <c r="B112" s="8" t="s">
        <v>129</v>
      </c>
      <c r="C112" s="8" t="s">
        <v>19</v>
      </c>
      <c r="D112" s="8">
        <v>80.0</v>
      </c>
      <c r="E112" s="8" t="s">
        <v>4462</v>
      </c>
      <c r="F112" s="8" t="s">
        <v>5564</v>
      </c>
      <c r="G112" s="8" t="s">
        <v>2660</v>
      </c>
      <c r="H112" s="8">
        <v>0.0</v>
      </c>
      <c r="I112" s="8" t="s">
        <v>525</v>
      </c>
      <c r="J112" s="8" t="s">
        <v>22</v>
      </c>
      <c r="K112" s="8" t="s">
        <v>892</v>
      </c>
      <c r="L112" s="8" t="s">
        <v>24</v>
      </c>
      <c r="M112" s="9">
        <v>0.0</v>
      </c>
      <c r="N112" s="9">
        <v>1.0</v>
      </c>
      <c r="O112" s="9">
        <v>1.0</v>
      </c>
      <c r="P112" s="10">
        <v>45338.0</v>
      </c>
      <c r="Q112" s="11">
        <v>2.0</v>
      </c>
      <c r="R112" s="8" t="s">
        <v>70</v>
      </c>
      <c r="S112" s="12">
        <f t="shared" si="1"/>
        <v>0</v>
      </c>
      <c r="T112" s="12">
        <f t="shared" si="4"/>
        <v>6.671545</v>
      </c>
    </row>
    <row r="113">
      <c r="A113" s="15">
        <f t="shared" si="3"/>
        <v>112</v>
      </c>
      <c r="B113" s="15" t="s">
        <v>4225</v>
      </c>
      <c r="C113" s="15" t="s">
        <v>40</v>
      </c>
      <c r="D113" s="15">
        <v>68.0</v>
      </c>
      <c r="E113" s="15" t="s">
        <v>4463</v>
      </c>
      <c r="F113" s="15" t="s">
        <v>5565</v>
      </c>
      <c r="G113" s="15" t="s">
        <v>2660</v>
      </c>
      <c r="H113" s="15">
        <v>0.0</v>
      </c>
      <c r="I113" s="15" t="s">
        <v>187</v>
      </c>
      <c r="J113" s="15" t="s">
        <v>22</v>
      </c>
      <c r="K113" s="15" t="s">
        <v>892</v>
      </c>
      <c r="L113" s="15" t="s">
        <v>24</v>
      </c>
      <c r="M113" s="16">
        <v>0.0</v>
      </c>
      <c r="N113" s="16">
        <v>0.6</v>
      </c>
      <c r="O113" s="16">
        <v>0.6</v>
      </c>
      <c r="P113" s="17">
        <v>45338.0</v>
      </c>
      <c r="Q113" s="18">
        <v>2.05</v>
      </c>
      <c r="R113" s="15" t="s">
        <v>25</v>
      </c>
      <c r="S113" s="19">
        <f t="shared" si="1"/>
        <v>-0.6</v>
      </c>
      <c r="T113" s="19">
        <f t="shared" si="4"/>
        <v>6.071545</v>
      </c>
    </row>
    <row r="114">
      <c r="A114" s="8">
        <f t="shared" si="3"/>
        <v>113</v>
      </c>
      <c r="B114" s="8" t="s">
        <v>26</v>
      </c>
      <c r="C114" s="8" t="s">
        <v>19</v>
      </c>
      <c r="D114" s="8">
        <v>75.0</v>
      </c>
      <c r="E114" s="8" t="s">
        <v>4464</v>
      </c>
      <c r="F114" s="8" t="s">
        <v>5564</v>
      </c>
      <c r="G114" s="8" t="s">
        <v>2556</v>
      </c>
      <c r="H114" s="8">
        <v>-1.0</v>
      </c>
      <c r="I114" s="8" t="s">
        <v>28</v>
      </c>
      <c r="J114" s="8" t="s">
        <v>22</v>
      </c>
      <c r="K114" s="8" t="s">
        <v>225</v>
      </c>
      <c r="L114" s="8" t="s">
        <v>24</v>
      </c>
      <c r="M114" s="9">
        <v>0.5</v>
      </c>
      <c r="N114" s="9">
        <v>0.5</v>
      </c>
      <c r="O114" s="9">
        <v>0.5</v>
      </c>
      <c r="P114" s="10">
        <v>45338.0</v>
      </c>
      <c r="Q114" s="11">
        <v>1.62</v>
      </c>
      <c r="R114" s="8" t="s">
        <v>33</v>
      </c>
      <c r="S114" s="12">
        <f t="shared" si="1"/>
        <v>0.31</v>
      </c>
      <c r="T114" s="12">
        <f t="shared" si="4"/>
        <v>6.381545</v>
      </c>
    </row>
    <row r="115">
      <c r="A115" s="15">
        <f t="shared" si="3"/>
        <v>114</v>
      </c>
      <c r="B115" s="15" t="s">
        <v>18</v>
      </c>
      <c r="C115" s="15" t="s">
        <v>40</v>
      </c>
      <c r="D115" s="15">
        <v>25.0</v>
      </c>
      <c r="E115" s="15" t="s">
        <v>4465</v>
      </c>
      <c r="F115" s="15" t="s">
        <v>5565</v>
      </c>
      <c r="G115" s="15" t="s">
        <v>2556</v>
      </c>
      <c r="H115" s="15">
        <v>-1.0</v>
      </c>
      <c r="I115" s="15" t="s">
        <v>227</v>
      </c>
      <c r="J115" s="15" t="s">
        <v>22</v>
      </c>
      <c r="K115" s="15" t="s">
        <v>225</v>
      </c>
      <c r="L115" s="15" t="s">
        <v>24</v>
      </c>
      <c r="M115" s="16">
        <v>0.5</v>
      </c>
      <c r="N115" s="16">
        <v>0.6</v>
      </c>
      <c r="O115" s="16">
        <v>0.6</v>
      </c>
      <c r="P115" s="17">
        <v>45338.0</v>
      </c>
      <c r="Q115" s="18">
        <v>1.01</v>
      </c>
      <c r="R115" s="15" t="s">
        <v>33</v>
      </c>
      <c r="S115" s="19">
        <f t="shared" si="1"/>
        <v>0.006</v>
      </c>
      <c r="T115" s="19">
        <f t="shared" si="4"/>
        <v>6.387545</v>
      </c>
    </row>
    <row r="116">
      <c r="A116" s="8">
        <f t="shared" si="3"/>
        <v>115</v>
      </c>
      <c r="B116" s="8" t="s">
        <v>18</v>
      </c>
      <c r="C116" s="8" t="s">
        <v>40</v>
      </c>
      <c r="D116" s="8">
        <v>28.0</v>
      </c>
      <c r="E116" s="8" t="s">
        <v>4466</v>
      </c>
      <c r="F116" s="8" t="s">
        <v>5565</v>
      </c>
      <c r="G116" s="8" t="s">
        <v>2556</v>
      </c>
      <c r="H116" s="8">
        <v>-1.0</v>
      </c>
      <c r="I116" s="8" t="s">
        <v>227</v>
      </c>
      <c r="J116" s="8" t="s">
        <v>22</v>
      </c>
      <c r="K116" s="8" t="s">
        <v>225</v>
      </c>
      <c r="L116" s="8" t="s">
        <v>24</v>
      </c>
      <c r="M116" s="9">
        <v>0.25</v>
      </c>
      <c r="N116" s="9">
        <v>0.4</v>
      </c>
      <c r="O116" s="9">
        <v>0.4</v>
      </c>
      <c r="P116" s="10">
        <v>45338.0</v>
      </c>
      <c r="Q116" s="11">
        <v>1.01</v>
      </c>
      <c r="R116" s="8" t="s">
        <v>33</v>
      </c>
      <c r="S116" s="12">
        <f t="shared" si="1"/>
        <v>0.004</v>
      </c>
      <c r="T116" s="12">
        <f t="shared" si="4"/>
        <v>6.391545</v>
      </c>
    </row>
    <row r="117">
      <c r="A117" s="15">
        <f t="shared" si="3"/>
        <v>116</v>
      </c>
      <c r="B117" s="15" t="s">
        <v>26</v>
      </c>
      <c r="C117" s="15" t="s">
        <v>19</v>
      </c>
      <c r="D117" s="15">
        <v>70.0</v>
      </c>
      <c r="E117" s="15" t="s">
        <v>4467</v>
      </c>
      <c r="F117" s="15" t="s">
        <v>5564</v>
      </c>
      <c r="G117" s="15" t="s">
        <v>2660</v>
      </c>
      <c r="H117" s="15">
        <v>0.0</v>
      </c>
      <c r="I117" s="15" t="s">
        <v>487</v>
      </c>
      <c r="J117" s="15" t="s">
        <v>22</v>
      </c>
      <c r="K117" s="15" t="s">
        <v>892</v>
      </c>
      <c r="L117" s="15" t="s">
        <v>39</v>
      </c>
      <c r="M117" s="16">
        <v>0.0</v>
      </c>
      <c r="N117" s="16">
        <v>0.5</v>
      </c>
      <c r="O117" s="16">
        <v>0.5</v>
      </c>
      <c r="P117" s="17">
        <v>45339.0</v>
      </c>
      <c r="Q117" s="18">
        <v>1.975</v>
      </c>
      <c r="R117" s="15" t="s">
        <v>70</v>
      </c>
      <c r="S117" s="19">
        <f t="shared" si="1"/>
        <v>0</v>
      </c>
      <c r="T117" s="19">
        <f t="shared" si="4"/>
        <v>6.391545</v>
      </c>
    </row>
    <row r="118">
      <c r="A118" s="8">
        <f t="shared" si="3"/>
        <v>117</v>
      </c>
      <c r="B118" s="8" t="s">
        <v>26</v>
      </c>
      <c r="C118" s="8" t="s">
        <v>40</v>
      </c>
      <c r="D118" s="8">
        <v>60.0</v>
      </c>
      <c r="E118" s="8" t="s">
        <v>4468</v>
      </c>
      <c r="F118" s="8" t="s">
        <v>5565</v>
      </c>
      <c r="G118" s="8" t="s">
        <v>2556</v>
      </c>
      <c r="H118" s="8">
        <f>1</f>
        <v>1</v>
      </c>
      <c r="I118" s="8" t="s">
        <v>229</v>
      </c>
      <c r="J118" s="8" t="s">
        <v>22</v>
      </c>
      <c r="K118" s="8" t="s">
        <v>225</v>
      </c>
      <c r="L118" s="8" t="s">
        <v>24</v>
      </c>
      <c r="M118" s="9">
        <v>0.25</v>
      </c>
      <c r="N118" s="9">
        <v>0.6</v>
      </c>
      <c r="O118" s="9">
        <v>0.6</v>
      </c>
      <c r="P118" s="10">
        <v>45339.0</v>
      </c>
      <c r="Q118" s="11">
        <v>1.8</v>
      </c>
      <c r="R118" s="8" t="s">
        <v>70</v>
      </c>
      <c r="S118" s="12">
        <f t="shared" si="1"/>
        <v>0</v>
      </c>
      <c r="T118" s="12">
        <f t="shared" si="4"/>
        <v>6.391545</v>
      </c>
    </row>
    <row r="119">
      <c r="A119" s="15">
        <f t="shared" si="3"/>
        <v>118</v>
      </c>
      <c r="B119" s="15" t="s">
        <v>26</v>
      </c>
      <c r="C119" s="15" t="s">
        <v>19</v>
      </c>
      <c r="D119" s="15">
        <v>32.0</v>
      </c>
      <c r="E119" s="15" t="s">
        <v>4469</v>
      </c>
      <c r="F119" s="15" t="s">
        <v>5564</v>
      </c>
      <c r="G119" s="15" t="s">
        <v>2660</v>
      </c>
      <c r="H119" s="15">
        <v>0.0</v>
      </c>
      <c r="I119" s="15" t="s">
        <v>229</v>
      </c>
      <c r="J119" s="15" t="s">
        <v>22</v>
      </c>
      <c r="K119" s="15" t="s">
        <v>892</v>
      </c>
      <c r="L119" s="15" t="s">
        <v>24</v>
      </c>
      <c r="M119" s="16">
        <v>0.0</v>
      </c>
      <c r="N119" s="16">
        <v>0.6</v>
      </c>
      <c r="O119" s="16">
        <v>0.6</v>
      </c>
      <c r="P119" s="17">
        <v>45339.0</v>
      </c>
      <c r="Q119" s="18">
        <v>2.0</v>
      </c>
      <c r="R119" s="15" t="s">
        <v>33</v>
      </c>
      <c r="S119" s="19">
        <f t="shared" si="1"/>
        <v>0.6</v>
      </c>
      <c r="T119" s="19">
        <f t="shared" si="4"/>
        <v>6.991545</v>
      </c>
    </row>
    <row r="120">
      <c r="A120" s="8">
        <f t="shared" si="3"/>
        <v>119</v>
      </c>
      <c r="B120" s="8" t="s">
        <v>26</v>
      </c>
      <c r="C120" s="8" t="s">
        <v>19</v>
      </c>
      <c r="D120" s="8">
        <v>39.0</v>
      </c>
      <c r="E120" s="8" t="s">
        <v>4470</v>
      </c>
      <c r="F120" s="8" t="s">
        <v>5565</v>
      </c>
      <c r="G120" s="8" t="s">
        <v>2660</v>
      </c>
      <c r="H120" s="8">
        <v>0.0</v>
      </c>
      <c r="I120" s="8" t="s">
        <v>121</v>
      </c>
      <c r="J120" s="8" t="s">
        <v>22</v>
      </c>
      <c r="K120" s="8" t="s">
        <v>892</v>
      </c>
      <c r="L120" s="8" t="s">
        <v>24</v>
      </c>
      <c r="M120" s="9">
        <v>0.0</v>
      </c>
      <c r="N120" s="9">
        <v>0.6</v>
      </c>
      <c r="O120" s="9">
        <v>0.6</v>
      </c>
      <c r="P120" s="10">
        <v>45339.0</v>
      </c>
      <c r="Q120" s="11">
        <v>1.8</v>
      </c>
      <c r="R120" s="8" t="s">
        <v>33</v>
      </c>
      <c r="S120" s="12">
        <f t="shared" si="1"/>
        <v>0.48</v>
      </c>
      <c r="T120" s="12">
        <f t="shared" si="4"/>
        <v>7.471545</v>
      </c>
    </row>
    <row r="121">
      <c r="A121" s="15">
        <f t="shared" si="3"/>
        <v>120</v>
      </c>
      <c r="B121" s="15" t="s">
        <v>4225</v>
      </c>
      <c r="C121" s="15" t="s">
        <v>19</v>
      </c>
      <c r="D121" s="15">
        <v>36.0</v>
      </c>
      <c r="E121" s="15" t="s">
        <v>4471</v>
      </c>
      <c r="F121" s="15" t="s">
        <v>5565</v>
      </c>
      <c r="G121" s="15" t="s">
        <v>2556</v>
      </c>
      <c r="H121" s="15">
        <f>1</f>
        <v>1</v>
      </c>
      <c r="I121" s="15" t="s">
        <v>908</v>
      </c>
      <c r="J121" s="15" t="s">
        <v>22</v>
      </c>
      <c r="K121" s="15" t="s">
        <v>225</v>
      </c>
      <c r="L121" s="15" t="s">
        <v>24</v>
      </c>
      <c r="M121" s="16">
        <v>1.5</v>
      </c>
      <c r="N121" s="16">
        <v>0.5</v>
      </c>
      <c r="O121" s="16">
        <v>0.5</v>
      </c>
      <c r="P121" s="17">
        <v>45339.0</v>
      </c>
      <c r="Q121" s="18">
        <v>1.224</v>
      </c>
      <c r="R121" s="15" t="s">
        <v>33</v>
      </c>
      <c r="S121" s="19">
        <f t="shared" si="1"/>
        <v>0.112</v>
      </c>
      <c r="T121" s="19">
        <f t="shared" si="4"/>
        <v>7.583545</v>
      </c>
    </row>
    <row r="122">
      <c r="A122" s="8">
        <f t="shared" si="3"/>
        <v>121</v>
      </c>
      <c r="B122" s="8" t="s">
        <v>18</v>
      </c>
      <c r="C122" s="8" t="s">
        <v>40</v>
      </c>
      <c r="D122" s="8">
        <v>76.0</v>
      </c>
      <c r="E122" s="8" t="s">
        <v>4472</v>
      </c>
      <c r="F122" s="8" t="s">
        <v>5565</v>
      </c>
      <c r="G122" s="8" t="s">
        <v>2660</v>
      </c>
      <c r="H122" s="8">
        <v>0.0</v>
      </c>
      <c r="I122" s="8" t="s">
        <v>48</v>
      </c>
      <c r="J122" s="8" t="s">
        <v>22</v>
      </c>
      <c r="K122" s="8" t="s">
        <v>892</v>
      </c>
      <c r="L122" s="8" t="s">
        <v>24</v>
      </c>
      <c r="M122" s="9">
        <v>0.0</v>
      </c>
      <c r="N122" s="9">
        <v>0.5</v>
      </c>
      <c r="O122" s="9">
        <v>0.5</v>
      </c>
      <c r="P122" s="10">
        <v>45339.0</v>
      </c>
      <c r="Q122" s="11">
        <v>2.25</v>
      </c>
      <c r="R122" s="8" t="s">
        <v>33</v>
      </c>
      <c r="S122" s="12">
        <f t="shared" si="1"/>
        <v>0.625</v>
      </c>
      <c r="T122" s="12">
        <f t="shared" si="4"/>
        <v>8.208545</v>
      </c>
    </row>
    <row r="123">
      <c r="A123" s="15">
        <f t="shared" si="3"/>
        <v>122</v>
      </c>
      <c r="B123" s="15" t="s">
        <v>26</v>
      </c>
      <c r="C123" s="15" t="s">
        <v>19</v>
      </c>
      <c r="D123" s="15">
        <v>45.0</v>
      </c>
      <c r="E123" s="15" t="s">
        <v>4473</v>
      </c>
      <c r="F123" s="15" t="s">
        <v>5564</v>
      </c>
      <c r="G123" s="15" t="s">
        <v>2660</v>
      </c>
      <c r="H123" s="15">
        <v>-1.0</v>
      </c>
      <c r="I123" s="15" t="s">
        <v>178</v>
      </c>
      <c r="J123" s="15" t="s">
        <v>22</v>
      </c>
      <c r="K123" s="15" t="s">
        <v>892</v>
      </c>
      <c r="L123" s="15" t="s">
        <v>24</v>
      </c>
      <c r="M123" s="16">
        <v>0.0</v>
      </c>
      <c r="N123" s="16">
        <v>0.75</v>
      </c>
      <c r="O123" s="16">
        <v>0.73</v>
      </c>
      <c r="P123" s="55">
        <v>45339.0</v>
      </c>
      <c r="Q123" s="18">
        <v>1.85</v>
      </c>
      <c r="R123" s="15" t="s">
        <v>70</v>
      </c>
      <c r="S123" s="19">
        <f t="shared" si="1"/>
        <v>0</v>
      </c>
      <c r="T123" s="19">
        <f t="shared" si="4"/>
        <v>8.208545</v>
      </c>
    </row>
    <row r="124">
      <c r="A124" s="8">
        <f t="shared" si="3"/>
        <v>123</v>
      </c>
      <c r="B124" s="8" t="s">
        <v>26</v>
      </c>
      <c r="C124" s="8" t="s">
        <v>19</v>
      </c>
      <c r="D124" s="8">
        <v>73.0</v>
      </c>
      <c r="E124" s="8" t="s">
        <v>4474</v>
      </c>
      <c r="F124" s="8" t="s">
        <v>5564</v>
      </c>
      <c r="G124" s="8" t="s">
        <v>2660</v>
      </c>
      <c r="H124" s="8">
        <v>2</v>
      </c>
      <c r="I124" s="8" t="s">
        <v>28</v>
      </c>
      <c r="J124" s="8" t="s">
        <v>22</v>
      </c>
      <c r="K124" s="8" t="s">
        <v>892</v>
      </c>
      <c r="L124" s="8" t="s">
        <v>24</v>
      </c>
      <c r="M124" s="9">
        <v>0.0</v>
      </c>
      <c r="N124" s="9">
        <v>1.0</v>
      </c>
      <c r="O124" s="9">
        <v>1.0</v>
      </c>
      <c r="P124" s="10">
        <v>45339.0</v>
      </c>
      <c r="Q124" s="11">
        <v>1.725</v>
      </c>
      <c r="R124" s="8" t="s">
        <v>70</v>
      </c>
      <c r="S124" s="12">
        <f t="shared" si="1"/>
        <v>0</v>
      </c>
      <c r="T124" s="12">
        <f t="shared" si="4"/>
        <v>8.208545</v>
      </c>
    </row>
    <row r="125">
      <c r="A125" s="15">
        <f t="shared" si="3"/>
        <v>124</v>
      </c>
      <c r="B125" s="15" t="s">
        <v>131</v>
      </c>
      <c r="C125" s="15" t="s">
        <v>19</v>
      </c>
      <c r="D125" s="15">
        <v>79.0</v>
      </c>
      <c r="E125" s="15" t="s">
        <v>4475</v>
      </c>
      <c r="F125" s="15" t="s">
        <v>5564</v>
      </c>
      <c r="G125" s="15" t="s">
        <v>2556</v>
      </c>
      <c r="H125" s="15">
        <v>0.0</v>
      </c>
      <c r="I125" s="15" t="s">
        <v>273</v>
      </c>
      <c r="J125" s="15" t="s">
        <v>22</v>
      </c>
      <c r="K125" s="15" t="s">
        <v>4352</v>
      </c>
      <c r="L125" s="15" t="s">
        <v>24</v>
      </c>
      <c r="M125" s="16">
        <v>0.0</v>
      </c>
      <c r="N125" s="16">
        <v>0.3</v>
      </c>
      <c r="O125" s="16">
        <v>0.3</v>
      </c>
      <c r="P125" s="17">
        <v>45339.0</v>
      </c>
      <c r="Q125" s="18">
        <v>2.5</v>
      </c>
      <c r="R125" s="15" t="s">
        <v>70</v>
      </c>
      <c r="S125" s="19">
        <f t="shared" si="1"/>
        <v>0</v>
      </c>
      <c r="T125" s="19">
        <f t="shared" si="4"/>
        <v>8.208545</v>
      </c>
    </row>
    <row r="126">
      <c r="A126" s="8">
        <f t="shared" si="3"/>
        <v>125</v>
      </c>
      <c r="B126" s="8" t="s">
        <v>129</v>
      </c>
      <c r="C126" s="8" t="s">
        <v>40</v>
      </c>
      <c r="D126" s="8">
        <v>40.0</v>
      </c>
      <c r="E126" s="8" t="s">
        <v>4476</v>
      </c>
      <c r="F126" s="8" t="s">
        <v>5564</v>
      </c>
      <c r="G126" s="8" t="s">
        <v>2660</v>
      </c>
      <c r="H126" s="8">
        <f>1</f>
        <v>1</v>
      </c>
      <c r="I126" s="8" t="s">
        <v>93</v>
      </c>
      <c r="J126" s="8" t="s">
        <v>22</v>
      </c>
      <c r="K126" s="8" t="s">
        <v>1150</v>
      </c>
      <c r="L126" s="8" t="s">
        <v>24</v>
      </c>
      <c r="M126" s="9">
        <v>0.0</v>
      </c>
      <c r="N126" s="9">
        <v>0.25</v>
      </c>
      <c r="O126" s="9">
        <v>0.25</v>
      </c>
      <c r="P126" s="54">
        <v>45339.0</v>
      </c>
      <c r="Q126" s="11">
        <v>1.825</v>
      </c>
      <c r="R126" s="8" t="s">
        <v>70</v>
      </c>
      <c r="S126" s="12">
        <f t="shared" si="1"/>
        <v>0</v>
      </c>
      <c r="T126" s="12">
        <f t="shared" si="4"/>
        <v>8.208545</v>
      </c>
    </row>
    <row r="127">
      <c r="A127" s="15">
        <f t="shared" si="3"/>
        <v>126</v>
      </c>
      <c r="B127" s="15" t="s">
        <v>26</v>
      </c>
      <c r="C127" s="15" t="s">
        <v>19</v>
      </c>
      <c r="D127" s="15">
        <v>75.0</v>
      </c>
      <c r="E127" s="15" t="s">
        <v>4477</v>
      </c>
      <c r="F127" s="15" t="s">
        <v>5565</v>
      </c>
      <c r="G127" s="15" t="s">
        <v>2660</v>
      </c>
      <c r="H127" s="15">
        <v>0.0</v>
      </c>
      <c r="I127" s="15" t="s">
        <v>227</v>
      </c>
      <c r="J127" s="15" t="s">
        <v>22</v>
      </c>
      <c r="K127" s="15" t="s">
        <v>892</v>
      </c>
      <c r="L127" s="15" t="s">
        <v>24</v>
      </c>
      <c r="M127" s="16">
        <v>0.0</v>
      </c>
      <c r="N127" s="16">
        <v>1.0</v>
      </c>
      <c r="O127" s="16">
        <v>1.0</v>
      </c>
      <c r="P127" s="17">
        <v>45339.0</v>
      </c>
      <c r="Q127" s="18">
        <v>1.7</v>
      </c>
      <c r="R127" s="15" t="s">
        <v>70</v>
      </c>
      <c r="S127" s="19">
        <f t="shared" si="1"/>
        <v>0</v>
      </c>
      <c r="T127" s="19">
        <f t="shared" si="4"/>
        <v>8.208545</v>
      </c>
    </row>
    <row r="128">
      <c r="A128" s="8">
        <f t="shared" si="3"/>
        <v>127</v>
      </c>
      <c r="B128" s="8" t="s">
        <v>26</v>
      </c>
      <c r="C128" s="8" t="s">
        <v>19</v>
      </c>
      <c r="D128" s="8">
        <v>55.0</v>
      </c>
      <c r="E128" s="8" t="s">
        <v>4478</v>
      </c>
      <c r="F128" s="8" t="s">
        <v>5564</v>
      </c>
      <c r="G128" s="8" t="s">
        <v>2660</v>
      </c>
      <c r="H128" s="8">
        <v>-1.0</v>
      </c>
      <c r="I128" s="8" t="s">
        <v>172</v>
      </c>
      <c r="J128" s="8" t="s">
        <v>22</v>
      </c>
      <c r="K128" s="8" t="s">
        <v>892</v>
      </c>
      <c r="L128" s="8" t="s">
        <v>24</v>
      </c>
      <c r="M128" s="9">
        <v>0.0</v>
      </c>
      <c r="N128" s="9">
        <v>1.0</v>
      </c>
      <c r="O128" s="9">
        <v>1.0</v>
      </c>
      <c r="P128" s="10">
        <v>45339.0</v>
      </c>
      <c r="Q128" s="11">
        <v>1.725</v>
      </c>
      <c r="R128" s="8" t="s">
        <v>25</v>
      </c>
      <c r="S128" s="12">
        <f t="shared" si="1"/>
        <v>-1</v>
      </c>
      <c r="T128" s="12">
        <f t="shared" si="4"/>
        <v>7.208545</v>
      </c>
    </row>
    <row r="129">
      <c r="A129" s="15">
        <f t="shared" si="3"/>
        <v>128</v>
      </c>
      <c r="B129" s="15" t="s">
        <v>26</v>
      </c>
      <c r="C129" s="15" t="s">
        <v>19</v>
      </c>
      <c r="D129" s="15">
        <v>65.0</v>
      </c>
      <c r="E129" s="15" t="s">
        <v>4479</v>
      </c>
      <c r="F129" s="15" t="s">
        <v>5565</v>
      </c>
      <c r="G129" s="15" t="s">
        <v>2660</v>
      </c>
      <c r="H129" s="15">
        <v>0.0</v>
      </c>
      <c r="I129" s="15" t="s">
        <v>172</v>
      </c>
      <c r="J129" s="15" t="s">
        <v>22</v>
      </c>
      <c r="K129" s="15" t="s">
        <v>892</v>
      </c>
      <c r="L129" s="15" t="s">
        <v>24</v>
      </c>
      <c r="M129" s="16">
        <v>0.0</v>
      </c>
      <c r="N129" s="16">
        <v>0.65</v>
      </c>
      <c r="O129" s="16">
        <v>0.65</v>
      </c>
      <c r="P129" s="17">
        <v>45339.0</v>
      </c>
      <c r="Q129" s="18">
        <v>1.65</v>
      </c>
      <c r="R129" s="15" t="s">
        <v>33</v>
      </c>
      <c r="S129" s="19">
        <f t="shared" si="1"/>
        <v>0.4225</v>
      </c>
      <c r="T129" s="19">
        <f t="shared" si="4"/>
        <v>7.631045</v>
      </c>
    </row>
    <row r="130">
      <c r="A130" s="8">
        <f t="shared" si="3"/>
        <v>129</v>
      </c>
      <c r="B130" s="8" t="s">
        <v>4225</v>
      </c>
      <c r="C130" s="8" t="s">
        <v>19</v>
      </c>
      <c r="D130" s="8">
        <v>30.0</v>
      </c>
      <c r="E130" s="8" t="s">
        <v>4480</v>
      </c>
      <c r="F130" s="8" t="s">
        <v>5564</v>
      </c>
      <c r="G130" s="8" t="s">
        <v>2556</v>
      </c>
      <c r="H130" s="8">
        <v>0.0</v>
      </c>
      <c r="I130" s="8" t="s">
        <v>93</v>
      </c>
      <c r="J130" s="8" t="s">
        <v>22</v>
      </c>
      <c r="K130" s="8" t="s">
        <v>225</v>
      </c>
      <c r="L130" s="8" t="s">
        <v>24</v>
      </c>
      <c r="M130" s="9">
        <v>0.25</v>
      </c>
      <c r="N130" s="9">
        <v>0.2</v>
      </c>
      <c r="O130" s="9">
        <v>0.2</v>
      </c>
      <c r="P130" s="10">
        <v>45339.0</v>
      </c>
      <c r="Q130" s="11">
        <v>1.775</v>
      </c>
      <c r="R130" s="8" t="s">
        <v>33</v>
      </c>
      <c r="S130" s="12">
        <f t="shared" si="1"/>
        <v>0.155</v>
      </c>
      <c r="T130" s="12">
        <f t="shared" si="4"/>
        <v>7.786045</v>
      </c>
    </row>
    <row r="131">
      <c r="A131" s="15">
        <f t="shared" si="3"/>
        <v>130</v>
      </c>
      <c r="B131" s="15" t="s">
        <v>129</v>
      </c>
      <c r="C131" s="15" t="s">
        <v>19</v>
      </c>
      <c r="D131" s="15">
        <v>80.0</v>
      </c>
      <c r="E131" s="15" t="s">
        <v>4481</v>
      </c>
      <c r="F131" s="15" t="s">
        <v>5564</v>
      </c>
      <c r="G131" s="15" t="s">
        <v>2556</v>
      </c>
      <c r="H131" s="15">
        <f>1</f>
        <v>1</v>
      </c>
      <c r="I131" s="15" t="s">
        <v>124</v>
      </c>
      <c r="J131" s="15" t="s">
        <v>22</v>
      </c>
      <c r="K131" s="15" t="s">
        <v>225</v>
      </c>
      <c r="L131" s="15" t="s">
        <v>24</v>
      </c>
      <c r="M131" s="16">
        <v>0.5</v>
      </c>
      <c r="N131" s="16">
        <v>0.5</v>
      </c>
      <c r="O131" s="16">
        <v>0.5</v>
      </c>
      <c r="P131" s="17">
        <v>45339.0</v>
      </c>
      <c r="Q131" s="18">
        <v>1.8</v>
      </c>
      <c r="R131" s="15" t="s">
        <v>25</v>
      </c>
      <c r="S131" s="19">
        <f t="shared" si="1"/>
        <v>-0.5</v>
      </c>
      <c r="T131" s="19">
        <f t="shared" si="4"/>
        <v>7.286045</v>
      </c>
    </row>
    <row r="132">
      <c r="A132" s="8">
        <f t="shared" si="3"/>
        <v>131</v>
      </c>
      <c r="B132" s="8" t="s">
        <v>26</v>
      </c>
      <c r="C132" s="8" t="s">
        <v>40</v>
      </c>
      <c r="D132" s="8">
        <v>57.0</v>
      </c>
      <c r="E132" s="8" t="s">
        <v>4482</v>
      </c>
      <c r="F132" s="8" t="s">
        <v>5564</v>
      </c>
      <c r="G132" s="8" t="s">
        <v>2556</v>
      </c>
      <c r="H132" s="8">
        <v>-1.0</v>
      </c>
      <c r="I132" s="8" t="s">
        <v>28</v>
      </c>
      <c r="J132" s="8" t="s">
        <v>22</v>
      </c>
      <c r="K132" s="8" t="s">
        <v>225</v>
      </c>
      <c r="L132" s="8" t="s">
        <v>24</v>
      </c>
      <c r="M132" s="9">
        <v>0.25</v>
      </c>
      <c r="N132" s="9">
        <v>1.0</v>
      </c>
      <c r="O132" s="9">
        <v>1.0</v>
      </c>
      <c r="P132" s="10">
        <v>45339.0</v>
      </c>
      <c r="Q132" s="11">
        <v>1.85</v>
      </c>
      <c r="R132" s="8" t="s">
        <v>25</v>
      </c>
      <c r="S132" s="12">
        <f t="shared" si="1"/>
        <v>-1</v>
      </c>
      <c r="T132" s="12">
        <f t="shared" si="4"/>
        <v>6.286045</v>
      </c>
    </row>
    <row r="133">
      <c r="A133" s="15">
        <f t="shared" si="3"/>
        <v>132</v>
      </c>
      <c r="B133" s="15" t="s">
        <v>26</v>
      </c>
      <c r="C133" s="15" t="s">
        <v>40</v>
      </c>
      <c r="D133" s="15">
        <v>54.0</v>
      </c>
      <c r="E133" s="15" t="s">
        <v>4483</v>
      </c>
      <c r="F133" s="15" t="s">
        <v>5565</v>
      </c>
      <c r="G133" s="15" t="s">
        <v>2556</v>
      </c>
      <c r="H133" s="15">
        <v>0.0</v>
      </c>
      <c r="I133" s="15" t="s">
        <v>93</v>
      </c>
      <c r="J133" s="15" t="s">
        <v>22</v>
      </c>
      <c r="K133" s="15" t="s">
        <v>4352</v>
      </c>
      <c r="L133" s="15" t="s">
        <v>24</v>
      </c>
      <c r="M133" s="16">
        <v>0.0</v>
      </c>
      <c r="N133" s="16">
        <v>0.6</v>
      </c>
      <c r="O133" s="16">
        <v>0.6</v>
      </c>
      <c r="P133" s="17">
        <v>45339.0</v>
      </c>
      <c r="Q133" s="18">
        <v>1.8</v>
      </c>
      <c r="R133" s="15" t="s">
        <v>70</v>
      </c>
      <c r="S133" s="19">
        <f t="shared" si="1"/>
        <v>0</v>
      </c>
      <c r="T133" s="19">
        <f t="shared" si="4"/>
        <v>6.286045</v>
      </c>
    </row>
    <row r="134">
      <c r="A134" s="8">
        <f t="shared" si="3"/>
        <v>133</v>
      </c>
      <c r="B134" s="8" t="s">
        <v>137</v>
      </c>
      <c r="C134" s="8" t="s">
        <v>40</v>
      </c>
      <c r="D134" s="8">
        <v>35.0</v>
      </c>
      <c r="E134" s="8" t="s">
        <v>4484</v>
      </c>
      <c r="F134" s="8" t="s">
        <v>5564</v>
      </c>
      <c r="G134" s="8" t="s">
        <v>2660</v>
      </c>
      <c r="H134" s="8">
        <f>1</f>
        <v>1</v>
      </c>
      <c r="I134" s="8" t="s">
        <v>93</v>
      </c>
      <c r="J134" s="8" t="s">
        <v>22</v>
      </c>
      <c r="K134" s="8" t="s">
        <v>1150</v>
      </c>
      <c r="L134" s="8" t="s">
        <v>24</v>
      </c>
      <c r="M134" s="9">
        <v>0.0</v>
      </c>
      <c r="N134" s="9">
        <v>0.5</v>
      </c>
      <c r="O134" s="9">
        <v>0.442</v>
      </c>
      <c r="P134" s="10">
        <v>45339.0</v>
      </c>
      <c r="Q134" s="11">
        <v>2.025</v>
      </c>
      <c r="R134" s="8" t="s">
        <v>70</v>
      </c>
      <c r="S134" s="12">
        <f t="shared" si="1"/>
        <v>0</v>
      </c>
      <c r="T134" s="12">
        <f t="shared" si="4"/>
        <v>6.286045</v>
      </c>
    </row>
    <row r="135">
      <c r="A135" s="15">
        <f t="shared" si="3"/>
        <v>134</v>
      </c>
      <c r="B135" s="15" t="s">
        <v>26</v>
      </c>
      <c r="C135" s="15" t="s">
        <v>19</v>
      </c>
      <c r="D135" s="15">
        <v>16.0</v>
      </c>
      <c r="E135" s="15" t="s">
        <v>4485</v>
      </c>
      <c r="F135" s="15" t="s">
        <v>5565</v>
      </c>
      <c r="G135" s="15" t="s">
        <v>2660</v>
      </c>
      <c r="H135" s="15">
        <v>0.0</v>
      </c>
      <c r="I135" s="15" t="s">
        <v>88</v>
      </c>
      <c r="J135" s="15" t="s">
        <v>22</v>
      </c>
      <c r="K135" s="15" t="s">
        <v>1150</v>
      </c>
      <c r="L135" s="15" t="s">
        <v>39</v>
      </c>
      <c r="M135" s="16">
        <v>0.0</v>
      </c>
      <c r="N135" s="16">
        <v>0.75</v>
      </c>
      <c r="O135" s="16">
        <v>0.75</v>
      </c>
      <c r="P135" s="17">
        <v>45340.0</v>
      </c>
      <c r="Q135" s="18">
        <v>1.9</v>
      </c>
      <c r="R135" s="15" t="s">
        <v>70</v>
      </c>
      <c r="S135" s="19">
        <f t="shared" si="1"/>
        <v>0</v>
      </c>
      <c r="T135" s="19">
        <f t="shared" si="4"/>
        <v>6.286045</v>
      </c>
    </row>
    <row r="136">
      <c r="A136" s="8">
        <f t="shared" si="3"/>
        <v>135</v>
      </c>
      <c r="B136" s="8" t="s">
        <v>26</v>
      </c>
      <c r="C136" s="8" t="s">
        <v>19</v>
      </c>
      <c r="D136" s="8">
        <v>62.0</v>
      </c>
      <c r="E136" s="8" t="s">
        <v>4486</v>
      </c>
      <c r="F136" s="8" t="s">
        <v>5564</v>
      </c>
      <c r="G136" s="8" t="s">
        <v>2660</v>
      </c>
      <c r="H136" s="8">
        <f>1</f>
        <v>1</v>
      </c>
      <c r="I136" s="8" t="s">
        <v>50</v>
      </c>
      <c r="J136" s="8" t="s">
        <v>22</v>
      </c>
      <c r="K136" s="8" t="s">
        <v>892</v>
      </c>
      <c r="L136" s="8" t="s">
        <v>24</v>
      </c>
      <c r="M136" s="9">
        <v>0.0</v>
      </c>
      <c r="N136" s="9">
        <v>1.0</v>
      </c>
      <c r="O136" s="9">
        <v>0.897</v>
      </c>
      <c r="P136" s="10">
        <v>45340.0</v>
      </c>
      <c r="Q136" s="11">
        <v>1.825</v>
      </c>
      <c r="R136" s="8" t="s">
        <v>70</v>
      </c>
      <c r="S136" s="12">
        <f t="shared" si="1"/>
        <v>0</v>
      </c>
      <c r="T136" s="12">
        <f t="shared" si="4"/>
        <v>6.286045</v>
      </c>
    </row>
    <row r="137">
      <c r="A137" s="15">
        <f t="shared" si="3"/>
        <v>136</v>
      </c>
      <c r="B137" s="15" t="s">
        <v>137</v>
      </c>
      <c r="C137" s="15" t="s">
        <v>19</v>
      </c>
      <c r="D137" s="15">
        <v>70.0</v>
      </c>
      <c r="E137" s="15" t="s">
        <v>4487</v>
      </c>
      <c r="F137" s="15" t="s">
        <v>5564</v>
      </c>
      <c r="G137" s="15" t="s">
        <v>2660</v>
      </c>
      <c r="H137" s="15">
        <v>-2.0</v>
      </c>
      <c r="I137" s="15" t="s">
        <v>93</v>
      </c>
      <c r="J137" s="15" t="s">
        <v>22</v>
      </c>
      <c r="K137" s="15" t="s">
        <v>892</v>
      </c>
      <c r="L137" s="15" t="s">
        <v>24</v>
      </c>
      <c r="M137" s="16">
        <v>0.0</v>
      </c>
      <c r="N137" s="16">
        <v>1.0</v>
      </c>
      <c r="O137" s="16">
        <v>1.0</v>
      </c>
      <c r="P137" s="55">
        <v>45340.0</v>
      </c>
      <c r="Q137" s="18">
        <v>2.075</v>
      </c>
      <c r="R137" s="15" t="s">
        <v>33</v>
      </c>
      <c r="S137" s="19">
        <f t="shared" si="1"/>
        <v>1.075</v>
      </c>
      <c r="T137" s="19">
        <f t="shared" si="4"/>
        <v>7.361045</v>
      </c>
    </row>
    <row r="138">
      <c r="A138" s="8">
        <f t="shared" si="3"/>
        <v>137</v>
      </c>
      <c r="B138" s="8" t="s">
        <v>4225</v>
      </c>
      <c r="C138" s="8" t="s">
        <v>19</v>
      </c>
      <c r="D138" s="114">
        <v>77.0</v>
      </c>
      <c r="E138" s="8" t="s">
        <v>4488</v>
      </c>
      <c r="F138" s="8" t="s">
        <v>5565</v>
      </c>
      <c r="G138" s="8" t="s">
        <v>2660</v>
      </c>
      <c r="H138" s="8">
        <v>-1.0</v>
      </c>
      <c r="I138" s="8" t="s">
        <v>229</v>
      </c>
      <c r="J138" s="8" t="s">
        <v>22</v>
      </c>
      <c r="K138" s="8" t="s">
        <v>892</v>
      </c>
      <c r="L138" s="8" t="s">
        <v>24</v>
      </c>
      <c r="M138" s="9">
        <v>0.0</v>
      </c>
      <c r="N138" s="9">
        <v>0.5</v>
      </c>
      <c r="O138" s="9">
        <v>0.5</v>
      </c>
      <c r="P138" s="10">
        <v>45340.0</v>
      </c>
      <c r="Q138" s="11">
        <v>2.02</v>
      </c>
      <c r="R138" s="8" t="s">
        <v>70</v>
      </c>
      <c r="S138" s="12">
        <f t="shared" si="1"/>
        <v>0</v>
      </c>
      <c r="T138" s="12">
        <f t="shared" si="4"/>
        <v>7.361045</v>
      </c>
    </row>
    <row r="139">
      <c r="A139" s="15">
        <f t="shared" si="3"/>
        <v>138</v>
      </c>
      <c r="B139" s="15" t="s">
        <v>26</v>
      </c>
      <c r="C139" s="15" t="s">
        <v>40</v>
      </c>
      <c r="D139" s="15">
        <v>59.0</v>
      </c>
      <c r="E139" s="15" t="s">
        <v>4489</v>
      </c>
      <c r="F139" s="15" t="s">
        <v>5564</v>
      </c>
      <c r="G139" s="15" t="s">
        <v>2660</v>
      </c>
      <c r="H139" s="15">
        <f t="shared" ref="H139:H140" si="10">1</f>
        <v>1</v>
      </c>
      <c r="I139" s="15" t="s">
        <v>93</v>
      </c>
      <c r="J139" s="15" t="s">
        <v>22</v>
      </c>
      <c r="K139" s="15" t="s">
        <v>892</v>
      </c>
      <c r="L139" s="15" t="s">
        <v>24</v>
      </c>
      <c r="M139" s="16">
        <v>0.0</v>
      </c>
      <c r="N139" s="16">
        <v>1.0</v>
      </c>
      <c r="O139" s="16">
        <v>1.0</v>
      </c>
      <c r="P139" s="17">
        <v>45340.0</v>
      </c>
      <c r="Q139" s="18">
        <v>1.8</v>
      </c>
      <c r="R139" s="15" t="s">
        <v>70</v>
      </c>
      <c r="S139" s="19">
        <f t="shared" si="1"/>
        <v>0</v>
      </c>
      <c r="T139" s="19">
        <f t="shared" si="4"/>
        <v>7.361045</v>
      </c>
    </row>
    <row r="140">
      <c r="A140" s="8">
        <f t="shared" si="3"/>
        <v>139</v>
      </c>
      <c r="B140" s="8" t="s">
        <v>137</v>
      </c>
      <c r="C140" s="8" t="s">
        <v>19</v>
      </c>
      <c r="D140" s="8">
        <v>23.0</v>
      </c>
      <c r="E140" s="8" t="s">
        <v>4490</v>
      </c>
      <c r="F140" s="8" t="s">
        <v>5564</v>
      </c>
      <c r="G140" s="8" t="s">
        <v>2660</v>
      </c>
      <c r="H140" s="8">
        <f t="shared" si="10"/>
        <v>1</v>
      </c>
      <c r="I140" s="8" t="s">
        <v>273</v>
      </c>
      <c r="J140" s="8" t="s">
        <v>22</v>
      </c>
      <c r="K140" s="8" t="s">
        <v>892</v>
      </c>
      <c r="L140" s="8" t="s">
        <v>24</v>
      </c>
      <c r="M140" s="9">
        <v>0.0</v>
      </c>
      <c r="N140" s="9">
        <v>1.0</v>
      </c>
      <c r="O140" s="9">
        <v>1.0</v>
      </c>
      <c r="P140" s="54">
        <v>45340.0</v>
      </c>
      <c r="Q140" s="11">
        <v>1.709</v>
      </c>
      <c r="R140" s="8" t="s">
        <v>33</v>
      </c>
      <c r="S140" s="12">
        <f t="shared" si="1"/>
        <v>0.709</v>
      </c>
      <c r="T140" s="12">
        <f t="shared" si="4"/>
        <v>8.070045</v>
      </c>
    </row>
    <row r="141">
      <c r="A141" s="15">
        <f t="shared" si="3"/>
        <v>140</v>
      </c>
      <c r="B141" s="15" t="s">
        <v>26</v>
      </c>
      <c r="C141" s="15" t="s">
        <v>19</v>
      </c>
      <c r="D141" s="15">
        <v>5.0</v>
      </c>
      <c r="E141" s="15" t="s">
        <v>4491</v>
      </c>
      <c r="F141" s="15" t="s">
        <v>5565</v>
      </c>
      <c r="G141" s="15" t="s">
        <v>2556</v>
      </c>
      <c r="H141" s="15">
        <v>0.0</v>
      </c>
      <c r="I141" s="15" t="s">
        <v>121</v>
      </c>
      <c r="J141" s="15" t="s">
        <v>22</v>
      </c>
      <c r="K141" s="15" t="s">
        <v>1847</v>
      </c>
      <c r="L141" s="15" t="s">
        <v>1522</v>
      </c>
      <c r="M141" s="16">
        <v>-0.5</v>
      </c>
      <c r="N141" s="16">
        <v>0.5</v>
      </c>
      <c r="O141" s="16">
        <v>0.5</v>
      </c>
      <c r="P141" s="17">
        <v>45340.0</v>
      </c>
      <c r="Q141" s="18">
        <v>1.8</v>
      </c>
      <c r="R141" s="15" t="s">
        <v>25</v>
      </c>
      <c r="S141" s="19">
        <f t="shared" si="1"/>
        <v>-0.5</v>
      </c>
      <c r="T141" s="19">
        <f t="shared" si="4"/>
        <v>7.570045</v>
      </c>
    </row>
    <row r="142">
      <c r="A142" s="8">
        <f t="shared" si="3"/>
        <v>141</v>
      </c>
      <c r="B142" s="8" t="s">
        <v>137</v>
      </c>
      <c r="C142" s="8" t="s">
        <v>19</v>
      </c>
      <c r="D142" s="8">
        <v>33.0</v>
      </c>
      <c r="E142" s="8" t="s">
        <v>4492</v>
      </c>
      <c r="F142" s="8" t="s">
        <v>5564</v>
      </c>
      <c r="G142" s="8" t="s">
        <v>2556</v>
      </c>
      <c r="H142" s="8">
        <v>0.0</v>
      </c>
      <c r="I142" s="8" t="s">
        <v>96</v>
      </c>
      <c r="J142" s="8" t="s">
        <v>22</v>
      </c>
      <c r="K142" s="8" t="s">
        <v>225</v>
      </c>
      <c r="L142" s="8" t="s">
        <v>24</v>
      </c>
      <c r="M142" s="9">
        <v>0.25</v>
      </c>
      <c r="N142" s="9">
        <v>1.0</v>
      </c>
      <c r="O142" s="9">
        <v>1.0</v>
      </c>
      <c r="P142" s="10">
        <v>45340.0</v>
      </c>
      <c r="Q142" s="11">
        <v>1.725</v>
      </c>
      <c r="R142" s="8" t="s">
        <v>996</v>
      </c>
      <c r="S142" s="12">
        <f t="shared" si="1"/>
        <v>0.3625</v>
      </c>
      <c r="T142" s="12">
        <f t="shared" si="4"/>
        <v>7.932545</v>
      </c>
    </row>
    <row r="143">
      <c r="A143" s="15">
        <f t="shared" si="3"/>
        <v>142</v>
      </c>
      <c r="B143" s="15" t="s">
        <v>26</v>
      </c>
      <c r="C143" s="15" t="s">
        <v>19</v>
      </c>
      <c r="D143" s="15">
        <v>67.0</v>
      </c>
      <c r="E143" s="15" t="s">
        <v>4493</v>
      </c>
      <c r="F143" s="15" t="s">
        <v>5565</v>
      </c>
      <c r="G143" s="15" t="s">
        <v>2660</v>
      </c>
      <c r="H143" s="15">
        <f>1</f>
        <v>1</v>
      </c>
      <c r="I143" s="15" t="s">
        <v>44</v>
      </c>
      <c r="J143" s="15" t="s">
        <v>22</v>
      </c>
      <c r="K143" s="15" t="s">
        <v>892</v>
      </c>
      <c r="L143" s="15" t="s">
        <v>24</v>
      </c>
      <c r="M143" s="16">
        <v>0.0</v>
      </c>
      <c r="N143" s="16">
        <v>0.25</v>
      </c>
      <c r="O143" s="16">
        <v>0.25</v>
      </c>
      <c r="P143" s="17">
        <v>45340.0</v>
      </c>
      <c r="Q143" s="18">
        <v>1.775</v>
      </c>
      <c r="R143" s="15" t="s">
        <v>25</v>
      </c>
      <c r="S143" s="19">
        <f t="shared" si="1"/>
        <v>-0.25</v>
      </c>
      <c r="T143" s="19">
        <f t="shared" si="4"/>
        <v>7.682545</v>
      </c>
    </row>
    <row r="144">
      <c r="A144" s="8">
        <f t="shared" si="3"/>
        <v>143</v>
      </c>
      <c r="B144" s="8" t="s">
        <v>26</v>
      </c>
      <c r="C144" s="8" t="s">
        <v>19</v>
      </c>
      <c r="D144" s="8">
        <v>81.0</v>
      </c>
      <c r="E144" s="8" t="s">
        <v>4494</v>
      </c>
      <c r="F144" s="8" t="s">
        <v>5565</v>
      </c>
      <c r="G144" s="8" t="s">
        <v>2660</v>
      </c>
      <c r="H144" s="8">
        <v>3</v>
      </c>
      <c r="I144" s="8" t="s">
        <v>48</v>
      </c>
      <c r="J144" s="8" t="s">
        <v>22</v>
      </c>
      <c r="K144" s="8" t="s">
        <v>892</v>
      </c>
      <c r="L144" s="8" t="s">
        <v>24</v>
      </c>
      <c r="M144" s="9">
        <v>0.0</v>
      </c>
      <c r="N144" s="9">
        <v>0.3</v>
      </c>
      <c r="O144" s="9">
        <v>0.3</v>
      </c>
      <c r="P144" s="10">
        <v>45340.0</v>
      </c>
      <c r="Q144" s="11">
        <v>2.35</v>
      </c>
      <c r="R144" s="8" t="s">
        <v>70</v>
      </c>
      <c r="S144" s="12">
        <f t="shared" si="1"/>
        <v>0</v>
      </c>
      <c r="T144" s="12">
        <f t="shared" si="4"/>
        <v>7.682545</v>
      </c>
    </row>
    <row r="145">
      <c r="A145" s="15">
        <f t="shared" si="3"/>
        <v>144</v>
      </c>
      <c r="B145" s="15" t="s">
        <v>129</v>
      </c>
      <c r="C145" s="15" t="s">
        <v>19</v>
      </c>
      <c r="D145" s="15">
        <v>45.0</v>
      </c>
      <c r="E145" s="15" t="s">
        <v>4495</v>
      </c>
      <c r="F145" s="15" t="s">
        <v>5564</v>
      </c>
      <c r="G145" s="15" t="s">
        <v>2556</v>
      </c>
      <c r="H145" s="15">
        <v>0.0</v>
      </c>
      <c r="I145" s="15" t="s">
        <v>124</v>
      </c>
      <c r="J145" s="15" t="s">
        <v>22</v>
      </c>
      <c r="K145" s="15" t="s">
        <v>225</v>
      </c>
      <c r="L145" s="15" t="s">
        <v>24</v>
      </c>
      <c r="M145" s="16">
        <v>0.25</v>
      </c>
      <c r="N145" s="16">
        <v>0.5</v>
      </c>
      <c r="O145" s="16">
        <v>0.5</v>
      </c>
      <c r="P145" s="17">
        <v>45340.0</v>
      </c>
      <c r="Q145" s="18">
        <v>1.32712</v>
      </c>
      <c r="R145" s="15" t="s">
        <v>33</v>
      </c>
      <c r="S145" s="19">
        <f t="shared" si="1"/>
        <v>0.16356</v>
      </c>
      <c r="T145" s="19">
        <f t="shared" si="4"/>
        <v>7.846105</v>
      </c>
    </row>
    <row r="146">
      <c r="A146" s="8">
        <f t="shared" si="3"/>
        <v>145</v>
      </c>
      <c r="B146" s="8" t="s">
        <v>137</v>
      </c>
      <c r="C146" s="8" t="s">
        <v>19</v>
      </c>
      <c r="D146" s="8">
        <v>67.0</v>
      </c>
      <c r="E146" s="8" t="s">
        <v>4496</v>
      </c>
      <c r="F146" s="8" t="s">
        <v>5564</v>
      </c>
      <c r="G146" s="8" t="s">
        <v>2660</v>
      </c>
      <c r="H146" s="8">
        <v>-1.0</v>
      </c>
      <c r="I146" s="8" t="s">
        <v>42</v>
      </c>
      <c r="J146" s="8" t="s">
        <v>22</v>
      </c>
      <c r="K146" s="8" t="s">
        <v>892</v>
      </c>
      <c r="L146" s="8" t="s">
        <v>24</v>
      </c>
      <c r="M146" s="9">
        <v>0.0</v>
      </c>
      <c r="N146" s="9">
        <v>0.5</v>
      </c>
      <c r="O146" s="9">
        <v>0.5</v>
      </c>
      <c r="P146" s="10">
        <v>45340.0</v>
      </c>
      <c r="Q146" s="11">
        <v>1.8</v>
      </c>
      <c r="R146" s="8" t="s">
        <v>70</v>
      </c>
      <c r="S146" s="12">
        <f t="shared" si="1"/>
        <v>0</v>
      </c>
      <c r="T146" s="12">
        <f t="shared" si="4"/>
        <v>7.846105</v>
      </c>
    </row>
    <row r="147">
      <c r="A147" s="15">
        <f t="shared" si="3"/>
        <v>146</v>
      </c>
      <c r="B147" s="15" t="s">
        <v>26</v>
      </c>
      <c r="C147" s="15" t="s">
        <v>19</v>
      </c>
      <c r="D147" s="15">
        <v>40.0</v>
      </c>
      <c r="E147" s="15" t="s">
        <v>4497</v>
      </c>
      <c r="F147" s="15" t="s">
        <v>5564</v>
      </c>
      <c r="G147" s="15" t="s">
        <v>2660</v>
      </c>
      <c r="H147" s="15">
        <f>1</f>
        <v>1</v>
      </c>
      <c r="I147" s="15" t="s">
        <v>616</v>
      </c>
      <c r="J147" s="15" t="s">
        <v>22</v>
      </c>
      <c r="K147" s="15" t="s">
        <v>892</v>
      </c>
      <c r="L147" s="15" t="s">
        <v>24</v>
      </c>
      <c r="M147" s="16">
        <v>0.0</v>
      </c>
      <c r="N147" s="16">
        <v>0.5</v>
      </c>
      <c r="O147" s="16">
        <v>0.5</v>
      </c>
      <c r="P147" s="17">
        <v>45340.0</v>
      </c>
      <c r="Q147" s="18">
        <v>1.85</v>
      </c>
      <c r="R147" s="15" t="s">
        <v>25</v>
      </c>
      <c r="S147" s="19">
        <f t="shared" si="1"/>
        <v>-0.5</v>
      </c>
      <c r="T147" s="19">
        <f t="shared" si="4"/>
        <v>7.346105</v>
      </c>
    </row>
    <row r="148">
      <c r="A148" s="8">
        <f t="shared" si="3"/>
        <v>147</v>
      </c>
      <c r="B148" s="8" t="s">
        <v>131</v>
      </c>
      <c r="C148" s="8" t="s">
        <v>19</v>
      </c>
      <c r="D148" s="8">
        <v>87.0</v>
      </c>
      <c r="E148" s="8" t="s">
        <v>4498</v>
      </c>
      <c r="F148" s="8"/>
      <c r="G148" s="8"/>
      <c r="H148" s="8"/>
      <c r="I148" s="8" t="s">
        <v>28</v>
      </c>
      <c r="J148" s="8" t="s">
        <v>22</v>
      </c>
      <c r="K148" s="8" t="s">
        <v>29</v>
      </c>
      <c r="L148" s="8" t="s">
        <v>24</v>
      </c>
      <c r="M148" s="9">
        <v>-11.5</v>
      </c>
      <c r="N148" s="9">
        <v>0.3</v>
      </c>
      <c r="O148" s="9">
        <v>0.3</v>
      </c>
      <c r="P148" s="10">
        <v>45341.0</v>
      </c>
      <c r="Q148" s="11">
        <v>1.725</v>
      </c>
      <c r="R148" s="8" t="s">
        <v>33</v>
      </c>
      <c r="S148" s="12">
        <f t="shared" si="1"/>
        <v>0.2175</v>
      </c>
      <c r="T148" s="12">
        <f t="shared" si="4"/>
        <v>7.563605</v>
      </c>
    </row>
    <row r="149">
      <c r="A149" s="15">
        <f t="shared" si="3"/>
        <v>148</v>
      </c>
      <c r="B149" s="15" t="s">
        <v>26</v>
      </c>
      <c r="C149" s="15" t="s">
        <v>19</v>
      </c>
      <c r="D149" s="15">
        <v>60.0</v>
      </c>
      <c r="E149" s="15" t="s">
        <v>4499</v>
      </c>
      <c r="F149" s="15" t="s">
        <v>5565</v>
      </c>
      <c r="G149" s="15" t="s">
        <v>2660</v>
      </c>
      <c r="H149" s="15">
        <v>0.0</v>
      </c>
      <c r="I149" s="15" t="s">
        <v>174</v>
      </c>
      <c r="J149" s="15" t="s">
        <v>22</v>
      </c>
      <c r="K149" s="15" t="s">
        <v>892</v>
      </c>
      <c r="L149" s="15" t="s">
        <v>24</v>
      </c>
      <c r="M149" s="16">
        <v>0.0</v>
      </c>
      <c r="N149" s="16">
        <v>0.4</v>
      </c>
      <c r="O149" s="16">
        <v>0.4</v>
      </c>
      <c r="P149" s="17">
        <v>45342.0</v>
      </c>
      <c r="Q149" s="18">
        <v>1.75</v>
      </c>
      <c r="R149" s="15" t="s">
        <v>70</v>
      </c>
      <c r="S149" s="19">
        <f t="shared" si="1"/>
        <v>0</v>
      </c>
      <c r="T149" s="19">
        <f t="shared" si="4"/>
        <v>7.563605</v>
      </c>
    </row>
    <row r="150">
      <c r="A150" s="8">
        <f t="shared" si="3"/>
        <v>149</v>
      </c>
      <c r="B150" s="8" t="s">
        <v>26</v>
      </c>
      <c r="C150" s="8" t="s">
        <v>19</v>
      </c>
      <c r="D150" s="8">
        <v>62.0</v>
      </c>
      <c r="E150" s="8" t="s">
        <v>4500</v>
      </c>
      <c r="F150" s="8"/>
      <c r="G150" s="8"/>
      <c r="H150" s="8"/>
      <c r="I150" s="8" t="s">
        <v>167</v>
      </c>
      <c r="J150" s="8" t="s">
        <v>22</v>
      </c>
      <c r="K150" s="8" t="s">
        <v>440</v>
      </c>
      <c r="L150" s="8" t="s">
        <v>39</v>
      </c>
      <c r="M150" s="9">
        <v>3.5</v>
      </c>
      <c r="N150" s="9">
        <v>0.1</v>
      </c>
      <c r="O150" s="9">
        <v>0.1</v>
      </c>
      <c r="P150" s="10">
        <v>45342.0</v>
      </c>
      <c r="Q150" s="11">
        <v>1.625</v>
      </c>
      <c r="R150" s="8" t="s">
        <v>33</v>
      </c>
      <c r="S150" s="12">
        <f t="shared" si="1"/>
        <v>0.0625</v>
      </c>
      <c r="T150" s="12">
        <f t="shared" si="4"/>
        <v>7.626105</v>
      </c>
    </row>
    <row r="151">
      <c r="A151" s="15">
        <f t="shared" si="3"/>
        <v>150</v>
      </c>
      <c r="B151" s="15" t="s">
        <v>129</v>
      </c>
      <c r="C151" s="15" t="s">
        <v>19</v>
      </c>
      <c r="D151" s="15">
        <v>72.0</v>
      </c>
      <c r="E151" s="15" t="s">
        <v>4501</v>
      </c>
      <c r="F151" s="15" t="s">
        <v>5564</v>
      </c>
      <c r="G151" s="15" t="s">
        <v>2660</v>
      </c>
      <c r="H151" s="15">
        <v>0.0</v>
      </c>
      <c r="I151" s="15" t="s">
        <v>1031</v>
      </c>
      <c r="J151" s="15" t="s">
        <v>22</v>
      </c>
      <c r="K151" s="15" t="s">
        <v>892</v>
      </c>
      <c r="L151" s="15" t="s">
        <v>24</v>
      </c>
      <c r="M151" s="16">
        <v>0.0</v>
      </c>
      <c r="N151" s="16">
        <v>0.4</v>
      </c>
      <c r="O151" s="16">
        <v>0.4</v>
      </c>
      <c r="P151" s="17">
        <v>45342.0</v>
      </c>
      <c r="Q151" s="18">
        <v>1.8</v>
      </c>
      <c r="R151" s="15" t="s">
        <v>70</v>
      </c>
      <c r="S151" s="19">
        <f t="shared" si="1"/>
        <v>0</v>
      </c>
      <c r="T151" s="19">
        <f t="shared" si="4"/>
        <v>7.626105</v>
      </c>
    </row>
    <row r="152">
      <c r="A152" s="8">
        <f t="shared" si="3"/>
        <v>151</v>
      </c>
      <c r="B152" s="8" t="s">
        <v>26</v>
      </c>
      <c r="C152" s="8" t="s">
        <v>19</v>
      </c>
      <c r="D152" s="8">
        <v>29.0</v>
      </c>
      <c r="E152" s="8" t="s">
        <v>4502</v>
      </c>
      <c r="F152" s="8" t="s">
        <v>5565</v>
      </c>
      <c r="G152" s="8" t="s">
        <v>2660</v>
      </c>
      <c r="H152" s="8">
        <v>0.0</v>
      </c>
      <c r="I152" s="8" t="s">
        <v>248</v>
      </c>
      <c r="J152" s="8" t="s">
        <v>22</v>
      </c>
      <c r="K152" s="8" t="s">
        <v>892</v>
      </c>
      <c r="L152" s="8" t="s">
        <v>24</v>
      </c>
      <c r="M152" s="9">
        <v>0.0</v>
      </c>
      <c r="N152" s="9">
        <v>0.2</v>
      </c>
      <c r="O152" s="9">
        <v>0.2</v>
      </c>
      <c r="P152" s="10">
        <v>45342.0</v>
      </c>
      <c r="Q152" s="11">
        <v>1.85</v>
      </c>
      <c r="R152" s="8" t="s">
        <v>33</v>
      </c>
      <c r="S152" s="12">
        <f t="shared" si="1"/>
        <v>0.17</v>
      </c>
      <c r="T152" s="12">
        <f t="shared" si="4"/>
        <v>7.796105</v>
      </c>
    </row>
    <row r="153">
      <c r="A153" s="15">
        <f t="shared" si="3"/>
        <v>152</v>
      </c>
      <c r="B153" s="15" t="s">
        <v>129</v>
      </c>
      <c r="C153" s="15" t="s">
        <v>19</v>
      </c>
      <c r="D153" s="15">
        <v>62.0</v>
      </c>
      <c r="E153" s="15" t="s">
        <v>4503</v>
      </c>
      <c r="F153" s="15" t="s">
        <v>5564</v>
      </c>
      <c r="G153" s="15" t="s">
        <v>2556</v>
      </c>
      <c r="H153" s="15">
        <v>0.0</v>
      </c>
      <c r="I153" s="15" t="s">
        <v>248</v>
      </c>
      <c r="J153" s="15" t="s">
        <v>22</v>
      </c>
      <c r="K153" s="15" t="s">
        <v>4352</v>
      </c>
      <c r="L153" s="15" t="s">
        <v>24</v>
      </c>
      <c r="M153" s="16">
        <v>0.0</v>
      </c>
      <c r="N153" s="16">
        <v>0.75</v>
      </c>
      <c r="O153" s="16">
        <v>0.75</v>
      </c>
      <c r="P153" s="17">
        <v>45342.0</v>
      </c>
      <c r="Q153" s="18">
        <v>1.725</v>
      </c>
      <c r="R153" s="15" t="s">
        <v>70</v>
      </c>
      <c r="S153" s="19">
        <f t="shared" si="1"/>
        <v>0</v>
      </c>
      <c r="T153" s="19">
        <f t="shared" si="4"/>
        <v>7.796105</v>
      </c>
    </row>
    <row r="154">
      <c r="A154" s="8">
        <f t="shared" si="3"/>
        <v>153</v>
      </c>
      <c r="B154" s="8" t="s">
        <v>129</v>
      </c>
      <c r="C154" s="8" t="s">
        <v>19</v>
      </c>
      <c r="D154" s="8">
        <v>66.0</v>
      </c>
      <c r="E154" s="8" t="s">
        <v>4504</v>
      </c>
      <c r="F154" s="8" t="s">
        <v>5564</v>
      </c>
      <c r="G154" s="8" t="s">
        <v>2660</v>
      </c>
      <c r="H154" s="8">
        <v>0.0</v>
      </c>
      <c r="I154" s="8" t="s">
        <v>248</v>
      </c>
      <c r="J154" s="8" t="s">
        <v>22</v>
      </c>
      <c r="K154" s="8" t="s">
        <v>892</v>
      </c>
      <c r="L154" s="8" t="s">
        <v>24</v>
      </c>
      <c r="M154" s="9">
        <v>0.0</v>
      </c>
      <c r="N154" s="9">
        <v>0.25</v>
      </c>
      <c r="O154" s="9">
        <v>0.25</v>
      </c>
      <c r="P154" s="10">
        <v>45342.0</v>
      </c>
      <c r="Q154" s="11">
        <v>1.7</v>
      </c>
      <c r="R154" s="8" t="s">
        <v>70</v>
      </c>
      <c r="S154" s="12">
        <f t="shared" si="1"/>
        <v>0</v>
      </c>
      <c r="T154" s="12">
        <f t="shared" si="4"/>
        <v>7.796105</v>
      </c>
    </row>
    <row r="155">
      <c r="A155" s="15">
        <f t="shared" si="3"/>
        <v>154</v>
      </c>
      <c r="B155" s="15" t="s">
        <v>129</v>
      </c>
      <c r="C155" s="15" t="s">
        <v>19</v>
      </c>
      <c r="D155" s="15">
        <v>24.0</v>
      </c>
      <c r="E155" s="15" t="s">
        <v>4505</v>
      </c>
      <c r="F155" s="15" t="s">
        <v>5564</v>
      </c>
      <c r="G155" s="15" t="s">
        <v>2660</v>
      </c>
      <c r="H155" s="15">
        <v>0.0</v>
      </c>
      <c r="I155" s="15" t="s">
        <v>174</v>
      </c>
      <c r="J155" s="15" t="s">
        <v>22</v>
      </c>
      <c r="K155" s="15" t="s">
        <v>892</v>
      </c>
      <c r="L155" s="15" t="s">
        <v>24</v>
      </c>
      <c r="M155" s="16">
        <v>0.0</v>
      </c>
      <c r="N155" s="16">
        <v>1.0</v>
      </c>
      <c r="O155" s="16">
        <v>1.0</v>
      </c>
      <c r="P155" s="55">
        <v>45342.0</v>
      </c>
      <c r="Q155" s="18">
        <v>1.775</v>
      </c>
      <c r="R155" s="15" t="s">
        <v>33</v>
      </c>
      <c r="S155" s="19">
        <f t="shared" si="1"/>
        <v>0.775</v>
      </c>
      <c r="T155" s="19">
        <f t="shared" si="4"/>
        <v>8.571105</v>
      </c>
    </row>
    <row r="156">
      <c r="A156" s="8">
        <f t="shared" si="3"/>
        <v>155</v>
      </c>
      <c r="B156" s="8" t="s">
        <v>26</v>
      </c>
      <c r="C156" s="8" t="s">
        <v>19</v>
      </c>
      <c r="D156" s="8">
        <v>33.0</v>
      </c>
      <c r="E156" s="8" t="s">
        <v>4506</v>
      </c>
      <c r="F156" s="8" t="s">
        <v>5565</v>
      </c>
      <c r="G156" s="8" t="s">
        <v>2660</v>
      </c>
      <c r="H156" s="8">
        <v>0.0</v>
      </c>
      <c r="I156" s="8" t="s">
        <v>231</v>
      </c>
      <c r="J156" s="8" t="s">
        <v>22</v>
      </c>
      <c r="K156" s="8" t="s">
        <v>892</v>
      </c>
      <c r="L156" s="8" t="s">
        <v>24</v>
      </c>
      <c r="M156" s="9">
        <v>0.0</v>
      </c>
      <c r="N156" s="9">
        <v>1.0</v>
      </c>
      <c r="O156" s="9">
        <v>1.0</v>
      </c>
      <c r="P156" s="10">
        <v>45343.0</v>
      </c>
      <c r="Q156" s="11">
        <v>1.725</v>
      </c>
      <c r="R156" s="8" t="s">
        <v>25</v>
      </c>
      <c r="S156" s="12">
        <f t="shared" si="1"/>
        <v>-1</v>
      </c>
      <c r="T156" s="12">
        <f t="shared" si="4"/>
        <v>7.571105</v>
      </c>
    </row>
    <row r="157">
      <c r="A157" s="15">
        <f t="shared" si="3"/>
        <v>156</v>
      </c>
      <c r="B157" s="15" t="s">
        <v>129</v>
      </c>
      <c r="C157" s="15" t="s">
        <v>19</v>
      </c>
      <c r="D157" s="15">
        <v>65.0</v>
      </c>
      <c r="E157" s="15" t="s">
        <v>4507</v>
      </c>
      <c r="F157" s="15" t="s">
        <v>5564</v>
      </c>
      <c r="G157" s="15" t="s">
        <v>2660</v>
      </c>
      <c r="H157" s="15">
        <v>0.0</v>
      </c>
      <c r="I157" s="15" t="s">
        <v>231</v>
      </c>
      <c r="J157" s="15" t="s">
        <v>22</v>
      </c>
      <c r="K157" s="15" t="s">
        <v>892</v>
      </c>
      <c r="L157" s="15" t="s">
        <v>24</v>
      </c>
      <c r="M157" s="16">
        <v>0.0</v>
      </c>
      <c r="N157" s="16">
        <v>1.0</v>
      </c>
      <c r="O157" s="16">
        <v>1.0</v>
      </c>
      <c r="P157" s="17">
        <v>45343.0</v>
      </c>
      <c r="Q157" s="18">
        <v>1.75</v>
      </c>
      <c r="R157" s="15" t="s">
        <v>70</v>
      </c>
      <c r="S157" s="19">
        <f t="shared" si="1"/>
        <v>0</v>
      </c>
      <c r="T157" s="19">
        <f t="shared" si="4"/>
        <v>7.571105</v>
      </c>
    </row>
    <row r="158">
      <c r="A158" s="8">
        <f t="shared" si="3"/>
        <v>157</v>
      </c>
      <c r="B158" s="8" t="s">
        <v>129</v>
      </c>
      <c r="C158" s="8" t="s">
        <v>19</v>
      </c>
      <c r="D158" s="8">
        <v>69.0</v>
      </c>
      <c r="E158" s="8" t="s">
        <v>4508</v>
      </c>
      <c r="F158" s="8" t="s">
        <v>5564</v>
      </c>
      <c r="G158" s="8" t="s">
        <v>2660</v>
      </c>
      <c r="H158" s="8">
        <v>0.0</v>
      </c>
      <c r="I158" s="8" t="s">
        <v>231</v>
      </c>
      <c r="J158" s="8" t="s">
        <v>22</v>
      </c>
      <c r="K158" s="8" t="s">
        <v>892</v>
      </c>
      <c r="L158" s="8" t="s">
        <v>24</v>
      </c>
      <c r="M158" s="9">
        <v>0.0</v>
      </c>
      <c r="N158" s="9">
        <v>1.0</v>
      </c>
      <c r="O158" s="9">
        <v>1.0</v>
      </c>
      <c r="P158" s="10">
        <v>45343.0</v>
      </c>
      <c r="Q158" s="11">
        <v>1.975</v>
      </c>
      <c r="R158" s="8" t="s">
        <v>70</v>
      </c>
      <c r="S158" s="12">
        <f t="shared" si="1"/>
        <v>0</v>
      </c>
      <c r="T158" s="12">
        <f t="shared" si="4"/>
        <v>7.571105</v>
      </c>
    </row>
    <row r="159">
      <c r="A159" s="15">
        <f t="shared" si="3"/>
        <v>158</v>
      </c>
      <c r="B159" s="15" t="s">
        <v>129</v>
      </c>
      <c r="C159" s="15" t="s">
        <v>19</v>
      </c>
      <c r="D159" s="15">
        <v>82.0</v>
      </c>
      <c r="E159" s="15" t="s">
        <v>4509</v>
      </c>
      <c r="F159" s="15" t="s">
        <v>5564</v>
      </c>
      <c r="G159" s="15" t="s">
        <v>2660</v>
      </c>
      <c r="H159" s="15">
        <v>3</v>
      </c>
      <c r="I159" s="15" t="s">
        <v>231</v>
      </c>
      <c r="J159" s="15" t="s">
        <v>22</v>
      </c>
      <c r="K159" s="15" t="s">
        <v>892</v>
      </c>
      <c r="L159" s="15" t="s">
        <v>24</v>
      </c>
      <c r="M159" s="16">
        <v>0.0</v>
      </c>
      <c r="N159" s="16">
        <v>1.0</v>
      </c>
      <c r="O159" s="16">
        <v>1.0</v>
      </c>
      <c r="P159" s="17">
        <v>45343.0</v>
      </c>
      <c r="Q159" s="18">
        <v>1.8</v>
      </c>
      <c r="R159" s="15" t="s">
        <v>70</v>
      </c>
      <c r="S159" s="19">
        <f t="shared" si="1"/>
        <v>0</v>
      </c>
      <c r="T159" s="19">
        <f t="shared" si="4"/>
        <v>7.571105</v>
      </c>
    </row>
    <row r="160">
      <c r="A160" s="8">
        <f t="shared" si="3"/>
        <v>159</v>
      </c>
      <c r="B160" s="8" t="s">
        <v>4225</v>
      </c>
      <c r="C160" s="8" t="s">
        <v>19</v>
      </c>
      <c r="D160" s="8">
        <v>71.0</v>
      </c>
      <c r="E160" s="8" t="s">
        <v>4510</v>
      </c>
      <c r="F160" s="8" t="s">
        <v>5565</v>
      </c>
      <c r="G160" s="8" t="s">
        <v>2660</v>
      </c>
      <c r="H160" s="8">
        <v>-1.0</v>
      </c>
      <c r="I160" s="8" t="s">
        <v>675</v>
      </c>
      <c r="J160" s="8" t="s">
        <v>22</v>
      </c>
      <c r="K160" s="8" t="s">
        <v>892</v>
      </c>
      <c r="L160" s="8" t="s">
        <v>24</v>
      </c>
      <c r="M160" s="9">
        <v>0.0</v>
      </c>
      <c r="N160" s="9">
        <v>1.0</v>
      </c>
      <c r="O160" s="9">
        <v>1.0</v>
      </c>
      <c r="P160" s="10">
        <v>45343.0</v>
      </c>
      <c r="Q160" s="11">
        <v>1.725</v>
      </c>
      <c r="R160" s="8" t="s">
        <v>25</v>
      </c>
      <c r="S160" s="12">
        <f t="shared" si="1"/>
        <v>-1</v>
      </c>
      <c r="T160" s="12">
        <f t="shared" si="4"/>
        <v>6.571105</v>
      </c>
    </row>
    <row r="161">
      <c r="A161" s="15">
        <f t="shared" si="3"/>
        <v>160</v>
      </c>
      <c r="B161" s="15" t="s">
        <v>26</v>
      </c>
      <c r="C161" s="15" t="s">
        <v>19</v>
      </c>
      <c r="D161" s="15">
        <v>37.0</v>
      </c>
      <c r="E161" s="15" t="s">
        <v>4511</v>
      </c>
      <c r="F161" s="15" t="s">
        <v>5565</v>
      </c>
      <c r="G161" s="15" t="s">
        <v>2660</v>
      </c>
      <c r="H161" s="15">
        <v>0.0</v>
      </c>
      <c r="I161" s="15" t="s">
        <v>174</v>
      </c>
      <c r="J161" s="15" t="s">
        <v>22</v>
      </c>
      <c r="K161" s="15" t="s">
        <v>1150</v>
      </c>
      <c r="L161" s="15" t="s">
        <v>24</v>
      </c>
      <c r="M161" s="16">
        <v>0.0</v>
      </c>
      <c r="N161" s="16">
        <v>0.75</v>
      </c>
      <c r="O161" s="16">
        <v>0.75</v>
      </c>
      <c r="P161" s="17">
        <v>45343.0</v>
      </c>
      <c r="Q161" s="18">
        <v>1.75</v>
      </c>
      <c r="R161" s="15" t="s">
        <v>70</v>
      </c>
      <c r="S161" s="19">
        <f t="shared" si="1"/>
        <v>0</v>
      </c>
      <c r="T161" s="19">
        <f t="shared" si="4"/>
        <v>6.571105</v>
      </c>
    </row>
    <row r="162">
      <c r="A162" s="8">
        <f t="shared" si="3"/>
        <v>161</v>
      </c>
      <c r="B162" s="8" t="s">
        <v>26</v>
      </c>
      <c r="C162" s="8" t="s">
        <v>19</v>
      </c>
      <c r="D162" s="8">
        <v>74.0</v>
      </c>
      <c r="E162" s="8" t="s">
        <v>4512</v>
      </c>
      <c r="F162" s="8" t="s">
        <v>5564</v>
      </c>
      <c r="G162" s="8" t="s">
        <v>2660</v>
      </c>
      <c r="H162" s="8">
        <v>-1.0</v>
      </c>
      <c r="I162" s="8" t="s">
        <v>106</v>
      </c>
      <c r="J162" s="8" t="s">
        <v>22</v>
      </c>
      <c r="K162" s="8" t="s">
        <v>892</v>
      </c>
      <c r="L162" s="8" t="s">
        <v>24</v>
      </c>
      <c r="M162" s="9">
        <v>0.0</v>
      </c>
      <c r="N162" s="9">
        <v>0.25</v>
      </c>
      <c r="O162" s="9">
        <v>0.25</v>
      </c>
      <c r="P162" s="10">
        <v>45343.0</v>
      </c>
      <c r="Q162" s="11">
        <v>2.38</v>
      </c>
      <c r="R162" s="8" t="s">
        <v>70</v>
      </c>
      <c r="S162" s="12">
        <f t="shared" si="1"/>
        <v>0</v>
      </c>
      <c r="T162" s="12">
        <f t="shared" si="4"/>
        <v>6.571105</v>
      </c>
    </row>
    <row r="163">
      <c r="A163" s="15">
        <f t="shared" si="3"/>
        <v>162</v>
      </c>
      <c r="B163" s="15" t="s">
        <v>18</v>
      </c>
      <c r="C163" s="15" t="s">
        <v>19</v>
      </c>
      <c r="D163" s="15">
        <v>64.0</v>
      </c>
      <c r="E163" s="15" t="s">
        <v>4513</v>
      </c>
      <c r="F163" s="15" t="s">
        <v>5564</v>
      </c>
      <c r="G163" s="15" t="s">
        <v>2660</v>
      </c>
      <c r="H163" s="15">
        <v>-3.0</v>
      </c>
      <c r="I163" s="15" t="s">
        <v>50</v>
      </c>
      <c r="J163" s="15" t="s">
        <v>22</v>
      </c>
      <c r="K163" s="15" t="s">
        <v>892</v>
      </c>
      <c r="L163" s="15" t="s">
        <v>24</v>
      </c>
      <c r="M163" s="16">
        <v>0.0</v>
      </c>
      <c r="N163" s="16">
        <v>1.0</v>
      </c>
      <c r="O163" s="16">
        <v>1.0</v>
      </c>
      <c r="P163" s="17">
        <v>45343.0</v>
      </c>
      <c r="Q163" s="18">
        <v>1.9</v>
      </c>
      <c r="R163" s="15" t="s">
        <v>33</v>
      </c>
      <c r="S163" s="19">
        <f t="shared" si="1"/>
        <v>0.9</v>
      </c>
      <c r="T163" s="19">
        <f t="shared" si="4"/>
        <v>7.471105</v>
      </c>
    </row>
    <row r="164">
      <c r="A164" s="8">
        <f t="shared" si="3"/>
        <v>163</v>
      </c>
      <c r="B164" s="8" t="s">
        <v>129</v>
      </c>
      <c r="C164" s="8" t="s">
        <v>19</v>
      </c>
      <c r="D164" s="8">
        <v>73.0</v>
      </c>
      <c r="E164" s="8" t="s">
        <v>4514</v>
      </c>
      <c r="F164" s="8" t="s">
        <v>5564</v>
      </c>
      <c r="G164" s="8" t="s">
        <v>2660</v>
      </c>
      <c r="H164" s="8">
        <v>0.0</v>
      </c>
      <c r="I164" s="8" t="s">
        <v>174</v>
      </c>
      <c r="J164" s="8" t="s">
        <v>22</v>
      </c>
      <c r="K164" s="8" t="s">
        <v>892</v>
      </c>
      <c r="L164" s="8" t="s">
        <v>24</v>
      </c>
      <c r="M164" s="9">
        <v>0.0</v>
      </c>
      <c r="N164" s="9">
        <v>0.5</v>
      </c>
      <c r="O164" s="9">
        <v>0.5</v>
      </c>
      <c r="P164" s="10">
        <v>45343.0</v>
      </c>
      <c r="Q164" s="11">
        <v>1.95</v>
      </c>
      <c r="R164" s="8" t="s">
        <v>33</v>
      </c>
      <c r="S164" s="12">
        <f t="shared" si="1"/>
        <v>0.475</v>
      </c>
      <c r="T164" s="12">
        <f t="shared" si="4"/>
        <v>7.946105</v>
      </c>
    </row>
    <row r="165">
      <c r="A165" s="15">
        <f t="shared" si="3"/>
        <v>164</v>
      </c>
      <c r="B165" s="15" t="s">
        <v>26</v>
      </c>
      <c r="C165" s="15" t="s">
        <v>19</v>
      </c>
      <c r="D165" s="15">
        <v>40.0</v>
      </c>
      <c r="E165" s="15" t="s">
        <v>4515</v>
      </c>
      <c r="F165" s="15" t="s">
        <v>5564</v>
      </c>
      <c r="G165" s="15"/>
      <c r="H165" s="15">
        <v>0.0</v>
      </c>
      <c r="I165" s="15" t="s">
        <v>248</v>
      </c>
      <c r="J165" s="15" t="s">
        <v>22</v>
      </c>
      <c r="K165" s="15" t="s">
        <v>440</v>
      </c>
      <c r="L165" s="15" t="s">
        <v>24</v>
      </c>
      <c r="M165" s="16">
        <v>0.5</v>
      </c>
      <c r="N165" s="16">
        <v>0.25</v>
      </c>
      <c r="O165" s="16">
        <f>0.25*22/28</f>
        <v>0.1964285714</v>
      </c>
      <c r="P165" s="17">
        <v>45343.0</v>
      </c>
      <c r="Q165" s="18">
        <v>1.8</v>
      </c>
      <c r="R165" s="15" t="s">
        <v>33</v>
      </c>
      <c r="S165" s="19">
        <f t="shared" si="1"/>
        <v>0.1571428571</v>
      </c>
      <c r="T165" s="19">
        <f t="shared" si="4"/>
        <v>8.103247857</v>
      </c>
    </row>
    <row r="166">
      <c r="A166" s="8">
        <f t="shared" si="3"/>
        <v>165</v>
      </c>
      <c r="B166" s="8" t="s">
        <v>129</v>
      </c>
      <c r="C166" s="8" t="s">
        <v>19</v>
      </c>
      <c r="D166" s="8">
        <v>85.0</v>
      </c>
      <c r="E166" s="8" t="s">
        <v>4516</v>
      </c>
      <c r="F166" s="8" t="s">
        <v>5565</v>
      </c>
      <c r="G166" s="8" t="s">
        <v>2660</v>
      </c>
      <c r="H166" s="8">
        <v>0.0</v>
      </c>
      <c r="I166" s="8" t="s">
        <v>1558</v>
      </c>
      <c r="J166" s="8" t="s">
        <v>22</v>
      </c>
      <c r="K166" s="8" t="s">
        <v>892</v>
      </c>
      <c r="L166" s="8" t="s">
        <v>24</v>
      </c>
      <c r="M166" s="9">
        <v>0.0</v>
      </c>
      <c r="N166" s="9">
        <v>0.35</v>
      </c>
      <c r="O166" s="9">
        <v>0.35</v>
      </c>
      <c r="P166" s="10">
        <v>45343.0</v>
      </c>
      <c r="Q166" s="11">
        <v>1.8</v>
      </c>
      <c r="R166" s="8" t="s">
        <v>33</v>
      </c>
      <c r="S166" s="12">
        <f t="shared" si="1"/>
        <v>0.28</v>
      </c>
      <c r="T166" s="12">
        <f t="shared" si="4"/>
        <v>8.383247857</v>
      </c>
    </row>
    <row r="167">
      <c r="A167" s="15">
        <f t="shared" si="3"/>
        <v>166</v>
      </c>
      <c r="B167" s="15" t="s">
        <v>26</v>
      </c>
      <c r="C167" s="15" t="s">
        <v>19</v>
      </c>
      <c r="D167" s="15">
        <v>30.0</v>
      </c>
      <c r="E167" s="15" t="s">
        <v>4517</v>
      </c>
      <c r="F167" s="15" t="s">
        <v>5565</v>
      </c>
      <c r="G167" s="15" t="s">
        <v>2660</v>
      </c>
      <c r="H167" s="15">
        <f>1</f>
        <v>1</v>
      </c>
      <c r="I167" s="15" t="s">
        <v>82</v>
      </c>
      <c r="J167" s="15" t="s">
        <v>22</v>
      </c>
      <c r="K167" s="15" t="s">
        <v>1150</v>
      </c>
      <c r="L167" s="15" t="s">
        <v>24</v>
      </c>
      <c r="M167" s="16">
        <v>0.0</v>
      </c>
      <c r="N167" s="16">
        <v>0.75</v>
      </c>
      <c r="O167" s="16">
        <v>0.75</v>
      </c>
      <c r="P167" s="17">
        <v>45343.0</v>
      </c>
      <c r="Q167" s="18">
        <v>1.925</v>
      </c>
      <c r="R167" s="15" t="s">
        <v>70</v>
      </c>
      <c r="S167" s="19">
        <f t="shared" si="1"/>
        <v>0</v>
      </c>
      <c r="T167" s="19">
        <f t="shared" si="4"/>
        <v>8.383247857</v>
      </c>
    </row>
    <row r="168">
      <c r="A168" s="8">
        <f t="shared" si="3"/>
        <v>167</v>
      </c>
      <c r="B168" s="8" t="s">
        <v>129</v>
      </c>
      <c r="C168" s="8" t="s">
        <v>19</v>
      </c>
      <c r="D168" s="8">
        <v>55.0</v>
      </c>
      <c r="E168" s="8" t="s">
        <v>4518</v>
      </c>
      <c r="F168" s="8" t="s">
        <v>5564</v>
      </c>
      <c r="G168" s="8" t="s">
        <v>2660</v>
      </c>
      <c r="H168" s="8">
        <v>-1.0</v>
      </c>
      <c r="I168" s="8" t="s">
        <v>82</v>
      </c>
      <c r="J168" s="8" t="s">
        <v>22</v>
      </c>
      <c r="K168" s="8" t="s">
        <v>892</v>
      </c>
      <c r="L168" s="8" t="s">
        <v>24</v>
      </c>
      <c r="M168" s="9">
        <v>0.0</v>
      </c>
      <c r="N168" s="9">
        <v>0.75</v>
      </c>
      <c r="O168" s="9">
        <v>0.75</v>
      </c>
      <c r="P168" s="10">
        <v>45343.0</v>
      </c>
      <c r="Q168" s="11">
        <v>1.8</v>
      </c>
      <c r="R168" s="8" t="s">
        <v>25</v>
      </c>
      <c r="S168" s="12">
        <f t="shared" si="1"/>
        <v>-0.75</v>
      </c>
      <c r="T168" s="12">
        <f t="shared" si="4"/>
        <v>7.633247857</v>
      </c>
    </row>
    <row r="169">
      <c r="A169" s="15">
        <f t="shared" si="3"/>
        <v>168</v>
      </c>
      <c r="B169" s="15" t="s">
        <v>129</v>
      </c>
      <c r="C169" s="15" t="s">
        <v>19</v>
      </c>
      <c r="D169" s="15">
        <v>69.0</v>
      </c>
      <c r="E169" s="15" t="s">
        <v>4519</v>
      </c>
      <c r="F169" s="15" t="s">
        <v>5564</v>
      </c>
      <c r="G169" s="15" t="s">
        <v>2660</v>
      </c>
      <c r="H169" s="15">
        <v>-1.0</v>
      </c>
      <c r="I169" s="15" t="s">
        <v>231</v>
      </c>
      <c r="J169" s="15" t="s">
        <v>22</v>
      </c>
      <c r="K169" s="15" t="s">
        <v>892</v>
      </c>
      <c r="L169" s="15" t="s">
        <v>24</v>
      </c>
      <c r="M169" s="16">
        <v>0.0</v>
      </c>
      <c r="N169" s="16">
        <v>1.0</v>
      </c>
      <c r="O169" s="16">
        <v>1.0</v>
      </c>
      <c r="P169" s="17">
        <v>45344.0</v>
      </c>
      <c r="Q169" s="18">
        <v>1.8</v>
      </c>
      <c r="R169" s="15" t="s">
        <v>33</v>
      </c>
      <c r="S169" s="19">
        <f t="shared" si="1"/>
        <v>0.8</v>
      </c>
      <c r="T169" s="19">
        <f t="shared" si="4"/>
        <v>8.433247857</v>
      </c>
    </row>
    <row r="170">
      <c r="A170" s="8">
        <f t="shared" si="3"/>
        <v>169</v>
      </c>
      <c r="B170" s="8" t="s">
        <v>26</v>
      </c>
      <c r="C170" s="8" t="s">
        <v>19</v>
      </c>
      <c r="D170" s="8">
        <v>75.0</v>
      </c>
      <c r="E170" s="8" t="s">
        <v>4520</v>
      </c>
      <c r="F170" s="8" t="s">
        <v>5565</v>
      </c>
      <c r="G170" s="8" t="s">
        <v>2660</v>
      </c>
      <c r="H170" s="8">
        <v>-1.0</v>
      </c>
      <c r="I170" s="8" t="s">
        <v>174</v>
      </c>
      <c r="J170" s="8" t="s">
        <v>22</v>
      </c>
      <c r="K170" s="8" t="s">
        <v>892</v>
      </c>
      <c r="L170" s="8" t="s">
        <v>24</v>
      </c>
      <c r="M170" s="9">
        <v>0.0</v>
      </c>
      <c r="N170" s="9">
        <v>0.6</v>
      </c>
      <c r="O170" s="9">
        <v>0.6</v>
      </c>
      <c r="P170" s="10">
        <v>45344.0</v>
      </c>
      <c r="Q170" s="11">
        <v>1.75</v>
      </c>
      <c r="R170" s="8" t="s">
        <v>33</v>
      </c>
      <c r="S170" s="12">
        <f t="shared" si="1"/>
        <v>0.45</v>
      </c>
      <c r="T170" s="12">
        <f t="shared" si="4"/>
        <v>8.883247857</v>
      </c>
    </row>
    <row r="171">
      <c r="A171" s="15">
        <f t="shared" si="3"/>
        <v>170</v>
      </c>
      <c r="B171" s="15" t="s">
        <v>129</v>
      </c>
      <c r="C171" s="15" t="s">
        <v>19</v>
      </c>
      <c r="D171" s="15">
        <v>25.0</v>
      </c>
      <c r="E171" s="15" t="s">
        <v>4521</v>
      </c>
      <c r="F171" s="15" t="s">
        <v>5564</v>
      </c>
      <c r="G171" s="15" t="s">
        <v>2660</v>
      </c>
      <c r="H171" s="15">
        <v>0.0</v>
      </c>
      <c r="I171" s="15" t="s">
        <v>248</v>
      </c>
      <c r="J171" s="15" t="s">
        <v>22</v>
      </c>
      <c r="K171" s="15" t="s">
        <v>1150</v>
      </c>
      <c r="L171" s="15" t="s">
        <v>24</v>
      </c>
      <c r="M171" s="16">
        <v>0.0</v>
      </c>
      <c r="N171" s="16">
        <v>0.5</v>
      </c>
      <c r="O171" s="16">
        <v>0.5</v>
      </c>
      <c r="P171" s="17">
        <v>45344.0</v>
      </c>
      <c r="Q171" s="18">
        <v>1.775</v>
      </c>
      <c r="R171" s="15" t="s">
        <v>70</v>
      </c>
      <c r="S171" s="19">
        <f t="shared" si="1"/>
        <v>0</v>
      </c>
      <c r="T171" s="19">
        <f t="shared" si="4"/>
        <v>8.883247857</v>
      </c>
    </row>
    <row r="172">
      <c r="A172" s="8">
        <f t="shared" si="3"/>
        <v>171</v>
      </c>
      <c r="B172" s="8" t="s">
        <v>26</v>
      </c>
      <c r="C172" s="8" t="s">
        <v>19</v>
      </c>
      <c r="D172" s="8">
        <v>43.0</v>
      </c>
      <c r="E172" s="8" t="s">
        <v>4522</v>
      </c>
      <c r="F172" s="8"/>
      <c r="G172" s="8"/>
      <c r="H172" s="8"/>
      <c r="I172" s="8" t="s">
        <v>82</v>
      </c>
      <c r="J172" s="8" t="s">
        <v>22</v>
      </c>
      <c r="K172" s="8" t="s">
        <v>4523</v>
      </c>
      <c r="L172" s="8" t="s">
        <v>24</v>
      </c>
      <c r="M172" s="9">
        <v>-5.5</v>
      </c>
      <c r="N172" s="9">
        <v>0.1</v>
      </c>
      <c r="O172" s="9">
        <v>0.1</v>
      </c>
      <c r="P172" s="10">
        <v>45344.0</v>
      </c>
      <c r="Q172" s="11">
        <v>1.7</v>
      </c>
      <c r="R172" s="8" t="s">
        <v>25</v>
      </c>
      <c r="S172" s="12">
        <f t="shared" si="1"/>
        <v>-0.1</v>
      </c>
      <c r="T172" s="12">
        <f t="shared" si="4"/>
        <v>8.783247857</v>
      </c>
    </row>
    <row r="173">
      <c r="A173" s="15">
        <f t="shared" si="3"/>
        <v>172</v>
      </c>
      <c r="B173" s="15" t="s">
        <v>18</v>
      </c>
      <c r="C173" s="15" t="s">
        <v>19</v>
      </c>
      <c r="D173" s="15">
        <v>70.0</v>
      </c>
      <c r="E173" s="15" t="s">
        <v>4524</v>
      </c>
      <c r="F173" s="15" t="s">
        <v>5565</v>
      </c>
      <c r="G173" s="15" t="s">
        <v>2660</v>
      </c>
      <c r="H173" s="15">
        <v>0.0</v>
      </c>
      <c r="I173" s="15" t="s">
        <v>82</v>
      </c>
      <c r="J173" s="15" t="s">
        <v>22</v>
      </c>
      <c r="K173" s="15" t="s">
        <v>892</v>
      </c>
      <c r="L173" s="15" t="s">
        <v>24</v>
      </c>
      <c r="M173" s="16">
        <v>0.0</v>
      </c>
      <c r="N173" s="16">
        <v>0.5</v>
      </c>
      <c r="O173" s="16">
        <v>0.5</v>
      </c>
      <c r="P173" s="17">
        <v>45344.0</v>
      </c>
      <c r="Q173" s="18">
        <v>1.925</v>
      </c>
      <c r="R173" s="15" t="s">
        <v>33</v>
      </c>
      <c r="S173" s="19">
        <f t="shared" si="1"/>
        <v>0.4625</v>
      </c>
      <c r="T173" s="19">
        <f t="shared" si="4"/>
        <v>9.245747857</v>
      </c>
    </row>
    <row r="174">
      <c r="A174" s="8">
        <f t="shared" si="3"/>
        <v>173</v>
      </c>
      <c r="B174" s="8" t="s">
        <v>26</v>
      </c>
      <c r="C174" s="8" t="s">
        <v>19</v>
      </c>
      <c r="D174" s="8">
        <v>70.0</v>
      </c>
      <c r="E174" s="8" t="s">
        <v>4525</v>
      </c>
      <c r="F174" s="8"/>
      <c r="G174" s="8"/>
      <c r="H174" s="8"/>
      <c r="I174" s="8" t="s">
        <v>82</v>
      </c>
      <c r="J174" s="8" t="s">
        <v>22</v>
      </c>
      <c r="K174" s="8" t="s">
        <v>440</v>
      </c>
      <c r="L174" s="8" t="s">
        <v>39</v>
      </c>
      <c r="M174" s="9">
        <v>3.75</v>
      </c>
      <c r="N174" s="9">
        <v>0.3</v>
      </c>
      <c r="O174" s="9">
        <v>0.3</v>
      </c>
      <c r="P174" s="10">
        <v>45344.0</v>
      </c>
      <c r="Q174" s="11">
        <v>1.65</v>
      </c>
      <c r="R174" s="8" t="s">
        <v>33</v>
      </c>
      <c r="S174" s="12">
        <f t="shared" si="1"/>
        <v>0.195</v>
      </c>
      <c r="T174" s="12">
        <f t="shared" si="4"/>
        <v>9.440747857</v>
      </c>
    </row>
    <row r="175">
      <c r="A175" s="15">
        <f t="shared" si="3"/>
        <v>174</v>
      </c>
      <c r="B175" s="15" t="s">
        <v>129</v>
      </c>
      <c r="C175" s="15" t="s">
        <v>40</v>
      </c>
      <c r="D175" s="15">
        <v>82.0</v>
      </c>
      <c r="E175" s="15" t="s">
        <v>4526</v>
      </c>
      <c r="F175" s="15" t="s">
        <v>5565</v>
      </c>
      <c r="G175" s="15" t="s">
        <v>2660</v>
      </c>
      <c r="H175" s="15">
        <v>0.0</v>
      </c>
      <c r="I175" s="15" t="s">
        <v>820</v>
      </c>
      <c r="J175" s="15" t="s">
        <v>22</v>
      </c>
      <c r="K175" s="15" t="s">
        <v>892</v>
      </c>
      <c r="L175" s="15" t="s">
        <v>24</v>
      </c>
      <c r="M175" s="16">
        <v>0.0</v>
      </c>
      <c r="N175" s="16">
        <v>0.25</v>
      </c>
      <c r="O175" s="16">
        <v>0.25</v>
      </c>
      <c r="P175" s="55">
        <v>45345.0</v>
      </c>
      <c r="Q175" s="18">
        <v>1.675</v>
      </c>
      <c r="R175" s="15" t="s">
        <v>25</v>
      </c>
      <c r="S175" s="19">
        <f t="shared" si="1"/>
        <v>-0.25</v>
      </c>
      <c r="T175" s="19">
        <f t="shared" si="4"/>
        <v>9.190747857</v>
      </c>
    </row>
    <row r="176">
      <c r="A176" s="8">
        <f t="shared" si="3"/>
        <v>175</v>
      </c>
      <c r="B176" s="8" t="s">
        <v>137</v>
      </c>
      <c r="C176" s="8" t="s">
        <v>19</v>
      </c>
      <c r="D176" s="8">
        <v>27.0</v>
      </c>
      <c r="E176" s="8" t="s">
        <v>4527</v>
      </c>
      <c r="F176" s="8" t="s">
        <v>5564</v>
      </c>
      <c r="G176" s="8"/>
      <c r="H176" s="8">
        <v>2</v>
      </c>
      <c r="I176" s="8" t="s">
        <v>28</v>
      </c>
      <c r="J176" s="8" t="s">
        <v>22</v>
      </c>
      <c r="K176" s="8" t="s">
        <v>440</v>
      </c>
      <c r="L176" s="8" t="s">
        <v>24</v>
      </c>
      <c r="M176" s="9">
        <v>2.5</v>
      </c>
      <c r="N176" s="9">
        <v>0.5</v>
      </c>
      <c r="O176" s="9">
        <v>0.5</v>
      </c>
      <c r="P176" s="10">
        <v>45345.0</v>
      </c>
      <c r="Q176" s="11">
        <v>1.725</v>
      </c>
      <c r="R176" s="8" t="s">
        <v>33</v>
      </c>
      <c r="S176" s="12">
        <f t="shared" si="1"/>
        <v>0.3625</v>
      </c>
      <c r="T176" s="12">
        <f t="shared" si="4"/>
        <v>9.553247857</v>
      </c>
    </row>
    <row r="177">
      <c r="A177" s="15">
        <f t="shared" si="3"/>
        <v>176</v>
      </c>
      <c r="B177" s="15" t="s">
        <v>137</v>
      </c>
      <c r="C177" s="15" t="s">
        <v>19</v>
      </c>
      <c r="D177" s="15">
        <v>28.0</v>
      </c>
      <c r="E177" s="15" t="s">
        <v>4528</v>
      </c>
      <c r="F177" s="15" t="s">
        <v>5564</v>
      </c>
      <c r="G177" s="15" t="s">
        <v>2556</v>
      </c>
      <c r="H177" s="15">
        <v>2</v>
      </c>
      <c r="I177" s="15" t="s">
        <v>28</v>
      </c>
      <c r="J177" s="15" t="s">
        <v>22</v>
      </c>
      <c r="K177" s="15" t="s">
        <v>225</v>
      </c>
      <c r="L177" s="15" t="s">
        <v>24</v>
      </c>
      <c r="M177" s="16">
        <v>1.0</v>
      </c>
      <c r="N177" s="16">
        <v>0.25</v>
      </c>
      <c r="O177" s="16">
        <v>0.25</v>
      </c>
      <c r="P177" s="17">
        <v>45345.0</v>
      </c>
      <c r="Q177" s="18">
        <v>1.85</v>
      </c>
      <c r="R177" s="15" t="s">
        <v>33</v>
      </c>
      <c r="S177" s="19">
        <f t="shared" si="1"/>
        <v>0.2125</v>
      </c>
      <c r="T177" s="19">
        <f t="shared" si="4"/>
        <v>9.765747857</v>
      </c>
    </row>
    <row r="178">
      <c r="A178" s="8">
        <f t="shared" si="3"/>
        <v>177</v>
      </c>
      <c r="B178" s="8" t="s">
        <v>129</v>
      </c>
      <c r="C178" s="8" t="s">
        <v>19</v>
      </c>
      <c r="D178" s="8">
        <v>36.0</v>
      </c>
      <c r="E178" s="8" t="s">
        <v>4529</v>
      </c>
      <c r="F178" s="8" t="s">
        <v>5564</v>
      </c>
      <c r="G178" s="8" t="s">
        <v>2660</v>
      </c>
      <c r="H178" s="8">
        <f>1</f>
        <v>1</v>
      </c>
      <c r="I178" s="8" t="s">
        <v>167</v>
      </c>
      <c r="J178" s="8" t="s">
        <v>22</v>
      </c>
      <c r="K178" s="8" t="s">
        <v>892</v>
      </c>
      <c r="L178" s="8" t="s">
        <v>24</v>
      </c>
      <c r="M178" s="9">
        <v>0.0</v>
      </c>
      <c r="N178" s="9">
        <v>1.0</v>
      </c>
      <c r="O178" s="9">
        <v>1.0</v>
      </c>
      <c r="P178" s="10">
        <v>45345.0</v>
      </c>
      <c r="Q178" s="11">
        <v>1.9</v>
      </c>
      <c r="R178" s="8" t="s">
        <v>33</v>
      </c>
      <c r="S178" s="12">
        <f t="shared" si="1"/>
        <v>0.9</v>
      </c>
      <c r="T178" s="12">
        <f t="shared" si="4"/>
        <v>10.66574786</v>
      </c>
    </row>
    <row r="179">
      <c r="A179" s="15">
        <f t="shared" si="3"/>
        <v>178</v>
      </c>
      <c r="B179" s="15" t="s">
        <v>26</v>
      </c>
      <c r="C179" s="15" t="s">
        <v>19</v>
      </c>
      <c r="D179" s="15">
        <v>70.0</v>
      </c>
      <c r="E179" s="15" t="s">
        <v>4530</v>
      </c>
      <c r="F179" s="15"/>
      <c r="G179" s="15"/>
      <c r="H179" s="15"/>
      <c r="I179" s="15" t="s">
        <v>167</v>
      </c>
      <c r="J179" s="15" t="s">
        <v>22</v>
      </c>
      <c r="K179" s="15" t="s">
        <v>440</v>
      </c>
      <c r="L179" s="15" t="s">
        <v>24</v>
      </c>
      <c r="M179" s="16">
        <v>2.5</v>
      </c>
      <c r="N179" s="16">
        <v>0.5</v>
      </c>
      <c r="O179" s="16">
        <v>0.5</v>
      </c>
      <c r="P179" s="17">
        <v>45345.0</v>
      </c>
      <c r="Q179" s="18">
        <v>1.725</v>
      </c>
      <c r="R179" s="15" t="s">
        <v>33</v>
      </c>
      <c r="S179" s="19">
        <f t="shared" si="1"/>
        <v>0.3625</v>
      </c>
      <c r="T179" s="19">
        <f t="shared" si="4"/>
        <v>11.02824786</v>
      </c>
    </row>
    <row r="180">
      <c r="A180" s="8">
        <f t="shared" si="3"/>
        <v>179</v>
      </c>
      <c r="B180" s="8" t="s">
        <v>18</v>
      </c>
      <c r="C180" s="8" t="s">
        <v>19</v>
      </c>
      <c r="D180" s="8">
        <v>78.0</v>
      </c>
      <c r="E180" s="8" t="s">
        <v>4531</v>
      </c>
      <c r="F180" s="8" t="s">
        <v>5564</v>
      </c>
      <c r="G180" s="8" t="s">
        <v>2556</v>
      </c>
      <c r="H180" s="8">
        <v>0.0</v>
      </c>
      <c r="I180" s="8" t="s">
        <v>1031</v>
      </c>
      <c r="J180" s="8" t="s">
        <v>22</v>
      </c>
      <c r="K180" s="8" t="s">
        <v>4352</v>
      </c>
      <c r="L180" s="8" t="s">
        <v>24</v>
      </c>
      <c r="M180" s="9">
        <v>0.0</v>
      </c>
      <c r="N180" s="9">
        <v>0.25</v>
      </c>
      <c r="O180" s="9">
        <v>0.25</v>
      </c>
      <c r="P180" s="10">
        <v>45345.0</v>
      </c>
      <c r="Q180" s="11">
        <v>1.8</v>
      </c>
      <c r="R180" s="8" t="s">
        <v>70</v>
      </c>
      <c r="S180" s="12">
        <f t="shared" si="1"/>
        <v>0</v>
      </c>
      <c r="T180" s="12">
        <f t="shared" si="4"/>
        <v>11.02824786</v>
      </c>
    </row>
    <row r="181">
      <c r="A181" s="15">
        <f t="shared" si="3"/>
        <v>180</v>
      </c>
      <c r="B181" s="15" t="s">
        <v>131</v>
      </c>
      <c r="C181" s="15" t="s">
        <v>19</v>
      </c>
      <c r="D181" s="15">
        <v>80.0</v>
      </c>
      <c r="E181" s="15" t="s">
        <v>4532</v>
      </c>
      <c r="F181" s="15" t="s">
        <v>5564</v>
      </c>
      <c r="G181" s="15" t="s">
        <v>2660</v>
      </c>
      <c r="H181" s="15">
        <v>0.0</v>
      </c>
      <c r="I181" s="15" t="s">
        <v>820</v>
      </c>
      <c r="J181" s="15" t="s">
        <v>22</v>
      </c>
      <c r="K181" s="15" t="s">
        <v>892</v>
      </c>
      <c r="L181" s="15" t="s">
        <v>24</v>
      </c>
      <c r="M181" s="16">
        <v>0.0</v>
      </c>
      <c r="N181" s="16">
        <v>0.5</v>
      </c>
      <c r="O181" s="16">
        <v>0.5</v>
      </c>
      <c r="P181" s="17">
        <v>45345.0</v>
      </c>
      <c r="Q181" s="18">
        <v>2.5</v>
      </c>
      <c r="R181" s="15" t="s">
        <v>25</v>
      </c>
      <c r="S181" s="19">
        <f t="shared" si="1"/>
        <v>-0.5</v>
      </c>
      <c r="T181" s="19">
        <f t="shared" si="4"/>
        <v>10.52824786</v>
      </c>
    </row>
    <row r="182">
      <c r="A182" s="8">
        <f t="shared" si="3"/>
        <v>181</v>
      </c>
      <c r="B182" s="8" t="s">
        <v>129</v>
      </c>
      <c r="C182" s="8" t="s">
        <v>19</v>
      </c>
      <c r="D182" s="8">
        <v>29.0</v>
      </c>
      <c r="E182" s="8" t="s">
        <v>4533</v>
      </c>
      <c r="F182" s="8" t="s">
        <v>5565</v>
      </c>
      <c r="G182" s="8" t="s">
        <v>2660</v>
      </c>
      <c r="H182" s="8">
        <v>0.0</v>
      </c>
      <c r="I182" s="8" t="s">
        <v>4354</v>
      </c>
      <c r="J182" s="8" t="s">
        <v>22</v>
      </c>
      <c r="K182" s="8" t="s">
        <v>1150</v>
      </c>
      <c r="L182" s="8" t="s">
        <v>24</v>
      </c>
      <c r="M182" s="9">
        <v>0.0</v>
      </c>
      <c r="N182" s="9">
        <v>1.0</v>
      </c>
      <c r="O182" s="9">
        <v>1.0</v>
      </c>
      <c r="P182" s="10">
        <v>45345.0</v>
      </c>
      <c r="Q182" s="11">
        <v>1.75</v>
      </c>
      <c r="R182" s="8" t="s">
        <v>70</v>
      </c>
      <c r="S182" s="12">
        <f t="shared" si="1"/>
        <v>0</v>
      </c>
      <c r="T182" s="12">
        <f t="shared" si="4"/>
        <v>10.52824786</v>
      </c>
    </row>
    <row r="183">
      <c r="A183" s="15">
        <f t="shared" si="3"/>
        <v>182</v>
      </c>
      <c r="B183" s="15" t="s">
        <v>4225</v>
      </c>
      <c r="C183" s="15" t="s">
        <v>19</v>
      </c>
      <c r="D183" s="15">
        <v>35.0</v>
      </c>
      <c r="E183" s="15" t="s">
        <v>4534</v>
      </c>
      <c r="F183" s="15" t="s">
        <v>5564</v>
      </c>
      <c r="G183" s="15" t="s">
        <v>2556</v>
      </c>
      <c r="H183" s="15">
        <v>0.0</v>
      </c>
      <c r="I183" s="15" t="s">
        <v>233</v>
      </c>
      <c r="J183" s="15" t="s">
        <v>22</v>
      </c>
      <c r="K183" s="15" t="s">
        <v>225</v>
      </c>
      <c r="L183" s="15" t="s">
        <v>24</v>
      </c>
      <c r="M183" s="16">
        <v>0.25</v>
      </c>
      <c r="N183" s="16">
        <v>0.5</v>
      </c>
      <c r="O183" s="16">
        <v>0.5</v>
      </c>
      <c r="P183" s="17">
        <v>45345.0</v>
      </c>
      <c r="Q183" s="18">
        <v>1.775</v>
      </c>
      <c r="R183" s="15" t="s">
        <v>25</v>
      </c>
      <c r="S183" s="19">
        <f t="shared" si="1"/>
        <v>-0.5</v>
      </c>
      <c r="T183" s="19">
        <f t="shared" si="4"/>
        <v>10.02824786</v>
      </c>
    </row>
    <row r="184">
      <c r="A184" s="8">
        <f t="shared" si="3"/>
        <v>183</v>
      </c>
      <c r="B184" s="8" t="s">
        <v>137</v>
      </c>
      <c r="C184" s="8" t="s">
        <v>19</v>
      </c>
      <c r="D184" s="8">
        <v>67.0</v>
      </c>
      <c r="E184" s="8" t="s">
        <v>4535</v>
      </c>
      <c r="F184" s="8" t="s">
        <v>5564</v>
      </c>
      <c r="G184" s="8" t="s">
        <v>2660</v>
      </c>
      <c r="H184" s="8">
        <v>2</v>
      </c>
      <c r="I184" s="8" t="s">
        <v>233</v>
      </c>
      <c r="J184" s="8" t="s">
        <v>22</v>
      </c>
      <c r="K184" s="8" t="s">
        <v>892</v>
      </c>
      <c r="L184" s="8" t="s">
        <v>39</v>
      </c>
      <c r="M184" s="9">
        <v>0.0</v>
      </c>
      <c r="N184" s="9">
        <v>0.5</v>
      </c>
      <c r="O184" s="9">
        <v>0.5</v>
      </c>
      <c r="P184" s="10">
        <v>45345.0</v>
      </c>
      <c r="Q184" s="11">
        <v>1.7</v>
      </c>
      <c r="R184" s="8" t="s">
        <v>33</v>
      </c>
      <c r="S184" s="12">
        <f t="shared" si="1"/>
        <v>0.35</v>
      </c>
      <c r="T184" s="12">
        <f t="shared" si="4"/>
        <v>10.37824786</v>
      </c>
    </row>
    <row r="185">
      <c r="A185" s="15">
        <f t="shared" si="3"/>
        <v>184</v>
      </c>
      <c r="B185" s="15" t="s">
        <v>18</v>
      </c>
      <c r="C185" s="15" t="s">
        <v>19</v>
      </c>
      <c r="D185" s="15">
        <v>20.0</v>
      </c>
      <c r="E185" s="15" t="s">
        <v>4536</v>
      </c>
      <c r="F185" s="15" t="s">
        <v>5565</v>
      </c>
      <c r="G185" s="15" t="s">
        <v>2556</v>
      </c>
      <c r="H185" s="15">
        <v>0.0</v>
      </c>
      <c r="I185" s="15" t="s">
        <v>115</v>
      </c>
      <c r="J185" s="15" t="s">
        <v>22</v>
      </c>
      <c r="K185" s="15" t="s">
        <v>225</v>
      </c>
      <c r="L185" s="15" t="s">
        <v>24</v>
      </c>
      <c r="M185" s="16">
        <v>1.0</v>
      </c>
      <c r="N185" s="16">
        <v>0.8</v>
      </c>
      <c r="O185" s="16">
        <v>0.8</v>
      </c>
      <c r="P185" s="17">
        <v>45346.0</v>
      </c>
      <c r="Q185" s="18">
        <v>1.8</v>
      </c>
      <c r="R185" s="15" t="s">
        <v>33</v>
      </c>
      <c r="S185" s="19">
        <f t="shared" si="1"/>
        <v>0.64</v>
      </c>
      <c r="T185" s="19">
        <f t="shared" si="4"/>
        <v>11.01824786</v>
      </c>
    </row>
    <row r="186">
      <c r="A186" s="8">
        <f t="shared" si="3"/>
        <v>185</v>
      </c>
      <c r="B186" s="8" t="s">
        <v>18</v>
      </c>
      <c r="C186" s="8" t="s">
        <v>19</v>
      </c>
      <c r="D186" s="8">
        <v>20.0</v>
      </c>
      <c r="E186" s="8" t="s">
        <v>4537</v>
      </c>
      <c r="F186" s="8" t="s">
        <v>5565</v>
      </c>
      <c r="G186" s="8" t="s">
        <v>2556</v>
      </c>
      <c r="H186" s="8">
        <v>0.0</v>
      </c>
      <c r="I186" s="8" t="s">
        <v>115</v>
      </c>
      <c r="J186" s="8" t="s">
        <v>22</v>
      </c>
      <c r="K186" s="8" t="s">
        <v>4352</v>
      </c>
      <c r="L186" s="8" t="s">
        <v>24</v>
      </c>
      <c r="M186" s="9">
        <v>0.0</v>
      </c>
      <c r="N186" s="9">
        <v>0.15</v>
      </c>
      <c r="O186" s="9">
        <v>0.15</v>
      </c>
      <c r="P186" s="10">
        <v>45346.0</v>
      </c>
      <c r="Q186" s="11">
        <v>4.0</v>
      </c>
      <c r="R186" s="8" t="s">
        <v>33</v>
      </c>
      <c r="S186" s="12">
        <f t="shared" si="1"/>
        <v>0.45</v>
      </c>
      <c r="T186" s="12">
        <f t="shared" si="4"/>
        <v>11.46824786</v>
      </c>
    </row>
    <row r="187">
      <c r="A187" s="15">
        <f t="shared" si="3"/>
        <v>186</v>
      </c>
      <c r="B187" s="15" t="s">
        <v>4225</v>
      </c>
      <c r="C187" s="15" t="s">
        <v>19</v>
      </c>
      <c r="D187" s="15">
        <v>0.0</v>
      </c>
      <c r="E187" s="15" t="s">
        <v>4538</v>
      </c>
      <c r="F187" s="15" t="s">
        <v>5565</v>
      </c>
      <c r="G187" s="15" t="s">
        <v>2660</v>
      </c>
      <c r="H187" s="15">
        <v>0.0</v>
      </c>
      <c r="I187" s="15" t="s">
        <v>432</v>
      </c>
      <c r="J187" s="15" t="s">
        <v>598</v>
      </c>
      <c r="K187" s="15" t="s">
        <v>892</v>
      </c>
      <c r="L187" s="15" t="s">
        <v>24</v>
      </c>
      <c r="M187" s="16">
        <v>0.0</v>
      </c>
      <c r="N187" s="16">
        <v>0.5</v>
      </c>
      <c r="O187" s="16">
        <v>0.5</v>
      </c>
      <c r="P187" s="17">
        <v>45346.0</v>
      </c>
      <c r="Q187" s="18">
        <v>2.0</v>
      </c>
      <c r="R187" s="15" t="s">
        <v>70</v>
      </c>
      <c r="S187" s="19">
        <f t="shared" si="1"/>
        <v>0</v>
      </c>
      <c r="T187" s="19">
        <f t="shared" si="4"/>
        <v>11.46824786</v>
      </c>
    </row>
    <row r="188">
      <c r="A188" s="8">
        <f t="shared" si="3"/>
        <v>187</v>
      </c>
      <c r="B188" s="8" t="s">
        <v>26</v>
      </c>
      <c r="C188" s="8" t="s">
        <v>19</v>
      </c>
      <c r="D188" s="8">
        <v>64.0</v>
      </c>
      <c r="E188" s="8" t="s">
        <v>4539</v>
      </c>
      <c r="F188" s="8" t="s">
        <v>5565</v>
      </c>
      <c r="G188" s="8" t="s">
        <v>2660</v>
      </c>
      <c r="H188" s="8">
        <v>0.0</v>
      </c>
      <c r="I188" s="8" t="s">
        <v>121</v>
      </c>
      <c r="J188" s="8" t="s">
        <v>22</v>
      </c>
      <c r="K188" s="8" t="s">
        <v>892</v>
      </c>
      <c r="L188" s="8" t="s">
        <v>24</v>
      </c>
      <c r="M188" s="9">
        <v>0.0</v>
      </c>
      <c r="N188" s="9">
        <v>0.25</v>
      </c>
      <c r="O188" s="9">
        <v>0.25</v>
      </c>
      <c r="P188" s="10">
        <v>45346.0</v>
      </c>
      <c r="Q188" s="11">
        <v>1.825</v>
      </c>
      <c r="R188" s="8" t="s">
        <v>70</v>
      </c>
      <c r="S188" s="12">
        <f t="shared" si="1"/>
        <v>0</v>
      </c>
      <c r="T188" s="12">
        <f t="shared" si="4"/>
        <v>11.46824786</v>
      </c>
    </row>
    <row r="189">
      <c r="A189" s="15">
        <f t="shared" si="3"/>
        <v>188</v>
      </c>
      <c r="B189" s="15" t="s">
        <v>4225</v>
      </c>
      <c r="C189" s="15" t="s">
        <v>19</v>
      </c>
      <c r="D189" s="15">
        <v>35.0</v>
      </c>
      <c r="E189" s="15" t="s">
        <v>4540</v>
      </c>
      <c r="F189" s="15" t="s">
        <v>5564</v>
      </c>
      <c r="G189" s="15" t="s">
        <v>2660</v>
      </c>
      <c r="H189" s="15">
        <v>0.0</v>
      </c>
      <c r="I189" s="15" t="s">
        <v>432</v>
      </c>
      <c r="J189" s="15" t="s">
        <v>22</v>
      </c>
      <c r="K189" s="15" t="s">
        <v>892</v>
      </c>
      <c r="L189" s="15" t="s">
        <v>39</v>
      </c>
      <c r="M189" s="16">
        <v>0.0</v>
      </c>
      <c r="N189" s="16">
        <v>0.55</v>
      </c>
      <c r="O189" s="16">
        <v>0.55</v>
      </c>
      <c r="P189" s="17">
        <v>45346.0</v>
      </c>
      <c r="Q189" s="18">
        <v>1.45</v>
      </c>
      <c r="R189" s="15" t="s">
        <v>70</v>
      </c>
      <c r="S189" s="19">
        <f t="shared" si="1"/>
        <v>0</v>
      </c>
      <c r="T189" s="19">
        <f t="shared" si="4"/>
        <v>11.46824786</v>
      </c>
    </row>
    <row r="190">
      <c r="A190" s="8">
        <f t="shared" si="3"/>
        <v>189</v>
      </c>
      <c r="B190" s="8" t="s">
        <v>129</v>
      </c>
      <c r="C190" s="8" t="s">
        <v>40</v>
      </c>
      <c r="D190" s="8">
        <v>29.0</v>
      </c>
      <c r="E190" s="8" t="s">
        <v>4541</v>
      </c>
      <c r="F190" s="8" t="s">
        <v>5564</v>
      </c>
      <c r="G190" s="8" t="s">
        <v>2660</v>
      </c>
      <c r="H190" s="8">
        <v>2</v>
      </c>
      <c r="I190" s="8" t="s">
        <v>42</v>
      </c>
      <c r="J190" s="8" t="s">
        <v>22</v>
      </c>
      <c r="K190" s="8" t="s">
        <v>1150</v>
      </c>
      <c r="L190" s="8" t="s">
        <v>24</v>
      </c>
      <c r="M190" s="9">
        <v>0.0</v>
      </c>
      <c r="N190" s="9">
        <v>0.6</v>
      </c>
      <c r="O190" s="9">
        <v>0.6</v>
      </c>
      <c r="P190" s="54">
        <v>45346.0</v>
      </c>
      <c r="Q190" s="11">
        <v>1.6</v>
      </c>
      <c r="R190" s="8" t="s">
        <v>70</v>
      </c>
      <c r="S190" s="12">
        <f t="shared" si="1"/>
        <v>0</v>
      </c>
      <c r="T190" s="12">
        <f t="shared" si="4"/>
        <v>11.46824786</v>
      </c>
    </row>
    <row r="191">
      <c r="A191" s="15">
        <f t="shared" si="3"/>
        <v>190</v>
      </c>
      <c r="B191" s="15" t="s">
        <v>129</v>
      </c>
      <c r="C191" s="15" t="s">
        <v>19</v>
      </c>
      <c r="D191" s="15">
        <v>35.0</v>
      </c>
      <c r="E191" s="15" t="s">
        <v>4542</v>
      </c>
      <c r="F191" s="15" t="s">
        <v>5564</v>
      </c>
      <c r="G191" s="15" t="s">
        <v>2660</v>
      </c>
      <c r="H191" s="15">
        <v>-1.0</v>
      </c>
      <c r="I191" s="15" t="s">
        <v>525</v>
      </c>
      <c r="J191" s="15" t="s">
        <v>22</v>
      </c>
      <c r="K191" s="15" t="s">
        <v>1150</v>
      </c>
      <c r="L191" s="15" t="s">
        <v>24</v>
      </c>
      <c r="M191" s="16">
        <v>0.0</v>
      </c>
      <c r="N191" s="16">
        <v>0.5</v>
      </c>
      <c r="O191" s="16">
        <v>0.5</v>
      </c>
      <c r="P191" s="17">
        <v>45346.0</v>
      </c>
      <c r="Q191" s="18">
        <f>(1.7+1.775)/2</f>
        <v>1.7375</v>
      </c>
      <c r="R191" s="15" t="s">
        <v>33</v>
      </c>
      <c r="S191" s="19">
        <f t="shared" si="1"/>
        <v>0.36875</v>
      </c>
      <c r="T191" s="19">
        <f t="shared" si="4"/>
        <v>11.83699786</v>
      </c>
    </row>
    <row r="192">
      <c r="A192" s="8">
        <f t="shared" si="3"/>
        <v>191</v>
      </c>
      <c r="B192" s="8" t="s">
        <v>4225</v>
      </c>
      <c r="C192" s="8" t="s">
        <v>19</v>
      </c>
      <c r="D192" s="8">
        <v>68.0</v>
      </c>
      <c r="E192" s="8" t="s">
        <v>4543</v>
      </c>
      <c r="F192" s="8" t="s">
        <v>5564</v>
      </c>
      <c r="G192" s="8" t="s">
        <v>2660</v>
      </c>
      <c r="H192" s="8">
        <v>-1.0</v>
      </c>
      <c r="I192" s="8" t="s">
        <v>923</v>
      </c>
      <c r="J192" s="8" t="s">
        <v>22</v>
      </c>
      <c r="K192" s="8" t="s">
        <v>892</v>
      </c>
      <c r="L192" s="8" t="s">
        <v>24</v>
      </c>
      <c r="M192" s="9">
        <v>0.0</v>
      </c>
      <c r="N192" s="9">
        <v>0.5</v>
      </c>
      <c r="O192" s="9">
        <v>0.5</v>
      </c>
      <c r="P192" s="10">
        <v>45346.0</v>
      </c>
      <c r="Q192" s="11">
        <v>1.925</v>
      </c>
      <c r="R192" s="8" t="s">
        <v>33</v>
      </c>
      <c r="S192" s="12">
        <f t="shared" si="1"/>
        <v>0.4625</v>
      </c>
      <c r="T192" s="12">
        <f t="shared" si="4"/>
        <v>12.29949786</v>
      </c>
    </row>
    <row r="193">
      <c r="A193" s="15">
        <f t="shared" si="3"/>
        <v>192</v>
      </c>
      <c r="B193" s="15" t="s">
        <v>26</v>
      </c>
      <c r="C193" s="15" t="s">
        <v>19</v>
      </c>
      <c r="D193" s="15">
        <v>74.0</v>
      </c>
      <c r="E193" s="15" t="s">
        <v>4544</v>
      </c>
      <c r="F193" s="15" t="s">
        <v>5565</v>
      </c>
      <c r="G193" s="15" t="s">
        <v>2660</v>
      </c>
      <c r="H193" s="15">
        <v>0.0</v>
      </c>
      <c r="I193" s="15" t="s">
        <v>28</v>
      </c>
      <c r="J193" s="15" t="s">
        <v>22</v>
      </c>
      <c r="K193" s="15" t="s">
        <v>892</v>
      </c>
      <c r="L193" s="15" t="s">
        <v>24</v>
      </c>
      <c r="M193" s="16">
        <v>0.0</v>
      </c>
      <c r="N193" s="16">
        <v>0.25</v>
      </c>
      <c r="O193" s="16">
        <v>0.25</v>
      </c>
      <c r="P193" s="17">
        <v>45346.0</v>
      </c>
      <c r="Q193" s="18">
        <v>1.7</v>
      </c>
      <c r="R193" s="15" t="s">
        <v>70</v>
      </c>
      <c r="S193" s="19">
        <f t="shared" si="1"/>
        <v>0</v>
      </c>
      <c r="T193" s="19">
        <f t="shared" si="4"/>
        <v>12.29949786</v>
      </c>
    </row>
    <row r="194">
      <c r="A194" s="8">
        <f t="shared" si="3"/>
        <v>193</v>
      </c>
      <c r="B194" s="8" t="s">
        <v>137</v>
      </c>
      <c r="C194" s="8" t="s">
        <v>19</v>
      </c>
      <c r="D194" s="8">
        <v>62.0</v>
      </c>
      <c r="E194" s="8" t="s">
        <v>4545</v>
      </c>
      <c r="F194" s="8" t="s">
        <v>5564</v>
      </c>
      <c r="G194" s="8" t="s">
        <v>2660</v>
      </c>
      <c r="H194" s="8">
        <v>-1.0</v>
      </c>
      <c r="I194" s="8" t="s">
        <v>624</v>
      </c>
      <c r="J194" s="8" t="s">
        <v>22</v>
      </c>
      <c r="K194" s="8" t="s">
        <v>892</v>
      </c>
      <c r="L194" s="8" t="s">
        <v>24</v>
      </c>
      <c r="M194" s="9">
        <v>0.0</v>
      </c>
      <c r="N194" s="9">
        <v>0.75</v>
      </c>
      <c r="O194" s="9">
        <v>0.75</v>
      </c>
      <c r="P194" s="10">
        <v>45346.0</v>
      </c>
      <c r="Q194" s="11">
        <v>2.0</v>
      </c>
      <c r="R194" s="8" t="s">
        <v>33</v>
      </c>
      <c r="S194" s="12">
        <f t="shared" si="1"/>
        <v>0.75</v>
      </c>
      <c r="T194" s="12">
        <f t="shared" si="4"/>
        <v>13.04949786</v>
      </c>
    </row>
    <row r="195">
      <c r="A195" s="15">
        <f t="shared" si="3"/>
        <v>194</v>
      </c>
      <c r="B195" s="15" t="s">
        <v>137</v>
      </c>
      <c r="C195" s="15" t="s">
        <v>19</v>
      </c>
      <c r="D195" s="15">
        <v>67.0</v>
      </c>
      <c r="E195" s="15" t="s">
        <v>4545</v>
      </c>
      <c r="F195" s="15" t="s">
        <v>5564</v>
      </c>
      <c r="G195" s="15" t="s">
        <v>2660</v>
      </c>
      <c r="H195" s="15">
        <v>0.0</v>
      </c>
      <c r="I195" s="15" t="s">
        <v>624</v>
      </c>
      <c r="J195" s="15" t="s">
        <v>22</v>
      </c>
      <c r="K195" s="15" t="s">
        <v>892</v>
      </c>
      <c r="L195" s="15" t="s">
        <v>24</v>
      </c>
      <c r="M195" s="16">
        <v>0.0</v>
      </c>
      <c r="N195" s="16">
        <v>0.5</v>
      </c>
      <c r="O195" s="16">
        <v>0.5</v>
      </c>
      <c r="P195" s="17">
        <v>45346.0</v>
      </c>
      <c r="Q195" s="18">
        <v>1.9</v>
      </c>
      <c r="R195" s="15" t="s">
        <v>33</v>
      </c>
      <c r="S195" s="19">
        <f t="shared" si="1"/>
        <v>0.45</v>
      </c>
      <c r="T195" s="19">
        <f t="shared" si="4"/>
        <v>13.49949786</v>
      </c>
    </row>
    <row r="196">
      <c r="A196" s="8">
        <f t="shared" si="3"/>
        <v>195</v>
      </c>
      <c r="B196" s="8" t="s">
        <v>137</v>
      </c>
      <c r="C196" s="8" t="s">
        <v>19</v>
      </c>
      <c r="D196" s="8">
        <v>61.0</v>
      </c>
      <c r="E196" s="8" t="s">
        <v>4546</v>
      </c>
      <c r="F196" s="8" t="s">
        <v>5564</v>
      </c>
      <c r="G196" s="8" t="s">
        <v>2660</v>
      </c>
      <c r="H196" s="8">
        <v>0.0</v>
      </c>
      <c r="I196" s="8" t="s">
        <v>172</v>
      </c>
      <c r="J196" s="8" t="s">
        <v>22</v>
      </c>
      <c r="K196" s="8" t="s">
        <v>892</v>
      </c>
      <c r="L196" s="8" t="s">
        <v>24</v>
      </c>
      <c r="M196" s="9">
        <v>0.0</v>
      </c>
      <c r="N196" s="9">
        <v>0.75</v>
      </c>
      <c r="O196" s="9">
        <v>0.75</v>
      </c>
      <c r="P196" s="10">
        <v>45346.0</v>
      </c>
      <c r="Q196" s="11">
        <v>2.0</v>
      </c>
      <c r="R196" s="8" t="s">
        <v>25</v>
      </c>
      <c r="S196" s="12">
        <f t="shared" si="1"/>
        <v>-0.75</v>
      </c>
      <c r="T196" s="12">
        <f t="shared" si="4"/>
        <v>12.74949786</v>
      </c>
    </row>
    <row r="197">
      <c r="A197" s="15">
        <f t="shared" si="3"/>
        <v>196</v>
      </c>
      <c r="B197" s="15" t="s">
        <v>26</v>
      </c>
      <c r="C197" s="15" t="s">
        <v>19</v>
      </c>
      <c r="D197" s="15">
        <v>77.0</v>
      </c>
      <c r="E197" s="15" t="s">
        <v>4547</v>
      </c>
      <c r="F197" s="15" t="s">
        <v>5565</v>
      </c>
      <c r="G197" s="15" t="s">
        <v>2660</v>
      </c>
      <c r="H197" s="15">
        <v>0.0</v>
      </c>
      <c r="I197" s="15" t="s">
        <v>66</v>
      </c>
      <c r="J197" s="15" t="s">
        <v>22</v>
      </c>
      <c r="K197" s="15" t="s">
        <v>892</v>
      </c>
      <c r="L197" s="15" t="s">
        <v>24</v>
      </c>
      <c r="M197" s="16">
        <v>0.0</v>
      </c>
      <c r="N197" s="16">
        <v>0.5</v>
      </c>
      <c r="O197" s="16">
        <v>0.5</v>
      </c>
      <c r="P197" s="17">
        <v>45346.0</v>
      </c>
      <c r="Q197" s="18">
        <v>1.85</v>
      </c>
      <c r="R197" s="15" t="s">
        <v>70</v>
      </c>
      <c r="S197" s="19">
        <f t="shared" si="1"/>
        <v>0</v>
      </c>
      <c r="T197" s="19">
        <f t="shared" si="4"/>
        <v>12.74949786</v>
      </c>
    </row>
    <row r="198">
      <c r="A198" s="8">
        <f t="shared" si="3"/>
        <v>197</v>
      </c>
      <c r="B198" s="8" t="s">
        <v>129</v>
      </c>
      <c r="C198" s="8" t="s">
        <v>19</v>
      </c>
      <c r="D198" s="8">
        <v>33.0</v>
      </c>
      <c r="E198" s="8" t="s">
        <v>4548</v>
      </c>
      <c r="F198" s="8" t="s">
        <v>5564</v>
      </c>
      <c r="G198" s="8" t="s">
        <v>2660</v>
      </c>
      <c r="H198" s="8">
        <v>-1.0</v>
      </c>
      <c r="I198" s="8" t="s">
        <v>68</v>
      </c>
      <c r="J198" s="8" t="s">
        <v>22</v>
      </c>
      <c r="K198" s="8" t="s">
        <v>892</v>
      </c>
      <c r="L198" s="8" t="s">
        <v>24</v>
      </c>
      <c r="M198" s="9">
        <v>0.0</v>
      </c>
      <c r="N198" s="9">
        <v>0.75</v>
      </c>
      <c r="O198" s="9">
        <v>0.75</v>
      </c>
      <c r="P198" s="10">
        <v>45346.0</v>
      </c>
      <c r="Q198" s="11">
        <v>2.075</v>
      </c>
      <c r="R198" s="8" t="s">
        <v>33</v>
      </c>
      <c r="S198" s="12">
        <f t="shared" si="1"/>
        <v>0.80625</v>
      </c>
      <c r="T198" s="12">
        <f t="shared" si="4"/>
        <v>13.55574786</v>
      </c>
    </row>
    <row r="199">
      <c r="A199" s="15">
        <f t="shared" si="3"/>
        <v>198</v>
      </c>
      <c r="B199" s="15" t="s">
        <v>129</v>
      </c>
      <c r="C199" s="15" t="s">
        <v>19</v>
      </c>
      <c r="D199" s="15"/>
      <c r="E199" s="15" t="s">
        <v>4549</v>
      </c>
      <c r="F199" s="15"/>
      <c r="G199" s="15"/>
      <c r="H199" s="15">
        <v>0.0</v>
      </c>
      <c r="I199" s="15" t="s">
        <v>68</v>
      </c>
      <c r="J199" s="15" t="s">
        <v>22</v>
      </c>
      <c r="K199" s="15" t="s">
        <v>440</v>
      </c>
      <c r="L199" s="15" t="s">
        <v>24</v>
      </c>
      <c r="M199" s="16">
        <v>2.5</v>
      </c>
      <c r="N199" s="16">
        <v>0.37</v>
      </c>
      <c r="O199" s="16">
        <v>0.37</v>
      </c>
      <c r="P199" s="17">
        <v>45346.0</v>
      </c>
      <c r="Q199" s="18">
        <v>2.1</v>
      </c>
      <c r="R199" s="15" t="s">
        <v>25</v>
      </c>
      <c r="S199" s="19">
        <f t="shared" si="1"/>
        <v>-0.37</v>
      </c>
      <c r="T199" s="19">
        <f t="shared" si="4"/>
        <v>13.18574786</v>
      </c>
    </row>
    <row r="200">
      <c r="A200" s="8">
        <f t="shared" si="3"/>
        <v>199</v>
      </c>
      <c r="B200" s="8" t="s">
        <v>26</v>
      </c>
      <c r="C200" s="8" t="s">
        <v>19</v>
      </c>
      <c r="D200" s="8">
        <v>18.0</v>
      </c>
      <c r="E200" s="8" t="s">
        <v>4550</v>
      </c>
      <c r="F200" s="8" t="s">
        <v>5565</v>
      </c>
      <c r="G200" s="8" t="s">
        <v>2660</v>
      </c>
      <c r="H200" s="8">
        <v>0.0</v>
      </c>
      <c r="I200" s="8" t="s">
        <v>93</v>
      </c>
      <c r="J200" s="8" t="s">
        <v>22</v>
      </c>
      <c r="K200" s="8" t="s">
        <v>1150</v>
      </c>
      <c r="L200" s="8" t="s">
        <v>24</v>
      </c>
      <c r="M200" s="9">
        <v>0.0</v>
      </c>
      <c r="N200" s="9">
        <v>1.0</v>
      </c>
      <c r="O200" s="9">
        <v>1.0</v>
      </c>
      <c r="P200" s="10">
        <v>45347.0</v>
      </c>
      <c r="Q200" s="11">
        <v>1.7</v>
      </c>
      <c r="R200" s="8" t="s">
        <v>70</v>
      </c>
      <c r="S200" s="12">
        <f t="shared" si="1"/>
        <v>0</v>
      </c>
      <c r="T200" s="12">
        <f t="shared" si="4"/>
        <v>13.18574786</v>
      </c>
    </row>
    <row r="201">
      <c r="A201" s="15">
        <f t="shared" si="3"/>
        <v>200</v>
      </c>
      <c r="B201" s="15" t="s">
        <v>26</v>
      </c>
      <c r="C201" s="15" t="s">
        <v>19</v>
      </c>
      <c r="D201" s="15">
        <v>76.0</v>
      </c>
      <c r="E201" s="15" t="s">
        <v>4551</v>
      </c>
      <c r="F201" s="15"/>
      <c r="G201" s="15"/>
      <c r="H201" s="15">
        <v>0.0</v>
      </c>
      <c r="I201" s="15" t="s">
        <v>229</v>
      </c>
      <c r="J201" s="15" t="s">
        <v>22</v>
      </c>
      <c r="K201" s="15" t="s">
        <v>440</v>
      </c>
      <c r="L201" s="15" t="s">
        <v>24</v>
      </c>
      <c r="M201" s="16">
        <v>2.75</v>
      </c>
      <c r="N201" s="16">
        <v>0.1</v>
      </c>
      <c r="O201" s="16">
        <v>0.1</v>
      </c>
      <c r="P201" s="17">
        <v>45347.0</v>
      </c>
      <c r="Q201" s="18">
        <v>1.75</v>
      </c>
      <c r="R201" s="15" t="s">
        <v>996</v>
      </c>
      <c r="S201" s="19">
        <f t="shared" si="1"/>
        <v>0.0375</v>
      </c>
      <c r="T201" s="19">
        <f t="shared" si="4"/>
        <v>13.22324786</v>
      </c>
    </row>
    <row r="202">
      <c r="A202" s="8">
        <f t="shared" si="3"/>
        <v>201</v>
      </c>
      <c r="B202" s="8" t="s">
        <v>129</v>
      </c>
      <c r="C202" s="8" t="s">
        <v>19</v>
      </c>
      <c r="D202" s="8">
        <v>76.0</v>
      </c>
      <c r="E202" s="8" t="s">
        <v>4552</v>
      </c>
      <c r="F202" s="8" t="s">
        <v>5565</v>
      </c>
      <c r="G202" s="8" t="s">
        <v>2660</v>
      </c>
      <c r="H202" s="8">
        <v>0.0</v>
      </c>
      <c r="I202" s="8" t="s">
        <v>229</v>
      </c>
      <c r="J202" s="8" t="s">
        <v>22</v>
      </c>
      <c r="K202" s="8" t="s">
        <v>892</v>
      </c>
      <c r="L202" s="8" t="s">
        <v>24</v>
      </c>
      <c r="M202" s="9">
        <v>0.0</v>
      </c>
      <c r="N202" s="9">
        <v>0.5</v>
      </c>
      <c r="O202" s="9">
        <v>0.5</v>
      </c>
      <c r="P202" s="10">
        <v>45347.0</v>
      </c>
      <c r="Q202" s="11">
        <v>1.85</v>
      </c>
      <c r="R202" s="8" t="s">
        <v>25</v>
      </c>
      <c r="S202" s="12">
        <f t="shared" si="1"/>
        <v>-0.5</v>
      </c>
      <c r="T202" s="12">
        <f t="shared" si="4"/>
        <v>12.72324786</v>
      </c>
    </row>
    <row r="203">
      <c r="A203" s="15">
        <f t="shared" si="3"/>
        <v>202</v>
      </c>
      <c r="B203" s="15" t="s">
        <v>26</v>
      </c>
      <c r="C203" s="15" t="s">
        <v>19</v>
      </c>
      <c r="D203" s="15">
        <v>86.0</v>
      </c>
      <c r="E203" s="15" t="s">
        <v>4553</v>
      </c>
      <c r="F203" s="15" t="s">
        <v>5565</v>
      </c>
      <c r="G203" s="15" t="s">
        <v>2660</v>
      </c>
      <c r="H203" s="15">
        <v>-1.0</v>
      </c>
      <c r="I203" s="15" t="s">
        <v>229</v>
      </c>
      <c r="J203" s="15" t="s">
        <v>22</v>
      </c>
      <c r="K203" s="15" t="s">
        <v>892</v>
      </c>
      <c r="L203" s="15" t="s">
        <v>24</v>
      </c>
      <c r="M203" s="16">
        <v>0.0</v>
      </c>
      <c r="N203" s="16">
        <v>0.75</v>
      </c>
      <c r="O203" s="16">
        <v>0.75</v>
      </c>
      <c r="P203" s="17">
        <v>45347.0</v>
      </c>
      <c r="Q203" s="18">
        <v>1.68</v>
      </c>
      <c r="R203" s="15" t="s">
        <v>70</v>
      </c>
      <c r="S203" s="19">
        <f t="shared" si="1"/>
        <v>0</v>
      </c>
      <c r="T203" s="19">
        <f t="shared" si="4"/>
        <v>12.72324786</v>
      </c>
    </row>
    <row r="204">
      <c r="A204" s="8">
        <f t="shared" si="3"/>
        <v>203</v>
      </c>
      <c r="B204" s="8" t="s">
        <v>18</v>
      </c>
      <c r="C204" s="8" t="s">
        <v>19</v>
      </c>
      <c r="D204" s="8">
        <v>14.0</v>
      </c>
      <c r="E204" s="8" t="s">
        <v>4554</v>
      </c>
      <c r="F204" s="8" t="s">
        <v>5564</v>
      </c>
      <c r="G204" s="8" t="s">
        <v>2556</v>
      </c>
      <c r="H204" s="8">
        <v>0.0</v>
      </c>
      <c r="I204" s="8" t="s">
        <v>273</v>
      </c>
      <c r="J204" s="8" t="s">
        <v>22</v>
      </c>
      <c r="K204" s="8" t="s">
        <v>225</v>
      </c>
      <c r="L204" s="8" t="s">
        <v>24</v>
      </c>
      <c r="M204" s="9">
        <v>0.25</v>
      </c>
      <c r="N204" s="9">
        <v>0.5</v>
      </c>
      <c r="O204" s="9">
        <v>0.5</v>
      </c>
      <c r="P204" s="10">
        <v>45347.0</v>
      </c>
      <c r="Q204" s="11">
        <v>1.775</v>
      </c>
      <c r="R204" s="8" t="s">
        <v>996</v>
      </c>
      <c r="S204" s="12">
        <f t="shared" si="1"/>
        <v>0.19375</v>
      </c>
      <c r="T204" s="12">
        <f t="shared" si="4"/>
        <v>12.91699786</v>
      </c>
    </row>
    <row r="205">
      <c r="A205" s="15">
        <f t="shared" si="3"/>
        <v>204</v>
      </c>
      <c r="B205" s="15" t="s">
        <v>18</v>
      </c>
      <c r="C205" s="15" t="s">
        <v>19</v>
      </c>
      <c r="D205" s="15">
        <v>16.0</v>
      </c>
      <c r="E205" s="15" t="s">
        <v>4555</v>
      </c>
      <c r="F205" s="15" t="s">
        <v>5564</v>
      </c>
      <c r="G205" s="15" t="s">
        <v>2660</v>
      </c>
      <c r="H205" s="15">
        <v>0.0</v>
      </c>
      <c r="I205" s="15" t="s">
        <v>273</v>
      </c>
      <c r="J205" s="15" t="s">
        <v>22</v>
      </c>
      <c r="K205" s="15" t="s">
        <v>1150</v>
      </c>
      <c r="L205" s="15" t="s">
        <v>24</v>
      </c>
      <c r="M205" s="16">
        <v>0.0</v>
      </c>
      <c r="N205" s="16">
        <v>0.5</v>
      </c>
      <c r="O205" s="16">
        <v>0.5</v>
      </c>
      <c r="P205" s="17">
        <v>45347.0</v>
      </c>
      <c r="Q205" s="18">
        <v>1.975</v>
      </c>
      <c r="R205" s="15" t="s">
        <v>70</v>
      </c>
      <c r="S205" s="19">
        <f t="shared" si="1"/>
        <v>0</v>
      </c>
      <c r="T205" s="19">
        <f t="shared" si="4"/>
        <v>12.91699786</v>
      </c>
    </row>
    <row r="206">
      <c r="A206" s="8">
        <f t="shared" si="3"/>
        <v>205</v>
      </c>
      <c r="B206" s="8" t="s">
        <v>18</v>
      </c>
      <c r="C206" s="8" t="s">
        <v>19</v>
      </c>
      <c r="D206" s="8">
        <v>33.0</v>
      </c>
      <c r="E206" s="8" t="s">
        <v>4556</v>
      </c>
      <c r="F206" s="8" t="s">
        <v>5565</v>
      </c>
      <c r="G206" s="8" t="s">
        <v>2660</v>
      </c>
      <c r="H206" s="8">
        <v>0.0</v>
      </c>
      <c r="I206" s="8" t="s">
        <v>273</v>
      </c>
      <c r="J206" s="8" t="s">
        <v>22</v>
      </c>
      <c r="K206" s="8" t="s">
        <v>1150</v>
      </c>
      <c r="L206" s="8" t="s">
        <v>24</v>
      </c>
      <c r="M206" s="9">
        <v>0.0</v>
      </c>
      <c r="N206" s="9">
        <v>0.5</v>
      </c>
      <c r="O206" s="9">
        <v>0.5</v>
      </c>
      <c r="P206" s="10">
        <v>45347.0</v>
      </c>
      <c r="Q206" s="11">
        <v>1.95</v>
      </c>
      <c r="R206" s="8" t="s">
        <v>70</v>
      </c>
      <c r="S206" s="12">
        <f t="shared" si="1"/>
        <v>0</v>
      </c>
      <c r="T206" s="12">
        <f t="shared" si="4"/>
        <v>12.91699786</v>
      </c>
    </row>
    <row r="207">
      <c r="A207" s="15">
        <f t="shared" si="3"/>
        <v>206</v>
      </c>
      <c r="B207" s="15" t="s">
        <v>18</v>
      </c>
      <c r="C207" s="15" t="s">
        <v>19</v>
      </c>
      <c r="D207" s="15">
        <v>36.0</v>
      </c>
      <c r="E207" s="15" t="s">
        <v>4557</v>
      </c>
      <c r="F207" s="15" t="s">
        <v>5565</v>
      </c>
      <c r="G207" s="15" t="s">
        <v>2556</v>
      </c>
      <c r="H207" s="15">
        <v>0.0</v>
      </c>
      <c r="I207" s="15" t="s">
        <v>273</v>
      </c>
      <c r="J207" s="15" t="s">
        <v>22</v>
      </c>
      <c r="K207" s="15" t="s">
        <v>1847</v>
      </c>
      <c r="L207" s="15" t="s">
        <v>24</v>
      </c>
      <c r="M207" s="16">
        <v>-0.5</v>
      </c>
      <c r="N207" s="16">
        <v>0.2</v>
      </c>
      <c r="O207" s="16">
        <v>0.2</v>
      </c>
      <c r="P207" s="17">
        <v>45347.0</v>
      </c>
      <c r="Q207" s="18">
        <v>2.75</v>
      </c>
      <c r="R207" s="15" t="s">
        <v>25</v>
      </c>
      <c r="S207" s="19">
        <f t="shared" si="1"/>
        <v>-0.2</v>
      </c>
      <c r="T207" s="19">
        <f t="shared" si="4"/>
        <v>12.71699786</v>
      </c>
    </row>
    <row r="208">
      <c r="A208" s="8">
        <f t="shared" si="3"/>
        <v>207</v>
      </c>
      <c r="B208" s="8" t="s">
        <v>18</v>
      </c>
      <c r="C208" s="8" t="s">
        <v>19</v>
      </c>
      <c r="D208" s="8">
        <v>36.0</v>
      </c>
      <c r="E208" s="8" t="s">
        <v>4558</v>
      </c>
      <c r="F208" s="8" t="s">
        <v>5565</v>
      </c>
      <c r="G208" s="8" t="s">
        <v>2660</v>
      </c>
      <c r="H208" s="8">
        <v>0.0</v>
      </c>
      <c r="I208" s="8" t="s">
        <v>273</v>
      </c>
      <c r="J208" s="8" t="s">
        <v>22</v>
      </c>
      <c r="K208" s="8" t="s">
        <v>892</v>
      </c>
      <c r="L208" s="8" t="s">
        <v>24</v>
      </c>
      <c r="M208" s="9">
        <v>0.0</v>
      </c>
      <c r="N208" s="9">
        <v>0.2</v>
      </c>
      <c r="O208" s="9">
        <v>0.2</v>
      </c>
      <c r="P208" s="10">
        <v>45347.0</v>
      </c>
      <c r="Q208" s="11">
        <v>1.95</v>
      </c>
      <c r="R208" s="8" t="s">
        <v>70</v>
      </c>
      <c r="S208" s="12">
        <f t="shared" si="1"/>
        <v>0</v>
      </c>
      <c r="T208" s="12">
        <f t="shared" si="4"/>
        <v>12.71699786</v>
      </c>
    </row>
    <row r="209">
      <c r="A209" s="15">
        <f t="shared" si="3"/>
        <v>208</v>
      </c>
      <c r="B209" s="15" t="s">
        <v>129</v>
      </c>
      <c r="C209" s="15" t="s">
        <v>19</v>
      </c>
      <c r="D209" s="15">
        <v>16.0</v>
      </c>
      <c r="E209" s="15" t="s">
        <v>4559</v>
      </c>
      <c r="F209" s="15" t="s">
        <v>5565</v>
      </c>
      <c r="G209" s="15" t="s">
        <v>2660</v>
      </c>
      <c r="H209" s="15">
        <v>0.0</v>
      </c>
      <c r="I209" s="15" t="s">
        <v>48</v>
      </c>
      <c r="J209" s="15" t="s">
        <v>22</v>
      </c>
      <c r="K209" s="15" t="s">
        <v>1150</v>
      </c>
      <c r="L209" s="15" t="s">
        <v>24</v>
      </c>
      <c r="M209" s="16">
        <v>0.0</v>
      </c>
      <c r="N209" s="16">
        <v>1.0</v>
      </c>
      <c r="O209" s="16">
        <v>1.0</v>
      </c>
      <c r="P209" s="55">
        <v>45347.0</v>
      </c>
      <c r="Q209" s="18">
        <v>1.65</v>
      </c>
      <c r="R209" s="15" t="s">
        <v>70</v>
      </c>
      <c r="S209" s="19">
        <f t="shared" si="1"/>
        <v>0</v>
      </c>
      <c r="T209" s="19">
        <f t="shared" si="4"/>
        <v>12.71699786</v>
      </c>
    </row>
    <row r="210">
      <c r="A210" s="8">
        <f t="shared" si="3"/>
        <v>209</v>
      </c>
      <c r="B210" s="8" t="s">
        <v>18</v>
      </c>
      <c r="C210" s="8" t="s">
        <v>19</v>
      </c>
      <c r="D210" s="8">
        <v>62.0</v>
      </c>
      <c r="E210" s="8" t="s">
        <v>4560</v>
      </c>
      <c r="F210" s="8" t="s">
        <v>5564</v>
      </c>
      <c r="G210" s="8" t="s">
        <v>2556</v>
      </c>
      <c r="H210" s="8">
        <v>-2.0</v>
      </c>
      <c r="I210" s="8" t="s">
        <v>48</v>
      </c>
      <c r="J210" s="8" t="s">
        <v>22</v>
      </c>
      <c r="K210" s="8" t="s">
        <v>225</v>
      </c>
      <c r="L210" s="8" t="s">
        <v>24</v>
      </c>
      <c r="M210" s="9">
        <v>0.5</v>
      </c>
      <c r="N210" s="9">
        <v>0.5</v>
      </c>
      <c r="O210" s="9">
        <v>0.5</v>
      </c>
      <c r="P210" s="10">
        <v>45347.0</v>
      </c>
      <c r="Q210" s="11">
        <v>1.7</v>
      </c>
      <c r="R210" s="8" t="s">
        <v>33</v>
      </c>
      <c r="S210" s="12">
        <f t="shared" si="1"/>
        <v>0.35</v>
      </c>
      <c r="T210" s="12">
        <f t="shared" si="4"/>
        <v>13.06699786</v>
      </c>
    </row>
    <row r="211">
      <c r="A211" s="15">
        <f t="shared" si="3"/>
        <v>210</v>
      </c>
      <c r="B211" s="15" t="s">
        <v>18</v>
      </c>
      <c r="C211" s="15" t="s">
        <v>19</v>
      </c>
      <c r="D211" s="15">
        <v>69.0</v>
      </c>
      <c r="E211" s="15" t="s">
        <v>4561</v>
      </c>
      <c r="F211" s="15" t="s">
        <v>5564</v>
      </c>
      <c r="G211" s="15" t="s">
        <v>2556</v>
      </c>
      <c r="H211" s="15">
        <v>-2.0</v>
      </c>
      <c r="I211" s="15" t="s">
        <v>48</v>
      </c>
      <c r="J211" s="15" t="s">
        <v>22</v>
      </c>
      <c r="K211" s="15" t="s">
        <v>1165</v>
      </c>
      <c r="L211" s="15" t="s">
        <v>24</v>
      </c>
      <c r="M211" s="16"/>
      <c r="N211" s="16">
        <v>0.05</v>
      </c>
      <c r="O211" s="16">
        <v>0.05</v>
      </c>
      <c r="P211" s="17">
        <v>45347.0</v>
      </c>
      <c r="Q211" s="18">
        <v>6.5</v>
      </c>
      <c r="R211" s="15" t="s">
        <v>33</v>
      </c>
      <c r="S211" s="19">
        <f t="shared" si="1"/>
        <v>0.275</v>
      </c>
      <c r="T211" s="19">
        <f t="shared" si="4"/>
        <v>13.34199786</v>
      </c>
    </row>
    <row r="212">
      <c r="A212" s="8">
        <f t="shared" si="3"/>
        <v>211</v>
      </c>
      <c r="B212" s="8" t="s">
        <v>26</v>
      </c>
      <c r="C212" s="8" t="s">
        <v>19</v>
      </c>
      <c r="D212" s="8">
        <v>70.0</v>
      </c>
      <c r="E212" s="8" t="s">
        <v>4562</v>
      </c>
      <c r="F212" s="8" t="s">
        <v>5565</v>
      </c>
      <c r="G212" s="8" t="s">
        <v>2660</v>
      </c>
      <c r="H212" s="8">
        <v>0.0</v>
      </c>
      <c r="I212" s="8" t="s">
        <v>48</v>
      </c>
      <c r="J212" s="8" t="s">
        <v>22</v>
      </c>
      <c r="K212" s="8" t="s">
        <v>892</v>
      </c>
      <c r="L212" s="8" t="s">
        <v>24</v>
      </c>
      <c r="M212" s="9">
        <v>0.0</v>
      </c>
      <c r="N212" s="9">
        <v>0.5</v>
      </c>
      <c r="O212" s="9">
        <v>0.5</v>
      </c>
      <c r="P212" s="10">
        <v>45347.0</v>
      </c>
      <c r="Q212" s="11">
        <v>1.85</v>
      </c>
      <c r="R212" s="8" t="s">
        <v>70</v>
      </c>
      <c r="S212" s="12">
        <f t="shared" si="1"/>
        <v>0</v>
      </c>
      <c r="T212" s="12">
        <f t="shared" si="4"/>
        <v>13.34199786</v>
      </c>
    </row>
    <row r="213">
      <c r="A213" s="15">
        <f t="shared" si="3"/>
        <v>212</v>
      </c>
      <c r="B213" s="15" t="s">
        <v>26</v>
      </c>
      <c r="C213" s="15" t="s">
        <v>19</v>
      </c>
      <c r="D213" s="15">
        <v>54.0</v>
      </c>
      <c r="E213" s="15" t="s">
        <v>4563</v>
      </c>
      <c r="F213" s="15" t="s">
        <v>5565</v>
      </c>
      <c r="G213" s="15" t="s">
        <v>2660</v>
      </c>
      <c r="H213" s="15">
        <v>-1.0</v>
      </c>
      <c r="I213" s="15" t="s">
        <v>60</v>
      </c>
      <c r="J213" s="15" t="s">
        <v>22</v>
      </c>
      <c r="K213" s="15" t="s">
        <v>892</v>
      </c>
      <c r="L213" s="15" t="s">
        <v>24</v>
      </c>
      <c r="M213" s="16">
        <v>0.0</v>
      </c>
      <c r="N213" s="16">
        <v>1.0</v>
      </c>
      <c r="O213" s="16">
        <v>1.0</v>
      </c>
      <c r="P213" s="17">
        <v>45347.0</v>
      </c>
      <c r="Q213" s="18">
        <v>1.75</v>
      </c>
      <c r="R213" s="15" t="s">
        <v>25</v>
      </c>
      <c r="S213" s="19">
        <f t="shared" si="1"/>
        <v>-1</v>
      </c>
      <c r="T213" s="19">
        <f t="shared" si="4"/>
        <v>12.34199786</v>
      </c>
    </row>
    <row r="214">
      <c r="A214" s="8">
        <f t="shared" si="3"/>
        <v>213</v>
      </c>
      <c r="B214" s="8" t="s">
        <v>26</v>
      </c>
      <c r="C214" s="8" t="s">
        <v>19</v>
      </c>
      <c r="D214" s="8">
        <v>70.0</v>
      </c>
      <c r="E214" s="8" t="s">
        <v>4564</v>
      </c>
      <c r="F214" s="8" t="s">
        <v>5564</v>
      </c>
      <c r="G214" s="8" t="s">
        <v>2660</v>
      </c>
      <c r="H214" s="8">
        <v>0.0</v>
      </c>
      <c r="I214" s="8" t="s">
        <v>873</v>
      </c>
      <c r="J214" s="8" t="s">
        <v>22</v>
      </c>
      <c r="K214" s="8" t="s">
        <v>892</v>
      </c>
      <c r="L214" s="8" t="s">
        <v>24</v>
      </c>
      <c r="M214" s="9">
        <v>0.0</v>
      </c>
      <c r="N214" s="9">
        <v>1.0</v>
      </c>
      <c r="O214" s="9">
        <v>1.0</v>
      </c>
      <c r="P214" s="10">
        <v>45347.0</v>
      </c>
      <c r="Q214" s="11">
        <v>1.9</v>
      </c>
      <c r="R214" s="8" t="s">
        <v>70</v>
      </c>
      <c r="S214" s="12">
        <f t="shared" si="1"/>
        <v>0</v>
      </c>
      <c r="T214" s="12">
        <f t="shared" si="4"/>
        <v>12.34199786</v>
      </c>
    </row>
    <row r="215">
      <c r="A215" s="15">
        <f t="shared" si="3"/>
        <v>214</v>
      </c>
      <c r="B215" s="15" t="s">
        <v>129</v>
      </c>
      <c r="C215" s="15" t="s">
        <v>19</v>
      </c>
      <c r="D215" s="15">
        <v>65.0</v>
      </c>
      <c r="E215" s="15" t="s">
        <v>4565</v>
      </c>
      <c r="F215" s="15" t="s">
        <v>5564</v>
      </c>
      <c r="G215" s="15" t="s">
        <v>2660</v>
      </c>
      <c r="H215" s="15">
        <v>0.0</v>
      </c>
      <c r="I215" s="15" t="s">
        <v>93</v>
      </c>
      <c r="J215" s="15" t="s">
        <v>22</v>
      </c>
      <c r="K215" s="15" t="s">
        <v>892</v>
      </c>
      <c r="L215" s="15" t="s">
        <v>24</v>
      </c>
      <c r="M215" s="16">
        <v>0.0</v>
      </c>
      <c r="N215" s="16">
        <v>1.0</v>
      </c>
      <c r="O215" s="16">
        <v>1.0</v>
      </c>
      <c r="P215" s="17">
        <v>45347.0</v>
      </c>
      <c r="Q215" s="18">
        <v>1.75</v>
      </c>
      <c r="R215" s="15" t="s">
        <v>33</v>
      </c>
      <c r="S215" s="19">
        <f t="shared" si="1"/>
        <v>0.75</v>
      </c>
      <c r="T215" s="19">
        <f t="shared" si="4"/>
        <v>13.09199786</v>
      </c>
    </row>
    <row r="216">
      <c r="A216" s="8">
        <f t="shared" si="3"/>
        <v>215</v>
      </c>
      <c r="B216" s="8" t="s">
        <v>26</v>
      </c>
      <c r="C216" s="8" t="s">
        <v>19</v>
      </c>
      <c r="D216" s="8">
        <v>70.0</v>
      </c>
      <c r="E216" s="8" t="s">
        <v>4566</v>
      </c>
      <c r="F216" s="8" t="s">
        <v>5564</v>
      </c>
      <c r="G216" s="8" t="s">
        <v>2660</v>
      </c>
      <c r="H216" s="8">
        <v>-1.0</v>
      </c>
      <c r="I216" s="8" t="s">
        <v>853</v>
      </c>
      <c r="J216" s="8" t="s">
        <v>22</v>
      </c>
      <c r="K216" s="8" t="s">
        <v>892</v>
      </c>
      <c r="L216" s="8" t="s">
        <v>24</v>
      </c>
      <c r="M216" s="9">
        <v>0.0</v>
      </c>
      <c r="N216" s="9">
        <v>0.5</v>
      </c>
      <c r="O216" s="9">
        <v>0.5</v>
      </c>
      <c r="P216" s="10">
        <v>45347.0</v>
      </c>
      <c r="Q216" s="11">
        <v>2.075</v>
      </c>
      <c r="R216" s="8" t="s">
        <v>70</v>
      </c>
      <c r="S216" s="12">
        <f t="shared" si="1"/>
        <v>0</v>
      </c>
      <c r="T216" s="12">
        <f t="shared" si="4"/>
        <v>13.09199786</v>
      </c>
    </row>
    <row r="217">
      <c r="A217" s="15">
        <f t="shared" si="3"/>
        <v>216</v>
      </c>
      <c r="B217" s="15" t="s">
        <v>137</v>
      </c>
      <c r="C217" s="15" t="s">
        <v>19</v>
      </c>
      <c r="D217" s="15">
        <v>69.0</v>
      </c>
      <c r="E217" s="15" t="s">
        <v>4567</v>
      </c>
      <c r="F217" s="15" t="s">
        <v>5565</v>
      </c>
      <c r="G217" s="15" t="s">
        <v>2660</v>
      </c>
      <c r="H217" s="15">
        <v>0.0</v>
      </c>
      <c r="I217" s="15" t="s">
        <v>231</v>
      </c>
      <c r="J217" s="15" t="s">
        <v>22</v>
      </c>
      <c r="K217" s="15" t="s">
        <v>892</v>
      </c>
      <c r="L217" s="15" t="s">
        <v>24</v>
      </c>
      <c r="M217" s="16">
        <v>0.0</v>
      </c>
      <c r="N217" s="16">
        <v>1.0</v>
      </c>
      <c r="O217" s="16">
        <v>1.0</v>
      </c>
      <c r="P217" s="17">
        <v>45349.0</v>
      </c>
      <c r="Q217" s="18">
        <v>1.75</v>
      </c>
      <c r="R217" s="15" t="s">
        <v>25</v>
      </c>
      <c r="S217" s="19">
        <f t="shared" si="1"/>
        <v>-1</v>
      </c>
      <c r="T217" s="19">
        <f t="shared" si="4"/>
        <v>12.09199786</v>
      </c>
    </row>
    <row r="218">
      <c r="A218" s="8">
        <f t="shared" si="3"/>
        <v>217</v>
      </c>
      <c r="B218" s="8" t="s">
        <v>26</v>
      </c>
      <c r="C218" s="8" t="s">
        <v>19</v>
      </c>
      <c r="D218" s="8">
        <v>20.0</v>
      </c>
      <c r="E218" s="8" t="s">
        <v>4568</v>
      </c>
      <c r="F218" s="8" t="s">
        <v>5564</v>
      </c>
      <c r="G218" s="8" t="s">
        <v>2573</v>
      </c>
      <c r="H218" s="8">
        <f>1</f>
        <v>1</v>
      </c>
      <c r="I218" s="8" t="s">
        <v>4569</v>
      </c>
      <c r="J218" s="8" t="s">
        <v>22</v>
      </c>
      <c r="K218" s="8" t="s">
        <v>894</v>
      </c>
      <c r="L218" s="8" t="s">
        <v>24</v>
      </c>
      <c r="M218" s="9">
        <v>-0.5</v>
      </c>
      <c r="N218" s="9">
        <v>0.5</v>
      </c>
      <c r="O218" s="9">
        <v>0.415</v>
      </c>
      <c r="P218" s="10">
        <v>45349.0</v>
      </c>
      <c r="Q218" s="11">
        <v>1.75</v>
      </c>
      <c r="R218" s="8" t="s">
        <v>33</v>
      </c>
      <c r="S218" s="12">
        <f t="shared" si="1"/>
        <v>0.31125</v>
      </c>
      <c r="T218" s="12">
        <f t="shared" si="4"/>
        <v>12.40324786</v>
      </c>
    </row>
    <row r="219">
      <c r="A219" s="15">
        <f t="shared" si="3"/>
        <v>218</v>
      </c>
      <c r="B219" s="15" t="s">
        <v>4225</v>
      </c>
      <c r="C219" s="15" t="s">
        <v>19</v>
      </c>
      <c r="D219" s="15">
        <v>17.0</v>
      </c>
      <c r="E219" s="15" t="s">
        <v>4570</v>
      </c>
      <c r="F219" s="15" t="s">
        <v>5565</v>
      </c>
      <c r="G219" s="15" t="s">
        <v>2660</v>
      </c>
      <c r="H219" s="15">
        <v>-1.0</v>
      </c>
      <c r="I219" s="15" t="s">
        <v>248</v>
      </c>
      <c r="J219" s="15" t="s">
        <v>22</v>
      </c>
      <c r="K219" s="15" t="s">
        <v>892</v>
      </c>
      <c r="L219" s="15" t="s">
        <v>24</v>
      </c>
      <c r="M219" s="16">
        <v>0.0</v>
      </c>
      <c r="N219" s="16">
        <v>0.25</v>
      </c>
      <c r="O219" s="16">
        <v>0.25</v>
      </c>
      <c r="P219" s="17">
        <v>45349.0</v>
      </c>
      <c r="Q219" s="18">
        <v>1.7</v>
      </c>
      <c r="R219" s="15" t="s">
        <v>70</v>
      </c>
      <c r="S219" s="19">
        <f t="shared" si="1"/>
        <v>0</v>
      </c>
      <c r="T219" s="19">
        <f t="shared" si="4"/>
        <v>12.40324786</v>
      </c>
    </row>
    <row r="220">
      <c r="A220" s="8">
        <f t="shared" si="3"/>
        <v>219</v>
      </c>
      <c r="B220" s="8" t="s">
        <v>4225</v>
      </c>
      <c r="C220" s="8" t="s">
        <v>19</v>
      </c>
      <c r="D220" s="8">
        <v>18.0</v>
      </c>
      <c r="E220" s="8" t="s">
        <v>4571</v>
      </c>
      <c r="F220" s="8" t="s">
        <v>5565</v>
      </c>
      <c r="G220" s="8" t="s">
        <v>2660</v>
      </c>
      <c r="H220" s="8">
        <v>-1.0</v>
      </c>
      <c r="I220" s="8" t="s">
        <v>248</v>
      </c>
      <c r="J220" s="8" t="s">
        <v>22</v>
      </c>
      <c r="K220" s="8" t="s">
        <v>1150</v>
      </c>
      <c r="L220" s="8" t="s">
        <v>24</v>
      </c>
      <c r="M220" s="9">
        <v>0.0</v>
      </c>
      <c r="N220" s="9">
        <v>0.2</v>
      </c>
      <c r="O220" s="9">
        <v>0.2</v>
      </c>
      <c r="P220" s="10">
        <v>45349.0</v>
      </c>
      <c r="Q220" s="11">
        <v>1.65</v>
      </c>
      <c r="R220" s="8" t="s">
        <v>70</v>
      </c>
      <c r="S220" s="12">
        <f t="shared" si="1"/>
        <v>0</v>
      </c>
      <c r="T220" s="12">
        <f t="shared" si="4"/>
        <v>12.40324786</v>
      </c>
    </row>
    <row r="221">
      <c r="A221" s="15">
        <f t="shared" si="3"/>
        <v>220</v>
      </c>
      <c r="B221" s="15" t="s">
        <v>18</v>
      </c>
      <c r="C221" s="15" t="s">
        <v>19</v>
      </c>
      <c r="D221" s="15">
        <v>71.0</v>
      </c>
      <c r="E221" s="15" t="s">
        <v>4572</v>
      </c>
      <c r="F221" s="15" t="s">
        <v>5565</v>
      </c>
      <c r="G221" s="15" t="s">
        <v>2660</v>
      </c>
      <c r="H221" s="15">
        <v>-1.0</v>
      </c>
      <c r="I221" s="15" t="s">
        <v>248</v>
      </c>
      <c r="J221" s="15" t="s">
        <v>22</v>
      </c>
      <c r="K221" s="15" t="s">
        <v>892</v>
      </c>
      <c r="L221" s="15" t="s">
        <v>24</v>
      </c>
      <c r="M221" s="16">
        <v>0.0</v>
      </c>
      <c r="N221" s="16">
        <v>0.25</v>
      </c>
      <c r="O221" s="16">
        <v>0.174</v>
      </c>
      <c r="P221" s="17">
        <v>45349.0</v>
      </c>
      <c r="Q221" s="18">
        <v>1.675</v>
      </c>
      <c r="R221" s="15" t="s">
        <v>70</v>
      </c>
      <c r="S221" s="19">
        <f t="shared" si="1"/>
        <v>0</v>
      </c>
      <c r="T221" s="19">
        <f t="shared" si="4"/>
        <v>12.40324786</v>
      </c>
    </row>
    <row r="222">
      <c r="A222" s="8">
        <f t="shared" si="3"/>
        <v>221</v>
      </c>
      <c r="B222" s="8" t="s">
        <v>26</v>
      </c>
      <c r="C222" s="8" t="s">
        <v>19</v>
      </c>
      <c r="D222" s="8">
        <v>31.0</v>
      </c>
      <c r="E222" s="8" t="s">
        <v>4573</v>
      </c>
      <c r="F222" s="8" t="s">
        <v>5564</v>
      </c>
      <c r="G222" s="8" t="s">
        <v>2660</v>
      </c>
      <c r="H222" s="8">
        <v>-1.0</v>
      </c>
      <c r="I222" s="8" t="s">
        <v>231</v>
      </c>
      <c r="J222" s="8" t="s">
        <v>22</v>
      </c>
      <c r="K222" s="8" t="s">
        <v>892</v>
      </c>
      <c r="L222" s="8" t="s">
        <v>24</v>
      </c>
      <c r="M222" s="9">
        <v>0.0</v>
      </c>
      <c r="N222" s="9">
        <v>1.0</v>
      </c>
      <c r="O222" s="9">
        <v>1.0</v>
      </c>
      <c r="P222" s="10">
        <v>45350.0</v>
      </c>
      <c r="Q222" s="11">
        <v>1.7</v>
      </c>
      <c r="R222" s="8" t="s">
        <v>33</v>
      </c>
      <c r="S222" s="12">
        <f t="shared" si="1"/>
        <v>0.7</v>
      </c>
      <c r="T222" s="12">
        <f t="shared" si="4"/>
        <v>13.10324786</v>
      </c>
    </row>
    <row r="223">
      <c r="A223" s="15">
        <f t="shared" si="3"/>
        <v>222</v>
      </c>
      <c r="B223" s="15" t="s">
        <v>26</v>
      </c>
      <c r="C223" s="15" t="s">
        <v>19</v>
      </c>
      <c r="D223" s="15">
        <v>70.0</v>
      </c>
      <c r="E223" s="15" t="s">
        <v>4574</v>
      </c>
      <c r="F223" s="15" t="s">
        <v>5564</v>
      </c>
      <c r="G223" s="15" t="s">
        <v>2660</v>
      </c>
      <c r="H223" s="15">
        <v>-1.0</v>
      </c>
      <c r="I223" s="15" t="s">
        <v>187</v>
      </c>
      <c r="J223" s="15" t="s">
        <v>22</v>
      </c>
      <c r="K223" s="15" t="s">
        <v>892</v>
      </c>
      <c r="L223" s="15" t="s">
        <v>39</v>
      </c>
      <c r="M223" s="16">
        <v>0.0</v>
      </c>
      <c r="N223" s="16">
        <v>0.5</v>
      </c>
      <c r="O223" s="16">
        <v>0.5</v>
      </c>
      <c r="P223" s="17">
        <v>45350.0</v>
      </c>
      <c r="Q223" s="18">
        <v>1.725</v>
      </c>
      <c r="R223" s="15" t="s">
        <v>70</v>
      </c>
      <c r="S223" s="19">
        <f t="shared" si="1"/>
        <v>0</v>
      </c>
      <c r="T223" s="19">
        <f t="shared" si="4"/>
        <v>13.10324786</v>
      </c>
    </row>
    <row r="224">
      <c r="A224" s="8">
        <f t="shared" si="3"/>
        <v>223</v>
      </c>
      <c r="B224" s="8" t="s">
        <v>26</v>
      </c>
      <c r="C224" s="8" t="s">
        <v>40</v>
      </c>
      <c r="D224" s="8">
        <v>22.0</v>
      </c>
      <c r="E224" s="8" t="s">
        <v>4575</v>
      </c>
      <c r="F224" s="8" t="s">
        <v>5565</v>
      </c>
      <c r="G224" s="8" t="s">
        <v>2556</v>
      </c>
      <c r="H224" s="8">
        <f t="shared" ref="H224:H225" si="11">1</f>
        <v>1</v>
      </c>
      <c r="I224" s="8" t="s">
        <v>233</v>
      </c>
      <c r="J224" s="8" t="s">
        <v>22</v>
      </c>
      <c r="K224" s="8" t="s">
        <v>225</v>
      </c>
      <c r="L224" s="8" t="s">
        <v>24</v>
      </c>
      <c r="M224" s="9">
        <v>1.25</v>
      </c>
      <c r="N224" s="9">
        <v>0.5</v>
      </c>
      <c r="O224" s="9">
        <v>0.5</v>
      </c>
      <c r="P224" s="10">
        <v>45350.0</v>
      </c>
      <c r="Q224" s="11">
        <v>1.825</v>
      </c>
      <c r="R224" s="8" t="s">
        <v>33</v>
      </c>
      <c r="S224" s="12">
        <f t="shared" si="1"/>
        <v>0.4125</v>
      </c>
      <c r="T224" s="12">
        <f t="shared" si="4"/>
        <v>13.51574786</v>
      </c>
    </row>
    <row r="225">
      <c r="A225" s="15">
        <f t="shared" si="3"/>
        <v>224</v>
      </c>
      <c r="B225" s="15" t="s">
        <v>26</v>
      </c>
      <c r="C225" s="15" t="s">
        <v>40</v>
      </c>
      <c r="D225" s="15">
        <v>26.0</v>
      </c>
      <c r="E225" s="15" t="s">
        <v>4576</v>
      </c>
      <c r="F225" s="15" t="s">
        <v>5565</v>
      </c>
      <c r="G225" s="15" t="s">
        <v>2556</v>
      </c>
      <c r="H225" s="15">
        <f t="shared" si="11"/>
        <v>1</v>
      </c>
      <c r="I225" s="15" t="s">
        <v>233</v>
      </c>
      <c r="J225" s="15" t="s">
        <v>22</v>
      </c>
      <c r="K225" s="15" t="s">
        <v>1165</v>
      </c>
      <c r="L225" s="15" t="s">
        <v>24</v>
      </c>
      <c r="M225" s="16"/>
      <c r="N225" s="16">
        <v>0.1</v>
      </c>
      <c r="O225" s="16">
        <v>0.1</v>
      </c>
      <c r="P225" s="17">
        <v>45350.0</v>
      </c>
      <c r="Q225" s="18">
        <v>3.5</v>
      </c>
      <c r="R225" s="15" t="s">
        <v>33</v>
      </c>
      <c r="S225" s="19">
        <f t="shared" si="1"/>
        <v>0.25</v>
      </c>
      <c r="T225" s="19">
        <f t="shared" si="4"/>
        <v>13.76574786</v>
      </c>
    </row>
    <row r="226">
      <c r="A226" s="8">
        <f t="shared" si="3"/>
        <v>225</v>
      </c>
      <c r="B226" s="8" t="s">
        <v>4225</v>
      </c>
      <c r="C226" s="8" t="s">
        <v>40</v>
      </c>
      <c r="D226" s="8">
        <v>77.0</v>
      </c>
      <c r="E226" s="8" t="s">
        <v>4577</v>
      </c>
      <c r="F226" s="8"/>
      <c r="G226" s="8"/>
      <c r="H226" s="8"/>
      <c r="I226" s="8" t="s">
        <v>233</v>
      </c>
      <c r="J226" s="8" t="s">
        <v>22</v>
      </c>
      <c r="K226" s="8" t="s">
        <v>29</v>
      </c>
      <c r="L226" s="8" t="s">
        <v>24</v>
      </c>
      <c r="M226" s="9">
        <v>-3.0</v>
      </c>
      <c r="N226" s="9">
        <v>0.15</v>
      </c>
      <c r="O226" s="9">
        <v>0.059</v>
      </c>
      <c r="P226" s="10">
        <v>45350.0</v>
      </c>
      <c r="Q226" s="11">
        <v>1.725</v>
      </c>
      <c r="R226" s="8" t="s">
        <v>33</v>
      </c>
      <c r="S226" s="12">
        <f t="shared" si="1"/>
        <v>0.042775</v>
      </c>
      <c r="T226" s="12">
        <f t="shared" si="4"/>
        <v>13.80852286</v>
      </c>
    </row>
    <row r="227">
      <c r="A227" s="15">
        <f t="shared" si="3"/>
        <v>226</v>
      </c>
      <c r="B227" s="15" t="s">
        <v>26</v>
      </c>
      <c r="C227" s="15" t="s">
        <v>19</v>
      </c>
      <c r="D227" s="15">
        <v>83.0</v>
      </c>
      <c r="E227" s="15" t="s">
        <v>4578</v>
      </c>
      <c r="F227" s="15"/>
      <c r="G227" s="15"/>
      <c r="H227" s="15"/>
      <c r="I227" s="15" t="s">
        <v>432</v>
      </c>
      <c r="J227" s="15" t="s">
        <v>22</v>
      </c>
      <c r="K227" s="15" t="s">
        <v>2415</v>
      </c>
      <c r="L227" s="15" t="s">
        <v>39</v>
      </c>
      <c r="M227" s="16">
        <v>9.0</v>
      </c>
      <c r="N227" s="16">
        <v>0.1</v>
      </c>
      <c r="O227" s="16">
        <v>0.1</v>
      </c>
      <c r="P227" s="17">
        <v>45350.0</v>
      </c>
      <c r="Q227" s="18">
        <v>1.8</v>
      </c>
      <c r="R227" s="15" t="s">
        <v>70</v>
      </c>
      <c r="S227" s="19">
        <f t="shared" si="1"/>
        <v>0</v>
      </c>
      <c r="T227" s="19">
        <f t="shared" si="4"/>
        <v>13.80852286</v>
      </c>
    </row>
    <row r="228">
      <c r="A228" s="8">
        <f t="shared" si="3"/>
        <v>227</v>
      </c>
      <c r="B228" s="8" t="s">
        <v>129</v>
      </c>
      <c r="C228" s="8" t="s">
        <v>40</v>
      </c>
      <c r="D228" s="8">
        <v>60.0</v>
      </c>
      <c r="E228" s="8" t="s">
        <v>4579</v>
      </c>
      <c r="F228" s="8" t="s">
        <v>5565</v>
      </c>
      <c r="G228" s="8" t="s">
        <v>2660</v>
      </c>
      <c r="H228" s="8">
        <v>0.0</v>
      </c>
      <c r="I228" s="8" t="s">
        <v>374</v>
      </c>
      <c r="J228" s="8" t="s">
        <v>22</v>
      </c>
      <c r="K228" s="8" t="s">
        <v>892</v>
      </c>
      <c r="L228" s="8" t="s">
        <v>24</v>
      </c>
      <c r="M228" s="9">
        <v>0.0</v>
      </c>
      <c r="N228" s="9">
        <v>0.4</v>
      </c>
      <c r="O228" s="9">
        <v>0.4</v>
      </c>
      <c r="P228" s="10">
        <v>45350.0</v>
      </c>
      <c r="Q228" s="11">
        <v>1.8</v>
      </c>
      <c r="R228" s="8" t="s">
        <v>70</v>
      </c>
      <c r="S228" s="12">
        <f t="shared" si="1"/>
        <v>0</v>
      </c>
      <c r="T228" s="12">
        <f t="shared" si="4"/>
        <v>13.80852286</v>
      </c>
    </row>
    <row r="229">
      <c r="A229" s="15">
        <f t="shared" si="3"/>
        <v>228</v>
      </c>
      <c r="B229" s="15" t="s">
        <v>4225</v>
      </c>
      <c r="C229" s="15" t="s">
        <v>19</v>
      </c>
      <c r="D229" s="15">
        <v>63.0</v>
      </c>
      <c r="E229" s="15" t="s">
        <v>4580</v>
      </c>
      <c r="F229" s="15"/>
      <c r="G229" s="15"/>
      <c r="H229" s="15">
        <v>0.0</v>
      </c>
      <c r="I229" s="15" t="s">
        <v>187</v>
      </c>
      <c r="J229" s="15" t="s">
        <v>22</v>
      </c>
      <c r="K229" s="15" t="s">
        <v>440</v>
      </c>
      <c r="L229" s="15" t="s">
        <v>24</v>
      </c>
      <c r="M229" s="16">
        <v>0.5</v>
      </c>
      <c r="N229" s="16">
        <v>0.1</v>
      </c>
      <c r="O229" s="16">
        <v>0.1</v>
      </c>
      <c r="P229" s="17">
        <v>45351.0</v>
      </c>
      <c r="Q229" s="18">
        <v>1.9</v>
      </c>
      <c r="R229" s="15" t="s">
        <v>33</v>
      </c>
      <c r="S229" s="19">
        <f t="shared" si="1"/>
        <v>0.09</v>
      </c>
      <c r="T229" s="19">
        <f t="shared" si="4"/>
        <v>13.89852286</v>
      </c>
    </row>
    <row r="230">
      <c r="A230" s="8">
        <f t="shared" si="3"/>
        <v>229</v>
      </c>
      <c r="B230" s="8" t="s">
        <v>26</v>
      </c>
      <c r="C230" s="8" t="s">
        <v>19</v>
      </c>
      <c r="D230" s="8">
        <v>50.0</v>
      </c>
      <c r="E230" s="8" t="s">
        <v>4581</v>
      </c>
      <c r="F230" s="8" t="s">
        <v>5565</v>
      </c>
      <c r="G230" s="8" t="s">
        <v>2660</v>
      </c>
      <c r="H230" s="8">
        <v>0.0</v>
      </c>
      <c r="I230" s="8" t="s">
        <v>191</v>
      </c>
      <c r="J230" s="8" t="s">
        <v>22</v>
      </c>
      <c r="K230" s="8" t="s">
        <v>892</v>
      </c>
      <c r="L230" s="8" t="s">
        <v>1803</v>
      </c>
      <c r="M230" s="9">
        <v>0.0</v>
      </c>
      <c r="N230" s="9">
        <v>0.5</v>
      </c>
      <c r="O230" s="9">
        <v>0.441</v>
      </c>
      <c r="P230" s="10">
        <v>45351.0</v>
      </c>
      <c r="Q230" s="11">
        <v>1.7</v>
      </c>
      <c r="R230" s="8" t="s">
        <v>33</v>
      </c>
      <c r="S230" s="12">
        <f t="shared" si="1"/>
        <v>0.3087</v>
      </c>
      <c r="T230" s="12">
        <f t="shared" si="4"/>
        <v>14.20722286</v>
      </c>
    </row>
    <row r="231">
      <c r="A231" s="15">
        <f t="shared" si="3"/>
        <v>230</v>
      </c>
      <c r="B231" s="15" t="s">
        <v>26</v>
      </c>
      <c r="C231" s="15" t="s">
        <v>19</v>
      </c>
      <c r="D231" s="15"/>
      <c r="E231" s="15" t="s">
        <v>4582</v>
      </c>
      <c r="F231" s="15"/>
      <c r="G231" s="15"/>
      <c r="H231" s="15"/>
      <c r="I231" s="15" t="s">
        <v>191</v>
      </c>
      <c r="J231" s="15" t="s">
        <v>22</v>
      </c>
      <c r="K231" s="15" t="s">
        <v>440</v>
      </c>
      <c r="L231" s="15" t="s">
        <v>1803</v>
      </c>
      <c r="M231" s="16">
        <v>1.5</v>
      </c>
      <c r="N231" s="16">
        <v>0.1</v>
      </c>
      <c r="O231" s="16">
        <v>0.1</v>
      </c>
      <c r="P231" s="17">
        <v>45351.0</v>
      </c>
      <c r="Q231" s="18">
        <v>2.05</v>
      </c>
      <c r="R231" s="15" t="s">
        <v>25</v>
      </c>
      <c r="S231" s="19">
        <f t="shared" si="1"/>
        <v>-0.1</v>
      </c>
      <c r="T231" s="19">
        <f t="shared" si="4"/>
        <v>14.10722286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9"/>
      <c r="N232" s="9"/>
      <c r="O232" s="9"/>
      <c r="P232" s="10"/>
      <c r="Q232" s="11"/>
      <c r="R232" s="8"/>
      <c r="S232" s="12" t="str">
        <f t="shared" si="1"/>
        <v/>
      </c>
      <c r="T232" s="12">
        <f t="shared" si="4"/>
        <v>14.10722286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6"/>
      <c r="N233" s="16"/>
      <c r="O233" s="16"/>
      <c r="P233" s="17"/>
      <c r="Q233" s="18"/>
      <c r="R233" s="15"/>
      <c r="S233" s="19" t="str">
        <f t="shared" si="1"/>
        <v/>
      </c>
      <c r="T233" s="19">
        <f t="shared" si="4"/>
        <v>14.10722286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9"/>
      <c r="N234" s="9"/>
      <c r="O234" s="9"/>
      <c r="P234" s="10"/>
      <c r="Q234" s="11"/>
      <c r="R234" s="8"/>
      <c r="S234" s="12" t="str">
        <f t="shared" si="1"/>
        <v/>
      </c>
      <c r="T234" s="12">
        <f t="shared" si="4"/>
        <v>14.10722286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6"/>
      <c r="N235" s="16"/>
      <c r="O235" s="16"/>
      <c r="P235" s="17"/>
      <c r="Q235" s="18"/>
      <c r="R235" s="15"/>
      <c r="S235" s="19" t="str">
        <f t="shared" si="1"/>
        <v/>
      </c>
      <c r="T235" s="19">
        <f t="shared" si="4"/>
        <v>14.10722286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9"/>
      <c r="N236" s="9"/>
      <c r="O236" s="9"/>
      <c r="P236" s="10"/>
      <c r="Q236" s="11"/>
      <c r="R236" s="8"/>
      <c r="S236" s="12" t="str">
        <f t="shared" si="1"/>
        <v/>
      </c>
      <c r="T236" s="12">
        <f t="shared" si="4"/>
        <v>14.10722286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6"/>
      <c r="N237" s="16"/>
      <c r="O237" s="16"/>
      <c r="P237" s="17"/>
      <c r="Q237" s="18"/>
      <c r="R237" s="15"/>
      <c r="S237" s="19" t="str">
        <f t="shared" si="1"/>
        <v/>
      </c>
      <c r="T237" s="19">
        <f t="shared" si="4"/>
        <v>14.10722286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9"/>
      <c r="N238" s="9"/>
      <c r="O238" s="9"/>
      <c r="P238" s="10"/>
      <c r="Q238" s="11"/>
      <c r="R238" s="8"/>
      <c r="S238" s="12" t="str">
        <f t="shared" si="1"/>
        <v/>
      </c>
      <c r="T238" s="12">
        <f t="shared" si="4"/>
        <v>14.10722286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6"/>
      <c r="N239" s="16"/>
      <c r="O239" s="16"/>
      <c r="P239" s="17"/>
      <c r="Q239" s="18"/>
      <c r="R239" s="15"/>
      <c r="S239" s="19" t="str">
        <f t="shared" si="1"/>
        <v/>
      </c>
      <c r="T239" s="19">
        <f t="shared" si="4"/>
        <v>14.10722286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9"/>
      <c r="N240" s="9"/>
      <c r="O240" s="9"/>
      <c r="P240" s="10"/>
      <c r="Q240" s="11"/>
      <c r="R240" s="8"/>
      <c r="S240" s="12" t="str">
        <f t="shared" si="1"/>
        <v/>
      </c>
      <c r="T240" s="12">
        <f t="shared" si="4"/>
        <v>14.10722286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6"/>
      <c r="P241" s="55"/>
      <c r="Q241" s="18"/>
      <c r="R241" s="15"/>
      <c r="S241" s="19" t="str">
        <f t="shared" si="1"/>
        <v/>
      </c>
      <c r="T241" s="19">
        <f t="shared" si="4"/>
        <v>14.10722286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9"/>
      <c r="N242" s="9"/>
      <c r="O242" s="9"/>
      <c r="P242" s="10"/>
      <c r="Q242" s="11"/>
      <c r="R242" s="8"/>
      <c r="S242" s="12" t="str">
        <f t="shared" si="1"/>
        <v/>
      </c>
      <c r="T242" s="12">
        <f t="shared" si="4"/>
        <v>14.10722286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6"/>
      <c r="N243" s="16"/>
      <c r="O243" s="16"/>
      <c r="P243" s="17"/>
      <c r="Q243" s="18"/>
      <c r="R243" s="15"/>
      <c r="S243" s="19" t="str">
        <f t="shared" si="1"/>
        <v/>
      </c>
      <c r="T243" s="19">
        <f t="shared" si="4"/>
        <v>14.10722286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9"/>
      <c r="N244" s="9"/>
      <c r="O244" s="9"/>
      <c r="P244" s="10"/>
      <c r="Q244" s="11"/>
      <c r="R244" s="8"/>
      <c r="S244" s="12" t="str">
        <f t="shared" si="1"/>
        <v/>
      </c>
      <c r="T244" s="12">
        <f t="shared" si="4"/>
        <v>14.10722286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6"/>
      <c r="N245" s="16"/>
      <c r="O245" s="16"/>
      <c r="P245" s="17"/>
      <c r="Q245" s="18"/>
      <c r="R245" s="15"/>
      <c r="S245" s="19" t="str">
        <f t="shared" si="1"/>
        <v/>
      </c>
      <c r="T245" s="19">
        <f t="shared" si="4"/>
        <v>14.10722286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9"/>
      <c r="N246" s="9"/>
      <c r="O246" s="9"/>
      <c r="P246" s="10"/>
      <c r="Q246" s="11"/>
      <c r="R246" s="8"/>
      <c r="S246" s="12" t="str">
        <f t="shared" si="1"/>
        <v/>
      </c>
      <c r="T246" s="12">
        <f t="shared" si="4"/>
        <v>14.10722286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6"/>
      <c r="N247" s="16"/>
      <c r="O247" s="16"/>
      <c r="P247" s="17"/>
      <c r="Q247" s="18"/>
      <c r="R247" s="15"/>
      <c r="S247" s="19" t="str">
        <f t="shared" si="1"/>
        <v/>
      </c>
      <c r="T247" s="19">
        <f t="shared" si="4"/>
        <v>14.10722286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9"/>
      <c r="N248" s="9"/>
      <c r="O248" s="9"/>
      <c r="P248" s="10"/>
      <c r="Q248" s="11"/>
      <c r="R248" s="8"/>
      <c r="S248" s="12" t="str">
        <f t="shared" si="1"/>
        <v/>
      </c>
      <c r="T248" s="12">
        <f t="shared" si="4"/>
        <v>14.10722286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6"/>
      <c r="N249" s="16"/>
      <c r="O249" s="16"/>
      <c r="P249" s="17"/>
      <c r="Q249" s="18"/>
      <c r="R249" s="15"/>
      <c r="S249" s="19" t="str">
        <f t="shared" si="1"/>
        <v/>
      </c>
      <c r="T249" s="19">
        <f t="shared" si="4"/>
        <v>14.10722286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9"/>
      <c r="N250" s="9"/>
      <c r="O250" s="9"/>
      <c r="P250" s="10"/>
      <c r="Q250" s="11"/>
      <c r="R250" s="8"/>
      <c r="S250" s="12" t="str">
        <f t="shared" si="1"/>
        <v/>
      </c>
      <c r="T250" s="12">
        <f t="shared" si="4"/>
        <v>14.10722286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6"/>
      <c r="N251" s="16"/>
      <c r="O251" s="16"/>
      <c r="P251" s="17"/>
      <c r="Q251" s="18"/>
      <c r="R251" s="15"/>
      <c r="S251" s="19" t="str">
        <f t="shared" si="1"/>
        <v/>
      </c>
      <c r="T251" s="19">
        <f t="shared" si="4"/>
        <v>14.10722286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9"/>
      <c r="N252" s="9"/>
      <c r="O252" s="9"/>
      <c r="P252" s="10"/>
      <c r="Q252" s="11"/>
      <c r="R252" s="8"/>
      <c r="S252" s="12" t="str">
        <f t="shared" si="1"/>
        <v/>
      </c>
      <c r="T252" s="12">
        <f t="shared" si="4"/>
        <v>14.10722286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6"/>
      <c r="N253" s="16"/>
      <c r="O253" s="16"/>
      <c r="P253" s="17"/>
      <c r="Q253" s="18"/>
      <c r="R253" s="15"/>
      <c r="S253" s="19" t="str">
        <f t="shared" si="1"/>
        <v/>
      </c>
      <c r="T253" s="19">
        <f t="shared" si="4"/>
        <v>14.10722286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9"/>
      <c r="N254" s="9"/>
      <c r="O254" s="9"/>
      <c r="P254" s="10"/>
      <c r="Q254" s="11"/>
      <c r="R254" s="8"/>
      <c r="S254" s="12" t="str">
        <f t="shared" si="1"/>
        <v/>
      </c>
      <c r="T254" s="12">
        <f t="shared" si="4"/>
        <v>14.10722286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6"/>
      <c r="N255" s="16"/>
      <c r="O255" s="16"/>
      <c r="P255" s="17"/>
      <c r="Q255" s="18"/>
      <c r="R255" s="15"/>
      <c r="S255" s="19" t="str">
        <f t="shared" si="1"/>
        <v/>
      </c>
      <c r="T255" s="19">
        <f t="shared" si="4"/>
        <v>14.10722286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  <c r="N256" s="9"/>
      <c r="O256" s="9"/>
      <c r="P256" s="56"/>
      <c r="Q256" s="11"/>
      <c r="R256" s="8"/>
      <c r="S256" s="12" t="str">
        <f t="shared" si="1"/>
        <v/>
      </c>
      <c r="T256" s="12">
        <f t="shared" si="4"/>
        <v>14.10722286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6"/>
      <c r="N257" s="16"/>
      <c r="O257" s="16"/>
      <c r="P257" s="17"/>
      <c r="Q257" s="18"/>
      <c r="R257" s="15"/>
      <c r="S257" s="19" t="str">
        <f t="shared" si="1"/>
        <v/>
      </c>
      <c r="T257" s="19">
        <f t="shared" si="4"/>
        <v>14.10722286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9"/>
      <c r="N258" s="9"/>
      <c r="O258" s="9"/>
      <c r="P258" s="10"/>
      <c r="Q258" s="11"/>
      <c r="R258" s="8"/>
      <c r="S258" s="12" t="str">
        <f t="shared" si="1"/>
        <v/>
      </c>
      <c r="T258" s="12">
        <f t="shared" si="4"/>
        <v>14.10722286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6"/>
      <c r="N259" s="16"/>
      <c r="O259" s="16"/>
      <c r="P259" s="17"/>
      <c r="Q259" s="18"/>
      <c r="R259" s="15"/>
      <c r="S259" s="19" t="str">
        <f t="shared" si="1"/>
        <v/>
      </c>
      <c r="T259" s="19">
        <f t="shared" si="4"/>
        <v>14.10722286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9"/>
      <c r="N260" s="9"/>
      <c r="O260" s="9"/>
      <c r="P260" s="10"/>
      <c r="Q260" s="11"/>
      <c r="R260" s="8"/>
      <c r="S260" s="12" t="str">
        <f t="shared" si="1"/>
        <v/>
      </c>
      <c r="T260" s="12">
        <f t="shared" si="4"/>
        <v>14.10722286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6"/>
      <c r="N261" s="16"/>
      <c r="O261" s="16"/>
      <c r="P261" s="17"/>
      <c r="Q261" s="18"/>
      <c r="R261" s="15"/>
      <c r="S261" s="19" t="str">
        <f t="shared" si="1"/>
        <v/>
      </c>
      <c r="T261" s="19">
        <f t="shared" si="4"/>
        <v>14.10722286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9"/>
      <c r="N262" s="9"/>
      <c r="O262" s="9"/>
      <c r="P262" s="10"/>
      <c r="Q262" s="11"/>
      <c r="R262" s="8"/>
      <c r="S262" s="12" t="str">
        <f t="shared" si="1"/>
        <v/>
      </c>
      <c r="T262" s="12">
        <f t="shared" si="4"/>
        <v>14.10722286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6"/>
      <c r="N263" s="16"/>
      <c r="O263" s="16"/>
      <c r="P263" s="17"/>
      <c r="Q263" s="18"/>
      <c r="R263" s="15"/>
      <c r="S263" s="19" t="str">
        <f t="shared" si="1"/>
        <v/>
      </c>
      <c r="T263" s="19">
        <f t="shared" si="4"/>
        <v>14.10722286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9"/>
      <c r="N264" s="9"/>
      <c r="O264" s="9"/>
      <c r="P264" s="10"/>
      <c r="Q264" s="11"/>
      <c r="R264" s="8"/>
      <c r="S264" s="12" t="str">
        <f t="shared" si="1"/>
        <v/>
      </c>
      <c r="T264" s="12">
        <f t="shared" si="4"/>
        <v>14.10722286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6"/>
      <c r="N265" s="16"/>
      <c r="O265" s="16"/>
      <c r="P265" s="17"/>
      <c r="Q265" s="18"/>
      <c r="R265" s="15"/>
      <c r="S265" s="19" t="str">
        <f t="shared" si="1"/>
        <v/>
      </c>
      <c r="T265" s="19">
        <f t="shared" si="4"/>
        <v>14.10722286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9"/>
      <c r="N266" s="9"/>
      <c r="O266" s="9"/>
      <c r="P266" s="10"/>
      <c r="Q266" s="11"/>
      <c r="R266" s="8"/>
      <c r="S266" s="12" t="str">
        <f t="shared" si="1"/>
        <v/>
      </c>
      <c r="T266" s="12">
        <f t="shared" si="4"/>
        <v>14.10722286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6"/>
      <c r="N267" s="16"/>
      <c r="O267" s="16"/>
      <c r="P267" s="17"/>
      <c r="Q267" s="18"/>
      <c r="R267" s="15"/>
      <c r="S267" s="19" t="str">
        <f t="shared" si="1"/>
        <v/>
      </c>
      <c r="T267" s="19">
        <f t="shared" si="4"/>
        <v>14.10722286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  <c r="N268" s="9"/>
      <c r="O268" s="9"/>
      <c r="P268" s="10"/>
      <c r="Q268" s="11"/>
      <c r="R268" s="8"/>
      <c r="S268" s="12" t="str">
        <f t="shared" si="1"/>
        <v/>
      </c>
      <c r="T268" s="12">
        <f t="shared" si="4"/>
        <v>14.10722286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6"/>
      <c r="N269" s="16"/>
      <c r="O269" s="16"/>
      <c r="P269" s="17"/>
      <c r="Q269" s="18"/>
      <c r="R269" s="15"/>
      <c r="S269" s="19" t="str">
        <f t="shared" si="1"/>
        <v/>
      </c>
      <c r="T269" s="19">
        <f t="shared" si="4"/>
        <v>14.10722286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9"/>
      <c r="N270" s="9"/>
      <c r="O270" s="9"/>
      <c r="P270" s="10"/>
      <c r="Q270" s="11"/>
      <c r="R270" s="8"/>
      <c r="S270" s="12" t="str">
        <f t="shared" si="1"/>
        <v/>
      </c>
      <c r="T270" s="12">
        <f t="shared" si="4"/>
        <v>14.10722286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6"/>
      <c r="N271" s="16"/>
      <c r="O271" s="16"/>
      <c r="P271" s="17"/>
      <c r="Q271" s="18"/>
      <c r="R271" s="15"/>
      <c r="S271" s="19" t="str">
        <f t="shared" si="1"/>
        <v/>
      </c>
      <c r="T271" s="19">
        <f t="shared" si="4"/>
        <v>14.10722286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9"/>
      <c r="N272" s="9"/>
      <c r="O272" s="9"/>
      <c r="P272" s="10"/>
      <c r="Q272" s="11"/>
      <c r="R272" s="8"/>
      <c r="S272" s="12" t="str">
        <f t="shared" si="1"/>
        <v/>
      </c>
      <c r="T272" s="12">
        <f t="shared" si="4"/>
        <v>14.10722286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6"/>
      <c r="P273" s="17"/>
      <c r="Q273" s="18"/>
      <c r="R273" s="15"/>
      <c r="S273" s="19" t="str">
        <f t="shared" si="1"/>
        <v/>
      </c>
      <c r="T273" s="19">
        <f t="shared" si="4"/>
        <v>14.10722286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9"/>
      <c r="N274" s="9"/>
      <c r="O274" s="9"/>
      <c r="P274" s="10"/>
      <c r="Q274" s="11"/>
      <c r="R274" s="8"/>
      <c r="S274" s="12" t="str">
        <f t="shared" si="1"/>
        <v/>
      </c>
      <c r="T274" s="12">
        <f t="shared" si="4"/>
        <v>14.10722286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6"/>
      <c r="N275" s="16"/>
      <c r="O275" s="16"/>
      <c r="P275" s="17"/>
      <c r="Q275" s="18"/>
      <c r="R275" s="15"/>
      <c r="S275" s="19" t="str">
        <f t="shared" si="1"/>
        <v/>
      </c>
      <c r="T275" s="19">
        <f t="shared" si="4"/>
        <v>14.10722286</v>
      </c>
    </row>
    <row r="276">
      <c r="A276" s="8">
        <f t="shared" si="3"/>
        <v>275</v>
      </c>
      <c r="B276" s="8"/>
      <c r="C276" s="8"/>
      <c r="D276" s="8"/>
      <c r="E276" s="8"/>
      <c r="F276" s="114"/>
      <c r="G276" s="114"/>
      <c r="H276" s="114"/>
      <c r="I276" s="8"/>
      <c r="J276" s="8"/>
      <c r="K276" s="8"/>
      <c r="L276" s="8"/>
      <c r="M276" s="9"/>
      <c r="N276" s="9"/>
      <c r="O276" s="9"/>
      <c r="P276" s="10"/>
      <c r="Q276" s="11"/>
      <c r="R276" s="8"/>
      <c r="S276" s="12" t="str">
        <f t="shared" si="1"/>
        <v/>
      </c>
      <c r="T276" s="12">
        <f t="shared" si="4"/>
        <v>14.10722286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6"/>
      <c r="N277" s="16"/>
      <c r="O277" s="16"/>
      <c r="P277" s="17"/>
      <c r="Q277" s="18"/>
      <c r="R277" s="15"/>
      <c r="S277" s="19" t="str">
        <f t="shared" si="1"/>
        <v/>
      </c>
      <c r="T277" s="19">
        <f t="shared" si="4"/>
        <v>14.10722286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9"/>
      <c r="N278" s="9"/>
      <c r="O278" s="9"/>
      <c r="P278" s="10"/>
      <c r="Q278" s="11"/>
      <c r="R278" s="8"/>
      <c r="S278" s="12" t="str">
        <f t="shared" si="1"/>
        <v/>
      </c>
      <c r="T278" s="12">
        <f t="shared" si="4"/>
        <v>14.10722286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6"/>
      <c r="N279" s="16"/>
      <c r="O279" s="16"/>
      <c r="P279" s="17"/>
      <c r="Q279" s="18"/>
      <c r="R279" s="15"/>
      <c r="S279" s="19" t="str">
        <f t="shared" si="1"/>
        <v/>
      </c>
      <c r="T279" s="19">
        <f t="shared" si="4"/>
        <v>14.10722286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9"/>
      <c r="N280" s="9"/>
      <c r="O280" s="9"/>
      <c r="P280" s="10"/>
      <c r="Q280" s="11"/>
      <c r="R280" s="8"/>
      <c r="S280" s="12" t="str">
        <f t="shared" si="1"/>
        <v/>
      </c>
      <c r="T280" s="12">
        <f t="shared" si="4"/>
        <v>14.10722286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6"/>
      <c r="N281" s="16"/>
      <c r="O281" s="16"/>
      <c r="P281" s="17"/>
      <c r="Q281" s="18"/>
      <c r="R281" s="15"/>
      <c r="S281" s="19" t="str">
        <f t="shared" si="1"/>
        <v/>
      </c>
      <c r="T281" s="19">
        <f t="shared" si="4"/>
        <v>14.10722286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9"/>
      <c r="N282" s="9"/>
      <c r="O282" s="9"/>
      <c r="P282" s="10"/>
      <c r="Q282" s="11"/>
      <c r="R282" s="8"/>
      <c r="S282" s="12" t="str">
        <f t="shared" si="1"/>
        <v/>
      </c>
      <c r="T282" s="12">
        <f t="shared" si="4"/>
        <v>14.10722286</v>
      </c>
    </row>
    <row r="283">
      <c r="A283" s="15">
        <f t="shared" si="3"/>
        <v>282</v>
      </c>
      <c r="B283" s="15"/>
      <c r="C283" s="15"/>
      <c r="D283" s="15"/>
      <c r="E283" s="36"/>
      <c r="F283" s="37"/>
      <c r="G283" s="37"/>
      <c r="H283" s="37"/>
      <c r="I283" s="37"/>
      <c r="J283" s="37"/>
      <c r="K283" s="37"/>
      <c r="L283" s="37"/>
      <c r="M283" s="24"/>
      <c r="N283" s="16"/>
      <c r="O283" s="16"/>
      <c r="P283" s="17"/>
      <c r="Q283" s="18"/>
      <c r="R283" s="15"/>
      <c r="S283" s="19" t="str">
        <f t="shared" si="1"/>
        <v/>
      </c>
      <c r="T283" s="19">
        <f t="shared" si="4"/>
        <v>14.10722286</v>
      </c>
    </row>
    <row r="284">
      <c r="A284" s="8">
        <f t="shared" si="3"/>
        <v>283</v>
      </c>
      <c r="B284" s="8"/>
      <c r="C284" s="8"/>
      <c r="D284" s="8"/>
      <c r="E284" s="31"/>
      <c r="F284" s="32"/>
      <c r="G284" s="32"/>
      <c r="H284" s="32"/>
      <c r="I284" s="32"/>
      <c r="J284" s="32"/>
      <c r="K284" s="32"/>
      <c r="L284" s="32"/>
      <c r="M284" s="33"/>
      <c r="N284" s="9"/>
      <c r="O284" s="9"/>
      <c r="P284" s="10"/>
      <c r="Q284" s="11"/>
      <c r="R284" s="8"/>
      <c r="S284" s="12" t="str">
        <f t="shared" si="1"/>
        <v/>
      </c>
      <c r="T284" s="12">
        <f t="shared" si="4"/>
        <v>14.10722286</v>
      </c>
    </row>
    <row r="285">
      <c r="A285" s="15">
        <f t="shared" si="3"/>
        <v>284</v>
      </c>
      <c r="B285" s="15"/>
      <c r="C285" s="15"/>
      <c r="D285" s="120"/>
      <c r="E285" s="156"/>
      <c r="F285" s="42"/>
      <c r="G285" s="42"/>
      <c r="H285" s="42"/>
      <c r="I285" s="42"/>
      <c r="J285" s="42"/>
      <c r="K285" s="42"/>
      <c r="L285" s="37"/>
      <c r="M285" s="16"/>
      <c r="N285" s="16"/>
      <c r="O285" s="16"/>
      <c r="P285" s="17"/>
      <c r="Q285" s="18"/>
      <c r="R285" s="15"/>
      <c r="S285" s="19" t="str">
        <f t="shared" si="1"/>
        <v/>
      </c>
      <c r="T285" s="19">
        <f t="shared" si="4"/>
        <v>14.10722286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32"/>
      <c r="M286" s="9"/>
      <c r="N286" s="9"/>
      <c r="O286" s="9"/>
      <c r="P286" s="10"/>
      <c r="Q286" s="11"/>
      <c r="R286" s="8"/>
      <c r="S286" s="12" t="str">
        <f t="shared" si="1"/>
        <v/>
      </c>
      <c r="T286" s="12">
        <f t="shared" si="4"/>
        <v>14.10722286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37"/>
      <c r="M287" s="16"/>
      <c r="N287" s="16"/>
      <c r="O287" s="16"/>
      <c r="P287" s="17"/>
      <c r="Q287" s="18"/>
      <c r="R287" s="15"/>
      <c r="S287" s="19" t="str">
        <f t="shared" si="1"/>
        <v/>
      </c>
      <c r="T287" s="19">
        <f t="shared" si="4"/>
        <v>14.10722286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32"/>
      <c r="M288" s="9"/>
      <c r="N288" s="9"/>
      <c r="O288" s="9"/>
      <c r="P288" s="10"/>
      <c r="Q288" s="11"/>
      <c r="R288" s="8"/>
      <c r="S288" s="12" t="str">
        <f t="shared" si="1"/>
        <v/>
      </c>
      <c r="T288" s="12">
        <f t="shared" si="4"/>
        <v>14.10722286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37"/>
      <c r="M289" s="16"/>
      <c r="N289" s="16"/>
      <c r="O289" s="16"/>
      <c r="P289" s="17"/>
      <c r="Q289" s="18"/>
      <c r="R289" s="15"/>
      <c r="S289" s="19" t="str">
        <f t="shared" si="1"/>
        <v/>
      </c>
      <c r="T289" s="19">
        <f t="shared" si="4"/>
        <v>14.10722286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32"/>
      <c r="M290" s="9"/>
      <c r="N290" s="9"/>
      <c r="O290" s="9"/>
      <c r="P290" s="10"/>
      <c r="Q290" s="11"/>
      <c r="R290" s="8"/>
      <c r="S290" s="12" t="str">
        <f t="shared" si="1"/>
        <v/>
      </c>
      <c r="T290" s="12">
        <f t="shared" si="4"/>
        <v>14.10722286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37"/>
      <c r="M291" s="16"/>
      <c r="N291" s="16"/>
      <c r="O291" s="16"/>
      <c r="P291" s="17"/>
      <c r="Q291" s="18"/>
      <c r="R291" s="15"/>
      <c r="S291" s="19" t="str">
        <f t="shared" si="1"/>
        <v/>
      </c>
      <c r="T291" s="19">
        <f t="shared" si="4"/>
        <v>14.10722286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32"/>
      <c r="M292" s="9"/>
      <c r="N292" s="9"/>
      <c r="O292" s="9"/>
      <c r="P292" s="10"/>
      <c r="Q292" s="11"/>
      <c r="R292" s="8"/>
      <c r="S292" s="12" t="str">
        <f t="shared" si="1"/>
        <v/>
      </c>
      <c r="T292" s="12">
        <f t="shared" si="4"/>
        <v>14.10722286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37"/>
      <c r="M293" s="16"/>
      <c r="N293" s="16"/>
      <c r="O293" s="16"/>
      <c r="P293" s="17"/>
      <c r="Q293" s="18"/>
      <c r="R293" s="15"/>
      <c r="S293" s="19" t="str">
        <f t="shared" si="1"/>
        <v/>
      </c>
      <c r="T293" s="19">
        <f t="shared" si="4"/>
        <v>14.10722286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32"/>
      <c r="M294" s="9"/>
      <c r="N294" s="9"/>
      <c r="O294" s="9"/>
      <c r="P294" s="10"/>
      <c r="Q294" s="11"/>
      <c r="R294" s="8"/>
      <c r="S294" s="12" t="str">
        <f t="shared" si="1"/>
        <v/>
      </c>
      <c r="T294" s="12">
        <f t="shared" si="4"/>
        <v>14.10722286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37"/>
      <c r="M295" s="16"/>
      <c r="N295" s="16"/>
      <c r="O295" s="16"/>
      <c r="P295" s="17"/>
      <c r="Q295" s="18"/>
      <c r="R295" s="15"/>
      <c r="S295" s="19" t="str">
        <f t="shared" si="1"/>
        <v/>
      </c>
      <c r="T295" s="19">
        <f t="shared" si="4"/>
        <v>14.10722286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32"/>
      <c r="M296" s="9"/>
      <c r="N296" s="9"/>
      <c r="O296" s="9"/>
      <c r="P296" s="10"/>
      <c r="Q296" s="11"/>
      <c r="R296" s="8"/>
      <c r="S296" s="12" t="str">
        <f t="shared" si="1"/>
        <v/>
      </c>
      <c r="T296" s="12">
        <f t="shared" si="4"/>
        <v>14.10722286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37"/>
      <c r="M297" s="16"/>
      <c r="N297" s="16"/>
      <c r="O297" s="16"/>
      <c r="P297" s="17"/>
      <c r="Q297" s="18"/>
      <c r="R297" s="15"/>
      <c r="S297" s="19" t="str">
        <f t="shared" si="1"/>
        <v/>
      </c>
      <c r="T297" s="19">
        <f t="shared" si="4"/>
        <v>14.10722286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9"/>
      <c r="N298" s="9"/>
      <c r="O298" s="9"/>
      <c r="P298" s="10"/>
      <c r="Q298" s="11"/>
      <c r="R298" s="8"/>
      <c r="S298" s="12" t="str">
        <f t="shared" si="1"/>
        <v/>
      </c>
      <c r="T298" s="12">
        <f t="shared" si="4"/>
        <v>14.10722286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6"/>
      <c r="N299" s="16"/>
      <c r="O299" s="16"/>
      <c r="P299" s="17"/>
      <c r="Q299" s="18"/>
      <c r="R299" s="15"/>
      <c r="S299" s="19" t="str">
        <f t="shared" si="1"/>
        <v/>
      </c>
      <c r="T299" s="19">
        <f t="shared" si="4"/>
        <v>14.10722286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9"/>
      <c r="N300" s="9"/>
      <c r="O300" s="9"/>
      <c r="P300" s="10"/>
      <c r="Q300" s="11"/>
      <c r="R300" s="8"/>
      <c r="S300" s="12" t="str">
        <f t="shared" si="1"/>
        <v/>
      </c>
      <c r="T300" s="12">
        <f t="shared" si="4"/>
        <v>14.10722286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6"/>
      <c r="N301" s="16"/>
      <c r="O301" s="16"/>
      <c r="P301" s="17"/>
      <c r="Q301" s="18"/>
      <c r="R301" s="15"/>
      <c r="S301" s="19" t="str">
        <f t="shared" si="1"/>
        <v/>
      </c>
      <c r="T301" s="19">
        <f t="shared" si="4"/>
        <v>14.10722286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9"/>
      <c r="N302" s="9"/>
      <c r="O302" s="9"/>
      <c r="P302" s="10"/>
      <c r="Q302" s="11"/>
      <c r="R302" s="8"/>
      <c r="S302" s="12" t="str">
        <f t="shared" si="1"/>
        <v/>
      </c>
      <c r="T302" s="12">
        <f t="shared" si="4"/>
        <v>14.10722286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6"/>
      <c r="N303" s="16"/>
      <c r="O303" s="16"/>
      <c r="P303" s="17"/>
      <c r="Q303" s="18"/>
      <c r="R303" s="15"/>
      <c r="S303" s="19" t="str">
        <f t="shared" si="1"/>
        <v/>
      </c>
      <c r="T303" s="19">
        <f t="shared" si="4"/>
        <v>14.10722286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9"/>
      <c r="N304" s="9"/>
      <c r="O304" s="9"/>
      <c r="P304" s="10"/>
      <c r="Q304" s="11"/>
      <c r="R304" s="8"/>
      <c r="S304" s="12" t="str">
        <f t="shared" si="1"/>
        <v/>
      </c>
      <c r="T304" s="12">
        <f t="shared" si="4"/>
        <v>14.10722286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6"/>
      <c r="N305" s="16"/>
      <c r="O305" s="16"/>
      <c r="P305" s="17"/>
      <c r="Q305" s="18"/>
      <c r="R305" s="15"/>
      <c r="S305" s="19" t="str">
        <f t="shared" si="1"/>
        <v/>
      </c>
      <c r="T305" s="19">
        <f t="shared" si="4"/>
        <v>14.10722286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9"/>
      <c r="N306" s="9"/>
      <c r="O306" s="9"/>
      <c r="P306" s="10"/>
      <c r="Q306" s="11"/>
      <c r="R306" s="8"/>
      <c r="S306" s="12" t="str">
        <f t="shared" si="1"/>
        <v/>
      </c>
      <c r="T306" s="12">
        <f t="shared" si="4"/>
        <v>14.10722286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6"/>
      <c r="N307" s="16"/>
      <c r="O307" s="16"/>
      <c r="P307" s="17"/>
      <c r="Q307" s="18"/>
      <c r="R307" s="15"/>
      <c r="S307" s="19" t="str">
        <f t="shared" si="1"/>
        <v/>
      </c>
      <c r="T307" s="19">
        <f t="shared" si="4"/>
        <v>14.10722286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  <c r="N308" s="9"/>
      <c r="O308" s="9"/>
      <c r="P308" s="10"/>
      <c r="Q308" s="11"/>
      <c r="R308" s="8"/>
      <c r="S308" s="12" t="str">
        <f t="shared" si="1"/>
        <v/>
      </c>
      <c r="T308" s="12">
        <f t="shared" si="4"/>
        <v>14.10722286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6"/>
      <c r="N309" s="16"/>
      <c r="O309" s="16"/>
      <c r="P309" s="17"/>
      <c r="Q309" s="18"/>
      <c r="R309" s="15"/>
      <c r="S309" s="19" t="str">
        <f t="shared" si="1"/>
        <v/>
      </c>
      <c r="T309" s="19">
        <f t="shared" si="4"/>
        <v>14.10722286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9"/>
      <c r="N310" s="9"/>
      <c r="O310" s="9"/>
      <c r="P310" s="10"/>
      <c r="Q310" s="11"/>
      <c r="R310" s="8"/>
      <c r="S310" s="12" t="str">
        <f t="shared" si="1"/>
        <v/>
      </c>
      <c r="T310" s="12">
        <f t="shared" si="4"/>
        <v>14.10722286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6"/>
      <c r="N311" s="16"/>
      <c r="O311" s="16"/>
      <c r="P311" s="17"/>
      <c r="Q311" s="18"/>
      <c r="R311" s="15"/>
      <c r="S311" s="19" t="str">
        <f t="shared" si="1"/>
        <v/>
      </c>
      <c r="T311" s="19">
        <f t="shared" si="4"/>
        <v>14.10722286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9"/>
      <c r="N312" s="9"/>
      <c r="O312" s="9"/>
      <c r="P312" s="10"/>
      <c r="Q312" s="11"/>
      <c r="R312" s="8"/>
      <c r="S312" s="12" t="str">
        <f t="shared" si="1"/>
        <v/>
      </c>
      <c r="T312" s="12">
        <f t="shared" si="4"/>
        <v>14.10722286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6"/>
      <c r="N313" s="16"/>
      <c r="O313" s="16"/>
      <c r="P313" s="17"/>
      <c r="Q313" s="18"/>
      <c r="R313" s="15"/>
      <c r="S313" s="19" t="str">
        <f t="shared" si="1"/>
        <v/>
      </c>
      <c r="T313" s="19">
        <f t="shared" si="4"/>
        <v>14.10722286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9"/>
      <c r="N314" s="9"/>
      <c r="O314" s="9"/>
      <c r="P314" s="10"/>
      <c r="Q314" s="11"/>
      <c r="R314" s="8"/>
      <c r="S314" s="12" t="str">
        <f t="shared" si="1"/>
        <v/>
      </c>
      <c r="T314" s="12">
        <f t="shared" si="4"/>
        <v>14.10722286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6"/>
      <c r="N315" s="16"/>
      <c r="O315" s="16"/>
      <c r="P315" s="17"/>
      <c r="Q315" s="18"/>
      <c r="R315" s="15"/>
      <c r="S315" s="19" t="str">
        <f t="shared" si="1"/>
        <v/>
      </c>
      <c r="T315" s="19">
        <f t="shared" si="4"/>
        <v>14.10722286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9"/>
      <c r="N316" s="9"/>
      <c r="O316" s="9"/>
      <c r="P316" s="10"/>
      <c r="Q316" s="11"/>
      <c r="R316" s="8"/>
      <c r="S316" s="12" t="str">
        <f t="shared" si="1"/>
        <v/>
      </c>
      <c r="T316" s="12">
        <f t="shared" si="4"/>
        <v>14.10722286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6"/>
      <c r="N317" s="16"/>
      <c r="O317" s="16"/>
      <c r="P317" s="17"/>
      <c r="Q317" s="18"/>
      <c r="R317" s="15"/>
      <c r="S317" s="19" t="str">
        <f t="shared" si="1"/>
        <v/>
      </c>
      <c r="T317" s="19">
        <f t="shared" si="4"/>
        <v>14.10722286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123"/>
      <c r="N318" s="9"/>
      <c r="O318" s="9"/>
      <c r="P318" s="10"/>
      <c r="Q318" s="11"/>
      <c r="R318" s="8"/>
      <c r="S318" s="12" t="str">
        <f t="shared" si="1"/>
        <v/>
      </c>
      <c r="T318" s="12">
        <f t="shared" si="4"/>
        <v>14.10722286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6"/>
      <c r="N319" s="16"/>
      <c r="O319" s="16"/>
      <c r="P319" s="17"/>
      <c r="Q319" s="18"/>
      <c r="R319" s="15"/>
      <c r="S319" s="19" t="str">
        <f t="shared" si="1"/>
        <v/>
      </c>
      <c r="T319" s="19">
        <f t="shared" si="4"/>
        <v>14.10722286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9"/>
      <c r="N320" s="9"/>
      <c r="O320" s="9"/>
      <c r="P320" s="10"/>
      <c r="Q320" s="11"/>
      <c r="R320" s="8"/>
      <c r="S320" s="12" t="str">
        <f t="shared" si="1"/>
        <v/>
      </c>
      <c r="T320" s="12">
        <f t="shared" si="4"/>
        <v>14.10722286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24"/>
      <c r="N321" s="16"/>
      <c r="O321" s="16"/>
      <c r="P321" s="17"/>
      <c r="Q321" s="18"/>
      <c r="R321" s="15"/>
      <c r="S321" s="19" t="str">
        <f t="shared" si="1"/>
        <v/>
      </c>
      <c r="T321" s="19">
        <f t="shared" si="4"/>
        <v>14.10722286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9"/>
      <c r="O322" s="9"/>
      <c r="P322" s="10"/>
      <c r="Q322" s="11"/>
      <c r="R322" s="8"/>
      <c r="S322" s="12" t="str">
        <f t="shared" si="1"/>
        <v/>
      </c>
      <c r="T322" s="12">
        <f t="shared" si="4"/>
        <v>14.10722286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6"/>
      <c r="N323" s="16"/>
      <c r="O323" s="16"/>
      <c r="P323" s="17"/>
      <c r="Q323" s="18"/>
      <c r="R323" s="15"/>
      <c r="S323" s="19" t="str">
        <f t="shared" si="1"/>
        <v/>
      </c>
      <c r="T323" s="19">
        <f t="shared" si="4"/>
        <v>14.10722286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9"/>
      <c r="N324" s="9"/>
      <c r="O324" s="9"/>
      <c r="P324" s="10"/>
      <c r="Q324" s="8"/>
      <c r="R324" s="8"/>
      <c r="S324" s="12" t="str">
        <f t="shared" si="1"/>
        <v/>
      </c>
      <c r="T324" s="12">
        <f t="shared" si="4"/>
        <v>14.10722286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6"/>
      <c r="N325" s="16"/>
      <c r="O325" s="16"/>
      <c r="P325" s="17"/>
      <c r="Q325" s="15"/>
      <c r="R325" s="15"/>
      <c r="S325" s="19" t="str">
        <f t="shared" si="1"/>
        <v/>
      </c>
      <c r="T325" s="19">
        <f t="shared" si="4"/>
        <v>14.10722286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9"/>
      <c r="N326" s="9"/>
      <c r="O326" s="9"/>
      <c r="P326" s="10"/>
      <c r="Q326" s="8"/>
      <c r="R326" s="8"/>
      <c r="S326" s="12" t="str">
        <f t="shared" si="1"/>
        <v/>
      </c>
      <c r="T326" s="12">
        <f t="shared" si="4"/>
        <v>14.10722286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6"/>
      <c r="N327" s="16"/>
      <c r="O327" s="16"/>
      <c r="P327" s="17"/>
      <c r="Q327" s="18"/>
      <c r="R327" s="15"/>
      <c r="S327" s="19" t="str">
        <f t="shared" si="1"/>
        <v/>
      </c>
      <c r="T327" s="19">
        <f t="shared" si="4"/>
        <v>14.10722286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9"/>
      <c r="N328" s="9"/>
      <c r="O328" s="9"/>
      <c r="P328" s="10"/>
      <c r="Q328" s="11"/>
      <c r="R328" s="8"/>
      <c r="S328" s="12" t="str">
        <f t="shared" si="1"/>
        <v/>
      </c>
      <c r="T328" s="12">
        <f t="shared" si="4"/>
        <v>14.10722286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6"/>
      <c r="N329" s="16"/>
      <c r="O329" s="16"/>
      <c r="P329" s="17"/>
      <c r="Q329" s="18"/>
      <c r="R329" s="15"/>
      <c r="S329" s="19" t="str">
        <f t="shared" si="1"/>
        <v/>
      </c>
      <c r="T329" s="19">
        <f t="shared" si="4"/>
        <v>14.10722286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9"/>
      <c r="N330" s="9"/>
      <c r="O330" s="9"/>
      <c r="P330" s="10"/>
      <c r="Q330" s="11"/>
      <c r="R330" s="8"/>
      <c r="S330" s="12" t="str">
        <f t="shared" si="1"/>
        <v/>
      </c>
      <c r="T330" s="12">
        <f t="shared" si="4"/>
        <v>14.10722286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6"/>
      <c r="N331" s="16"/>
      <c r="O331" s="16"/>
      <c r="P331" s="17"/>
      <c r="Q331" s="18"/>
      <c r="R331" s="15"/>
      <c r="S331" s="19" t="str">
        <f t="shared" si="1"/>
        <v/>
      </c>
      <c r="T331" s="19">
        <f t="shared" si="4"/>
        <v>14.10722286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9"/>
      <c r="O332" s="9"/>
      <c r="P332" s="10"/>
      <c r="Q332" s="11"/>
      <c r="R332" s="8"/>
      <c r="S332" s="12" t="str">
        <f t="shared" si="1"/>
        <v/>
      </c>
      <c r="T332" s="12">
        <f t="shared" si="4"/>
        <v>14.10722286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6"/>
      <c r="N333" s="16"/>
      <c r="O333" s="16"/>
      <c r="P333" s="17"/>
      <c r="Q333" s="18"/>
      <c r="R333" s="15"/>
      <c r="S333" s="19" t="str">
        <f t="shared" si="1"/>
        <v/>
      </c>
      <c r="T333" s="19">
        <f t="shared" si="4"/>
        <v>14.10722286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9"/>
      <c r="N334" s="9"/>
      <c r="O334" s="9"/>
      <c r="P334" s="10"/>
      <c r="Q334" s="11"/>
      <c r="R334" s="8"/>
      <c r="S334" s="12" t="str">
        <f t="shared" si="1"/>
        <v/>
      </c>
      <c r="T334" s="12">
        <f t="shared" si="4"/>
        <v>14.10722286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6"/>
      <c r="N335" s="16"/>
      <c r="O335" s="16"/>
      <c r="P335" s="17"/>
      <c r="Q335" s="18"/>
      <c r="R335" s="15"/>
      <c r="S335" s="19" t="str">
        <f t="shared" si="1"/>
        <v/>
      </c>
      <c r="T335" s="19">
        <f t="shared" si="4"/>
        <v>14.10722286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9"/>
      <c r="N336" s="9"/>
      <c r="O336" s="9"/>
      <c r="P336" s="10"/>
      <c r="Q336" s="11"/>
      <c r="R336" s="8"/>
      <c r="S336" s="12" t="str">
        <f t="shared" si="1"/>
        <v/>
      </c>
      <c r="T336" s="12">
        <f t="shared" si="4"/>
        <v>14.10722286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6"/>
      <c r="N337" s="16"/>
      <c r="O337" s="16"/>
      <c r="P337" s="17"/>
      <c r="Q337" s="18"/>
      <c r="R337" s="15"/>
      <c r="S337" s="19" t="str">
        <f t="shared" si="1"/>
        <v/>
      </c>
      <c r="T337" s="19">
        <f t="shared" si="4"/>
        <v>14.10722286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9"/>
      <c r="N338" s="9"/>
      <c r="O338" s="9"/>
      <c r="P338" s="10"/>
      <c r="Q338" s="11"/>
      <c r="R338" s="8"/>
      <c r="S338" s="12" t="str">
        <f t="shared" si="1"/>
        <v/>
      </c>
      <c r="T338" s="12">
        <f t="shared" si="4"/>
        <v>14.10722286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6"/>
      <c r="N339" s="16"/>
      <c r="O339" s="16"/>
      <c r="P339" s="17"/>
      <c r="Q339" s="18"/>
      <c r="R339" s="15"/>
      <c r="S339" s="19" t="str">
        <f t="shared" si="1"/>
        <v/>
      </c>
      <c r="T339" s="19">
        <f t="shared" si="4"/>
        <v>14.10722286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9"/>
      <c r="O340" s="9"/>
      <c r="P340" s="10"/>
      <c r="Q340" s="11"/>
      <c r="R340" s="8"/>
      <c r="S340" s="12" t="str">
        <f t="shared" si="1"/>
        <v/>
      </c>
      <c r="T340" s="12">
        <f t="shared" si="4"/>
        <v>14.10722286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24"/>
      <c r="N341" s="16"/>
      <c r="O341" s="16"/>
      <c r="P341" s="17"/>
      <c r="Q341" s="18"/>
      <c r="R341" s="15"/>
      <c r="S341" s="19" t="str">
        <f t="shared" si="1"/>
        <v/>
      </c>
      <c r="T341" s="19">
        <f t="shared" si="4"/>
        <v>14.10722286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123"/>
      <c r="N342" s="9"/>
      <c r="O342" s="9"/>
      <c r="P342" s="10"/>
      <c r="Q342" s="11"/>
      <c r="R342" s="8"/>
      <c r="S342" s="12" t="str">
        <f t="shared" si="1"/>
        <v/>
      </c>
      <c r="T342" s="12">
        <f t="shared" si="4"/>
        <v>14.10722286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24"/>
      <c r="N343" s="16"/>
      <c r="O343" s="16"/>
      <c r="P343" s="17"/>
      <c r="Q343" s="18"/>
      <c r="R343" s="15"/>
      <c r="S343" s="19" t="str">
        <f t="shared" si="1"/>
        <v/>
      </c>
      <c r="T343" s="19">
        <f t="shared" si="4"/>
        <v>14.10722286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123"/>
      <c r="N344" s="9"/>
      <c r="O344" s="9"/>
      <c r="P344" s="10"/>
      <c r="Q344" s="11"/>
      <c r="R344" s="8"/>
      <c r="S344" s="12" t="str">
        <f t="shared" si="1"/>
        <v/>
      </c>
      <c r="T344" s="12">
        <f t="shared" si="4"/>
        <v>14.10722286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24"/>
      <c r="N345" s="16"/>
      <c r="O345" s="16"/>
      <c r="P345" s="17"/>
      <c r="Q345" s="18"/>
      <c r="R345" s="15"/>
      <c r="S345" s="19" t="str">
        <f t="shared" si="1"/>
        <v/>
      </c>
      <c r="T345" s="19">
        <f t="shared" si="4"/>
        <v>14.10722286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123"/>
      <c r="N346" s="9"/>
      <c r="O346" s="9"/>
      <c r="P346" s="10"/>
      <c r="Q346" s="11"/>
      <c r="R346" s="8"/>
      <c r="S346" s="12" t="str">
        <f t="shared" si="1"/>
        <v/>
      </c>
      <c r="T346" s="12">
        <f t="shared" si="4"/>
        <v>14.10722286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24"/>
      <c r="N347" s="16"/>
      <c r="O347" s="16"/>
      <c r="P347" s="17"/>
      <c r="Q347" s="18"/>
      <c r="R347" s="15"/>
      <c r="S347" s="19" t="str">
        <f t="shared" si="1"/>
        <v/>
      </c>
      <c r="T347" s="19">
        <f t="shared" si="4"/>
        <v>14.10722286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123"/>
      <c r="N348" s="9"/>
      <c r="O348" s="9"/>
      <c r="P348" s="10"/>
      <c r="Q348" s="11"/>
      <c r="R348" s="8"/>
      <c r="S348" s="12" t="str">
        <f t="shared" si="1"/>
        <v/>
      </c>
      <c r="T348" s="12">
        <f t="shared" si="4"/>
        <v>14.10722286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24"/>
      <c r="N349" s="16"/>
      <c r="O349" s="16"/>
      <c r="P349" s="17"/>
      <c r="Q349" s="18"/>
      <c r="R349" s="15"/>
      <c r="S349" s="19" t="str">
        <f t="shared" si="1"/>
        <v/>
      </c>
      <c r="T349" s="19">
        <f t="shared" si="4"/>
        <v>14.10722286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123"/>
      <c r="N350" s="9"/>
      <c r="O350" s="9"/>
      <c r="P350" s="10"/>
      <c r="Q350" s="11"/>
      <c r="R350" s="8"/>
      <c r="S350" s="12" t="str">
        <f t="shared" si="1"/>
        <v/>
      </c>
      <c r="T350" s="12">
        <f t="shared" si="4"/>
        <v>14.10722286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24"/>
      <c r="N351" s="16"/>
      <c r="O351" s="16"/>
      <c r="P351" s="17"/>
      <c r="Q351" s="18"/>
      <c r="R351" s="15"/>
      <c r="S351" s="19" t="str">
        <f t="shared" si="1"/>
        <v/>
      </c>
      <c r="T351" s="19">
        <f t="shared" si="4"/>
        <v>14.10722286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123"/>
      <c r="N352" s="9"/>
      <c r="O352" s="9"/>
      <c r="P352" s="10"/>
      <c r="Q352" s="11"/>
      <c r="R352" s="8"/>
      <c r="S352" s="12" t="str">
        <f t="shared" si="1"/>
        <v/>
      </c>
      <c r="T352" s="12">
        <f t="shared" si="4"/>
        <v>14.10722286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24"/>
      <c r="N353" s="16"/>
      <c r="O353" s="16"/>
      <c r="P353" s="17"/>
      <c r="Q353" s="18"/>
      <c r="R353" s="15"/>
      <c r="S353" s="19" t="str">
        <f t="shared" si="1"/>
        <v/>
      </c>
      <c r="T353" s="19">
        <f t="shared" si="4"/>
        <v>14.10722286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123"/>
      <c r="N354" s="9"/>
      <c r="O354" s="9"/>
      <c r="P354" s="10"/>
      <c r="Q354" s="11"/>
      <c r="R354" s="8"/>
      <c r="S354" s="12" t="str">
        <f t="shared" si="1"/>
        <v/>
      </c>
      <c r="T354" s="12">
        <f t="shared" si="4"/>
        <v>14.10722286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24"/>
      <c r="N355" s="16"/>
      <c r="O355" s="16"/>
      <c r="P355" s="17"/>
      <c r="Q355" s="18"/>
      <c r="R355" s="15"/>
      <c r="S355" s="19" t="str">
        <f t="shared" si="1"/>
        <v/>
      </c>
      <c r="T355" s="19">
        <f t="shared" si="4"/>
        <v>14.10722286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123"/>
      <c r="N356" s="9"/>
      <c r="O356" s="9"/>
      <c r="P356" s="10"/>
      <c r="Q356" s="11"/>
      <c r="R356" s="8"/>
      <c r="S356" s="12" t="str">
        <f t="shared" si="1"/>
        <v/>
      </c>
      <c r="T356" s="12">
        <f t="shared" si="4"/>
        <v>14.10722286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24"/>
      <c r="N357" s="16"/>
      <c r="O357" s="16"/>
      <c r="P357" s="17"/>
      <c r="Q357" s="18"/>
      <c r="R357" s="15"/>
      <c r="S357" s="19" t="str">
        <f t="shared" si="1"/>
        <v/>
      </c>
      <c r="T357" s="124"/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123"/>
      <c r="N358" s="9"/>
      <c r="O358" s="9"/>
      <c r="P358" s="10"/>
      <c r="Q358" s="11"/>
      <c r="R358" s="8"/>
      <c r="S358" s="12" t="str">
        <f t="shared" si="1"/>
        <v/>
      </c>
      <c r="T358" s="123"/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24"/>
      <c r="N359" s="16"/>
      <c r="O359" s="16"/>
      <c r="P359" s="17"/>
      <c r="Q359" s="18"/>
      <c r="R359" s="15"/>
      <c r="S359" s="19" t="str">
        <f t="shared" si="1"/>
        <v/>
      </c>
      <c r="T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123"/>
      <c r="N360" s="9"/>
      <c r="O360" s="9"/>
      <c r="P360" s="10"/>
      <c r="Q360" s="11"/>
      <c r="R360" s="8"/>
      <c r="S360" s="12" t="str">
        <f t="shared" si="1"/>
        <v/>
      </c>
      <c r="T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24"/>
      <c r="N361" s="16"/>
      <c r="O361" s="16"/>
      <c r="P361" s="17"/>
      <c r="Q361" s="18"/>
      <c r="R361" s="15"/>
      <c r="S361" s="19" t="str">
        <f t="shared" si="1"/>
        <v/>
      </c>
      <c r="T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123"/>
      <c r="N362" s="9"/>
      <c r="O362" s="9"/>
      <c r="P362" s="10"/>
      <c r="Q362" s="11"/>
      <c r="R362" s="8"/>
      <c r="S362" s="12" t="str">
        <f t="shared" si="1"/>
        <v/>
      </c>
      <c r="T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24"/>
      <c r="N363" s="16"/>
      <c r="O363" s="16"/>
      <c r="P363" s="17"/>
      <c r="Q363" s="18"/>
      <c r="R363" s="15"/>
      <c r="S363" s="19" t="str">
        <f t="shared" si="1"/>
        <v/>
      </c>
      <c r="T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123"/>
      <c r="N364" s="9"/>
      <c r="O364" s="9"/>
      <c r="P364" s="10"/>
      <c r="Q364" s="11"/>
      <c r="R364" s="8"/>
      <c r="S364" s="12" t="str">
        <f t="shared" si="1"/>
        <v/>
      </c>
      <c r="T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24"/>
      <c r="N365" s="16"/>
      <c r="O365" s="16"/>
      <c r="P365" s="17"/>
      <c r="Q365" s="18"/>
      <c r="R365" s="15"/>
      <c r="S365" s="19" t="str">
        <f t="shared" si="1"/>
        <v/>
      </c>
      <c r="T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123"/>
      <c r="N366" s="9"/>
      <c r="O366" s="9"/>
      <c r="P366" s="10"/>
      <c r="Q366" s="11"/>
      <c r="R366" s="8"/>
      <c r="S366" s="12" t="str">
        <f t="shared" si="1"/>
        <v/>
      </c>
      <c r="T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24"/>
      <c r="N367" s="16"/>
      <c r="O367" s="16"/>
      <c r="P367" s="17"/>
      <c r="Q367" s="18"/>
      <c r="R367" s="15"/>
      <c r="S367" s="19" t="str">
        <f t="shared" si="1"/>
        <v/>
      </c>
      <c r="T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123"/>
      <c r="N368" s="9"/>
      <c r="O368" s="9"/>
      <c r="P368" s="10"/>
      <c r="Q368" s="8"/>
      <c r="R368" s="8"/>
      <c r="S368" s="12" t="str">
        <f t="shared" si="1"/>
        <v/>
      </c>
      <c r="T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24"/>
      <c r="N369" s="16"/>
      <c r="O369" s="16"/>
      <c r="P369" s="17"/>
      <c r="Q369" s="15"/>
      <c r="R369" s="15"/>
      <c r="S369" s="19" t="str">
        <f t="shared" si="1"/>
        <v/>
      </c>
      <c r="T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123"/>
      <c r="N370" s="9"/>
      <c r="O370" s="9"/>
      <c r="P370" s="10"/>
      <c r="Q370" s="8"/>
      <c r="R370" s="8"/>
      <c r="S370" s="12" t="str">
        <f t="shared" si="1"/>
        <v/>
      </c>
      <c r="T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24"/>
      <c r="N371" s="16"/>
      <c r="O371" s="16"/>
      <c r="P371" s="17"/>
      <c r="Q371" s="15"/>
      <c r="R371" s="15"/>
      <c r="S371" s="19" t="str">
        <f t="shared" si="1"/>
        <v/>
      </c>
      <c r="T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123"/>
      <c r="N372" s="9"/>
      <c r="O372" s="9"/>
      <c r="P372" s="10"/>
      <c r="Q372" s="8"/>
      <c r="R372" s="8"/>
      <c r="S372" s="12" t="str">
        <f t="shared" si="1"/>
        <v/>
      </c>
      <c r="T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24"/>
      <c r="N373" s="16"/>
      <c r="O373" s="16"/>
      <c r="P373" s="17"/>
      <c r="Q373" s="15"/>
      <c r="R373" s="15"/>
      <c r="S373" s="19" t="str">
        <f t="shared" si="1"/>
        <v/>
      </c>
      <c r="T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123"/>
      <c r="N374" s="9"/>
      <c r="O374" s="9"/>
      <c r="P374" s="10"/>
      <c r="Q374" s="8"/>
      <c r="R374" s="8"/>
      <c r="S374" s="12" t="str">
        <f t="shared" si="1"/>
        <v/>
      </c>
      <c r="T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24"/>
      <c r="N375" s="16"/>
      <c r="O375" s="16"/>
      <c r="P375" s="17"/>
      <c r="Q375" s="15"/>
      <c r="R375" s="15"/>
      <c r="S375" s="19" t="str">
        <f t="shared" si="1"/>
        <v/>
      </c>
      <c r="T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123"/>
      <c r="N376" s="9"/>
      <c r="O376" s="9"/>
      <c r="P376" s="10"/>
      <c r="Q376" s="8"/>
      <c r="R376" s="8"/>
      <c r="S376" s="12" t="str">
        <f t="shared" si="1"/>
        <v/>
      </c>
      <c r="T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24"/>
      <c r="N377" s="16"/>
      <c r="O377" s="16"/>
      <c r="P377" s="17"/>
      <c r="Q377" s="15"/>
      <c r="R377" s="15"/>
      <c r="S377" s="19" t="str">
        <f t="shared" si="1"/>
        <v/>
      </c>
      <c r="T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123"/>
      <c r="N378" s="9"/>
      <c r="O378" s="9"/>
      <c r="P378" s="10"/>
      <c r="Q378" s="8"/>
      <c r="R378" s="8"/>
      <c r="S378" s="12" t="str">
        <f t="shared" si="1"/>
        <v/>
      </c>
      <c r="T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24"/>
      <c r="N379" s="16"/>
      <c r="O379" s="16"/>
      <c r="P379" s="17"/>
      <c r="Q379" s="15"/>
      <c r="R379" s="15"/>
      <c r="S379" s="19" t="str">
        <f t="shared" si="1"/>
        <v/>
      </c>
      <c r="T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123"/>
      <c r="N380" s="9"/>
      <c r="O380" s="9"/>
      <c r="P380" s="10"/>
      <c r="Q380" s="8"/>
      <c r="R380" s="8"/>
      <c r="S380" s="12" t="str">
        <f t="shared" si="1"/>
        <v/>
      </c>
      <c r="T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24"/>
      <c r="N381" s="16"/>
      <c r="O381" s="16"/>
      <c r="P381" s="17"/>
      <c r="Q381" s="15"/>
      <c r="R381" s="15"/>
      <c r="S381" s="19" t="str">
        <f t="shared" si="1"/>
        <v/>
      </c>
      <c r="T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123"/>
      <c r="N382" s="9"/>
      <c r="O382" s="9"/>
      <c r="P382" s="10"/>
      <c r="Q382" s="8"/>
      <c r="R382" s="8"/>
      <c r="S382" s="12" t="str">
        <f t="shared" si="1"/>
        <v/>
      </c>
      <c r="T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24"/>
      <c r="N383" s="16"/>
      <c r="O383" s="16"/>
      <c r="P383" s="17"/>
      <c r="Q383" s="15"/>
      <c r="R383" s="15"/>
      <c r="S383" s="19" t="str">
        <f t="shared" si="1"/>
        <v/>
      </c>
      <c r="T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123"/>
      <c r="N384" s="9"/>
      <c r="O384" s="9"/>
      <c r="P384" s="10"/>
      <c r="Q384" s="8"/>
      <c r="R384" s="8"/>
      <c r="S384" s="12" t="str">
        <f t="shared" si="1"/>
        <v/>
      </c>
      <c r="T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24"/>
      <c r="N385" s="16"/>
      <c r="O385" s="16"/>
      <c r="P385" s="17"/>
      <c r="Q385" s="15"/>
      <c r="R385" s="15"/>
      <c r="S385" s="19" t="str">
        <f t="shared" si="1"/>
        <v/>
      </c>
      <c r="T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123"/>
      <c r="N386" s="9"/>
      <c r="O386" s="9"/>
      <c r="P386" s="10"/>
      <c r="Q386" s="8"/>
      <c r="R386" s="8"/>
      <c r="S386" s="12" t="str">
        <f t="shared" si="1"/>
        <v/>
      </c>
      <c r="T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24"/>
      <c r="N387" s="16"/>
      <c r="O387" s="16"/>
      <c r="P387" s="17"/>
      <c r="Q387" s="15"/>
      <c r="R387" s="15"/>
      <c r="S387" s="19" t="str">
        <f t="shared" si="1"/>
        <v/>
      </c>
      <c r="T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123"/>
      <c r="N388" s="9"/>
      <c r="O388" s="9"/>
      <c r="P388" s="10"/>
      <c r="Q388" s="8"/>
      <c r="R388" s="8"/>
      <c r="S388" s="12" t="str">
        <f t="shared" si="1"/>
        <v/>
      </c>
      <c r="T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24"/>
      <c r="N389" s="16"/>
      <c r="O389" s="16"/>
      <c r="P389" s="17"/>
      <c r="Q389" s="15"/>
      <c r="R389" s="15"/>
      <c r="S389" s="19" t="str">
        <f t="shared" si="1"/>
        <v/>
      </c>
      <c r="T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123"/>
      <c r="N390" s="9"/>
      <c r="O390" s="9"/>
      <c r="P390" s="10"/>
      <c r="Q390" s="8"/>
      <c r="R390" s="8"/>
      <c r="S390" s="12" t="str">
        <f t="shared" si="1"/>
        <v/>
      </c>
      <c r="T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24"/>
      <c r="N391" s="16"/>
      <c r="O391" s="16"/>
      <c r="P391" s="17"/>
      <c r="Q391" s="15"/>
      <c r="R391" s="15"/>
      <c r="S391" s="19" t="str">
        <f t="shared" si="1"/>
        <v/>
      </c>
      <c r="T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123"/>
      <c r="N392" s="9"/>
      <c r="O392" s="9"/>
      <c r="P392" s="10"/>
      <c r="Q392" s="8"/>
      <c r="R392" s="8"/>
      <c r="S392" s="12" t="str">
        <f t="shared" si="1"/>
        <v/>
      </c>
      <c r="T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24"/>
      <c r="N393" s="16"/>
      <c r="O393" s="16"/>
      <c r="P393" s="17"/>
      <c r="Q393" s="15"/>
      <c r="R393" s="15"/>
      <c r="S393" s="124"/>
      <c r="T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123"/>
      <c r="N394" s="9"/>
      <c r="O394" s="9"/>
      <c r="P394" s="10"/>
      <c r="Q394" s="8"/>
      <c r="R394" s="8"/>
      <c r="S394" s="123"/>
      <c r="T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24"/>
      <c r="N395" s="16"/>
      <c r="O395" s="16"/>
      <c r="P395" s="17"/>
      <c r="Q395" s="15"/>
      <c r="R395" s="15"/>
      <c r="S395" s="124"/>
      <c r="T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123"/>
      <c r="N396" s="9"/>
      <c r="O396" s="9"/>
      <c r="P396" s="10"/>
      <c r="Q396" s="8"/>
      <c r="R396" s="8"/>
      <c r="S396" s="123"/>
      <c r="T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24"/>
      <c r="N397" s="16"/>
      <c r="O397" s="16"/>
      <c r="P397" s="17"/>
      <c r="Q397" s="15"/>
      <c r="R397" s="15"/>
      <c r="S397" s="124"/>
      <c r="T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123"/>
      <c r="N398" s="9"/>
      <c r="O398" s="9"/>
      <c r="P398" s="10"/>
      <c r="Q398" s="8"/>
      <c r="R398" s="8"/>
      <c r="S398" s="123"/>
      <c r="T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24"/>
      <c r="N399" s="16"/>
      <c r="O399" s="16"/>
      <c r="P399" s="17"/>
      <c r="Q399" s="15"/>
      <c r="R399" s="15"/>
      <c r="S399" s="124"/>
      <c r="T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123"/>
      <c r="N400" s="9"/>
      <c r="O400" s="9"/>
      <c r="P400" s="10"/>
      <c r="Q400" s="8"/>
      <c r="R400" s="8"/>
      <c r="S400" s="123"/>
      <c r="T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24"/>
      <c r="N401" s="16"/>
      <c r="O401" s="16"/>
      <c r="P401" s="17"/>
      <c r="Q401" s="15"/>
      <c r="R401" s="15"/>
      <c r="S401" s="124"/>
      <c r="T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123"/>
      <c r="N402" s="9"/>
      <c r="O402" s="9"/>
      <c r="P402" s="10"/>
      <c r="Q402" s="8"/>
      <c r="R402" s="8"/>
      <c r="S402" s="123"/>
      <c r="T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24"/>
      <c r="N403" s="16"/>
      <c r="O403" s="16"/>
      <c r="P403" s="17"/>
      <c r="Q403" s="15"/>
      <c r="R403" s="15"/>
      <c r="S403" s="124"/>
      <c r="T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123"/>
      <c r="N404" s="9"/>
      <c r="O404" s="9"/>
      <c r="P404" s="10"/>
      <c r="Q404" s="8"/>
      <c r="R404" s="8"/>
      <c r="S404" s="123"/>
      <c r="T404" s="123"/>
    </row>
    <row r="40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6"/>
      <c r="N405" s="127"/>
      <c r="O405" s="127"/>
      <c r="P405" s="128"/>
      <c r="Q405" s="125"/>
      <c r="R405" s="125"/>
      <c r="S405" s="126"/>
      <c r="T405" s="126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30"/>
      <c r="N406" s="131"/>
      <c r="O406" s="131"/>
      <c r="P406" s="132"/>
      <c r="Q406" s="129"/>
      <c r="R406" s="129"/>
      <c r="S406" s="130"/>
      <c r="T406" s="130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6"/>
      <c r="N407" s="127"/>
      <c r="O407" s="127"/>
      <c r="P407" s="128"/>
      <c r="Q407" s="125"/>
      <c r="R407" s="125"/>
      <c r="S407" s="126"/>
      <c r="T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30"/>
      <c r="N408" s="131"/>
      <c r="O408" s="131"/>
      <c r="P408" s="132"/>
      <c r="Q408" s="129"/>
      <c r="R408" s="129"/>
      <c r="S408" s="130"/>
      <c r="T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6"/>
      <c r="N409" s="127"/>
      <c r="O409" s="127"/>
      <c r="P409" s="128"/>
      <c r="Q409" s="125"/>
      <c r="R409" s="125"/>
      <c r="S409" s="126"/>
      <c r="T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30"/>
      <c r="N410" s="131"/>
      <c r="O410" s="131"/>
      <c r="P410" s="132"/>
      <c r="Q410" s="129"/>
      <c r="R410" s="129"/>
      <c r="S410" s="130"/>
      <c r="T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6"/>
      <c r="N411" s="127"/>
      <c r="O411" s="127"/>
      <c r="P411" s="128"/>
      <c r="Q411" s="125"/>
      <c r="R411" s="125"/>
      <c r="S411" s="126"/>
      <c r="T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30"/>
      <c r="N412" s="131"/>
      <c r="O412" s="131"/>
      <c r="P412" s="132"/>
      <c r="Q412" s="129"/>
      <c r="R412" s="129"/>
      <c r="S412" s="130"/>
      <c r="T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6"/>
      <c r="N413" s="127"/>
      <c r="O413" s="127"/>
      <c r="P413" s="128"/>
      <c r="Q413" s="125"/>
      <c r="R413" s="125"/>
      <c r="S413" s="126"/>
      <c r="T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30"/>
      <c r="N414" s="131"/>
      <c r="O414" s="131"/>
      <c r="P414" s="132"/>
      <c r="Q414" s="129"/>
      <c r="R414" s="129"/>
      <c r="S414" s="130"/>
      <c r="T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6"/>
      <c r="N415" s="127"/>
      <c r="O415" s="127"/>
      <c r="P415" s="128"/>
      <c r="Q415" s="125"/>
      <c r="R415" s="125"/>
      <c r="S415" s="126"/>
      <c r="T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30"/>
      <c r="N416" s="131"/>
      <c r="O416" s="131"/>
      <c r="P416" s="132"/>
      <c r="Q416" s="129"/>
      <c r="R416" s="129"/>
      <c r="S416" s="130"/>
      <c r="T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6"/>
      <c r="N417" s="127"/>
      <c r="O417" s="127"/>
      <c r="P417" s="128"/>
      <c r="Q417" s="125"/>
      <c r="R417" s="125"/>
      <c r="S417" s="126"/>
      <c r="T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30"/>
      <c r="N418" s="131"/>
      <c r="O418" s="131"/>
      <c r="P418" s="132"/>
      <c r="Q418" s="129"/>
      <c r="R418" s="129"/>
      <c r="S418" s="130"/>
      <c r="T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6"/>
      <c r="N419" s="127"/>
      <c r="O419" s="127"/>
      <c r="P419" s="128"/>
      <c r="Q419" s="125"/>
      <c r="R419" s="125"/>
      <c r="S419" s="126"/>
      <c r="T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30"/>
      <c r="N420" s="131"/>
      <c r="O420" s="131"/>
      <c r="P420" s="132"/>
      <c r="Q420" s="129"/>
      <c r="R420" s="129"/>
      <c r="S420" s="130"/>
      <c r="T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6"/>
      <c r="N421" s="127"/>
      <c r="O421" s="127"/>
      <c r="P421" s="128"/>
      <c r="Q421" s="125"/>
      <c r="R421" s="125"/>
      <c r="S421" s="126"/>
      <c r="T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30"/>
      <c r="N422" s="131"/>
      <c r="O422" s="131"/>
      <c r="P422" s="132"/>
      <c r="Q422" s="129"/>
      <c r="R422" s="129"/>
      <c r="S422" s="130"/>
      <c r="T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6"/>
      <c r="N423" s="127"/>
      <c r="O423" s="127"/>
      <c r="P423" s="128"/>
      <c r="Q423" s="125"/>
      <c r="R423" s="125"/>
      <c r="S423" s="126"/>
      <c r="T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30"/>
      <c r="N424" s="131"/>
      <c r="O424" s="131"/>
      <c r="P424" s="132"/>
      <c r="Q424" s="129"/>
      <c r="R424" s="129"/>
      <c r="S424" s="130"/>
      <c r="T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6"/>
      <c r="N425" s="127"/>
      <c r="O425" s="127"/>
      <c r="P425" s="128"/>
      <c r="Q425" s="125"/>
      <c r="R425" s="125"/>
      <c r="S425" s="126"/>
      <c r="T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30"/>
      <c r="N426" s="131"/>
      <c r="O426" s="131"/>
      <c r="P426" s="132"/>
      <c r="Q426" s="129"/>
      <c r="R426" s="129"/>
      <c r="S426" s="130"/>
      <c r="T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6"/>
      <c r="N427" s="127"/>
      <c r="O427" s="127"/>
      <c r="P427" s="128"/>
      <c r="Q427" s="125"/>
      <c r="R427" s="125"/>
      <c r="S427" s="126"/>
      <c r="T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30"/>
      <c r="N428" s="131"/>
      <c r="O428" s="131"/>
      <c r="P428" s="132"/>
      <c r="Q428" s="129"/>
      <c r="R428" s="129"/>
      <c r="S428" s="130"/>
      <c r="T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6"/>
      <c r="N429" s="127"/>
      <c r="O429" s="127"/>
      <c r="P429" s="128"/>
      <c r="Q429" s="125"/>
      <c r="R429" s="125"/>
      <c r="S429" s="126"/>
      <c r="T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30"/>
      <c r="N430" s="131"/>
      <c r="O430" s="131"/>
      <c r="P430" s="132"/>
      <c r="Q430" s="129"/>
      <c r="R430" s="129"/>
      <c r="S430" s="130"/>
      <c r="T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6"/>
      <c r="N431" s="127"/>
      <c r="O431" s="127"/>
      <c r="P431" s="128"/>
      <c r="Q431" s="125"/>
      <c r="R431" s="125"/>
      <c r="S431" s="126"/>
      <c r="T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30"/>
      <c r="N432" s="131"/>
      <c r="O432" s="131"/>
      <c r="P432" s="132"/>
      <c r="Q432" s="129"/>
      <c r="R432" s="129"/>
      <c r="S432" s="130"/>
      <c r="T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6"/>
      <c r="N433" s="127"/>
      <c r="O433" s="127"/>
      <c r="P433" s="128"/>
      <c r="Q433" s="125"/>
      <c r="R433" s="125"/>
      <c r="S433" s="126"/>
      <c r="T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30"/>
      <c r="N434" s="131"/>
      <c r="O434" s="131"/>
      <c r="P434" s="132"/>
      <c r="Q434" s="129"/>
      <c r="R434" s="129"/>
      <c r="S434" s="130"/>
      <c r="T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6"/>
      <c r="N435" s="127"/>
      <c r="O435" s="127"/>
      <c r="P435" s="128"/>
      <c r="Q435" s="125"/>
      <c r="R435" s="125"/>
      <c r="S435" s="126"/>
      <c r="T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30"/>
      <c r="N436" s="131"/>
      <c r="O436" s="131"/>
      <c r="P436" s="132"/>
      <c r="Q436" s="129"/>
      <c r="R436" s="129"/>
      <c r="S436" s="130"/>
      <c r="T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6"/>
      <c r="N437" s="127"/>
      <c r="O437" s="127"/>
      <c r="P437" s="128"/>
      <c r="Q437" s="125"/>
      <c r="R437" s="125"/>
      <c r="S437" s="126"/>
      <c r="T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30"/>
      <c r="N438" s="131"/>
      <c r="O438" s="131"/>
      <c r="P438" s="132"/>
      <c r="Q438" s="129"/>
      <c r="R438" s="129"/>
      <c r="S438" s="130"/>
      <c r="T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6"/>
      <c r="N439" s="127"/>
      <c r="O439" s="127"/>
      <c r="P439" s="128"/>
      <c r="Q439" s="125"/>
      <c r="R439" s="125"/>
      <c r="S439" s="126"/>
      <c r="T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30"/>
      <c r="N440" s="131"/>
      <c r="O440" s="131"/>
      <c r="P440" s="132"/>
      <c r="Q440" s="129"/>
      <c r="R440" s="129"/>
      <c r="S440" s="130"/>
      <c r="T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6"/>
      <c r="N441" s="127"/>
      <c r="O441" s="127"/>
      <c r="P441" s="128"/>
      <c r="Q441" s="125"/>
      <c r="R441" s="125"/>
      <c r="S441" s="126"/>
      <c r="T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30"/>
      <c r="N442" s="131"/>
      <c r="O442" s="131"/>
      <c r="P442" s="132"/>
      <c r="Q442" s="129"/>
      <c r="R442" s="129"/>
      <c r="S442" s="130"/>
      <c r="T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6"/>
      <c r="N443" s="127"/>
      <c r="O443" s="127"/>
      <c r="P443" s="128"/>
      <c r="Q443" s="125"/>
      <c r="R443" s="125"/>
      <c r="S443" s="126"/>
      <c r="T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30"/>
      <c r="N444" s="131"/>
      <c r="O444" s="131"/>
      <c r="P444" s="132"/>
      <c r="Q444" s="129"/>
      <c r="R444" s="129"/>
      <c r="S444" s="130"/>
      <c r="T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6"/>
      <c r="N445" s="127"/>
      <c r="O445" s="127"/>
      <c r="P445" s="128"/>
      <c r="Q445" s="125"/>
      <c r="R445" s="125"/>
      <c r="S445" s="126"/>
      <c r="T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30"/>
      <c r="N446" s="131"/>
      <c r="O446" s="131"/>
      <c r="P446" s="132"/>
      <c r="Q446" s="129"/>
      <c r="R446" s="129"/>
      <c r="S446" s="130"/>
      <c r="T446" s="130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126"/>
      <c r="T447" s="58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130"/>
      <c r="T448" s="59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126"/>
      <c r="T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130"/>
      <c r="T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126"/>
      <c r="T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130"/>
      <c r="T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126"/>
      <c r="T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130"/>
      <c r="T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126"/>
      <c r="T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</row>
  </sheetData>
  <autoFilter ref="$A$1:$X$404"/>
  <customSheetViews>
    <customSheetView guid="{B1E9CC24-145D-4007-8A11-90FD9E435072}" filter="1" showAutoFilter="1">
      <autoFilter ref="$A$1:$X$404">
        <filterColumn colId="8">
          <filters>
            <filter val="Polônia"/>
            <filter val="Nigéria"/>
            <filter val="CONCACAF"/>
            <filter val="Mali"/>
            <filter val="Argélia"/>
            <filter val="Bélgica"/>
            <filter val="Quênia"/>
            <filter val="Costa Rica"/>
            <filter val="Kosovo"/>
            <filter val="Marrocos"/>
            <filter val="Amistoso"/>
            <filter val="Burkina Faso"/>
            <filter val="Camarões"/>
            <filter val="Montenegro"/>
          </filters>
        </filterColumn>
      </autoFilter>
    </customSheetView>
    <customSheetView guid="{3D13BECD-F97B-4CC8-B9FC-728C2CBFEBF1}" filter="1" showAutoFilter="1">
      <autoFilter ref="$A$1:$T$404">
        <filterColumn colId="8">
          <filters>
            <filter val="Finlândia"/>
            <filter val="Nigéria"/>
            <filter val="Líbano"/>
            <filter val="CONCACAF"/>
            <filter val="Tanzânia"/>
            <filter val="Mali"/>
            <filter val="Seychelles"/>
            <filter val="México"/>
            <filter val="Níger"/>
            <filter val="India"/>
            <filter val="Austrália"/>
            <filter val="Holanda"/>
            <filter val="Ruanda"/>
            <filter val="Mauritânia"/>
            <filter val="Costa Rica"/>
            <filter val="Grécia"/>
            <filter val="Índia"/>
            <filter val="Paises Baixos"/>
            <filter val="Burkina Faso"/>
            <filter val="Camarões"/>
          </filters>
        </filterColumn>
      </autoFilter>
    </customSheetView>
    <customSheetView guid="{9BA04A38-02DA-4F02-BBBB-302FC15326E0}" filter="1" showAutoFilter="1">
      <autoFilter ref="$A$1:$T$404">
        <filterColumn colId="10">
          <filters>
            <filter val="AH-"/>
            <filter val="Cantos HT"/>
            <filter val="NG"/>
            <filter val="AH+ HT"/>
            <filter val="DC"/>
          </filters>
        </filterColumn>
      </autoFilter>
    </customSheetView>
    <customSheetView guid="{BA551338-6311-4C02-9137-137E692B7D93}" filter="1" showAutoFilter="1">
      <autoFilter ref="$A$1:$T$404">
        <filterColumn colId="12">
          <filters>
            <filter val="2.50"/>
            <filter val="3.50"/>
            <filter val="0.00"/>
            <filter val="2.25"/>
            <filter val="0.75"/>
            <filter val="1.00"/>
            <filter val="2.75"/>
            <filter val="1.50"/>
            <filter val="3.75"/>
            <filter val="0.50"/>
            <filter val="-11.50"/>
            <filter val="9.00"/>
            <filter val="-5.50"/>
            <filter val="-4.00"/>
            <filter val="-0.50"/>
            <filter val="1.25"/>
            <filter val="0.25"/>
            <filter val="-3.00"/>
            <filter val="-0.25"/>
          </filters>
        </filterColumn>
      </autoFilter>
    </customSheetView>
    <customSheetView guid="{978C25F2-69C0-4E3B-8EFC-6A6EC3E48DD3}" filter="1" showAutoFilter="1">
      <autoFilter ref="$A$1:$X$404"/>
    </customSheetView>
    <customSheetView guid="{8BE028A4-B37D-4082-AE82-07BBC89EBB11}" filter="1" showAutoFilter="1">
      <autoFilter ref="$A$1:$T$404"/>
    </customSheetView>
    <customSheetView guid="{D9D1A42E-DDFC-4032-8664-60A2E47E0D40}" filter="1" showAutoFilter="1">
      <autoFilter ref="$A$1:$S$282"/>
    </customSheetView>
    <customSheetView guid="{9B5C888F-E11A-4842-8D0B-62F1614802A4}" filter="1" showAutoFilter="1">
      <autoFilter ref="$A$1:$S$282">
        <filterColumn colId="10">
          <filters>
            <filter val="AH+"/>
            <filter val="AH-"/>
            <filter val="Cantos HT"/>
            <filter val="AH+ HT"/>
            <filter val="DC"/>
          </filters>
        </filterColumn>
      </autoFilter>
    </customSheetView>
  </customSheetViews>
  <conditionalFormatting sqref="R2:R497">
    <cfRule type="cellIs" dxfId="0" priority="1" operator="equal">
      <formula>"Ganha"</formula>
    </cfRule>
  </conditionalFormatting>
  <conditionalFormatting sqref="R2:R497">
    <cfRule type="cellIs" dxfId="1" priority="2" operator="equal">
      <formula>"Ganha/devolvida"</formula>
    </cfRule>
  </conditionalFormatting>
  <conditionalFormatting sqref="R2:R497">
    <cfRule type="cellIs" dxfId="2" priority="3" operator="equal">
      <formula>"Devolvida"</formula>
    </cfRule>
  </conditionalFormatting>
  <conditionalFormatting sqref="R2:R497">
    <cfRule type="cellIs" dxfId="3" priority="4" operator="equal">
      <formula>"Perdida/devolvida"</formula>
    </cfRule>
  </conditionalFormatting>
  <conditionalFormatting sqref="R2:R497">
    <cfRule type="cellIs" dxfId="4" priority="5" operator="equal">
      <formula>"Perdida"</formula>
    </cfRule>
  </conditionalFormatting>
  <conditionalFormatting sqref="S2:S455 T2:T996 W2:W34">
    <cfRule type="cellIs" dxfId="0" priority="6" operator="greaterThan">
      <formula>0</formula>
    </cfRule>
  </conditionalFormatting>
  <conditionalFormatting sqref="S2:S455 T2:T996 W2:W34">
    <cfRule type="cellIs" dxfId="4" priority="7" operator="lessThan">
      <formula>0</formula>
    </cfRule>
  </conditionalFormatting>
  <conditionalFormatting sqref="S2:S996 T2:T8 W2:W34">
    <cfRule type="cellIs" dxfId="2" priority="8" operator="equal">
      <formula>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4.0"/>
    <col customWidth="1" min="3" max="4" width="3.88"/>
    <col customWidth="1" min="5" max="5" width="60.88"/>
    <col customWidth="1" min="6" max="6" width="8.38"/>
    <col customWidth="1" min="7" max="7" width="9.25"/>
    <col customWidth="1" min="8" max="8" width="12.88"/>
    <col customWidth="1" min="9" max="9" width="11.25"/>
    <col customWidth="1" min="10" max="10" width="4.5"/>
    <col customWidth="1" min="11" max="11" width="8.13"/>
    <col customWidth="1" min="12" max="12" width="9.5"/>
    <col customWidth="1" min="13" max="16" width="5.88"/>
    <col customWidth="1" min="17" max="17" width="6.5"/>
    <col customWidth="1" min="18" max="18" width="14.75"/>
    <col customWidth="1" min="19" max="19" width="10.75"/>
    <col customWidth="1" min="20" max="20" width="7.25"/>
    <col customWidth="1" min="21" max="21" width="4.13"/>
    <col customWidth="1" min="22" max="22" width="6.25"/>
    <col customWidth="1" min="23" max="23" width="6.5"/>
    <col customWidth="1" min="24" max="24" width="11.25"/>
  </cols>
  <sheetData>
    <row r="1">
      <c r="A1" s="2"/>
      <c r="B1" s="2" t="s">
        <v>1</v>
      </c>
      <c r="C1" s="2" t="s">
        <v>2</v>
      </c>
      <c r="D1" s="2" t="s">
        <v>1462</v>
      </c>
      <c r="E1" s="3" t="s">
        <v>3</v>
      </c>
      <c r="F1" s="2" t="s">
        <v>1466</v>
      </c>
      <c r="G1" s="2" t="s">
        <v>1467</v>
      </c>
      <c r="H1" s="2" t="s">
        <v>1468</v>
      </c>
      <c r="I1" s="3" t="s">
        <v>4</v>
      </c>
      <c r="J1" s="3" t="s">
        <v>5</v>
      </c>
      <c r="K1" s="3" t="s">
        <v>6</v>
      </c>
      <c r="L1" s="2" t="s">
        <v>7</v>
      </c>
      <c r="M1" s="4" t="s">
        <v>8</v>
      </c>
      <c r="N1" s="5" t="s">
        <v>9</v>
      </c>
      <c r="O1" s="4" t="s">
        <v>10</v>
      </c>
      <c r="P1" s="6" t="s">
        <v>11</v>
      </c>
      <c r="Q1" s="97" t="s">
        <v>12</v>
      </c>
      <c r="R1" s="3" t="s">
        <v>13</v>
      </c>
      <c r="S1" s="4" t="s">
        <v>2372</v>
      </c>
      <c r="T1" s="4" t="s">
        <v>15</v>
      </c>
      <c r="V1" s="3" t="s">
        <v>16</v>
      </c>
      <c r="W1" s="3" t="s">
        <v>15</v>
      </c>
      <c r="X1" s="3" t="s">
        <v>17</v>
      </c>
    </row>
    <row r="2">
      <c r="A2" s="8">
        <f>1</f>
        <v>1</v>
      </c>
      <c r="B2" s="8"/>
      <c r="C2" s="8" t="s">
        <v>19</v>
      </c>
      <c r="D2" s="8">
        <v>32.0</v>
      </c>
      <c r="E2" s="8" t="s">
        <v>4168</v>
      </c>
      <c r="F2" s="8" t="s">
        <v>5564</v>
      </c>
      <c r="G2" s="8" t="s">
        <v>2556</v>
      </c>
      <c r="H2" s="8">
        <v>0.0</v>
      </c>
      <c r="I2" s="8" t="s">
        <v>88</v>
      </c>
      <c r="J2" s="8" t="s">
        <v>22</v>
      </c>
      <c r="K2" s="8" t="s">
        <v>225</v>
      </c>
      <c r="L2" s="8" t="s">
        <v>24</v>
      </c>
      <c r="M2" s="9">
        <v>0.5</v>
      </c>
      <c r="N2" s="9">
        <v>0.6</v>
      </c>
      <c r="O2" s="9">
        <v>0.59</v>
      </c>
      <c r="P2" s="10">
        <v>45297.0</v>
      </c>
      <c r="Q2" s="11">
        <v>1.825</v>
      </c>
      <c r="R2" s="8" t="s">
        <v>25</v>
      </c>
      <c r="S2" s="12">
        <f t="shared" ref="S2:S393" si="1">IF(R2="ganha",(O2*(Q2-1)),IF(R2="perdida",-O2,IF(R2="devolvida",0,IF(R2="ganha/devolvida",((O2*(Q2-1)))/2,IF(R2="perdida/devolvida",-O2/2,IF(R2="Aguardando",0,""))))))</f>
        <v>-0.59</v>
      </c>
      <c r="T2" s="12">
        <f>S2</f>
        <v>-0.59</v>
      </c>
      <c r="V2" s="10">
        <v>45292.0</v>
      </c>
      <c r="W2" s="13">
        <f t="shared" ref="W2:W32" si="2">SUMIF($P$2:$P$2980,V2,$S$2:$S$2980)</f>
        <v>0</v>
      </c>
      <c r="X2" s="14">
        <f>SUMIF($R$2:$R$2980,"Aguardando",$O$2:$O$2980)</f>
        <v>0</v>
      </c>
    </row>
    <row r="3">
      <c r="A3" s="15">
        <f t="shared" ref="A3:A405" si="3">A2+1</f>
        <v>2</v>
      </c>
      <c r="B3" s="15"/>
      <c r="C3" s="15" t="s">
        <v>19</v>
      </c>
      <c r="D3" s="15">
        <v>37.0</v>
      </c>
      <c r="E3" s="15" t="s">
        <v>4169</v>
      </c>
      <c r="F3" s="15" t="s">
        <v>5564</v>
      </c>
      <c r="G3" s="15" t="s">
        <v>2556</v>
      </c>
      <c r="H3" s="15">
        <v>-1.0</v>
      </c>
      <c r="I3" s="15" t="s">
        <v>42</v>
      </c>
      <c r="J3" s="15" t="s">
        <v>22</v>
      </c>
      <c r="K3" s="15" t="s">
        <v>225</v>
      </c>
      <c r="L3" s="15" t="s">
        <v>24</v>
      </c>
      <c r="M3" s="16">
        <v>0.5</v>
      </c>
      <c r="N3" s="16">
        <v>1.0</v>
      </c>
      <c r="O3" s="16">
        <v>1.0</v>
      </c>
      <c r="P3" s="17">
        <v>45297.0</v>
      </c>
      <c r="Q3" s="18">
        <v>1.95</v>
      </c>
      <c r="R3" s="15" t="s">
        <v>33</v>
      </c>
      <c r="S3" s="19">
        <f t="shared" si="1"/>
        <v>0.95</v>
      </c>
      <c r="T3" s="19">
        <f t="shared" ref="T3:T357" si="4">T2+S3</f>
        <v>0.36</v>
      </c>
      <c r="V3" s="17">
        <v>45293.0</v>
      </c>
      <c r="W3" s="13">
        <f t="shared" si="2"/>
        <v>0</v>
      </c>
    </row>
    <row r="4">
      <c r="A4" s="8">
        <f t="shared" si="3"/>
        <v>3</v>
      </c>
      <c r="B4" s="8"/>
      <c r="C4" s="8" t="s">
        <v>19</v>
      </c>
      <c r="D4" s="8">
        <v>58.0</v>
      </c>
      <c r="E4" s="8" t="s">
        <v>4170</v>
      </c>
      <c r="F4" s="8" t="s">
        <v>5564</v>
      </c>
      <c r="G4" s="8" t="s">
        <v>2660</v>
      </c>
      <c r="H4" s="8">
        <v>0.0</v>
      </c>
      <c r="I4" s="8" t="s">
        <v>1470</v>
      </c>
      <c r="J4" s="8" t="s">
        <v>22</v>
      </c>
      <c r="K4" s="8" t="s">
        <v>225</v>
      </c>
      <c r="L4" s="8" t="s">
        <v>24</v>
      </c>
      <c r="M4" s="9">
        <v>0.0</v>
      </c>
      <c r="N4" s="9">
        <v>1.0</v>
      </c>
      <c r="O4" s="9">
        <v>1.0</v>
      </c>
      <c r="P4" s="10">
        <v>45297.0</v>
      </c>
      <c r="Q4" s="11">
        <v>1.7</v>
      </c>
      <c r="R4" s="8" t="s">
        <v>33</v>
      </c>
      <c r="S4" s="12">
        <f t="shared" si="1"/>
        <v>0.7</v>
      </c>
      <c r="T4" s="12">
        <f t="shared" si="4"/>
        <v>1.06</v>
      </c>
      <c r="V4" s="10">
        <v>45294.0</v>
      </c>
      <c r="W4" s="13">
        <f t="shared" si="2"/>
        <v>0</v>
      </c>
      <c r="X4" s="3" t="s">
        <v>34</v>
      </c>
    </row>
    <row r="5">
      <c r="A5" s="15">
        <f t="shared" si="3"/>
        <v>4</v>
      </c>
      <c r="B5" s="15"/>
      <c r="C5" s="15" t="s">
        <v>19</v>
      </c>
      <c r="D5" s="15">
        <v>59.0</v>
      </c>
      <c r="E5" s="15" t="s">
        <v>4171</v>
      </c>
      <c r="F5" s="15" t="s">
        <v>5564</v>
      </c>
      <c r="G5" s="15" t="s">
        <v>2660</v>
      </c>
      <c r="H5" s="15">
        <v>0.0</v>
      </c>
      <c r="I5" s="15" t="s">
        <v>191</v>
      </c>
      <c r="J5" s="15" t="s">
        <v>22</v>
      </c>
      <c r="K5" s="15" t="s">
        <v>225</v>
      </c>
      <c r="L5" s="15" t="s">
        <v>24</v>
      </c>
      <c r="M5" s="16">
        <v>0.0</v>
      </c>
      <c r="N5" s="16">
        <v>0.8</v>
      </c>
      <c r="O5" s="16">
        <v>0.8</v>
      </c>
      <c r="P5" s="17">
        <v>45297.0</v>
      </c>
      <c r="Q5" s="18">
        <v>1.75</v>
      </c>
      <c r="R5" s="15" t="s">
        <v>33</v>
      </c>
      <c r="S5" s="19">
        <f t="shared" si="1"/>
        <v>0.6</v>
      </c>
      <c r="T5" s="19">
        <f t="shared" si="4"/>
        <v>1.66</v>
      </c>
      <c r="V5" s="17">
        <v>45295.0</v>
      </c>
      <c r="W5" s="13">
        <f t="shared" si="2"/>
        <v>0</v>
      </c>
      <c r="X5" s="20">
        <f>sum(O2:O1013)</f>
        <v>88.1394</v>
      </c>
    </row>
    <row r="6">
      <c r="A6" s="8">
        <f t="shared" si="3"/>
        <v>5</v>
      </c>
      <c r="B6" s="8"/>
      <c r="C6" s="8" t="s">
        <v>19</v>
      </c>
      <c r="D6" s="8">
        <v>89.0</v>
      </c>
      <c r="E6" s="8" t="s">
        <v>4172</v>
      </c>
      <c r="F6" s="8"/>
      <c r="G6" s="8"/>
      <c r="H6" s="8" t="s">
        <v>2615</v>
      </c>
      <c r="I6" s="8" t="s">
        <v>66</v>
      </c>
      <c r="J6" s="8" t="s">
        <v>22</v>
      </c>
      <c r="K6" s="8" t="s">
        <v>2939</v>
      </c>
      <c r="L6" s="8" t="s">
        <v>24</v>
      </c>
      <c r="M6" s="9">
        <v>-3.5</v>
      </c>
      <c r="N6" s="9">
        <v>0.3</v>
      </c>
      <c r="O6" s="9">
        <v>0.02</v>
      </c>
      <c r="P6" s="10">
        <v>45297.0</v>
      </c>
      <c r="Q6" s="11">
        <v>1.9</v>
      </c>
      <c r="R6" s="8" t="s">
        <v>25</v>
      </c>
      <c r="S6" s="12">
        <f t="shared" si="1"/>
        <v>-0.02</v>
      </c>
      <c r="T6" s="12">
        <f t="shared" si="4"/>
        <v>1.64</v>
      </c>
      <c r="V6" s="10">
        <v>45296.0</v>
      </c>
      <c r="W6" s="13">
        <f t="shared" si="2"/>
        <v>0</v>
      </c>
    </row>
    <row r="7">
      <c r="A7" s="15">
        <f t="shared" si="3"/>
        <v>6</v>
      </c>
      <c r="B7" s="15"/>
      <c r="C7" s="15" t="s">
        <v>19</v>
      </c>
      <c r="D7" s="15">
        <v>67.0</v>
      </c>
      <c r="E7" s="15" t="s">
        <v>4173</v>
      </c>
      <c r="F7" s="15" t="s">
        <v>5565</v>
      </c>
      <c r="G7" s="15" t="s">
        <v>2660</v>
      </c>
      <c r="H7" s="15">
        <v>-1.0</v>
      </c>
      <c r="I7" s="15" t="s">
        <v>50</v>
      </c>
      <c r="J7" s="15" t="s">
        <v>22</v>
      </c>
      <c r="K7" s="15" t="s">
        <v>225</v>
      </c>
      <c r="L7" s="15" t="s">
        <v>24</v>
      </c>
      <c r="M7" s="16">
        <v>0.0</v>
      </c>
      <c r="N7" s="16">
        <v>0.5</v>
      </c>
      <c r="O7" s="16">
        <v>0.5</v>
      </c>
      <c r="P7" s="17">
        <v>45297.0</v>
      </c>
      <c r="Q7" s="18">
        <v>1.775</v>
      </c>
      <c r="R7" s="15" t="s">
        <v>33</v>
      </c>
      <c r="S7" s="19">
        <f t="shared" si="1"/>
        <v>0.3875</v>
      </c>
      <c r="T7" s="19">
        <f t="shared" si="4"/>
        <v>2.0275</v>
      </c>
      <c r="V7" s="17">
        <v>45297.0</v>
      </c>
      <c r="W7" s="13">
        <f t="shared" si="2"/>
        <v>2.0275</v>
      </c>
      <c r="X7" s="3" t="s">
        <v>45</v>
      </c>
    </row>
    <row r="8">
      <c r="A8" s="8">
        <f t="shared" si="3"/>
        <v>7</v>
      </c>
      <c r="B8" s="8"/>
      <c r="C8" s="8" t="s">
        <v>40</v>
      </c>
      <c r="D8" s="8">
        <v>32.0</v>
      </c>
      <c r="E8" s="8" t="s">
        <v>4174</v>
      </c>
      <c r="F8" s="8" t="s">
        <v>5565</v>
      </c>
      <c r="G8" s="8" t="s">
        <v>2660</v>
      </c>
      <c r="H8" s="8">
        <v>0.0</v>
      </c>
      <c r="I8" s="8" t="s">
        <v>93</v>
      </c>
      <c r="J8" s="8" t="s">
        <v>22</v>
      </c>
      <c r="K8" s="8" t="s">
        <v>225</v>
      </c>
      <c r="L8" s="8" t="s">
        <v>1522</v>
      </c>
      <c r="M8" s="9">
        <v>0.0</v>
      </c>
      <c r="N8" s="9">
        <v>0.6</v>
      </c>
      <c r="O8" s="9">
        <v>0.6</v>
      </c>
      <c r="P8" s="10">
        <v>45298.0</v>
      </c>
      <c r="Q8" s="11">
        <v>1.775</v>
      </c>
      <c r="R8" s="8" t="s">
        <v>33</v>
      </c>
      <c r="S8" s="12">
        <f t="shared" si="1"/>
        <v>0.465</v>
      </c>
      <c r="T8" s="12">
        <f t="shared" si="4"/>
        <v>2.4925</v>
      </c>
      <c r="V8" s="10">
        <v>45298.0</v>
      </c>
      <c r="W8" s="13">
        <f t="shared" si="2"/>
        <v>1.8432</v>
      </c>
      <c r="X8" s="21">
        <f>W33/(SUM(O2:O4933)-X2)</f>
        <v>0.1008053493</v>
      </c>
    </row>
    <row r="9">
      <c r="A9" s="15">
        <f t="shared" si="3"/>
        <v>8</v>
      </c>
      <c r="B9" s="15"/>
      <c r="C9" s="15" t="s">
        <v>40</v>
      </c>
      <c r="D9" s="15">
        <v>50.0</v>
      </c>
      <c r="E9" s="15" t="s">
        <v>4175</v>
      </c>
      <c r="F9" s="15" t="s">
        <v>5564</v>
      </c>
      <c r="G9" s="15" t="s">
        <v>2556</v>
      </c>
      <c r="H9" s="15">
        <f>1</f>
        <v>1</v>
      </c>
      <c r="I9" s="15" t="s">
        <v>48</v>
      </c>
      <c r="J9" s="15" t="s">
        <v>22</v>
      </c>
      <c r="K9" s="15" t="s">
        <v>1165</v>
      </c>
      <c r="L9" s="15" t="s">
        <v>24</v>
      </c>
      <c r="M9" s="16"/>
      <c r="N9" s="16">
        <v>0.1</v>
      </c>
      <c r="O9" s="16">
        <v>0.1</v>
      </c>
      <c r="P9" s="17">
        <v>45298.0</v>
      </c>
      <c r="Q9" s="18">
        <v>3.4</v>
      </c>
      <c r="R9" s="15" t="s">
        <v>25</v>
      </c>
      <c r="S9" s="19">
        <f t="shared" si="1"/>
        <v>-0.1</v>
      </c>
      <c r="T9" s="19">
        <f t="shared" si="4"/>
        <v>2.3925</v>
      </c>
      <c r="V9" s="17">
        <v>45299.0</v>
      </c>
      <c r="W9" s="13">
        <f t="shared" si="2"/>
        <v>0</v>
      </c>
    </row>
    <row r="10">
      <c r="A10" s="8">
        <f t="shared" si="3"/>
        <v>9</v>
      </c>
      <c r="B10" s="8"/>
      <c r="C10" s="8" t="s">
        <v>19</v>
      </c>
      <c r="D10" s="8">
        <v>23.0</v>
      </c>
      <c r="E10" s="8" t="s">
        <v>4176</v>
      </c>
      <c r="F10" s="8" t="s">
        <v>5565</v>
      </c>
      <c r="G10" s="8" t="s">
        <v>2660</v>
      </c>
      <c r="H10" s="8">
        <v>0.0</v>
      </c>
      <c r="I10" s="8" t="s">
        <v>863</v>
      </c>
      <c r="J10" s="8" t="s">
        <v>22</v>
      </c>
      <c r="K10" s="8" t="s">
        <v>1150</v>
      </c>
      <c r="L10" s="8" t="s">
        <v>24</v>
      </c>
      <c r="M10" s="9">
        <v>0.0</v>
      </c>
      <c r="N10" s="9">
        <v>0.5</v>
      </c>
      <c r="O10" s="9">
        <v>0.5</v>
      </c>
      <c r="P10" s="10">
        <v>45298.0</v>
      </c>
      <c r="Q10" s="11">
        <v>1.8</v>
      </c>
      <c r="R10" s="8" t="s">
        <v>70</v>
      </c>
      <c r="S10" s="12">
        <f t="shared" si="1"/>
        <v>0</v>
      </c>
      <c r="T10" s="12">
        <f t="shared" si="4"/>
        <v>2.3925</v>
      </c>
      <c r="V10" s="10">
        <v>45300.0</v>
      </c>
      <c r="W10" s="13">
        <f t="shared" si="2"/>
        <v>0</v>
      </c>
      <c r="X10" s="2" t="s">
        <v>55</v>
      </c>
    </row>
    <row r="11">
      <c r="A11" s="15">
        <f t="shared" si="3"/>
        <v>10</v>
      </c>
      <c r="B11" s="15"/>
      <c r="C11" s="15" t="s">
        <v>40</v>
      </c>
      <c r="D11" s="15">
        <v>33.0</v>
      </c>
      <c r="E11" s="15" t="s">
        <v>4177</v>
      </c>
      <c r="F11" s="15" t="s">
        <v>5565</v>
      </c>
      <c r="G11" s="15" t="s">
        <v>2556</v>
      </c>
      <c r="H11" s="15">
        <v>0.0</v>
      </c>
      <c r="I11" s="15" t="s">
        <v>106</v>
      </c>
      <c r="J11" s="15" t="s">
        <v>22</v>
      </c>
      <c r="K11" s="15" t="s">
        <v>225</v>
      </c>
      <c r="L11" s="15" t="s">
        <v>24</v>
      </c>
      <c r="M11" s="16">
        <v>0.5</v>
      </c>
      <c r="N11" s="16">
        <v>0.5</v>
      </c>
      <c r="O11" s="16">
        <v>0.5</v>
      </c>
      <c r="P11" s="17">
        <v>45298.0</v>
      </c>
      <c r="Q11" s="18">
        <v>1.9</v>
      </c>
      <c r="R11" s="15" t="s">
        <v>33</v>
      </c>
      <c r="S11" s="19">
        <f t="shared" si="1"/>
        <v>0.45</v>
      </c>
      <c r="T11" s="19">
        <f t="shared" si="4"/>
        <v>2.8425</v>
      </c>
      <c r="V11" s="17">
        <v>45301.0</v>
      </c>
      <c r="W11" s="13">
        <f t="shared" si="2"/>
        <v>1.48</v>
      </c>
      <c r="X11" s="21">
        <f>(SUMPRODUCT(--(N2:N999 = O2:O999))-countif(N2:N999,""))/countif(N2:N999,"&gt;0")</f>
        <v>0.8379888268</v>
      </c>
    </row>
    <row r="12">
      <c r="A12" s="8">
        <f t="shared" si="3"/>
        <v>11</v>
      </c>
      <c r="B12" s="8"/>
      <c r="C12" s="8" t="s">
        <v>19</v>
      </c>
      <c r="D12" s="8">
        <v>37.0</v>
      </c>
      <c r="E12" s="8" t="s">
        <v>4178</v>
      </c>
      <c r="F12" s="8" t="s">
        <v>5565</v>
      </c>
      <c r="G12" s="8" t="s">
        <v>2556</v>
      </c>
      <c r="H12" s="8">
        <v>-1.0</v>
      </c>
      <c r="I12" s="8" t="s">
        <v>1172</v>
      </c>
      <c r="J12" s="8" t="s">
        <v>22</v>
      </c>
      <c r="K12" s="8" t="s">
        <v>225</v>
      </c>
      <c r="L12" s="8" t="s">
        <v>24</v>
      </c>
      <c r="M12" s="9">
        <v>1.5</v>
      </c>
      <c r="N12" s="9">
        <v>0.5</v>
      </c>
      <c r="O12" s="9">
        <v>0.5</v>
      </c>
      <c r="P12" s="10">
        <v>45298.0</v>
      </c>
      <c r="Q12" s="11">
        <v>1.04</v>
      </c>
      <c r="R12" s="8" t="s">
        <v>33</v>
      </c>
      <c r="S12" s="12">
        <f t="shared" si="1"/>
        <v>0.02</v>
      </c>
      <c r="T12" s="12">
        <f t="shared" si="4"/>
        <v>2.8625</v>
      </c>
      <c r="V12" s="10">
        <v>45302.0</v>
      </c>
      <c r="W12" s="13">
        <f t="shared" si="2"/>
        <v>-0.575</v>
      </c>
    </row>
    <row r="13">
      <c r="A13" s="15">
        <f t="shared" si="3"/>
        <v>12</v>
      </c>
      <c r="B13" s="15"/>
      <c r="C13" s="15" t="s">
        <v>40</v>
      </c>
      <c r="D13" s="15">
        <v>45.0</v>
      </c>
      <c r="E13" s="15" t="s">
        <v>4179</v>
      </c>
      <c r="F13" s="15" t="s">
        <v>5565</v>
      </c>
      <c r="G13" s="15" t="s">
        <v>2556</v>
      </c>
      <c r="H13" s="15">
        <v>-1.0</v>
      </c>
      <c r="I13" s="15" t="s">
        <v>48</v>
      </c>
      <c r="J13" s="15" t="s">
        <v>22</v>
      </c>
      <c r="K13" s="15" t="s">
        <v>225</v>
      </c>
      <c r="L13" s="15" t="s">
        <v>24</v>
      </c>
      <c r="M13" s="16">
        <v>1.25</v>
      </c>
      <c r="N13" s="16">
        <v>0.6</v>
      </c>
      <c r="O13" s="16">
        <v>0.6</v>
      </c>
      <c r="P13" s="17">
        <v>45298.0</v>
      </c>
      <c r="Q13" s="18">
        <v>1.847</v>
      </c>
      <c r="R13" s="15" t="s">
        <v>33</v>
      </c>
      <c r="S13" s="19">
        <f t="shared" si="1"/>
        <v>0.5082</v>
      </c>
      <c r="T13" s="19">
        <f t="shared" si="4"/>
        <v>3.3707</v>
      </c>
      <c r="V13" s="17">
        <v>45303.0</v>
      </c>
      <c r="W13" s="13">
        <f t="shared" si="2"/>
        <v>1.3225</v>
      </c>
      <c r="X13" s="2" t="s">
        <v>61</v>
      </c>
    </row>
    <row r="14">
      <c r="A14" s="8">
        <f t="shared" si="3"/>
        <v>13</v>
      </c>
      <c r="B14" s="8"/>
      <c r="C14" s="8" t="s">
        <v>19</v>
      </c>
      <c r="D14" s="8">
        <v>40.0</v>
      </c>
      <c r="E14" s="8" t="s">
        <v>4180</v>
      </c>
      <c r="F14" s="8" t="s">
        <v>5565</v>
      </c>
      <c r="G14" s="8" t="s">
        <v>2660</v>
      </c>
      <c r="H14" s="8">
        <v>-1.0</v>
      </c>
      <c r="I14" s="8" t="s">
        <v>121</v>
      </c>
      <c r="J14" s="8" t="s">
        <v>22</v>
      </c>
      <c r="K14" s="8" t="s">
        <v>892</v>
      </c>
      <c r="L14" s="8" t="s">
        <v>1803</v>
      </c>
      <c r="M14" s="9">
        <v>0.0</v>
      </c>
      <c r="N14" s="9">
        <v>1.0</v>
      </c>
      <c r="O14" s="9">
        <v>1.0</v>
      </c>
      <c r="P14" s="10">
        <v>45298.0</v>
      </c>
      <c r="Q14" s="11">
        <v>1.7</v>
      </c>
      <c r="R14" s="8" t="s">
        <v>70</v>
      </c>
      <c r="S14" s="12">
        <f t="shared" si="1"/>
        <v>0</v>
      </c>
      <c r="T14" s="12">
        <f t="shared" si="4"/>
        <v>3.3707</v>
      </c>
      <c r="V14" s="10">
        <v>45304.0</v>
      </c>
      <c r="W14" s="13">
        <f t="shared" si="2"/>
        <v>2.1335</v>
      </c>
      <c r="X14" s="22">
        <f>average(Q2:Q999)</f>
        <v>1.932015754</v>
      </c>
    </row>
    <row r="15">
      <c r="A15" s="15">
        <f t="shared" si="3"/>
        <v>14</v>
      </c>
      <c r="B15" s="15"/>
      <c r="C15" s="15" t="s">
        <v>19</v>
      </c>
      <c r="D15" s="15">
        <v>60.0</v>
      </c>
      <c r="E15" s="15" t="s">
        <v>4181</v>
      </c>
      <c r="F15" s="15" t="s">
        <v>5565</v>
      </c>
      <c r="G15" s="15" t="s">
        <v>2660</v>
      </c>
      <c r="H15" s="15">
        <v>-2.0</v>
      </c>
      <c r="I15" s="15" t="s">
        <v>42</v>
      </c>
      <c r="J15" s="15" t="s">
        <v>22</v>
      </c>
      <c r="K15" s="15" t="s">
        <v>892</v>
      </c>
      <c r="L15" s="15" t="s">
        <v>24</v>
      </c>
      <c r="M15" s="16">
        <v>0.0</v>
      </c>
      <c r="N15" s="16">
        <v>0.6</v>
      </c>
      <c r="O15" s="16">
        <v>0.6</v>
      </c>
      <c r="P15" s="17">
        <v>45298.0</v>
      </c>
      <c r="Q15" s="18">
        <v>1.8</v>
      </c>
      <c r="R15" s="15" t="s">
        <v>70</v>
      </c>
      <c r="S15" s="19">
        <f t="shared" si="1"/>
        <v>0</v>
      </c>
      <c r="T15" s="19">
        <f t="shared" si="4"/>
        <v>3.3707</v>
      </c>
      <c r="V15" s="17">
        <v>45305.0</v>
      </c>
      <c r="W15" s="13">
        <f t="shared" si="2"/>
        <v>-0.9511</v>
      </c>
    </row>
    <row r="16">
      <c r="A16" s="8">
        <f t="shared" si="3"/>
        <v>15</v>
      </c>
      <c r="B16" s="8"/>
      <c r="C16" s="8" t="s">
        <v>19</v>
      </c>
      <c r="D16" s="8">
        <v>30.0</v>
      </c>
      <c r="E16" s="8" t="s">
        <v>4182</v>
      </c>
      <c r="F16" s="8" t="s">
        <v>5565</v>
      </c>
      <c r="G16" s="8" t="s">
        <v>2660</v>
      </c>
      <c r="H16" s="8">
        <v>0.0</v>
      </c>
      <c r="I16" s="8" t="s">
        <v>68</v>
      </c>
      <c r="J16" s="8" t="s">
        <v>22</v>
      </c>
      <c r="K16" s="8" t="s">
        <v>1150</v>
      </c>
      <c r="L16" s="8" t="s">
        <v>24</v>
      </c>
      <c r="M16" s="9">
        <v>0.0</v>
      </c>
      <c r="N16" s="9">
        <v>0.5</v>
      </c>
      <c r="O16" s="9">
        <v>0.5</v>
      </c>
      <c r="P16" s="10">
        <v>45298.0</v>
      </c>
      <c r="Q16" s="11">
        <v>2.0</v>
      </c>
      <c r="R16" s="8" t="s">
        <v>33</v>
      </c>
      <c r="S16" s="12">
        <f t="shared" si="1"/>
        <v>0.5</v>
      </c>
      <c r="T16" s="12">
        <f t="shared" si="4"/>
        <v>3.8707</v>
      </c>
      <c r="V16" s="10">
        <v>45306.0</v>
      </c>
      <c r="W16" s="13">
        <f t="shared" si="2"/>
        <v>-0.35</v>
      </c>
    </row>
    <row r="17">
      <c r="A17" s="15">
        <f t="shared" si="3"/>
        <v>16</v>
      </c>
      <c r="B17" s="15"/>
      <c r="C17" s="15" t="s">
        <v>19</v>
      </c>
      <c r="D17" s="15">
        <v>0.0</v>
      </c>
      <c r="E17" s="95" t="s">
        <v>4183</v>
      </c>
      <c r="F17" s="15" t="s">
        <v>5565</v>
      </c>
      <c r="G17" s="15" t="s">
        <v>2556</v>
      </c>
      <c r="H17" s="15"/>
      <c r="I17" s="15" t="s">
        <v>768</v>
      </c>
      <c r="J17" s="15" t="s">
        <v>598</v>
      </c>
      <c r="K17" s="15" t="s">
        <v>225</v>
      </c>
      <c r="L17" s="15" t="s">
        <v>39</v>
      </c>
      <c r="M17" s="16">
        <v>10.0</v>
      </c>
      <c r="N17" s="16">
        <v>0.35</v>
      </c>
      <c r="O17" s="16">
        <v>0.35</v>
      </c>
      <c r="P17" s="17">
        <v>45306.0</v>
      </c>
      <c r="Q17" s="18">
        <v>1.9</v>
      </c>
      <c r="R17" s="15" t="s">
        <v>25</v>
      </c>
      <c r="S17" s="19">
        <f t="shared" si="1"/>
        <v>-0.35</v>
      </c>
      <c r="T17" s="19">
        <f t="shared" si="4"/>
        <v>3.5207</v>
      </c>
      <c r="V17" s="17">
        <v>45307.0</v>
      </c>
      <c r="W17" s="13">
        <f t="shared" si="2"/>
        <v>0.1147</v>
      </c>
    </row>
    <row r="18">
      <c r="A18" s="8">
        <f t="shared" si="3"/>
        <v>17</v>
      </c>
      <c r="B18" s="8"/>
      <c r="C18" s="8" t="s">
        <v>19</v>
      </c>
      <c r="D18" s="8">
        <v>40.0</v>
      </c>
      <c r="E18" s="8" t="s">
        <v>4184</v>
      </c>
      <c r="F18" s="8" t="s">
        <v>5564</v>
      </c>
      <c r="G18" s="8" t="s">
        <v>2660</v>
      </c>
      <c r="H18" s="8">
        <f>1</f>
        <v>1</v>
      </c>
      <c r="I18" s="8" t="s">
        <v>82</v>
      </c>
      <c r="J18" s="8" t="s">
        <v>22</v>
      </c>
      <c r="K18" s="8" t="s">
        <v>892</v>
      </c>
      <c r="L18" s="8" t="s">
        <v>24</v>
      </c>
      <c r="M18" s="9">
        <v>0.0</v>
      </c>
      <c r="N18" s="9">
        <v>0.2</v>
      </c>
      <c r="O18" s="9">
        <v>0.2</v>
      </c>
      <c r="P18" s="10">
        <v>45300.0</v>
      </c>
      <c r="Q18" s="11">
        <v>1.8</v>
      </c>
      <c r="R18" s="8" t="s">
        <v>70</v>
      </c>
      <c r="S18" s="12">
        <f t="shared" si="1"/>
        <v>0</v>
      </c>
      <c r="T18" s="12">
        <f t="shared" si="4"/>
        <v>3.5207</v>
      </c>
      <c r="V18" s="10">
        <v>45308.0</v>
      </c>
      <c r="W18" s="13">
        <f t="shared" si="2"/>
        <v>0.2725</v>
      </c>
    </row>
    <row r="19">
      <c r="A19" s="15">
        <f t="shared" si="3"/>
        <v>18</v>
      </c>
      <c r="B19" s="15"/>
      <c r="C19" s="15" t="s">
        <v>19</v>
      </c>
      <c r="D19" s="15">
        <v>72.0</v>
      </c>
      <c r="E19" s="15" t="s">
        <v>4185</v>
      </c>
      <c r="F19" s="15" t="s">
        <v>5565</v>
      </c>
      <c r="G19" s="15" t="s">
        <v>2660</v>
      </c>
      <c r="H19" s="15">
        <v>-1.0</v>
      </c>
      <c r="I19" s="15" t="s">
        <v>157</v>
      </c>
      <c r="J19" s="15" t="s">
        <v>22</v>
      </c>
      <c r="K19" s="15" t="s">
        <v>892</v>
      </c>
      <c r="L19" s="15" t="s">
        <v>24</v>
      </c>
      <c r="M19" s="16">
        <v>0.0</v>
      </c>
      <c r="N19" s="16">
        <v>0.8</v>
      </c>
      <c r="O19" s="16">
        <v>0.8</v>
      </c>
      <c r="P19" s="55">
        <v>45301.0</v>
      </c>
      <c r="Q19" s="18">
        <v>1.85</v>
      </c>
      <c r="R19" s="15" t="s">
        <v>33</v>
      </c>
      <c r="S19" s="19">
        <f t="shared" si="1"/>
        <v>0.68</v>
      </c>
      <c r="T19" s="19">
        <f t="shared" si="4"/>
        <v>4.2007</v>
      </c>
      <c r="V19" s="17">
        <v>45309.0</v>
      </c>
      <c r="W19" s="13">
        <f t="shared" si="2"/>
        <v>-0.115</v>
      </c>
    </row>
    <row r="20">
      <c r="A20" s="8">
        <f t="shared" si="3"/>
        <v>19</v>
      </c>
      <c r="B20" s="8"/>
      <c r="C20" s="8" t="s">
        <v>40</v>
      </c>
      <c r="D20" s="8">
        <v>77.0</v>
      </c>
      <c r="E20" s="8" t="s">
        <v>4186</v>
      </c>
      <c r="F20" s="8" t="s">
        <v>5565</v>
      </c>
      <c r="G20" s="8" t="s">
        <v>2660</v>
      </c>
      <c r="H20" s="8">
        <v>-1.0</v>
      </c>
      <c r="I20" s="8" t="s">
        <v>191</v>
      </c>
      <c r="J20" s="8" t="s">
        <v>22</v>
      </c>
      <c r="K20" s="8" t="s">
        <v>892</v>
      </c>
      <c r="L20" s="8" t="s">
        <v>24</v>
      </c>
      <c r="M20" s="9">
        <v>0.0</v>
      </c>
      <c r="N20" s="9">
        <v>0.6</v>
      </c>
      <c r="O20" s="9">
        <v>0.6</v>
      </c>
      <c r="P20" s="10">
        <v>45301.0</v>
      </c>
      <c r="Q20" s="11">
        <v>1.625</v>
      </c>
      <c r="R20" s="8" t="s">
        <v>70</v>
      </c>
      <c r="S20" s="12">
        <f t="shared" si="1"/>
        <v>0</v>
      </c>
      <c r="T20" s="12">
        <f t="shared" si="4"/>
        <v>4.2007</v>
      </c>
      <c r="V20" s="10">
        <v>45310.0</v>
      </c>
      <c r="W20" s="13">
        <f t="shared" si="2"/>
        <v>-0.85</v>
      </c>
    </row>
    <row r="21">
      <c r="A21" s="15">
        <f t="shared" si="3"/>
        <v>20</v>
      </c>
      <c r="B21" s="15"/>
      <c r="C21" s="15" t="s">
        <v>19</v>
      </c>
      <c r="D21" s="15">
        <v>69.0</v>
      </c>
      <c r="E21" s="15" t="s">
        <v>4187</v>
      </c>
      <c r="F21" s="15" t="s">
        <v>5564</v>
      </c>
      <c r="G21" s="15" t="s">
        <v>2556</v>
      </c>
      <c r="H21" s="15">
        <v>0.0</v>
      </c>
      <c r="I21" s="15" t="s">
        <v>157</v>
      </c>
      <c r="J21" s="15" t="s">
        <v>22</v>
      </c>
      <c r="K21" s="15" t="s">
        <v>1165</v>
      </c>
      <c r="L21" s="15" t="s">
        <v>24</v>
      </c>
      <c r="M21" s="16"/>
      <c r="N21" s="16">
        <v>0.1</v>
      </c>
      <c r="O21" s="16">
        <v>0.1</v>
      </c>
      <c r="P21" s="17">
        <v>45301.0</v>
      </c>
      <c r="Q21" s="18">
        <v>7.0</v>
      </c>
      <c r="R21" s="15" t="s">
        <v>25</v>
      </c>
      <c r="S21" s="19">
        <f t="shared" si="1"/>
        <v>-0.1</v>
      </c>
      <c r="T21" s="19">
        <f t="shared" si="4"/>
        <v>4.1007</v>
      </c>
      <c r="V21" s="17">
        <v>45311.0</v>
      </c>
      <c r="W21" s="13">
        <f t="shared" si="2"/>
        <v>0.33</v>
      </c>
    </row>
    <row r="22">
      <c r="A22" s="8">
        <f t="shared" si="3"/>
        <v>21</v>
      </c>
      <c r="B22" s="8"/>
      <c r="C22" s="8" t="s">
        <v>19</v>
      </c>
      <c r="D22" s="8">
        <v>69.0</v>
      </c>
      <c r="E22" s="8" t="s">
        <v>4188</v>
      </c>
      <c r="F22" s="8" t="s">
        <v>5564</v>
      </c>
      <c r="G22" s="8" t="s">
        <v>2660</v>
      </c>
      <c r="H22" s="8">
        <v>-1.0</v>
      </c>
      <c r="I22" s="8" t="s">
        <v>248</v>
      </c>
      <c r="J22" s="8" t="s">
        <v>22</v>
      </c>
      <c r="K22" s="8" t="s">
        <v>892</v>
      </c>
      <c r="L22" s="8" t="s">
        <v>24</v>
      </c>
      <c r="M22" s="9">
        <v>0.0</v>
      </c>
      <c r="N22" s="9">
        <v>1.0</v>
      </c>
      <c r="O22" s="9">
        <v>1.0</v>
      </c>
      <c r="P22" s="10">
        <v>45301.0</v>
      </c>
      <c r="Q22" s="11">
        <v>1.9</v>
      </c>
      <c r="R22" s="8" t="s">
        <v>33</v>
      </c>
      <c r="S22" s="12">
        <f t="shared" si="1"/>
        <v>0.9</v>
      </c>
      <c r="T22" s="12">
        <f t="shared" si="4"/>
        <v>5.0007</v>
      </c>
      <c r="V22" s="10">
        <v>45312.0</v>
      </c>
      <c r="W22" s="13">
        <f t="shared" si="2"/>
        <v>-1.6735</v>
      </c>
    </row>
    <row r="23">
      <c r="A23" s="15">
        <f t="shared" si="3"/>
        <v>22</v>
      </c>
      <c r="B23" s="15"/>
      <c r="C23" s="15" t="s">
        <v>19</v>
      </c>
      <c r="D23" s="15">
        <v>45.0</v>
      </c>
      <c r="E23" s="15" t="s">
        <v>4189</v>
      </c>
      <c r="F23" s="15" t="s">
        <v>5564</v>
      </c>
      <c r="G23" s="15" t="s">
        <v>2660</v>
      </c>
      <c r="H23" s="15">
        <v>0.0</v>
      </c>
      <c r="I23" s="15" t="s">
        <v>82</v>
      </c>
      <c r="J23" s="15" t="s">
        <v>22</v>
      </c>
      <c r="K23" s="15" t="s">
        <v>892</v>
      </c>
      <c r="L23" s="15" t="s">
        <v>1522</v>
      </c>
      <c r="M23" s="16">
        <v>0.0</v>
      </c>
      <c r="N23" s="16">
        <v>0.5</v>
      </c>
      <c r="O23" s="16">
        <v>0.49</v>
      </c>
      <c r="P23" s="17">
        <v>45301.0</v>
      </c>
      <c r="Q23" s="18">
        <v>1.9</v>
      </c>
      <c r="R23" s="15" t="s">
        <v>70</v>
      </c>
      <c r="S23" s="19">
        <f t="shared" si="1"/>
        <v>0</v>
      </c>
      <c r="T23" s="19">
        <f t="shared" si="4"/>
        <v>5.0007</v>
      </c>
      <c r="V23" s="17">
        <v>45313.0</v>
      </c>
      <c r="W23" s="13">
        <f t="shared" si="2"/>
        <v>0</v>
      </c>
    </row>
    <row r="24">
      <c r="A24" s="8">
        <f t="shared" si="3"/>
        <v>23</v>
      </c>
      <c r="B24" s="8"/>
      <c r="C24" s="8" t="s">
        <v>40</v>
      </c>
      <c r="D24" s="8">
        <v>31.0</v>
      </c>
      <c r="E24" s="8" t="s">
        <v>4190</v>
      </c>
      <c r="F24" s="8" t="s">
        <v>5564</v>
      </c>
      <c r="G24" s="8" t="s">
        <v>2556</v>
      </c>
      <c r="H24" s="8">
        <v>-1.0</v>
      </c>
      <c r="I24" s="8" t="s">
        <v>157</v>
      </c>
      <c r="J24" s="8" t="s">
        <v>22</v>
      </c>
      <c r="K24" s="8" t="s">
        <v>225</v>
      </c>
      <c r="L24" s="8" t="s">
        <v>24</v>
      </c>
      <c r="M24" s="9">
        <v>0.5</v>
      </c>
      <c r="N24" s="9">
        <v>0.6</v>
      </c>
      <c r="O24" s="9">
        <v>0.6</v>
      </c>
      <c r="P24" s="10">
        <v>45302.0</v>
      </c>
      <c r="Q24" s="11">
        <v>1.875</v>
      </c>
      <c r="R24" s="8" t="s">
        <v>33</v>
      </c>
      <c r="S24" s="12">
        <f t="shared" si="1"/>
        <v>0.525</v>
      </c>
      <c r="T24" s="12">
        <f t="shared" si="4"/>
        <v>5.5257</v>
      </c>
      <c r="V24" s="10">
        <v>45314.0</v>
      </c>
      <c r="W24" s="13">
        <f t="shared" si="2"/>
        <v>0.695</v>
      </c>
    </row>
    <row r="25">
      <c r="A25" s="15">
        <f t="shared" si="3"/>
        <v>24</v>
      </c>
      <c r="B25" s="15"/>
      <c r="C25" s="15" t="s">
        <v>19</v>
      </c>
      <c r="D25" s="15">
        <v>30.0</v>
      </c>
      <c r="E25" s="15" t="s">
        <v>4191</v>
      </c>
      <c r="F25" s="15" t="s">
        <v>5564</v>
      </c>
      <c r="G25" s="15" t="s">
        <v>2660</v>
      </c>
      <c r="H25" s="15">
        <f t="shared" ref="H25:H26" si="5">1</f>
        <v>1</v>
      </c>
      <c r="I25" s="15" t="s">
        <v>820</v>
      </c>
      <c r="J25" s="15" t="s">
        <v>22</v>
      </c>
      <c r="K25" s="15" t="s">
        <v>892</v>
      </c>
      <c r="L25" s="15" t="s">
        <v>39</v>
      </c>
      <c r="M25" s="16">
        <v>0.0</v>
      </c>
      <c r="N25" s="16">
        <v>0.6</v>
      </c>
      <c r="O25" s="16">
        <v>0.6</v>
      </c>
      <c r="P25" s="17">
        <v>45302.0</v>
      </c>
      <c r="Q25" s="18">
        <v>1.9</v>
      </c>
      <c r="R25" s="15" t="s">
        <v>25</v>
      </c>
      <c r="S25" s="19">
        <f t="shared" si="1"/>
        <v>-0.6</v>
      </c>
      <c r="T25" s="19">
        <f t="shared" si="4"/>
        <v>4.9257</v>
      </c>
      <c r="V25" s="17">
        <v>45315.0</v>
      </c>
      <c r="W25" s="13">
        <f t="shared" si="2"/>
        <v>-1.089</v>
      </c>
    </row>
    <row r="26">
      <c r="A26" s="8">
        <f t="shared" si="3"/>
        <v>25</v>
      </c>
      <c r="B26" s="8"/>
      <c r="C26" s="8" t="s">
        <v>40</v>
      </c>
      <c r="D26" s="8">
        <v>45.0</v>
      </c>
      <c r="E26" s="8" t="s">
        <v>4192</v>
      </c>
      <c r="F26" s="8" t="s">
        <v>5565</v>
      </c>
      <c r="G26" s="8" t="s">
        <v>2556</v>
      </c>
      <c r="H26" s="8">
        <f t="shared" si="5"/>
        <v>1</v>
      </c>
      <c r="I26" s="8" t="s">
        <v>319</v>
      </c>
      <c r="J26" s="8" t="s">
        <v>22</v>
      </c>
      <c r="K26" s="8" t="s">
        <v>1847</v>
      </c>
      <c r="L26" s="8" t="s">
        <v>24</v>
      </c>
      <c r="M26" s="9">
        <v>-0.5</v>
      </c>
      <c r="N26" s="9">
        <v>0.5</v>
      </c>
      <c r="O26" s="9">
        <v>0.5</v>
      </c>
      <c r="P26" s="10">
        <v>45302.0</v>
      </c>
      <c r="Q26" s="11">
        <v>1.8</v>
      </c>
      <c r="R26" s="8" t="s">
        <v>25</v>
      </c>
      <c r="S26" s="12">
        <f t="shared" si="1"/>
        <v>-0.5</v>
      </c>
      <c r="T26" s="12">
        <f t="shared" si="4"/>
        <v>4.4257</v>
      </c>
      <c r="V26" s="10">
        <v>45316.0</v>
      </c>
      <c r="W26" s="13">
        <f t="shared" si="2"/>
        <v>-0.27</v>
      </c>
    </row>
    <row r="27">
      <c r="A27" s="15">
        <f t="shared" si="3"/>
        <v>26</v>
      </c>
      <c r="B27" s="15"/>
      <c r="C27" s="15" t="s">
        <v>19</v>
      </c>
      <c r="D27" s="15">
        <v>75.0</v>
      </c>
      <c r="E27" s="15" t="s">
        <v>4193</v>
      </c>
      <c r="F27" s="15" t="s">
        <v>5564</v>
      </c>
      <c r="G27" s="15" t="s">
        <v>2556</v>
      </c>
      <c r="H27" s="15">
        <v>0.0</v>
      </c>
      <c r="I27" s="15" t="s">
        <v>157</v>
      </c>
      <c r="J27" s="15" t="s">
        <v>22</v>
      </c>
      <c r="K27" s="15" t="s">
        <v>225</v>
      </c>
      <c r="L27" s="15" t="s">
        <v>24</v>
      </c>
      <c r="M27" s="16">
        <v>0.5</v>
      </c>
      <c r="N27" s="16">
        <v>0.5</v>
      </c>
      <c r="O27" s="16">
        <v>0.5</v>
      </c>
      <c r="P27" s="17">
        <v>45303.0</v>
      </c>
      <c r="Q27" s="18">
        <v>1.265</v>
      </c>
      <c r="R27" s="15" t="s">
        <v>33</v>
      </c>
      <c r="S27" s="19">
        <f t="shared" si="1"/>
        <v>0.1325</v>
      </c>
      <c r="T27" s="19">
        <f t="shared" si="4"/>
        <v>4.5582</v>
      </c>
      <c r="V27" s="17">
        <v>45317.0</v>
      </c>
      <c r="W27" s="13">
        <f t="shared" si="2"/>
        <v>0.55136</v>
      </c>
    </row>
    <row r="28">
      <c r="A28" s="8">
        <f t="shared" si="3"/>
        <v>27</v>
      </c>
      <c r="B28" s="8"/>
      <c r="C28" s="8" t="s">
        <v>19</v>
      </c>
      <c r="D28" s="8">
        <v>45.0</v>
      </c>
      <c r="E28" s="8" t="s">
        <v>4194</v>
      </c>
      <c r="F28" s="8" t="s">
        <v>5565</v>
      </c>
      <c r="G28" s="8" t="s">
        <v>2556</v>
      </c>
      <c r="H28" s="8">
        <v>-1.0</v>
      </c>
      <c r="I28" s="8" t="s">
        <v>187</v>
      </c>
      <c r="J28" s="8" t="s">
        <v>22</v>
      </c>
      <c r="K28" s="8" t="s">
        <v>225</v>
      </c>
      <c r="L28" s="8" t="s">
        <v>24</v>
      </c>
      <c r="M28" s="9">
        <v>0.25</v>
      </c>
      <c r="N28" s="9">
        <v>0.6</v>
      </c>
      <c r="O28" s="9">
        <v>0.6</v>
      </c>
      <c r="P28" s="10">
        <v>45303.0</v>
      </c>
      <c r="Q28" s="11">
        <v>1.8</v>
      </c>
      <c r="R28" s="8" t="s">
        <v>33</v>
      </c>
      <c r="S28" s="12">
        <f t="shared" si="1"/>
        <v>0.48</v>
      </c>
      <c r="T28" s="12">
        <f t="shared" si="4"/>
        <v>5.0382</v>
      </c>
      <c r="V28" s="10">
        <v>45318.0</v>
      </c>
      <c r="W28" s="13">
        <f t="shared" si="2"/>
        <v>0.84894</v>
      </c>
    </row>
    <row r="29">
      <c r="A29" s="15">
        <f t="shared" si="3"/>
        <v>28</v>
      </c>
      <c r="B29" s="15"/>
      <c r="C29" s="15" t="s">
        <v>19</v>
      </c>
      <c r="D29" s="15">
        <v>80.0</v>
      </c>
      <c r="E29" s="15" t="s">
        <v>4195</v>
      </c>
      <c r="F29" s="15" t="s">
        <v>5565</v>
      </c>
      <c r="G29" s="15" t="s">
        <v>2660</v>
      </c>
      <c r="H29" s="15">
        <v>0.0</v>
      </c>
      <c r="I29" s="15" t="s">
        <v>187</v>
      </c>
      <c r="J29" s="15" t="s">
        <v>22</v>
      </c>
      <c r="K29" s="15" t="s">
        <v>892</v>
      </c>
      <c r="L29" s="15" t="s">
        <v>24</v>
      </c>
      <c r="M29" s="16">
        <v>0.0</v>
      </c>
      <c r="N29" s="16">
        <v>0.6</v>
      </c>
      <c r="O29" s="16">
        <v>0.6</v>
      </c>
      <c r="P29" s="17">
        <v>45303.0</v>
      </c>
      <c r="Q29" s="18">
        <v>1.6</v>
      </c>
      <c r="R29" s="15" t="s">
        <v>33</v>
      </c>
      <c r="S29" s="19">
        <f t="shared" si="1"/>
        <v>0.36</v>
      </c>
      <c r="T29" s="19">
        <f t="shared" si="4"/>
        <v>5.3982</v>
      </c>
      <c r="V29" s="17">
        <v>45319.0</v>
      </c>
      <c r="W29" s="13">
        <f t="shared" si="2"/>
        <v>1.98828</v>
      </c>
    </row>
    <row r="30">
      <c r="A30" s="8">
        <f t="shared" si="3"/>
        <v>29</v>
      </c>
      <c r="B30" s="8"/>
      <c r="C30" s="8" t="s">
        <v>19</v>
      </c>
      <c r="D30" s="8">
        <v>70.0</v>
      </c>
      <c r="E30" s="8" t="s">
        <v>4194</v>
      </c>
      <c r="F30" s="8" t="s">
        <v>5565</v>
      </c>
      <c r="G30" s="8" t="s">
        <v>2556</v>
      </c>
      <c r="H30" s="8">
        <v>-1.0</v>
      </c>
      <c r="I30" s="8" t="s">
        <v>187</v>
      </c>
      <c r="J30" s="8" t="s">
        <v>22</v>
      </c>
      <c r="K30" s="8" t="s">
        <v>892</v>
      </c>
      <c r="L30" s="8" t="s">
        <v>1522</v>
      </c>
      <c r="M30" s="9">
        <v>0.0</v>
      </c>
      <c r="N30" s="9">
        <v>0.4</v>
      </c>
      <c r="O30" s="9">
        <v>0.28</v>
      </c>
      <c r="P30" s="10">
        <v>45303.0</v>
      </c>
      <c r="Q30" s="11">
        <v>2.0</v>
      </c>
      <c r="R30" s="8" t="s">
        <v>33</v>
      </c>
      <c r="S30" s="12">
        <f t="shared" si="1"/>
        <v>0.28</v>
      </c>
      <c r="T30" s="12">
        <f t="shared" si="4"/>
        <v>5.6782</v>
      </c>
      <c r="V30" s="10">
        <v>45320.0</v>
      </c>
      <c r="W30" s="13">
        <f t="shared" si="2"/>
        <v>0</v>
      </c>
    </row>
    <row r="31">
      <c r="A31" s="15">
        <f t="shared" si="3"/>
        <v>30</v>
      </c>
      <c r="B31" s="15"/>
      <c r="C31" s="15" t="s">
        <v>19</v>
      </c>
      <c r="D31" s="15">
        <v>70.0</v>
      </c>
      <c r="E31" s="15" t="s">
        <v>4196</v>
      </c>
      <c r="F31" s="15" t="s">
        <v>5564</v>
      </c>
      <c r="G31" s="15" t="s">
        <v>2660</v>
      </c>
      <c r="H31" s="15">
        <v>-1.0</v>
      </c>
      <c r="I31" s="15" t="s">
        <v>248</v>
      </c>
      <c r="J31" s="15" t="s">
        <v>22</v>
      </c>
      <c r="K31" s="15" t="s">
        <v>892</v>
      </c>
      <c r="L31" s="15" t="s">
        <v>24</v>
      </c>
      <c r="M31" s="16">
        <v>0.0</v>
      </c>
      <c r="N31" s="16">
        <v>0.8</v>
      </c>
      <c r="O31" s="16">
        <v>0.8</v>
      </c>
      <c r="P31" s="17">
        <v>45303.0</v>
      </c>
      <c r="Q31" s="18">
        <v>1.675</v>
      </c>
      <c r="R31" s="15" t="s">
        <v>70</v>
      </c>
      <c r="S31" s="19">
        <f t="shared" si="1"/>
        <v>0</v>
      </c>
      <c r="T31" s="19">
        <f t="shared" si="4"/>
        <v>5.6782</v>
      </c>
      <c r="V31" s="17">
        <v>45321.0</v>
      </c>
      <c r="W31" s="13">
        <f t="shared" si="2"/>
        <v>0.474343</v>
      </c>
    </row>
    <row r="32">
      <c r="A32" s="8">
        <f t="shared" si="3"/>
        <v>31</v>
      </c>
      <c r="B32" s="8"/>
      <c r="C32" s="8" t="s">
        <v>19</v>
      </c>
      <c r="D32" s="8">
        <v>59.0</v>
      </c>
      <c r="E32" s="8" t="s">
        <v>4197</v>
      </c>
      <c r="F32" s="8"/>
      <c r="G32" s="8"/>
      <c r="H32" s="8"/>
      <c r="I32" s="8" t="s">
        <v>82</v>
      </c>
      <c r="J32" s="8" t="s">
        <v>22</v>
      </c>
      <c r="K32" s="8" t="s">
        <v>440</v>
      </c>
      <c r="L32" s="8" t="s">
        <v>39</v>
      </c>
      <c r="M32" s="9">
        <v>3.0</v>
      </c>
      <c r="N32" s="9">
        <v>0.1</v>
      </c>
      <c r="O32" s="9">
        <v>0.1</v>
      </c>
      <c r="P32" s="10">
        <v>45303.0</v>
      </c>
      <c r="Q32" s="11">
        <v>1.7</v>
      </c>
      <c r="R32" s="8" t="s">
        <v>33</v>
      </c>
      <c r="S32" s="12">
        <f t="shared" si="1"/>
        <v>0.07</v>
      </c>
      <c r="T32" s="12">
        <f t="shared" si="4"/>
        <v>5.7482</v>
      </c>
      <c r="V32" s="10">
        <v>45322.0</v>
      </c>
      <c r="W32" s="13">
        <f t="shared" si="2"/>
        <v>0.6767</v>
      </c>
    </row>
    <row r="33">
      <c r="A33" s="15">
        <f t="shared" si="3"/>
        <v>32</v>
      </c>
      <c r="B33" s="15"/>
      <c r="C33" s="15" t="s">
        <v>19</v>
      </c>
      <c r="D33" s="15">
        <v>15.0</v>
      </c>
      <c r="E33" s="15" t="s">
        <v>4198</v>
      </c>
      <c r="F33" s="15" t="s">
        <v>5564</v>
      </c>
      <c r="G33" s="15" t="s">
        <v>2556</v>
      </c>
      <c r="H33" s="15">
        <v>0.0</v>
      </c>
      <c r="I33" s="15" t="s">
        <v>115</v>
      </c>
      <c r="J33" s="15" t="s">
        <v>22</v>
      </c>
      <c r="K33" s="15" t="s">
        <v>225</v>
      </c>
      <c r="L33" s="15" t="s">
        <v>24</v>
      </c>
      <c r="M33" s="16">
        <v>0.25</v>
      </c>
      <c r="N33" s="16">
        <v>1.0</v>
      </c>
      <c r="O33" s="16">
        <v>1.0</v>
      </c>
      <c r="P33" s="17">
        <v>45304.0</v>
      </c>
      <c r="Q33" s="18">
        <v>1.775</v>
      </c>
      <c r="R33" s="15" t="s">
        <v>25</v>
      </c>
      <c r="S33" s="19">
        <f t="shared" si="1"/>
        <v>-1</v>
      </c>
      <c r="T33" s="19">
        <f t="shared" si="4"/>
        <v>4.7482</v>
      </c>
      <c r="V33" s="184" t="s">
        <v>89</v>
      </c>
      <c r="W33" s="28">
        <f>SUM(W2:W32)</f>
        <v>8.884923</v>
      </c>
    </row>
    <row r="34">
      <c r="A34" s="8">
        <f t="shared" si="3"/>
        <v>33</v>
      </c>
      <c r="B34" s="8"/>
      <c r="C34" s="8" t="s">
        <v>19</v>
      </c>
      <c r="D34" s="8">
        <v>20.0</v>
      </c>
      <c r="E34" s="8" t="s">
        <v>4199</v>
      </c>
      <c r="F34" s="8" t="s">
        <v>5564</v>
      </c>
      <c r="G34" s="8" t="s">
        <v>2556</v>
      </c>
      <c r="H34" s="8">
        <v>0.0</v>
      </c>
      <c r="I34" s="8" t="s">
        <v>28</v>
      </c>
      <c r="J34" s="8" t="s">
        <v>22</v>
      </c>
      <c r="K34" s="8" t="s">
        <v>225</v>
      </c>
      <c r="L34" s="8" t="s">
        <v>24</v>
      </c>
      <c r="M34" s="9">
        <v>0.5</v>
      </c>
      <c r="N34" s="9">
        <v>1.0</v>
      </c>
      <c r="O34" s="9">
        <v>1.0</v>
      </c>
      <c r="P34" s="10">
        <v>45304.0</v>
      </c>
      <c r="Q34" s="11">
        <v>1.22</v>
      </c>
      <c r="R34" s="8" t="s">
        <v>33</v>
      </c>
      <c r="S34" s="12">
        <f t="shared" si="1"/>
        <v>0.22</v>
      </c>
      <c r="T34" s="12">
        <f t="shared" si="4"/>
        <v>4.9682</v>
      </c>
    </row>
    <row r="35">
      <c r="A35" s="15">
        <f t="shared" si="3"/>
        <v>34</v>
      </c>
      <c r="B35" s="15"/>
      <c r="C35" s="15" t="s">
        <v>19</v>
      </c>
      <c r="D35" s="15">
        <v>63.0</v>
      </c>
      <c r="E35" s="15" t="s">
        <v>4200</v>
      </c>
      <c r="F35" s="15" t="s">
        <v>5565</v>
      </c>
      <c r="G35" s="15" t="s">
        <v>2660</v>
      </c>
      <c r="H35" s="15">
        <f>1</f>
        <v>1</v>
      </c>
      <c r="I35" s="15" t="s">
        <v>28</v>
      </c>
      <c r="J35" s="15" t="s">
        <v>22</v>
      </c>
      <c r="K35" s="15" t="s">
        <v>892</v>
      </c>
      <c r="L35" s="15" t="s">
        <v>24</v>
      </c>
      <c r="M35" s="16">
        <v>0.0</v>
      </c>
      <c r="N35" s="16">
        <v>0.8</v>
      </c>
      <c r="O35" s="16">
        <v>0.8</v>
      </c>
      <c r="P35" s="17">
        <v>45304.0</v>
      </c>
      <c r="Q35" s="18">
        <v>2.075</v>
      </c>
      <c r="R35" s="15" t="s">
        <v>33</v>
      </c>
      <c r="S35" s="19">
        <f t="shared" si="1"/>
        <v>0.86</v>
      </c>
      <c r="T35" s="19">
        <f t="shared" si="4"/>
        <v>5.8282</v>
      </c>
      <c r="V35" s="30"/>
    </row>
    <row r="36">
      <c r="A36" s="8">
        <f t="shared" si="3"/>
        <v>35</v>
      </c>
      <c r="B36" s="8"/>
      <c r="C36" s="8" t="s">
        <v>19</v>
      </c>
      <c r="D36" s="8">
        <v>55.0</v>
      </c>
      <c r="E36" s="8" t="s">
        <v>4201</v>
      </c>
      <c r="F36" s="8" t="s">
        <v>5564</v>
      </c>
      <c r="G36" s="8" t="s">
        <v>2660</v>
      </c>
      <c r="H36" s="8">
        <v>0.0</v>
      </c>
      <c r="I36" s="8" t="s">
        <v>66</v>
      </c>
      <c r="J36" s="8" t="s">
        <v>22</v>
      </c>
      <c r="K36" s="8" t="s">
        <v>892</v>
      </c>
      <c r="L36" s="8" t="s">
        <v>24</v>
      </c>
      <c r="M36" s="9">
        <v>0.0</v>
      </c>
      <c r="N36" s="9">
        <v>0.5</v>
      </c>
      <c r="O36" s="9">
        <v>0.5</v>
      </c>
      <c r="P36" s="10">
        <v>45304.0</v>
      </c>
      <c r="Q36" s="11">
        <v>1.75</v>
      </c>
      <c r="R36" s="8" t="s">
        <v>25</v>
      </c>
      <c r="S36" s="12">
        <f t="shared" si="1"/>
        <v>-0.5</v>
      </c>
      <c r="T36" s="12">
        <f t="shared" si="4"/>
        <v>5.3282</v>
      </c>
      <c r="V36" s="30"/>
    </row>
    <row r="37">
      <c r="A37" s="15">
        <f t="shared" si="3"/>
        <v>36</v>
      </c>
      <c r="B37" s="15"/>
      <c r="C37" s="15" t="s">
        <v>19</v>
      </c>
      <c r="D37" s="15">
        <v>77.0</v>
      </c>
      <c r="E37" s="15" t="s">
        <v>4200</v>
      </c>
      <c r="F37" s="15" t="s">
        <v>5565</v>
      </c>
      <c r="G37" s="15" t="s">
        <v>2660</v>
      </c>
      <c r="H37" s="15">
        <v>2</v>
      </c>
      <c r="I37" s="15" t="s">
        <v>28</v>
      </c>
      <c r="J37" s="15" t="s">
        <v>22</v>
      </c>
      <c r="K37" s="15" t="s">
        <v>892</v>
      </c>
      <c r="L37" s="15" t="s">
        <v>24</v>
      </c>
      <c r="M37" s="16">
        <v>0.0</v>
      </c>
      <c r="N37" s="16">
        <v>0.5</v>
      </c>
      <c r="O37" s="16">
        <v>0.5</v>
      </c>
      <c r="P37" s="17">
        <v>45304.0</v>
      </c>
      <c r="Q37" s="18">
        <v>2.05</v>
      </c>
      <c r="R37" s="15" t="s">
        <v>70</v>
      </c>
      <c r="S37" s="19">
        <f t="shared" si="1"/>
        <v>0</v>
      </c>
      <c r="T37" s="19">
        <f t="shared" si="4"/>
        <v>5.3282</v>
      </c>
      <c r="V37" s="30"/>
    </row>
    <row r="38">
      <c r="A38" s="8">
        <f t="shared" si="3"/>
        <v>37</v>
      </c>
      <c r="B38" s="8"/>
      <c r="C38" s="8" t="s">
        <v>40</v>
      </c>
      <c r="D38" s="8">
        <v>28.0</v>
      </c>
      <c r="E38" s="8" t="s">
        <v>4202</v>
      </c>
      <c r="F38" s="8" t="s">
        <v>5564</v>
      </c>
      <c r="G38" s="8" t="s">
        <v>2660</v>
      </c>
      <c r="H38" s="8">
        <v>0.0</v>
      </c>
      <c r="I38" s="8" t="s">
        <v>28</v>
      </c>
      <c r="J38" s="8" t="s">
        <v>22</v>
      </c>
      <c r="K38" s="8" t="s">
        <v>892</v>
      </c>
      <c r="L38" s="8" t="s">
        <v>24</v>
      </c>
      <c r="M38" s="9">
        <v>0.0</v>
      </c>
      <c r="N38" s="9">
        <v>0.6</v>
      </c>
      <c r="O38" s="9">
        <v>0.6</v>
      </c>
      <c r="P38" s="10">
        <v>45304.0</v>
      </c>
      <c r="Q38" s="11">
        <v>1.8</v>
      </c>
      <c r="R38" s="8" t="s">
        <v>70</v>
      </c>
      <c r="S38" s="12">
        <f t="shared" si="1"/>
        <v>0</v>
      </c>
      <c r="T38" s="12">
        <f t="shared" si="4"/>
        <v>5.3282</v>
      </c>
      <c r="V38" s="30"/>
    </row>
    <row r="39">
      <c r="A39" s="15">
        <f t="shared" si="3"/>
        <v>38</v>
      </c>
      <c r="B39" s="15"/>
      <c r="C39" s="15" t="s">
        <v>40</v>
      </c>
      <c r="D39" s="15">
        <v>81.0</v>
      </c>
      <c r="E39" s="15" t="s">
        <v>4203</v>
      </c>
      <c r="F39" s="15" t="s">
        <v>5564</v>
      </c>
      <c r="G39" s="15" t="s">
        <v>2660</v>
      </c>
      <c r="H39" s="15">
        <v>0.0</v>
      </c>
      <c r="I39" s="15" t="s">
        <v>28</v>
      </c>
      <c r="J39" s="15" t="s">
        <v>22</v>
      </c>
      <c r="K39" s="15" t="s">
        <v>1150</v>
      </c>
      <c r="L39" s="15" t="s">
        <v>24</v>
      </c>
      <c r="M39" s="16">
        <v>0.0</v>
      </c>
      <c r="N39" s="16">
        <v>0.2</v>
      </c>
      <c r="O39" s="16">
        <v>0.2</v>
      </c>
      <c r="P39" s="17">
        <v>45304.0</v>
      </c>
      <c r="Q39" s="18">
        <v>1.75</v>
      </c>
      <c r="R39" s="15" t="s">
        <v>70</v>
      </c>
      <c r="S39" s="19">
        <f t="shared" si="1"/>
        <v>0</v>
      </c>
      <c r="T39" s="19">
        <f t="shared" si="4"/>
        <v>5.3282</v>
      </c>
      <c r="V39" s="30"/>
    </row>
    <row r="40">
      <c r="A40" s="8">
        <f t="shared" si="3"/>
        <v>39</v>
      </c>
      <c r="B40" s="8"/>
      <c r="C40" s="8" t="s">
        <v>19</v>
      </c>
      <c r="D40" s="8">
        <v>32.0</v>
      </c>
      <c r="E40" s="8" t="s">
        <v>4204</v>
      </c>
      <c r="F40" s="8" t="s">
        <v>5564</v>
      </c>
      <c r="G40" s="8" t="s">
        <v>2556</v>
      </c>
      <c r="H40" s="8">
        <v>0.0</v>
      </c>
      <c r="I40" s="8" t="s">
        <v>88</v>
      </c>
      <c r="J40" s="8" t="s">
        <v>22</v>
      </c>
      <c r="K40" s="8" t="s">
        <v>941</v>
      </c>
      <c r="L40" s="8" t="s">
        <v>24</v>
      </c>
      <c r="M40" s="9">
        <v>0.0</v>
      </c>
      <c r="N40" s="9">
        <v>1.0</v>
      </c>
      <c r="O40" s="9">
        <v>1.0</v>
      </c>
      <c r="P40" s="10">
        <v>45304.0</v>
      </c>
      <c r="Q40" s="11">
        <v>2.0</v>
      </c>
      <c r="R40" s="8" t="s">
        <v>70</v>
      </c>
      <c r="S40" s="12">
        <f t="shared" si="1"/>
        <v>0</v>
      </c>
      <c r="T40" s="12">
        <f t="shared" si="4"/>
        <v>5.3282</v>
      </c>
      <c r="V40" s="30"/>
    </row>
    <row r="41">
      <c r="A41" s="15">
        <f t="shared" si="3"/>
        <v>40</v>
      </c>
      <c r="B41" s="15"/>
      <c r="C41" s="15" t="s">
        <v>19</v>
      </c>
      <c r="D41" s="15">
        <v>75.0</v>
      </c>
      <c r="E41" s="15" t="s">
        <v>4205</v>
      </c>
      <c r="F41" s="15" t="s">
        <v>5565</v>
      </c>
      <c r="G41" s="15" t="s">
        <v>2660</v>
      </c>
      <c r="H41" s="15">
        <f>1</f>
        <v>1</v>
      </c>
      <c r="I41" s="15" t="s">
        <v>66</v>
      </c>
      <c r="J41" s="15" t="s">
        <v>22</v>
      </c>
      <c r="K41" s="15" t="s">
        <v>892</v>
      </c>
      <c r="L41" s="15" t="s">
        <v>39</v>
      </c>
      <c r="M41" s="16">
        <v>0.0</v>
      </c>
      <c r="N41" s="16">
        <v>0.5</v>
      </c>
      <c r="O41" s="16">
        <v>0.5</v>
      </c>
      <c r="P41" s="17">
        <v>45304.0</v>
      </c>
      <c r="Q41" s="18">
        <v>2.025</v>
      </c>
      <c r="R41" s="15" t="s">
        <v>33</v>
      </c>
      <c r="S41" s="19">
        <f t="shared" si="1"/>
        <v>0.5125</v>
      </c>
      <c r="T41" s="19">
        <f t="shared" si="4"/>
        <v>5.8407</v>
      </c>
      <c r="V41" s="30"/>
    </row>
    <row r="42">
      <c r="A42" s="8">
        <f t="shared" si="3"/>
        <v>41</v>
      </c>
      <c r="B42" s="8"/>
      <c r="C42" s="8" t="s">
        <v>40</v>
      </c>
      <c r="D42" s="8">
        <v>30.0</v>
      </c>
      <c r="E42" s="8" t="s">
        <v>4206</v>
      </c>
      <c r="F42" s="8" t="s">
        <v>5564</v>
      </c>
      <c r="G42" s="8" t="s">
        <v>2556</v>
      </c>
      <c r="H42" s="8">
        <v>0.0</v>
      </c>
      <c r="I42" s="8" t="s">
        <v>38</v>
      </c>
      <c r="J42" s="8" t="s">
        <v>22</v>
      </c>
      <c r="K42" s="8" t="s">
        <v>225</v>
      </c>
      <c r="L42" s="8" t="s">
        <v>39</v>
      </c>
      <c r="M42" s="9">
        <v>0.75</v>
      </c>
      <c r="N42" s="9">
        <v>0.5</v>
      </c>
      <c r="O42" s="9">
        <v>0.5</v>
      </c>
      <c r="P42" s="10">
        <v>45304.0</v>
      </c>
      <c r="Q42" s="11">
        <v>1.85</v>
      </c>
      <c r="R42" s="8" t="s">
        <v>33</v>
      </c>
      <c r="S42" s="12">
        <f t="shared" si="1"/>
        <v>0.425</v>
      </c>
      <c r="T42" s="12">
        <f t="shared" si="4"/>
        <v>6.2657</v>
      </c>
      <c r="V42" s="30"/>
    </row>
    <row r="43">
      <c r="A43" s="15">
        <f t="shared" si="3"/>
        <v>42</v>
      </c>
      <c r="B43" s="15"/>
      <c r="C43" s="15" t="s">
        <v>40</v>
      </c>
      <c r="D43" s="15">
        <v>30.0</v>
      </c>
      <c r="E43" s="15" t="s">
        <v>4207</v>
      </c>
      <c r="F43" s="15" t="s">
        <v>5564</v>
      </c>
      <c r="G43" s="15" t="s">
        <v>2556</v>
      </c>
      <c r="H43" s="15">
        <v>0.0</v>
      </c>
      <c r="I43" s="15" t="s">
        <v>38</v>
      </c>
      <c r="J43" s="15" t="s">
        <v>22</v>
      </c>
      <c r="K43" s="15" t="s">
        <v>1165</v>
      </c>
      <c r="L43" s="15" t="s">
        <v>39</v>
      </c>
      <c r="M43" s="16"/>
      <c r="N43" s="16">
        <v>0.1</v>
      </c>
      <c r="O43" s="16">
        <v>0.1</v>
      </c>
      <c r="P43" s="17">
        <v>45304.0</v>
      </c>
      <c r="Q43" s="18">
        <v>3.1</v>
      </c>
      <c r="R43" s="15" t="s">
        <v>33</v>
      </c>
      <c r="S43" s="19">
        <f t="shared" si="1"/>
        <v>0.21</v>
      </c>
      <c r="T43" s="19">
        <f t="shared" si="4"/>
        <v>6.4757</v>
      </c>
      <c r="V43" s="30"/>
    </row>
    <row r="44">
      <c r="A44" s="8">
        <f t="shared" si="3"/>
        <v>43</v>
      </c>
      <c r="B44" s="8"/>
      <c r="C44" s="8" t="s">
        <v>19</v>
      </c>
      <c r="D44" s="8">
        <v>30.0</v>
      </c>
      <c r="E44" s="8" t="s">
        <v>4208</v>
      </c>
      <c r="F44" s="8" t="s">
        <v>5564</v>
      </c>
      <c r="G44" s="8" t="s">
        <v>2556</v>
      </c>
      <c r="H44" s="8">
        <f>1</f>
        <v>1</v>
      </c>
      <c r="I44" s="8" t="s">
        <v>121</v>
      </c>
      <c r="J44" s="8" t="s">
        <v>22</v>
      </c>
      <c r="K44" s="8" t="s">
        <v>225</v>
      </c>
      <c r="L44" s="8" t="s">
        <v>24</v>
      </c>
      <c r="M44" s="9">
        <v>0.5</v>
      </c>
      <c r="N44" s="9">
        <v>0.4</v>
      </c>
      <c r="O44" s="9">
        <v>0.4</v>
      </c>
      <c r="P44" s="10">
        <v>45304.0</v>
      </c>
      <c r="Q44" s="11">
        <v>1.19</v>
      </c>
      <c r="R44" s="8" t="s">
        <v>33</v>
      </c>
      <c r="S44" s="12">
        <f t="shared" si="1"/>
        <v>0.076</v>
      </c>
      <c r="T44" s="12">
        <f t="shared" si="4"/>
        <v>6.5517</v>
      </c>
    </row>
    <row r="45">
      <c r="A45" s="15">
        <f t="shared" si="3"/>
        <v>44</v>
      </c>
      <c r="B45" s="15"/>
      <c r="C45" s="15" t="s">
        <v>19</v>
      </c>
      <c r="D45" s="15">
        <v>15.0</v>
      </c>
      <c r="E45" s="15" t="s">
        <v>4209</v>
      </c>
      <c r="F45" s="15" t="s">
        <v>5565</v>
      </c>
      <c r="G45" s="15" t="s">
        <v>2556</v>
      </c>
      <c r="H45" s="15">
        <v>0.0</v>
      </c>
      <c r="I45" s="15" t="s">
        <v>50</v>
      </c>
      <c r="J45" s="15" t="s">
        <v>22</v>
      </c>
      <c r="K45" s="15" t="s">
        <v>225</v>
      </c>
      <c r="L45" s="15" t="s">
        <v>1522</v>
      </c>
      <c r="M45" s="16">
        <v>0.5</v>
      </c>
      <c r="N45" s="16">
        <v>1.0</v>
      </c>
      <c r="O45" s="16">
        <v>1.0</v>
      </c>
      <c r="P45" s="17">
        <v>45304.0</v>
      </c>
      <c r="Q45" s="18">
        <v>1.48</v>
      </c>
      <c r="R45" s="15" t="s">
        <v>33</v>
      </c>
      <c r="S45" s="19">
        <f t="shared" si="1"/>
        <v>0.48</v>
      </c>
      <c r="T45" s="19">
        <f t="shared" si="4"/>
        <v>7.0317</v>
      </c>
    </row>
    <row r="46">
      <c r="A46" s="8">
        <f t="shared" si="3"/>
        <v>45</v>
      </c>
      <c r="B46" s="8"/>
      <c r="C46" s="8" t="s">
        <v>19</v>
      </c>
      <c r="D46" s="8">
        <v>66.0</v>
      </c>
      <c r="E46" s="8" t="s">
        <v>4210</v>
      </c>
      <c r="F46" s="8" t="s">
        <v>5565</v>
      </c>
      <c r="G46" s="8" t="s">
        <v>2660</v>
      </c>
      <c r="H46" s="8">
        <v>-1.0</v>
      </c>
      <c r="I46" s="8" t="s">
        <v>169</v>
      </c>
      <c r="J46" s="8" t="s">
        <v>22</v>
      </c>
      <c r="K46" s="8" t="s">
        <v>892</v>
      </c>
      <c r="L46" s="8" t="s">
        <v>24</v>
      </c>
      <c r="M46" s="9">
        <v>0.0</v>
      </c>
      <c r="N46" s="9">
        <v>0.6</v>
      </c>
      <c r="O46" s="9">
        <v>0.6</v>
      </c>
      <c r="P46" s="10">
        <v>45304.0</v>
      </c>
      <c r="Q46" s="11">
        <v>1.975</v>
      </c>
      <c r="R46" s="8" t="s">
        <v>70</v>
      </c>
      <c r="S46" s="12">
        <f t="shared" si="1"/>
        <v>0</v>
      </c>
      <c r="T46" s="12">
        <f t="shared" si="4"/>
        <v>7.0317</v>
      </c>
    </row>
    <row r="47">
      <c r="A47" s="15">
        <f t="shared" si="3"/>
        <v>46</v>
      </c>
      <c r="B47" s="15"/>
      <c r="C47" s="15" t="s">
        <v>19</v>
      </c>
      <c r="D47" s="15">
        <v>81.0</v>
      </c>
      <c r="E47" s="15" t="s">
        <v>4211</v>
      </c>
      <c r="F47" s="15" t="s">
        <v>5564</v>
      </c>
      <c r="G47" s="15" t="s">
        <v>2660</v>
      </c>
      <c r="H47" s="15">
        <v>-2.0</v>
      </c>
      <c r="I47" s="15" t="s">
        <v>2456</v>
      </c>
      <c r="J47" s="15" t="s">
        <v>22</v>
      </c>
      <c r="K47" s="15" t="s">
        <v>892</v>
      </c>
      <c r="L47" s="15" t="s">
        <v>1522</v>
      </c>
      <c r="M47" s="16">
        <v>0.0</v>
      </c>
      <c r="N47" s="16">
        <v>0.5</v>
      </c>
      <c r="O47" s="16">
        <v>0.5</v>
      </c>
      <c r="P47" s="17">
        <v>45304.0</v>
      </c>
      <c r="Q47" s="18">
        <v>2.42</v>
      </c>
      <c r="R47" s="15" t="s">
        <v>70</v>
      </c>
      <c r="S47" s="19">
        <f t="shared" si="1"/>
        <v>0</v>
      </c>
      <c r="T47" s="19">
        <f t="shared" si="4"/>
        <v>7.0317</v>
      </c>
    </row>
    <row r="48">
      <c r="A48" s="8">
        <f t="shared" si="3"/>
        <v>47</v>
      </c>
      <c r="B48" s="8"/>
      <c r="C48" s="8" t="s">
        <v>19</v>
      </c>
      <c r="D48" s="8">
        <v>25.0</v>
      </c>
      <c r="E48" s="8" t="s">
        <v>4212</v>
      </c>
      <c r="F48" s="8" t="s">
        <v>5564</v>
      </c>
      <c r="G48" s="8" t="s">
        <v>2660</v>
      </c>
      <c r="H48" s="8">
        <v>0.0</v>
      </c>
      <c r="I48" s="8" t="s">
        <v>248</v>
      </c>
      <c r="J48" s="8" t="s">
        <v>22</v>
      </c>
      <c r="K48" s="8" t="s">
        <v>892</v>
      </c>
      <c r="L48" s="8" t="s">
        <v>24</v>
      </c>
      <c r="M48" s="9">
        <v>0.0</v>
      </c>
      <c r="N48" s="9">
        <v>1.0</v>
      </c>
      <c r="O48" s="9">
        <v>1.0</v>
      </c>
      <c r="P48" s="10">
        <v>45304.0</v>
      </c>
      <c r="Q48" s="11">
        <v>1.85</v>
      </c>
      <c r="R48" s="8" t="s">
        <v>33</v>
      </c>
      <c r="S48" s="12">
        <f t="shared" si="1"/>
        <v>0.85</v>
      </c>
      <c r="T48" s="12">
        <f t="shared" si="4"/>
        <v>7.8817</v>
      </c>
    </row>
    <row r="49">
      <c r="A49" s="15">
        <f t="shared" si="3"/>
        <v>48</v>
      </c>
      <c r="B49" s="15"/>
      <c r="C49" s="15" t="s">
        <v>19</v>
      </c>
      <c r="D49" s="15">
        <v>12.0</v>
      </c>
      <c r="E49" s="15" t="s">
        <v>4213</v>
      </c>
      <c r="F49" s="15" t="s">
        <v>5564</v>
      </c>
      <c r="G49" s="15" t="s">
        <v>2660</v>
      </c>
      <c r="H49" s="15">
        <v>0.0</v>
      </c>
      <c r="I49" s="15" t="s">
        <v>167</v>
      </c>
      <c r="J49" s="15" t="s">
        <v>22</v>
      </c>
      <c r="K49" s="15" t="s">
        <v>1150</v>
      </c>
      <c r="L49" s="15" t="s">
        <v>24</v>
      </c>
      <c r="M49" s="16">
        <v>0.0</v>
      </c>
      <c r="N49" s="16">
        <v>0.5</v>
      </c>
      <c r="O49" s="16">
        <v>0.5</v>
      </c>
      <c r="P49" s="17">
        <v>45304.0</v>
      </c>
      <c r="Q49" s="18">
        <v>2.0</v>
      </c>
      <c r="R49" s="15" t="s">
        <v>70</v>
      </c>
      <c r="S49" s="19">
        <f t="shared" si="1"/>
        <v>0</v>
      </c>
      <c r="T49" s="19">
        <f t="shared" si="4"/>
        <v>7.8817</v>
      </c>
    </row>
    <row r="50">
      <c r="A50" s="8">
        <f t="shared" si="3"/>
        <v>49</v>
      </c>
      <c r="B50" s="8"/>
      <c r="C50" s="8" t="s">
        <v>19</v>
      </c>
      <c r="D50" s="8">
        <v>60.0</v>
      </c>
      <c r="E50" s="8" t="s">
        <v>4214</v>
      </c>
      <c r="F50" s="8" t="s">
        <v>5565</v>
      </c>
      <c r="G50" s="8" t="s">
        <v>2573</v>
      </c>
      <c r="H50" s="8">
        <v>0.0</v>
      </c>
      <c r="I50" s="8" t="s">
        <v>448</v>
      </c>
      <c r="J50" s="8" t="s">
        <v>22</v>
      </c>
      <c r="K50" s="8" t="s">
        <v>894</v>
      </c>
      <c r="L50" s="8" t="s">
        <v>24</v>
      </c>
      <c r="M50" s="9">
        <v>-0.25</v>
      </c>
      <c r="N50" s="9">
        <v>0.1</v>
      </c>
      <c r="O50" s="9">
        <v>0.1</v>
      </c>
      <c r="P50" s="10">
        <v>45305.0</v>
      </c>
      <c r="Q50" s="11">
        <v>2.02</v>
      </c>
      <c r="R50" s="8" t="s">
        <v>79</v>
      </c>
      <c r="S50" s="12">
        <f t="shared" si="1"/>
        <v>-0.05</v>
      </c>
      <c r="T50" s="12">
        <f t="shared" si="4"/>
        <v>7.8317</v>
      </c>
      <c r="U50" s="40"/>
      <c r="V50" s="41" t="s">
        <v>125</v>
      </c>
      <c r="W50" s="41" t="s">
        <v>126</v>
      </c>
      <c r="X50" s="41" t="s">
        <v>45</v>
      </c>
    </row>
    <row r="51">
      <c r="A51" s="15">
        <f t="shared" si="3"/>
        <v>50</v>
      </c>
      <c r="B51" s="15"/>
      <c r="C51" s="15" t="s">
        <v>40</v>
      </c>
      <c r="D51" s="15">
        <v>15.0</v>
      </c>
      <c r="E51" s="15" t="s">
        <v>4215</v>
      </c>
      <c r="F51" s="15" t="s">
        <v>5565</v>
      </c>
      <c r="G51" s="15" t="s">
        <v>2660</v>
      </c>
      <c r="H51" s="15">
        <v>0.0</v>
      </c>
      <c r="I51" s="15" t="s">
        <v>93</v>
      </c>
      <c r="J51" s="15" t="s">
        <v>22</v>
      </c>
      <c r="K51" s="15" t="s">
        <v>892</v>
      </c>
      <c r="L51" s="15" t="s">
        <v>39</v>
      </c>
      <c r="M51" s="16">
        <v>0.0</v>
      </c>
      <c r="N51" s="16">
        <v>0.5</v>
      </c>
      <c r="O51" s="16">
        <v>0.5</v>
      </c>
      <c r="P51" s="17">
        <v>45305.0</v>
      </c>
      <c r="Q51" s="18">
        <v>1.8</v>
      </c>
      <c r="R51" s="15" t="s">
        <v>70</v>
      </c>
      <c r="S51" s="19">
        <f t="shared" si="1"/>
        <v>0</v>
      </c>
      <c r="T51" s="19">
        <f t="shared" si="4"/>
        <v>7.8317</v>
      </c>
      <c r="U51" s="41" t="s">
        <v>129</v>
      </c>
      <c r="V51" s="45">
        <f t="shared" ref="V51:V56" si="6">SUMIF($B$2:$B$2980,U51,$S$2:$S$2980)</f>
        <v>1.3703</v>
      </c>
      <c r="W51" s="45">
        <f t="shared" ref="W51:W56" si="7">SUMIF($B$2:$B$2980,U51,$O$2:$O$2980)</f>
        <v>13.35</v>
      </c>
      <c r="X51" s="46">
        <f t="shared" ref="X51:X56" si="8">V51/W51</f>
        <v>0.1026441948</v>
      </c>
    </row>
    <row r="52">
      <c r="A52" s="8">
        <f t="shared" si="3"/>
        <v>51</v>
      </c>
      <c r="B52" s="8"/>
      <c r="C52" s="8" t="s">
        <v>40</v>
      </c>
      <c r="D52" s="8">
        <v>60.0</v>
      </c>
      <c r="E52" s="8" t="s">
        <v>4216</v>
      </c>
      <c r="F52" s="8" t="s">
        <v>5564</v>
      </c>
      <c r="G52" s="8" t="s">
        <v>2660</v>
      </c>
      <c r="H52" s="8">
        <v>0.0</v>
      </c>
      <c r="I52" s="8" t="s">
        <v>93</v>
      </c>
      <c r="J52" s="8" t="s">
        <v>22</v>
      </c>
      <c r="K52" s="8" t="s">
        <v>892</v>
      </c>
      <c r="L52" s="8" t="s">
        <v>39</v>
      </c>
      <c r="M52" s="9">
        <v>0.0</v>
      </c>
      <c r="N52" s="9">
        <v>0.5</v>
      </c>
      <c r="O52" s="9">
        <v>0.5</v>
      </c>
      <c r="P52" s="10">
        <v>45305.0</v>
      </c>
      <c r="Q52" s="11">
        <v>2.075</v>
      </c>
      <c r="R52" s="8" t="s">
        <v>33</v>
      </c>
      <c r="S52" s="12">
        <f t="shared" si="1"/>
        <v>0.5375</v>
      </c>
      <c r="T52" s="12">
        <f t="shared" si="4"/>
        <v>8.3692</v>
      </c>
      <c r="U52" s="41" t="s">
        <v>26</v>
      </c>
      <c r="V52" s="45">
        <f t="shared" si="6"/>
        <v>0.069898</v>
      </c>
      <c r="W52" s="45">
        <f t="shared" si="7"/>
        <v>21.7544</v>
      </c>
      <c r="X52" s="46">
        <f t="shared" si="8"/>
        <v>0.003213051153</v>
      </c>
    </row>
    <row r="53">
      <c r="A53" s="15">
        <f t="shared" si="3"/>
        <v>52</v>
      </c>
      <c r="B53" s="15"/>
      <c r="C53" s="15" t="s">
        <v>19</v>
      </c>
      <c r="D53" s="15">
        <v>35.0</v>
      </c>
      <c r="E53" s="15" t="s">
        <v>4217</v>
      </c>
      <c r="F53" s="15" t="s">
        <v>5565</v>
      </c>
      <c r="G53" s="15" t="s">
        <v>2660</v>
      </c>
      <c r="H53" s="15">
        <v>0.0</v>
      </c>
      <c r="I53" s="15" t="s">
        <v>48</v>
      </c>
      <c r="J53" s="15" t="s">
        <v>22</v>
      </c>
      <c r="K53" s="15" t="s">
        <v>892</v>
      </c>
      <c r="L53" s="15" t="s">
        <v>24</v>
      </c>
      <c r="M53" s="16">
        <v>0.0</v>
      </c>
      <c r="N53" s="16">
        <v>1.0</v>
      </c>
      <c r="O53" s="16">
        <v>1.0</v>
      </c>
      <c r="P53" s="17">
        <v>45305.0</v>
      </c>
      <c r="Q53" s="18">
        <v>1.75</v>
      </c>
      <c r="R53" s="15" t="s">
        <v>70</v>
      </c>
      <c r="S53" s="19">
        <f t="shared" si="1"/>
        <v>0</v>
      </c>
      <c r="T53" s="19">
        <f t="shared" si="4"/>
        <v>8.3692</v>
      </c>
      <c r="U53" s="41" t="s">
        <v>4225</v>
      </c>
      <c r="V53" s="45">
        <f t="shared" si="6"/>
        <v>0.875235</v>
      </c>
      <c r="W53" s="45">
        <f t="shared" si="7"/>
        <v>6.005</v>
      </c>
      <c r="X53" s="46">
        <f t="shared" si="8"/>
        <v>0.1457510408</v>
      </c>
    </row>
    <row r="54">
      <c r="A54" s="8">
        <f t="shared" si="3"/>
        <v>53</v>
      </c>
      <c r="B54" s="8"/>
      <c r="C54" s="8" t="s">
        <v>19</v>
      </c>
      <c r="D54" s="8">
        <v>75.0</v>
      </c>
      <c r="E54" s="8" t="s">
        <v>4218</v>
      </c>
      <c r="F54" s="8" t="s">
        <v>5565</v>
      </c>
      <c r="G54" s="8" t="s">
        <v>2556</v>
      </c>
      <c r="H54" s="8">
        <v>0.0</v>
      </c>
      <c r="I54" s="8" t="s">
        <v>525</v>
      </c>
      <c r="J54" s="8" t="s">
        <v>22</v>
      </c>
      <c r="K54" s="8" t="s">
        <v>941</v>
      </c>
      <c r="L54" s="8" t="s">
        <v>24</v>
      </c>
      <c r="M54" s="9">
        <v>0.0</v>
      </c>
      <c r="N54" s="9">
        <v>0.75</v>
      </c>
      <c r="O54" s="9">
        <v>0.75</v>
      </c>
      <c r="P54" s="10">
        <v>45305.0</v>
      </c>
      <c r="Q54" s="11">
        <v>2.0</v>
      </c>
      <c r="R54" s="8" t="s">
        <v>25</v>
      </c>
      <c r="S54" s="12">
        <f t="shared" si="1"/>
        <v>-0.75</v>
      </c>
      <c r="T54" s="12">
        <f t="shared" si="4"/>
        <v>7.6192</v>
      </c>
      <c r="U54" s="41" t="s">
        <v>137</v>
      </c>
      <c r="V54" s="45">
        <f t="shared" si="6"/>
        <v>-1.61614</v>
      </c>
      <c r="W54" s="45">
        <f t="shared" si="7"/>
        <v>7.38</v>
      </c>
      <c r="X54" s="46">
        <f t="shared" si="8"/>
        <v>-0.2189891599</v>
      </c>
    </row>
    <row r="55">
      <c r="A55" s="15">
        <f t="shared" si="3"/>
        <v>54</v>
      </c>
      <c r="B55" s="15"/>
      <c r="C55" s="15" t="s">
        <v>19</v>
      </c>
      <c r="D55" s="15">
        <v>60.0</v>
      </c>
      <c r="E55" s="15" t="s">
        <v>4219</v>
      </c>
      <c r="F55" s="15" t="s">
        <v>5565</v>
      </c>
      <c r="G55" s="15" t="s">
        <v>2660</v>
      </c>
      <c r="H55" s="15">
        <v>0.0</v>
      </c>
      <c r="I55" s="15" t="s">
        <v>48</v>
      </c>
      <c r="J55" s="15" t="s">
        <v>22</v>
      </c>
      <c r="K55" s="15" t="s">
        <v>892</v>
      </c>
      <c r="L55" s="15" t="s">
        <v>24</v>
      </c>
      <c r="M55" s="16">
        <v>0.0</v>
      </c>
      <c r="N55" s="16">
        <v>1.0</v>
      </c>
      <c r="O55" s="16">
        <v>1.0</v>
      </c>
      <c r="P55" s="55">
        <v>45305.0</v>
      </c>
      <c r="Q55" s="18">
        <v>1.725</v>
      </c>
      <c r="R55" s="15" t="s">
        <v>25</v>
      </c>
      <c r="S55" s="19">
        <f t="shared" si="1"/>
        <v>-1</v>
      </c>
      <c r="T55" s="19">
        <f t="shared" si="4"/>
        <v>6.6192</v>
      </c>
      <c r="U55" s="41" t="s">
        <v>18</v>
      </c>
      <c r="V55" s="45">
        <f t="shared" si="6"/>
        <v>-0.0865</v>
      </c>
      <c r="W55" s="45">
        <f t="shared" si="7"/>
        <v>3.58</v>
      </c>
      <c r="X55" s="46">
        <f t="shared" si="8"/>
        <v>-0.02416201117</v>
      </c>
    </row>
    <row r="56">
      <c r="A56" s="8">
        <f t="shared" si="3"/>
        <v>55</v>
      </c>
      <c r="B56" s="8"/>
      <c r="C56" s="8" t="s">
        <v>40</v>
      </c>
      <c r="D56" s="8">
        <v>60.0</v>
      </c>
      <c r="E56" s="8" t="s">
        <v>4220</v>
      </c>
      <c r="F56" s="8" t="s">
        <v>5564</v>
      </c>
      <c r="G56" s="8" t="s">
        <v>2660</v>
      </c>
      <c r="H56" s="8">
        <v>-1.0</v>
      </c>
      <c r="I56" s="8" t="s">
        <v>873</v>
      </c>
      <c r="J56" s="8" t="s">
        <v>22</v>
      </c>
      <c r="K56" s="8" t="s">
        <v>892</v>
      </c>
      <c r="L56" s="8" t="s">
        <v>24</v>
      </c>
      <c r="M56" s="9">
        <v>0.0</v>
      </c>
      <c r="N56" s="9">
        <v>0.8</v>
      </c>
      <c r="O56" s="9">
        <v>0.8</v>
      </c>
      <c r="P56" s="10">
        <v>45305.0</v>
      </c>
      <c r="Q56" s="11">
        <v>2.25</v>
      </c>
      <c r="R56" s="8" t="s">
        <v>70</v>
      </c>
      <c r="S56" s="12">
        <f t="shared" si="1"/>
        <v>0</v>
      </c>
      <c r="T56" s="12">
        <f t="shared" si="4"/>
        <v>6.6192</v>
      </c>
      <c r="U56" s="41" t="s">
        <v>131</v>
      </c>
      <c r="V56" s="45">
        <f t="shared" si="6"/>
        <v>1.34153</v>
      </c>
      <c r="W56" s="45">
        <f t="shared" si="7"/>
        <v>1.99</v>
      </c>
      <c r="X56" s="46">
        <f t="shared" si="8"/>
        <v>0.6741356784</v>
      </c>
    </row>
    <row r="57">
      <c r="A57" s="15">
        <f t="shared" si="3"/>
        <v>56</v>
      </c>
      <c r="B57" s="15"/>
      <c r="C57" s="15" t="s">
        <v>40</v>
      </c>
      <c r="D57" s="15">
        <v>25.0</v>
      </c>
      <c r="E57" s="15" t="s">
        <v>4221</v>
      </c>
      <c r="F57" s="15" t="s">
        <v>5564</v>
      </c>
      <c r="G57" s="15" t="s">
        <v>2660</v>
      </c>
      <c r="H57" s="15">
        <v>0.0</v>
      </c>
      <c r="I57" s="15" t="s">
        <v>38</v>
      </c>
      <c r="J57" s="15" t="s">
        <v>22</v>
      </c>
      <c r="K57" s="15" t="s">
        <v>1150</v>
      </c>
      <c r="L57" s="15" t="s">
        <v>39</v>
      </c>
      <c r="M57" s="16">
        <v>0.0</v>
      </c>
      <c r="N57" s="16">
        <v>0.5</v>
      </c>
      <c r="O57" s="16">
        <v>0.5</v>
      </c>
      <c r="P57" s="17">
        <v>45305.0</v>
      </c>
      <c r="Q57" s="18">
        <v>1.85</v>
      </c>
      <c r="R57" s="15" t="s">
        <v>25</v>
      </c>
      <c r="S57" s="19">
        <f t="shared" si="1"/>
        <v>-0.5</v>
      </c>
      <c r="T57" s="19">
        <f t="shared" si="4"/>
        <v>6.1192</v>
      </c>
    </row>
    <row r="58">
      <c r="A58" s="8">
        <f t="shared" si="3"/>
        <v>57</v>
      </c>
      <c r="B58" s="8"/>
      <c r="C58" s="8" t="s">
        <v>40</v>
      </c>
      <c r="D58" s="8">
        <v>60.0</v>
      </c>
      <c r="E58" s="8" t="s">
        <v>4222</v>
      </c>
      <c r="F58" s="8" t="s">
        <v>5564</v>
      </c>
      <c r="G58" s="8" t="s">
        <v>2556</v>
      </c>
      <c r="H58" s="8">
        <v>-1.0</v>
      </c>
      <c r="I58" s="8" t="s">
        <v>93</v>
      </c>
      <c r="J58" s="8" t="s">
        <v>22</v>
      </c>
      <c r="K58" s="8" t="s">
        <v>225</v>
      </c>
      <c r="L58" s="8" t="s">
        <v>1522</v>
      </c>
      <c r="M58" s="9">
        <v>0.5</v>
      </c>
      <c r="N58" s="9">
        <v>0.5</v>
      </c>
      <c r="O58" s="9">
        <v>0.5</v>
      </c>
      <c r="P58" s="10">
        <v>45305.0</v>
      </c>
      <c r="Q58" s="11">
        <v>1.2588</v>
      </c>
      <c r="R58" s="8" t="s">
        <v>33</v>
      </c>
      <c r="S58" s="12">
        <f t="shared" si="1"/>
        <v>0.1294</v>
      </c>
      <c r="T58" s="12">
        <f t="shared" si="4"/>
        <v>6.2486</v>
      </c>
    </row>
    <row r="59">
      <c r="A59" s="15">
        <f t="shared" si="3"/>
        <v>58</v>
      </c>
      <c r="B59" s="15"/>
      <c r="C59" s="15" t="s">
        <v>19</v>
      </c>
      <c r="D59" s="15">
        <v>55.0</v>
      </c>
      <c r="E59" s="15" t="s">
        <v>4223</v>
      </c>
      <c r="F59" s="15" t="s">
        <v>5565</v>
      </c>
      <c r="G59" s="15" t="s">
        <v>2660</v>
      </c>
      <c r="H59" s="15">
        <v>-1.0</v>
      </c>
      <c r="I59" s="15" t="s">
        <v>248</v>
      </c>
      <c r="J59" s="15" t="s">
        <v>22</v>
      </c>
      <c r="K59" s="15" t="s">
        <v>892</v>
      </c>
      <c r="L59" s="15" t="s">
        <v>24</v>
      </c>
      <c r="M59" s="16">
        <v>0.0</v>
      </c>
      <c r="N59" s="16">
        <v>0.2</v>
      </c>
      <c r="O59" s="16">
        <v>0.2</v>
      </c>
      <c r="P59" s="17">
        <v>45305.0</v>
      </c>
      <c r="Q59" s="18">
        <v>2.02</v>
      </c>
      <c r="R59" s="15" t="s">
        <v>25</v>
      </c>
      <c r="S59" s="19">
        <f t="shared" si="1"/>
        <v>-0.2</v>
      </c>
      <c r="T59" s="19">
        <f t="shared" si="4"/>
        <v>6.0486</v>
      </c>
    </row>
    <row r="60">
      <c r="A60" s="8">
        <f t="shared" si="3"/>
        <v>59</v>
      </c>
      <c r="B60" s="8"/>
      <c r="C60" s="8" t="s">
        <v>19</v>
      </c>
      <c r="D60" s="8">
        <v>60.0</v>
      </c>
      <c r="E60" s="8" t="s">
        <v>4224</v>
      </c>
      <c r="F60" s="8" t="s">
        <v>5564</v>
      </c>
      <c r="G60" s="8" t="s">
        <v>2660</v>
      </c>
      <c r="H60" s="8">
        <v>-1.0</v>
      </c>
      <c r="I60" s="8" t="s">
        <v>248</v>
      </c>
      <c r="J60" s="8" t="s">
        <v>22</v>
      </c>
      <c r="K60" s="8" t="s">
        <v>892</v>
      </c>
      <c r="L60" s="8" t="s">
        <v>24</v>
      </c>
      <c r="M60" s="9">
        <v>0.0</v>
      </c>
      <c r="N60" s="9">
        <v>0.6</v>
      </c>
      <c r="O60" s="9">
        <v>0.6</v>
      </c>
      <c r="P60" s="10">
        <v>45305.0</v>
      </c>
      <c r="Q60" s="11">
        <v>2.47</v>
      </c>
      <c r="R60" s="8" t="s">
        <v>33</v>
      </c>
      <c r="S60" s="12">
        <f t="shared" si="1"/>
        <v>0.882</v>
      </c>
      <c r="T60" s="12">
        <f t="shared" si="4"/>
        <v>6.9306</v>
      </c>
    </row>
    <row r="61">
      <c r="A61" s="15">
        <f t="shared" si="3"/>
        <v>60</v>
      </c>
      <c r="B61" s="15" t="s">
        <v>4225</v>
      </c>
      <c r="C61" s="15" t="s">
        <v>19</v>
      </c>
      <c r="D61" s="15">
        <v>0.0</v>
      </c>
      <c r="E61" s="15" t="s">
        <v>4226</v>
      </c>
      <c r="F61" s="15" t="s">
        <v>5564</v>
      </c>
      <c r="G61" s="15" t="s">
        <v>2573</v>
      </c>
      <c r="H61" s="15">
        <v>0.0</v>
      </c>
      <c r="I61" s="15" t="s">
        <v>187</v>
      </c>
      <c r="J61" s="15" t="s">
        <v>22</v>
      </c>
      <c r="K61" s="15" t="s">
        <v>894</v>
      </c>
      <c r="L61" s="15" t="s">
        <v>2201</v>
      </c>
      <c r="M61" s="16">
        <v>-0.25</v>
      </c>
      <c r="N61" s="16">
        <v>0.1</v>
      </c>
      <c r="O61" s="16">
        <v>0.1</v>
      </c>
      <c r="P61" s="17">
        <v>45307.0</v>
      </c>
      <c r="Q61" s="18">
        <v>1.727</v>
      </c>
      <c r="R61" s="15" t="s">
        <v>33</v>
      </c>
      <c r="S61" s="19">
        <f t="shared" si="1"/>
        <v>0.0727</v>
      </c>
      <c r="T61" s="19">
        <f t="shared" si="4"/>
        <v>7.0033</v>
      </c>
    </row>
    <row r="62">
      <c r="A62" s="8">
        <f t="shared" si="3"/>
        <v>61</v>
      </c>
      <c r="B62" s="8" t="s">
        <v>26</v>
      </c>
      <c r="C62" s="8" t="s">
        <v>19</v>
      </c>
      <c r="D62" s="8">
        <v>27.0</v>
      </c>
      <c r="E62" s="8" t="s">
        <v>4227</v>
      </c>
      <c r="F62" s="8" t="s">
        <v>5564</v>
      </c>
      <c r="G62" s="8" t="s">
        <v>2556</v>
      </c>
      <c r="H62" s="8">
        <v>0.0</v>
      </c>
      <c r="I62" s="8" t="s">
        <v>248</v>
      </c>
      <c r="J62" s="8" t="s">
        <v>22</v>
      </c>
      <c r="K62" s="8" t="s">
        <v>225</v>
      </c>
      <c r="L62" s="8" t="s">
        <v>24</v>
      </c>
      <c r="M62" s="9">
        <v>0.25</v>
      </c>
      <c r="N62" s="9">
        <v>0.2</v>
      </c>
      <c r="O62" s="9">
        <v>0.2</v>
      </c>
      <c r="P62" s="10">
        <v>45307.0</v>
      </c>
      <c r="Q62" s="11">
        <v>1.21</v>
      </c>
      <c r="R62" s="8" t="s">
        <v>33</v>
      </c>
      <c r="S62" s="12">
        <f t="shared" si="1"/>
        <v>0.042</v>
      </c>
      <c r="T62" s="12">
        <f t="shared" si="4"/>
        <v>7.0453</v>
      </c>
    </row>
    <row r="63">
      <c r="A63" s="15">
        <f t="shared" si="3"/>
        <v>62</v>
      </c>
      <c r="B63" s="15" t="s">
        <v>26</v>
      </c>
      <c r="C63" s="15" t="s">
        <v>19</v>
      </c>
      <c r="D63" s="15">
        <v>28.0</v>
      </c>
      <c r="E63" s="15" t="s">
        <v>4228</v>
      </c>
      <c r="F63" s="15" t="s">
        <v>5564</v>
      </c>
      <c r="G63" s="15" t="s">
        <v>2556</v>
      </c>
      <c r="H63" s="15">
        <v>0.0</v>
      </c>
      <c r="I63" s="15" t="s">
        <v>248</v>
      </c>
      <c r="J63" s="15" t="s">
        <v>22</v>
      </c>
      <c r="K63" s="15" t="s">
        <v>941</v>
      </c>
      <c r="L63" s="15" t="s">
        <v>24</v>
      </c>
      <c r="M63" s="16">
        <v>0.0</v>
      </c>
      <c r="N63" s="16">
        <v>0.5</v>
      </c>
      <c r="O63" s="16">
        <v>0.5</v>
      </c>
      <c r="P63" s="17">
        <v>45307.0</v>
      </c>
      <c r="Q63" s="18">
        <v>2.38</v>
      </c>
      <c r="R63" s="15" t="s">
        <v>70</v>
      </c>
      <c r="S63" s="19">
        <f t="shared" si="1"/>
        <v>0</v>
      </c>
      <c r="T63" s="19">
        <f t="shared" si="4"/>
        <v>7.0453</v>
      </c>
    </row>
    <row r="64">
      <c r="A64" s="8">
        <f t="shared" si="3"/>
        <v>63</v>
      </c>
      <c r="B64" s="8" t="s">
        <v>26</v>
      </c>
      <c r="C64" s="8" t="s">
        <v>19</v>
      </c>
      <c r="D64" s="8">
        <v>30.0</v>
      </c>
      <c r="E64" s="8" t="s">
        <v>4229</v>
      </c>
      <c r="F64" s="8" t="s">
        <v>5564</v>
      </c>
      <c r="G64" s="8" t="s">
        <v>2660</v>
      </c>
      <c r="H64" s="8">
        <v>0.0</v>
      </c>
      <c r="I64" s="8" t="s">
        <v>248</v>
      </c>
      <c r="J64" s="8" t="s">
        <v>22</v>
      </c>
      <c r="K64" s="8" t="s">
        <v>892</v>
      </c>
      <c r="L64" s="8" t="s">
        <v>24</v>
      </c>
      <c r="M64" s="9">
        <v>0.0</v>
      </c>
      <c r="N64" s="9">
        <v>0.15</v>
      </c>
      <c r="O64" s="9">
        <v>0.15</v>
      </c>
      <c r="P64" s="10">
        <v>45307.0</v>
      </c>
      <c r="Q64" s="11">
        <v>2.3</v>
      </c>
      <c r="R64" s="8" t="s">
        <v>70</v>
      </c>
      <c r="S64" s="12">
        <f t="shared" si="1"/>
        <v>0</v>
      </c>
      <c r="T64" s="12">
        <f t="shared" si="4"/>
        <v>7.0453</v>
      </c>
    </row>
    <row r="65">
      <c r="A65" s="15">
        <f t="shared" si="3"/>
        <v>64</v>
      </c>
      <c r="B65" s="15" t="s">
        <v>26</v>
      </c>
      <c r="C65" s="15" t="s">
        <v>19</v>
      </c>
      <c r="D65" s="15">
        <v>60.0</v>
      </c>
      <c r="E65" s="15" t="s">
        <v>4230</v>
      </c>
      <c r="F65" s="15" t="s">
        <v>5565</v>
      </c>
      <c r="G65" s="15" t="s">
        <v>2660</v>
      </c>
      <c r="H65" s="15">
        <v>0.0</v>
      </c>
      <c r="I65" s="15" t="s">
        <v>248</v>
      </c>
      <c r="J65" s="15" t="s">
        <v>22</v>
      </c>
      <c r="K65" s="15" t="s">
        <v>892</v>
      </c>
      <c r="L65" s="15" t="s">
        <v>24</v>
      </c>
      <c r="M65" s="16">
        <v>0.0</v>
      </c>
      <c r="N65" s="16">
        <v>1.0</v>
      </c>
      <c r="O65" s="16">
        <v>1.0</v>
      </c>
      <c r="P65" s="17">
        <v>45307.0</v>
      </c>
      <c r="Q65" s="18">
        <v>1.9</v>
      </c>
      <c r="R65" s="15" t="s">
        <v>70</v>
      </c>
      <c r="S65" s="19">
        <f t="shared" si="1"/>
        <v>0</v>
      </c>
      <c r="T65" s="19">
        <f t="shared" si="4"/>
        <v>7.0453</v>
      </c>
    </row>
    <row r="66">
      <c r="A66" s="8">
        <f t="shared" si="3"/>
        <v>65</v>
      </c>
      <c r="B66" s="8" t="s">
        <v>26</v>
      </c>
      <c r="C66" s="8" t="s">
        <v>19</v>
      </c>
      <c r="D66" s="8">
        <v>25.0</v>
      </c>
      <c r="E66" s="8" t="s">
        <v>4231</v>
      </c>
      <c r="F66" s="8" t="s">
        <v>5565</v>
      </c>
      <c r="G66" s="8" t="s">
        <v>2573</v>
      </c>
      <c r="H66" s="8">
        <v>0.0</v>
      </c>
      <c r="I66" s="8" t="s">
        <v>794</v>
      </c>
      <c r="J66" s="8" t="s">
        <v>22</v>
      </c>
      <c r="K66" s="8" t="s">
        <v>894</v>
      </c>
      <c r="L66" s="8" t="s">
        <v>1522</v>
      </c>
      <c r="M66" s="9">
        <v>-0.5</v>
      </c>
      <c r="N66" s="9">
        <v>0.5</v>
      </c>
      <c r="O66" s="9">
        <v>0.5</v>
      </c>
      <c r="P66" s="10">
        <v>45308.0</v>
      </c>
      <c r="Q66" s="11">
        <v>2.0</v>
      </c>
      <c r="R66" s="8" t="s">
        <v>25</v>
      </c>
      <c r="S66" s="12">
        <f t="shared" si="1"/>
        <v>-0.5</v>
      </c>
      <c r="T66" s="12">
        <f t="shared" si="4"/>
        <v>6.5453</v>
      </c>
    </row>
    <row r="67">
      <c r="A67" s="15">
        <f t="shared" si="3"/>
        <v>66</v>
      </c>
      <c r="B67" s="15" t="s">
        <v>26</v>
      </c>
      <c r="C67" s="15" t="s">
        <v>19</v>
      </c>
      <c r="D67" s="15">
        <v>25.0</v>
      </c>
      <c r="E67" s="15" t="s">
        <v>4232</v>
      </c>
      <c r="F67" s="15" t="s">
        <v>5565</v>
      </c>
      <c r="G67" s="15" t="s">
        <v>2573</v>
      </c>
      <c r="H67" s="15">
        <v>0.0</v>
      </c>
      <c r="I67" s="15" t="s">
        <v>794</v>
      </c>
      <c r="J67" s="15" t="s">
        <v>22</v>
      </c>
      <c r="K67" s="15" t="s">
        <v>894</v>
      </c>
      <c r="L67" s="15" t="s">
        <v>1522</v>
      </c>
      <c r="M67" s="16">
        <v>-0.25</v>
      </c>
      <c r="N67" s="16">
        <v>0.25</v>
      </c>
      <c r="O67" s="16">
        <v>0.25</v>
      </c>
      <c r="P67" s="17">
        <v>45308.0</v>
      </c>
      <c r="Q67" s="18">
        <v>1.725</v>
      </c>
      <c r="R67" s="15" t="s">
        <v>79</v>
      </c>
      <c r="S67" s="19">
        <f t="shared" si="1"/>
        <v>-0.125</v>
      </c>
      <c r="T67" s="19">
        <f t="shared" si="4"/>
        <v>6.4203</v>
      </c>
    </row>
    <row r="68">
      <c r="A68" s="8">
        <f t="shared" si="3"/>
        <v>67</v>
      </c>
      <c r="B68" s="8" t="s">
        <v>137</v>
      </c>
      <c r="C68" s="8" t="s">
        <v>19</v>
      </c>
      <c r="D68" s="8">
        <v>20.0</v>
      </c>
      <c r="E68" s="8" t="s">
        <v>4233</v>
      </c>
      <c r="F68" s="8" t="s">
        <v>5564</v>
      </c>
      <c r="G68" s="8" t="s">
        <v>2660</v>
      </c>
      <c r="H68" s="8">
        <v>0.0</v>
      </c>
      <c r="I68" s="8" t="s">
        <v>28</v>
      </c>
      <c r="J68" s="8" t="s">
        <v>22</v>
      </c>
      <c r="K68" s="8" t="s">
        <v>1150</v>
      </c>
      <c r="L68" s="8" t="s">
        <v>24</v>
      </c>
      <c r="M68" s="9">
        <v>0.0</v>
      </c>
      <c r="N68" s="9">
        <v>1.0</v>
      </c>
      <c r="O68" s="9">
        <v>1.0</v>
      </c>
      <c r="P68" s="10">
        <v>45308.0</v>
      </c>
      <c r="Q68" s="11">
        <v>1.875</v>
      </c>
      <c r="R68" s="8" t="s">
        <v>70</v>
      </c>
      <c r="S68" s="12">
        <f t="shared" si="1"/>
        <v>0</v>
      </c>
      <c r="T68" s="12">
        <f t="shared" si="4"/>
        <v>6.4203</v>
      </c>
    </row>
    <row r="69">
      <c r="A69" s="15">
        <f t="shared" si="3"/>
        <v>68</v>
      </c>
      <c r="B69" s="15" t="s">
        <v>4225</v>
      </c>
      <c r="C69" s="15" t="s">
        <v>40</v>
      </c>
      <c r="D69" s="15">
        <v>60.0</v>
      </c>
      <c r="E69" s="15" t="s">
        <v>4234</v>
      </c>
      <c r="F69" s="15" t="s">
        <v>5564</v>
      </c>
      <c r="G69" s="15" t="s">
        <v>2556</v>
      </c>
      <c r="H69" s="15">
        <v>0.0</v>
      </c>
      <c r="I69" s="15" t="s">
        <v>1031</v>
      </c>
      <c r="J69" s="15" t="s">
        <v>22</v>
      </c>
      <c r="K69" s="15" t="s">
        <v>941</v>
      </c>
      <c r="L69" s="15" t="s">
        <v>24</v>
      </c>
      <c r="M69" s="16">
        <v>0.0</v>
      </c>
      <c r="N69" s="16">
        <v>0.6</v>
      </c>
      <c r="O69" s="16">
        <v>0.6</v>
      </c>
      <c r="P69" s="17">
        <v>45308.0</v>
      </c>
      <c r="Q69" s="18">
        <v>2.37</v>
      </c>
      <c r="R69" s="15" t="s">
        <v>25</v>
      </c>
      <c r="S69" s="19">
        <f t="shared" si="1"/>
        <v>-0.6</v>
      </c>
      <c r="T69" s="19">
        <f t="shared" si="4"/>
        <v>5.8203</v>
      </c>
    </row>
    <row r="70">
      <c r="A70" s="8">
        <f t="shared" si="3"/>
        <v>69</v>
      </c>
      <c r="B70" s="8" t="s">
        <v>26</v>
      </c>
      <c r="C70" s="8" t="s">
        <v>40</v>
      </c>
      <c r="D70" s="8">
        <v>76.0</v>
      </c>
      <c r="E70" s="8" t="s">
        <v>4235</v>
      </c>
      <c r="F70" s="8" t="s">
        <v>5565</v>
      </c>
      <c r="G70" s="8" t="s">
        <v>2556</v>
      </c>
      <c r="H70" s="8">
        <f>1</f>
        <v>1</v>
      </c>
      <c r="I70" s="8" t="s">
        <v>1031</v>
      </c>
      <c r="J70" s="8" t="s">
        <v>22</v>
      </c>
      <c r="K70" s="8" t="s">
        <v>225</v>
      </c>
      <c r="L70" s="8" t="s">
        <v>24</v>
      </c>
      <c r="M70" s="9">
        <v>0.5</v>
      </c>
      <c r="N70" s="9">
        <v>1.0</v>
      </c>
      <c r="O70" s="9">
        <v>1.0</v>
      </c>
      <c r="P70" s="10">
        <v>45308.0</v>
      </c>
      <c r="Q70" s="11">
        <v>1.725</v>
      </c>
      <c r="R70" s="8" t="s">
        <v>33</v>
      </c>
      <c r="S70" s="12">
        <f t="shared" si="1"/>
        <v>0.725</v>
      </c>
      <c r="T70" s="12">
        <f t="shared" si="4"/>
        <v>6.5453</v>
      </c>
    </row>
    <row r="71">
      <c r="A71" s="15">
        <f t="shared" si="3"/>
        <v>70</v>
      </c>
      <c r="B71" s="15" t="s">
        <v>26</v>
      </c>
      <c r="C71" s="15" t="s">
        <v>19</v>
      </c>
      <c r="D71" s="15">
        <v>82.0</v>
      </c>
      <c r="E71" s="15" t="s">
        <v>4236</v>
      </c>
      <c r="F71" s="15" t="s">
        <v>5565</v>
      </c>
      <c r="G71" s="15" t="s">
        <v>2660</v>
      </c>
      <c r="H71" s="15">
        <v>0.0</v>
      </c>
      <c r="I71" s="15" t="s">
        <v>106</v>
      </c>
      <c r="J71" s="15" t="s">
        <v>22</v>
      </c>
      <c r="K71" s="15" t="s">
        <v>892</v>
      </c>
      <c r="L71" s="15" t="s">
        <v>24</v>
      </c>
      <c r="M71" s="16">
        <v>0.0</v>
      </c>
      <c r="N71" s="16">
        <v>1.0</v>
      </c>
      <c r="O71" s="16">
        <v>0.88</v>
      </c>
      <c r="P71" s="17">
        <v>45308.0</v>
      </c>
      <c r="Q71" s="18">
        <v>1.75</v>
      </c>
      <c r="R71" s="15" t="s">
        <v>33</v>
      </c>
      <c r="S71" s="19">
        <f t="shared" si="1"/>
        <v>0.66</v>
      </c>
      <c r="T71" s="19">
        <f t="shared" si="4"/>
        <v>7.2053</v>
      </c>
    </row>
    <row r="72">
      <c r="A72" s="8">
        <f t="shared" si="3"/>
        <v>71</v>
      </c>
      <c r="B72" s="8" t="s">
        <v>18</v>
      </c>
      <c r="C72" s="8" t="s">
        <v>19</v>
      </c>
      <c r="D72" s="8">
        <v>65.0</v>
      </c>
      <c r="E72" s="8" t="s">
        <v>4237</v>
      </c>
      <c r="F72" s="8" t="s">
        <v>5564</v>
      </c>
      <c r="G72" s="8" t="s">
        <v>2660</v>
      </c>
      <c r="H72" s="8">
        <v>-1.0</v>
      </c>
      <c r="I72" s="8" t="s">
        <v>248</v>
      </c>
      <c r="J72" s="8" t="s">
        <v>22</v>
      </c>
      <c r="K72" s="8" t="s">
        <v>892</v>
      </c>
      <c r="L72" s="8" t="s">
        <v>24</v>
      </c>
      <c r="M72" s="9">
        <v>0.0</v>
      </c>
      <c r="N72" s="9">
        <v>0.8</v>
      </c>
      <c r="O72" s="9">
        <v>0.8</v>
      </c>
      <c r="P72" s="10">
        <v>45308.0</v>
      </c>
      <c r="Q72" s="11">
        <v>2.08</v>
      </c>
      <c r="R72" s="8" t="s">
        <v>70</v>
      </c>
      <c r="S72" s="12">
        <f t="shared" si="1"/>
        <v>0</v>
      </c>
      <c r="T72" s="12">
        <f t="shared" si="4"/>
        <v>7.2053</v>
      </c>
    </row>
    <row r="73">
      <c r="A73" s="15">
        <f t="shared" si="3"/>
        <v>72</v>
      </c>
      <c r="B73" s="15" t="s">
        <v>26</v>
      </c>
      <c r="C73" s="15" t="s">
        <v>19</v>
      </c>
      <c r="D73" s="15">
        <v>29.0</v>
      </c>
      <c r="E73" s="15" t="s">
        <v>4238</v>
      </c>
      <c r="F73" s="15" t="s">
        <v>5564</v>
      </c>
      <c r="G73" s="15"/>
      <c r="H73" s="15">
        <f>1</f>
        <v>1</v>
      </c>
      <c r="I73" s="15" t="s">
        <v>82</v>
      </c>
      <c r="J73" s="15" t="s">
        <v>22</v>
      </c>
      <c r="K73" s="15" t="s">
        <v>1847</v>
      </c>
      <c r="L73" s="15" t="s">
        <v>39</v>
      </c>
      <c r="M73" s="16">
        <v>-0.5</v>
      </c>
      <c r="N73" s="16">
        <v>0.1</v>
      </c>
      <c r="O73" s="16">
        <v>0.1</v>
      </c>
      <c r="P73" s="17">
        <v>45308.0</v>
      </c>
      <c r="Q73" s="18">
        <v>1.725</v>
      </c>
      <c r="R73" s="15" t="s">
        <v>25</v>
      </c>
      <c r="S73" s="19">
        <f t="shared" si="1"/>
        <v>-0.1</v>
      </c>
      <c r="T73" s="19">
        <f t="shared" si="4"/>
        <v>7.1053</v>
      </c>
    </row>
    <row r="74">
      <c r="A74" s="8">
        <f t="shared" si="3"/>
        <v>73</v>
      </c>
      <c r="B74" s="8" t="s">
        <v>26</v>
      </c>
      <c r="C74" s="8" t="s">
        <v>19</v>
      </c>
      <c r="D74" s="8">
        <v>11.0</v>
      </c>
      <c r="E74" s="8" t="s">
        <v>4239</v>
      </c>
      <c r="F74" s="8"/>
      <c r="G74" s="8"/>
      <c r="H74" s="8">
        <v>0.0</v>
      </c>
      <c r="I74" s="8" t="s">
        <v>82</v>
      </c>
      <c r="J74" s="8" t="s">
        <v>22</v>
      </c>
      <c r="K74" s="8" t="s">
        <v>23</v>
      </c>
      <c r="L74" s="8" t="s">
        <v>39</v>
      </c>
      <c r="M74" s="9">
        <v>-10.0</v>
      </c>
      <c r="N74" s="9">
        <v>0.25</v>
      </c>
      <c r="O74" s="9">
        <v>0.25</v>
      </c>
      <c r="P74" s="10">
        <v>45308.0</v>
      </c>
      <c r="Q74" s="11">
        <v>1.85</v>
      </c>
      <c r="R74" s="8" t="s">
        <v>33</v>
      </c>
      <c r="S74" s="12">
        <f t="shared" si="1"/>
        <v>0.2125</v>
      </c>
      <c r="T74" s="12">
        <f t="shared" si="4"/>
        <v>7.3178</v>
      </c>
    </row>
    <row r="75">
      <c r="A75" s="15">
        <f t="shared" si="3"/>
        <v>74</v>
      </c>
      <c r="B75" s="15" t="s">
        <v>137</v>
      </c>
      <c r="C75" s="15" t="s">
        <v>19</v>
      </c>
      <c r="D75" s="15">
        <v>61.0</v>
      </c>
      <c r="E75" s="15" t="s">
        <v>4240</v>
      </c>
      <c r="F75" s="15" t="s">
        <v>5564</v>
      </c>
      <c r="G75" s="15" t="s">
        <v>2660</v>
      </c>
      <c r="H75" s="15">
        <v>0.0</v>
      </c>
      <c r="I75" s="15" t="s">
        <v>923</v>
      </c>
      <c r="J75" s="15" t="s">
        <v>22</v>
      </c>
      <c r="K75" s="15" t="s">
        <v>892</v>
      </c>
      <c r="L75" s="15" t="s">
        <v>24</v>
      </c>
      <c r="M75" s="16">
        <v>0.0</v>
      </c>
      <c r="N75" s="16">
        <v>1.0</v>
      </c>
      <c r="O75" s="16">
        <v>1.0</v>
      </c>
      <c r="P75" s="17">
        <v>45309.0</v>
      </c>
      <c r="Q75" s="18">
        <v>1.75</v>
      </c>
      <c r="R75" s="15" t="s">
        <v>25</v>
      </c>
      <c r="S75" s="19">
        <f t="shared" si="1"/>
        <v>-1</v>
      </c>
      <c r="T75" s="19">
        <f t="shared" si="4"/>
        <v>6.3178</v>
      </c>
    </row>
    <row r="76">
      <c r="A76" s="8">
        <f t="shared" si="3"/>
        <v>75</v>
      </c>
      <c r="B76" s="8" t="s">
        <v>129</v>
      </c>
      <c r="C76" s="8" t="s">
        <v>19</v>
      </c>
      <c r="D76" s="8">
        <v>36.0</v>
      </c>
      <c r="E76" s="8" t="s">
        <v>4241</v>
      </c>
      <c r="F76" s="8" t="s">
        <v>5564</v>
      </c>
      <c r="G76" s="8" t="s">
        <v>2556</v>
      </c>
      <c r="H76" s="8">
        <v>0.0</v>
      </c>
      <c r="I76" s="8" t="s">
        <v>616</v>
      </c>
      <c r="J76" s="8" t="s">
        <v>22</v>
      </c>
      <c r="K76" s="8" t="s">
        <v>225</v>
      </c>
      <c r="L76" s="8" t="s">
        <v>24</v>
      </c>
      <c r="M76" s="9">
        <v>0.5</v>
      </c>
      <c r="N76" s="9">
        <v>0.6</v>
      </c>
      <c r="O76" s="9">
        <v>0.5</v>
      </c>
      <c r="P76" s="10">
        <v>45309.0</v>
      </c>
      <c r="Q76" s="11">
        <v>1.85</v>
      </c>
      <c r="R76" s="8" t="s">
        <v>33</v>
      </c>
      <c r="S76" s="12">
        <f t="shared" si="1"/>
        <v>0.425</v>
      </c>
      <c r="T76" s="12">
        <f t="shared" si="4"/>
        <v>6.7428</v>
      </c>
    </row>
    <row r="77">
      <c r="A77" s="15">
        <f t="shared" si="3"/>
        <v>76</v>
      </c>
      <c r="B77" s="15" t="s">
        <v>129</v>
      </c>
      <c r="C77" s="15" t="s">
        <v>19</v>
      </c>
      <c r="D77" s="15">
        <v>37.0</v>
      </c>
      <c r="E77" s="15" t="s">
        <v>4242</v>
      </c>
      <c r="F77" s="15" t="s">
        <v>5564</v>
      </c>
      <c r="G77" s="15" t="s">
        <v>2556</v>
      </c>
      <c r="H77" s="15">
        <v>0.0</v>
      </c>
      <c r="I77" s="15" t="s">
        <v>616</v>
      </c>
      <c r="J77" s="15" t="s">
        <v>22</v>
      </c>
      <c r="K77" s="15" t="s">
        <v>225</v>
      </c>
      <c r="L77" s="15" t="s">
        <v>24</v>
      </c>
      <c r="M77" s="16">
        <v>0.25</v>
      </c>
      <c r="N77" s="16">
        <v>0.2</v>
      </c>
      <c r="O77" s="16">
        <v>0.2</v>
      </c>
      <c r="P77" s="17">
        <v>45309.0</v>
      </c>
      <c r="Q77" s="18">
        <v>2.0</v>
      </c>
      <c r="R77" s="15" t="s">
        <v>33</v>
      </c>
      <c r="S77" s="19">
        <f t="shared" si="1"/>
        <v>0.2</v>
      </c>
      <c r="T77" s="19">
        <f t="shared" si="4"/>
        <v>6.9428</v>
      </c>
    </row>
    <row r="78">
      <c r="A78" s="8">
        <f t="shared" si="3"/>
        <v>77</v>
      </c>
      <c r="B78" s="8" t="s">
        <v>129</v>
      </c>
      <c r="C78" s="8" t="s">
        <v>19</v>
      </c>
      <c r="D78" s="8">
        <v>39.0</v>
      </c>
      <c r="E78" s="8" t="s">
        <v>4243</v>
      </c>
      <c r="F78" s="8" t="s">
        <v>5564</v>
      </c>
      <c r="G78" s="8" t="s">
        <v>2556</v>
      </c>
      <c r="H78" s="8">
        <v>0.0</v>
      </c>
      <c r="I78" s="8" t="s">
        <v>616</v>
      </c>
      <c r="J78" s="8" t="s">
        <v>22</v>
      </c>
      <c r="K78" s="8" t="s">
        <v>1165</v>
      </c>
      <c r="L78" s="8" t="s">
        <v>24</v>
      </c>
      <c r="M78" s="9"/>
      <c r="N78" s="9">
        <v>0.1</v>
      </c>
      <c r="O78" s="9">
        <v>0.1</v>
      </c>
      <c r="P78" s="10">
        <v>45309.0</v>
      </c>
      <c r="Q78" s="11">
        <v>3.6</v>
      </c>
      <c r="R78" s="8" t="s">
        <v>33</v>
      </c>
      <c r="S78" s="12">
        <f t="shared" si="1"/>
        <v>0.26</v>
      </c>
      <c r="T78" s="12">
        <f t="shared" si="4"/>
        <v>7.2028</v>
      </c>
    </row>
    <row r="79">
      <c r="A79" s="15">
        <f t="shared" si="3"/>
        <v>78</v>
      </c>
      <c r="B79" s="15" t="s">
        <v>129</v>
      </c>
      <c r="C79" s="15" t="s">
        <v>19</v>
      </c>
      <c r="D79" s="15">
        <v>70.0</v>
      </c>
      <c r="E79" s="15" t="s">
        <v>4244</v>
      </c>
      <c r="F79" s="15" t="s">
        <v>5564</v>
      </c>
      <c r="G79" s="15" t="s">
        <v>2660</v>
      </c>
      <c r="H79" s="15">
        <v>0.0</v>
      </c>
      <c r="I79" s="15" t="s">
        <v>248</v>
      </c>
      <c r="J79" s="15" t="s">
        <v>22</v>
      </c>
      <c r="K79" s="15" t="s">
        <v>892</v>
      </c>
      <c r="L79" s="15" t="s">
        <v>24</v>
      </c>
      <c r="M79" s="16">
        <v>0.0</v>
      </c>
      <c r="N79" s="16">
        <v>0.6</v>
      </c>
      <c r="O79" s="16">
        <v>0.6</v>
      </c>
      <c r="P79" s="17">
        <v>45309.0</v>
      </c>
      <c r="Q79" s="18">
        <v>1.975</v>
      </c>
      <c r="R79" s="15" t="s">
        <v>70</v>
      </c>
      <c r="S79" s="19">
        <f t="shared" si="1"/>
        <v>0</v>
      </c>
      <c r="T79" s="19">
        <f t="shared" si="4"/>
        <v>7.2028</v>
      </c>
    </row>
    <row r="80">
      <c r="A80" s="8">
        <f t="shared" si="3"/>
        <v>79</v>
      </c>
      <c r="B80" s="8" t="s">
        <v>4225</v>
      </c>
      <c r="C80" s="8" t="s">
        <v>40</v>
      </c>
      <c r="D80" s="8">
        <v>20.0</v>
      </c>
      <c r="E80" s="8" t="s">
        <v>4245</v>
      </c>
      <c r="F80" s="8" t="s">
        <v>5565</v>
      </c>
      <c r="G80" s="8" t="s">
        <v>2556</v>
      </c>
      <c r="H80" s="8">
        <v>0.0</v>
      </c>
      <c r="I80" s="8" t="s">
        <v>187</v>
      </c>
      <c r="J80" s="8" t="s">
        <v>22</v>
      </c>
      <c r="K80" s="8" t="s">
        <v>225</v>
      </c>
      <c r="L80" s="8" t="s">
        <v>24</v>
      </c>
      <c r="M80" s="9">
        <v>2.0</v>
      </c>
      <c r="N80" s="9">
        <v>0.2</v>
      </c>
      <c r="O80" s="9">
        <v>0.09</v>
      </c>
      <c r="P80" s="54">
        <v>45310.0</v>
      </c>
      <c r="Q80" s="11">
        <v>2.0</v>
      </c>
      <c r="R80" s="8" t="s">
        <v>25</v>
      </c>
      <c r="S80" s="12">
        <f t="shared" si="1"/>
        <v>-0.09</v>
      </c>
      <c r="T80" s="12">
        <f t="shared" si="4"/>
        <v>7.1128</v>
      </c>
    </row>
    <row r="81">
      <c r="A81" s="15">
        <f t="shared" si="3"/>
        <v>80</v>
      </c>
      <c r="B81" s="15" t="s">
        <v>4225</v>
      </c>
      <c r="C81" s="15" t="s">
        <v>40</v>
      </c>
      <c r="D81" s="15">
        <v>20.0</v>
      </c>
      <c r="E81" s="15" t="s">
        <v>4246</v>
      </c>
      <c r="F81" s="15" t="s">
        <v>5565</v>
      </c>
      <c r="G81" s="15" t="s">
        <v>2556</v>
      </c>
      <c r="H81" s="15">
        <v>0.0</v>
      </c>
      <c r="I81" s="15" t="s">
        <v>187</v>
      </c>
      <c r="J81" s="15" t="s">
        <v>22</v>
      </c>
      <c r="K81" s="15" t="s">
        <v>225</v>
      </c>
      <c r="L81" s="15" t="s">
        <v>24</v>
      </c>
      <c r="M81" s="16">
        <v>1.75</v>
      </c>
      <c r="N81" s="16">
        <v>0.4</v>
      </c>
      <c r="O81" s="16">
        <v>0.28</v>
      </c>
      <c r="P81" s="55">
        <v>45310.0</v>
      </c>
      <c r="Q81" s="18">
        <v>1.95</v>
      </c>
      <c r="R81" s="15" t="s">
        <v>25</v>
      </c>
      <c r="S81" s="19">
        <f t="shared" si="1"/>
        <v>-0.28</v>
      </c>
      <c r="T81" s="19">
        <f t="shared" si="4"/>
        <v>6.8328</v>
      </c>
    </row>
    <row r="82">
      <c r="A82" s="8">
        <f t="shared" si="3"/>
        <v>81</v>
      </c>
      <c r="B82" s="8" t="s">
        <v>4225</v>
      </c>
      <c r="C82" s="8" t="s">
        <v>40</v>
      </c>
      <c r="D82" s="8">
        <v>20.0</v>
      </c>
      <c r="E82" s="8" t="s">
        <v>4247</v>
      </c>
      <c r="F82" s="8" t="s">
        <v>5565</v>
      </c>
      <c r="G82" s="8" t="s">
        <v>2556</v>
      </c>
      <c r="H82" s="8">
        <v>0.0</v>
      </c>
      <c r="I82" s="8" t="s">
        <v>187</v>
      </c>
      <c r="J82" s="8" t="s">
        <v>22</v>
      </c>
      <c r="K82" s="8" t="s">
        <v>941</v>
      </c>
      <c r="L82" s="8" t="s">
        <v>24</v>
      </c>
      <c r="M82" s="9">
        <v>0.0</v>
      </c>
      <c r="N82" s="9">
        <v>0.2</v>
      </c>
      <c r="O82" s="9">
        <v>0.09</v>
      </c>
      <c r="P82" s="54">
        <v>45310.0</v>
      </c>
      <c r="Q82" s="11">
        <v>6.5</v>
      </c>
      <c r="R82" s="8" t="s">
        <v>25</v>
      </c>
      <c r="S82" s="12">
        <f t="shared" si="1"/>
        <v>-0.09</v>
      </c>
      <c r="T82" s="12">
        <f t="shared" si="4"/>
        <v>6.7428</v>
      </c>
    </row>
    <row r="83">
      <c r="A83" s="15">
        <f t="shared" si="3"/>
        <v>82</v>
      </c>
      <c r="B83" s="15" t="s">
        <v>137</v>
      </c>
      <c r="C83" s="15" t="s">
        <v>19</v>
      </c>
      <c r="D83" s="15">
        <v>35.0</v>
      </c>
      <c r="E83" s="15" t="s">
        <v>4248</v>
      </c>
      <c r="F83" s="15" t="s">
        <v>5565</v>
      </c>
      <c r="G83" s="15" t="s">
        <v>2660</v>
      </c>
      <c r="H83" s="15">
        <v>0.0</v>
      </c>
      <c r="I83" s="15" t="s">
        <v>248</v>
      </c>
      <c r="J83" s="15" t="s">
        <v>22</v>
      </c>
      <c r="K83" s="15" t="s">
        <v>892</v>
      </c>
      <c r="L83" s="15" t="s">
        <v>24</v>
      </c>
      <c r="M83" s="16">
        <v>0.0</v>
      </c>
      <c r="N83" s="16">
        <v>0.4</v>
      </c>
      <c r="O83" s="16">
        <v>0.02</v>
      </c>
      <c r="P83" s="55">
        <v>45310.0</v>
      </c>
      <c r="Q83" s="18">
        <v>1.98</v>
      </c>
      <c r="R83" s="15" t="s">
        <v>25</v>
      </c>
      <c r="S83" s="19">
        <f t="shared" si="1"/>
        <v>-0.02</v>
      </c>
      <c r="T83" s="19">
        <f t="shared" si="4"/>
        <v>6.7228</v>
      </c>
    </row>
    <row r="84">
      <c r="A84" s="8">
        <f t="shared" si="3"/>
        <v>83</v>
      </c>
      <c r="B84" s="8" t="s">
        <v>129</v>
      </c>
      <c r="C84" s="8" t="s">
        <v>19</v>
      </c>
      <c r="D84" s="8">
        <v>60.0</v>
      </c>
      <c r="E84" s="8" t="s">
        <v>4249</v>
      </c>
      <c r="F84" s="8" t="s">
        <v>5564</v>
      </c>
      <c r="G84" s="8" t="s">
        <v>2660</v>
      </c>
      <c r="H84" s="8">
        <v>0.0</v>
      </c>
      <c r="I84" s="8" t="s">
        <v>248</v>
      </c>
      <c r="J84" s="8" t="s">
        <v>22</v>
      </c>
      <c r="K84" s="8" t="s">
        <v>892</v>
      </c>
      <c r="L84" s="8" t="s">
        <v>24</v>
      </c>
      <c r="M84" s="9">
        <v>0.0</v>
      </c>
      <c r="N84" s="9">
        <v>0.4</v>
      </c>
      <c r="O84" s="9">
        <v>0.37</v>
      </c>
      <c r="P84" s="10">
        <v>45310.0</v>
      </c>
      <c r="Q84" s="11">
        <v>1.93</v>
      </c>
      <c r="R84" s="8" t="s">
        <v>25</v>
      </c>
      <c r="S84" s="12">
        <f t="shared" si="1"/>
        <v>-0.37</v>
      </c>
      <c r="T84" s="12">
        <f t="shared" si="4"/>
        <v>6.3528</v>
      </c>
    </row>
    <row r="85">
      <c r="A85" s="15">
        <f t="shared" si="3"/>
        <v>84</v>
      </c>
      <c r="B85" s="15" t="s">
        <v>26</v>
      </c>
      <c r="C85" s="15" t="s">
        <v>19</v>
      </c>
      <c r="D85" s="15">
        <v>20.0</v>
      </c>
      <c r="E85" s="15" t="s">
        <v>4250</v>
      </c>
      <c r="F85" s="15" t="s">
        <v>5565</v>
      </c>
      <c r="G85" s="15" t="s">
        <v>2660</v>
      </c>
      <c r="H85" s="15">
        <v>0.0</v>
      </c>
      <c r="I85" s="15" t="s">
        <v>99</v>
      </c>
      <c r="J85" s="15" t="s">
        <v>22</v>
      </c>
      <c r="K85" s="15" t="s">
        <v>1150</v>
      </c>
      <c r="L85" s="15" t="s">
        <v>1522</v>
      </c>
      <c r="M85" s="16">
        <v>0.0</v>
      </c>
      <c r="N85" s="16">
        <v>0.5</v>
      </c>
      <c r="O85" s="16">
        <v>0.5</v>
      </c>
      <c r="P85" s="17">
        <v>45311.0</v>
      </c>
      <c r="Q85" s="18">
        <v>1.975</v>
      </c>
      <c r="R85" s="15" t="s">
        <v>70</v>
      </c>
      <c r="S85" s="19">
        <f t="shared" si="1"/>
        <v>0</v>
      </c>
      <c r="T85" s="19">
        <f t="shared" si="4"/>
        <v>6.3528</v>
      </c>
    </row>
    <row r="86">
      <c r="A86" s="8">
        <f t="shared" si="3"/>
        <v>85</v>
      </c>
      <c r="B86" s="8" t="s">
        <v>129</v>
      </c>
      <c r="C86" s="8" t="s">
        <v>19</v>
      </c>
      <c r="D86" s="8">
        <v>56.0</v>
      </c>
      <c r="E86" s="8" t="s">
        <v>4251</v>
      </c>
      <c r="F86" s="8" t="s">
        <v>5565</v>
      </c>
      <c r="G86" s="8" t="s">
        <v>2556</v>
      </c>
      <c r="H86" s="8">
        <v>0.0</v>
      </c>
      <c r="I86" s="8" t="s">
        <v>28</v>
      </c>
      <c r="J86" s="8" t="s">
        <v>22</v>
      </c>
      <c r="K86" s="8" t="s">
        <v>225</v>
      </c>
      <c r="L86" s="8" t="s">
        <v>24</v>
      </c>
      <c r="M86" s="9">
        <v>0.5</v>
      </c>
      <c r="N86" s="9">
        <v>0.8</v>
      </c>
      <c r="O86" s="9">
        <v>0.8</v>
      </c>
      <c r="P86" s="10">
        <v>45311.0</v>
      </c>
      <c r="Q86" s="11">
        <v>1.825</v>
      </c>
      <c r="R86" s="8" t="s">
        <v>25</v>
      </c>
      <c r="S86" s="12">
        <f t="shared" si="1"/>
        <v>-0.8</v>
      </c>
      <c r="T86" s="12">
        <f t="shared" si="4"/>
        <v>5.5528</v>
      </c>
    </row>
    <row r="87">
      <c r="A87" s="15">
        <f t="shared" si="3"/>
        <v>86</v>
      </c>
      <c r="B87" s="15" t="s">
        <v>137</v>
      </c>
      <c r="C87" s="15" t="s">
        <v>19</v>
      </c>
      <c r="D87" s="15">
        <v>45.0</v>
      </c>
      <c r="E87" s="15" t="s">
        <v>4252</v>
      </c>
      <c r="F87" s="15" t="s">
        <v>5564</v>
      </c>
      <c r="G87" s="15" t="s">
        <v>2556</v>
      </c>
      <c r="H87" s="15">
        <v>-1.0</v>
      </c>
      <c r="I87" s="15" t="s">
        <v>659</v>
      </c>
      <c r="J87" s="15" t="s">
        <v>22</v>
      </c>
      <c r="K87" s="15" t="s">
        <v>225</v>
      </c>
      <c r="L87" s="15" t="s">
        <v>24</v>
      </c>
      <c r="M87" s="16">
        <v>0.5</v>
      </c>
      <c r="N87" s="16">
        <v>1.0</v>
      </c>
      <c r="O87" s="16">
        <v>1.0</v>
      </c>
      <c r="P87" s="17">
        <v>45311.0</v>
      </c>
      <c r="Q87" s="18">
        <v>1.75</v>
      </c>
      <c r="R87" s="15" t="s">
        <v>33</v>
      </c>
      <c r="S87" s="19">
        <f t="shared" si="1"/>
        <v>0.75</v>
      </c>
      <c r="T87" s="19">
        <f t="shared" si="4"/>
        <v>6.3028</v>
      </c>
    </row>
    <row r="88">
      <c r="A88" s="8">
        <f t="shared" si="3"/>
        <v>87</v>
      </c>
      <c r="B88" s="8" t="s">
        <v>26</v>
      </c>
      <c r="C88" s="8" t="s">
        <v>19</v>
      </c>
      <c r="D88" s="8">
        <v>80.0</v>
      </c>
      <c r="E88" s="8" t="s">
        <v>4253</v>
      </c>
      <c r="F88" s="8" t="s">
        <v>5565</v>
      </c>
      <c r="G88" s="8" t="s">
        <v>2556</v>
      </c>
      <c r="H88" s="8">
        <v>0.0</v>
      </c>
      <c r="I88" s="8" t="s">
        <v>115</v>
      </c>
      <c r="J88" s="8" t="s">
        <v>22</v>
      </c>
      <c r="K88" s="8" t="s">
        <v>941</v>
      </c>
      <c r="L88" s="8" t="s">
        <v>24</v>
      </c>
      <c r="M88" s="9">
        <v>0.0</v>
      </c>
      <c r="N88" s="9">
        <v>1.0</v>
      </c>
      <c r="O88" s="9">
        <v>1.0</v>
      </c>
      <c r="P88" s="10">
        <v>45311.0</v>
      </c>
      <c r="Q88" s="11">
        <v>1.8</v>
      </c>
      <c r="R88" s="8" t="s">
        <v>70</v>
      </c>
      <c r="S88" s="12">
        <f t="shared" si="1"/>
        <v>0</v>
      </c>
      <c r="T88" s="12">
        <f t="shared" si="4"/>
        <v>6.3028</v>
      </c>
    </row>
    <row r="89">
      <c r="A89" s="15">
        <f t="shared" si="3"/>
        <v>88</v>
      </c>
      <c r="B89" s="15" t="s">
        <v>26</v>
      </c>
      <c r="C89" s="15" t="s">
        <v>19</v>
      </c>
      <c r="D89" s="15">
        <v>60.0</v>
      </c>
      <c r="E89" s="15" t="s">
        <v>4254</v>
      </c>
      <c r="F89" s="15" t="s">
        <v>5565</v>
      </c>
      <c r="G89" s="15" t="s">
        <v>2573</v>
      </c>
      <c r="H89" s="15">
        <v>0.0</v>
      </c>
      <c r="I89" s="15" t="s">
        <v>93</v>
      </c>
      <c r="J89" s="15" t="s">
        <v>22</v>
      </c>
      <c r="K89" s="15" t="s">
        <v>894</v>
      </c>
      <c r="L89" s="15" t="s">
        <v>24</v>
      </c>
      <c r="M89" s="16">
        <v>-0.25</v>
      </c>
      <c r="N89" s="16">
        <v>0.25</v>
      </c>
      <c r="O89" s="16">
        <v>0.25</v>
      </c>
      <c r="P89" s="17">
        <v>45311.0</v>
      </c>
      <c r="Q89" s="18">
        <v>1.75</v>
      </c>
      <c r="R89" s="15" t="s">
        <v>25</v>
      </c>
      <c r="S89" s="19">
        <f t="shared" si="1"/>
        <v>-0.25</v>
      </c>
      <c r="T89" s="19">
        <f t="shared" si="4"/>
        <v>6.0528</v>
      </c>
    </row>
    <row r="90">
      <c r="A90" s="8">
        <f t="shared" si="3"/>
        <v>89</v>
      </c>
      <c r="B90" s="8" t="s">
        <v>26</v>
      </c>
      <c r="C90" s="8" t="s">
        <v>19</v>
      </c>
      <c r="D90" s="8">
        <v>55.0</v>
      </c>
      <c r="E90" s="8" t="s">
        <v>4255</v>
      </c>
      <c r="F90" s="8" t="s">
        <v>5565</v>
      </c>
      <c r="G90" s="8" t="s">
        <v>2660</v>
      </c>
      <c r="H90" s="8">
        <v>0.0</v>
      </c>
      <c r="I90" s="8" t="s">
        <v>273</v>
      </c>
      <c r="J90" s="8" t="s">
        <v>22</v>
      </c>
      <c r="K90" s="8" t="s">
        <v>892</v>
      </c>
      <c r="L90" s="8" t="s">
        <v>39</v>
      </c>
      <c r="M90" s="9">
        <v>0.0</v>
      </c>
      <c r="N90" s="9">
        <v>0.5</v>
      </c>
      <c r="O90" s="9">
        <v>0.5</v>
      </c>
      <c r="P90" s="10">
        <v>45311.0</v>
      </c>
      <c r="Q90" s="11">
        <v>1.875</v>
      </c>
      <c r="R90" s="8" t="s">
        <v>33</v>
      </c>
      <c r="S90" s="12">
        <f t="shared" si="1"/>
        <v>0.4375</v>
      </c>
      <c r="T90" s="12">
        <f t="shared" si="4"/>
        <v>6.4903</v>
      </c>
    </row>
    <row r="91">
      <c r="A91" s="15">
        <f t="shared" si="3"/>
        <v>90</v>
      </c>
      <c r="B91" s="15" t="s">
        <v>129</v>
      </c>
      <c r="C91" s="15" t="s">
        <v>19</v>
      </c>
      <c r="D91" s="15">
        <v>15.0</v>
      </c>
      <c r="E91" s="15" t="s">
        <v>4256</v>
      </c>
      <c r="F91" s="15" t="s">
        <v>5564</v>
      </c>
      <c r="G91" s="15" t="s">
        <v>2556</v>
      </c>
      <c r="H91" s="15">
        <v>0.0</v>
      </c>
      <c r="I91" s="15" t="s">
        <v>68</v>
      </c>
      <c r="J91" s="15" t="s">
        <v>22</v>
      </c>
      <c r="K91" s="15" t="s">
        <v>225</v>
      </c>
      <c r="L91" s="15" t="s">
        <v>24</v>
      </c>
      <c r="M91" s="16">
        <v>0.25</v>
      </c>
      <c r="N91" s="16">
        <v>0.5</v>
      </c>
      <c r="O91" s="16">
        <v>0.5</v>
      </c>
      <c r="P91" s="17">
        <v>45311.0</v>
      </c>
      <c r="Q91" s="18">
        <v>1.77</v>
      </c>
      <c r="R91" s="15" t="s">
        <v>996</v>
      </c>
      <c r="S91" s="19">
        <f t="shared" si="1"/>
        <v>0.1925</v>
      </c>
      <c r="T91" s="19">
        <f t="shared" si="4"/>
        <v>6.6828</v>
      </c>
    </row>
    <row r="92">
      <c r="A92" s="8">
        <f t="shared" si="3"/>
        <v>91</v>
      </c>
      <c r="B92" s="8" t="s">
        <v>129</v>
      </c>
      <c r="C92" s="8" t="s">
        <v>19</v>
      </c>
      <c r="D92" s="8">
        <v>15.0</v>
      </c>
      <c r="E92" s="8" t="s">
        <v>4257</v>
      </c>
      <c r="F92" s="8" t="s">
        <v>5564</v>
      </c>
      <c r="G92" s="8" t="s">
        <v>2556</v>
      </c>
      <c r="H92" s="8">
        <v>0.0</v>
      </c>
      <c r="I92" s="8" t="s">
        <v>68</v>
      </c>
      <c r="J92" s="8" t="s">
        <v>22</v>
      </c>
      <c r="K92" s="8" t="s">
        <v>941</v>
      </c>
      <c r="L92" s="8" t="s">
        <v>24</v>
      </c>
      <c r="M92" s="9">
        <v>0.0</v>
      </c>
      <c r="N92" s="9">
        <v>0.5</v>
      </c>
      <c r="O92" s="9">
        <v>0.4</v>
      </c>
      <c r="P92" s="10">
        <v>45311.0</v>
      </c>
      <c r="Q92" s="11">
        <v>2.25</v>
      </c>
      <c r="R92" s="8" t="s">
        <v>70</v>
      </c>
      <c r="S92" s="12">
        <f t="shared" si="1"/>
        <v>0</v>
      </c>
      <c r="T92" s="12">
        <f t="shared" si="4"/>
        <v>6.6828</v>
      </c>
    </row>
    <row r="93">
      <c r="A93" s="15">
        <f t="shared" si="3"/>
        <v>92</v>
      </c>
      <c r="B93" s="15" t="s">
        <v>26</v>
      </c>
      <c r="C93" s="15" t="s">
        <v>19</v>
      </c>
      <c r="D93" s="15">
        <v>30.0</v>
      </c>
      <c r="E93" s="15" t="s">
        <v>4258</v>
      </c>
      <c r="F93" s="15" t="s">
        <v>5564</v>
      </c>
      <c r="G93" s="15" t="s">
        <v>2556</v>
      </c>
      <c r="H93" s="15">
        <v>0.0</v>
      </c>
      <c r="I93" s="15" t="s">
        <v>115</v>
      </c>
      <c r="J93" s="15" t="s">
        <v>22</v>
      </c>
      <c r="K93" s="15" t="s">
        <v>892</v>
      </c>
      <c r="L93" s="15" t="s">
        <v>24</v>
      </c>
      <c r="M93" s="16">
        <v>2.0</v>
      </c>
      <c r="N93" s="16">
        <v>0.5</v>
      </c>
      <c r="O93" s="16">
        <v>0.5</v>
      </c>
      <c r="P93" s="17">
        <v>45312.0</v>
      </c>
      <c r="Q93" s="18">
        <v>1.833</v>
      </c>
      <c r="R93" s="15" t="s">
        <v>33</v>
      </c>
      <c r="S93" s="19">
        <f t="shared" si="1"/>
        <v>0.4165</v>
      </c>
      <c r="T93" s="19">
        <f t="shared" si="4"/>
        <v>7.0993</v>
      </c>
    </row>
    <row r="94">
      <c r="A94" s="8">
        <f t="shared" si="3"/>
        <v>93</v>
      </c>
      <c r="B94" s="8" t="s">
        <v>129</v>
      </c>
      <c r="C94" s="8" t="s">
        <v>19</v>
      </c>
      <c r="D94" s="8">
        <v>20.0</v>
      </c>
      <c r="E94" s="8" t="s">
        <v>4259</v>
      </c>
      <c r="F94" s="8" t="s">
        <v>5564</v>
      </c>
      <c r="G94" s="8" t="s">
        <v>2660</v>
      </c>
      <c r="H94" s="8">
        <v>0.0</v>
      </c>
      <c r="I94" s="8" t="s">
        <v>93</v>
      </c>
      <c r="J94" s="8" t="s">
        <v>22</v>
      </c>
      <c r="K94" s="8" t="s">
        <v>1150</v>
      </c>
      <c r="L94" s="8" t="s">
        <v>24</v>
      </c>
      <c r="M94" s="9">
        <v>0.0</v>
      </c>
      <c r="N94" s="9">
        <v>1.0</v>
      </c>
      <c r="O94" s="9">
        <v>1.0</v>
      </c>
      <c r="P94" s="10">
        <v>45312.0</v>
      </c>
      <c r="Q94" s="11">
        <v>2.0</v>
      </c>
      <c r="R94" s="8" t="s">
        <v>70</v>
      </c>
      <c r="S94" s="12">
        <f t="shared" si="1"/>
        <v>0</v>
      </c>
      <c r="T94" s="12">
        <f t="shared" si="4"/>
        <v>7.0993</v>
      </c>
    </row>
    <row r="95">
      <c r="A95" s="15">
        <f t="shared" si="3"/>
        <v>94</v>
      </c>
      <c r="B95" s="15" t="s">
        <v>137</v>
      </c>
      <c r="C95" s="15" t="s">
        <v>19</v>
      </c>
      <c r="D95" s="15">
        <v>40.0</v>
      </c>
      <c r="E95" s="15" t="s">
        <v>4260</v>
      </c>
      <c r="F95" s="15" t="s">
        <v>5564</v>
      </c>
      <c r="G95" s="15" t="s">
        <v>2556</v>
      </c>
      <c r="H95" s="15">
        <v>0.0</v>
      </c>
      <c r="I95" s="15" t="s">
        <v>229</v>
      </c>
      <c r="J95" s="15" t="s">
        <v>22</v>
      </c>
      <c r="K95" s="15" t="s">
        <v>225</v>
      </c>
      <c r="L95" s="15" t="s">
        <v>24</v>
      </c>
      <c r="M95" s="16">
        <v>0.25</v>
      </c>
      <c r="N95" s="16">
        <v>0.5</v>
      </c>
      <c r="O95" s="16">
        <v>0.5</v>
      </c>
      <c r="P95" s="17">
        <v>45312.0</v>
      </c>
      <c r="Q95" s="18">
        <v>1.725</v>
      </c>
      <c r="R95" s="15" t="s">
        <v>25</v>
      </c>
      <c r="S95" s="19">
        <f t="shared" si="1"/>
        <v>-0.5</v>
      </c>
      <c r="T95" s="19">
        <f t="shared" si="4"/>
        <v>6.5993</v>
      </c>
    </row>
    <row r="96">
      <c r="A96" s="8">
        <f t="shared" si="3"/>
        <v>95</v>
      </c>
      <c r="B96" s="8" t="s">
        <v>129</v>
      </c>
      <c r="C96" s="8" t="s">
        <v>19</v>
      </c>
      <c r="D96" s="8">
        <v>20.0</v>
      </c>
      <c r="E96" s="8" t="s">
        <v>4261</v>
      </c>
      <c r="F96" s="8" t="s">
        <v>5564</v>
      </c>
      <c r="G96" s="8" t="s">
        <v>2573</v>
      </c>
      <c r="H96" s="8">
        <v>0.0</v>
      </c>
      <c r="I96" s="8" t="s">
        <v>48</v>
      </c>
      <c r="J96" s="8" t="s">
        <v>22</v>
      </c>
      <c r="K96" s="8" t="s">
        <v>892</v>
      </c>
      <c r="L96" s="8" t="s">
        <v>24</v>
      </c>
      <c r="M96" s="9">
        <v>0.0</v>
      </c>
      <c r="N96" s="9">
        <v>0.6</v>
      </c>
      <c r="O96" s="9">
        <v>0.6</v>
      </c>
      <c r="P96" s="10">
        <v>45312.0</v>
      </c>
      <c r="Q96" s="11">
        <v>1.68</v>
      </c>
      <c r="R96" s="8" t="s">
        <v>70</v>
      </c>
      <c r="S96" s="12">
        <f t="shared" si="1"/>
        <v>0</v>
      </c>
      <c r="T96" s="12">
        <f t="shared" si="4"/>
        <v>6.5993</v>
      </c>
    </row>
    <row r="97">
      <c r="A97" s="15">
        <f t="shared" si="3"/>
        <v>96</v>
      </c>
      <c r="B97" s="15" t="s">
        <v>4225</v>
      </c>
      <c r="C97" s="15" t="s">
        <v>40</v>
      </c>
      <c r="D97" s="15">
        <v>65.0</v>
      </c>
      <c r="E97" s="15" t="s">
        <v>4262</v>
      </c>
      <c r="F97" s="15" t="s">
        <v>5565</v>
      </c>
      <c r="G97" s="15" t="s">
        <v>2660</v>
      </c>
      <c r="H97" s="15" t="s">
        <v>4263</v>
      </c>
      <c r="I97" s="15" t="s">
        <v>2456</v>
      </c>
      <c r="J97" s="15" t="s">
        <v>22</v>
      </c>
      <c r="K97" s="15" t="s">
        <v>892</v>
      </c>
      <c r="L97" s="15" t="s">
        <v>24</v>
      </c>
      <c r="M97" s="16">
        <v>0.0</v>
      </c>
      <c r="N97" s="16">
        <v>1.0</v>
      </c>
      <c r="O97" s="16">
        <v>0.67</v>
      </c>
      <c r="P97" s="55">
        <v>45312.0</v>
      </c>
      <c r="Q97" s="18">
        <v>2.23</v>
      </c>
      <c r="R97" s="15" t="s">
        <v>70</v>
      </c>
      <c r="S97" s="19">
        <f t="shared" si="1"/>
        <v>0</v>
      </c>
      <c r="T97" s="19">
        <f t="shared" si="4"/>
        <v>6.5993</v>
      </c>
    </row>
    <row r="98">
      <c r="A98" s="8">
        <f t="shared" si="3"/>
        <v>97</v>
      </c>
      <c r="B98" s="8" t="s">
        <v>137</v>
      </c>
      <c r="C98" s="8" t="s">
        <v>19</v>
      </c>
      <c r="D98" s="8">
        <v>67.0</v>
      </c>
      <c r="E98" s="8" t="s">
        <v>4264</v>
      </c>
      <c r="F98" s="8" t="s">
        <v>5564</v>
      </c>
      <c r="G98" s="8" t="s">
        <v>2660</v>
      </c>
      <c r="H98" s="8">
        <v>-1.0</v>
      </c>
      <c r="I98" s="8" t="s">
        <v>115</v>
      </c>
      <c r="J98" s="8" t="s">
        <v>22</v>
      </c>
      <c r="K98" s="8" t="s">
        <v>892</v>
      </c>
      <c r="L98" s="8" t="s">
        <v>39</v>
      </c>
      <c r="M98" s="9">
        <v>0.0</v>
      </c>
      <c r="N98" s="9">
        <v>1.0</v>
      </c>
      <c r="O98" s="9">
        <v>0.99</v>
      </c>
      <c r="P98" s="10">
        <v>45312.0</v>
      </c>
      <c r="Q98" s="11">
        <v>2.0</v>
      </c>
      <c r="R98" s="8" t="s">
        <v>25</v>
      </c>
      <c r="S98" s="12">
        <f t="shared" si="1"/>
        <v>-0.99</v>
      </c>
      <c r="T98" s="12">
        <f t="shared" si="4"/>
        <v>5.6093</v>
      </c>
    </row>
    <row r="99">
      <c r="A99" s="15">
        <f t="shared" si="3"/>
        <v>98</v>
      </c>
      <c r="B99" s="15" t="s">
        <v>129</v>
      </c>
      <c r="C99" s="15" t="s">
        <v>19</v>
      </c>
      <c r="D99" s="15">
        <v>65.0</v>
      </c>
      <c r="E99" s="15" t="s">
        <v>4265</v>
      </c>
      <c r="F99" s="15" t="s">
        <v>5564</v>
      </c>
      <c r="G99" s="15" t="s">
        <v>2660</v>
      </c>
      <c r="H99" s="15">
        <v>0.0</v>
      </c>
      <c r="I99" s="15" t="s">
        <v>4266</v>
      </c>
      <c r="J99" s="15" t="s">
        <v>22</v>
      </c>
      <c r="K99" s="15" t="s">
        <v>892</v>
      </c>
      <c r="L99" s="15" t="s">
        <v>24</v>
      </c>
      <c r="M99" s="16">
        <v>0.0</v>
      </c>
      <c r="N99" s="16">
        <v>0.6</v>
      </c>
      <c r="O99" s="16">
        <v>0.6</v>
      </c>
      <c r="P99" s="17">
        <v>45312.0</v>
      </c>
      <c r="Q99" s="18">
        <v>2.5</v>
      </c>
      <c r="R99" s="15" t="s">
        <v>25</v>
      </c>
      <c r="S99" s="19">
        <f t="shared" si="1"/>
        <v>-0.6</v>
      </c>
      <c r="T99" s="19">
        <f t="shared" si="4"/>
        <v>5.0093</v>
      </c>
    </row>
    <row r="100">
      <c r="A100" s="8">
        <f t="shared" si="3"/>
        <v>99</v>
      </c>
      <c r="B100" s="8" t="s">
        <v>18</v>
      </c>
      <c r="C100" s="8" t="s">
        <v>19</v>
      </c>
      <c r="D100" s="8">
        <v>30.0</v>
      </c>
      <c r="E100" s="8" t="s">
        <v>4267</v>
      </c>
      <c r="F100" s="8" t="s">
        <v>5565</v>
      </c>
      <c r="G100" s="8" t="s">
        <v>2556</v>
      </c>
      <c r="H100" s="8">
        <f t="shared" ref="H100:H101" si="9">1</f>
        <v>1</v>
      </c>
      <c r="I100" s="8" t="s">
        <v>167</v>
      </c>
      <c r="J100" s="8" t="s">
        <v>22</v>
      </c>
      <c r="K100" s="8" t="s">
        <v>225</v>
      </c>
      <c r="L100" s="8" t="s">
        <v>24</v>
      </c>
      <c r="M100" s="9">
        <v>0.5</v>
      </c>
      <c r="N100" s="9">
        <v>0.75</v>
      </c>
      <c r="O100" s="9">
        <v>0.75</v>
      </c>
      <c r="P100" s="10">
        <v>45314.0</v>
      </c>
      <c r="Q100" s="11">
        <v>1.9</v>
      </c>
      <c r="R100" s="8" t="s">
        <v>25</v>
      </c>
      <c r="S100" s="12">
        <f t="shared" si="1"/>
        <v>-0.75</v>
      </c>
      <c r="T100" s="12">
        <f t="shared" si="4"/>
        <v>4.2593</v>
      </c>
    </row>
    <row r="101">
      <c r="A101" s="15">
        <f t="shared" si="3"/>
        <v>100</v>
      </c>
      <c r="B101" s="15" t="s">
        <v>4225</v>
      </c>
      <c r="C101" s="15" t="s">
        <v>19</v>
      </c>
      <c r="D101" s="15">
        <v>19.0</v>
      </c>
      <c r="E101" s="15" t="s">
        <v>4268</v>
      </c>
      <c r="F101" s="15" t="s">
        <v>5564</v>
      </c>
      <c r="G101" s="15" t="s">
        <v>2556</v>
      </c>
      <c r="H101" s="15">
        <f t="shared" si="9"/>
        <v>1</v>
      </c>
      <c r="I101" s="15" t="s">
        <v>28</v>
      </c>
      <c r="J101" s="15" t="s">
        <v>22</v>
      </c>
      <c r="K101" s="15" t="s">
        <v>225</v>
      </c>
      <c r="L101" s="15" t="s">
        <v>24</v>
      </c>
      <c r="M101" s="16">
        <v>0.5</v>
      </c>
      <c r="N101" s="16">
        <v>1.0</v>
      </c>
      <c r="O101" s="16">
        <v>1.0</v>
      </c>
      <c r="P101" s="17">
        <v>45314.0</v>
      </c>
      <c r="Q101" s="18">
        <v>1.85</v>
      </c>
      <c r="R101" s="15" t="s">
        <v>33</v>
      </c>
      <c r="S101" s="19">
        <f t="shared" si="1"/>
        <v>0.85</v>
      </c>
      <c r="T101" s="19">
        <f t="shared" si="4"/>
        <v>5.1093</v>
      </c>
    </row>
    <row r="102">
      <c r="A102" s="8">
        <f t="shared" si="3"/>
        <v>101</v>
      </c>
      <c r="B102" s="8" t="s">
        <v>4225</v>
      </c>
      <c r="C102" s="8" t="s">
        <v>19</v>
      </c>
      <c r="D102" s="8">
        <v>28.0</v>
      </c>
      <c r="E102" s="8" t="s">
        <v>4269</v>
      </c>
      <c r="F102" s="8" t="s">
        <v>5565</v>
      </c>
      <c r="G102" s="8" t="s">
        <v>2660</v>
      </c>
      <c r="H102" s="8">
        <v>0.0</v>
      </c>
      <c r="I102" s="8" t="s">
        <v>612</v>
      </c>
      <c r="J102" s="8" t="s">
        <v>22</v>
      </c>
      <c r="K102" s="8" t="s">
        <v>1150</v>
      </c>
      <c r="L102" s="8" t="s">
        <v>24</v>
      </c>
      <c r="M102" s="9">
        <v>0.0</v>
      </c>
      <c r="N102" s="9">
        <v>0.6</v>
      </c>
      <c r="O102" s="9">
        <v>0.6</v>
      </c>
      <c r="P102" s="10">
        <v>45314.0</v>
      </c>
      <c r="Q102" s="11">
        <v>1.85</v>
      </c>
      <c r="R102" s="8" t="s">
        <v>33</v>
      </c>
      <c r="S102" s="12">
        <f t="shared" si="1"/>
        <v>0.51</v>
      </c>
      <c r="T102" s="12">
        <f t="shared" si="4"/>
        <v>5.6193</v>
      </c>
    </row>
    <row r="103">
      <c r="A103" s="15">
        <f t="shared" si="3"/>
        <v>102</v>
      </c>
      <c r="B103" s="15" t="s">
        <v>4225</v>
      </c>
      <c r="C103" s="15" t="s">
        <v>19</v>
      </c>
      <c r="D103" s="15">
        <v>0.0</v>
      </c>
      <c r="E103" s="15" t="s">
        <v>4270</v>
      </c>
      <c r="F103" s="15" t="s">
        <v>5565</v>
      </c>
      <c r="G103" s="15" t="s">
        <v>2573</v>
      </c>
      <c r="H103" s="15">
        <v>0.0</v>
      </c>
      <c r="I103" s="15" t="s">
        <v>189</v>
      </c>
      <c r="J103" s="15" t="s">
        <v>598</v>
      </c>
      <c r="K103" s="15" t="s">
        <v>894</v>
      </c>
      <c r="L103" s="15" t="s">
        <v>2201</v>
      </c>
      <c r="M103" s="16">
        <v>-1.0</v>
      </c>
      <c r="N103" s="16">
        <v>0.1</v>
      </c>
      <c r="O103" s="16">
        <v>0.1</v>
      </c>
      <c r="P103" s="17">
        <v>45314.0</v>
      </c>
      <c r="Q103" s="18">
        <v>1.975</v>
      </c>
      <c r="R103" s="15" t="s">
        <v>70</v>
      </c>
      <c r="S103" s="19">
        <f t="shared" si="1"/>
        <v>0</v>
      </c>
      <c r="T103" s="19">
        <f t="shared" si="4"/>
        <v>5.6193</v>
      </c>
    </row>
    <row r="104">
      <c r="A104" s="8">
        <f t="shared" si="3"/>
        <v>103</v>
      </c>
      <c r="B104" s="8" t="s">
        <v>4225</v>
      </c>
      <c r="C104" s="8" t="s">
        <v>19</v>
      </c>
      <c r="D104" s="8">
        <v>0.0</v>
      </c>
      <c r="E104" s="8" t="s">
        <v>4271</v>
      </c>
      <c r="F104" s="8" t="s">
        <v>4272</v>
      </c>
      <c r="G104" s="8" t="s">
        <v>2573</v>
      </c>
      <c r="H104" s="8">
        <v>0.0</v>
      </c>
      <c r="I104" s="8" t="s">
        <v>2456</v>
      </c>
      <c r="J104" s="8" t="s">
        <v>598</v>
      </c>
      <c r="K104" s="8" t="s">
        <v>1847</v>
      </c>
      <c r="L104" s="8" t="s">
        <v>2201</v>
      </c>
      <c r="M104" s="9">
        <v>-0.5</v>
      </c>
      <c r="N104" s="9">
        <v>0.1</v>
      </c>
      <c r="O104" s="9">
        <v>0.1</v>
      </c>
      <c r="P104" s="10">
        <v>45314.0</v>
      </c>
      <c r="Q104" s="11">
        <v>1.85</v>
      </c>
      <c r="R104" s="8" t="s">
        <v>33</v>
      </c>
      <c r="S104" s="12">
        <f t="shared" si="1"/>
        <v>0.085</v>
      </c>
      <c r="T104" s="12">
        <f t="shared" si="4"/>
        <v>5.7043</v>
      </c>
    </row>
    <row r="105">
      <c r="A105" s="15">
        <f t="shared" si="3"/>
        <v>104</v>
      </c>
      <c r="B105" s="15" t="s">
        <v>129</v>
      </c>
      <c r="C105" s="15" t="s">
        <v>19</v>
      </c>
      <c r="D105" s="15">
        <v>44.0</v>
      </c>
      <c r="E105" s="15" t="s">
        <v>4273</v>
      </c>
      <c r="F105" s="15" t="s">
        <v>5564</v>
      </c>
      <c r="G105" s="15" t="s">
        <v>2660</v>
      </c>
      <c r="H105" s="15">
        <v>-2.0</v>
      </c>
      <c r="I105" s="15" t="s">
        <v>923</v>
      </c>
      <c r="J105" s="15" t="s">
        <v>22</v>
      </c>
      <c r="K105" s="15" t="s">
        <v>892</v>
      </c>
      <c r="L105" s="15" t="s">
        <v>24</v>
      </c>
      <c r="M105" s="16">
        <v>0.0</v>
      </c>
      <c r="N105" s="16">
        <v>0.5</v>
      </c>
      <c r="O105" s="16">
        <v>0.24</v>
      </c>
      <c r="P105" s="55">
        <v>45315.0</v>
      </c>
      <c r="Q105" s="18">
        <v>1.775</v>
      </c>
      <c r="R105" s="15" t="s">
        <v>70</v>
      </c>
      <c r="S105" s="19">
        <f t="shared" si="1"/>
        <v>0</v>
      </c>
      <c r="T105" s="19">
        <f t="shared" si="4"/>
        <v>5.7043</v>
      </c>
    </row>
    <row r="106">
      <c r="A106" s="8">
        <f t="shared" si="3"/>
        <v>105</v>
      </c>
      <c r="B106" s="8" t="s">
        <v>26</v>
      </c>
      <c r="C106" s="8" t="s">
        <v>19</v>
      </c>
      <c r="D106" s="8">
        <v>45.0</v>
      </c>
      <c r="E106" s="8" t="s">
        <v>4274</v>
      </c>
      <c r="F106" s="8"/>
      <c r="G106" s="8"/>
      <c r="H106" s="8"/>
      <c r="I106" s="8" t="s">
        <v>28</v>
      </c>
      <c r="J106" s="8" t="s">
        <v>22</v>
      </c>
      <c r="K106" s="8" t="s">
        <v>1471</v>
      </c>
      <c r="L106" s="8" t="s">
        <v>1803</v>
      </c>
      <c r="M106" s="9">
        <v>-3.5</v>
      </c>
      <c r="N106" s="9">
        <v>0.25</v>
      </c>
      <c r="O106" s="9">
        <v>0.25</v>
      </c>
      <c r="P106" s="10">
        <v>45315.0</v>
      </c>
      <c r="Q106" s="11">
        <v>1.725</v>
      </c>
      <c r="R106" s="8" t="s">
        <v>70</v>
      </c>
      <c r="S106" s="12">
        <f t="shared" si="1"/>
        <v>0</v>
      </c>
      <c r="T106" s="12">
        <f t="shared" si="4"/>
        <v>5.7043</v>
      </c>
    </row>
    <row r="107">
      <c r="A107" s="15">
        <f t="shared" si="3"/>
        <v>106</v>
      </c>
      <c r="B107" s="15" t="s">
        <v>18</v>
      </c>
      <c r="C107" s="15" t="s">
        <v>19</v>
      </c>
      <c r="D107" s="15">
        <v>83.0</v>
      </c>
      <c r="E107" s="15" t="s">
        <v>4275</v>
      </c>
      <c r="F107" s="15" t="s">
        <v>5565</v>
      </c>
      <c r="G107" s="15" t="s">
        <v>2660</v>
      </c>
      <c r="H107" s="15">
        <v>0.0</v>
      </c>
      <c r="I107" s="15" t="s">
        <v>187</v>
      </c>
      <c r="J107" s="15" t="s">
        <v>22</v>
      </c>
      <c r="K107" s="15" t="s">
        <v>892</v>
      </c>
      <c r="L107" s="15" t="s">
        <v>24</v>
      </c>
      <c r="M107" s="16">
        <v>0.0</v>
      </c>
      <c r="N107" s="16">
        <v>1.0</v>
      </c>
      <c r="O107" s="16">
        <v>1.0</v>
      </c>
      <c r="P107" s="17">
        <v>45315.0</v>
      </c>
      <c r="Q107" s="18">
        <v>1.75</v>
      </c>
      <c r="R107" s="15" t="s">
        <v>70</v>
      </c>
      <c r="S107" s="19">
        <f t="shared" si="1"/>
        <v>0</v>
      </c>
      <c r="T107" s="19">
        <f t="shared" si="4"/>
        <v>5.7043</v>
      </c>
    </row>
    <row r="108">
      <c r="A108" s="8">
        <f t="shared" si="3"/>
        <v>107</v>
      </c>
      <c r="B108" s="8" t="s">
        <v>18</v>
      </c>
      <c r="C108" s="8" t="s">
        <v>40</v>
      </c>
      <c r="D108" s="8">
        <v>45.0</v>
      </c>
      <c r="E108" s="8" t="s">
        <v>4276</v>
      </c>
      <c r="F108" s="8" t="s">
        <v>5565</v>
      </c>
      <c r="G108" s="8" t="s">
        <v>2573</v>
      </c>
      <c r="H108" s="8">
        <v>-1.0</v>
      </c>
      <c r="I108" s="8" t="s">
        <v>248</v>
      </c>
      <c r="J108" s="8" t="s">
        <v>22</v>
      </c>
      <c r="K108" s="8" t="s">
        <v>894</v>
      </c>
      <c r="L108" s="8" t="s">
        <v>24</v>
      </c>
      <c r="M108" s="9">
        <v>-0.5</v>
      </c>
      <c r="N108" s="9">
        <v>0.1</v>
      </c>
      <c r="O108" s="9">
        <v>0.1</v>
      </c>
      <c r="P108" s="10">
        <v>45315.0</v>
      </c>
      <c r="Q108" s="11">
        <v>1.95</v>
      </c>
      <c r="R108" s="8" t="s">
        <v>33</v>
      </c>
      <c r="S108" s="12">
        <f t="shared" si="1"/>
        <v>0.095</v>
      </c>
      <c r="T108" s="12">
        <f t="shared" si="4"/>
        <v>5.7993</v>
      </c>
    </row>
    <row r="109">
      <c r="A109" s="15">
        <f t="shared" si="3"/>
        <v>108</v>
      </c>
      <c r="B109" s="15" t="s">
        <v>4225</v>
      </c>
      <c r="C109" s="15" t="s">
        <v>19</v>
      </c>
      <c r="D109" s="15">
        <v>0.0</v>
      </c>
      <c r="E109" s="15" t="s">
        <v>4277</v>
      </c>
      <c r="F109" s="15" t="s">
        <v>5565</v>
      </c>
      <c r="G109" s="15" t="s">
        <v>2660</v>
      </c>
      <c r="H109" s="15">
        <v>0.0</v>
      </c>
      <c r="I109" s="15" t="s">
        <v>227</v>
      </c>
      <c r="J109" s="15" t="s">
        <v>22</v>
      </c>
      <c r="K109" s="15" t="s">
        <v>892</v>
      </c>
      <c r="L109" s="15" t="s">
        <v>1851</v>
      </c>
      <c r="M109" s="16">
        <v>0.0</v>
      </c>
      <c r="N109" s="16">
        <v>0.1</v>
      </c>
      <c r="O109" s="16">
        <v>0.1</v>
      </c>
      <c r="P109" s="17">
        <v>45315.0</v>
      </c>
      <c r="Q109" s="18">
        <v>1.8</v>
      </c>
      <c r="R109" s="15" t="s">
        <v>70</v>
      </c>
      <c r="S109" s="19">
        <f t="shared" si="1"/>
        <v>0</v>
      </c>
      <c r="T109" s="19">
        <f t="shared" si="4"/>
        <v>5.7993</v>
      </c>
    </row>
    <row r="110">
      <c r="A110" s="8">
        <f t="shared" si="3"/>
        <v>109</v>
      </c>
      <c r="B110" s="8" t="s">
        <v>26</v>
      </c>
      <c r="C110" s="8" t="s">
        <v>40</v>
      </c>
      <c r="D110" s="8">
        <v>33.0</v>
      </c>
      <c r="E110" s="8" t="s">
        <v>4278</v>
      </c>
      <c r="F110" s="8" t="s">
        <v>5564</v>
      </c>
      <c r="G110" s="8" t="s">
        <v>2556</v>
      </c>
      <c r="H110" s="8">
        <v>-1.0</v>
      </c>
      <c r="I110" s="8" t="s">
        <v>28</v>
      </c>
      <c r="J110" s="8" t="s">
        <v>22</v>
      </c>
      <c r="K110" s="8" t="s">
        <v>225</v>
      </c>
      <c r="L110" s="8" t="s">
        <v>24</v>
      </c>
      <c r="M110" s="9">
        <v>3.0</v>
      </c>
      <c r="N110" s="9">
        <v>0.75</v>
      </c>
      <c r="O110" s="9">
        <v>0.75</v>
      </c>
      <c r="P110" s="10">
        <v>45315.0</v>
      </c>
      <c r="Q110" s="11">
        <f>136/125</f>
        <v>1.088</v>
      </c>
      <c r="R110" s="8" t="s">
        <v>33</v>
      </c>
      <c r="S110" s="12">
        <f t="shared" si="1"/>
        <v>0.066</v>
      </c>
      <c r="T110" s="12">
        <f t="shared" si="4"/>
        <v>5.8653</v>
      </c>
    </row>
    <row r="111">
      <c r="A111" s="15">
        <f t="shared" si="3"/>
        <v>110</v>
      </c>
      <c r="B111" s="15" t="s">
        <v>26</v>
      </c>
      <c r="C111" s="15" t="s">
        <v>19</v>
      </c>
      <c r="D111" s="15">
        <v>63.0</v>
      </c>
      <c r="E111" s="15" t="s">
        <v>4279</v>
      </c>
      <c r="F111" s="15" t="s">
        <v>5565</v>
      </c>
      <c r="G111" s="15" t="s">
        <v>2660</v>
      </c>
      <c r="H111" s="15">
        <v>2</v>
      </c>
      <c r="I111" s="15" t="s">
        <v>28</v>
      </c>
      <c r="J111" s="15" t="s">
        <v>22</v>
      </c>
      <c r="K111" s="15" t="s">
        <v>892</v>
      </c>
      <c r="L111" s="15" t="s">
        <v>24</v>
      </c>
      <c r="M111" s="16">
        <v>0.0</v>
      </c>
      <c r="N111" s="16">
        <v>0.25</v>
      </c>
      <c r="O111" s="16">
        <v>0.25</v>
      </c>
      <c r="P111" s="17">
        <v>45315.0</v>
      </c>
      <c r="Q111" s="18">
        <v>1.775</v>
      </c>
      <c r="R111" s="15" t="s">
        <v>70</v>
      </c>
      <c r="S111" s="19">
        <f t="shared" si="1"/>
        <v>0</v>
      </c>
      <c r="T111" s="19">
        <f t="shared" si="4"/>
        <v>5.8653</v>
      </c>
    </row>
    <row r="112">
      <c r="A112" s="8">
        <f t="shared" si="3"/>
        <v>111</v>
      </c>
      <c r="B112" s="8" t="s">
        <v>26</v>
      </c>
      <c r="C112" s="8" t="s">
        <v>19</v>
      </c>
      <c r="D112" s="8">
        <v>69.0</v>
      </c>
      <c r="E112" s="8" t="s">
        <v>4279</v>
      </c>
      <c r="F112" s="8" t="s">
        <v>5565</v>
      </c>
      <c r="G112" s="8" t="s">
        <v>2660</v>
      </c>
      <c r="H112" s="8">
        <v>3</v>
      </c>
      <c r="I112" s="8" t="s">
        <v>28</v>
      </c>
      <c r="J112" s="8" t="s">
        <v>22</v>
      </c>
      <c r="K112" s="8" t="s">
        <v>892</v>
      </c>
      <c r="L112" s="8" t="s">
        <v>24</v>
      </c>
      <c r="M112" s="9">
        <v>0.0</v>
      </c>
      <c r="N112" s="9">
        <v>0.25</v>
      </c>
      <c r="O112" s="9">
        <v>0.25</v>
      </c>
      <c r="P112" s="10">
        <v>45315.0</v>
      </c>
      <c r="Q112" s="11">
        <v>1.725</v>
      </c>
      <c r="R112" s="8" t="s">
        <v>25</v>
      </c>
      <c r="S112" s="12">
        <f t="shared" si="1"/>
        <v>-0.25</v>
      </c>
      <c r="T112" s="12">
        <f t="shared" si="4"/>
        <v>5.6153</v>
      </c>
    </row>
    <row r="113">
      <c r="A113" s="15">
        <f t="shared" si="3"/>
        <v>112</v>
      </c>
      <c r="B113" s="15" t="s">
        <v>26</v>
      </c>
      <c r="C113" s="15" t="s">
        <v>19</v>
      </c>
      <c r="D113" s="15">
        <v>79.0</v>
      </c>
      <c r="E113" s="15" t="s">
        <v>4280</v>
      </c>
      <c r="F113" s="15" t="s">
        <v>5564</v>
      </c>
      <c r="G113" s="15" t="s">
        <v>2660</v>
      </c>
      <c r="H113" s="15">
        <v>0.0</v>
      </c>
      <c r="I113" s="15" t="s">
        <v>4281</v>
      </c>
      <c r="J113" s="15" t="s">
        <v>22</v>
      </c>
      <c r="K113" s="15" t="s">
        <v>892</v>
      </c>
      <c r="L113" s="15" t="s">
        <v>39</v>
      </c>
      <c r="M113" s="16">
        <v>0.0</v>
      </c>
      <c r="N113" s="16">
        <v>0.25</v>
      </c>
      <c r="O113" s="16">
        <v>0.25</v>
      </c>
      <c r="P113" s="17">
        <v>45315.0</v>
      </c>
      <c r="Q113" s="18">
        <v>1.7</v>
      </c>
      <c r="R113" s="15" t="s">
        <v>25</v>
      </c>
      <c r="S113" s="19">
        <f t="shared" si="1"/>
        <v>-0.25</v>
      </c>
      <c r="T113" s="19">
        <f t="shared" si="4"/>
        <v>5.3653</v>
      </c>
    </row>
    <row r="114">
      <c r="A114" s="8">
        <f t="shared" si="3"/>
        <v>113</v>
      </c>
      <c r="B114" s="8" t="s">
        <v>26</v>
      </c>
      <c r="C114" s="8" t="s">
        <v>40</v>
      </c>
      <c r="D114" s="8">
        <v>20.0</v>
      </c>
      <c r="E114" s="8" t="s">
        <v>4282</v>
      </c>
      <c r="F114" s="8" t="s">
        <v>5565</v>
      </c>
      <c r="G114" s="8" t="s">
        <v>2556</v>
      </c>
      <c r="H114" s="8">
        <v>2</v>
      </c>
      <c r="I114" s="8" t="s">
        <v>214</v>
      </c>
      <c r="J114" s="8" t="s">
        <v>22</v>
      </c>
      <c r="K114" s="8" t="s">
        <v>225</v>
      </c>
      <c r="L114" s="8" t="s">
        <v>24</v>
      </c>
      <c r="M114" s="9">
        <v>0.5</v>
      </c>
      <c r="N114" s="9">
        <v>0.75</v>
      </c>
      <c r="O114" s="9">
        <v>0.75</v>
      </c>
      <c r="P114" s="10">
        <v>45315.0</v>
      </c>
      <c r="Q114" s="11">
        <v>1.925</v>
      </c>
      <c r="R114" s="8" t="s">
        <v>25</v>
      </c>
      <c r="S114" s="12">
        <f t="shared" si="1"/>
        <v>-0.75</v>
      </c>
      <c r="T114" s="12">
        <f t="shared" si="4"/>
        <v>4.6153</v>
      </c>
    </row>
    <row r="115">
      <c r="A115" s="15">
        <f t="shared" si="3"/>
        <v>114</v>
      </c>
      <c r="B115" s="15" t="s">
        <v>26</v>
      </c>
      <c r="C115" s="15" t="s">
        <v>19</v>
      </c>
      <c r="D115" s="15">
        <v>0.0</v>
      </c>
      <c r="E115" s="15" t="s">
        <v>4283</v>
      </c>
      <c r="F115" s="15" t="s">
        <v>5565</v>
      </c>
      <c r="G115" s="15" t="s">
        <v>2556</v>
      </c>
      <c r="H115" s="15">
        <v>0.0</v>
      </c>
      <c r="I115" s="15" t="s">
        <v>164</v>
      </c>
      <c r="J115" s="15" t="s">
        <v>22</v>
      </c>
      <c r="K115" s="15" t="s">
        <v>225</v>
      </c>
      <c r="L115" s="15" t="s">
        <v>1803</v>
      </c>
      <c r="M115" s="16">
        <v>1.5</v>
      </c>
      <c r="N115" s="16">
        <v>0.25</v>
      </c>
      <c r="O115" s="16">
        <v>0.21</v>
      </c>
      <c r="P115" s="17">
        <v>45316.0</v>
      </c>
      <c r="Q115" s="18">
        <v>1.725</v>
      </c>
      <c r="R115" s="15" t="s">
        <v>25</v>
      </c>
      <c r="S115" s="19">
        <f t="shared" si="1"/>
        <v>-0.21</v>
      </c>
      <c r="T115" s="19">
        <f t="shared" si="4"/>
        <v>4.4053</v>
      </c>
    </row>
    <row r="116">
      <c r="A116" s="8">
        <f t="shared" si="3"/>
        <v>115</v>
      </c>
      <c r="B116" s="8" t="s">
        <v>26</v>
      </c>
      <c r="C116" s="8" t="s">
        <v>19</v>
      </c>
      <c r="D116" s="8">
        <v>0.0</v>
      </c>
      <c r="E116" s="8" t="s">
        <v>4284</v>
      </c>
      <c r="F116" s="8" t="s">
        <v>5565</v>
      </c>
      <c r="G116" s="8" t="s">
        <v>2556</v>
      </c>
      <c r="H116" s="8">
        <v>0.0</v>
      </c>
      <c r="I116" s="8" t="s">
        <v>164</v>
      </c>
      <c r="J116" s="8" t="s">
        <v>22</v>
      </c>
      <c r="K116" s="8" t="s">
        <v>941</v>
      </c>
      <c r="L116" s="8" t="s">
        <v>1803</v>
      </c>
      <c r="M116" s="9">
        <v>0.0</v>
      </c>
      <c r="N116" s="9">
        <v>0.1</v>
      </c>
      <c r="O116" s="9">
        <v>0.1</v>
      </c>
      <c r="P116" s="10">
        <v>45316.0</v>
      </c>
      <c r="Q116" s="11">
        <v>4.0</v>
      </c>
      <c r="R116" s="8" t="s">
        <v>25</v>
      </c>
      <c r="S116" s="12">
        <f t="shared" si="1"/>
        <v>-0.1</v>
      </c>
      <c r="T116" s="12">
        <f t="shared" si="4"/>
        <v>4.3053</v>
      </c>
    </row>
    <row r="117">
      <c r="A117" s="15">
        <f t="shared" si="3"/>
        <v>116</v>
      </c>
      <c r="B117" s="15" t="s">
        <v>26</v>
      </c>
      <c r="C117" s="15" t="s">
        <v>19</v>
      </c>
      <c r="D117" s="15">
        <v>0.0</v>
      </c>
      <c r="E117" s="15" t="s">
        <v>4285</v>
      </c>
      <c r="F117" s="15" t="s">
        <v>5565</v>
      </c>
      <c r="G117" s="15" t="s">
        <v>2556</v>
      </c>
      <c r="H117" s="15">
        <v>0.0</v>
      </c>
      <c r="I117" s="15" t="s">
        <v>164</v>
      </c>
      <c r="J117" s="15" t="s">
        <v>22</v>
      </c>
      <c r="K117" s="15" t="s">
        <v>225</v>
      </c>
      <c r="L117" s="15" t="s">
        <v>1803</v>
      </c>
      <c r="M117" s="16">
        <v>1.0</v>
      </c>
      <c r="N117" s="16">
        <v>0.5</v>
      </c>
      <c r="O117" s="16">
        <v>0.46</v>
      </c>
      <c r="P117" s="17">
        <v>45316.0</v>
      </c>
      <c r="Q117" s="18">
        <v>1.875</v>
      </c>
      <c r="R117" s="15" t="s">
        <v>25</v>
      </c>
      <c r="S117" s="19">
        <f t="shared" si="1"/>
        <v>-0.46</v>
      </c>
      <c r="T117" s="19">
        <f t="shared" si="4"/>
        <v>3.8453</v>
      </c>
    </row>
    <row r="118">
      <c r="A118" s="8">
        <f t="shared" si="3"/>
        <v>117</v>
      </c>
      <c r="B118" s="8" t="s">
        <v>26</v>
      </c>
      <c r="C118" s="8" t="s">
        <v>19</v>
      </c>
      <c r="D118" s="8">
        <v>0.0</v>
      </c>
      <c r="E118" s="8" t="s">
        <v>4284</v>
      </c>
      <c r="F118" s="8" t="s">
        <v>5565</v>
      </c>
      <c r="G118" s="8" t="s">
        <v>2556</v>
      </c>
      <c r="H118" s="8">
        <v>0.0</v>
      </c>
      <c r="I118" s="8" t="s">
        <v>164</v>
      </c>
      <c r="J118" s="8" t="s">
        <v>22</v>
      </c>
      <c r="K118" s="8" t="s">
        <v>941</v>
      </c>
      <c r="L118" s="8" t="s">
        <v>1803</v>
      </c>
      <c r="M118" s="9">
        <v>0.0</v>
      </c>
      <c r="N118" s="9">
        <v>0.1</v>
      </c>
      <c r="O118" s="9">
        <v>0.1</v>
      </c>
      <c r="P118" s="10">
        <v>45316.0</v>
      </c>
      <c r="Q118" s="11">
        <v>3.5</v>
      </c>
      <c r="R118" s="8" t="s">
        <v>25</v>
      </c>
      <c r="S118" s="12">
        <f t="shared" si="1"/>
        <v>-0.1</v>
      </c>
      <c r="T118" s="12">
        <f t="shared" si="4"/>
        <v>3.7453</v>
      </c>
    </row>
    <row r="119">
      <c r="A119" s="15">
        <f t="shared" si="3"/>
        <v>118</v>
      </c>
      <c r="B119" s="15" t="s">
        <v>4225</v>
      </c>
      <c r="C119" s="15" t="s">
        <v>40</v>
      </c>
      <c r="D119" s="15">
        <v>26.0</v>
      </c>
      <c r="E119" s="15" t="s">
        <v>4286</v>
      </c>
      <c r="F119" s="15" t="s">
        <v>5565</v>
      </c>
      <c r="G119" s="15" t="s">
        <v>2573</v>
      </c>
      <c r="H119" s="15">
        <v>5</v>
      </c>
      <c r="I119" s="15" t="s">
        <v>167</v>
      </c>
      <c r="J119" s="15" t="s">
        <v>22</v>
      </c>
      <c r="K119" s="15" t="s">
        <v>894</v>
      </c>
      <c r="L119" s="15" t="s">
        <v>24</v>
      </c>
      <c r="M119" s="16">
        <v>-0.75</v>
      </c>
      <c r="N119" s="16">
        <v>0.2</v>
      </c>
      <c r="O119" s="16">
        <v>0.2</v>
      </c>
      <c r="P119" s="17">
        <v>45316.0</v>
      </c>
      <c r="Q119" s="18">
        <v>1.725</v>
      </c>
      <c r="R119" s="15" t="s">
        <v>25</v>
      </c>
      <c r="S119" s="19">
        <f t="shared" si="1"/>
        <v>-0.2</v>
      </c>
      <c r="T119" s="19">
        <f t="shared" si="4"/>
        <v>3.5453</v>
      </c>
    </row>
    <row r="120">
      <c r="A120" s="8">
        <f t="shared" si="3"/>
        <v>119</v>
      </c>
      <c r="B120" s="8" t="s">
        <v>129</v>
      </c>
      <c r="C120" s="8" t="s">
        <v>19</v>
      </c>
      <c r="D120" s="8">
        <v>58.0</v>
      </c>
      <c r="E120" s="8" t="s">
        <v>4287</v>
      </c>
      <c r="F120" s="8" t="s">
        <v>5565</v>
      </c>
      <c r="G120" s="8" t="s">
        <v>2660</v>
      </c>
      <c r="H120" s="8">
        <v>0.0</v>
      </c>
      <c r="I120" s="8" t="s">
        <v>248</v>
      </c>
      <c r="J120" s="8" t="s">
        <v>22</v>
      </c>
      <c r="K120" s="8" t="s">
        <v>892</v>
      </c>
      <c r="L120" s="8" t="s">
        <v>24</v>
      </c>
      <c r="M120" s="9">
        <v>0.0</v>
      </c>
      <c r="N120" s="9">
        <v>1.0</v>
      </c>
      <c r="O120" s="9">
        <v>1.0</v>
      </c>
      <c r="P120" s="10">
        <v>45316.0</v>
      </c>
      <c r="Q120" s="11">
        <v>1.675</v>
      </c>
      <c r="R120" s="8" t="s">
        <v>70</v>
      </c>
      <c r="S120" s="12">
        <f t="shared" si="1"/>
        <v>0</v>
      </c>
      <c r="T120" s="12">
        <f t="shared" si="4"/>
        <v>3.5453</v>
      </c>
    </row>
    <row r="121">
      <c r="A121" s="15">
        <f t="shared" si="3"/>
        <v>120</v>
      </c>
      <c r="B121" s="15" t="s">
        <v>131</v>
      </c>
      <c r="C121" s="15" t="s">
        <v>40</v>
      </c>
      <c r="D121" s="15">
        <v>19.0</v>
      </c>
      <c r="E121" s="15" t="s">
        <v>4288</v>
      </c>
      <c r="F121" s="15" t="s">
        <v>5564</v>
      </c>
      <c r="G121" s="15" t="s">
        <v>2556</v>
      </c>
      <c r="H121" s="15">
        <v>0.0</v>
      </c>
      <c r="I121" s="15" t="s">
        <v>465</v>
      </c>
      <c r="J121" s="15" t="s">
        <v>22</v>
      </c>
      <c r="K121" s="15" t="s">
        <v>225</v>
      </c>
      <c r="L121" s="15" t="s">
        <v>24</v>
      </c>
      <c r="M121" s="16">
        <v>0.5</v>
      </c>
      <c r="N121" s="16">
        <v>1.0</v>
      </c>
      <c r="O121" s="16">
        <v>1.0</v>
      </c>
      <c r="P121" s="17">
        <v>45316.0</v>
      </c>
      <c r="Q121" s="18">
        <v>1.8</v>
      </c>
      <c r="R121" s="15" t="s">
        <v>33</v>
      </c>
      <c r="S121" s="19">
        <f t="shared" si="1"/>
        <v>0.8</v>
      </c>
      <c r="T121" s="19">
        <f t="shared" si="4"/>
        <v>4.3453</v>
      </c>
    </row>
    <row r="122">
      <c r="A122" s="8">
        <f t="shared" si="3"/>
        <v>121</v>
      </c>
      <c r="B122" s="8" t="s">
        <v>26</v>
      </c>
      <c r="C122" s="8" t="s">
        <v>19</v>
      </c>
      <c r="D122" s="8">
        <v>0.0</v>
      </c>
      <c r="E122" s="8" t="s">
        <v>4289</v>
      </c>
      <c r="F122" s="8" t="s">
        <v>5564</v>
      </c>
      <c r="G122" s="8" t="s">
        <v>2660</v>
      </c>
      <c r="H122" s="8">
        <v>0.0</v>
      </c>
      <c r="I122" s="8" t="s">
        <v>82</v>
      </c>
      <c r="J122" s="8" t="s">
        <v>22</v>
      </c>
      <c r="K122" s="8" t="s">
        <v>1150</v>
      </c>
      <c r="L122" s="8" t="s">
        <v>39</v>
      </c>
      <c r="M122" s="9">
        <v>0.0</v>
      </c>
      <c r="N122" s="9">
        <v>0.3</v>
      </c>
      <c r="O122" s="9">
        <v>0.3</v>
      </c>
      <c r="P122" s="10">
        <v>45316.0</v>
      </c>
      <c r="Q122" s="11">
        <v>1.75</v>
      </c>
      <c r="R122" s="8" t="s">
        <v>70</v>
      </c>
      <c r="S122" s="12">
        <f t="shared" si="1"/>
        <v>0</v>
      </c>
      <c r="T122" s="12">
        <f t="shared" si="4"/>
        <v>4.3453</v>
      </c>
    </row>
    <row r="123">
      <c r="A123" s="15">
        <f t="shared" si="3"/>
        <v>122</v>
      </c>
      <c r="B123" s="15" t="s">
        <v>129</v>
      </c>
      <c r="C123" s="15" t="s">
        <v>19</v>
      </c>
      <c r="D123" s="15">
        <v>76.0</v>
      </c>
      <c r="E123" s="15" t="s">
        <v>4290</v>
      </c>
      <c r="F123" s="15" t="s">
        <v>5564</v>
      </c>
      <c r="G123" s="15" t="s">
        <v>2556</v>
      </c>
      <c r="H123" s="15">
        <v>-1.0</v>
      </c>
      <c r="I123" s="15" t="s">
        <v>174</v>
      </c>
      <c r="J123" s="15" t="s">
        <v>22</v>
      </c>
      <c r="K123" s="15" t="s">
        <v>225</v>
      </c>
      <c r="L123" s="15" t="s">
        <v>24</v>
      </c>
      <c r="M123" s="16">
        <v>0.25</v>
      </c>
      <c r="N123" s="16">
        <v>0.5</v>
      </c>
      <c r="O123" s="16">
        <v>0.5</v>
      </c>
      <c r="P123" s="55">
        <v>45317.0</v>
      </c>
      <c r="Q123" s="18">
        <v>1.725</v>
      </c>
      <c r="R123" s="15" t="s">
        <v>33</v>
      </c>
      <c r="S123" s="19">
        <f t="shared" si="1"/>
        <v>0.3625</v>
      </c>
      <c r="T123" s="19">
        <f t="shared" si="4"/>
        <v>4.7078</v>
      </c>
    </row>
    <row r="124">
      <c r="A124" s="8">
        <f t="shared" si="3"/>
        <v>123</v>
      </c>
      <c r="B124" s="8" t="s">
        <v>4225</v>
      </c>
      <c r="C124" s="8" t="s">
        <v>19</v>
      </c>
      <c r="D124" s="8">
        <v>0.0</v>
      </c>
      <c r="E124" s="8" t="s">
        <v>4291</v>
      </c>
      <c r="F124" s="8" t="s">
        <v>5564</v>
      </c>
      <c r="G124" s="8" t="s">
        <v>2556</v>
      </c>
      <c r="H124" s="8">
        <v>0.0</v>
      </c>
      <c r="I124" s="8" t="s">
        <v>820</v>
      </c>
      <c r="J124" s="8" t="s">
        <v>22</v>
      </c>
      <c r="K124" s="8" t="s">
        <v>225</v>
      </c>
      <c r="L124" s="8" t="s">
        <v>2201</v>
      </c>
      <c r="M124" s="9">
        <v>0.5</v>
      </c>
      <c r="N124" s="9">
        <v>0.1</v>
      </c>
      <c r="O124" s="9">
        <v>0.1</v>
      </c>
      <c r="P124" s="10">
        <v>45317.0</v>
      </c>
      <c r="Q124" s="11">
        <v>1.75</v>
      </c>
      <c r="R124" s="8" t="s">
        <v>33</v>
      </c>
      <c r="S124" s="12">
        <f t="shared" si="1"/>
        <v>0.075</v>
      </c>
      <c r="T124" s="12">
        <f t="shared" si="4"/>
        <v>4.7828</v>
      </c>
    </row>
    <row r="125">
      <c r="A125" s="15">
        <f t="shared" si="3"/>
        <v>124</v>
      </c>
      <c r="B125" s="15" t="s">
        <v>129</v>
      </c>
      <c r="C125" s="15" t="s">
        <v>19</v>
      </c>
      <c r="D125" s="15">
        <v>27.0</v>
      </c>
      <c r="E125" s="15" t="s">
        <v>4292</v>
      </c>
      <c r="F125" s="15" t="s">
        <v>5565</v>
      </c>
      <c r="G125" s="15" t="s">
        <v>2660</v>
      </c>
      <c r="H125" s="15">
        <v>0.0</v>
      </c>
      <c r="I125" s="15" t="s">
        <v>4293</v>
      </c>
      <c r="J125" s="15" t="s">
        <v>22</v>
      </c>
      <c r="K125" s="15" t="s">
        <v>892</v>
      </c>
      <c r="L125" s="15" t="s">
        <v>24</v>
      </c>
      <c r="M125" s="16">
        <v>0.0</v>
      </c>
      <c r="N125" s="16">
        <v>0.2</v>
      </c>
      <c r="O125" s="16">
        <v>0.2</v>
      </c>
      <c r="P125" s="17">
        <v>45317.0</v>
      </c>
      <c r="Q125" s="18">
        <v>1.7</v>
      </c>
      <c r="R125" s="15" t="s">
        <v>33</v>
      </c>
      <c r="S125" s="19">
        <f t="shared" si="1"/>
        <v>0.14</v>
      </c>
      <c r="T125" s="19">
        <f t="shared" si="4"/>
        <v>4.9228</v>
      </c>
    </row>
    <row r="126">
      <c r="A126" s="8">
        <f t="shared" si="3"/>
        <v>125</v>
      </c>
      <c r="B126" s="8" t="s">
        <v>137</v>
      </c>
      <c r="C126" s="8" t="s">
        <v>19</v>
      </c>
      <c r="D126" s="8">
        <v>31.0</v>
      </c>
      <c r="E126" s="8" t="s">
        <v>4294</v>
      </c>
      <c r="F126" s="8" t="s">
        <v>5564</v>
      </c>
      <c r="G126" s="8" t="s">
        <v>2556</v>
      </c>
      <c r="H126" s="8">
        <v>0.0</v>
      </c>
      <c r="I126" s="8" t="s">
        <v>68</v>
      </c>
      <c r="J126" s="8" t="s">
        <v>22</v>
      </c>
      <c r="K126" s="8" t="s">
        <v>225</v>
      </c>
      <c r="L126" s="8" t="s">
        <v>24</v>
      </c>
      <c r="M126" s="9">
        <v>0.25</v>
      </c>
      <c r="N126" s="9">
        <v>0.8</v>
      </c>
      <c r="O126" s="9">
        <v>0.8</v>
      </c>
      <c r="P126" s="54">
        <v>45317.0</v>
      </c>
      <c r="Q126" s="11">
        <v>1.1481</v>
      </c>
      <c r="R126" s="8" t="s">
        <v>33</v>
      </c>
      <c r="S126" s="12">
        <f t="shared" si="1"/>
        <v>0.11848</v>
      </c>
      <c r="T126" s="12">
        <f t="shared" si="4"/>
        <v>5.04128</v>
      </c>
    </row>
    <row r="127">
      <c r="A127" s="15">
        <f t="shared" si="3"/>
        <v>126</v>
      </c>
      <c r="B127" s="15" t="s">
        <v>137</v>
      </c>
      <c r="C127" s="15" t="s">
        <v>19</v>
      </c>
      <c r="D127" s="15">
        <v>34.0</v>
      </c>
      <c r="E127" s="15" t="s">
        <v>4295</v>
      </c>
      <c r="F127" s="15" t="s">
        <v>5564</v>
      </c>
      <c r="G127" s="15" t="s">
        <v>2556</v>
      </c>
      <c r="H127" s="15">
        <v>0.0</v>
      </c>
      <c r="I127" s="15" t="s">
        <v>68</v>
      </c>
      <c r="J127" s="15" t="s">
        <v>22</v>
      </c>
      <c r="K127" s="15" t="s">
        <v>941</v>
      </c>
      <c r="L127" s="15" t="s">
        <v>24</v>
      </c>
      <c r="M127" s="16">
        <v>0.0</v>
      </c>
      <c r="N127" s="16">
        <v>0.2</v>
      </c>
      <c r="O127" s="16">
        <v>0.2</v>
      </c>
      <c r="P127" s="17">
        <v>45317.0</v>
      </c>
      <c r="Q127" s="18">
        <v>1.1269</v>
      </c>
      <c r="R127" s="15" t="s">
        <v>33</v>
      </c>
      <c r="S127" s="19">
        <f t="shared" si="1"/>
        <v>0.02538</v>
      </c>
      <c r="T127" s="19">
        <f t="shared" si="4"/>
        <v>5.06666</v>
      </c>
    </row>
    <row r="128">
      <c r="A128" s="8">
        <f t="shared" si="3"/>
        <v>127</v>
      </c>
      <c r="B128" s="8" t="s">
        <v>4225</v>
      </c>
      <c r="C128" s="8" t="s">
        <v>19</v>
      </c>
      <c r="D128" s="8">
        <v>21.0</v>
      </c>
      <c r="E128" s="8" t="s">
        <v>4296</v>
      </c>
      <c r="F128" s="8" t="s">
        <v>5565</v>
      </c>
      <c r="G128" s="8" t="s">
        <v>2660</v>
      </c>
      <c r="H128" s="8">
        <v>0.0</v>
      </c>
      <c r="I128" s="8" t="s">
        <v>28</v>
      </c>
      <c r="J128" s="8" t="s">
        <v>22</v>
      </c>
      <c r="K128" s="8" t="s">
        <v>1150</v>
      </c>
      <c r="L128" s="8" t="s">
        <v>2201</v>
      </c>
      <c r="M128" s="9">
        <v>0.0</v>
      </c>
      <c r="N128" s="9">
        <v>0.25</v>
      </c>
      <c r="O128" s="9">
        <v>0.25</v>
      </c>
      <c r="P128" s="10">
        <v>45317.0</v>
      </c>
      <c r="Q128" s="11">
        <v>1.7</v>
      </c>
      <c r="R128" s="8" t="s">
        <v>25</v>
      </c>
      <c r="S128" s="12">
        <f t="shared" si="1"/>
        <v>-0.25</v>
      </c>
      <c r="T128" s="12">
        <f t="shared" si="4"/>
        <v>4.81666</v>
      </c>
    </row>
    <row r="129">
      <c r="A129" s="15">
        <f t="shared" si="3"/>
        <v>128</v>
      </c>
      <c r="B129" s="15" t="s">
        <v>129</v>
      </c>
      <c r="C129" s="15" t="s">
        <v>19</v>
      </c>
      <c r="D129" s="15">
        <v>60.0</v>
      </c>
      <c r="E129" s="15" t="s">
        <v>4297</v>
      </c>
      <c r="F129" s="15" t="s">
        <v>5564</v>
      </c>
      <c r="G129" s="15" t="s">
        <v>2660</v>
      </c>
      <c r="H129" s="15">
        <v>0.0</v>
      </c>
      <c r="I129" s="15" t="s">
        <v>248</v>
      </c>
      <c r="J129" s="15" t="s">
        <v>22</v>
      </c>
      <c r="K129" s="15" t="s">
        <v>892</v>
      </c>
      <c r="L129" s="15" t="s">
        <v>24</v>
      </c>
      <c r="M129" s="16">
        <v>0.0</v>
      </c>
      <c r="N129" s="16">
        <v>0.5</v>
      </c>
      <c r="O129" s="16">
        <v>0.5</v>
      </c>
      <c r="P129" s="17">
        <v>45317.0</v>
      </c>
      <c r="Q129" s="18">
        <v>1.675</v>
      </c>
      <c r="R129" s="15" t="s">
        <v>70</v>
      </c>
      <c r="S129" s="19">
        <f t="shared" si="1"/>
        <v>0</v>
      </c>
      <c r="T129" s="19">
        <f t="shared" si="4"/>
        <v>4.81666</v>
      </c>
    </row>
    <row r="130">
      <c r="A130" s="8">
        <f t="shared" si="3"/>
        <v>129</v>
      </c>
      <c r="B130" s="8" t="s">
        <v>4225</v>
      </c>
      <c r="C130" s="8" t="s">
        <v>19</v>
      </c>
      <c r="D130" s="8">
        <v>0.0</v>
      </c>
      <c r="E130" s="8" t="s">
        <v>4298</v>
      </c>
      <c r="F130" s="8" t="s">
        <v>5564</v>
      </c>
      <c r="G130" s="8" t="s">
        <v>2573</v>
      </c>
      <c r="H130" s="8">
        <v>0.0</v>
      </c>
      <c r="I130" s="8" t="s">
        <v>38</v>
      </c>
      <c r="J130" s="8" t="s">
        <v>22</v>
      </c>
      <c r="K130" s="8" t="s">
        <v>894</v>
      </c>
      <c r="L130" s="8" t="s">
        <v>2201</v>
      </c>
      <c r="M130" s="9">
        <v>-0.5</v>
      </c>
      <c r="N130" s="9">
        <v>0.1</v>
      </c>
      <c r="O130" s="9">
        <v>0.1</v>
      </c>
      <c r="P130" s="10">
        <v>45317.0</v>
      </c>
      <c r="Q130" s="11">
        <v>1.95</v>
      </c>
      <c r="R130" s="8" t="s">
        <v>25</v>
      </c>
      <c r="S130" s="12">
        <f t="shared" si="1"/>
        <v>-0.1</v>
      </c>
      <c r="T130" s="12">
        <f t="shared" si="4"/>
        <v>4.71666</v>
      </c>
    </row>
    <row r="131">
      <c r="A131" s="15">
        <f t="shared" si="3"/>
        <v>130</v>
      </c>
      <c r="B131" s="15" t="s">
        <v>26</v>
      </c>
      <c r="C131" s="15" t="s">
        <v>19</v>
      </c>
      <c r="D131" s="15">
        <v>30.0</v>
      </c>
      <c r="E131" s="15" t="s">
        <v>4299</v>
      </c>
      <c r="F131" s="15" t="s">
        <v>5565</v>
      </c>
      <c r="G131" s="15" t="s">
        <v>2556</v>
      </c>
      <c r="H131" s="15">
        <f>1</f>
        <v>1</v>
      </c>
      <c r="I131" s="15" t="s">
        <v>28</v>
      </c>
      <c r="J131" s="15" t="s">
        <v>22</v>
      </c>
      <c r="K131" s="15" t="s">
        <v>225</v>
      </c>
      <c r="L131" s="15" t="s">
        <v>24</v>
      </c>
      <c r="M131" s="16">
        <v>0.75</v>
      </c>
      <c r="N131" s="16">
        <v>0.2</v>
      </c>
      <c r="O131" s="16">
        <v>0.2</v>
      </c>
      <c r="P131" s="17">
        <v>45317.0</v>
      </c>
      <c r="Q131" s="18">
        <v>1.9</v>
      </c>
      <c r="R131" s="15" t="s">
        <v>33</v>
      </c>
      <c r="S131" s="19">
        <f t="shared" si="1"/>
        <v>0.18</v>
      </c>
      <c r="T131" s="19">
        <f t="shared" si="4"/>
        <v>4.89666</v>
      </c>
    </row>
    <row r="132">
      <c r="A132" s="8">
        <f t="shared" si="3"/>
        <v>131</v>
      </c>
      <c r="B132" s="8" t="s">
        <v>26</v>
      </c>
      <c r="C132" s="8" t="s">
        <v>19</v>
      </c>
      <c r="D132" s="8">
        <v>20.0</v>
      </c>
      <c r="E132" s="8" t="s">
        <v>4300</v>
      </c>
      <c r="F132" s="8" t="s">
        <v>5565</v>
      </c>
      <c r="G132" s="8" t="s">
        <v>2660</v>
      </c>
      <c r="H132" s="8">
        <v>0.0</v>
      </c>
      <c r="I132" s="8" t="s">
        <v>44</v>
      </c>
      <c r="J132" s="8" t="s">
        <v>22</v>
      </c>
      <c r="K132" s="8" t="s">
        <v>1150</v>
      </c>
      <c r="L132" s="8" t="s">
        <v>24</v>
      </c>
      <c r="M132" s="9">
        <v>0.0</v>
      </c>
      <c r="N132" s="9">
        <v>0.6</v>
      </c>
      <c r="O132" s="9">
        <v>0.6</v>
      </c>
      <c r="P132" s="10">
        <v>45318.0</v>
      </c>
      <c r="Q132" s="11">
        <v>1.85</v>
      </c>
      <c r="R132" s="8" t="s">
        <v>70</v>
      </c>
      <c r="S132" s="12">
        <f t="shared" si="1"/>
        <v>0</v>
      </c>
      <c r="T132" s="12">
        <f t="shared" si="4"/>
        <v>4.89666</v>
      </c>
    </row>
    <row r="133">
      <c r="A133" s="15">
        <f t="shared" si="3"/>
        <v>132</v>
      </c>
      <c r="B133" s="15" t="s">
        <v>26</v>
      </c>
      <c r="C133" s="15" t="s">
        <v>19</v>
      </c>
      <c r="D133" s="15">
        <v>60.0</v>
      </c>
      <c r="E133" s="15" t="s">
        <v>4301</v>
      </c>
      <c r="F133" s="15" t="s">
        <v>5565</v>
      </c>
      <c r="G133" s="15" t="s">
        <v>2660</v>
      </c>
      <c r="H133" s="15">
        <f>1</f>
        <v>1</v>
      </c>
      <c r="I133" s="15" t="s">
        <v>167</v>
      </c>
      <c r="J133" s="15" t="s">
        <v>22</v>
      </c>
      <c r="K133" s="15" t="s">
        <v>892</v>
      </c>
      <c r="L133" s="15" t="s">
        <v>24</v>
      </c>
      <c r="M133" s="16">
        <v>0.0</v>
      </c>
      <c r="N133" s="16">
        <v>0.2</v>
      </c>
      <c r="O133" s="16">
        <v>0.2</v>
      </c>
      <c r="P133" s="17">
        <v>45318.0</v>
      </c>
      <c r="Q133" s="18">
        <v>1.7</v>
      </c>
      <c r="R133" s="15" t="s">
        <v>33</v>
      </c>
      <c r="S133" s="19">
        <f t="shared" si="1"/>
        <v>0.14</v>
      </c>
      <c r="T133" s="19">
        <f t="shared" si="4"/>
        <v>5.03666</v>
      </c>
    </row>
    <row r="134">
      <c r="A134" s="8">
        <f t="shared" si="3"/>
        <v>133</v>
      </c>
      <c r="B134" s="8" t="s">
        <v>26</v>
      </c>
      <c r="C134" s="8" t="s">
        <v>19</v>
      </c>
      <c r="D134" s="8">
        <v>71.0</v>
      </c>
      <c r="E134" s="8" t="s">
        <v>4302</v>
      </c>
      <c r="F134" s="8" t="s">
        <v>5565</v>
      </c>
      <c r="G134" s="8" t="s">
        <v>2660</v>
      </c>
      <c r="H134" s="8">
        <v>0.0</v>
      </c>
      <c r="I134" s="8" t="s">
        <v>44</v>
      </c>
      <c r="J134" s="8" t="s">
        <v>22</v>
      </c>
      <c r="K134" s="8" t="s">
        <v>892</v>
      </c>
      <c r="L134" s="8" t="s">
        <v>24</v>
      </c>
      <c r="M134" s="9">
        <v>0.0</v>
      </c>
      <c r="N134" s="9">
        <v>1.0</v>
      </c>
      <c r="O134" s="9">
        <v>1.0</v>
      </c>
      <c r="P134" s="10">
        <v>45318.0</v>
      </c>
      <c r="Q134" s="11">
        <v>1.8</v>
      </c>
      <c r="R134" s="8" t="s">
        <v>33</v>
      </c>
      <c r="S134" s="12">
        <f t="shared" si="1"/>
        <v>0.8</v>
      </c>
      <c r="T134" s="12">
        <f t="shared" si="4"/>
        <v>5.83666</v>
      </c>
    </row>
    <row r="135">
      <c r="A135" s="15">
        <f t="shared" si="3"/>
        <v>134</v>
      </c>
      <c r="B135" s="15" t="s">
        <v>137</v>
      </c>
      <c r="C135" s="15" t="s">
        <v>19</v>
      </c>
      <c r="D135" s="15">
        <v>80.0</v>
      </c>
      <c r="E135" s="15" t="s">
        <v>4303</v>
      </c>
      <c r="F135" s="15" t="s">
        <v>5565</v>
      </c>
      <c r="G135" s="15" t="s">
        <v>2660</v>
      </c>
      <c r="H135" s="15">
        <v>-1.0</v>
      </c>
      <c r="I135" s="15" t="s">
        <v>44</v>
      </c>
      <c r="J135" s="15" t="s">
        <v>22</v>
      </c>
      <c r="K135" s="15" t="s">
        <v>892</v>
      </c>
      <c r="L135" s="15" t="s">
        <v>24</v>
      </c>
      <c r="M135" s="16">
        <v>0.0</v>
      </c>
      <c r="N135" s="16">
        <v>0.5</v>
      </c>
      <c r="O135" s="16">
        <v>0.5</v>
      </c>
      <c r="P135" s="17">
        <v>45318.0</v>
      </c>
      <c r="Q135" s="18">
        <v>1.95</v>
      </c>
      <c r="R135" s="15" t="s">
        <v>70</v>
      </c>
      <c r="S135" s="19">
        <f t="shared" si="1"/>
        <v>0</v>
      </c>
      <c r="T135" s="19">
        <f t="shared" si="4"/>
        <v>5.83666</v>
      </c>
    </row>
    <row r="136">
      <c r="A136" s="8">
        <f t="shared" si="3"/>
        <v>135</v>
      </c>
      <c r="B136" s="8" t="s">
        <v>26</v>
      </c>
      <c r="C136" s="8" t="s">
        <v>19</v>
      </c>
      <c r="D136" s="8">
        <v>61.0</v>
      </c>
      <c r="E136" s="8" t="s">
        <v>4304</v>
      </c>
      <c r="F136" s="8" t="s">
        <v>5564</v>
      </c>
      <c r="G136" s="8" t="s">
        <v>2660</v>
      </c>
      <c r="H136" s="8">
        <v>-2.0</v>
      </c>
      <c r="I136" s="8" t="s">
        <v>354</v>
      </c>
      <c r="J136" s="8" t="s">
        <v>22</v>
      </c>
      <c r="K136" s="8" t="s">
        <v>892</v>
      </c>
      <c r="L136" s="8" t="s">
        <v>24</v>
      </c>
      <c r="M136" s="9">
        <v>0.0</v>
      </c>
      <c r="N136" s="9">
        <v>0.4</v>
      </c>
      <c r="O136" s="9">
        <v>0.4</v>
      </c>
      <c r="P136" s="10">
        <v>45318.0</v>
      </c>
      <c r="Q136" s="11">
        <v>2.25</v>
      </c>
      <c r="R136" s="8" t="s">
        <v>25</v>
      </c>
      <c r="S136" s="12">
        <f t="shared" si="1"/>
        <v>-0.4</v>
      </c>
      <c r="T136" s="12">
        <f t="shared" si="4"/>
        <v>5.43666</v>
      </c>
    </row>
    <row r="137">
      <c r="A137" s="15">
        <f t="shared" si="3"/>
        <v>136</v>
      </c>
      <c r="B137" s="15" t="s">
        <v>26</v>
      </c>
      <c r="C137" s="15" t="s">
        <v>19</v>
      </c>
      <c r="D137" s="15">
        <v>59.0</v>
      </c>
      <c r="E137" s="15" t="s">
        <v>4305</v>
      </c>
      <c r="F137" s="15" t="s">
        <v>5564</v>
      </c>
      <c r="G137" s="15" t="s">
        <v>2556</v>
      </c>
      <c r="H137" s="15">
        <v>0.0</v>
      </c>
      <c r="I137" s="15" t="s">
        <v>28</v>
      </c>
      <c r="J137" s="15" t="s">
        <v>22</v>
      </c>
      <c r="K137" s="15" t="s">
        <v>225</v>
      </c>
      <c r="L137" s="15" t="s">
        <v>1851</v>
      </c>
      <c r="M137" s="16">
        <v>0.25</v>
      </c>
      <c r="N137" s="16">
        <v>0.25</v>
      </c>
      <c r="O137" s="16">
        <v>0.25</v>
      </c>
      <c r="P137" s="55">
        <v>45318.0</v>
      </c>
      <c r="Q137" s="18">
        <v>1.725</v>
      </c>
      <c r="R137" s="15" t="s">
        <v>25</v>
      </c>
      <c r="S137" s="19">
        <f t="shared" si="1"/>
        <v>-0.25</v>
      </c>
      <c r="T137" s="19">
        <f t="shared" si="4"/>
        <v>5.18666</v>
      </c>
    </row>
    <row r="138">
      <c r="A138" s="8">
        <f t="shared" si="3"/>
        <v>137</v>
      </c>
      <c r="B138" s="8" t="s">
        <v>26</v>
      </c>
      <c r="C138" s="8" t="s">
        <v>19</v>
      </c>
      <c r="D138" s="114">
        <v>61.0</v>
      </c>
      <c r="E138" s="8" t="s">
        <v>4306</v>
      </c>
      <c r="F138" s="8" t="s">
        <v>5564</v>
      </c>
      <c r="G138" s="8" t="s">
        <v>2556</v>
      </c>
      <c r="H138" s="8">
        <v>0.0</v>
      </c>
      <c r="I138" s="8" t="s">
        <v>28</v>
      </c>
      <c r="J138" s="8" t="s">
        <v>22</v>
      </c>
      <c r="K138" s="8" t="s">
        <v>941</v>
      </c>
      <c r="L138" s="8" t="s">
        <v>24</v>
      </c>
      <c r="M138" s="9">
        <v>0.0</v>
      </c>
      <c r="N138" s="9">
        <v>0.5</v>
      </c>
      <c r="O138" s="9">
        <v>0.5</v>
      </c>
      <c r="P138" s="10">
        <v>45318.0</v>
      </c>
      <c r="Q138" s="11">
        <v>2.2</v>
      </c>
      <c r="R138" s="8" t="s">
        <v>25</v>
      </c>
      <c r="S138" s="12">
        <f t="shared" si="1"/>
        <v>-0.5</v>
      </c>
      <c r="T138" s="12">
        <f t="shared" si="4"/>
        <v>4.68666</v>
      </c>
    </row>
    <row r="139">
      <c r="A139" s="15">
        <f t="shared" si="3"/>
        <v>138</v>
      </c>
      <c r="B139" s="15" t="s">
        <v>129</v>
      </c>
      <c r="C139" s="15" t="s">
        <v>40</v>
      </c>
      <c r="D139" s="15">
        <v>28.0</v>
      </c>
      <c r="E139" s="15" t="s">
        <v>4307</v>
      </c>
      <c r="F139" s="15" t="s">
        <v>5564</v>
      </c>
      <c r="G139" s="15" t="s">
        <v>2556</v>
      </c>
      <c r="H139" s="15">
        <v>0.0</v>
      </c>
      <c r="I139" s="15" t="s">
        <v>644</v>
      </c>
      <c r="J139" s="15" t="s">
        <v>22</v>
      </c>
      <c r="K139" s="15" t="s">
        <v>225</v>
      </c>
      <c r="L139" s="15" t="s">
        <v>24</v>
      </c>
      <c r="M139" s="16">
        <v>0.25</v>
      </c>
      <c r="N139" s="16">
        <v>0.6</v>
      </c>
      <c r="O139" s="16">
        <v>0.52</v>
      </c>
      <c r="P139" s="17">
        <v>45318.0</v>
      </c>
      <c r="Q139" s="18">
        <v>1.9</v>
      </c>
      <c r="R139" s="15" t="s">
        <v>33</v>
      </c>
      <c r="S139" s="19">
        <f t="shared" si="1"/>
        <v>0.468</v>
      </c>
      <c r="T139" s="19">
        <f t="shared" si="4"/>
        <v>5.15466</v>
      </c>
    </row>
    <row r="140">
      <c r="A140" s="8">
        <f t="shared" si="3"/>
        <v>139</v>
      </c>
      <c r="B140" s="8" t="s">
        <v>129</v>
      </c>
      <c r="C140" s="8" t="s">
        <v>40</v>
      </c>
      <c r="D140" s="8">
        <v>29.0</v>
      </c>
      <c r="E140" s="8" t="s">
        <v>4308</v>
      </c>
      <c r="F140" s="8" t="s">
        <v>5564</v>
      </c>
      <c r="G140" s="8" t="s">
        <v>2556</v>
      </c>
      <c r="H140" s="8">
        <v>0.0</v>
      </c>
      <c r="I140" s="8" t="s">
        <v>644</v>
      </c>
      <c r="J140" s="8" t="s">
        <v>22</v>
      </c>
      <c r="K140" s="8" t="s">
        <v>941</v>
      </c>
      <c r="L140" s="8" t="s">
        <v>24</v>
      </c>
      <c r="M140" s="9">
        <v>0.0</v>
      </c>
      <c r="N140" s="9">
        <v>0.5</v>
      </c>
      <c r="O140" s="9">
        <v>0.5</v>
      </c>
      <c r="P140" s="54">
        <v>45318.0</v>
      </c>
      <c r="Q140" s="11">
        <v>1.7416</v>
      </c>
      <c r="R140" s="8" t="s">
        <v>33</v>
      </c>
      <c r="S140" s="12">
        <f t="shared" si="1"/>
        <v>0.3708</v>
      </c>
      <c r="T140" s="12">
        <f t="shared" si="4"/>
        <v>5.52546</v>
      </c>
    </row>
    <row r="141">
      <c r="A141" s="15">
        <f t="shared" si="3"/>
        <v>140</v>
      </c>
      <c r="B141" s="15" t="s">
        <v>137</v>
      </c>
      <c r="C141" s="15" t="s">
        <v>19</v>
      </c>
      <c r="D141" s="15">
        <v>73.0</v>
      </c>
      <c r="E141" s="15" t="s">
        <v>4309</v>
      </c>
      <c r="F141" s="15" t="s">
        <v>5564</v>
      </c>
      <c r="G141" s="15" t="s">
        <v>2660</v>
      </c>
      <c r="H141" s="15">
        <v>0.0</v>
      </c>
      <c r="I141" s="15" t="s">
        <v>273</v>
      </c>
      <c r="J141" s="15" t="s">
        <v>22</v>
      </c>
      <c r="K141" s="15" t="s">
        <v>892</v>
      </c>
      <c r="L141" s="15" t="s">
        <v>24</v>
      </c>
      <c r="M141" s="16">
        <v>0.0</v>
      </c>
      <c r="N141" s="16">
        <v>1.0</v>
      </c>
      <c r="O141" s="16">
        <v>0.97</v>
      </c>
      <c r="P141" s="17">
        <v>45318.0</v>
      </c>
      <c r="Q141" s="18">
        <v>1.9</v>
      </c>
      <c r="R141" s="15" t="s">
        <v>70</v>
      </c>
      <c r="S141" s="19">
        <f t="shared" si="1"/>
        <v>0</v>
      </c>
      <c r="T141" s="19">
        <f t="shared" si="4"/>
        <v>5.52546</v>
      </c>
    </row>
    <row r="142">
      <c r="A142" s="8">
        <f t="shared" si="3"/>
        <v>141</v>
      </c>
      <c r="B142" s="8" t="s">
        <v>26</v>
      </c>
      <c r="C142" s="8" t="s">
        <v>19</v>
      </c>
      <c r="D142" s="8">
        <v>32.0</v>
      </c>
      <c r="E142" s="8" t="s">
        <v>4310</v>
      </c>
      <c r="F142" s="8" t="s">
        <v>5564</v>
      </c>
      <c r="G142" s="8" t="s">
        <v>2556</v>
      </c>
      <c r="H142" s="8">
        <v>-1.0</v>
      </c>
      <c r="I142" s="8" t="s">
        <v>191</v>
      </c>
      <c r="J142" s="8" t="s">
        <v>22</v>
      </c>
      <c r="K142" s="8" t="s">
        <v>225</v>
      </c>
      <c r="L142" s="8" t="s">
        <v>24</v>
      </c>
      <c r="M142" s="9">
        <v>1.0</v>
      </c>
      <c r="N142" s="9">
        <v>0.4</v>
      </c>
      <c r="O142" s="9">
        <v>0.4</v>
      </c>
      <c r="P142" s="10">
        <v>45318.0</v>
      </c>
      <c r="Q142" s="11">
        <v>1.88</v>
      </c>
      <c r="R142" s="8" t="s">
        <v>25</v>
      </c>
      <c r="S142" s="12">
        <f t="shared" si="1"/>
        <v>-0.4</v>
      </c>
      <c r="T142" s="12">
        <f t="shared" si="4"/>
        <v>5.12546</v>
      </c>
    </row>
    <row r="143">
      <c r="A143" s="15">
        <f t="shared" si="3"/>
        <v>142</v>
      </c>
      <c r="B143" s="15" t="s">
        <v>26</v>
      </c>
      <c r="C143" s="15" t="s">
        <v>19</v>
      </c>
      <c r="D143" s="15">
        <v>58.0</v>
      </c>
      <c r="E143" s="15" t="s">
        <v>4311</v>
      </c>
      <c r="F143" s="15" t="s">
        <v>5565</v>
      </c>
      <c r="G143" s="15" t="s">
        <v>2556</v>
      </c>
      <c r="H143" s="15">
        <f t="shared" ref="H143:H144" si="10">1</f>
        <v>1</v>
      </c>
      <c r="I143" s="15" t="s">
        <v>28</v>
      </c>
      <c r="J143" s="15" t="s">
        <v>22</v>
      </c>
      <c r="K143" s="15" t="s">
        <v>225</v>
      </c>
      <c r="L143" s="15" t="s">
        <v>24</v>
      </c>
      <c r="M143" s="16">
        <v>0.25</v>
      </c>
      <c r="N143" s="16">
        <v>0.5</v>
      </c>
      <c r="O143" s="16">
        <v>0.49</v>
      </c>
      <c r="P143" s="17">
        <v>45318.0</v>
      </c>
      <c r="Q143" s="18">
        <v>1.7</v>
      </c>
      <c r="R143" s="15" t="s">
        <v>33</v>
      </c>
      <c r="S143" s="19">
        <f t="shared" si="1"/>
        <v>0.343</v>
      </c>
      <c r="T143" s="19">
        <f t="shared" si="4"/>
        <v>5.46846</v>
      </c>
    </row>
    <row r="144">
      <c r="A144" s="8">
        <f t="shared" si="3"/>
        <v>143</v>
      </c>
      <c r="B144" s="8" t="s">
        <v>26</v>
      </c>
      <c r="C144" s="8" t="s">
        <v>19</v>
      </c>
      <c r="D144" s="8">
        <v>60.0</v>
      </c>
      <c r="E144" s="8" t="s">
        <v>4312</v>
      </c>
      <c r="F144" s="8" t="s">
        <v>5565</v>
      </c>
      <c r="G144" s="8" t="s">
        <v>2660</v>
      </c>
      <c r="H144" s="8">
        <f t="shared" si="10"/>
        <v>1</v>
      </c>
      <c r="I144" s="8" t="s">
        <v>28</v>
      </c>
      <c r="J144" s="8" t="s">
        <v>22</v>
      </c>
      <c r="K144" s="8" t="s">
        <v>892</v>
      </c>
      <c r="L144" s="8" t="s">
        <v>24</v>
      </c>
      <c r="M144" s="9">
        <v>0.0</v>
      </c>
      <c r="N144" s="9">
        <v>0.45</v>
      </c>
      <c r="O144" s="9">
        <v>0.38</v>
      </c>
      <c r="P144" s="10">
        <v>45318.0</v>
      </c>
      <c r="Q144" s="11">
        <v>1.833</v>
      </c>
      <c r="R144" s="8" t="s">
        <v>33</v>
      </c>
      <c r="S144" s="12">
        <f t="shared" si="1"/>
        <v>0.31654</v>
      </c>
      <c r="T144" s="12">
        <f t="shared" si="4"/>
        <v>5.785</v>
      </c>
    </row>
    <row r="145">
      <c r="A145" s="15">
        <f t="shared" si="3"/>
        <v>144</v>
      </c>
      <c r="B145" s="15" t="s">
        <v>18</v>
      </c>
      <c r="C145" s="15" t="s">
        <v>19</v>
      </c>
      <c r="D145" s="15">
        <v>27.0</v>
      </c>
      <c r="E145" s="15" t="s">
        <v>4313</v>
      </c>
      <c r="F145" s="15" t="s">
        <v>5565</v>
      </c>
      <c r="G145" s="15" t="s">
        <v>2660</v>
      </c>
      <c r="H145" s="15">
        <v>0.0</v>
      </c>
      <c r="I145" s="15" t="s">
        <v>50</v>
      </c>
      <c r="J145" s="15" t="s">
        <v>22</v>
      </c>
      <c r="K145" s="15" t="s">
        <v>1150</v>
      </c>
      <c r="L145" s="15" t="s">
        <v>39</v>
      </c>
      <c r="M145" s="16">
        <v>0.0</v>
      </c>
      <c r="N145" s="16">
        <v>0.25</v>
      </c>
      <c r="O145" s="16">
        <v>0.25</v>
      </c>
      <c r="P145" s="17">
        <v>45318.0</v>
      </c>
      <c r="Q145" s="18">
        <v>1.8</v>
      </c>
      <c r="R145" s="15" t="s">
        <v>70</v>
      </c>
      <c r="S145" s="19">
        <f t="shared" si="1"/>
        <v>0</v>
      </c>
      <c r="T145" s="19">
        <f t="shared" si="4"/>
        <v>5.785</v>
      </c>
    </row>
    <row r="146">
      <c r="A146" s="8">
        <f t="shared" si="3"/>
        <v>145</v>
      </c>
      <c r="B146" s="8" t="s">
        <v>26</v>
      </c>
      <c r="C146" s="8" t="s">
        <v>19</v>
      </c>
      <c r="D146" s="8">
        <v>20.0</v>
      </c>
      <c r="E146" s="8" t="s">
        <v>4314</v>
      </c>
      <c r="F146" s="8" t="s">
        <v>5565</v>
      </c>
      <c r="G146" s="8" t="s">
        <v>2556</v>
      </c>
      <c r="H146" s="8">
        <v>0.0</v>
      </c>
      <c r="I146" s="8" t="s">
        <v>644</v>
      </c>
      <c r="J146" s="8" t="s">
        <v>22</v>
      </c>
      <c r="K146" s="8" t="s">
        <v>225</v>
      </c>
      <c r="L146" s="8" t="s">
        <v>24</v>
      </c>
      <c r="M146" s="9">
        <v>0.5</v>
      </c>
      <c r="N146" s="9">
        <v>0.4</v>
      </c>
      <c r="O146" s="9">
        <v>0.0844</v>
      </c>
      <c r="P146" s="10">
        <v>45318.0</v>
      </c>
      <c r="Q146" s="11">
        <v>1.775</v>
      </c>
      <c r="R146" s="8" t="s">
        <v>25</v>
      </c>
      <c r="S146" s="12">
        <f t="shared" si="1"/>
        <v>-0.0844</v>
      </c>
      <c r="T146" s="12">
        <f t="shared" si="4"/>
        <v>5.7006</v>
      </c>
    </row>
    <row r="147">
      <c r="A147" s="15">
        <f t="shared" si="3"/>
        <v>146</v>
      </c>
      <c r="B147" s="15" t="s">
        <v>26</v>
      </c>
      <c r="C147" s="15" t="s">
        <v>19</v>
      </c>
      <c r="D147" s="15">
        <v>20.0</v>
      </c>
      <c r="E147" s="15" t="s">
        <v>4314</v>
      </c>
      <c r="F147" s="15" t="s">
        <v>5565</v>
      </c>
      <c r="G147" s="15" t="s">
        <v>2556</v>
      </c>
      <c r="H147" s="15">
        <v>0.0</v>
      </c>
      <c r="I147" s="15" t="s">
        <v>644</v>
      </c>
      <c r="J147" s="15" t="s">
        <v>22</v>
      </c>
      <c r="K147" s="15" t="s">
        <v>1150</v>
      </c>
      <c r="L147" s="15" t="s">
        <v>24</v>
      </c>
      <c r="M147" s="16">
        <v>0.0</v>
      </c>
      <c r="N147" s="16">
        <v>0.1</v>
      </c>
      <c r="O147" s="16">
        <v>0.1</v>
      </c>
      <c r="P147" s="17">
        <v>45318.0</v>
      </c>
      <c r="Q147" s="18">
        <v>2.4</v>
      </c>
      <c r="R147" s="15" t="s">
        <v>70</v>
      </c>
      <c r="S147" s="19">
        <f t="shared" si="1"/>
        <v>0</v>
      </c>
      <c r="T147" s="19">
        <f t="shared" si="4"/>
        <v>5.7006</v>
      </c>
    </row>
    <row r="148">
      <c r="A148" s="8">
        <f t="shared" si="3"/>
        <v>147</v>
      </c>
      <c r="B148" s="8" t="s">
        <v>26</v>
      </c>
      <c r="C148" s="8" t="s">
        <v>19</v>
      </c>
      <c r="D148" s="8">
        <v>30.0</v>
      </c>
      <c r="E148" s="8" t="s">
        <v>4315</v>
      </c>
      <c r="F148" s="8" t="s">
        <v>5564</v>
      </c>
      <c r="G148" s="8" t="s">
        <v>2573</v>
      </c>
      <c r="H148" s="8" t="s">
        <v>2594</v>
      </c>
      <c r="I148" s="8" t="s">
        <v>82</v>
      </c>
      <c r="J148" s="8" t="s">
        <v>22</v>
      </c>
      <c r="K148" s="8" t="s">
        <v>894</v>
      </c>
      <c r="L148" s="8" t="s">
        <v>24</v>
      </c>
      <c r="M148" s="9">
        <v>-0.75</v>
      </c>
      <c r="N148" s="9">
        <v>0.1</v>
      </c>
      <c r="O148" s="9">
        <v>0.1</v>
      </c>
      <c r="P148" s="10">
        <v>45318.0</v>
      </c>
      <c r="Q148" s="11">
        <v>1.9</v>
      </c>
      <c r="R148" s="8" t="s">
        <v>30</v>
      </c>
      <c r="S148" s="12">
        <f t="shared" si="1"/>
        <v>0.045</v>
      </c>
      <c r="T148" s="12">
        <f t="shared" si="4"/>
        <v>5.7456</v>
      </c>
    </row>
    <row r="149">
      <c r="A149" s="15">
        <f t="shared" si="3"/>
        <v>148</v>
      </c>
      <c r="B149" s="15" t="s">
        <v>129</v>
      </c>
      <c r="C149" s="15" t="s">
        <v>40</v>
      </c>
      <c r="D149" s="15">
        <v>25.0</v>
      </c>
      <c r="E149" s="15" t="s">
        <v>4316</v>
      </c>
      <c r="F149" s="15" t="s">
        <v>5565</v>
      </c>
      <c r="G149" s="15" t="s">
        <v>2556</v>
      </c>
      <c r="H149" s="15">
        <f t="shared" ref="H149:H152" si="11">1</f>
        <v>1</v>
      </c>
      <c r="I149" s="15" t="s">
        <v>50</v>
      </c>
      <c r="J149" s="15" t="s">
        <v>22</v>
      </c>
      <c r="K149" s="15" t="s">
        <v>1847</v>
      </c>
      <c r="L149" s="15" t="s">
        <v>39</v>
      </c>
      <c r="M149" s="16">
        <v>-0.5</v>
      </c>
      <c r="N149" s="16">
        <v>0.25</v>
      </c>
      <c r="O149" s="16">
        <v>0.25</v>
      </c>
      <c r="P149" s="17">
        <v>45319.0</v>
      </c>
      <c r="Q149" s="18">
        <f>160.26/125</f>
        <v>1.28208</v>
      </c>
      <c r="R149" s="15" t="s">
        <v>33</v>
      </c>
      <c r="S149" s="19">
        <f t="shared" si="1"/>
        <v>0.07052</v>
      </c>
      <c r="T149" s="19">
        <f t="shared" si="4"/>
        <v>5.81612</v>
      </c>
    </row>
    <row r="150">
      <c r="A150" s="8">
        <f t="shared" si="3"/>
        <v>149</v>
      </c>
      <c r="B150" s="8" t="s">
        <v>129</v>
      </c>
      <c r="C150" s="8" t="s">
        <v>40</v>
      </c>
      <c r="D150" s="8">
        <v>25.0</v>
      </c>
      <c r="E150" s="8" t="s">
        <v>4317</v>
      </c>
      <c r="F150" s="8" t="s">
        <v>5565</v>
      </c>
      <c r="G150" s="8" t="s">
        <v>2556</v>
      </c>
      <c r="H150" s="8">
        <f t="shared" si="11"/>
        <v>1</v>
      </c>
      <c r="I150" s="8" t="s">
        <v>50</v>
      </c>
      <c r="J150" s="8" t="s">
        <v>22</v>
      </c>
      <c r="K150" s="8" t="s">
        <v>225</v>
      </c>
      <c r="L150" s="8" t="s">
        <v>39</v>
      </c>
      <c r="M150" s="9">
        <v>0.25</v>
      </c>
      <c r="N150" s="9">
        <v>0.25</v>
      </c>
      <c r="O150" s="9">
        <v>0.25</v>
      </c>
      <c r="P150" s="10">
        <v>45319.0</v>
      </c>
      <c r="Q150" s="11">
        <f>146.44/125</f>
        <v>1.17152</v>
      </c>
      <c r="R150" s="8" t="s">
        <v>33</v>
      </c>
      <c r="S150" s="12">
        <f t="shared" si="1"/>
        <v>0.04288</v>
      </c>
      <c r="T150" s="12">
        <f t="shared" si="4"/>
        <v>5.859</v>
      </c>
    </row>
    <row r="151">
      <c r="A151" s="15">
        <f t="shared" si="3"/>
        <v>150</v>
      </c>
      <c r="B151" s="15" t="s">
        <v>26</v>
      </c>
      <c r="C151" s="15" t="s">
        <v>19</v>
      </c>
      <c r="D151" s="15">
        <v>59.0</v>
      </c>
      <c r="E151" s="15" t="s">
        <v>4318</v>
      </c>
      <c r="F151" s="15" t="s">
        <v>5564</v>
      </c>
      <c r="G151" s="15" t="s">
        <v>2660</v>
      </c>
      <c r="H151" s="15">
        <f t="shared" si="11"/>
        <v>1</v>
      </c>
      <c r="I151" s="15" t="s">
        <v>121</v>
      </c>
      <c r="J151" s="15" t="s">
        <v>22</v>
      </c>
      <c r="K151" s="15" t="s">
        <v>892</v>
      </c>
      <c r="L151" s="15" t="s">
        <v>1522</v>
      </c>
      <c r="M151" s="16">
        <v>0.0</v>
      </c>
      <c r="N151" s="16">
        <v>1.0</v>
      </c>
      <c r="O151" s="16">
        <v>1.0</v>
      </c>
      <c r="P151" s="17">
        <v>45319.0</v>
      </c>
      <c r="Q151" s="18">
        <v>2.075</v>
      </c>
      <c r="R151" s="15" t="s">
        <v>70</v>
      </c>
      <c r="S151" s="19">
        <f t="shared" si="1"/>
        <v>0</v>
      </c>
      <c r="T151" s="19">
        <f t="shared" si="4"/>
        <v>5.859</v>
      </c>
    </row>
    <row r="152">
      <c r="A152" s="8">
        <f t="shared" si="3"/>
        <v>151</v>
      </c>
      <c r="B152" s="8" t="s">
        <v>18</v>
      </c>
      <c r="C152" s="8" t="s">
        <v>19</v>
      </c>
      <c r="D152" s="8">
        <v>27.0</v>
      </c>
      <c r="E152" s="8" t="s">
        <v>4319</v>
      </c>
      <c r="F152" s="8" t="s">
        <v>5564</v>
      </c>
      <c r="G152" s="8" t="s">
        <v>2556</v>
      </c>
      <c r="H152" s="8">
        <f t="shared" si="11"/>
        <v>1</v>
      </c>
      <c r="I152" s="8" t="s">
        <v>50</v>
      </c>
      <c r="J152" s="8" t="s">
        <v>22</v>
      </c>
      <c r="K152" s="8" t="s">
        <v>225</v>
      </c>
      <c r="L152" s="8" t="s">
        <v>24</v>
      </c>
      <c r="M152" s="9">
        <v>0.25</v>
      </c>
      <c r="N152" s="9">
        <v>0.5</v>
      </c>
      <c r="O152" s="9">
        <v>0.5</v>
      </c>
      <c r="P152" s="10">
        <v>45319.0</v>
      </c>
      <c r="Q152" s="11">
        <v>1.75</v>
      </c>
      <c r="R152" s="8" t="s">
        <v>33</v>
      </c>
      <c r="S152" s="12">
        <f t="shared" si="1"/>
        <v>0.375</v>
      </c>
      <c r="T152" s="12">
        <f t="shared" si="4"/>
        <v>6.234</v>
      </c>
    </row>
    <row r="153">
      <c r="A153" s="15">
        <f t="shared" si="3"/>
        <v>152</v>
      </c>
      <c r="B153" s="15" t="s">
        <v>18</v>
      </c>
      <c r="C153" s="15" t="s">
        <v>19</v>
      </c>
      <c r="D153" s="15">
        <v>27.0</v>
      </c>
      <c r="E153" s="15" t="s">
        <v>4320</v>
      </c>
      <c r="F153" s="15" t="s">
        <v>5564</v>
      </c>
      <c r="G153" s="15" t="s">
        <v>2660</v>
      </c>
      <c r="H153" s="15" t="s">
        <v>4321</v>
      </c>
      <c r="I153" s="15" t="s">
        <v>50</v>
      </c>
      <c r="J153" s="15" t="s">
        <v>22</v>
      </c>
      <c r="K153" s="15" t="s">
        <v>892</v>
      </c>
      <c r="L153" s="15" t="s">
        <v>24</v>
      </c>
      <c r="M153" s="16">
        <v>0.0</v>
      </c>
      <c r="N153" s="16">
        <v>0.25</v>
      </c>
      <c r="O153" s="16">
        <v>0.18</v>
      </c>
      <c r="P153" s="17">
        <v>45319.0</v>
      </c>
      <c r="Q153" s="18">
        <v>2.075</v>
      </c>
      <c r="R153" s="15" t="s">
        <v>33</v>
      </c>
      <c r="S153" s="19">
        <f t="shared" si="1"/>
        <v>0.1935</v>
      </c>
      <c r="T153" s="19">
        <f t="shared" si="4"/>
        <v>6.4275</v>
      </c>
    </row>
    <row r="154">
      <c r="A154" s="8">
        <f t="shared" si="3"/>
        <v>153</v>
      </c>
      <c r="B154" s="8" t="s">
        <v>129</v>
      </c>
      <c r="C154" s="8" t="s">
        <v>19</v>
      </c>
      <c r="D154" s="8">
        <v>42.0</v>
      </c>
      <c r="E154" s="8" t="s">
        <v>4322</v>
      </c>
      <c r="F154" s="8" t="s">
        <v>5564</v>
      </c>
      <c r="G154" s="8" t="s">
        <v>2556</v>
      </c>
      <c r="H154" s="8">
        <v>0.0</v>
      </c>
      <c r="I154" s="8" t="s">
        <v>93</v>
      </c>
      <c r="J154" s="8" t="s">
        <v>22</v>
      </c>
      <c r="K154" s="8" t="s">
        <v>225</v>
      </c>
      <c r="L154" s="8" t="s">
        <v>24</v>
      </c>
      <c r="M154" s="9">
        <v>0.25</v>
      </c>
      <c r="N154" s="9">
        <v>0.5</v>
      </c>
      <c r="O154" s="9">
        <v>0.5</v>
      </c>
      <c r="P154" s="10">
        <v>45319.0</v>
      </c>
      <c r="Q154" s="11">
        <v>1.725</v>
      </c>
      <c r="R154" s="8" t="s">
        <v>33</v>
      </c>
      <c r="S154" s="12">
        <f t="shared" si="1"/>
        <v>0.3625</v>
      </c>
      <c r="T154" s="12">
        <f t="shared" si="4"/>
        <v>6.79</v>
      </c>
    </row>
    <row r="155">
      <c r="A155" s="15">
        <f t="shared" si="3"/>
        <v>154</v>
      </c>
      <c r="B155" s="15" t="s">
        <v>26</v>
      </c>
      <c r="C155" s="15" t="s">
        <v>19</v>
      </c>
      <c r="D155" s="15">
        <v>58.0</v>
      </c>
      <c r="E155" s="15" t="s">
        <v>4323</v>
      </c>
      <c r="F155" s="15" t="s">
        <v>5565</v>
      </c>
      <c r="G155" s="15" t="s">
        <v>2660</v>
      </c>
      <c r="H155" s="15">
        <f>1</f>
        <v>1</v>
      </c>
      <c r="I155" s="15" t="s">
        <v>93</v>
      </c>
      <c r="J155" s="15" t="s">
        <v>22</v>
      </c>
      <c r="K155" s="15" t="s">
        <v>892</v>
      </c>
      <c r="L155" s="15" t="s">
        <v>1851</v>
      </c>
      <c r="M155" s="16">
        <v>0.0</v>
      </c>
      <c r="N155" s="16">
        <v>0.25</v>
      </c>
      <c r="O155" s="16">
        <v>0.25</v>
      </c>
      <c r="P155" s="55">
        <v>45319.0</v>
      </c>
      <c r="Q155" s="18">
        <v>1.725</v>
      </c>
      <c r="R155" s="15" t="s">
        <v>25</v>
      </c>
      <c r="S155" s="19">
        <f t="shared" si="1"/>
        <v>-0.25</v>
      </c>
      <c r="T155" s="19">
        <f t="shared" si="4"/>
        <v>6.54</v>
      </c>
    </row>
    <row r="156">
      <c r="A156" s="8">
        <f t="shared" si="3"/>
        <v>155</v>
      </c>
      <c r="B156" s="8" t="s">
        <v>26</v>
      </c>
      <c r="C156" s="8" t="s">
        <v>19</v>
      </c>
      <c r="D156" s="8">
        <v>63.0</v>
      </c>
      <c r="E156" s="8" t="s">
        <v>4324</v>
      </c>
      <c r="F156" s="8" t="s">
        <v>5564</v>
      </c>
      <c r="G156" s="8" t="s">
        <v>2660</v>
      </c>
      <c r="H156" s="8">
        <v>-1.0</v>
      </c>
      <c r="I156" s="8" t="s">
        <v>93</v>
      </c>
      <c r="J156" s="8" t="s">
        <v>22</v>
      </c>
      <c r="K156" s="8" t="s">
        <v>892</v>
      </c>
      <c r="L156" s="8" t="s">
        <v>1522</v>
      </c>
      <c r="M156" s="9">
        <v>0.0</v>
      </c>
      <c r="N156" s="9">
        <v>0.75</v>
      </c>
      <c r="O156" s="9">
        <v>0.75</v>
      </c>
      <c r="P156" s="10">
        <v>45319.0</v>
      </c>
      <c r="Q156" s="11">
        <v>1.7</v>
      </c>
      <c r="R156" s="8" t="s">
        <v>25</v>
      </c>
      <c r="S156" s="12">
        <f t="shared" si="1"/>
        <v>-0.75</v>
      </c>
      <c r="T156" s="12">
        <f t="shared" si="4"/>
        <v>5.79</v>
      </c>
    </row>
    <row r="157">
      <c r="A157" s="15">
        <f t="shared" si="3"/>
        <v>156</v>
      </c>
      <c r="B157" s="15" t="s">
        <v>26</v>
      </c>
      <c r="C157" s="15" t="s">
        <v>19</v>
      </c>
      <c r="D157" s="15">
        <v>74.0</v>
      </c>
      <c r="E157" s="15" t="s">
        <v>4325</v>
      </c>
      <c r="F157" s="15" t="s">
        <v>5565</v>
      </c>
      <c r="G157" s="15" t="s">
        <v>2660</v>
      </c>
      <c r="H157" s="15">
        <v>-1.0</v>
      </c>
      <c r="I157" s="15" t="s">
        <v>229</v>
      </c>
      <c r="J157" s="15" t="s">
        <v>22</v>
      </c>
      <c r="K157" s="15" t="s">
        <v>892</v>
      </c>
      <c r="L157" s="15" t="s">
        <v>24</v>
      </c>
      <c r="M157" s="16">
        <v>0.0</v>
      </c>
      <c r="N157" s="16">
        <v>0.75</v>
      </c>
      <c r="O157" s="16">
        <v>0.75</v>
      </c>
      <c r="P157" s="17">
        <v>45319.0</v>
      </c>
      <c r="Q157" s="18">
        <v>1.725</v>
      </c>
      <c r="R157" s="15" t="s">
        <v>33</v>
      </c>
      <c r="S157" s="19">
        <f t="shared" si="1"/>
        <v>0.54375</v>
      </c>
      <c r="T157" s="19">
        <f t="shared" si="4"/>
        <v>6.33375</v>
      </c>
    </row>
    <row r="158">
      <c r="A158" s="8">
        <f t="shared" si="3"/>
        <v>157</v>
      </c>
      <c r="B158" s="8" t="s">
        <v>129</v>
      </c>
      <c r="C158" s="8" t="s">
        <v>19</v>
      </c>
      <c r="D158" s="8">
        <v>78.0</v>
      </c>
      <c r="E158" s="8" t="s">
        <v>4326</v>
      </c>
      <c r="F158" s="8" t="s">
        <v>5564</v>
      </c>
      <c r="G158" s="8" t="s">
        <v>2556</v>
      </c>
      <c r="H158" s="8">
        <v>-2.0</v>
      </c>
      <c r="I158" s="8" t="s">
        <v>525</v>
      </c>
      <c r="J158" s="8" t="s">
        <v>22</v>
      </c>
      <c r="K158" s="8" t="s">
        <v>225</v>
      </c>
      <c r="L158" s="8" t="s">
        <v>24</v>
      </c>
      <c r="M158" s="9">
        <v>0.5</v>
      </c>
      <c r="N158" s="9">
        <v>0.5</v>
      </c>
      <c r="O158" s="9">
        <v>0.5</v>
      </c>
      <c r="P158" s="10">
        <v>45319.0</v>
      </c>
      <c r="Q158" s="11">
        <v>1.4212</v>
      </c>
      <c r="R158" s="8" t="s">
        <v>33</v>
      </c>
      <c r="S158" s="12">
        <f t="shared" si="1"/>
        <v>0.2106</v>
      </c>
      <c r="T158" s="12">
        <f t="shared" si="4"/>
        <v>6.54435</v>
      </c>
    </row>
    <row r="159">
      <c r="A159" s="15">
        <f t="shared" si="3"/>
        <v>158</v>
      </c>
      <c r="B159" s="15" t="s">
        <v>131</v>
      </c>
      <c r="C159" s="15" t="s">
        <v>19</v>
      </c>
      <c r="D159" s="15">
        <v>35.0</v>
      </c>
      <c r="E159" s="15" t="s">
        <v>4327</v>
      </c>
      <c r="F159" s="15" t="s">
        <v>5564</v>
      </c>
      <c r="G159" s="15" t="s">
        <v>2556</v>
      </c>
      <c r="H159" s="15">
        <v>0.0</v>
      </c>
      <c r="I159" s="15" t="s">
        <v>48</v>
      </c>
      <c r="J159" s="15" t="s">
        <v>22</v>
      </c>
      <c r="K159" s="15" t="s">
        <v>225</v>
      </c>
      <c r="L159" s="15" t="s">
        <v>24</v>
      </c>
      <c r="M159" s="16">
        <v>0.25</v>
      </c>
      <c r="N159" s="16">
        <v>1.0</v>
      </c>
      <c r="O159" s="16">
        <v>0.99</v>
      </c>
      <c r="P159" s="17">
        <v>45319.0</v>
      </c>
      <c r="Q159" s="18">
        <v>1.547</v>
      </c>
      <c r="R159" s="15" t="s">
        <v>33</v>
      </c>
      <c r="S159" s="19">
        <f t="shared" si="1"/>
        <v>0.54153</v>
      </c>
      <c r="T159" s="19">
        <f t="shared" si="4"/>
        <v>7.08588</v>
      </c>
    </row>
    <row r="160">
      <c r="A160" s="8">
        <f t="shared" si="3"/>
        <v>159</v>
      </c>
      <c r="B160" s="8" t="s">
        <v>26</v>
      </c>
      <c r="C160" s="8" t="s">
        <v>19</v>
      </c>
      <c r="D160" s="8">
        <v>53.0</v>
      </c>
      <c r="E160" s="8" t="s">
        <v>4328</v>
      </c>
      <c r="F160" s="8"/>
      <c r="G160" s="8"/>
      <c r="H160" s="8">
        <v>0.0</v>
      </c>
      <c r="I160" s="8" t="s">
        <v>952</v>
      </c>
      <c r="J160" s="8" t="s">
        <v>22</v>
      </c>
      <c r="K160" s="8" t="s">
        <v>440</v>
      </c>
      <c r="L160" s="8" t="s">
        <v>39</v>
      </c>
      <c r="M160" s="9">
        <v>0.5</v>
      </c>
      <c r="N160" s="9">
        <v>0.1</v>
      </c>
      <c r="O160" s="9">
        <v>0.1</v>
      </c>
      <c r="P160" s="10">
        <v>45319.0</v>
      </c>
      <c r="Q160" s="11">
        <v>1.85</v>
      </c>
      <c r="R160" s="8" t="s">
        <v>25</v>
      </c>
      <c r="S160" s="12">
        <f t="shared" si="1"/>
        <v>-0.1</v>
      </c>
      <c r="T160" s="12">
        <f t="shared" si="4"/>
        <v>6.98588</v>
      </c>
    </row>
    <row r="161">
      <c r="A161" s="15">
        <f t="shared" si="3"/>
        <v>160</v>
      </c>
      <c r="B161" s="15" t="s">
        <v>129</v>
      </c>
      <c r="C161" s="15" t="s">
        <v>19</v>
      </c>
      <c r="D161" s="15">
        <v>70.0</v>
      </c>
      <c r="E161" s="15" t="s">
        <v>4329</v>
      </c>
      <c r="F161" s="15" t="s">
        <v>5564</v>
      </c>
      <c r="G161" s="15" t="s">
        <v>2556</v>
      </c>
      <c r="H161" s="15">
        <v>0.0</v>
      </c>
      <c r="I161" s="15" t="s">
        <v>273</v>
      </c>
      <c r="J161" s="15" t="s">
        <v>22</v>
      </c>
      <c r="K161" s="15" t="s">
        <v>941</v>
      </c>
      <c r="L161" s="15" t="s">
        <v>1851</v>
      </c>
      <c r="M161" s="16">
        <v>0.0</v>
      </c>
      <c r="N161" s="16">
        <v>0.25</v>
      </c>
      <c r="O161" s="16">
        <v>0.25</v>
      </c>
      <c r="P161" s="17">
        <v>45319.0</v>
      </c>
      <c r="Q161" s="18">
        <v>2.375</v>
      </c>
      <c r="R161" s="15" t="s">
        <v>70</v>
      </c>
      <c r="S161" s="19">
        <f t="shared" si="1"/>
        <v>0</v>
      </c>
      <c r="T161" s="19">
        <f t="shared" si="4"/>
        <v>6.98588</v>
      </c>
    </row>
    <row r="162">
      <c r="A162" s="8">
        <f t="shared" si="3"/>
        <v>161</v>
      </c>
      <c r="B162" s="8" t="s">
        <v>129</v>
      </c>
      <c r="C162" s="8" t="s">
        <v>19</v>
      </c>
      <c r="D162" s="8">
        <v>70.0</v>
      </c>
      <c r="E162" s="8" t="s">
        <v>4330</v>
      </c>
      <c r="F162" s="8" t="s">
        <v>5564</v>
      </c>
      <c r="G162" s="8" t="s">
        <v>2660</v>
      </c>
      <c r="H162" s="8">
        <v>0.0</v>
      </c>
      <c r="I162" s="8" t="s">
        <v>273</v>
      </c>
      <c r="J162" s="8" t="s">
        <v>22</v>
      </c>
      <c r="K162" s="8" t="s">
        <v>892</v>
      </c>
      <c r="L162" s="8" t="s">
        <v>1851</v>
      </c>
      <c r="M162" s="9">
        <v>0.0</v>
      </c>
      <c r="N162" s="9">
        <v>0.25</v>
      </c>
      <c r="O162" s="9">
        <v>0.17</v>
      </c>
      <c r="P162" s="10">
        <v>45319.0</v>
      </c>
      <c r="Q162" s="11">
        <v>2.25</v>
      </c>
      <c r="R162" s="8" t="s">
        <v>70</v>
      </c>
      <c r="S162" s="12">
        <f t="shared" si="1"/>
        <v>0</v>
      </c>
      <c r="T162" s="12">
        <f t="shared" si="4"/>
        <v>6.98588</v>
      </c>
    </row>
    <row r="163">
      <c r="A163" s="15">
        <f t="shared" si="3"/>
        <v>162</v>
      </c>
      <c r="B163" s="15" t="s">
        <v>129</v>
      </c>
      <c r="C163" s="15" t="s">
        <v>19</v>
      </c>
      <c r="D163" s="15">
        <v>75.0</v>
      </c>
      <c r="E163" s="15" t="s">
        <v>4331</v>
      </c>
      <c r="F163" s="15" t="s">
        <v>5564</v>
      </c>
      <c r="G163" s="15" t="s">
        <v>2660</v>
      </c>
      <c r="H163" s="15">
        <v>-1.0</v>
      </c>
      <c r="I163" s="15" t="s">
        <v>273</v>
      </c>
      <c r="J163" s="15" t="s">
        <v>22</v>
      </c>
      <c r="K163" s="15" t="s">
        <v>892</v>
      </c>
      <c r="L163" s="15" t="s">
        <v>24</v>
      </c>
      <c r="M163" s="16">
        <v>0.0</v>
      </c>
      <c r="N163" s="16">
        <v>0.75</v>
      </c>
      <c r="O163" s="16">
        <v>0.75</v>
      </c>
      <c r="P163" s="17">
        <v>45319.0</v>
      </c>
      <c r="Q163" s="18">
        <v>1.875</v>
      </c>
      <c r="R163" s="15" t="s">
        <v>70</v>
      </c>
      <c r="S163" s="19">
        <f t="shared" si="1"/>
        <v>0</v>
      </c>
      <c r="T163" s="19">
        <f t="shared" si="4"/>
        <v>6.98588</v>
      </c>
    </row>
    <row r="164">
      <c r="A164" s="8">
        <f t="shared" si="3"/>
        <v>163</v>
      </c>
      <c r="B164" s="8" t="s">
        <v>26</v>
      </c>
      <c r="C164" s="8" t="s">
        <v>19</v>
      </c>
      <c r="D164" s="8">
        <v>65.0</v>
      </c>
      <c r="E164" s="8" t="s">
        <v>4332</v>
      </c>
      <c r="F164" s="8" t="s">
        <v>5564</v>
      </c>
      <c r="G164" s="8" t="s">
        <v>2660</v>
      </c>
      <c r="H164" s="8">
        <v>-1.0</v>
      </c>
      <c r="I164" s="8" t="s">
        <v>48</v>
      </c>
      <c r="J164" s="8" t="s">
        <v>22</v>
      </c>
      <c r="K164" s="8" t="s">
        <v>892</v>
      </c>
      <c r="L164" s="8" t="s">
        <v>24</v>
      </c>
      <c r="M164" s="9">
        <v>0.0</v>
      </c>
      <c r="N164" s="9">
        <v>0.75</v>
      </c>
      <c r="O164" s="9">
        <v>0.5</v>
      </c>
      <c r="P164" s="10">
        <v>45319.0</v>
      </c>
      <c r="Q164" s="11">
        <v>1.95</v>
      </c>
      <c r="R164" s="8" t="s">
        <v>70</v>
      </c>
      <c r="S164" s="12">
        <f t="shared" si="1"/>
        <v>0</v>
      </c>
      <c r="T164" s="12">
        <f t="shared" si="4"/>
        <v>6.98588</v>
      </c>
    </row>
    <row r="165">
      <c r="A165" s="15">
        <f t="shared" si="3"/>
        <v>164</v>
      </c>
      <c r="B165" s="15" t="s">
        <v>26</v>
      </c>
      <c r="C165" s="15" t="s">
        <v>19</v>
      </c>
      <c r="D165" s="15">
        <v>55.0</v>
      </c>
      <c r="E165" s="15" t="s">
        <v>4333</v>
      </c>
      <c r="F165" s="15" t="s">
        <v>5565</v>
      </c>
      <c r="G165" s="15" t="s">
        <v>2556</v>
      </c>
      <c r="H165" s="15">
        <v>0.0</v>
      </c>
      <c r="I165" s="15" t="s">
        <v>93</v>
      </c>
      <c r="J165" s="15" t="s">
        <v>22</v>
      </c>
      <c r="K165" s="15" t="s">
        <v>225</v>
      </c>
      <c r="L165" s="15" t="s">
        <v>24</v>
      </c>
      <c r="M165" s="16">
        <v>0.5</v>
      </c>
      <c r="N165" s="16">
        <v>0.5</v>
      </c>
      <c r="O165" s="16">
        <v>0.5</v>
      </c>
      <c r="P165" s="17">
        <v>45319.0</v>
      </c>
      <c r="Q165" s="18">
        <v>1.09</v>
      </c>
      <c r="R165" s="15" t="s">
        <v>33</v>
      </c>
      <c r="S165" s="19">
        <f t="shared" si="1"/>
        <v>0.045</v>
      </c>
      <c r="T165" s="19">
        <f t="shared" si="4"/>
        <v>7.03088</v>
      </c>
    </row>
    <row r="166">
      <c r="A166" s="8">
        <f t="shared" si="3"/>
        <v>165</v>
      </c>
      <c r="B166" s="8" t="s">
        <v>129</v>
      </c>
      <c r="C166" s="8" t="s">
        <v>19</v>
      </c>
      <c r="D166" s="8">
        <v>31.0</v>
      </c>
      <c r="E166" s="8" t="s">
        <v>4334</v>
      </c>
      <c r="F166" s="8" t="s">
        <v>5564</v>
      </c>
      <c r="G166" s="8" t="s">
        <v>2660</v>
      </c>
      <c r="H166" s="8">
        <v>0.0</v>
      </c>
      <c r="I166" s="8" t="s">
        <v>4266</v>
      </c>
      <c r="J166" s="8" t="s">
        <v>22</v>
      </c>
      <c r="K166" s="8" t="s">
        <v>892</v>
      </c>
      <c r="L166" s="8" t="s">
        <v>24</v>
      </c>
      <c r="M166" s="9">
        <v>0.0</v>
      </c>
      <c r="N166" s="9">
        <v>1.0</v>
      </c>
      <c r="O166" s="9">
        <v>0.75</v>
      </c>
      <c r="P166" s="10">
        <v>45319.0</v>
      </c>
      <c r="Q166" s="11">
        <v>1.58</v>
      </c>
      <c r="R166" s="8" t="s">
        <v>33</v>
      </c>
      <c r="S166" s="12">
        <f t="shared" si="1"/>
        <v>0.435</v>
      </c>
      <c r="T166" s="12">
        <f t="shared" si="4"/>
        <v>7.46588</v>
      </c>
    </row>
    <row r="167">
      <c r="A167" s="15">
        <f t="shared" si="3"/>
        <v>166</v>
      </c>
      <c r="B167" s="15" t="s">
        <v>26</v>
      </c>
      <c r="C167" s="15" t="s">
        <v>19</v>
      </c>
      <c r="D167" s="15">
        <v>60.0</v>
      </c>
      <c r="E167" s="15" t="s">
        <v>4335</v>
      </c>
      <c r="F167" s="15" t="s">
        <v>5565</v>
      </c>
      <c r="G167" s="15" t="s">
        <v>2556</v>
      </c>
      <c r="H167" s="15">
        <v>0.0</v>
      </c>
      <c r="I167" s="15" t="s">
        <v>93</v>
      </c>
      <c r="J167" s="15" t="s">
        <v>22</v>
      </c>
      <c r="K167" s="15" t="s">
        <v>941</v>
      </c>
      <c r="L167" s="15" t="s">
        <v>24</v>
      </c>
      <c r="M167" s="16">
        <v>0.0</v>
      </c>
      <c r="N167" s="16">
        <v>0.1</v>
      </c>
      <c r="O167" s="16">
        <v>0.1</v>
      </c>
      <c r="P167" s="17">
        <v>45319.0</v>
      </c>
      <c r="Q167" s="18">
        <v>3.5</v>
      </c>
      <c r="R167" s="15" t="s">
        <v>33</v>
      </c>
      <c r="S167" s="19">
        <f t="shared" si="1"/>
        <v>0.25</v>
      </c>
      <c r="T167" s="19">
        <f t="shared" si="4"/>
        <v>7.71588</v>
      </c>
    </row>
    <row r="168">
      <c r="A168" s="8">
        <f t="shared" si="3"/>
        <v>167</v>
      </c>
      <c r="B168" s="8" t="s">
        <v>26</v>
      </c>
      <c r="C168" s="8" t="s">
        <v>19</v>
      </c>
      <c r="D168" s="8">
        <v>64.0</v>
      </c>
      <c r="E168" s="8" t="s">
        <v>4333</v>
      </c>
      <c r="F168" s="8" t="s">
        <v>5565</v>
      </c>
      <c r="G168" s="8" t="s">
        <v>2556</v>
      </c>
      <c r="H168" s="8">
        <v>0.0</v>
      </c>
      <c r="I168" s="8" t="s">
        <v>93</v>
      </c>
      <c r="J168" s="8" t="s">
        <v>22</v>
      </c>
      <c r="K168" s="8" t="s">
        <v>225</v>
      </c>
      <c r="L168" s="8" t="s">
        <v>24</v>
      </c>
      <c r="M168" s="9">
        <v>0.5</v>
      </c>
      <c r="N168" s="9">
        <v>0.2</v>
      </c>
      <c r="O168" s="9">
        <v>0.2</v>
      </c>
      <c r="P168" s="10">
        <v>45319.0</v>
      </c>
      <c r="Q168" s="11">
        <v>1.09</v>
      </c>
      <c r="R168" s="8" t="s">
        <v>33</v>
      </c>
      <c r="S168" s="12">
        <f t="shared" si="1"/>
        <v>0.018</v>
      </c>
      <c r="T168" s="12">
        <f t="shared" si="4"/>
        <v>7.73388</v>
      </c>
    </row>
    <row r="169">
      <c r="A169" s="15">
        <f t="shared" si="3"/>
        <v>168</v>
      </c>
      <c r="B169" s="15" t="s">
        <v>26</v>
      </c>
      <c r="C169" s="15" t="s">
        <v>40</v>
      </c>
      <c r="D169" s="15">
        <v>85.0</v>
      </c>
      <c r="E169" s="15" t="s">
        <v>4336</v>
      </c>
      <c r="F169" s="15" t="s">
        <v>5565</v>
      </c>
      <c r="G169" s="15" t="s">
        <v>2660</v>
      </c>
      <c r="H169" s="15">
        <v>-1.0</v>
      </c>
      <c r="I169" s="15" t="s">
        <v>66</v>
      </c>
      <c r="J169" s="15" t="s">
        <v>22</v>
      </c>
      <c r="K169" s="15" t="s">
        <v>892</v>
      </c>
      <c r="L169" s="15" t="s">
        <v>24</v>
      </c>
      <c r="M169" s="16">
        <v>0.0</v>
      </c>
      <c r="N169" s="16">
        <v>0.25</v>
      </c>
      <c r="O169" s="16">
        <v>0.25</v>
      </c>
      <c r="P169" s="17">
        <v>45319.0</v>
      </c>
      <c r="Q169" s="18">
        <v>2.2</v>
      </c>
      <c r="R169" s="15" t="s">
        <v>70</v>
      </c>
      <c r="S169" s="19">
        <f t="shared" si="1"/>
        <v>0</v>
      </c>
      <c r="T169" s="19">
        <f t="shared" si="4"/>
        <v>7.73388</v>
      </c>
    </row>
    <row r="170">
      <c r="A170" s="8">
        <f t="shared" si="3"/>
        <v>169</v>
      </c>
      <c r="B170" s="8" t="s">
        <v>4225</v>
      </c>
      <c r="C170" s="8" t="s">
        <v>19</v>
      </c>
      <c r="D170" s="8">
        <v>35.0</v>
      </c>
      <c r="E170" s="8" t="s">
        <v>4337</v>
      </c>
      <c r="F170" s="8" t="s">
        <v>5564</v>
      </c>
      <c r="G170" s="8" t="s">
        <v>2556</v>
      </c>
      <c r="H170" s="8">
        <v>0.0</v>
      </c>
      <c r="I170" s="8" t="s">
        <v>248</v>
      </c>
      <c r="J170" s="8" t="s">
        <v>22</v>
      </c>
      <c r="K170" s="8" t="s">
        <v>225</v>
      </c>
      <c r="L170" s="8" t="s">
        <v>24</v>
      </c>
      <c r="M170" s="9">
        <v>0.5</v>
      </c>
      <c r="N170" s="9">
        <v>0.2</v>
      </c>
      <c r="O170" s="9">
        <v>0.13</v>
      </c>
      <c r="P170" s="10">
        <v>45321.0</v>
      </c>
      <c r="Q170" s="11">
        <v>1.75</v>
      </c>
      <c r="R170" s="8" t="s">
        <v>33</v>
      </c>
      <c r="S170" s="12">
        <f t="shared" si="1"/>
        <v>0.0975</v>
      </c>
      <c r="T170" s="12">
        <f t="shared" si="4"/>
        <v>7.83138</v>
      </c>
    </row>
    <row r="171">
      <c r="A171" s="15">
        <f t="shared" si="3"/>
        <v>170</v>
      </c>
      <c r="B171" s="15" t="s">
        <v>4225</v>
      </c>
      <c r="C171" s="15" t="s">
        <v>19</v>
      </c>
      <c r="D171" s="15">
        <v>35.0</v>
      </c>
      <c r="E171" s="15" t="s">
        <v>4338</v>
      </c>
      <c r="F171" s="15" t="s">
        <v>5564</v>
      </c>
      <c r="G171" s="15" t="s">
        <v>2556</v>
      </c>
      <c r="H171" s="15">
        <v>0.0</v>
      </c>
      <c r="I171" s="15" t="s">
        <v>248</v>
      </c>
      <c r="J171" s="15" t="s">
        <v>22</v>
      </c>
      <c r="K171" s="15" t="s">
        <v>941</v>
      </c>
      <c r="L171" s="15" t="s">
        <v>24</v>
      </c>
      <c r="M171" s="16">
        <v>0.0</v>
      </c>
      <c r="N171" s="16">
        <v>0.1</v>
      </c>
      <c r="O171" s="16">
        <v>0.095</v>
      </c>
      <c r="P171" s="17">
        <v>45321.0</v>
      </c>
      <c r="Q171" s="18">
        <v>2.373</v>
      </c>
      <c r="R171" s="15" t="s">
        <v>33</v>
      </c>
      <c r="S171" s="19">
        <f t="shared" si="1"/>
        <v>0.130435</v>
      </c>
      <c r="T171" s="19">
        <f t="shared" si="4"/>
        <v>7.961815</v>
      </c>
    </row>
    <row r="172">
      <c r="A172" s="8">
        <f t="shared" si="3"/>
        <v>171</v>
      </c>
      <c r="B172" s="8" t="s">
        <v>137</v>
      </c>
      <c r="C172" s="8" t="s">
        <v>19</v>
      </c>
      <c r="D172" s="8">
        <v>77.0</v>
      </c>
      <c r="E172" s="8" t="s">
        <v>4339</v>
      </c>
      <c r="F172" s="8" t="s">
        <v>5564</v>
      </c>
      <c r="G172" s="8" t="s">
        <v>2556</v>
      </c>
      <c r="H172" s="8">
        <v>-2.0</v>
      </c>
      <c r="I172" s="8" t="s">
        <v>191</v>
      </c>
      <c r="J172" s="8" t="s">
        <v>22</v>
      </c>
      <c r="K172" s="8" t="s">
        <v>941</v>
      </c>
      <c r="L172" s="8" t="s">
        <v>24</v>
      </c>
      <c r="M172" s="9">
        <v>0.0</v>
      </c>
      <c r="N172" s="9">
        <v>0.4</v>
      </c>
      <c r="O172" s="9">
        <v>0.4</v>
      </c>
      <c r="P172" s="10">
        <v>45321.0</v>
      </c>
      <c r="Q172" s="11">
        <v>1.835</v>
      </c>
      <c r="R172" s="8" t="s">
        <v>70</v>
      </c>
      <c r="S172" s="12">
        <f t="shared" si="1"/>
        <v>0</v>
      </c>
      <c r="T172" s="12">
        <f t="shared" si="4"/>
        <v>7.961815</v>
      </c>
    </row>
    <row r="173">
      <c r="A173" s="15">
        <f t="shared" si="3"/>
        <v>172</v>
      </c>
      <c r="B173" s="15" t="s">
        <v>129</v>
      </c>
      <c r="C173" s="15" t="s">
        <v>19</v>
      </c>
      <c r="D173" s="15">
        <v>80.0</v>
      </c>
      <c r="E173" s="15" t="s">
        <v>4340</v>
      </c>
      <c r="F173" s="15" t="s">
        <v>5564</v>
      </c>
      <c r="G173" s="15" t="s">
        <v>2660</v>
      </c>
      <c r="H173" s="15">
        <v>0.0</v>
      </c>
      <c r="I173" s="15" t="s">
        <v>68</v>
      </c>
      <c r="J173" s="15" t="s">
        <v>22</v>
      </c>
      <c r="K173" s="15" t="s">
        <v>892</v>
      </c>
      <c r="L173" s="15" t="s">
        <v>24</v>
      </c>
      <c r="M173" s="16">
        <v>0.0</v>
      </c>
      <c r="N173" s="16">
        <v>0.2</v>
      </c>
      <c r="O173" s="16">
        <v>0.2</v>
      </c>
      <c r="P173" s="17">
        <v>45321.0</v>
      </c>
      <c r="Q173" s="18">
        <v>2.0</v>
      </c>
      <c r="R173" s="15" t="s">
        <v>33</v>
      </c>
      <c r="S173" s="19">
        <f t="shared" si="1"/>
        <v>0.2</v>
      </c>
      <c r="T173" s="19">
        <f t="shared" si="4"/>
        <v>8.161815</v>
      </c>
    </row>
    <row r="174">
      <c r="A174" s="8">
        <f t="shared" si="3"/>
        <v>173</v>
      </c>
      <c r="B174" s="8" t="s">
        <v>26</v>
      </c>
      <c r="C174" s="8" t="s">
        <v>19</v>
      </c>
      <c r="D174" s="8">
        <v>37.0</v>
      </c>
      <c r="E174" s="8" t="s">
        <v>4341</v>
      </c>
      <c r="F174" s="8" t="s">
        <v>5565</v>
      </c>
      <c r="G174" s="8" t="s">
        <v>2556</v>
      </c>
      <c r="H174" s="8">
        <v>0.0</v>
      </c>
      <c r="I174" s="8" t="s">
        <v>616</v>
      </c>
      <c r="J174" s="8" t="s">
        <v>22</v>
      </c>
      <c r="K174" s="8" t="s">
        <v>225</v>
      </c>
      <c r="L174" s="8" t="s">
        <v>24</v>
      </c>
      <c r="M174" s="9">
        <v>0.5</v>
      </c>
      <c r="N174" s="9">
        <v>0.4</v>
      </c>
      <c r="O174" s="9">
        <v>0.4</v>
      </c>
      <c r="P174" s="10">
        <v>45321.0</v>
      </c>
      <c r="Q174" s="11">
        <f>(1.11688+1.11516)/2</f>
        <v>1.11602</v>
      </c>
      <c r="R174" s="8" t="s">
        <v>33</v>
      </c>
      <c r="S174" s="12">
        <f t="shared" si="1"/>
        <v>0.046408</v>
      </c>
      <c r="T174" s="12">
        <f t="shared" si="4"/>
        <v>8.208223</v>
      </c>
    </row>
    <row r="175">
      <c r="A175" s="15">
        <f t="shared" si="3"/>
        <v>174</v>
      </c>
      <c r="B175" s="15" t="s">
        <v>26</v>
      </c>
      <c r="C175" s="15" t="s">
        <v>19</v>
      </c>
      <c r="D175" s="15">
        <v>58.0</v>
      </c>
      <c r="E175" s="15" t="s">
        <v>4342</v>
      </c>
      <c r="F175" s="15" t="s">
        <v>5564</v>
      </c>
      <c r="G175" s="15" t="s">
        <v>2556</v>
      </c>
      <c r="H175" s="15">
        <v>-2.0</v>
      </c>
      <c r="I175" s="15" t="s">
        <v>28</v>
      </c>
      <c r="J175" s="15" t="s">
        <v>22</v>
      </c>
      <c r="K175" s="15" t="s">
        <v>225</v>
      </c>
      <c r="L175" s="15" t="s">
        <v>24</v>
      </c>
      <c r="M175" s="16">
        <v>0.5</v>
      </c>
      <c r="N175" s="16">
        <v>0.8</v>
      </c>
      <c r="O175" s="16">
        <v>0.8</v>
      </c>
      <c r="P175" s="17">
        <v>45322.0</v>
      </c>
      <c r="Q175" s="18">
        <v>1.637</v>
      </c>
      <c r="R175" s="15" t="s">
        <v>33</v>
      </c>
      <c r="S175" s="19">
        <f t="shared" si="1"/>
        <v>0.5096</v>
      </c>
      <c r="T175" s="19">
        <f t="shared" si="4"/>
        <v>8.717823</v>
      </c>
    </row>
    <row r="176">
      <c r="A176" s="8">
        <f t="shared" si="3"/>
        <v>175</v>
      </c>
      <c r="B176" s="8" t="s">
        <v>26</v>
      </c>
      <c r="C176" s="8" t="s">
        <v>19</v>
      </c>
      <c r="D176" s="8">
        <v>60.0</v>
      </c>
      <c r="E176" s="8" t="s">
        <v>4343</v>
      </c>
      <c r="F176" s="8" t="s">
        <v>5564</v>
      </c>
      <c r="G176" s="8" t="s">
        <v>2556</v>
      </c>
      <c r="H176" s="8">
        <v>-2.0</v>
      </c>
      <c r="I176" s="8" t="s">
        <v>28</v>
      </c>
      <c r="J176" s="8" t="s">
        <v>22</v>
      </c>
      <c r="K176" s="8" t="s">
        <v>225</v>
      </c>
      <c r="L176" s="8" t="s">
        <v>24</v>
      </c>
      <c r="M176" s="9">
        <v>0.25</v>
      </c>
      <c r="N176" s="9">
        <v>0.2</v>
      </c>
      <c r="O176" s="9">
        <v>0.2</v>
      </c>
      <c r="P176" s="54">
        <v>45322.0</v>
      </c>
      <c r="Q176" s="11">
        <v>2.025</v>
      </c>
      <c r="R176" s="8" t="s">
        <v>30</v>
      </c>
      <c r="S176" s="12">
        <f t="shared" si="1"/>
        <v>0.1025</v>
      </c>
      <c r="T176" s="12">
        <f t="shared" si="4"/>
        <v>8.820323</v>
      </c>
    </row>
    <row r="177">
      <c r="A177" s="15">
        <f t="shared" si="3"/>
        <v>176</v>
      </c>
      <c r="B177" s="15" t="s">
        <v>4225</v>
      </c>
      <c r="C177" s="15" t="s">
        <v>19</v>
      </c>
      <c r="D177" s="15">
        <v>60.0</v>
      </c>
      <c r="E177" s="15" t="s">
        <v>4344</v>
      </c>
      <c r="F177" s="15" t="s">
        <v>5565</v>
      </c>
      <c r="G177" s="15" t="s">
        <v>2556</v>
      </c>
      <c r="H177" s="15">
        <v>0.0</v>
      </c>
      <c r="I177" s="15" t="s">
        <v>952</v>
      </c>
      <c r="J177" s="15" t="s">
        <v>22</v>
      </c>
      <c r="K177" s="15" t="s">
        <v>941</v>
      </c>
      <c r="L177" s="15" t="s">
        <v>24</v>
      </c>
      <c r="M177" s="16">
        <v>0.0</v>
      </c>
      <c r="N177" s="16">
        <v>0.2</v>
      </c>
      <c r="O177" s="16">
        <v>0.2</v>
      </c>
      <c r="P177" s="17">
        <v>45322.0</v>
      </c>
      <c r="Q177" s="18">
        <v>2.2</v>
      </c>
      <c r="R177" s="15" t="s">
        <v>33</v>
      </c>
      <c r="S177" s="19">
        <f t="shared" si="1"/>
        <v>0.24</v>
      </c>
      <c r="T177" s="19">
        <f t="shared" si="4"/>
        <v>9.060323</v>
      </c>
    </row>
    <row r="178">
      <c r="A178" s="8">
        <f t="shared" si="3"/>
        <v>177</v>
      </c>
      <c r="B178" s="8" t="s">
        <v>4225</v>
      </c>
      <c r="C178" s="8" t="s">
        <v>19</v>
      </c>
      <c r="D178" s="8">
        <v>60.0</v>
      </c>
      <c r="E178" s="8" t="s">
        <v>4345</v>
      </c>
      <c r="F178" s="8" t="s">
        <v>5565</v>
      </c>
      <c r="G178" s="8" t="s">
        <v>2660</v>
      </c>
      <c r="H178" s="8">
        <v>0.0</v>
      </c>
      <c r="I178" s="8" t="s">
        <v>952</v>
      </c>
      <c r="J178" s="8" t="s">
        <v>22</v>
      </c>
      <c r="K178" s="8" t="s">
        <v>892</v>
      </c>
      <c r="L178" s="8" t="s">
        <v>24</v>
      </c>
      <c r="M178" s="9">
        <v>0.0</v>
      </c>
      <c r="N178" s="9">
        <v>0.2</v>
      </c>
      <c r="O178" s="9">
        <v>0.2</v>
      </c>
      <c r="P178" s="10">
        <v>45322.0</v>
      </c>
      <c r="Q178" s="11">
        <v>2.0</v>
      </c>
      <c r="R178" s="8" t="s">
        <v>33</v>
      </c>
      <c r="S178" s="12">
        <f t="shared" si="1"/>
        <v>0.2</v>
      </c>
      <c r="T178" s="12">
        <f t="shared" si="4"/>
        <v>9.260323</v>
      </c>
    </row>
    <row r="179">
      <c r="A179" s="15">
        <f t="shared" si="3"/>
        <v>178</v>
      </c>
      <c r="B179" s="15" t="s">
        <v>129</v>
      </c>
      <c r="C179" s="15" t="s">
        <v>19</v>
      </c>
      <c r="D179" s="15">
        <v>33.0</v>
      </c>
      <c r="E179" s="15" t="s">
        <v>4346</v>
      </c>
      <c r="F179" s="15" t="s">
        <v>5564</v>
      </c>
      <c r="G179" s="15" t="s">
        <v>2660</v>
      </c>
      <c r="H179" s="15">
        <v>0.0</v>
      </c>
      <c r="I179" s="15" t="s">
        <v>248</v>
      </c>
      <c r="J179" s="15" t="s">
        <v>22</v>
      </c>
      <c r="K179" s="15" t="s">
        <v>1150</v>
      </c>
      <c r="L179" s="15" t="s">
        <v>24</v>
      </c>
      <c r="M179" s="16">
        <v>0.0</v>
      </c>
      <c r="N179" s="16">
        <v>0.6</v>
      </c>
      <c r="O179" s="16">
        <v>0.6</v>
      </c>
      <c r="P179" s="17">
        <v>45322.0</v>
      </c>
      <c r="Q179" s="18">
        <v>1.65</v>
      </c>
      <c r="R179" s="15" t="s">
        <v>25</v>
      </c>
      <c r="S179" s="19">
        <f t="shared" si="1"/>
        <v>-0.6</v>
      </c>
      <c r="T179" s="19">
        <f t="shared" si="4"/>
        <v>8.660323</v>
      </c>
    </row>
    <row r="180">
      <c r="A180" s="8">
        <f t="shared" si="3"/>
        <v>179</v>
      </c>
      <c r="B180" s="8" t="s">
        <v>4225</v>
      </c>
      <c r="C180" s="8" t="s">
        <v>19</v>
      </c>
      <c r="D180" s="8">
        <v>90.0</v>
      </c>
      <c r="E180" s="8" t="s">
        <v>4347</v>
      </c>
      <c r="F180" s="8" t="s">
        <v>5564</v>
      </c>
      <c r="G180" s="8" t="s">
        <v>2556</v>
      </c>
      <c r="H180" s="8">
        <v>0.0</v>
      </c>
      <c r="I180" s="8" t="s">
        <v>189</v>
      </c>
      <c r="J180" s="8" t="s">
        <v>22</v>
      </c>
      <c r="K180" s="8" t="s">
        <v>225</v>
      </c>
      <c r="L180" s="8" t="s">
        <v>1522</v>
      </c>
      <c r="M180" s="9">
        <v>0.25</v>
      </c>
      <c r="N180" s="9">
        <v>1.0</v>
      </c>
      <c r="O180" s="9">
        <v>1.0</v>
      </c>
      <c r="P180" s="10">
        <v>45322.0</v>
      </c>
      <c r="Q180" s="11">
        <v>1.2246</v>
      </c>
      <c r="R180" s="8" t="s">
        <v>33</v>
      </c>
      <c r="S180" s="12">
        <f t="shared" si="1"/>
        <v>0.2246</v>
      </c>
      <c r="T180" s="12">
        <f t="shared" si="4"/>
        <v>8.884923</v>
      </c>
    </row>
    <row r="181">
      <c r="A181" s="15">
        <f t="shared" si="3"/>
        <v>180</v>
      </c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6"/>
      <c r="N181" s="16"/>
      <c r="O181" s="16"/>
      <c r="P181" s="17"/>
      <c r="Q181" s="18"/>
      <c r="R181" s="15"/>
      <c r="S181" s="19" t="str">
        <f t="shared" si="1"/>
        <v/>
      </c>
      <c r="T181" s="19">
        <f t="shared" si="4"/>
        <v>8.884923</v>
      </c>
    </row>
    <row r="182">
      <c r="A182" s="8">
        <f t="shared" si="3"/>
        <v>181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9"/>
      <c r="N182" s="9"/>
      <c r="O182" s="9"/>
      <c r="P182" s="10"/>
      <c r="Q182" s="11"/>
      <c r="R182" s="8"/>
      <c r="S182" s="12" t="str">
        <f t="shared" si="1"/>
        <v/>
      </c>
      <c r="T182" s="12">
        <f t="shared" si="4"/>
        <v>8.884923</v>
      </c>
    </row>
    <row r="183">
      <c r="A183" s="15">
        <f t="shared" si="3"/>
        <v>182</v>
      </c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6"/>
      <c r="N183" s="16"/>
      <c r="O183" s="16"/>
      <c r="P183" s="17"/>
      <c r="Q183" s="18"/>
      <c r="R183" s="15"/>
      <c r="S183" s="19" t="str">
        <f t="shared" si="1"/>
        <v/>
      </c>
      <c r="T183" s="19">
        <f t="shared" si="4"/>
        <v>8.884923</v>
      </c>
    </row>
    <row r="184">
      <c r="A184" s="8">
        <f t="shared" si="3"/>
        <v>183</v>
      </c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  <c r="N184" s="9"/>
      <c r="O184" s="9"/>
      <c r="P184" s="10"/>
      <c r="Q184" s="11"/>
      <c r="R184" s="8"/>
      <c r="S184" s="12" t="str">
        <f t="shared" si="1"/>
        <v/>
      </c>
      <c r="T184" s="12">
        <f t="shared" si="4"/>
        <v>8.884923</v>
      </c>
    </row>
    <row r="185">
      <c r="A185" s="15">
        <f t="shared" si="3"/>
        <v>184</v>
      </c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6"/>
      <c r="N185" s="16"/>
      <c r="O185" s="16"/>
      <c r="P185" s="17"/>
      <c r="Q185" s="18"/>
      <c r="R185" s="15"/>
      <c r="S185" s="19" t="str">
        <f t="shared" si="1"/>
        <v/>
      </c>
      <c r="T185" s="19">
        <f t="shared" si="4"/>
        <v>8.884923</v>
      </c>
    </row>
    <row r="186">
      <c r="A186" s="8">
        <f t="shared" si="3"/>
        <v>185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9"/>
      <c r="N186" s="9"/>
      <c r="O186" s="9"/>
      <c r="P186" s="10"/>
      <c r="Q186" s="11"/>
      <c r="R186" s="8"/>
      <c r="S186" s="12" t="str">
        <f t="shared" si="1"/>
        <v/>
      </c>
      <c r="T186" s="12">
        <f t="shared" si="4"/>
        <v>8.884923</v>
      </c>
    </row>
    <row r="187">
      <c r="A187" s="15">
        <f t="shared" si="3"/>
        <v>186</v>
      </c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6"/>
      <c r="N187" s="16"/>
      <c r="O187" s="16"/>
      <c r="P187" s="17"/>
      <c r="Q187" s="18"/>
      <c r="R187" s="15"/>
      <c r="S187" s="19" t="str">
        <f t="shared" si="1"/>
        <v/>
      </c>
      <c r="T187" s="19">
        <f t="shared" si="4"/>
        <v>8.884923</v>
      </c>
    </row>
    <row r="188">
      <c r="A188" s="8">
        <f t="shared" si="3"/>
        <v>187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9"/>
      <c r="N188" s="9"/>
      <c r="O188" s="9"/>
      <c r="P188" s="10"/>
      <c r="Q188" s="11"/>
      <c r="R188" s="8"/>
      <c r="S188" s="12" t="str">
        <f t="shared" si="1"/>
        <v/>
      </c>
      <c r="T188" s="12">
        <f t="shared" si="4"/>
        <v>8.884923</v>
      </c>
    </row>
    <row r="189">
      <c r="A189" s="15">
        <f t="shared" si="3"/>
        <v>188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6"/>
      <c r="N189" s="16"/>
      <c r="O189" s="16"/>
      <c r="P189" s="17"/>
      <c r="Q189" s="18"/>
      <c r="R189" s="15"/>
      <c r="S189" s="19" t="str">
        <f t="shared" si="1"/>
        <v/>
      </c>
      <c r="T189" s="19">
        <f t="shared" si="4"/>
        <v>8.884923</v>
      </c>
    </row>
    <row r="190">
      <c r="A190" s="8">
        <f t="shared" si="3"/>
        <v>189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9"/>
      <c r="N190" s="9"/>
      <c r="O190" s="9"/>
      <c r="P190" s="10"/>
      <c r="Q190" s="11"/>
      <c r="R190" s="8"/>
      <c r="S190" s="12" t="str">
        <f t="shared" si="1"/>
        <v/>
      </c>
      <c r="T190" s="12">
        <f t="shared" si="4"/>
        <v>8.884923</v>
      </c>
    </row>
    <row r="191">
      <c r="A191" s="15">
        <f t="shared" si="3"/>
        <v>190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6"/>
      <c r="N191" s="16"/>
      <c r="O191" s="16"/>
      <c r="P191" s="55"/>
      <c r="Q191" s="18"/>
      <c r="R191" s="15"/>
      <c r="S191" s="19" t="str">
        <f t="shared" si="1"/>
        <v/>
      </c>
      <c r="T191" s="19">
        <f t="shared" si="4"/>
        <v>8.884923</v>
      </c>
    </row>
    <row r="192">
      <c r="A192" s="8">
        <f t="shared" si="3"/>
        <v>191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9"/>
      <c r="N192" s="9"/>
      <c r="O192" s="9"/>
      <c r="P192" s="10"/>
      <c r="Q192" s="11"/>
      <c r="R192" s="8"/>
      <c r="S192" s="12" t="str">
        <f t="shared" si="1"/>
        <v/>
      </c>
      <c r="T192" s="12">
        <f t="shared" si="4"/>
        <v>8.884923</v>
      </c>
    </row>
    <row r="193">
      <c r="A193" s="15">
        <f t="shared" si="3"/>
        <v>192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6"/>
      <c r="N193" s="16"/>
      <c r="O193" s="16"/>
      <c r="P193" s="17"/>
      <c r="Q193" s="18"/>
      <c r="R193" s="15"/>
      <c r="S193" s="19" t="str">
        <f t="shared" si="1"/>
        <v/>
      </c>
      <c r="T193" s="19">
        <f t="shared" si="4"/>
        <v>8.884923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9"/>
      <c r="N194" s="9"/>
      <c r="O194" s="9"/>
      <c r="P194" s="10"/>
      <c r="Q194" s="11"/>
      <c r="R194" s="8"/>
      <c r="S194" s="12" t="str">
        <f t="shared" si="1"/>
        <v/>
      </c>
      <c r="T194" s="12">
        <f t="shared" si="4"/>
        <v>8.884923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6"/>
      <c r="N195" s="16"/>
      <c r="O195" s="16"/>
      <c r="P195" s="17"/>
      <c r="Q195" s="18"/>
      <c r="R195" s="15"/>
      <c r="S195" s="19" t="str">
        <f t="shared" si="1"/>
        <v/>
      </c>
      <c r="T195" s="19">
        <f t="shared" si="4"/>
        <v>8.884923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9"/>
      <c r="N196" s="9"/>
      <c r="O196" s="9"/>
      <c r="P196" s="10"/>
      <c r="Q196" s="11"/>
      <c r="R196" s="8"/>
      <c r="S196" s="12" t="str">
        <f t="shared" si="1"/>
        <v/>
      </c>
      <c r="T196" s="12">
        <f t="shared" si="4"/>
        <v>8.884923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6"/>
      <c r="N197" s="16"/>
      <c r="O197" s="16"/>
      <c r="P197" s="17"/>
      <c r="Q197" s="18"/>
      <c r="R197" s="15"/>
      <c r="S197" s="19" t="str">
        <f t="shared" si="1"/>
        <v/>
      </c>
      <c r="T197" s="19">
        <f t="shared" si="4"/>
        <v>8.884923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9"/>
      <c r="N198" s="9"/>
      <c r="O198" s="9"/>
      <c r="P198" s="10"/>
      <c r="Q198" s="11"/>
      <c r="R198" s="8"/>
      <c r="S198" s="12" t="str">
        <f t="shared" si="1"/>
        <v/>
      </c>
      <c r="T198" s="12">
        <f t="shared" si="4"/>
        <v>8.884923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6"/>
      <c r="P199" s="17"/>
      <c r="Q199" s="18"/>
      <c r="R199" s="15"/>
      <c r="S199" s="19" t="str">
        <f t="shared" si="1"/>
        <v/>
      </c>
      <c r="T199" s="19">
        <f t="shared" si="4"/>
        <v>8.884923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9"/>
      <c r="N200" s="9"/>
      <c r="O200" s="9"/>
      <c r="P200" s="10"/>
      <c r="Q200" s="11"/>
      <c r="R200" s="8"/>
      <c r="S200" s="12" t="str">
        <f t="shared" si="1"/>
        <v/>
      </c>
      <c r="T200" s="12">
        <f t="shared" si="4"/>
        <v>8.884923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6"/>
      <c r="N201" s="16"/>
      <c r="O201" s="16"/>
      <c r="P201" s="17"/>
      <c r="Q201" s="18"/>
      <c r="R201" s="15"/>
      <c r="S201" s="19" t="str">
        <f t="shared" si="1"/>
        <v/>
      </c>
      <c r="T201" s="19">
        <f t="shared" si="4"/>
        <v>8.884923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9"/>
      <c r="N202" s="9"/>
      <c r="O202" s="9"/>
      <c r="P202" s="10"/>
      <c r="Q202" s="11"/>
      <c r="R202" s="8"/>
      <c r="S202" s="12" t="str">
        <f t="shared" si="1"/>
        <v/>
      </c>
      <c r="T202" s="12">
        <f t="shared" si="4"/>
        <v>8.884923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6"/>
      <c r="N203" s="16"/>
      <c r="O203" s="16"/>
      <c r="P203" s="17"/>
      <c r="Q203" s="18"/>
      <c r="R203" s="15"/>
      <c r="S203" s="19" t="str">
        <f t="shared" si="1"/>
        <v/>
      </c>
      <c r="T203" s="19">
        <f t="shared" si="4"/>
        <v>8.884923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9"/>
      <c r="N204" s="9"/>
      <c r="O204" s="9"/>
      <c r="P204" s="10"/>
      <c r="Q204" s="11"/>
      <c r="R204" s="8"/>
      <c r="S204" s="12" t="str">
        <f t="shared" si="1"/>
        <v/>
      </c>
      <c r="T204" s="12">
        <f t="shared" si="4"/>
        <v>8.884923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6"/>
      <c r="N205" s="16"/>
      <c r="O205" s="16"/>
      <c r="P205" s="17"/>
      <c r="Q205" s="18"/>
      <c r="R205" s="15"/>
      <c r="S205" s="19" t="str">
        <f t="shared" si="1"/>
        <v/>
      </c>
      <c r="T205" s="19">
        <f t="shared" si="4"/>
        <v>8.884923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  <c r="N206" s="9"/>
      <c r="O206" s="9"/>
      <c r="P206" s="10"/>
      <c r="Q206" s="11"/>
      <c r="R206" s="8"/>
      <c r="S206" s="12" t="str">
        <f t="shared" si="1"/>
        <v/>
      </c>
      <c r="T206" s="12">
        <f t="shared" si="4"/>
        <v>8.884923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6"/>
      <c r="N207" s="16"/>
      <c r="O207" s="16"/>
      <c r="P207" s="17"/>
      <c r="Q207" s="18"/>
      <c r="R207" s="15"/>
      <c r="S207" s="19" t="str">
        <f t="shared" si="1"/>
        <v/>
      </c>
      <c r="T207" s="19">
        <f t="shared" si="4"/>
        <v>8.884923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9"/>
      <c r="N208" s="9"/>
      <c r="O208" s="9"/>
      <c r="P208" s="10"/>
      <c r="Q208" s="11"/>
      <c r="R208" s="8"/>
      <c r="S208" s="12" t="str">
        <f t="shared" si="1"/>
        <v/>
      </c>
      <c r="T208" s="12">
        <f t="shared" si="4"/>
        <v>8.884923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6"/>
      <c r="P209" s="17"/>
      <c r="Q209" s="18"/>
      <c r="R209" s="15"/>
      <c r="S209" s="19" t="str">
        <f t="shared" si="1"/>
        <v/>
      </c>
      <c r="T209" s="19">
        <f t="shared" si="4"/>
        <v>8.884923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9"/>
      <c r="N210" s="9"/>
      <c r="O210" s="9"/>
      <c r="P210" s="10"/>
      <c r="Q210" s="11"/>
      <c r="R210" s="8"/>
      <c r="S210" s="12" t="str">
        <f t="shared" si="1"/>
        <v/>
      </c>
      <c r="T210" s="12">
        <f t="shared" si="4"/>
        <v>8.884923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6"/>
      <c r="N211" s="16"/>
      <c r="O211" s="16"/>
      <c r="P211" s="17"/>
      <c r="Q211" s="18"/>
      <c r="R211" s="15"/>
      <c r="S211" s="19" t="str">
        <f t="shared" si="1"/>
        <v/>
      </c>
      <c r="T211" s="19">
        <f t="shared" si="4"/>
        <v>8.884923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9"/>
      <c r="N212" s="9"/>
      <c r="O212" s="9"/>
      <c r="P212" s="10"/>
      <c r="Q212" s="11"/>
      <c r="R212" s="8"/>
      <c r="S212" s="12" t="str">
        <f t="shared" si="1"/>
        <v/>
      </c>
      <c r="T212" s="12">
        <f t="shared" si="4"/>
        <v>8.884923</v>
      </c>
    </row>
    <row r="213">
      <c r="A213" s="15">
        <f t="shared" si="3"/>
        <v>212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6"/>
      <c r="N213" s="16"/>
      <c r="O213" s="16"/>
      <c r="P213" s="17"/>
      <c r="Q213" s="18"/>
      <c r="R213" s="15"/>
      <c r="S213" s="19" t="str">
        <f t="shared" si="1"/>
        <v/>
      </c>
      <c r="T213" s="19">
        <f t="shared" si="4"/>
        <v>8.884923</v>
      </c>
    </row>
    <row r="214">
      <c r="A214" s="8">
        <f t="shared" si="3"/>
        <v>213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9"/>
      <c r="N214" s="9"/>
      <c r="O214" s="9"/>
      <c r="P214" s="10"/>
      <c r="Q214" s="11"/>
      <c r="R214" s="8"/>
      <c r="S214" s="12" t="str">
        <f t="shared" si="1"/>
        <v/>
      </c>
      <c r="T214" s="12">
        <f t="shared" si="4"/>
        <v>8.884923</v>
      </c>
    </row>
    <row r="215">
      <c r="A215" s="15">
        <f t="shared" si="3"/>
        <v>214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6"/>
      <c r="P215" s="17"/>
      <c r="Q215" s="18"/>
      <c r="R215" s="15"/>
      <c r="S215" s="19" t="str">
        <f t="shared" si="1"/>
        <v/>
      </c>
      <c r="T215" s="19">
        <f t="shared" si="4"/>
        <v>8.884923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9"/>
      <c r="N216" s="9"/>
      <c r="O216" s="9"/>
      <c r="P216" s="10"/>
      <c r="Q216" s="11"/>
      <c r="R216" s="8"/>
      <c r="S216" s="12" t="str">
        <f t="shared" si="1"/>
        <v/>
      </c>
      <c r="T216" s="12">
        <f t="shared" si="4"/>
        <v>8.884923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6"/>
      <c r="N217" s="16"/>
      <c r="O217" s="16"/>
      <c r="P217" s="17"/>
      <c r="Q217" s="18"/>
      <c r="R217" s="15"/>
      <c r="S217" s="19" t="str">
        <f t="shared" si="1"/>
        <v/>
      </c>
      <c r="T217" s="19">
        <f t="shared" si="4"/>
        <v>8.884923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9"/>
      <c r="N218" s="9"/>
      <c r="O218" s="9"/>
      <c r="P218" s="10"/>
      <c r="Q218" s="11"/>
      <c r="R218" s="8"/>
      <c r="S218" s="12" t="str">
        <f t="shared" si="1"/>
        <v/>
      </c>
      <c r="T218" s="12">
        <f t="shared" si="4"/>
        <v>8.884923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6"/>
      <c r="N219" s="16"/>
      <c r="O219" s="16"/>
      <c r="P219" s="17"/>
      <c r="Q219" s="18"/>
      <c r="R219" s="15"/>
      <c r="S219" s="19" t="str">
        <f t="shared" si="1"/>
        <v/>
      </c>
      <c r="T219" s="19">
        <f t="shared" si="4"/>
        <v>8.884923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  <c r="N220" s="9"/>
      <c r="O220" s="9"/>
      <c r="P220" s="10"/>
      <c r="Q220" s="11"/>
      <c r="R220" s="8"/>
      <c r="S220" s="12" t="str">
        <f t="shared" si="1"/>
        <v/>
      </c>
      <c r="T220" s="12">
        <f t="shared" si="4"/>
        <v>8.884923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6"/>
      <c r="N221" s="16"/>
      <c r="O221" s="16"/>
      <c r="P221" s="57"/>
      <c r="Q221" s="18"/>
      <c r="R221" s="15"/>
      <c r="S221" s="19" t="str">
        <f t="shared" si="1"/>
        <v/>
      </c>
      <c r="T221" s="19">
        <f t="shared" si="4"/>
        <v>8.884923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9"/>
      <c r="N222" s="9"/>
      <c r="O222" s="9"/>
      <c r="P222" s="10"/>
      <c r="Q222" s="11"/>
      <c r="R222" s="8"/>
      <c r="S222" s="12" t="str">
        <f t="shared" si="1"/>
        <v/>
      </c>
      <c r="T222" s="12">
        <f t="shared" si="4"/>
        <v>8.884923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6"/>
      <c r="N223" s="16"/>
      <c r="O223" s="16"/>
      <c r="P223" s="17"/>
      <c r="Q223" s="18"/>
      <c r="R223" s="15"/>
      <c r="S223" s="19" t="str">
        <f t="shared" si="1"/>
        <v/>
      </c>
      <c r="T223" s="19">
        <f t="shared" si="4"/>
        <v>8.884923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9"/>
      <c r="N224" s="9"/>
      <c r="O224" s="9"/>
      <c r="P224" s="10"/>
      <c r="Q224" s="11"/>
      <c r="R224" s="8"/>
      <c r="S224" s="12" t="str">
        <f t="shared" si="1"/>
        <v/>
      </c>
      <c r="T224" s="12">
        <f t="shared" si="4"/>
        <v>8.884923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6"/>
      <c r="N225" s="16"/>
      <c r="O225" s="16"/>
      <c r="P225" s="17"/>
      <c r="Q225" s="18"/>
      <c r="R225" s="15"/>
      <c r="S225" s="19" t="str">
        <f t="shared" si="1"/>
        <v/>
      </c>
      <c r="T225" s="19">
        <f t="shared" si="4"/>
        <v>8.884923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9"/>
      <c r="N226" s="9"/>
      <c r="O226" s="9"/>
      <c r="P226" s="10"/>
      <c r="Q226" s="11"/>
      <c r="R226" s="8"/>
      <c r="S226" s="12" t="str">
        <f t="shared" si="1"/>
        <v/>
      </c>
      <c r="T226" s="12">
        <f t="shared" si="4"/>
        <v>8.884923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6"/>
      <c r="P227" s="17"/>
      <c r="Q227" s="18"/>
      <c r="R227" s="15"/>
      <c r="S227" s="19" t="str">
        <f t="shared" si="1"/>
        <v/>
      </c>
      <c r="T227" s="19">
        <f t="shared" si="4"/>
        <v>8.884923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9"/>
      <c r="N228" s="9"/>
      <c r="O228" s="9"/>
      <c r="P228" s="10"/>
      <c r="Q228" s="11"/>
      <c r="R228" s="8"/>
      <c r="S228" s="12" t="str">
        <f t="shared" si="1"/>
        <v/>
      </c>
      <c r="T228" s="12">
        <f t="shared" si="4"/>
        <v>8.884923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6"/>
      <c r="N229" s="16"/>
      <c r="O229" s="16"/>
      <c r="P229" s="17"/>
      <c r="Q229" s="18"/>
      <c r="R229" s="15"/>
      <c r="S229" s="19" t="str">
        <f t="shared" si="1"/>
        <v/>
      </c>
      <c r="T229" s="19">
        <f t="shared" si="4"/>
        <v>8.884923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  <c r="N230" s="9"/>
      <c r="O230" s="9"/>
      <c r="P230" s="10"/>
      <c r="Q230" s="11"/>
      <c r="R230" s="8"/>
      <c r="S230" s="12" t="str">
        <f t="shared" si="1"/>
        <v/>
      </c>
      <c r="T230" s="12">
        <f t="shared" si="4"/>
        <v>8.884923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6"/>
      <c r="N231" s="16"/>
      <c r="O231" s="16"/>
      <c r="P231" s="17"/>
      <c r="Q231" s="18"/>
      <c r="R231" s="15"/>
      <c r="S231" s="19" t="str">
        <f t="shared" si="1"/>
        <v/>
      </c>
      <c r="T231" s="19">
        <f t="shared" si="4"/>
        <v>8.884923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9"/>
      <c r="N232" s="9"/>
      <c r="O232" s="9"/>
      <c r="P232" s="10"/>
      <c r="Q232" s="11"/>
      <c r="R232" s="8"/>
      <c r="S232" s="12" t="str">
        <f t="shared" si="1"/>
        <v/>
      </c>
      <c r="T232" s="12">
        <f t="shared" si="4"/>
        <v>8.884923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6"/>
      <c r="N233" s="16"/>
      <c r="O233" s="16"/>
      <c r="P233" s="17"/>
      <c r="Q233" s="18"/>
      <c r="R233" s="15"/>
      <c r="S233" s="19" t="str">
        <f t="shared" si="1"/>
        <v/>
      </c>
      <c r="T233" s="19">
        <f t="shared" si="4"/>
        <v>8.884923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9"/>
      <c r="N234" s="9"/>
      <c r="O234" s="9"/>
      <c r="P234" s="10"/>
      <c r="Q234" s="11"/>
      <c r="R234" s="8"/>
      <c r="S234" s="12" t="str">
        <f t="shared" si="1"/>
        <v/>
      </c>
      <c r="T234" s="12">
        <f t="shared" si="4"/>
        <v>8.884923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6"/>
      <c r="N235" s="16"/>
      <c r="O235" s="16"/>
      <c r="P235" s="17"/>
      <c r="Q235" s="18"/>
      <c r="R235" s="15"/>
      <c r="S235" s="19" t="str">
        <f t="shared" si="1"/>
        <v/>
      </c>
      <c r="T235" s="19">
        <f t="shared" si="4"/>
        <v>8.884923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9"/>
      <c r="N236" s="9"/>
      <c r="O236" s="9"/>
      <c r="P236" s="10"/>
      <c r="Q236" s="11"/>
      <c r="R236" s="8"/>
      <c r="S236" s="12" t="str">
        <f t="shared" si="1"/>
        <v/>
      </c>
      <c r="T236" s="12">
        <f t="shared" si="4"/>
        <v>8.884923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6"/>
      <c r="N237" s="16"/>
      <c r="O237" s="16"/>
      <c r="P237" s="17"/>
      <c r="Q237" s="18"/>
      <c r="R237" s="15"/>
      <c r="S237" s="19" t="str">
        <f t="shared" si="1"/>
        <v/>
      </c>
      <c r="T237" s="19">
        <f t="shared" si="4"/>
        <v>8.884923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9"/>
      <c r="N238" s="9"/>
      <c r="O238" s="9"/>
      <c r="P238" s="10"/>
      <c r="Q238" s="11"/>
      <c r="R238" s="8"/>
      <c r="S238" s="12" t="str">
        <f t="shared" si="1"/>
        <v/>
      </c>
      <c r="T238" s="12">
        <f t="shared" si="4"/>
        <v>8.884923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6"/>
      <c r="N239" s="16"/>
      <c r="O239" s="16"/>
      <c r="P239" s="17"/>
      <c r="Q239" s="18"/>
      <c r="R239" s="15"/>
      <c r="S239" s="19" t="str">
        <f t="shared" si="1"/>
        <v/>
      </c>
      <c r="T239" s="19">
        <f t="shared" si="4"/>
        <v>8.884923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9"/>
      <c r="N240" s="9"/>
      <c r="O240" s="9"/>
      <c r="P240" s="10"/>
      <c r="Q240" s="11"/>
      <c r="R240" s="8"/>
      <c r="S240" s="12" t="str">
        <f t="shared" si="1"/>
        <v/>
      </c>
      <c r="T240" s="12">
        <f t="shared" si="4"/>
        <v>8.884923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6"/>
      <c r="P241" s="17"/>
      <c r="Q241" s="18"/>
      <c r="R241" s="15"/>
      <c r="S241" s="19" t="str">
        <f t="shared" si="1"/>
        <v/>
      </c>
      <c r="T241" s="19">
        <f t="shared" si="4"/>
        <v>8.884923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9"/>
      <c r="N242" s="9"/>
      <c r="O242" s="9"/>
      <c r="P242" s="54"/>
      <c r="Q242" s="11"/>
      <c r="R242" s="8"/>
      <c r="S242" s="12" t="str">
        <f t="shared" si="1"/>
        <v/>
      </c>
      <c r="T242" s="12">
        <f t="shared" si="4"/>
        <v>8.884923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6"/>
      <c r="N243" s="16"/>
      <c r="O243" s="16"/>
      <c r="P243" s="17"/>
      <c r="Q243" s="18"/>
      <c r="R243" s="15"/>
      <c r="S243" s="19" t="str">
        <f t="shared" si="1"/>
        <v/>
      </c>
      <c r="T243" s="19">
        <f t="shared" si="4"/>
        <v>8.884923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9"/>
      <c r="N244" s="9"/>
      <c r="O244" s="9"/>
      <c r="P244" s="10"/>
      <c r="Q244" s="11"/>
      <c r="R244" s="8"/>
      <c r="S244" s="12" t="str">
        <f t="shared" si="1"/>
        <v/>
      </c>
      <c r="T244" s="12">
        <f t="shared" si="4"/>
        <v>8.884923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6"/>
      <c r="N245" s="16"/>
      <c r="O245" s="16"/>
      <c r="P245" s="17"/>
      <c r="Q245" s="18"/>
      <c r="R245" s="15"/>
      <c r="S245" s="19" t="str">
        <f t="shared" si="1"/>
        <v/>
      </c>
      <c r="T245" s="19">
        <f t="shared" si="4"/>
        <v>8.884923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9"/>
      <c r="N246" s="9"/>
      <c r="O246" s="9"/>
      <c r="P246" s="10"/>
      <c r="Q246" s="11"/>
      <c r="R246" s="8"/>
      <c r="S246" s="12" t="str">
        <f t="shared" si="1"/>
        <v/>
      </c>
      <c r="T246" s="12">
        <f t="shared" si="4"/>
        <v>8.884923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6"/>
      <c r="N247" s="16"/>
      <c r="O247" s="16"/>
      <c r="P247" s="17"/>
      <c r="Q247" s="18"/>
      <c r="R247" s="15"/>
      <c r="S247" s="19" t="str">
        <f t="shared" si="1"/>
        <v/>
      </c>
      <c r="T247" s="19">
        <f t="shared" si="4"/>
        <v>8.884923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9"/>
      <c r="N248" s="9"/>
      <c r="O248" s="9"/>
      <c r="P248" s="10"/>
      <c r="Q248" s="11"/>
      <c r="R248" s="8"/>
      <c r="S248" s="12" t="str">
        <f t="shared" si="1"/>
        <v/>
      </c>
      <c r="T248" s="12">
        <f t="shared" si="4"/>
        <v>8.884923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6"/>
      <c r="N249" s="16"/>
      <c r="O249" s="16"/>
      <c r="P249" s="17"/>
      <c r="Q249" s="18"/>
      <c r="R249" s="15"/>
      <c r="S249" s="19" t="str">
        <f t="shared" si="1"/>
        <v/>
      </c>
      <c r="T249" s="19">
        <f t="shared" si="4"/>
        <v>8.884923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9"/>
      <c r="N250" s="9"/>
      <c r="O250" s="9"/>
      <c r="P250" s="10"/>
      <c r="Q250" s="11"/>
      <c r="R250" s="8"/>
      <c r="S250" s="12" t="str">
        <f t="shared" si="1"/>
        <v/>
      </c>
      <c r="T250" s="12">
        <f t="shared" si="4"/>
        <v>8.884923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6"/>
      <c r="N251" s="16"/>
      <c r="O251" s="16"/>
      <c r="P251" s="17"/>
      <c r="Q251" s="18"/>
      <c r="R251" s="15"/>
      <c r="S251" s="19" t="str">
        <f t="shared" si="1"/>
        <v/>
      </c>
      <c r="T251" s="19">
        <f t="shared" si="4"/>
        <v>8.884923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9"/>
      <c r="N252" s="9"/>
      <c r="O252" s="9"/>
      <c r="P252" s="10"/>
      <c r="Q252" s="11"/>
      <c r="R252" s="8"/>
      <c r="S252" s="12" t="str">
        <f t="shared" si="1"/>
        <v/>
      </c>
      <c r="T252" s="12">
        <f t="shared" si="4"/>
        <v>8.884923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6"/>
      <c r="N253" s="16"/>
      <c r="O253" s="16"/>
      <c r="P253" s="17"/>
      <c r="Q253" s="18"/>
      <c r="R253" s="15"/>
      <c r="S253" s="19" t="str">
        <f t="shared" si="1"/>
        <v/>
      </c>
      <c r="T253" s="19">
        <f t="shared" si="4"/>
        <v>8.884923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9"/>
      <c r="N254" s="9"/>
      <c r="O254" s="9"/>
      <c r="P254" s="10"/>
      <c r="Q254" s="11"/>
      <c r="R254" s="8"/>
      <c r="S254" s="12" t="str">
        <f t="shared" si="1"/>
        <v/>
      </c>
      <c r="T254" s="12">
        <f t="shared" si="4"/>
        <v>8.884923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6"/>
      <c r="N255" s="16"/>
      <c r="O255" s="16"/>
      <c r="P255" s="17"/>
      <c r="Q255" s="18"/>
      <c r="R255" s="15"/>
      <c r="S255" s="19" t="str">
        <f t="shared" si="1"/>
        <v/>
      </c>
      <c r="T255" s="19">
        <f t="shared" si="4"/>
        <v>8.884923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  <c r="N256" s="9"/>
      <c r="O256" s="9"/>
      <c r="P256" s="10"/>
      <c r="Q256" s="11"/>
      <c r="R256" s="8"/>
      <c r="S256" s="12" t="str">
        <f t="shared" si="1"/>
        <v/>
      </c>
      <c r="T256" s="12">
        <f t="shared" si="4"/>
        <v>8.884923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6"/>
      <c r="N257" s="16"/>
      <c r="O257" s="16"/>
      <c r="P257" s="57"/>
      <c r="Q257" s="18"/>
      <c r="R257" s="15"/>
      <c r="S257" s="19" t="str">
        <f t="shared" si="1"/>
        <v/>
      </c>
      <c r="T257" s="19">
        <f t="shared" si="4"/>
        <v>8.884923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9"/>
      <c r="N258" s="9"/>
      <c r="O258" s="9"/>
      <c r="P258" s="10"/>
      <c r="Q258" s="11"/>
      <c r="R258" s="8"/>
      <c r="S258" s="12" t="str">
        <f t="shared" si="1"/>
        <v/>
      </c>
      <c r="T258" s="12">
        <f t="shared" si="4"/>
        <v>8.884923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6"/>
      <c r="N259" s="16"/>
      <c r="O259" s="16"/>
      <c r="P259" s="17"/>
      <c r="Q259" s="18"/>
      <c r="R259" s="15"/>
      <c r="S259" s="19" t="str">
        <f t="shared" si="1"/>
        <v/>
      </c>
      <c r="T259" s="19">
        <f t="shared" si="4"/>
        <v>8.884923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9"/>
      <c r="N260" s="9"/>
      <c r="O260" s="9"/>
      <c r="P260" s="10"/>
      <c r="Q260" s="11"/>
      <c r="R260" s="8"/>
      <c r="S260" s="12" t="str">
        <f t="shared" si="1"/>
        <v/>
      </c>
      <c r="T260" s="12">
        <f t="shared" si="4"/>
        <v>8.884923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6"/>
      <c r="N261" s="16"/>
      <c r="O261" s="16"/>
      <c r="P261" s="17"/>
      <c r="Q261" s="18"/>
      <c r="R261" s="15"/>
      <c r="S261" s="19" t="str">
        <f t="shared" si="1"/>
        <v/>
      </c>
      <c r="T261" s="19">
        <f t="shared" si="4"/>
        <v>8.884923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9"/>
      <c r="N262" s="9"/>
      <c r="O262" s="9"/>
      <c r="P262" s="10"/>
      <c r="Q262" s="11"/>
      <c r="R262" s="8"/>
      <c r="S262" s="12" t="str">
        <f t="shared" si="1"/>
        <v/>
      </c>
      <c r="T262" s="12">
        <f t="shared" si="4"/>
        <v>8.884923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6"/>
      <c r="N263" s="16"/>
      <c r="O263" s="16"/>
      <c r="P263" s="17"/>
      <c r="Q263" s="18"/>
      <c r="R263" s="15"/>
      <c r="S263" s="19" t="str">
        <f t="shared" si="1"/>
        <v/>
      </c>
      <c r="T263" s="19">
        <f t="shared" si="4"/>
        <v>8.884923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9"/>
      <c r="N264" s="9"/>
      <c r="O264" s="9"/>
      <c r="P264" s="10"/>
      <c r="Q264" s="11"/>
      <c r="R264" s="8"/>
      <c r="S264" s="12" t="str">
        <f t="shared" si="1"/>
        <v/>
      </c>
      <c r="T264" s="12">
        <f t="shared" si="4"/>
        <v>8.884923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6"/>
      <c r="N265" s="16"/>
      <c r="O265" s="16"/>
      <c r="P265" s="17"/>
      <c r="Q265" s="18"/>
      <c r="R265" s="15"/>
      <c r="S265" s="19" t="str">
        <f t="shared" si="1"/>
        <v/>
      </c>
      <c r="T265" s="19">
        <f t="shared" si="4"/>
        <v>8.884923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9"/>
      <c r="N266" s="9"/>
      <c r="O266" s="9"/>
      <c r="P266" s="10"/>
      <c r="Q266" s="11"/>
      <c r="R266" s="8"/>
      <c r="S266" s="12" t="str">
        <f t="shared" si="1"/>
        <v/>
      </c>
      <c r="T266" s="12">
        <f t="shared" si="4"/>
        <v>8.884923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6"/>
      <c r="N267" s="16"/>
      <c r="O267" s="16"/>
      <c r="P267" s="17"/>
      <c r="Q267" s="18"/>
      <c r="R267" s="15"/>
      <c r="S267" s="19" t="str">
        <f t="shared" si="1"/>
        <v/>
      </c>
      <c r="T267" s="19">
        <f t="shared" si="4"/>
        <v>8.884923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  <c r="N268" s="9"/>
      <c r="O268" s="9"/>
      <c r="P268" s="10"/>
      <c r="Q268" s="11"/>
      <c r="R268" s="8"/>
      <c r="S268" s="12" t="str">
        <f t="shared" si="1"/>
        <v/>
      </c>
      <c r="T268" s="12">
        <f t="shared" si="4"/>
        <v>8.884923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6"/>
      <c r="N269" s="16"/>
      <c r="O269" s="16"/>
      <c r="P269" s="17"/>
      <c r="Q269" s="18"/>
      <c r="R269" s="15"/>
      <c r="S269" s="19" t="str">
        <f t="shared" si="1"/>
        <v/>
      </c>
      <c r="T269" s="19">
        <f t="shared" si="4"/>
        <v>8.884923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9"/>
      <c r="N270" s="9"/>
      <c r="O270" s="9"/>
      <c r="P270" s="10"/>
      <c r="Q270" s="11"/>
      <c r="R270" s="8"/>
      <c r="S270" s="12" t="str">
        <f t="shared" si="1"/>
        <v/>
      </c>
      <c r="T270" s="12">
        <f t="shared" si="4"/>
        <v>8.884923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6"/>
      <c r="N271" s="16"/>
      <c r="O271" s="16"/>
      <c r="P271" s="17"/>
      <c r="Q271" s="18"/>
      <c r="R271" s="15"/>
      <c r="S271" s="19" t="str">
        <f t="shared" si="1"/>
        <v/>
      </c>
      <c r="T271" s="19">
        <f t="shared" si="4"/>
        <v>8.884923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9"/>
      <c r="N272" s="9"/>
      <c r="O272" s="9"/>
      <c r="P272" s="10"/>
      <c r="Q272" s="11"/>
      <c r="R272" s="8"/>
      <c r="S272" s="12" t="str">
        <f t="shared" si="1"/>
        <v/>
      </c>
      <c r="T272" s="12">
        <f t="shared" si="4"/>
        <v>8.884923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6"/>
      <c r="P273" s="17"/>
      <c r="Q273" s="18"/>
      <c r="R273" s="15"/>
      <c r="S273" s="19" t="str">
        <f t="shared" si="1"/>
        <v/>
      </c>
      <c r="T273" s="19">
        <f t="shared" si="4"/>
        <v>8.884923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9"/>
      <c r="N274" s="9"/>
      <c r="O274" s="9"/>
      <c r="P274" s="10"/>
      <c r="Q274" s="11"/>
      <c r="R274" s="8"/>
      <c r="S274" s="12" t="str">
        <f t="shared" si="1"/>
        <v/>
      </c>
      <c r="T274" s="12">
        <f t="shared" si="4"/>
        <v>8.884923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6"/>
      <c r="N275" s="16"/>
      <c r="O275" s="16"/>
      <c r="P275" s="17"/>
      <c r="Q275" s="18"/>
      <c r="R275" s="15"/>
      <c r="S275" s="19" t="str">
        <f t="shared" si="1"/>
        <v/>
      </c>
      <c r="T275" s="19">
        <f t="shared" si="4"/>
        <v>8.884923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9"/>
      <c r="N276" s="9"/>
      <c r="O276" s="9"/>
      <c r="P276" s="10"/>
      <c r="Q276" s="11"/>
      <c r="R276" s="8"/>
      <c r="S276" s="12" t="str">
        <f t="shared" si="1"/>
        <v/>
      </c>
      <c r="T276" s="12">
        <f t="shared" si="4"/>
        <v>8.884923</v>
      </c>
    </row>
    <row r="277">
      <c r="A277" s="15">
        <f t="shared" si="3"/>
        <v>276</v>
      </c>
      <c r="B277" s="15"/>
      <c r="C277" s="15"/>
      <c r="D277" s="15"/>
      <c r="E277" s="15"/>
      <c r="F277" s="139"/>
      <c r="G277" s="139"/>
      <c r="H277" s="139"/>
      <c r="I277" s="15"/>
      <c r="J277" s="15"/>
      <c r="K277" s="15"/>
      <c r="L277" s="15"/>
      <c r="M277" s="16"/>
      <c r="N277" s="16"/>
      <c r="O277" s="16"/>
      <c r="P277" s="17"/>
      <c r="Q277" s="18"/>
      <c r="R277" s="15"/>
      <c r="S277" s="19" t="str">
        <f t="shared" si="1"/>
        <v/>
      </c>
      <c r="T277" s="19">
        <f t="shared" si="4"/>
        <v>8.884923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9"/>
      <c r="N278" s="9"/>
      <c r="O278" s="9"/>
      <c r="P278" s="10"/>
      <c r="Q278" s="11"/>
      <c r="R278" s="8"/>
      <c r="S278" s="12" t="str">
        <f t="shared" si="1"/>
        <v/>
      </c>
      <c r="T278" s="12">
        <f t="shared" si="4"/>
        <v>8.884923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6"/>
      <c r="N279" s="16"/>
      <c r="O279" s="16"/>
      <c r="P279" s="17"/>
      <c r="Q279" s="18"/>
      <c r="R279" s="15"/>
      <c r="S279" s="19" t="str">
        <f t="shared" si="1"/>
        <v/>
      </c>
      <c r="T279" s="19">
        <f t="shared" si="4"/>
        <v>8.884923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9"/>
      <c r="N280" s="9"/>
      <c r="O280" s="9"/>
      <c r="P280" s="10"/>
      <c r="Q280" s="11"/>
      <c r="R280" s="8"/>
      <c r="S280" s="12" t="str">
        <f t="shared" si="1"/>
        <v/>
      </c>
      <c r="T280" s="12">
        <f t="shared" si="4"/>
        <v>8.884923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6"/>
      <c r="N281" s="16"/>
      <c r="O281" s="16"/>
      <c r="P281" s="17"/>
      <c r="Q281" s="18"/>
      <c r="R281" s="15"/>
      <c r="S281" s="19" t="str">
        <f t="shared" si="1"/>
        <v/>
      </c>
      <c r="T281" s="19">
        <f t="shared" si="4"/>
        <v>8.884923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9"/>
      <c r="N282" s="9"/>
      <c r="O282" s="9"/>
      <c r="P282" s="10"/>
      <c r="Q282" s="11"/>
      <c r="R282" s="8"/>
      <c r="S282" s="12" t="str">
        <f t="shared" si="1"/>
        <v/>
      </c>
      <c r="T282" s="12">
        <f t="shared" si="4"/>
        <v>8.884923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6"/>
      <c r="N283" s="16"/>
      <c r="O283" s="16"/>
      <c r="P283" s="17"/>
      <c r="Q283" s="18"/>
      <c r="R283" s="15"/>
      <c r="S283" s="19" t="str">
        <f t="shared" si="1"/>
        <v/>
      </c>
      <c r="T283" s="19">
        <f t="shared" si="4"/>
        <v>8.884923</v>
      </c>
    </row>
    <row r="284">
      <c r="A284" s="8">
        <f t="shared" si="3"/>
        <v>283</v>
      </c>
      <c r="B284" s="8"/>
      <c r="C284" s="8"/>
      <c r="D284" s="8"/>
      <c r="E284" s="31"/>
      <c r="F284" s="32"/>
      <c r="G284" s="32"/>
      <c r="H284" s="32"/>
      <c r="I284" s="32"/>
      <c r="J284" s="32"/>
      <c r="K284" s="32"/>
      <c r="L284" s="32"/>
      <c r="M284" s="33"/>
      <c r="N284" s="9"/>
      <c r="O284" s="9"/>
      <c r="P284" s="10"/>
      <c r="Q284" s="11"/>
      <c r="R284" s="8"/>
      <c r="S284" s="12" t="str">
        <f t="shared" si="1"/>
        <v/>
      </c>
      <c r="T284" s="12">
        <f t="shared" si="4"/>
        <v>8.884923</v>
      </c>
    </row>
    <row r="285">
      <c r="A285" s="15">
        <f t="shared" si="3"/>
        <v>284</v>
      </c>
      <c r="B285" s="15"/>
      <c r="C285" s="15"/>
      <c r="D285" s="15"/>
      <c r="E285" s="36"/>
      <c r="F285" s="37"/>
      <c r="G285" s="37"/>
      <c r="H285" s="37"/>
      <c r="I285" s="37"/>
      <c r="J285" s="37"/>
      <c r="K285" s="37"/>
      <c r="L285" s="37"/>
      <c r="M285" s="24"/>
      <c r="N285" s="16"/>
      <c r="O285" s="16"/>
      <c r="P285" s="17"/>
      <c r="Q285" s="18"/>
      <c r="R285" s="15"/>
      <c r="S285" s="19" t="str">
        <f t="shared" si="1"/>
        <v/>
      </c>
      <c r="T285" s="19">
        <f t="shared" si="4"/>
        <v>8.884923</v>
      </c>
    </row>
    <row r="286">
      <c r="A286" s="8">
        <f t="shared" si="3"/>
        <v>285</v>
      </c>
      <c r="B286" s="8"/>
      <c r="C286" s="8"/>
      <c r="D286" s="158"/>
      <c r="E286" s="185"/>
      <c r="F286" s="47"/>
      <c r="G286" s="47"/>
      <c r="H286" s="47"/>
      <c r="I286" s="47"/>
      <c r="J286" s="47"/>
      <c r="K286" s="47"/>
      <c r="L286" s="32"/>
      <c r="M286" s="9"/>
      <c r="N286" s="9"/>
      <c r="O286" s="9"/>
      <c r="P286" s="10"/>
      <c r="Q286" s="11"/>
      <c r="R286" s="8"/>
      <c r="S286" s="12" t="str">
        <f t="shared" si="1"/>
        <v/>
      </c>
      <c r="T286" s="12">
        <f t="shared" si="4"/>
        <v>8.884923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37"/>
      <c r="M287" s="16"/>
      <c r="N287" s="16"/>
      <c r="O287" s="16"/>
      <c r="P287" s="17"/>
      <c r="Q287" s="18"/>
      <c r="R287" s="15"/>
      <c r="S287" s="19" t="str">
        <f t="shared" si="1"/>
        <v/>
      </c>
      <c r="T287" s="19">
        <f t="shared" si="4"/>
        <v>8.884923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32"/>
      <c r="M288" s="9"/>
      <c r="N288" s="9"/>
      <c r="O288" s="9"/>
      <c r="P288" s="10"/>
      <c r="Q288" s="11"/>
      <c r="R288" s="8"/>
      <c r="S288" s="12" t="str">
        <f t="shared" si="1"/>
        <v/>
      </c>
      <c r="T288" s="12">
        <f t="shared" si="4"/>
        <v>8.884923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37"/>
      <c r="M289" s="16"/>
      <c r="N289" s="16"/>
      <c r="O289" s="16"/>
      <c r="P289" s="17"/>
      <c r="Q289" s="18"/>
      <c r="R289" s="15"/>
      <c r="S289" s="19" t="str">
        <f t="shared" si="1"/>
        <v/>
      </c>
      <c r="T289" s="19">
        <f t="shared" si="4"/>
        <v>8.884923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32"/>
      <c r="M290" s="9"/>
      <c r="N290" s="9"/>
      <c r="O290" s="9"/>
      <c r="P290" s="10"/>
      <c r="Q290" s="11"/>
      <c r="R290" s="8"/>
      <c r="S290" s="12" t="str">
        <f t="shared" si="1"/>
        <v/>
      </c>
      <c r="T290" s="12">
        <f t="shared" si="4"/>
        <v>8.884923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37"/>
      <c r="M291" s="16"/>
      <c r="N291" s="16"/>
      <c r="O291" s="16"/>
      <c r="P291" s="17"/>
      <c r="Q291" s="18"/>
      <c r="R291" s="15"/>
      <c r="S291" s="19" t="str">
        <f t="shared" si="1"/>
        <v/>
      </c>
      <c r="T291" s="19">
        <f t="shared" si="4"/>
        <v>8.884923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32"/>
      <c r="M292" s="9"/>
      <c r="N292" s="9"/>
      <c r="O292" s="9"/>
      <c r="P292" s="10"/>
      <c r="Q292" s="11"/>
      <c r="R292" s="8"/>
      <c r="S292" s="12" t="str">
        <f t="shared" si="1"/>
        <v/>
      </c>
      <c r="T292" s="12">
        <f t="shared" si="4"/>
        <v>8.884923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37"/>
      <c r="M293" s="16"/>
      <c r="N293" s="16"/>
      <c r="O293" s="16"/>
      <c r="P293" s="17"/>
      <c r="Q293" s="18"/>
      <c r="R293" s="15"/>
      <c r="S293" s="19" t="str">
        <f t="shared" si="1"/>
        <v/>
      </c>
      <c r="T293" s="19">
        <f t="shared" si="4"/>
        <v>8.884923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32"/>
      <c r="M294" s="9"/>
      <c r="N294" s="9"/>
      <c r="O294" s="9"/>
      <c r="P294" s="10"/>
      <c r="Q294" s="11"/>
      <c r="R294" s="8"/>
      <c r="S294" s="12" t="str">
        <f t="shared" si="1"/>
        <v/>
      </c>
      <c r="T294" s="12">
        <f t="shared" si="4"/>
        <v>8.884923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37"/>
      <c r="M295" s="16"/>
      <c r="N295" s="16"/>
      <c r="O295" s="16"/>
      <c r="P295" s="17"/>
      <c r="Q295" s="18"/>
      <c r="R295" s="15"/>
      <c r="S295" s="19" t="str">
        <f t="shared" si="1"/>
        <v/>
      </c>
      <c r="T295" s="19">
        <f t="shared" si="4"/>
        <v>8.884923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32"/>
      <c r="M296" s="9"/>
      <c r="N296" s="9"/>
      <c r="O296" s="9"/>
      <c r="P296" s="10"/>
      <c r="Q296" s="11"/>
      <c r="R296" s="8"/>
      <c r="S296" s="12" t="str">
        <f t="shared" si="1"/>
        <v/>
      </c>
      <c r="T296" s="12">
        <f t="shared" si="4"/>
        <v>8.884923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37"/>
      <c r="M297" s="16"/>
      <c r="N297" s="16"/>
      <c r="O297" s="16"/>
      <c r="P297" s="17"/>
      <c r="Q297" s="18"/>
      <c r="R297" s="15"/>
      <c r="S297" s="19" t="str">
        <f t="shared" si="1"/>
        <v/>
      </c>
      <c r="T297" s="19">
        <f t="shared" si="4"/>
        <v>8.884923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32"/>
      <c r="M298" s="9"/>
      <c r="N298" s="9"/>
      <c r="O298" s="9"/>
      <c r="P298" s="10"/>
      <c r="Q298" s="11"/>
      <c r="R298" s="8"/>
      <c r="S298" s="12" t="str">
        <f t="shared" si="1"/>
        <v/>
      </c>
      <c r="T298" s="12">
        <f t="shared" si="4"/>
        <v>8.884923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6"/>
      <c r="N299" s="16"/>
      <c r="O299" s="16"/>
      <c r="P299" s="17"/>
      <c r="Q299" s="18"/>
      <c r="R299" s="15"/>
      <c r="S299" s="19" t="str">
        <f t="shared" si="1"/>
        <v/>
      </c>
      <c r="T299" s="19">
        <f t="shared" si="4"/>
        <v>8.884923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9"/>
      <c r="N300" s="9"/>
      <c r="O300" s="9"/>
      <c r="P300" s="10"/>
      <c r="Q300" s="11"/>
      <c r="R300" s="8"/>
      <c r="S300" s="12" t="str">
        <f t="shared" si="1"/>
        <v/>
      </c>
      <c r="T300" s="12">
        <f t="shared" si="4"/>
        <v>8.884923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6"/>
      <c r="N301" s="16"/>
      <c r="O301" s="16"/>
      <c r="P301" s="17"/>
      <c r="Q301" s="18"/>
      <c r="R301" s="15"/>
      <c r="S301" s="19" t="str">
        <f t="shared" si="1"/>
        <v/>
      </c>
      <c r="T301" s="19">
        <f t="shared" si="4"/>
        <v>8.884923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9"/>
      <c r="N302" s="9"/>
      <c r="O302" s="9"/>
      <c r="P302" s="10"/>
      <c r="Q302" s="11"/>
      <c r="R302" s="8"/>
      <c r="S302" s="12" t="str">
        <f t="shared" si="1"/>
        <v/>
      </c>
      <c r="T302" s="12">
        <f t="shared" si="4"/>
        <v>8.884923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6"/>
      <c r="N303" s="16"/>
      <c r="O303" s="16"/>
      <c r="P303" s="17"/>
      <c r="Q303" s="18"/>
      <c r="R303" s="15"/>
      <c r="S303" s="19" t="str">
        <f t="shared" si="1"/>
        <v/>
      </c>
      <c r="T303" s="19">
        <f t="shared" si="4"/>
        <v>8.884923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9"/>
      <c r="N304" s="9"/>
      <c r="O304" s="9"/>
      <c r="P304" s="10"/>
      <c r="Q304" s="11"/>
      <c r="R304" s="8"/>
      <c r="S304" s="12" t="str">
        <f t="shared" si="1"/>
        <v/>
      </c>
      <c r="T304" s="12">
        <f t="shared" si="4"/>
        <v>8.884923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6"/>
      <c r="N305" s="16"/>
      <c r="O305" s="16"/>
      <c r="P305" s="17"/>
      <c r="Q305" s="18"/>
      <c r="R305" s="15"/>
      <c r="S305" s="19" t="str">
        <f t="shared" si="1"/>
        <v/>
      </c>
      <c r="T305" s="19">
        <f t="shared" si="4"/>
        <v>8.884923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9"/>
      <c r="N306" s="9"/>
      <c r="O306" s="9"/>
      <c r="P306" s="10"/>
      <c r="Q306" s="11"/>
      <c r="R306" s="8"/>
      <c r="S306" s="12" t="str">
        <f t="shared" si="1"/>
        <v/>
      </c>
      <c r="T306" s="12">
        <f t="shared" si="4"/>
        <v>8.884923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6"/>
      <c r="N307" s="16"/>
      <c r="O307" s="16"/>
      <c r="P307" s="17"/>
      <c r="Q307" s="18"/>
      <c r="R307" s="15"/>
      <c r="S307" s="19" t="str">
        <f t="shared" si="1"/>
        <v/>
      </c>
      <c r="T307" s="19">
        <f t="shared" si="4"/>
        <v>8.884923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  <c r="N308" s="9"/>
      <c r="O308" s="9"/>
      <c r="P308" s="10"/>
      <c r="Q308" s="11"/>
      <c r="R308" s="8"/>
      <c r="S308" s="12" t="str">
        <f t="shared" si="1"/>
        <v/>
      </c>
      <c r="T308" s="12">
        <f t="shared" si="4"/>
        <v>8.884923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6"/>
      <c r="N309" s="16"/>
      <c r="O309" s="16"/>
      <c r="P309" s="17"/>
      <c r="Q309" s="18"/>
      <c r="R309" s="15"/>
      <c r="S309" s="19" t="str">
        <f t="shared" si="1"/>
        <v/>
      </c>
      <c r="T309" s="19">
        <f t="shared" si="4"/>
        <v>8.884923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9"/>
      <c r="N310" s="9"/>
      <c r="O310" s="9"/>
      <c r="P310" s="10"/>
      <c r="Q310" s="11"/>
      <c r="R310" s="8"/>
      <c r="S310" s="12" t="str">
        <f t="shared" si="1"/>
        <v/>
      </c>
      <c r="T310" s="12">
        <f t="shared" si="4"/>
        <v>8.884923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6"/>
      <c r="N311" s="16"/>
      <c r="O311" s="16"/>
      <c r="P311" s="17"/>
      <c r="Q311" s="18"/>
      <c r="R311" s="15"/>
      <c r="S311" s="19" t="str">
        <f t="shared" si="1"/>
        <v/>
      </c>
      <c r="T311" s="19">
        <f t="shared" si="4"/>
        <v>8.884923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9"/>
      <c r="N312" s="9"/>
      <c r="O312" s="9"/>
      <c r="P312" s="10"/>
      <c r="Q312" s="11"/>
      <c r="R312" s="8"/>
      <c r="S312" s="12" t="str">
        <f t="shared" si="1"/>
        <v/>
      </c>
      <c r="T312" s="12">
        <f t="shared" si="4"/>
        <v>8.884923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6"/>
      <c r="N313" s="16"/>
      <c r="O313" s="16"/>
      <c r="P313" s="17"/>
      <c r="Q313" s="18"/>
      <c r="R313" s="15"/>
      <c r="S313" s="19" t="str">
        <f t="shared" si="1"/>
        <v/>
      </c>
      <c r="T313" s="19">
        <f t="shared" si="4"/>
        <v>8.884923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9"/>
      <c r="N314" s="9"/>
      <c r="O314" s="9"/>
      <c r="P314" s="10"/>
      <c r="Q314" s="11"/>
      <c r="R314" s="8"/>
      <c r="S314" s="12" t="str">
        <f t="shared" si="1"/>
        <v/>
      </c>
      <c r="T314" s="12">
        <f t="shared" si="4"/>
        <v>8.884923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6"/>
      <c r="N315" s="16"/>
      <c r="O315" s="16"/>
      <c r="P315" s="17"/>
      <c r="Q315" s="18"/>
      <c r="R315" s="15"/>
      <c r="S315" s="19" t="str">
        <f t="shared" si="1"/>
        <v/>
      </c>
      <c r="T315" s="19">
        <f t="shared" si="4"/>
        <v>8.884923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9"/>
      <c r="N316" s="9"/>
      <c r="O316" s="9"/>
      <c r="P316" s="10"/>
      <c r="Q316" s="11"/>
      <c r="R316" s="8"/>
      <c r="S316" s="12" t="str">
        <f t="shared" si="1"/>
        <v/>
      </c>
      <c r="T316" s="12">
        <f t="shared" si="4"/>
        <v>8.884923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6"/>
      <c r="N317" s="16"/>
      <c r="O317" s="16"/>
      <c r="P317" s="17"/>
      <c r="Q317" s="18"/>
      <c r="R317" s="15"/>
      <c r="S317" s="19" t="str">
        <f t="shared" si="1"/>
        <v/>
      </c>
      <c r="T317" s="19">
        <f t="shared" si="4"/>
        <v>8.884923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9"/>
      <c r="N318" s="9"/>
      <c r="O318" s="9"/>
      <c r="P318" s="10"/>
      <c r="Q318" s="11"/>
      <c r="R318" s="8"/>
      <c r="S318" s="12" t="str">
        <f t="shared" si="1"/>
        <v/>
      </c>
      <c r="T318" s="12">
        <f t="shared" si="4"/>
        <v>8.884923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24"/>
      <c r="N319" s="16"/>
      <c r="O319" s="16"/>
      <c r="P319" s="17"/>
      <c r="Q319" s="18"/>
      <c r="R319" s="15"/>
      <c r="S319" s="19" t="str">
        <f t="shared" si="1"/>
        <v/>
      </c>
      <c r="T319" s="19">
        <f t="shared" si="4"/>
        <v>8.884923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9"/>
      <c r="N320" s="9"/>
      <c r="O320" s="9"/>
      <c r="P320" s="10"/>
      <c r="Q320" s="11"/>
      <c r="R320" s="8"/>
      <c r="S320" s="12" t="str">
        <f t="shared" si="1"/>
        <v/>
      </c>
      <c r="T320" s="12">
        <f t="shared" si="4"/>
        <v>8.884923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6"/>
      <c r="N321" s="16"/>
      <c r="O321" s="16"/>
      <c r="P321" s="17"/>
      <c r="Q321" s="18"/>
      <c r="R321" s="15"/>
      <c r="S321" s="19" t="str">
        <f t="shared" si="1"/>
        <v/>
      </c>
      <c r="T321" s="19">
        <f t="shared" si="4"/>
        <v>8.884923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123"/>
      <c r="N322" s="9"/>
      <c r="O322" s="9"/>
      <c r="P322" s="10"/>
      <c r="Q322" s="11"/>
      <c r="R322" s="8"/>
      <c r="S322" s="12" t="str">
        <f t="shared" si="1"/>
        <v/>
      </c>
      <c r="T322" s="12">
        <f t="shared" si="4"/>
        <v>8.884923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6"/>
      <c r="O323" s="16"/>
      <c r="P323" s="17"/>
      <c r="Q323" s="18"/>
      <c r="R323" s="15"/>
      <c r="S323" s="19" t="str">
        <f t="shared" si="1"/>
        <v/>
      </c>
      <c r="T323" s="19">
        <f t="shared" si="4"/>
        <v>8.884923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9"/>
      <c r="N324" s="9"/>
      <c r="O324" s="9"/>
      <c r="P324" s="10"/>
      <c r="Q324" s="11"/>
      <c r="R324" s="8"/>
      <c r="S324" s="12" t="str">
        <f t="shared" si="1"/>
        <v/>
      </c>
      <c r="T324" s="12">
        <f t="shared" si="4"/>
        <v>8.884923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6"/>
      <c r="N325" s="16"/>
      <c r="O325" s="16"/>
      <c r="P325" s="17"/>
      <c r="Q325" s="15"/>
      <c r="R325" s="15"/>
      <c r="S325" s="19" t="str">
        <f t="shared" si="1"/>
        <v/>
      </c>
      <c r="T325" s="19">
        <f t="shared" si="4"/>
        <v>8.884923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9"/>
      <c r="N326" s="9"/>
      <c r="O326" s="9"/>
      <c r="P326" s="10"/>
      <c r="Q326" s="8"/>
      <c r="R326" s="8"/>
      <c r="S326" s="12" t="str">
        <f t="shared" si="1"/>
        <v/>
      </c>
      <c r="T326" s="12">
        <f t="shared" si="4"/>
        <v>8.884923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6"/>
      <c r="N327" s="16"/>
      <c r="O327" s="16"/>
      <c r="P327" s="17"/>
      <c r="Q327" s="15"/>
      <c r="R327" s="15"/>
      <c r="S327" s="19" t="str">
        <f t="shared" si="1"/>
        <v/>
      </c>
      <c r="T327" s="19">
        <f t="shared" si="4"/>
        <v>8.884923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9"/>
      <c r="N328" s="9"/>
      <c r="O328" s="9"/>
      <c r="P328" s="10"/>
      <c r="Q328" s="11"/>
      <c r="R328" s="8"/>
      <c r="S328" s="12" t="str">
        <f t="shared" si="1"/>
        <v/>
      </c>
      <c r="T328" s="12">
        <f t="shared" si="4"/>
        <v>8.884923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6"/>
      <c r="N329" s="16"/>
      <c r="O329" s="16"/>
      <c r="P329" s="17"/>
      <c r="Q329" s="18"/>
      <c r="R329" s="15"/>
      <c r="S329" s="19" t="str">
        <f t="shared" si="1"/>
        <v/>
      </c>
      <c r="T329" s="19">
        <f t="shared" si="4"/>
        <v>8.884923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9"/>
      <c r="N330" s="9"/>
      <c r="O330" s="9"/>
      <c r="P330" s="10"/>
      <c r="Q330" s="11"/>
      <c r="R330" s="8"/>
      <c r="S330" s="12" t="str">
        <f t="shared" si="1"/>
        <v/>
      </c>
      <c r="T330" s="12">
        <f t="shared" si="4"/>
        <v>8.884923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6"/>
      <c r="N331" s="16"/>
      <c r="O331" s="16"/>
      <c r="P331" s="17"/>
      <c r="Q331" s="18"/>
      <c r="R331" s="15"/>
      <c r="S331" s="19" t="str">
        <f t="shared" si="1"/>
        <v/>
      </c>
      <c r="T331" s="19">
        <f t="shared" si="4"/>
        <v>8.884923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9"/>
      <c r="N332" s="9"/>
      <c r="O332" s="9"/>
      <c r="P332" s="10"/>
      <c r="Q332" s="11"/>
      <c r="R332" s="8"/>
      <c r="S332" s="12" t="str">
        <f t="shared" si="1"/>
        <v/>
      </c>
      <c r="T332" s="12">
        <f t="shared" si="4"/>
        <v>8.884923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"/>
      <c r="O333" s="16"/>
      <c r="P333" s="17"/>
      <c r="Q333" s="18"/>
      <c r="R333" s="15"/>
      <c r="S333" s="19" t="str">
        <f t="shared" si="1"/>
        <v/>
      </c>
      <c r="T333" s="19">
        <f t="shared" si="4"/>
        <v>8.884923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9"/>
      <c r="N334" s="9"/>
      <c r="O334" s="9"/>
      <c r="P334" s="10"/>
      <c r="Q334" s="11"/>
      <c r="R334" s="8"/>
      <c r="S334" s="12" t="str">
        <f t="shared" si="1"/>
        <v/>
      </c>
      <c r="T334" s="12">
        <f t="shared" si="4"/>
        <v>8.884923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6"/>
      <c r="N335" s="16"/>
      <c r="O335" s="16"/>
      <c r="P335" s="17"/>
      <c r="Q335" s="18"/>
      <c r="R335" s="15"/>
      <c r="S335" s="19" t="str">
        <f t="shared" si="1"/>
        <v/>
      </c>
      <c r="T335" s="19">
        <f t="shared" si="4"/>
        <v>8.884923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9"/>
      <c r="N336" s="9"/>
      <c r="O336" s="9"/>
      <c r="P336" s="10"/>
      <c r="Q336" s="11"/>
      <c r="R336" s="8"/>
      <c r="S336" s="12" t="str">
        <f t="shared" si="1"/>
        <v/>
      </c>
      <c r="T336" s="12">
        <f t="shared" si="4"/>
        <v>8.884923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6"/>
      <c r="N337" s="16"/>
      <c r="O337" s="16"/>
      <c r="P337" s="17"/>
      <c r="Q337" s="18"/>
      <c r="R337" s="15"/>
      <c r="S337" s="19" t="str">
        <f t="shared" si="1"/>
        <v/>
      </c>
      <c r="T337" s="19">
        <f t="shared" si="4"/>
        <v>8.884923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9"/>
      <c r="N338" s="9"/>
      <c r="O338" s="9"/>
      <c r="P338" s="10"/>
      <c r="Q338" s="11"/>
      <c r="R338" s="8"/>
      <c r="S338" s="12" t="str">
        <f t="shared" si="1"/>
        <v/>
      </c>
      <c r="T338" s="12">
        <f t="shared" si="4"/>
        <v>8.884923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6"/>
      <c r="N339" s="16"/>
      <c r="O339" s="16"/>
      <c r="P339" s="17"/>
      <c r="Q339" s="18"/>
      <c r="R339" s="15"/>
      <c r="S339" s="19" t="str">
        <f t="shared" si="1"/>
        <v/>
      </c>
      <c r="T339" s="19">
        <f t="shared" si="4"/>
        <v>8.884923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9"/>
      <c r="N340" s="9"/>
      <c r="O340" s="9"/>
      <c r="P340" s="10"/>
      <c r="Q340" s="11"/>
      <c r="R340" s="8"/>
      <c r="S340" s="12" t="str">
        <f t="shared" si="1"/>
        <v/>
      </c>
      <c r="T340" s="12">
        <f t="shared" si="4"/>
        <v>8.884923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"/>
      <c r="O341" s="16"/>
      <c r="P341" s="17"/>
      <c r="Q341" s="18"/>
      <c r="R341" s="15"/>
      <c r="S341" s="19" t="str">
        <f t="shared" si="1"/>
        <v/>
      </c>
      <c r="T341" s="19">
        <f t="shared" si="4"/>
        <v>8.884923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123"/>
      <c r="N342" s="9"/>
      <c r="O342" s="9"/>
      <c r="P342" s="10"/>
      <c r="Q342" s="11"/>
      <c r="R342" s="8"/>
      <c r="S342" s="12" t="str">
        <f t="shared" si="1"/>
        <v/>
      </c>
      <c r="T342" s="12">
        <f t="shared" si="4"/>
        <v>8.884923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24"/>
      <c r="N343" s="16"/>
      <c r="O343" s="16"/>
      <c r="P343" s="17"/>
      <c r="Q343" s="18"/>
      <c r="R343" s="15"/>
      <c r="S343" s="19" t="str">
        <f t="shared" si="1"/>
        <v/>
      </c>
      <c r="T343" s="19">
        <f t="shared" si="4"/>
        <v>8.884923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123"/>
      <c r="N344" s="9"/>
      <c r="O344" s="9"/>
      <c r="P344" s="10"/>
      <c r="Q344" s="11"/>
      <c r="R344" s="8"/>
      <c r="S344" s="12" t="str">
        <f t="shared" si="1"/>
        <v/>
      </c>
      <c r="T344" s="12">
        <f t="shared" si="4"/>
        <v>8.884923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24"/>
      <c r="N345" s="16"/>
      <c r="O345" s="16"/>
      <c r="P345" s="17"/>
      <c r="Q345" s="18"/>
      <c r="R345" s="15"/>
      <c r="S345" s="19" t="str">
        <f t="shared" si="1"/>
        <v/>
      </c>
      <c r="T345" s="19">
        <f t="shared" si="4"/>
        <v>8.884923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123"/>
      <c r="N346" s="9"/>
      <c r="O346" s="9"/>
      <c r="P346" s="10"/>
      <c r="Q346" s="11"/>
      <c r="R346" s="8"/>
      <c r="S346" s="12" t="str">
        <f t="shared" si="1"/>
        <v/>
      </c>
      <c r="T346" s="12">
        <f t="shared" si="4"/>
        <v>8.884923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24"/>
      <c r="N347" s="16"/>
      <c r="O347" s="16"/>
      <c r="P347" s="17"/>
      <c r="Q347" s="18"/>
      <c r="R347" s="15"/>
      <c r="S347" s="19" t="str">
        <f t="shared" si="1"/>
        <v/>
      </c>
      <c r="T347" s="19">
        <f t="shared" si="4"/>
        <v>8.884923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123"/>
      <c r="N348" s="9"/>
      <c r="O348" s="9"/>
      <c r="P348" s="10"/>
      <c r="Q348" s="11"/>
      <c r="R348" s="8"/>
      <c r="S348" s="12" t="str">
        <f t="shared" si="1"/>
        <v/>
      </c>
      <c r="T348" s="12">
        <f t="shared" si="4"/>
        <v>8.884923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24"/>
      <c r="N349" s="16"/>
      <c r="O349" s="16"/>
      <c r="P349" s="17"/>
      <c r="Q349" s="18"/>
      <c r="R349" s="15"/>
      <c r="S349" s="19" t="str">
        <f t="shared" si="1"/>
        <v/>
      </c>
      <c r="T349" s="19">
        <f t="shared" si="4"/>
        <v>8.884923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123"/>
      <c r="N350" s="9"/>
      <c r="O350" s="9"/>
      <c r="P350" s="10"/>
      <c r="Q350" s="11"/>
      <c r="R350" s="8"/>
      <c r="S350" s="12" t="str">
        <f t="shared" si="1"/>
        <v/>
      </c>
      <c r="T350" s="12">
        <f t="shared" si="4"/>
        <v>8.884923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24"/>
      <c r="N351" s="16"/>
      <c r="O351" s="16"/>
      <c r="P351" s="17"/>
      <c r="Q351" s="18"/>
      <c r="R351" s="15"/>
      <c r="S351" s="19" t="str">
        <f t="shared" si="1"/>
        <v/>
      </c>
      <c r="T351" s="19">
        <f t="shared" si="4"/>
        <v>8.884923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123"/>
      <c r="N352" s="9"/>
      <c r="O352" s="9"/>
      <c r="P352" s="10"/>
      <c r="Q352" s="11"/>
      <c r="R352" s="8"/>
      <c r="S352" s="12" t="str">
        <f t="shared" si="1"/>
        <v/>
      </c>
      <c r="T352" s="12">
        <f t="shared" si="4"/>
        <v>8.884923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24"/>
      <c r="N353" s="16"/>
      <c r="O353" s="16"/>
      <c r="P353" s="17"/>
      <c r="Q353" s="18"/>
      <c r="R353" s="15"/>
      <c r="S353" s="19" t="str">
        <f t="shared" si="1"/>
        <v/>
      </c>
      <c r="T353" s="19">
        <f t="shared" si="4"/>
        <v>8.884923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123"/>
      <c r="N354" s="9"/>
      <c r="O354" s="9"/>
      <c r="P354" s="10"/>
      <c r="Q354" s="11"/>
      <c r="R354" s="8"/>
      <c r="S354" s="12" t="str">
        <f t="shared" si="1"/>
        <v/>
      </c>
      <c r="T354" s="12">
        <f t="shared" si="4"/>
        <v>8.884923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24"/>
      <c r="N355" s="16"/>
      <c r="O355" s="16"/>
      <c r="P355" s="17"/>
      <c r="Q355" s="18"/>
      <c r="R355" s="15"/>
      <c r="S355" s="19" t="str">
        <f t="shared" si="1"/>
        <v/>
      </c>
      <c r="T355" s="19">
        <f t="shared" si="4"/>
        <v>8.884923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123"/>
      <c r="N356" s="9"/>
      <c r="O356" s="9"/>
      <c r="P356" s="10"/>
      <c r="Q356" s="11"/>
      <c r="R356" s="8"/>
      <c r="S356" s="12" t="str">
        <f t="shared" si="1"/>
        <v/>
      </c>
      <c r="T356" s="12">
        <f t="shared" si="4"/>
        <v>8.884923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24"/>
      <c r="N357" s="16"/>
      <c r="O357" s="16"/>
      <c r="P357" s="17"/>
      <c r="Q357" s="18"/>
      <c r="R357" s="15"/>
      <c r="S357" s="19" t="str">
        <f t="shared" si="1"/>
        <v/>
      </c>
      <c r="T357" s="19">
        <f t="shared" si="4"/>
        <v>8.884923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123"/>
      <c r="N358" s="9"/>
      <c r="O358" s="9"/>
      <c r="P358" s="10"/>
      <c r="Q358" s="11"/>
      <c r="R358" s="8"/>
      <c r="S358" s="12" t="str">
        <f t="shared" si="1"/>
        <v/>
      </c>
      <c r="T358" s="123"/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24"/>
      <c r="N359" s="16"/>
      <c r="O359" s="16"/>
      <c r="P359" s="17"/>
      <c r="Q359" s="18"/>
      <c r="R359" s="15"/>
      <c r="S359" s="19" t="str">
        <f t="shared" si="1"/>
        <v/>
      </c>
      <c r="T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123"/>
      <c r="N360" s="9"/>
      <c r="O360" s="9"/>
      <c r="P360" s="10"/>
      <c r="Q360" s="11"/>
      <c r="R360" s="8"/>
      <c r="S360" s="12" t="str">
        <f t="shared" si="1"/>
        <v/>
      </c>
      <c r="T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24"/>
      <c r="N361" s="16"/>
      <c r="O361" s="16"/>
      <c r="P361" s="17"/>
      <c r="Q361" s="18"/>
      <c r="R361" s="15"/>
      <c r="S361" s="19" t="str">
        <f t="shared" si="1"/>
        <v/>
      </c>
      <c r="T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123"/>
      <c r="N362" s="9"/>
      <c r="O362" s="9"/>
      <c r="P362" s="10"/>
      <c r="Q362" s="11"/>
      <c r="R362" s="8"/>
      <c r="S362" s="12" t="str">
        <f t="shared" si="1"/>
        <v/>
      </c>
      <c r="T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24"/>
      <c r="N363" s="16"/>
      <c r="O363" s="16"/>
      <c r="P363" s="17"/>
      <c r="Q363" s="18"/>
      <c r="R363" s="15"/>
      <c r="S363" s="19" t="str">
        <f t="shared" si="1"/>
        <v/>
      </c>
      <c r="T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123"/>
      <c r="N364" s="9"/>
      <c r="O364" s="9"/>
      <c r="P364" s="10"/>
      <c r="Q364" s="11"/>
      <c r="R364" s="8"/>
      <c r="S364" s="12" t="str">
        <f t="shared" si="1"/>
        <v/>
      </c>
      <c r="T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24"/>
      <c r="N365" s="16"/>
      <c r="O365" s="16"/>
      <c r="P365" s="17"/>
      <c r="Q365" s="18"/>
      <c r="R365" s="15"/>
      <c r="S365" s="19" t="str">
        <f t="shared" si="1"/>
        <v/>
      </c>
      <c r="T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123"/>
      <c r="N366" s="9"/>
      <c r="O366" s="9"/>
      <c r="P366" s="10"/>
      <c r="Q366" s="11"/>
      <c r="R366" s="8"/>
      <c r="S366" s="12" t="str">
        <f t="shared" si="1"/>
        <v/>
      </c>
      <c r="T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24"/>
      <c r="N367" s="16"/>
      <c r="O367" s="16"/>
      <c r="P367" s="17"/>
      <c r="Q367" s="18"/>
      <c r="R367" s="15"/>
      <c r="S367" s="19" t="str">
        <f t="shared" si="1"/>
        <v/>
      </c>
      <c r="T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123"/>
      <c r="N368" s="9"/>
      <c r="O368" s="9"/>
      <c r="P368" s="10"/>
      <c r="Q368" s="11"/>
      <c r="R368" s="8"/>
      <c r="S368" s="12" t="str">
        <f t="shared" si="1"/>
        <v/>
      </c>
      <c r="T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24"/>
      <c r="N369" s="16"/>
      <c r="O369" s="16"/>
      <c r="P369" s="17"/>
      <c r="Q369" s="15"/>
      <c r="R369" s="15"/>
      <c r="S369" s="19" t="str">
        <f t="shared" si="1"/>
        <v/>
      </c>
      <c r="T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123"/>
      <c r="N370" s="9"/>
      <c r="O370" s="9"/>
      <c r="P370" s="10"/>
      <c r="Q370" s="8"/>
      <c r="R370" s="8"/>
      <c r="S370" s="12" t="str">
        <f t="shared" si="1"/>
        <v/>
      </c>
      <c r="T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24"/>
      <c r="N371" s="16"/>
      <c r="O371" s="16"/>
      <c r="P371" s="17"/>
      <c r="Q371" s="15"/>
      <c r="R371" s="15"/>
      <c r="S371" s="19" t="str">
        <f t="shared" si="1"/>
        <v/>
      </c>
      <c r="T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123"/>
      <c r="N372" s="9"/>
      <c r="O372" s="9"/>
      <c r="P372" s="10"/>
      <c r="Q372" s="8"/>
      <c r="R372" s="8"/>
      <c r="S372" s="12" t="str">
        <f t="shared" si="1"/>
        <v/>
      </c>
      <c r="T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24"/>
      <c r="N373" s="16"/>
      <c r="O373" s="16"/>
      <c r="P373" s="17"/>
      <c r="Q373" s="15"/>
      <c r="R373" s="15"/>
      <c r="S373" s="19" t="str">
        <f t="shared" si="1"/>
        <v/>
      </c>
      <c r="T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123"/>
      <c r="N374" s="9"/>
      <c r="O374" s="9"/>
      <c r="P374" s="10"/>
      <c r="Q374" s="8"/>
      <c r="R374" s="8"/>
      <c r="S374" s="12" t="str">
        <f t="shared" si="1"/>
        <v/>
      </c>
      <c r="T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24"/>
      <c r="N375" s="16"/>
      <c r="O375" s="16"/>
      <c r="P375" s="17"/>
      <c r="Q375" s="15"/>
      <c r="R375" s="15"/>
      <c r="S375" s="19" t="str">
        <f t="shared" si="1"/>
        <v/>
      </c>
      <c r="T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123"/>
      <c r="N376" s="9"/>
      <c r="O376" s="9"/>
      <c r="P376" s="10"/>
      <c r="Q376" s="8"/>
      <c r="R376" s="8"/>
      <c r="S376" s="12" t="str">
        <f t="shared" si="1"/>
        <v/>
      </c>
      <c r="T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24"/>
      <c r="N377" s="16"/>
      <c r="O377" s="16"/>
      <c r="P377" s="17"/>
      <c r="Q377" s="15"/>
      <c r="R377" s="15"/>
      <c r="S377" s="19" t="str">
        <f t="shared" si="1"/>
        <v/>
      </c>
      <c r="T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123"/>
      <c r="N378" s="9"/>
      <c r="O378" s="9"/>
      <c r="P378" s="10"/>
      <c r="Q378" s="8"/>
      <c r="R378" s="8"/>
      <c r="S378" s="12" t="str">
        <f t="shared" si="1"/>
        <v/>
      </c>
      <c r="T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24"/>
      <c r="N379" s="16"/>
      <c r="O379" s="16"/>
      <c r="P379" s="17"/>
      <c r="Q379" s="15"/>
      <c r="R379" s="15"/>
      <c r="S379" s="19" t="str">
        <f t="shared" si="1"/>
        <v/>
      </c>
      <c r="T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123"/>
      <c r="N380" s="9"/>
      <c r="O380" s="9"/>
      <c r="P380" s="10"/>
      <c r="Q380" s="8"/>
      <c r="R380" s="8"/>
      <c r="S380" s="12" t="str">
        <f t="shared" si="1"/>
        <v/>
      </c>
      <c r="T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24"/>
      <c r="N381" s="16"/>
      <c r="O381" s="16"/>
      <c r="P381" s="17"/>
      <c r="Q381" s="15"/>
      <c r="R381" s="15"/>
      <c r="S381" s="19" t="str">
        <f t="shared" si="1"/>
        <v/>
      </c>
      <c r="T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123"/>
      <c r="N382" s="9"/>
      <c r="O382" s="9"/>
      <c r="P382" s="10"/>
      <c r="Q382" s="8"/>
      <c r="R382" s="8"/>
      <c r="S382" s="12" t="str">
        <f t="shared" si="1"/>
        <v/>
      </c>
      <c r="T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24"/>
      <c r="N383" s="16"/>
      <c r="O383" s="16"/>
      <c r="P383" s="17"/>
      <c r="Q383" s="15"/>
      <c r="R383" s="15"/>
      <c r="S383" s="19" t="str">
        <f t="shared" si="1"/>
        <v/>
      </c>
      <c r="T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123"/>
      <c r="N384" s="9"/>
      <c r="O384" s="9"/>
      <c r="P384" s="10"/>
      <c r="Q384" s="8"/>
      <c r="R384" s="8"/>
      <c r="S384" s="12" t="str">
        <f t="shared" si="1"/>
        <v/>
      </c>
      <c r="T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24"/>
      <c r="N385" s="16"/>
      <c r="O385" s="16"/>
      <c r="P385" s="17"/>
      <c r="Q385" s="15"/>
      <c r="R385" s="15"/>
      <c r="S385" s="19" t="str">
        <f t="shared" si="1"/>
        <v/>
      </c>
      <c r="T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123"/>
      <c r="N386" s="9"/>
      <c r="O386" s="9"/>
      <c r="P386" s="10"/>
      <c r="Q386" s="8"/>
      <c r="R386" s="8"/>
      <c r="S386" s="12" t="str">
        <f t="shared" si="1"/>
        <v/>
      </c>
      <c r="T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24"/>
      <c r="N387" s="16"/>
      <c r="O387" s="16"/>
      <c r="P387" s="17"/>
      <c r="Q387" s="15"/>
      <c r="R387" s="15"/>
      <c r="S387" s="19" t="str">
        <f t="shared" si="1"/>
        <v/>
      </c>
      <c r="T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123"/>
      <c r="N388" s="9"/>
      <c r="O388" s="9"/>
      <c r="P388" s="10"/>
      <c r="Q388" s="8"/>
      <c r="R388" s="8"/>
      <c r="S388" s="12" t="str">
        <f t="shared" si="1"/>
        <v/>
      </c>
      <c r="T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24"/>
      <c r="N389" s="16"/>
      <c r="O389" s="16"/>
      <c r="P389" s="17"/>
      <c r="Q389" s="15"/>
      <c r="R389" s="15"/>
      <c r="S389" s="19" t="str">
        <f t="shared" si="1"/>
        <v/>
      </c>
      <c r="T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123"/>
      <c r="N390" s="9"/>
      <c r="O390" s="9"/>
      <c r="P390" s="10"/>
      <c r="Q390" s="8"/>
      <c r="R390" s="8"/>
      <c r="S390" s="12" t="str">
        <f t="shared" si="1"/>
        <v/>
      </c>
      <c r="T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24"/>
      <c r="N391" s="16"/>
      <c r="O391" s="16"/>
      <c r="P391" s="17"/>
      <c r="Q391" s="15"/>
      <c r="R391" s="15"/>
      <c r="S391" s="19" t="str">
        <f t="shared" si="1"/>
        <v/>
      </c>
      <c r="T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123"/>
      <c r="N392" s="9"/>
      <c r="O392" s="9"/>
      <c r="P392" s="10"/>
      <c r="Q392" s="8"/>
      <c r="R392" s="8"/>
      <c r="S392" s="12" t="str">
        <f t="shared" si="1"/>
        <v/>
      </c>
      <c r="T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24"/>
      <c r="N393" s="16"/>
      <c r="O393" s="16"/>
      <c r="P393" s="17"/>
      <c r="Q393" s="15"/>
      <c r="R393" s="15"/>
      <c r="S393" s="19" t="str">
        <f t="shared" si="1"/>
        <v/>
      </c>
      <c r="T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123"/>
      <c r="N394" s="9"/>
      <c r="O394" s="9"/>
      <c r="P394" s="10"/>
      <c r="Q394" s="8"/>
      <c r="R394" s="8"/>
      <c r="S394" s="123"/>
      <c r="T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24"/>
      <c r="N395" s="16"/>
      <c r="O395" s="16"/>
      <c r="P395" s="17"/>
      <c r="Q395" s="15"/>
      <c r="R395" s="15"/>
      <c r="S395" s="124"/>
      <c r="T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123"/>
      <c r="N396" s="9"/>
      <c r="O396" s="9"/>
      <c r="P396" s="10"/>
      <c r="Q396" s="8"/>
      <c r="R396" s="8"/>
      <c r="S396" s="123"/>
      <c r="T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24"/>
      <c r="N397" s="16"/>
      <c r="O397" s="16"/>
      <c r="P397" s="17"/>
      <c r="Q397" s="15"/>
      <c r="R397" s="15"/>
      <c r="S397" s="124"/>
      <c r="T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123"/>
      <c r="N398" s="9"/>
      <c r="O398" s="9"/>
      <c r="P398" s="10"/>
      <c r="Q398" s="8"/>
      <c r="R398" s="8"/>
      <c r="S398" s="123"/>
      <c r="T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24"/>
      <c r="N399" s="16"/>
      <c r="O399" s="16"/>
      <c r="P399" s="17"/>
      <c r="Q399" s="15"/>
      <c r="R399" s="15"/>
      <c r="S399" s="124"/>
      <c r="T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123"/>
      <c r="N400" s="9"/>
      <c r="O400" s="9"/>
      <c r="P400" s="10"/>
      <c r="Q400" s="8"/>
      <c r="R400" s="8"/>
      <c r="S400" s="123"/>
      <c r="T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24"/>
      <c r="N401" s="16"/>
      <c r="O401" s="16"/>
      <c r="P401" s="17"/>
      <c r="Q401" s="15"/>
      <c r="R401" s="15"/>
      <c r="S401" s="124"/>
      <c r="T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123"/>
      <c r="N402" s="9"/>
      <c r="O402" s="9"/>
      <c r="P402" s="10"/>
      <c r="Q402" s="8"/>
      <c r="R402" s="8"/>
      <c r="S402" s="123"/>
      <c r="T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24"/>
      <c r="N403" s="16"/>
      <c r="O403" s="16"/>
      <c r="P403" s="17"/>
      <c r="Q403" s="15"/>
      <c r="R403" s="15"/>
      <c r="S403" s="124"/>
      <c r="T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123"/>
      <c r="N404" s="9"/>
      <c r="O404" s="9"/>
      <c r="P404" s="10"/>
      <c r="Q404" s="8"/>
      <c r="R404" s="8"/>
      <c r="S404" s="123"/>
      <c r="T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24"/>
      <c r="N405" s="16"/>
      <c r="O405" s="16"/>
      <c r="P405" s="17"/>
      <c r="Q405" s="15"/>
      <c r="R405" s="15"/>
      <c r="S405" s="124"/>
      <c r="T405" s="124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29"/>
      <c r="M406" s="130"/>
      <c r="N406" s="131"/>
      <c r="O406" s="131"/>
      <c r="P406" s="132"/>
      <c r="Q406" s="129"/>
      <c r="R406" s="129"/>
      <c r="S406" s="130"/>
      <c r="T406" s="130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6"/>
      <c r="N407" s="127"/>
      <c r="O407" s="127"/>
      <c r="P407" s="128"/>
      <c r="Q407" s="125"/>
      <c r="R407" s="125"/>
      <c r="S407" s="126"/>
      <c r="T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29"/>
      <c r="M408" s="130"/>
      <c r="N408" s="131"/>
      <c r="O408" s="131"/>
      <c r="P408" s="132"/>
      <c r="Q408" s="129"/>
      <c r="R408" s="129"/>
      <c r="S408" s="130"/>
      <c r="T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6"/>
      <c r="N409" s="127"/>
      <c r="O409" s="127"/>
      <c r="P409" s="128"/>
      <c r="Q409" s="125"/>
      <c r="R409" s="125"/>
      <c r="S409" s="126"/>
      <c r="T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29"/>
      <c r="M410" s="130"/>
      <c r="N410" s="131"/>
      <c r="O410" s="131"/>
      <c r="P410" s="132"/>
      <c r="Q410" s="129"/>
      <c r="R410" s="129"/>
      <c r="S410" s="130"/>
      <c r="T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6"/>
      <c r="N411" s="127"/>
      <c r="O411" s="127"/>
      <c r="P411" s="128"/>
      <c r="Q411" s="125"/>
      <c r="R411" s="125"/>
      <c r="S411" s="126"/>
      <c r="T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29"/>
      <c r="M412" s="130"/>
      <c r="N412" s="131"/>
      <c r="O412" s="131"/>
      <c r="P412" s="132"/>
      <c r="Q412" s="129"/>
      <c r="R412" s="129"/>
      <c r="S412" s="130"/>
      <c r="T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6"/>
      <c r="N413" s="127"/>
      <c r="O413" s="127"/>
      <c r="P413" s="128"/>
      <c r="Q413" s="125"/>
      <c r="R413" s="125"/>
      <c r="S413" s="126"/>
      <c r="T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29"/>
      <c r="M414" s="130"/>
      <c r="N414" s="131"/>
      <c r="O414" s="131"/>
      <c r="P414" s="132"/>
      <c r="Q414" s="129"/>
      <c r="R414" s="129"/>
      <c r="S414" s="130"/>
      <c r="T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6"/>
      <c r="N415" s="127"/>
      <c r="O415" s="127"/>
      <c r="P415" s="128"/>
      <c r="Q415" s="125"/>
      <c r="R415" s="125"/>
      <c r="S415" s="126"/>
      <c r="T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29"/>
      <c r="M416" s="130"/>
      <c r="N416" s="131"/>
      <c r="O416" s="131"/>
      <c r="P416" s="132"/>
      <c r="Q416" s="129"/>
      <c r="R416" s="129"/>
      <c r="S416" s="130"/>
      <c r="T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6"/>
      <c r="N417" s="127"/>
      <c r="O417" s="127"/>
      <c r="P417" s="128"/>
      <c r="Q417" s="125"/>
      <c r="R417" s="125"/>
      <c r="S417" s="126"/>
      <c r="T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29"/>
      <c r="M418" s="130"/>
      <c r="N418" s="131"/>
      <c r="O418" s="131"/>
      <c r="P418" s="132"/>
      <c r="Q418" s="129"/>
      <c r="R418" s="129"/>
      <c r="S418" s="130"/>
      <c r="T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6"/>
      <c r="N419" s="127"/>
      <c r="O419" s="127"/>
      <c r="P419" s="128"/>
      <c r="Q419" s="125"/>
      <c r="R419" s="125"/>
      <c r="S419" s="126"/>
      <c r="T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29"/>
      <c r="M420" s="130"/>
      <c r="N420" s="131"/>
      <c r="O420" s="131"/>
      <c r="P420" s="132"/>
      <c r="Q420" s="129"/>
      <c r="R420" s="129"/>
      <c r="S420" s="130"/>
      <c r="T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6"/>
      <c r="N421" s="127"/>
      <c r="O421" s="127"/>
      <c r="P421" s="128"/>
      <c r="Q421" s="125"/>
      <c r="R421" s="125"/>
      <c r="S421" s="126"/>
      <c r="T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29"/>
      <c r="M422" s="130"/>
      <c r="N422" s="131"/>
      <c r="O422" s="131"/>
      <c r="P422" s="132"/>
      <c r="Q422" s="129"/>
      <c r="R422" s="129"/>
      <c r="S422" s="130"/>
      <c r="T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6"/>
      <c r="N423" s="127"/>
      <c r="O423" s="127"/>
      <c r="P423" s="128"/>
      <c r="Q423" s="125"/>
      <c r="R423" s="125"/>
      <c r="S423" s="126"/>
      <c r="T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29"/>
      <c r="M424" s="130"/>
      <c r="N424" s="131"/>
      <c r="O424" s="131"/>
      <c r="P424" s="132"/>
      <c r="Q424" s="129"/>
      <c r="R424" s="129"/>
      <c r="S424" s="130"/>
      <c r="T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6"/>
      <c r="N425" s="127"/>
      <c r="O425" s="127"/>
      <c r="P425" s="128"/>
      <c r="Q425" s="125"/>
      <c r="R425" s="125"/>
      <c r="S425" s="126"/>
      <c r="T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29"/>
      <c r="M426" s="130"/>
      <c r="N426" s="131"/>
      <c r="O426" s="131"/>
      <c r="P426" s="132"/>
      <c r="Q426" s="129"/>
      <c r="R426" s="129"/>
      <c r="S426" s="130"/>
      <c r="T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6"/>
      <c r="N427" s="127"/>
      <c r="O427" s="127"/>
      <c r="P427" s="128"/>
      <c r="Q427" s="125"/>
      <c r="R427" s="125"/>
      <c r="S427" s="126"/>
      <c r="T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29"/>
      <c r="M428" s="130"/>
      <c r="N428" s="131"/>
      <c r="O428" s="131"/>
      <c r="P428" s="132"/>
      <c r="Q428" s="129"/>
      <c r="R428" s="129"/>
      <c r="S428" s="130"/>
      <c r="T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6"/>
      <c r="N429" s="127"/>
      <c r="O429" s="127"/>
      <c r="P429" s="128"/>
      <c r="Q429" s="125"/>
      <c r="R429" s="125"/>
      <c r="S429" s="126"/>
      <c r="T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29"/>
      <c r="M430" s="130"/>
      <c r="N430" s="131"/>
      <c r="O430" s="131"/>
      <c r="P430" s="132"/>
      <c r="Q430" s="129"/>
      <c r="R430" s="129"/>
      <c r="S430" s="130"/>
      <c r="T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6"/>
      <c r="N431" s="127"/>
      <c r="O431" s="127"/>
      <c r="P431" s="128"/>
      <c r="Q431" s="125"/>
      <c r="R431" s="125"/>
      <c r="S431" s="126"/>
      <c r="T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29"/>
      <c r="M432" s="130"/>
      <c r="N432" s="131"/>
      <c r="O432" s="131"/>
      <c r="P432" s="132"/>
      <c r="Q432" s="129"/>
      <c r="R432" s="129"/>
      <c r="S432" s="130"/>
      <c r="T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6"/>
      <c r="N433" s="127"/>
      <c r="O433" s="127"/>
      <c r="P433" s="128"/>
      <c r="Q433" s="125"/>
      <c r="R433" s="125"/>
      <c r="S433" s="126"/>
      <c r="T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29"/>
      <c r="M434" s="130"/>
      <c r="N434" s="131"/>
      <c r="O434" s="131"/>
      <c r="P434" s="132"/>
      <c r="Q434" s="129"/>
      <c r="R434" s="129"/>
      <c r="S434" s="130"/>
      <c r="T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6"/>
      <c r="N435" s="127"/>
      <c r="O435" s="127"/>
      <c r="P435" s="128"/>
      <c r="Q435" s="125"/>
      <c r="R435" s="125"/>
      <c r="S435" s="126"/>
      <c r="T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29"/>
      <c r="M436" s="130"/>
      <c r="N436" s="131"/>
      <c r="O436" s="131"/>
      <c r="P436" s="132"/>
      <c r="Q436" s="129"/>
      <c r="R436" s="129"/>
      <c r="S436" s="130"/>
      <c r="T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6"/>
      <c r="N437" s="127"/>
      <c r="O437" s="127"/>
      <c r="P437" s="128"/>
      <c r="Q437" s="125"/>
      <c r="R437" s="125"/>
      <c r="S437" s="126"/>
      <c r="T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29"/>
      <c r="M438" s="130"/>
      <c r="N438" s="131"/>
      <c r="O438" s="131"/>
      <c r="P438" s="132"/>
      <c r="Q438" s="129"/>
      <c r="R438" s="129"/>
      <c r="S438" s="130"/>
      <c r="T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6"/>
      <c r="N439" s="127"/>
      <c r="O439" s="127"/>
      <c r="P439" s="128"/>
      <c r="Q439" s="125"/>
      <c r="R439" s="125"/>
      <c r="S439" s="126"/>
      <c r="T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29"/>
      <c r="M440" s="130"/>
      <c r="N440" s="131"/>
      <c r="O440" s="131"/>
      <c r="P440" s="132"/>
      <c r="Q440" s="129"/>
      <c r="R440" s="129"/>
      <c r="S440" s="130"/>
      <c r="T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6"/>
      <c r="N441" s="127"/>
      <c r="O441" s="127"/>
      <c r="P441" s="128"/>
      <c r="Q441" s="125"/>
      <c r="R441" s="125"/>
      <c r="S441" s="126"/>
      <c r="T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29"/>
      <c r="M442" s="130"/>
      <c r="N442" s="131"/>
      <c r="O442" s="131"/>
      <c r="P442" s="132"/>
      <c r="Q442" s="129"/>
      <c r="R442" s="129"/>
      <c r="S442" s="130"/>
      <c r="T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6"/>
      <c r="N443" s="127"/>
      <c r="O443" s="127"/>
      <c r="P443" s="128"/>
      <c r="Q443" s="125"/>
      <c r="R443" s="125"/>
      <c r="S443" s="126"/>
      <c r="T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29"/>
      <c r="M444" s="130"/>
      <c r="N444" s="131"/>
      <c r="O444" s="131"/>
      <c r="P444" s="132"/>
      <c r="Q444" s="129"/>
      <c r="R444" s="129"/>
      <c r="S444" s="130"/>
      <c r="T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6"/>
      <c r="N445" s="127"/>
      <c r="O445" s="127"/>
      <c r="P445" s="128"/>
      <c r="Q445" s="125"/>
      <c r="R445" s="125"/>
      <c r="S445" s="126"/>
      <c r="T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29"/>
      <c r="M446" s="130"/>
      <c r="N446" s="131"/>
      <c r="O446" s="131"/>
      <c r="P446" s="132"/>
      <c r="Q446" s="129"/>
      <c r="R446" s="129"/>
      <c r="S446" s="130"/>
      <c r="T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6"/>
      <c r="N447" s="127"/>
      <c r="O447" s="127"/>
      <c r="P447" s="128"/>
      <c r="Q447" s="125"/>
      <c r="R447" s="125"/>
      <c r="S447" s="126"/>
      <c r="T447" s="126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130"/>
      <c r="T448" s="59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126"/>
      <c r="T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130"/>
      <c r="T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126"/>
      <c r="T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130"/>
      <c r="T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126"/>
      <c r="T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130"/>
      <c r="T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126"/>
      <c r="T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130"/>
      <c r="T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</row>
  </sheetData>
  <autoFilter ref="$A$1:$X$405"/>
  <customSheetViews>
    <customSheetView guid="{3D13BECD-F97B-4CC8-B9FC-728C2CBFEBF1}" filter="1" showAutoFilter="1">
      <autoFilter ref="$A$1:$T$405">
        <filterColumn colId="8">
          <filters>
            <filter val="Nigéria"/>
            <filter val="Tunísia"/>
            <filter val="País de Gales"/>
            <filter val="Líbano"/>
            <filter val="Mali"/>
            <filter val="Paulista"/>
            <filter val="Islândia"/>
            <filter val="Algéria"/>
            <filter val="Serra Leoa"/>
            <filter val="EAU"/>
            <filter val="Ruanda"/>
            <filter val="Árabia Saudita"/>
            <filter val="Mauritânia"/>
            <filter val="Bahrein"/>
            <filter val="Grécia"/>
            <filter val="Índia"/>
            <filter val="Paises Baixos"/>
            <filter val="Djibouti"/>
            <filter val="Camarões"/>
          </filters>
        </filterColumn>
      </autoFilter>
    </customSheetView>
    <customSheetView guid="{9B5C888F-E11A-4842-8D0B-62F1614802A4}" filter="1" showAutoFilter="1">
      <autoFilter ref="$A$1:$S$283">
        <filterColumn colId="10">
          <filters>
            <filter val="Under L"/>
            <filter val="AH+"/>
            <filter val="AH-"/>
          </filters>
        </filterColumn>
      </autoFilter>
    </customSheetView>
    <customSheetView guid="{8BE028A4-B37D-4082-AE82-07BBC89EBB11}" filter="1" showAutoFilter="1">
      <autoFilter ref="$A$1:$T$405"/>
    </customSheetView>
    <customSheetView guid="{D9D1A42E-DDFC-4032-8664-60A2E47E0D40}" filter="1" showAutoFilter="1">
      <autoFilter ref="$A$1:$S$283"/>
    </customSheetView>
    <customSheetView guid="{BA551338-6311-4C02-9137-137E692B7D93}" filter="1" showAutoFilter="1">
      <autoFilter ref="$A$1:$T$405">
        <filterColumn colId="12">
          <filters>
            <filter val="10.00"/>
            <filter val="0.00"/>
            <filter val="0.75"/>
            <filter val="2.00"/>
            <filter val="1.00"/>
            <filter val="3.00"/>
            <filter val="1.75"/>
            <filter val="1.50"/>
            <filter val="0.50"/>
            <filter val="-3.50"/>
            <filter val="-10.00"/>
            <filter val="1.25"/>
            <filter val="-0.50"/>
            <filter val="0.25"/>
            <filter val="-0.75"/>
            <filter val="-1.00"/>
            <filter val="-0.25"/>
          </filters>
        </filterColumn>
      </autoFilter>
    </customSheetView>
    <customSheetView guid="{9BA04A38-02DA-4F02-BBBB-302FC15326E0}" filter="1" showAutoFilter="1">
      <autoFilter ref="$A$1:$T$405">
        <filterColumn colId="10">
          <filters>
            <filter val="Under L"/>
            <filter val="AH-"/>
            <filter val="NG"/>
          </filters>
        </filterColumn>
      </autoFilter>
    </customSheetView>
  </customSheetViews>
  <conditionalFormatting sqref="R2:R498">
    <cfRule type="cellIs" dxfId="0" priority="1" operator="equal">
      <formula>"Ganha"</formula>
    </cfRule>
  </conditionalFormatting>
  <conditionalFormatting sqref="R2:R498">
    <cfRule type="cellIs" dxfId="1" priority="2" operator="equal">
      <formula>"Ganha/devolvida"</formula>
    </cfRule>
  </conditionalFormatting>
  <conditionalFormatting sqref="R2:R498">
    <cfRule type="cellIs" dxfId="2" priority="3" operator="equal">
      <formula>"Devolvida"</formula>
    </cfRule>
  </conditionalFormatting>
  <conditionalFormatting sqref="R2:R498">
    <cfRule type="cellIs" dxfId="3" priority="4" operator="equal">
      <formula>"Perdida/devolvida"</formula>
    </cfRule>
  </conditionalFormatting>
  <conditionalFormatting sqref="R2:R498">
    <cfRule type="cellIs" dxfId="4" priority="5" operator="equal">
      <formula>"Perdida"</formula>
    </cfRule>
  </conditionalFormatting>
  <conditionalFormatting sqref="S2:S456 T2:T997 W2:W34">
    <cfRule type="cellIs" dxfId="0" priority="6" operator="greaterThan">
      <formula>0</formula>
    </cfRule>
  </conditionalFormatting>
  <conditionalFormatting sqref="S2:S456 T2:T997 W2:W34">
    <cfRule type="cellIs" dxfId="4" priority="7" operator="lessThan">
      <formula>0</formula>
    </cfRule>
  </conditionalFormatting>
  <conditionalFormatting sqref="S2:S997 T2:T8 W2:W34">
    <cfRule type="cellIs" dxfId="2" priority="8" operator="equal">
      <formula>0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3" width="3.88"/>
    <col customWidth="1" min="4" max="4" width="60.88"/>
    <col customWidth="1" min="5" max="5" width="8.38"/>
    <col customWidth="1" min="6" max="6" width="9.25"/>
    <col customWidth="1" min="7" max="7" width="12.88"/>
    <col customWidth="1" min="8" max="8" width="11.25"/>
    <col customWidth="1" min="9" max="9" width="4.5"/>
    <col customWidth="1" min="10" max="10" width="8.13"/>
    <col customWidth="1" min="11" max="11" width="9.5"/>
    <col customWidth="1" min="12" max="15" width="5.88"/>
    <col customWidth="1" min="16" max="16" width="6.5"/>
    <col customWidth="1" min="17" max="17" width="14.75"/>
    <col customWidth="1" min="18" max="18" width="10.75"/>
    <col customWidth="1" min="19" max="19" width="7.25"/>
    <col customWidth="1" min="20" max="20" width="4.13"/>
    <col customWidth="1" min="21" max="21" width="6.25"/>
    <col customWidth="1" min="22" max="22" width="6.5"/>
    <col customWidth="1" min="23" max="23" width="11.25"/>
  </cols>
  <sheetData>
    <row r="1">
      <c r="A1" s="2" t="s">
        <v>129</v>
      </c>
      <c r="B1" s="2" t="s">
        <v>2</v>
      </c>
      <c r="C1" s="2" t="s">
        <v>1462</v>
      </c>
      <c r="D1" s="3" t="s">
        <v>3</v>
      </c>
      <c r="E1" s="2" t="s">
        <v>1466</v>
      </c>
      <c r="F1" s="2" t="s">
        <v>1467</v>
      </c>
      <c r="G1" s="2" t="s">
        <v>1468</v>
      </c>
      <c r="H1" s="3" t="s">
        <v>4</v>
      </c>
      <c r="I1" s="3" t="s">
        <v>5</v>
      </c>
      <c r="J1" s="3" t="s">
        <v>6</v>
      </c>
      <c r="K1" s="2" t="s">
        <v>7</v>
      </c>
      <c r="L1" s="4" t="s">
        <v>8</v>
      </c>
      <c r="M1" s="5" t="s">
        <v>9</v>
      </c>
      <c r="N1" s="4" t="s">
        <v>10</v>
      </c>
      <c r="O1" s="6" t="s">
        <v>11</v>
      </c>
      <c r="P1" s="97" t="s">
        <v>12</v>
      </c>
      <c r="Q1" s="3" t="s">
        <v>13</v>
      </c>
      <c r="R1" s="4" t="s">
        <v>2372</v>
      </c>
      <c r="S1" s="4" t="s">
        <v>15</v>
      </c>
      <c r="U1" s="3" t="s">
        <v>16</v>
      </c>
      <c r="V1" s="3" t="s">
        <v>15</v>
      </c>
      <c r="W1" s="3" t="s">
        <v>17</v>
      </c>
    </row>
    <row r="2">
      <c r="A2" s="8">
        <f>1</f>
        <v>1</v>
      </c>
      <c r="B2" s="8" t="s">
        <v>19</v>
      </c>
      <c r="C2" s="8">
        <v>34.0</v>
      </c>
      <c r="D2" s="8" t="s">
        <v>3981</v>
      </c>
      <c r="E2" s="8" t="s">
        <v>5565</v>
      </c>
      <c r="F2" s="8" t="s">
        <v>2660</v>
      </c>
      <c r="G2" s="8">
        <v>-1.0</v>
      </c>
      <c r="H2" s="8" t="s">
        <v>612</v>
      </c>
      <c r="I2" s="8" t="s">
        <v>22</v>
      </c>
      <c r="J2" s="8" t="s">
        <v>1150</v>
      </c>
      <c r="K2" s="8" t="s">
        <v>24</v>
      </c>
      <c r="L2" s="9">
        <v>0.0</v>
      </c>
      <c r="M2" s="9">
        <v>0.8</v>
      </c>
      <c r="N2" s="9">
        <v>0.8</v>
      </c>
      <c r="O2" s="10">
        <v>45261.0</v>
      </c>
      <c r="P2" s="11">
        <v>1.75</v>
      </c>
      <c r="Q2" s="8" t="s">
        <v>70</v>
      </c>
      <c r="R2" s="12">
        <f t="shared" ref="R2:R393" si="1">IF(Q2="ganha",(N2*(P2-1)),IF(Q2="perdida",-N2,IF(Q2="devolvida",0,IF(Q2="ganha/devolvida",((N2*(P2-1)))/2,IF(Q2="perdida/devolvida",-N2/2,IF(Q2="Aguardando",0,""))))))</f>
        <v>0</v>
      </c>
      <c r="S2" s="12">
        <f>R2</f>
        <v>0</v>
      </c>
      <c r="U2" s="66">
        <v>45261.0</v>
      </c>
      <c r="V2" s="13">
        <f t="shared" ref="V2:V33" si="2">SUMIF($O$2:$O$2980,U2,$R$2:$R$2980)</f>
        <v>0.5267</v>
      </c>
      <c r="W2" s="14">
        <f>SUMIF($Q$2:$Q$2980,"Aguardando",$N$2:$N$2980)</f>
        <v>0</v>
      </c>
    </row>
    <row r="3">
      <c r="A3" s="15">
        <f t="shared" ref="A3:A405" si="3">A2+1</f>
        <v>2</v>
      </c>
      <c r="B3" s="15" t="s">
        <v>19</v>
      </c>
      <c r="C3" s="15">
        <v>66.0</v>
      </c>
      <c r="D3" s="15" t="s">
        <v>3982</v>
      </c>
      <c r="E3" s="15" t="s">
        <v>5564</v>
      </c>
      <c r="F3" s="15" t="s">
        <v>2556</v>
      </c>
      <c r="G3" s="15">
        <v>-2.0</v>
      </c>
      <c r="H3" s="15" t="s">
        <v>583</v>
      </c>
      <c r="I3" s="15" t="s">
        <v>22</v>
      </c>
      <c r="J3" s="15" t="s">
        <v>1165</v>
      </c>
      <c r="K3" s="15" t="s">
        <v>24</v>
      </c>
      <c r="L3" s="16"/>
      <c r="M3" s="16">
        <v>0.1</v>
      </c>
      <c r="N3" s="16">
        <v>0.1</v>
      </c>
      <c r="O3" s="17">
        <v>45261.0</v>
      </c>
      <c r="P3" s="18">
        <v>6.0</v>
      </c>
      <c r="Q3" s="15" t="s">
        <v>25</v>
      </c>
      <c r="R3" s="19">
        <f t="shared" si="1"/>
        <v>-0.1</v>
      </c>
      <c r="S3" s="19">
        <f t="shared" ref="S3:S357" si="4">S2+R3</f>
        <v>-0.1</v>
      </c>
      <c r="U3" s="66">
        <v>45262.0</v>
      </c>
      <c r="V3" s="13">
        <f t="shared" si="2"/>
        <v>-1.28</v>
      </c>
    </row>
    <row r="4">
      <c r="A4" s="8">
        <f t="shared" si="3"/>
        <v>3</v>
      </c>
      <c r="B4" s="8" t="s">
        <v>19</v>
      </c>
      <c r="C4" s="8">
        <v>72.0</v>
      </c>
      <c r="D4" s="8" t="s">
        <v>3983</v>
      </c>
      <c r="E4" s="8" t="s">
        <v>5564</v>
      </c>
      <c r="F4" s="8" t="s">
        <v>2660</v>
      </c>
      <c r="G4" s="8">
        <v>-1.0</v>
      </c>
      <c r="H4" s="8" t="s">
        <v>583</v>
      </c>
      <c r="I4" s="8" t="s">
        <v>22</v>
      </c>
      <c r="J4" s="8" t="s">
        <v>1150</v>
      </c>
      <c r="K4" s="8" t="s">
        <v>24</v>
      </c>
      <c r="L4" s="9">
        <v>0.0</v>
      </c>
      <c r="M4" s="9">
        <v>1.0</v>
      </c>
      <c r="N4" s="9">
        <v>1.0</v>
      </c>
      <c r="O4" s="10">
        <v>45261.0</v>
      </c>
      <c r="P4" s="11">
        <v>1.875</v>
      </c>
      <c r="Q4" s="8" t="s">
        <v>33</v>
      </c>
      <c r="R4" s="12">
        <f t="shared" si="1"/>
        <v>0.875</v>
      </c>
      <c r="S4" s="12">
        <f t="shared" si="4"/>
        <v>0.775</v>
      </c>
      <c r="U4" s="66">
        <v>45263.0</v>
      </c>
      <c r="V4" s="13">
        <f t="shared" si="2"/>
        <v>1.872</v>
      </c>
      <c r="W4" s="3" t="s">
        <v>34</v>
      </c>
    </row>
    <row r="5">
      <c r="A5" s="15">
        <f t="shared" si="3"/>
        <v>4</v>
      </c>
      <c r="B5" s="15" t="s">
        <v>19</v>
      </c>
      <c r="C5" s="15">
        <v>70.0</v>
      </c>
      <c r="D5" s="15" t="s">
        <v>3984</v>
      </c>
      <c r="E5" s="15" t="s">
        <v>5565</v>
      </c>
      <c r="F5" s="15" t="s">
        <v>2660</v>
      </c>
      <c r="G5" s="15">
        <v>0.0</v>
      </c>
      <c r="H5" s="15" t="s">
        <v>525</v>
      </c>
      <c r="I5" s="15" t="s">
        <v>22</v>
      </c>
      <c r="J5" s="15" t="s">
        <v>892</v>
      </c>
      <c r="K5" s="15" t="s">
        <v>24</v>
      </c>
      <c r="L5" s="16">
        <v>0.0</v>
      </c>
      <c r="M5" s="16">
        <v>0.6</v>
      </c>
      <c r="N5" s="16">
        <v>0.6</v>
      </c>
      <c r="O5" s="17">
        <v>45261.0</v>
      </c>
      <c r="P5" s="18">
        <v>2.0</v>
      </c>
      <c r="Q5" s="15" t="s">
        <v>25</v>
      </c>
      <c r="R5" s="19">
        <f t="shared" si="1"/>
        <v>-0.6</v>
      </c>
      <c r="S5" s="19">
        <f t="shared" si="4"/>
        <v>0.175</v>
      </c>
      <c r="U5" s="66">
        <v>45264.0</v>
      </c>
      <c r="V5" s="13">
        <f t="shared" si="2"/>
        <v>0</v>
      </c>
      <c r="W5" s="20">
        <f>sum(N2:N1013)</f>
        <v>87.50462</v>
      </c>
    </row>
    <row r="6">
      <c r="A6" s="8">
        <f t="shared" si="3"/>
        <v>5</v>
      </c>
      <c r="B6" s="8" t="s">
        <v>19</v>
      </c>
      <c r="C6" s="8">
        <v>20.0</v>
      </c>
      <c r="D6" s="8" t="s">
        <v>3985</v>
      </c>
      <c r="E6" s="8" t="s">
        <v>5565</v>
      </c>
      <c r="F6" s="8" t="s">
        <v>2660</v>
      </c>
      <c r="G6" s="8">
        <v>0.0</v>
      </c>
      <c r="H6" s="8" t="s">
        <v>187</v>
      </c>
      <c r="I6" s="8" t="s">
        <v>22</v>
      </c>
      <c r="J6" s="8" t="s">
        <v>892</v>
      </c>
      <c r="K6" s="8" t="s">
        <v>1522</v>
      </c>
      <c r="L6" s="9">
        <v>0.0</v>
      </c>
      <c r="M6" s="9">
        <v>0.6</v>
      </c>
      <c r="N6" s="9">
        <v>0.6</v>
      </c>
      <c r="O6" s="10">
        <v>45261.0</v>
      </c>
      <c r="P6" s="11">
        <v>1.025</v>
      </c>
      <c r="Q6" s="8" t="s">
        <v>33</v>
      </c>
      <c r="R6" s="12">
        <f t="shared" si="1"/>
        <v>0.015</v>
      </c>
      <c r="S6" s="12">
        <f t="shared" si="4"/>
        <v>0.19</v>
      </c>
      <c r="U6" s="66">
        <v>45265.0</v>
      </c>
      <c r="V6" s="13">
        <f t="shared" si="2"/>
        <v>0.9335</v>
      </c>
    </row>
    <row r="7">
      <c r="A7" s="15">
        <f t="shared" si="3"/>
        <v>6</v>
      </c>
      <c r="B7" s="15" t="s">
        <v>19</v>
      </c>
      <c r="C7" s="15">
        <v>17.0</v>
      </c>
      <c r="D7" s="15" t="s">
        <v>3986</v>
      </c>
      <c r="E7" s="15" t="s">
        <v>5564</v>
      </c>
      <c r="F7" s="15" t="s">
        <v>2556</v>
      </c>
      <c r="G7" s="15">
        <v>0.0</v>
      </c>
      <c r="H7" s="15" t="s">
        <v>248</v>
      </c>
      <c r="I7" s="15" t="s">
        <v>22</v>
      </c>
      <c r="J7" s="15" t="s">
        <v>225</v>
      </c>
      <c r="K7" s="15" t="s">
        <v>1522</v>
      </c>
      <c r="L7" s="16">
        <v>0.25</v>
      </c>
      <c r="M7" s="16">
        <v>0.6</v>
      </c>
      <c r="N7" s="16">
        <v>0.6</v>
      </c>
      <c r="O7" s="17">
        <v>45261.0</v>
      </c>
      <c r="P7" s="18">
        <v>1.775</v>
      </c>
      <c r="Q7" s="15" t="s">
        <v>25</v>
      </c>
      <c r="R7" s="19">
        <f t="shared" si="1"/>
        <v>-0.6</v>
      </c>
      <c r="S7" s="19">
        <f t="shared" si="4"/>
        <v>-0.41</v>
      </c>
      <c r="U7" s="66">
        <v>45266.0</v>
      </c>
      <c r="V7" s="13">
        <f t="shared" si="2"/>
        <v>1.0775</v>
      </c>
      <c r="W7" s="3" t="s">
        <v>45</v>
      </c>
    </row>
    <row r="8">
      <c r="A8" s="8">
        <f t="shared" si="3"/>
        <v>7</v>
      </c>
      <c r="B8" s="8" t="s">
        <v>19</v>
      </c>
      <c r="C8" s="8">
        <v>18.0</v>
      </c>
      <c r="D8" s="8" t="s">
        <v>3987</v>
      </c>
      <c r="E8" s="8" t="s">
        <v>5564</v>
      </c>
      <c r="F8" s="8" t="s">
        <v>2556</v>
      </c>
      <c r="G8" s="8">
        <v>0.0</v>
      </c>
      <c r="H8" s="8" t="s">
        <v>248</v>
      </c>
      <c r="I8" s="8" t="s">
        <v>22</v>
      </c>
      <c r="J8" s="8" t="s">
        <v>941</v>
      </c>
      <c r="K8" s="8" t="s">
        <v>24</v>
      </c>
      <c r="L8" s="9">
        <v>0.0</v>
      </c>
      <c r="M8" s="9">
        <v>0.4</v>
      </c>
      <c r="N8" s="9">
        <v>0.4</v>
      </c>
      <c r="O8" s="10">
        <v>45261.0</v>
      </c>
      <c r="P8" s="11">
        <v>2.25</v>
      </c>
      <c r="Q8" s="8" t="s">
        <v>25</v>
      </c>
      <c r="R8" s="12">
        <f t="shared" si="1"/>
        <v>-0.4</v>
      </c>
      <c r="S8" s="12">
        <f t="shared" si="4"/>
        <v>-0.81</v>
      </c>
      <c r="U8" s="66">
        <v>45267.0</v>
      </c>
      <c r="V8" s="13">
        <f t="shared" si="2"/>
        <v>0.1345</v>
      </c>
      <c r="W8" s="21">
        <f>V34/(SUM(N3:N4933)-W2)</f>
        <v>0.1345326235</v>
      </c>
    </row>
    <row r="9">
      <c r="A9" s="15">
        <f t="shared" si="3"/>
        <v>8</v>
      </c>
      <c r="B9" s="15" t="s">
        <v>19</v>
      </c>
      <c r="C9" s="15">
        <v>40.0</v>
      </c>
      <c r="D9" s="15" t="s">
        <v>3988</v>
      </c>
      <c r="E9" s="15" t="s">
        <v>5564</v>
      </c>
      <c r="F9" s="15" t="s">
        <v>2660</v>
      </c>
      <c r="G9" s="15">
        <v>0.0</v>
      </c>
      <c r="H9" s="15" t="s">
        <v>273</v>
      </c>
      <c r="I9" s="15" t="s">
        <v>22</v>
      </c>
      <c r="J9" s="15" t="s">
        <v>892</v>
      </c>
      <c r="K9" s="15" t="s">
        <v>24</v>
      </c>
      <c r="L9" s="16">
        <v>0.0</v>
      </c>
      <c r="M9" s="16">
        <v>1.0</v>
      </c>
      <c r="N9" s="16">
        <v>0.94</v>
      </c>
      <c r="O9" s="17">
        <v>45261.0</v>
      </c>
      <c r="P9" s="18">
        <v>1.925</v>
      </c>
      <c r="Q9" s="15" t="s">
        <v>70</v>
      </c>
      <c r="R9" s="19">
        <f t="shared" si="1"/>
        <v>0</v>
      </c>
      <c r="S9" s="19">
        <f t="shared" si="4"/>
        <v>-0.81</v>
      </c>
      <c r="U9" s="66">
        <v>45268.0</v>
      </c>
      <c r="V9" s="13">
        <f t="shared" si="2"/>
        <v>0.37</v>
      </c>
    </row>
    <row r="10">
      <c r="A10" s="8">
        <f t="shared" si="3"/>
        <v>9</v>
      </c>
      <c r="B10" s="8" t="s">
        <v>19</v>
      </c>
      <c r="C10" s="8">
        <v>57.0</v>
      </c>
      <c r="D10" s="8" t="s">
        <v>3989</v>
      </c>
      <c r="E10" s="8" t="s">
        <v>5564</v>
      </c>
      <c r="F10" s="8" t="s">
        <v>2660</v>
      </c>
      <c r="G10" s="8">
        <v>-2.0</v>
      </c>
      <c r="H10" s="8" t="s">
        <v>172</v>
      </c>
      <c r="I10" s="8" t="s">
        <v>22</v>
      </c>
      <c r="J10" s="8" t="s">
        <v>892</v>
      </c>
      <c r="K10" s="8" t="s">
        <v>39</v>
      </c>
      <c r="L10" s="9">
        <v>0.0</v>
      </c>
      <c r="M10" s="9">
        <v>0.8</v>
      </c>
      <c r="N10" s="9">
        <v>0.8</v>
      </c>
      <c r="O10" s="10">
        <v>45261.0</v>
      </c>
      <c r="P10" s="11">
        <v>2.1</v>
      </c>
      <c r="Q10" s="8" t="s">
        <v>33</v>
      </c>
      <c r="R10" s="12">
        <f t="shared" si="1"/>
        <v>0.88</v>
      </c>
      <c r="S10" s="12">
        <f t="shared" si="4"/>
        <v>0.07</v>
      </c>
      <c r="U10" s="66">
        <v>45269.0</v>
      </c>
      <c r="V10" s="13">
        <f t="shared" si="2"/>
        <v>1.604</v>
      </c>
      <c r="W10" s="2" t="s">
        <v>55</v>
      </c>
    </row>
    <row r="11">
      <c r="A11" s="15">
        <f t="shared" si="3"/>
        <v>10</v>
      </c>
      <c r="B11" s="15" t="s">
        <v>19</v>
      </c>
      <c r="C11" s="15">
        <v>20.0</v>
      </c>
      <c r="D11" s="15" t="s">
        <v>3990</v>
      </c>
      <c r="E11" s="15" t="s">
        <v>5564</v>
      </c>
      <c r="F11" s="15" t="s">
        <v>2660</v>
      </c>
      <c r="G11" s="15">
        <v>0.0</v>
      </c>
      <c r="H11" s="15" t="s">
        <v>172</v>
      </c>
      <c r="I11" s="15" t="s">
        <v>22</v>
      </c>
      <c r="J11" s="15" t="s">
        <v>1150</v>
      </c>
      <c r="K11" s="15" t="s">
        <v>39</v>
      </c>
      <c r="L11" s="16">
        <v>0.0</v>
      </c>
      <c r="M11" s="16">
        <v>0.4</v>
      </c>
      <c r="N11" s="16">
        <v>0.4</v>
      </c>
      <c r="O11" s="17">
        <v>45261.0</v>
      </c>
      <c r="P11" s="18">
        <v>1.7</v>
      </c>
      <c r="Q11" s="15" t="s">
        <v>33</v>
      </c>
      <c r="R11" s="19">
        <f t="shared" si="1"/>
        <v>0.28</v>
      </c>
      <c r="S11" s="19">
        <f t="shared" si="4"/>
        <v>0.35</v>
      </c>
      <c r="U11" s="66">
        <v>45270.0</v>
      </c>
      <c r="V11" s="13">
        <f t="shared" si="2"/>
        <v>0.20615</v>
      </c>
      <c r="W11" s="21">
        <f>(SUMPRODUCT(--(M2:M999 = N2:N999))-countif(M2:M999,""))/countif(M2:M999,"&gt;0")</f>
        <v>0.9090909091</v>
      </c>
    </row>
    <row r="12">
      <c r="A12" s="8">
        <f t="shared" si="3"/>
        <v>11</v>
      </c>
      <c r="B12" s="8" t="s">
        <v>19</v>
      </c>
      <c r="C12" s="8">
        <v>0.0</v>
      </c>
      <c r="D12" s="8" t="s">
        <v>3991</v>
      </c>
      <c r="E12" s="8"/>
      <c r="F12" s="8"/>
      <c r="G12" s="8"/>
      <c r="H12" s="8" t="s">
        <v>913</v>
      </c>
      <c r="I12" s="8" t="s">
        <v>598</v>
      </c>
      <c r="J12" s="8" t="s">
        <v>440</v>
      </c>
      <c r="K12" s="8" t="s">
        <v>39</v>
      </c>
      <c r="L12" s="9">
        <v>2.5</v>
      </c>
      <c r="M12" s="9">
        <v>0.1</v>
      </c>
      <c r="N12" s="9">
        <v>0.1</v>
      </c>
      <c r="O12" s="10">
        <v>45261.0</v>
      </c>
      <c r="P12" s="11">
        <v>1.85</v>
      </c>
      <c r="Q12" s="8" t="s">
        <v>33</v>
      </c>
      <c r="R12" s="12">
        <f t="shared" si="1"/>
        <v>0.085</v>
      </c>
      <c r="S12" s="12">
        <f t="shared" si="4"/>
        <v>0.435</v>
      </c>
      <c r="U12" s="66">
        <v>45271.0</v>
      </c>
      <c r="V12" s="13">
        <f t="shared" si="2"/>
        <v>0</v>
      </c>
    </row>
    <row r="13">
      <c r="A13" s="15">
        <f t="shared" si="3"/>
        <v>12</v>
      </c>
      <c r="B13" s="15" t="s">
        <v>19</v>
      </c>
      <c r="C13" s="15">
        <v>55.0</v>
      </c>
      <c r="D13" s="15" t="s">
        <v>3992</v>
      </c>
      <c r="E13" s="15" t="s">
        <v>5564</v>
      </c>
      <c r="F13" s="15" t="s">
        <v>2573</v>
      </c>
      <c r="G13" s="15">
        <f>1</f>
        <v>1</v>
      </c>
      <c r="H13" s="15" t="s">
        <v>316</v>
      </c>
      <c r="I13" s="15" t="s">
        <v>22</v>
      </c>
      <c r="J13" s="15" t="s">
        <v>894</v>
      </c>
      <c r="K13" s="15" t="s">
        <v>24</v>
      </c>
      <c r="L13" s="16">
        <v>-0.5</v>
      </c>
      <c r="M13" s="16">
        <v>0.1</v>
      </c>
      <c r="N13" s="16">
        <v>0.1</v>
      </c>
      <c r="O13" s="17">
        <v>45261.0</v>
      </c>
      <c r="P13" s="18">
        <v>1.95</v>
      </c>
      <c r="Q13" s="15" t="s">
        <v>25</v>
      </c>
      <c r="R13" s="19">
        <f t="shared" si="1"/>
        <v>-0.1</v>
      </c>
      <c r="S13" s="19">
        <f t="shared" si="4"/>
        <v>0.335</v>
      </c>
      <c r="U13" s="66">
        <v>45272.0</v>
      </c>
      <c r="V13" s="13">
        <f t="shared" si="2"/>
        <v>-1.15</v>
      </c>
      <c r="W13" s="2" t="s">
        <v>61</v>
      </c>
    </row>
    <row r="14">
      <c r="A14" s="8">
        <f t="shared" si="3"/>
        <v>13</v>
      </c>
      <c r="B14" s="8" t="s">
        <v>19</v>
      </c>
      <c r="C14" s="8">
        <v>32.0</v>
      </c>
      <c r="D14" s="8" t="s">
        <v>3993</v>
      </c>
      <c r="E14" s="8" t="s">
        <v>5564</v>
      </c>
      <c r="F14" s="8" t="s">
        <v>2660</v>
      </c>
      <c r="G14" s="8">
        <v>-1.0</v>
      </c>
      <c r="H14" s="8" t="s">
        <v>44</v>
      </c>
      <c r="I14" s="8" t="s">
        <v>22</v>
      </c>
      <c r="J14" s="8" t="s">
        <v>1150</v>
      </c>
      <c r="K14" s="8" t="s">
        <v>39</v>
      </c>
      <c r="L14" s="9">
        <v>0.0</v>
      </c>
      <c r="M14" s="9">
        <v>0.25</v>
      </c>
      <c r="N14" s="9">
        <v>0.25</v>
      </c>
      <c r="O14" s="10">
        <v>45261.0</v>
      </c>
      <c r="P14" s="11">
        <v>1.775</v>
      </c>
      <c r="Q14" s="8" t="s">
        <v>25</v>
      </c>
      <c r="R14" s="12">
        <f t="shared" si="1"/>
        <v>-0.25</v>
      </c>
      <c r="S14" s="12">
        <f t="shared" si="4"/>
        <v>0.085</v>
      </c>
      <c r="U14" s="66">
        <v>45273.0</v>
      </c>
      <c r="V14" s="13">
        <f t="shared" si="2"/>
        <v>1.8875</v>
      </c>
      <c r="W14" s="22">
        <f>average(P2:P999)</f>
        <v>1.939065241</v>
      </c>
    </row>
    <row r="15">
      <c r="A15" s="15">
        <f t="shared" si="3"/>
        <v>14</v>
      </c>
      <c r="B15" s="15" t="s">
        <v>19</v>
      </c>
      <c r="C15" s="15">
        <v>25.0</v>
      </c>
      <c r="D15" s="15" t="s">
        <v>3994</v>
      </c>
      <c r="E15" s="15" t="s">
        <v>5564</v>
      </c>
      <c r="F15" s="15" t="s">
        <v>2660</v>
      </c>
      <c r="G15" s="15">
        <v>0.0</v>
      </c>
      <c r="H15" s="15" t="s">
        <v>82</v>
      </c>
      <c r="I15" s="15" t="s">
        <v>22</v>
      </c>
      <c r="J15" s="15" t="s">
        <v>2805</v>
      </c>
      <c r="K15" s="15" t="s">
        <v>24</v>
      </c>
      <c r="L15" s="16">
        <v>0.0</v>
      </c>
      <c r="M15" s="16">
        <v>0.4</v>
      </c>
      <c r="N15" s="16">
        <v>0.21</v>
      </c>
      <c r="O15" s="17">
        <v>45261.0</v>
      </c>
      <c r="P15" s="18">
        <v>1.47</v>
      </c>
      <c r="Q15" s="15" t="s">
        <v>33</v>
      </c>
      <c r="R15" s="19">
        <f t="shared" si="1"/>
        <v>0.0987</v>
      </c>
      <c r="S15" s="19">
        <f t="shared" si="4"/>
        <v>0.1837</v>
      </c>
      <c r="U15" s="66">
        <v>45274.0</v>
      </c>
      <c r="V15" s="13">
        <f t="shared" si="2"/>
        <v>0.0305</v>
      </c>
    </row>
    <row r="16">
      <c r="A16" s="8">
        <f t="shared" si="3"/>
        <v>15</v>
      </c>
      <c r="B16" s="8" t="s">
        <v>19</v>
      </c>
      <c r="C16" s="8">
        <v>25.0</v>
      </c>
      <c r="D16" s="8" t="s">
        <v>3995</v>
      </c>
      <c r="E16" s="8" t="s">
        <v>5564</v>
      </c>
      <c r="F16" s="8" t="s">
        <v>2660</v>
      </c>
      <c r="G16" s="8">
        <v>0.0</v>
      </c>
      <c r="H16" s="8" t="s">
        <v>82</v>
      </c>
      <c r="I16" s="8" t="s">
        <v>22</v>
      </c>
      <c r="J16" s="8" t="s">
        <v>1150</v>
      </c>
      <c r="K16" s="8" t="s">
        <v>24</v>
      </c>
      <c r="L16" s="9">
        <v>0.0</v>
      </c>
      <c r="M16" s="9">
        <v>0.2</v>
      </c>
      <c r="N16" s="9">
        <v>0.2</v>
      </c>
      <c r="O16" s="10">
        <v>45261.0</v>
      </c>
      <c r="P16" s="11">
        <v>1.775</v>
      </c>
      <c r="Q16" s="8" t="s">
        <v>33</v>
      </c>
      <c r="R16" s="12">
        <f t="shared" si="1"/>
        <v>0.155</v>
      </c>
      <c r="S16" s="12">
        <f t="shared" si="4"/>
        <v>0.3387</v>
      </c>
      <c r="U16" s="66">
        <v>45275.0</v>
      </c>
      <c r="V16" s="13">
        <f t="shared" si="2"/>
        <v>1.187</v>
      </c>
    </row>
    <row r="17">
      <c r="A17" s="15">
        <f t="shared" si="3"/>
        <v>16</v>
      </c>
      <c r="B17" s="15" t="s">
        <v>19</v>
      </c>
      <c r="C17" s="15">
        <v>25.0</v>
      </c>
      <c r="D17" s="95" t="s">
        <v>3996</v>
      </c>
      <c r="E17" s="15" t="s">
        <v>5564</v>
      </c>
      <c r="F17" s="15" t="s">
        <v>2556</v>
      </c>
      <c r="G17" s="15">
        <v>0.0</v>
      </c>
      <c r="H17" s="15" t="s">
        <v>82</v>
      </c>
      <c r="I17" s="15" t="s">
        <v>22</v>
      </c>
      <c r="J17" s="15" t="s">
        <v>941</v>
      </c>
      <c r="K17" s="15" t="s">
        <v>24</v>
      </c>
      <c r="L17" s="16">
        <v>0.0</v>
      </c>
      <c r="M17" s="16">
        <v>0.4</v>
      </c>
      <c r="N17" s="16">
        <v>0.4</v>
      </c>
      <c r="O17" s="17">
        <v>45261.0</v>
      </c>
      <c r="P17" s="18">
        <v>1.47</v>
      </c>
      <c r="Q17" s="15" t="s">
        <v>33</v>
      </c>
      <c r="R17" s="19">
        <f t="shared" si="1"/>
        <v>0.188</v>
      </c>
      <c r="S17" s="19">
        <f t="shared" si="4"/>
        <v>0.5267</v>
      </c>
      <c r="U17" s="66">
        <v>45276.0</v>
      </c>
      <c r="V17" s="13">
        <f t="shared" si="2"/>
        <v>0.342</v>
      </c>
    </row>
    <row r="18">
      <c r="A18" s="8">
        <f t="shared" si="3"/>
        <v>17</v>
      </c>
      <c r="B18" s="8" t="s">
        <v>19</v>
      </c>
      <c r="C18" s="8">
        <v>20.0</v>
      </c>
      <c r="D18" s="8" t="s">
        <v>3997</v>
      </c>
      <c r="E18" s="8" t="s">
        <v>5565</v>
      </c>
      <c r="F18" s="8" t="s">
        <v>2556</v>
      </c>
      <c r="G18" s="8">
        <v>0.0</v>
      </c>
      <c r="H18" s="8" t="s">
        <v>820</v>
      </c>
      <c r="I18" s="8" t="s">
        <v>22</v>
      </c>
      <c r="J18" s="8" t="s">
        <v>225</v>
      </c>
      <c r="K18" s="8" t="s">
        <v>1522</v>
      </c>
      <c r="L18" s="9">
        <v>1.0</v>
      </c>
      <c r="M18" s="9">
        <v>0.2</v>
      </c>
      <c r="N18" s="9">
        <v>0.2</v>
      </c>
      <c r="O18" s="10">
        <v>45262.0</v>
      </c>
      <c r="P18" s="11">
        <v>1.95</v>
      </c>
      <c r="Q18" s="8" t="s">
        <v>25</v>
      </c>
      <c r="R18" s="12">
        <f t="shared" si="1"/>
        <v>-0.2</v>
      </c>
      <c r="S18" s="12">
        <f t="shared" si="4"/>
        <v>0.3267</v>
      </c>
      <c r="U18" s="66">
        <v>45277.0</v>
      </c>
      <c r="V18" s="13">
        <f t="shared" si="2"/>
        <v>2.29575</v>
      </c>
    </row>
    <row r="19">
      <c r="A19" s="15">
        <f t="shared" si="3"/>
        <v>18</v>
      </c>
      <c r="B19" s="15" t="s">
        <v>19</v>
      </c>
      <c r="C19" s="15">
        <v>45.0</v>
      </c>
      <c r="D19" s="15" t="s">
        <v>3998</v>
      </c>
      <c r="E19" s="15" t="s">
        <v>5565</v>
      </c>
      <c r="F19" s="15" t="s">
        <v>2556</v>
      </c>
      <c r="G19" s="15">
        <f t="shared" ref="G19:G22" si="5">1</f>
        <v>1</v>
      </c>
      <c r="H19" s="15" t="s">
        <v>448</v>
      </c>
      <c r="I19" s="15" t="s">
        <v>22</v>
      </c>
      <c r="J19" s="15" t="s">
        <v>225</v>
      </c>
      <c r="K19" s="15" t="s">
        <v>39</v>
      </c>
      <c r="L19" s="16">
        <v>0.25</v>
      </c>
      <c r="M19" s="16">
        <v>0.6</v>
      </c>
      <c r="N19" s="16">
        <v>0.6</v>
      </c>
      <c r="O19" s="55">
        <v>45262.0</v>
      </c>
      <c r="P19" s="18">
        <v>2.025</v>
      </c>
      <c r="Q19" s="15" t="s">
        <v>33</v>
      </c>
      <c r="R19" s="19">
        <f t="shared" si="1"/>
        <v>0.615</v>
      </c>
      <c r="S19" s="19">
        <f t="shared" si="4"/>
        <v>0.9417</v>
      </c>
      <c r="U19" s="66">
        <v>45278.0</v>
      </c>
      <c r="V19" s="13">
        <f t="shared" si="2"/>
        <v>0</v>
      </c>
    </row>
    <row r="20">
      <c r="A20" s="8">
        <f t="shared" si="3"/>
        <v>19</v>
      </c>
      <c r="B20" s="8" t="s">
        <v>19</v>
      </c>
      <c r="C20" s="8">
        <v>46.0</v>
      </c>
      <c r="D20" s="8" t="s">
        <v>3999</v>
      </c>
      <c r="E20" s="8" t="s">
        <v>5564</v>
      </c>
      <c r="F20" s="8" t="s">
        <v>2660</v>
      </c>
      <c r="G20" s="8">
        <f t="shared" si="5"/>
        <v>1</v>
      </c>
      <c r="H20" s="8" t="s">
        <v>448</v>
      </c>
      <c r="I20" s="8" t="s">
        <v>22</v>
      </c>
      <c r="J20" s="8" t="s">
        <v>892</v>
      </c>
      <c r="K20" s="8" t="s">
        <v>39</v>
      </c>
      <c r="L20" s="9">
        <v>0.0</v>
      </c>
      <c r="M20" s="9">
        <v>0.25</v>
      </c>
      <c r="N20" s="9">
        <v>0.25</v>
      </c>
      <c r="O20" s="10">
        <v>45262.0</v>
      </c>
      <c r="P20" s="11">
        <v>1.725</v>
      </c>
      <c r="Q20" s="8" t="s">
        <v>70</v>
      </c>
      <c r="R20" s="12">
        <f t="shared" si="1"/>
        <v>0</v>
      </c>
      <c r="S20" s="12">
        <f t="shared" si="4"/>
        <v>0.9417</v>
      </c>
      <c r="U20" s="66">
        <v>45279.0</v>
      </c>
      <c r="V20" s="13">
        <f t="shared" si="2"/>
        <v>0.061</v>
      </c>
    </row>
    <row r="21">
      <c r="A21" s="15">
        <f t="shared" si="3"/>
        <v>20</v>
      </c>
      <c r="B21" s="15" t="s">
        <v>19</v>
      </c>
      <c r="C21" s="15">
        <v>56.0</v>
      </c>
      <c r="D21" s="15" t="s">
        <v>3999</v>
      </c>
      <c r="E21" s="15" t="s">
        <v>5564</v>
      </c>
      <c r="F21" s="15" t="s">
        <v>2660</v>
      </c>
      <c r="G21" s="15">
        <f t="shared" si="5"/>
        <v>1</v>
      </c>
      <c r="H21" s="15" t="s">
        <v>448</v>
      </c>
      <c r="I21" s="15" t="s">
        <v>22</v>
      </c>
      <c r="J21" s="15" t="s">
        <v>892</v>
      </c>
      <c r="K21" s="15" t="s">
        <v>39</v>
      </c>
      <c r="L21" s="16">
        <v>0.0</v>
      </c>
      <c r="M21" s="16">
        <v>0.45</v>
      </c>
      <c r="N21" s="16">
        <v>0.45</v>
      </c>
      <c r="O21" s="17">
        <v>45262.0</v>
      </c>
      <c r="P21" s="18">
        <v>1.725</v>
      </c>
      <c r="Q21" s="15" t="s">
        <v>70</v>
      </c>
      <c r="R21" s="19">
        <f t="shared" si="1"/>
        <v>0</v>
      </c>
      <c r="S21" s="19">
        <f t="shared" si="4"/>
        <v>0.9417</v>
      </c>
      <c r="U21" s="66">
        <v>45280.0</v>
      </c>
      <c r="V21" s="13">
        <f t="shared" si="2"/>
        <v>1.1665</v>
      </c>
    </row>
    <row r="22">
      <c r="A22" s="8">
        <f t="shared" si="3"/>
        <v>21</v>
      </c>
      <c r="B22" s="8" t="s">
        <v>40</v>
      </c>
      <c r="C22" s="8">
        <v>29.0</v>
      </c>
      <c r="D22" s="8" t="s">
        <v>4000</v>
      </c>
      <c r="E22" s="8" t="s">
        <v>5565</v>
      </c>
      <c r="F22" s="8" t="s">
        <v>2660</v>
      </c>
      <c r="G22" s="8">
        <f t="shared" si="5"/>
        <v>1</v>
      </c>
      <c r="H22" s="8" t="s">
        <v>93</v>
      </c>
      <c r="I22" s="8" t="s">
        <v>22</v>
      </c>
      <c r="J22" s="8" t="s">
        <v>1150</v>
      </c>
      <c r="K22" s="8" t="s">
        <v>39</v>
      </c>
      <c r="L22" s="9">
        <v>0.0</v>
      </c>
      <c r="M22" s="9">
        <v>1.0</v>
      </c>
      <c r="N22" s="9">
        <v>1.0</v>
      </c>
      <c r="O22" s="10">
        <v>45262.0</v>
      </c>
      <c r="P22" s="11">
        <v>2.085</v>
      </c>
      <c r="Q22" s="8" t="s">
        <v>25</v>
      </c>
      <c r="R22" s="12">
        <f t="shared" si="1"/>
        <v>-1</v>
      </c>
      <c r="S22" s="12">
        <f t="shared" si="4"/>
        <v>-0.0583</v>
      </c>
      <c r="U22" s="66">
        <v>45281.0</v>
      </c>
      <c r="V22" s="13">
        <f t="shared" si="2"/>
        <v>0</v>
      </c>
    </row>
    <row r="23">
      <c r="A23" s="15">
        <f t="shared" si="3"/>
        <v>22</v>
      </c>
      <c r="B23" s="15" t="s">
        <v>19</v>
      </c>
      <c r="C23" s="15">
        <v>57.0</v>
      </c>
      <c r="D23" s="15" t="s">
        <v>4001</v>
      </c>
      <c r="E23" s="15" t="s">
        <v>5565</v>
      </c>
      <c r="F23" s="15" t="s">
        <v>2573</v>
      </c>
      <c r="G23" s="15">
        <v>2</v>
      </c>
      <c r="H23" s="15" t="s">
        <v>115</v>
      </c>
      <c r="I23" s="15" t="s">
        <v>22</v>
      </c>
      <c r="J23" s="15" t="s">
        <v>894</v>
      </c>
      <c r="K23" s="15" t="s">
        <v>24</v>
      </c>
      <c r="L23" s="16">
        <v>-0.25</v>
      </c>
      <c r="M23" s="16">
        <v>0.1</v>
      </c>
      <c r="N23" s="16">
        <v>0.1</v>
      </c>
      <c r="O23" s="17">
        <v>45262.0</v>
      </c>
      <c r="P23" s="18">
        <v>1.8</v>
      </c>
      <c r="Q23" s="15" t="s">
        <v>33</v>
      </c>
      <c r="R23" s="19">
        <f t="shared" si="1"/>
        <v>0.08</v>
      </c>
      <c r="S23" s="19">
        <f t="shared" si="4"/>
        <v>0.0217</v>
      </c>
      <c r="U23" s="66">
        <v>45282.0</v>
      </c>
      <c r="V23" s="13">
        <f t="shared" si="2"/>
        <v>0.4</v>
      </c>
    </row>
    <row r="24">
      <c r="A24" s="8">
        <f t="shared" si="3"/>
        <v>23</v>
      </c>
      <c r="B24" s="8" t="s">
        <v>19</v>
      </c>
      <c r="C24" s="8">
        <v>52.0</v>
      </c>
      <c r="D24" s="8" t="s">
        <v>4002</v>
      </c>
      <c r="E24" s="8" t="s">
        <v>5564</v>
      </c>
      <c r="F24" s="8" t="s">
        <v>2660</v>
      </c>
      <c r="G24" s="8">
        <v>-1.0</v>
      </c>
      <c r="H24" s="8" t="s">
        <v>229</v>
      </c>
      <c r="I24" s="8" t="s">
        <v>22</v>
      </c>
      <c r="J24" s="8" t="s">
        <v>892</v>
      </c>
      <c r="K24" s="8" t="s">
        <v>39</v>
      </c>
      <c r="L24" s="9">
        <v>0.0</v>
      </c>
      <c r="M24" s="9">
        <v>0.8</v>
      </c>
      <c r="N24" s="9">
        <v>0.8</v>
      </c>
      <c r="O24" s="10">
        <v>45262.0</v>
      </c>
      <c r="P24" s="11">
        <v>1.775</v>
      </c>
      <c r="Q24" s="8" t="s">
        <v>33</v>
      </c>
      <c r="R24" s="12">
        <f t="shared" si="1"/>
        <v>0.62</v>
      </c>
      <c r="S24" s="12">
        <f t="shared" si="4"/>
        <v>0.6417</v>
      </c>
      <c r="U24" s="66">
        <v>45283.0</v>
      </c>
      <c r="V24" s="13">
        <f t="shared" si="2"/>
        <v>0</v>
      </c>
    </row>
    <row r="25">
      <c r="A25" s="15">
        <f t="shared" si="3"/>
        <v>24</v>
      </c>
      <c r="B25" s="15" t="s">
        <v>19</v>
      </c>
      <c r="C25" s="15">
        <v>67.0</v>
      </c>
      <c r="D25" s="15" t="s">
        <v>4003</v>
      </c>
      <c r="E25" s="15" t="s">
        <v>5565</v>
      </c>
      <c r="F25" s="15" t="s">
        <v>2660</v>
      </c>
      <c r="G25" s="15">
        <f>1</f>
        <v>1</v>
      </c>
      <c r="H25" s="15" t="s">
        <v>229</v>
      </c>
      <c r="I25" s="15" t="s">
        <v>22</v>
      </c>
      <c r="J25" s="15" t="s">
        <v>892</v>
      </c>
      <c r="K25" s="15" t="s">
        <v>24</v>
      </c>
      <c r="L25" s="16">
        <v>0.0</v>
      </c>
      <c r="M25" s="16">
        <v>0.6</v>
      </c>
      <c r="N25" s="16">
        <v>0.6</v>
      </c>
      <c r="O25" s="17">
        <v>45262.0</v>
      </c>
      <c r="P25" s="18">
        <v>1.7</v>
      </c>
      <c r="Q25" s="15" t="s">
        <v>70</v>
      </c>
      <c r="R25" s="19">
        <f t="shared" si="1"/>
        <v>0</v>
      </c>
      <c r="S25" s="19">
        <f t="shared" si="4"/>
        <v>0.6417</v>
      </c>
      <c r="U25" s="66">
        <v>45284.0</v>
      </c>
      <c r="V25" s="13">
        <f t="shared" si="2"/>
        <v>0</v>
      </c>
    </row>
    <row r="26">
      <c r="A26" s="8">
        <f t="shared" si="3"/>
        <v>25</v>
      </c>
      <c r="B26" s="8" t="s">
        <v>19</v>
      </c>
      <c r="C26" s="8">
        <v>28.0</v>
      </c>
      <c r="D26" s="8" t="s">
        <v>4004</v>
      </c>
      <c r="E26" s="8" t="s">
        <v>5565</v>
      </c>
      <c r="F26" s="8" t="s">
        <v>2556</v>
      </c>
      <c r="G26" s="8">
        <v>0.0</v>
      </c>
      <c r="H26" s="8" t="s">
        <v>525</v>
      </c>
      <c r="I26" s="8" t="s">
        <v>22</v>
      </c>
      <c r="J26" s="8" t="s">
        <v>225</v>
      </c>
      <c r="K26" s="8" t="s">
        <v>24</v>
      </c>
      <c r="L26" s="9">
        <v>0.25</v>
      </c>
      <c r="M26" s="9">
        <v>1.0</v>
      </c>
      <c r="N26" s="9">
        <v>1.0</v>
      </c>
      <c r="O26" s="10">
        <v>45262.0</v>
      </c>
      <c r="P26" s="11">
        <v>1.775</v>
      </c>
      <c r="Q26" s="8" t="s">
        <v>70</v>
      </c>
      <c r="R26" s="12">
        <f t="shared" si="1"/>
        <v>0</v>
      </c>
      <c r="S26" s="12">
        <f t="shared" si="4"/>
        <v>0.6417</v>
      </c>
      <c r="U26" s="66">
        <v>45285.0</v>
      </c>
      <c r="V26" s="13">
        <f t="shared" si="2"/>
        <v>0</v>
      </c>
    </row>
    <row r="27">
      <c r="A27" s="15">
        <f t="shared" si="3"/>
        <v>26</v>
      </c>
      <c r="B27" s="15" t="s">
        <v>19</v>
      </c>
      <c r="C27" s="15">
        <v>23.0</v>
      </c>
      <c r="D27" s="15" t="s">
        <v>4005</v>
      </c>
      <c r="E27" s="15" t="s">
        <v>5564</v>
      </c>
      <c r="F27" s="15" t="s">
        <v>2660</v>
      </c>
      <c r="G27" s="15">
        <v>0.0</v>
      </c>
      <c r="H27" s="15" t="s">
        <v>806</v>
      </c>
      <c r="I27" s="15" t="s">
        <v>22</v>
      </c>
      <c r="J27" s="15" t="s">
        <v>892</v>
      </c>
      <c r="K27" s="15" t="s">
        <v>24</v>
      </c>
      <c r="L27" s="16">
        <v>0.0</v>
      </c>
      <c r="M27" s="16">
        <v>1.0</v>
      </c>
      <c r="N27" s="16">
        <v>1.0</v>
      </c>
      <c r="O27" s="17">
        <v>45262.0</v>
      </c>
      <c r="P27" s="18">
        <v>1.875</v>
      </c>
      <c r="Q27" s="15" t="s">
        <v>70</v>
      </c>
      <c r="R27" s="19">
        <f t="shared" si="1"/>
        <v>0</v>
      </c>
      <c r="S27" s="19">
        <f t="shared" si="4"/>
        <v>0.6417</v>
      </c>
      <c r="U27" s="66">
        <v>45286.0</v>
      </c>
      <c r="V27" s="13">
        <f t="shared" si="2"/>
        <v>0</v>
      </c>
    </row>
    <row r="28">
      <c r="A28" s="8">
        <f t="shared" si="3"/>
        <v>27</v>
      </c>
      <c r="B28" s="8" t="s">
        <v>19</v>
      </c>
      <c r="C28" s="8">
        <v>30.0</v>
      </c>
      <c r="D28" s="8" t="s">
        <v>4006</v>
      </c>
      <c r="E28" s="8" t="s">
        <v>5564</v>
      </c>
      <c r="F28" s="8" t="s">
        <v>2556</v>
      </c>
      <c r="G28" s="8">
        <v>0.0</v>
      </c>
      <c r="H28" s="8" t="s">
        <v>1031</v>
      </c>
      <c r="I28" s="8" t="s">
        <v>22</v>
      </c>
      <c r="J28" s="8" t="s">
        <v>225</v>
      </c>
      <c r="K28" s="8" t="s">
        <v>24</v>
      </c>
      <c r="L28" s="9">
        <v>0.5</v>
      </c>
      <c r="M28" s="9">
        <v>1.0</v>
      </c>
      <c r="N28" s="9">
        <v>1.0</v>
      </c>
      <c r="O28" s="10">
        <v>45262.0</v>
      </c>
      <c r="P28" s="11">
        <v>1.85</v>
      </c>
      <c r="Q28" s="8" t="s">
        <v>25</v>
      </c>
      <c r="R28" s="12">
        <f t="shared" si="1"/>
        <v>-1</v>
      </c>
      <c r="S28" s="12">
        <f t="shared" si="4"/>
        <v>-0.3583</v>
      </c>
      <c r="U28" s="66">
        <v>45287.0</v>
      </c>
      <c r="V28" s="13">
        <f t="shared" si="2"/>
        <v>0</v>
      </c>
    </row>
    <row r="29">
      <c r="A29" s="15">
        <f t="shared" si="3"/>
        <v>28</v>
      </c>
      <c r="B29" s="15" t="s">
        <v>19</v>
      </c>
      <c r="C29" s="15">
        <v>45.0</v>
      </c>
      <c r="D29" s="15" t="s">
        <v>4007</v>
      </c>
      <c r="E29" s="15" t="s">
        <v>5564</v>
      </c>
      <c r="F29" s="15" t="s">
        <v>2556</v>
      </c>
      <c r="G29" s="15">
        <v>0.0</v>
      </c>
      <c r="H29" s="15" t="s">
        <v>624</v>
      </c>
      <c r="I29" s="15" t="s">
        <v>22</v>
      </c>
      <c r="J29" s="15" t="s">
        <v>225</v>
      </c>
      <c r="K29" s="15" t="s">
        <v>24</v>
      </c>
      <c r="L29" s="16">
        <v>0.5</v>
      </c>
      <c r="M29" s="16">
        <v>1.0</v>
      </c>
      <c r="N29" s="16">
        <v>1.0</v>
      </c>
      <c r="O29" s="17">
        <v>45262.0</v>
      </c>
      <c r="P29" s="18">
        <v>1.8</v>
      </c>
      <c r="Q29" s="15" t="s">
        <v>25</v>
      </c>
      <c r="R29" s="19">
        <f t="shared" si="1"/>
        <v>-1</v>
      </c>
      <c r="S29" s="19">
        <f t="shared" si="4"/>
        <v>-1.3583</v>
      </c>
      <c r="U29" s="66">
        <v>45288.0</v>
      </c>
      <c r="V29" s="13">
        <f t="shared" si="2"/>
        <v>0</v>
      </c>
    </row>
    <row r="30">
      <c r="A30" s="8">
        <f t="shared" si="3"/>
        <v>29</v>
      </c>
      <c r="B30" s="8" t="s">
        <v>19</v>
      </c>
      <c r="C30" s="8">
        <v>50.0</v>
      </c>
      <c r="D30" s="8" t="s">
        <v>4008</v>
      </c>
      <c r="E30" s="8" t="s">
        <v>5564</v>
      </c>
      <c r="F30" s="8" t="s">
        <v>2660</v>
      </c>
      <c r="G30" s="8">
        <v>0.0</v>
      </c>
      <c r="H30" s="8" t="s">
        <v>121</v>
      </c>
      <c r="I30" s="8" t="s">
        <v>22</v>
      </c>
      <c r="J30" s="8" t="s">
        <v>892</v>
      </c>
      <c r="K30" s="8" t="s">
        <v>1522</v>
      </c>
      <c r="L30" s="9">
        <v>0.0</v>
      </c>
      <c r="M30" s="9">
        <v>0.2</v>
      </c>
      <c r="N30" s="9">
        <f>0.2*0.25</f>
        <v>0.05</v>
      </c>
      <c r="O30" s="10">
        <v>45262.0</v>
      </c>
      <c r="P30" s="11">
        <v>1.975</v>
      </c>
      <c r="Q30" s="8" t="s">
        <v>25</v>
      </c>
      <c r="R30" s="12">
        <f t="shared" si="1"/>
        <v>-0.05</v>
      </c>
      <c r="S30" s="12">
        <f t="shared" si="4"/>
        <v>-1.4083</v>
      </c>
      <c r="U30" s="66">
        <v>45289.0</v>
      </c>
      <c r="V30" s="13">
        <f t="shared" si="2"/>
        <v>0</v>
      </c>
    </row>
    <row r="31">
      <c r="A31" s="15">
        <f t="shared" si="3"/>
        <v>30</v>
      </c>
      <c r="B31" s="15" t="s">
        <v>19</v>
      </c>
      <c r="C31" s="15">
        <v>55.0</v>
      </c>
      <c r="D31" s="15" t="s">
        <v>4009</v>
      </c>
      <c r="E31" s="15" t="s">
        <v>5564</v>
      </c>
      <c r="F31" s="15" t="s">
        <v>2660</v>
      </c>
      <c r="G31" s="15">
        <v>-1.0</v>
      </c>
      <c r="H31" s="15" t="s">
        <v>121</v>
      </c>
      <c r="I31" s="15" t="s">
        <v>22</v>
      </c>
      <c r="J31" s="15" t="s">
        <v>892</v>
      </c>
      <c r="K31" s="15" t="s">
        <v>1522</v>
      </c>
      <c r="L31" s="16">
        <v>0.0</v>
      </c>
      <c r="M31" s="16">
        <v>1.0</v>
      </c>
      <c r="N31" s="16">
        <v>0.25</v>
      </c>
      <c r="O31" s="17">
        <v>45262.0</v>
      </c>
      <c r="P31" s="18">
        <v>2.025</v>
      </c>
      <c r="Q31" s="15" t="s">
        <v>25</v>
      </c>
      <c r="R31" s="19">
        <f t="shared" si="1"/>
        <v>-0.25</v>
      </c>
      <c r="S31" s="19">
        <f t="shared" si="4"/>
        <v>-1.6583</v>
      </c>
      <c r="U31" s="66">
        <v>45290.0</v>
      </c>
      <c r="V31" s="13">
        <f t="shared" si="2"/>
        <v>0</v>
      </c>
    </row>
    <row r="32">
      <c r="A32" s="8">
        <f t="shared" si="3"/>
        <v>31</v>
      </c>
      <c r="B32" s="8" t="s">
        <v>19</v>
      </c>
      <c r="C32" s="8">
        <v>20.0</v>
      </c>
      <c r="D32" s="8" t="s">
        <v>4010</v>
      </c>
      <c r="E32" s="8" t="s">
        <v>5564</v>
      </c>
      <c r="F32" s="8" t="s">
        <v>2660</v>
      </c>
      <c r="G32" s="8">
        <f>1</f>
        <v>1</v>
      </c>
      <c r="H32" s="8" t="s">
        <v>66</v>
      </c>
      <c r="I32" s="8" t="s">
        <v>22</v>
      </c>
      <c r="J32" s="8" t="s">
        <v>892</v>
      </c>
      <c r="K32" s="8" t="s">
        <v>24</v>
      </c>
      <c r="L32" s="9">
        <v>0.0</v>
      </c>
      <c r="M32" s="9">
        <v>1.2</v>
      </c>
      <c r="N32" s="9">
        <v>1.2</v>
      </c>
      <c r="O32" s="10">
        <v>45262.0</v>
      </c>
      <c r="P32" s="11">
        <v>1.95</v>
      </c>
      <c r="Q32" s="8" t="s">
        <v>33</v>
      </c>
      <c r="R32" s="12">
        <f t="shared" si="1"/>
        <v>1.14</v>
      </c>
      <c r="S32" s="12">
        <f t="shared" si="4"/>
        <v>-0.5183</v>
      </c>
      <c r="U32" s="66">
        <v>45291.0</v>
      </c>
      <c r="V32" s="13">
        <f t="shared" si="2"/>
        <v>0</v>
      </c>
    </row>
    <row r="33">
      <c r="A33" s="15">
        <f t="shared" si="3"/>
        <v>32</v>
      </c>
      <c r="B33" s="15" t="s">
        <v>19</v>
      </c>
      <c r="C33" s="15">
        <v>22.0</v>
      </c>
      <c r="D33" s="15" t="s">
        <v>4011</v>
      </c>
      <c r="E33" s="15" t="s">
        <v>5565</v>
      </c>
      <c r="F33" s="15" t="s">
        <v>2556</v>
      </c>
      <c r="G33" s="15">
        <v>0.0</v>
      </c>
      <c r="H33" s="15" t="s">
        <v>66</v>
      </c>
      <c r="I33" s="15" t="s">
        <v>22</v>
      </c>
      <c r="J33" s="15" t="s">
        <v>225</v>
      </c>
      <c r="K33" s="15" t="s">
        <v>24</v>
      </c>
      <c r="L33" s="16">
        <v>0.5</v>
      </c>
      <c r="M33" s="16">
        <v>0.6</v>
      </c>
      <c r="N33" s="16">
        <v>0.6</v>
      </c>
      <c r="O33" s="17">
        <v>45262.0</v>
      </c>
      <c r="P33" s="18">
        <v>1.2</v>
      </c>
      <c r="Q33" s="15" t="s">
        <v>33</v>
      </c>
      <c r="R33" s="19">
        <f t="shared" si="1"/>
        <v>0.12</v>
      </c>
      <c r="S33" s="19">
        <f t="shared" si="4"/>
        <v>-0.3983</v>
      </c>
      <c r="U33" s="66"/>
      <c r="V33" s="13">
        <f t="shared" si="2"/>
        <v>0</v>
      </c>
    </row>
    <row r="34">
      <c r="A34" s="8">
        <f t="shared" si="3"/>
        <v>33</v>
      </c>
      <c r="B34" s="8" t="s">
        <v>19</v>
      </c>
      <c r="C34" s="8">
        <v>25.0</v>
      </c>
      <c r="D34" s="8" t="s">
        <v>4012</v>
      </c>
      <c r="E34" s="8" t="s">
        <v>5565</v>
      </c>
      <c r="F34" s="8" t="s">
        <v>2556</v>
      </c>
      <c r="G34" s="8">
        <f t="shared" ref="G34:G36" si="6">1</f>
        <v>1</v>
      </c>
      <c r="H34" s="8" t="s">
        <v>66</v>
      </c>
      <c r="I34" s="8" t="s">
        <v>22</v>
      </c>
      <c r="J34" s="8" t="s">
        <v>225</v>
      </c>
      <c r="K34" s="8" t="s">
        <v>24</v>
      </c>
      <c r="L34" s="9">
        <v>0.5</v>
      </c>
      <c r="M34" s="9">
        <v>1.0</v>
      </c>
      <c r="N34" s="9">
        <v>1.0</v>
      </c>
      <c r="O34" s="10">
        <v>45262.0</v>
      </c>
      <c r="P34" s="11">
        <v>2.0</v>
      </c>
      <c r="Q34" s="8" t="s">
        <v>33</v>
      </c>
      <c r="R34" s="12">
        <f t="shared" si="1"/>
        <v>1</v>
      </c>
      <c r="S34" s="12">
        <f t="shared" si="4"/>
        <v>0.6017</v>
      </c>
      <c r="U34" s="94" t="s">
        <v>89</v>
      </c>
      <c r="V34" s="28">
        <f>SUM(V2:V33)</f>
        <v>11.6646</v>
      </c>
    </row>
    <row r="35">
      <c r="A35" s="15">
        <f t="shared" si="3"/>
        <v>34</v>
      </c>
      <c r="B35" s="15" t="s">
        <v>40</v>
      </c>
      <c r="C35" s="15">
        <v>25.0</v>
      </c>
      <c r="D35" s="15" t="s">
        <v>4013</v>
      </c>
      <c r="E35" s="15" t="s">
        <v>5564</v>
      </c>
      <c r="F35" s="15" t="s">
        <v>2556</v>
      </c>
      <c r="G35" s="15">
        <f t="shared" si="6"/>
        <v>1</v>
      </c>
      <c r="H35" s="15" t="s">
        <v>93</v>
      </c>
      <c r="I35" s="15" t="s">
        <v>22</v>
      </c>
      <c r="J35" s="15" t="s">
        <v>225</v>
      </c>
      <c r="K35" s="15" t="s">
        <v>24</v>
      </c>
      <c r="L35" s="16">
        <v>0.75</v>
      </c>
      <c r="M35" s="16">
        <v>0.8</v>
      </c>
      <c r="N35" s="16">
        <v>0.8</v>
      </c>
      <c r="O35" s="17">
        <v>45262.0</v>
      </c>
      <c r="P35" s="18">
        <v>1.975</v>
      </c>
      <c r="Q35" s="15" t="s">
        <v>79</v>
      </c>
      <c r="R35" s="19">
        <f t="shared" si="1"/>
        <v>-0.4</v>
      </c>
      <c r="S35" s="19">
        <f t="shared" si="4"/>
        <v>0.2017</v>
      </c>
      <c r="U35" s="30"/>
    </row>
    <row r="36">
      <c r="A36" s="8">
        <f t="shared" si="3"/>
        <v>35</v>
      </c>
      <c r="B36" s="8" t="s">
        <v>19</v>
      </c>
      <c r="C36" s="8">
        <v>44.0</v>
      </c>
      <c r="D36" s="8" t="s">
        <v>4014</v>
      </c>
      <c r="E36" s="8" t="s">
        <v>5564</v>
      </c>
      <c r="F36" s="8" t="s">
        <v>2660</v>
      </c>
      <c r="G36" s="8">
        <f t="shared" si="6"/>
        <v>1</v>
      </c>
      <c r="H36" s="8" t="s">
        <v>66</v>
      </c>
      <c r="I36" s="8" t="s">
        <v>22</v>
      </c>
      <c r="J36" s="8" t="s">
        <v>892</v>
      </c>
      <c r="K36" s="8" t="s">
        <v>39</v>
      </c>
      <c r="L36" s="9">
        <v>0.0</v>
      </c>
      <c r="M36" s="9">
        <v>0.75</v>
      </c>
      <c r="N36" s="9">
        <v>0.01</v>
      </c>
      <c r="O36" s="10">
        <v>45262.0</v>
      </c>
      <c r="P36" s="11">
        <v>1.7</v>
      </c>
      <c r="Q36" s="8" t="s">
        <v>25</v>
      </c>
      <c r="R36" s="12">
        <f t="shared" si="1"/>
        <v>-0.01</v>
      </c>
      <c r="S36" s="12">
        <f t="shared" si="4"/>
        <v>0.1917</v>
      </c>
      <c r="U36" s="30"/>
    </row>
    <row r="37">
      <c r="A37" s="15">
        <f t="shared" si="3"/>
        <v>36</v>
      </c>
      <c r="B37" s="15" t="s">
        <v>19</v>
      </c>
      <c r="C37" s="15">
        <v>54.0</v>
      </c>
      <c r="D37" s="15" t="s">
        <v>4015</v>
      </c>
      <c r="E37" s="15" t="s">
        <v>5564</v>
      </c>
      <c r="F37" s="15" t="s">
        <v>2660</v>
      </c>
      <c r="G37" s="15">
        <v>0.0</v>
      </c>
      <c r="H37" s="15" t="s">
        <v>121</v>
      </c>
      <c r="I37" s="15" t="s">
        <v>22</v>
      </c>
      <c r="J37" s="15" t="s">
        <v>892</v>
      </c>
      <c r="K37" s="15" t="s">
        <v>39</v>
      </c>
      <c r="L37" s="16">
        <v>0.0</v>
      </c>
      <c r="M37" s="16">
        <v>0.1</v>
      </c>
      <c r="N37" s="16">
        <v>0.1</v>
      </c>
      <c r="O37" s="17">
        <v>45262.0</v>
      </c>
      <c r="P37" s="18">
        <v>1.8</v>
      </c>
      <c r="Q37" s="15" t="s">
        <v>33</v>
      </c>
      <c r="R37" s="19">
        <f t="shared" si="1"/>
        <v>0.08</v>
      </c>
      <c r="S37" s="19">
        <f t="shared" si="4"/>
        <v>0.2717</v>
      </c>
      <c r="U37" s="30"/>
    </row>
    <row r="38">
      <c r="A38" s="8">
        <f t="shared" si="3"/>
        <v>37</v>
      </c>
      <c r="B38" s="8" t="s">
        <v>19</v>
      </c>
      <c r="C38" s="8">
        <v>0.0</v>
      </c>
      <c r="D38" s="8" t="s">
        <v>4016</v>
      </c>
      <c r="E38" s="8"/>
      <c r="F38" s="8"/>
      <c r="G38" s="8"/>
      <c r="H38" s="8" t="s">
        <v>44</v>
      </c>
      <c r="I38" s="8" t="s">
        <v>598</v>
      </c>
      <c r="J38" s="8" t="s">
        <v>2634</v>
      </c>
      <c r="K38" s="8" t="s">
        <v>39</v>
      </c>
      <c r="L38" s="9"/>
      <c r="M38" s="9">
        <v>0.1</v>
      </c>
      <c r="N38" s="9">
        <v>0.1</v>
      </c>
      <c r="O38" s="10">
        <v>45262.0</v>
      </c>
      <c r="P38" s="11">
        <v>1.75</v>
      </c>
      <c r="Q38" s="8" t="s">
        <v>25</v>
      </c>
      <c r="R38" s="12">
        <f t="shared" si="1"/>
        <v>-0.1</v>
      </c>
      <c r="S38" s="12">
        <f t="shared" si="4"/>
        <v>0.1717</v>
      </c>
      <c r="U38" s="30"/>
    </row>
    <row r="39">
      <c r="A39" s="15">
        <f t="shared" si="3"/>
        <v>38</v>
      </c>
      <c r="B39" s="15" t="s">
        <v>19</v>
      </c>
      <c r="C39" s="15">
        <v>64.0</v>
      </c>
      <c r="D39" s="15" t="s">
        <v>4017</v>
      </c>
      <c r="E39" s="15" t="s">
        <v>5565</v>
      </c>
      <c r="F39" s="15" t="s">
        <v>2660</v>
      </c>
      <c r="G39" s="15">
        <v>-1.0</v>
      </c>
      <c r="H39" s="15" t="s">
        <v>121</v>
      </c>
      <c r="I39" s="15" t="s">
        <v>22</v>
      </c>
      <c r="J39" s="15" t="s">
        <v>892</v>
      </c>
      <c r="K39" s="15" t="s">
        <v>24</v>
      </c>
      <c r="L39" s="16">
        <v>0.0</v>
      </c>
      <c r="M39" s="16">
        <v>0.2</v>
      </c>
      <c r="N39" s="16">
        <v>0.2</v>
      </c>
      <c r="O39" s="17">
        <v>45262.0</v>
      </c>
      <c r="P39" s="18">
        <v>1.85</v>
      </c>
      <c r="Q39" s="15" t="s">
        <v>70</v>
      </c>
      <c r="R39" s="19">
        <f t="shared" si="1"/>
        <v>0</v>
      </c>
      <c r="S39" s="19">
        <f t="shared" si="4"/>
        <v>0.1717</v>
      </c>
      <c r="U39" s="30"/>
    </row>
    <row r="40">
      <c r="A40" s="8">
        <f t="shared" si="3"/>
        <v>39</v>
      </c>
      <c r="B40" s="8" t="s">
        <v>19</v>
      </c>
      <c r="C40" s="8">
        <v>83.0</v>
      </c>
      <c r="D40" s="8" t="s">
        <v>4018</v>
      </c>
      <c r="E40" s="8" t="s">
        <v>5565</v>
      </c>
      <c r="F40" s="8" t="s">
        <v>2660</v>
      </c>
      <c r="G40" s="8">
        <v>-2.0</v>
      </c>
      <c r="H40" s="8" t="s">
        <v>66</v>
      </c>
      <c r="I40" s="8" t="s">
        <v>22</v>
      </c>
      <c r="J40" s="8" t="s">
        <v>892</v>
      </c>
      <c r="K40" s="8" t="s">
        <v>24</v>
      </c>
      <c r="L40" s="9">
        <v>0.0</v>
      </c>
      <c r="M40" s="9">
        <v>0.6</v>
      </c>
      <c r="N40" s="9">
        <v>0.6</v>
      </c>
      <c r="O40" s="10">
        <v>45262.0</v>
      </c>
      <c r="P40" s="11">
        <v>2.05</v>
      </c>
      <c r="Q40" s="8" t="s">
        <v>70</v>
      </c>
      <c r="R40" s="12">
        <f t="shared" si="1"/>
        <v>0</v>
      </c>
      <c r="S40" s="12">
        <f t="shared" si="4"/>
        <v>0.1717</v>
      </c>
      <c r="U40" s="30"/>
    </row>
    <row r="41">
      <c r="A41" s="15">
        <f t="shared" si="3"/>
        <v>40</v>
      </c>
      <c r="B41" s="15" t="s">
        <v>40</v>
      </c>
      <c r="C41" s="15">
        <v>57.0</v>
      </c>
      <c r="D41" s="15" t="s">
        <v>4019</v>
      </c>
      <c r="E41" s="15" t="s">
        <v>5565</v>
      </c>
      <c r="F41" s="15" t="s">
        <v>2556</v>
      </c>
      <c r="G41" s="15">
        <v>2</v>
      </c>
      <c r="H41" s="15" t="s">
        <v>93</v>
      </c>
      <c r="I41" s="15" t="s">
        <v>22</v>
      </c>
      <c r="J41" s="15" t="s">
        <v>225</v>
      </c>
      <c r="K41" s="15" t="s">
        <v>24</v>
      </c>
      <c r="L41" s="16">
        <v>0.5</v>
      </c>
      <c r="M41" s="16">
        <v>1.0</v>
      </c>
      <c r="N41" s="16">
        <v>1.0</v>
      </c>
      <c r="O41" s="17">
        <v>45262.0</v>
      </c>
      <c r="P41" s="18">
        <v>1.825</v>
      </c>
      <c r="Q41" s="15" t="s">
        <v>25</v>
      </c>
      <c r="R41" s="19">
        <f t="shared" si="1"/>
        <v>-1</v>
      </c>
      <c r="S41" s="19">
        <f t="shared" si="4"/>
        <v>-0.8283</v>
      </c>
      <c r="U41" s="30"/>
    </row>
    <row r="42">
      <c r="A42" s="8">
        <f t="shared" si="3"/>
        <v>41</v>
      </c>
      <c r="B42" s="8" t="s">
        <v>19</v>
      </c>
      <c r="C42" s="8">
        <v>58.0</v>
      </c>
      <c r="D42" s="8" t="s">
        <v>4020</v>
      </c>
      <c r="E42" s="8" t="s">
        <v>5564</v>
      </c>
      <c r="F42" s="8" t="s">
        <v>2573</v>
      </c>
      <c r="G42" s="8">
        <v>0.0</v>
      </c>
      <c r="H42" s="8" t="s">
        <v>50</v>
      </c>
      <c r="I42" s="8" t="s">
        <v>22</v>
      </c>
      <c r="J42" s="8" t="s">
        <v>894</v>
      </c>
      <c r="K42" s="8" t="s">
        <v>39</v>
      </c>
      <c r="L42" s="9">
        <v>-0.25</v>
      </c>
      <c r="M42" s="9">
        <v>0.1</v>
      </c>
      <c r="N42" s="9">
        <v>0.1</v>
      </c>
      <c r="O42" s="10">
        <v>45262.0</v>
      </c>
      <c r="P42" s="11">
        <v>1.75</v>
      </c>
      <c r="Q42" s="8" t="s">
        <v>33</v>
      </c>
      <c r="R42" s="12">
        <f t="shared" si="1"/>
        <v>0.075</v>
      </c>
      <c r="S42" s="12">
        <f t="shared" si="4"/>
        <v>-0.7533</v>
      </c>
      <c r="U42" s="30"/>
    </row>
    <row r="43">
      <c r="A43" s="15">
        <f t="shared" si="3"/>
        <v>42</v>
      </c>
      <c r="B43" s="15" t="s">
        <v>19</v>
      </c>
      <c r="C43" s="15">
        <v>44.0</v>
      </c>
      <c r="D43" s="15" t="s">
        <v>4021</v>
      </c>
      <c r="E43" s="15" t="s">
        <v>5564</v>
      </c>
      <c r="F43" s="15" t="s">
        <v>2660</v>
      </c>
      <c r="G43" s="15">
        <v>-1.0</v>
      </c>
      <c r="H43" s="15" t="s">
        <v>50</v>
      </c>
      <c r="I43" s="15" t="s">
        <v>22</v>
      </c>
      <c r="J43" s="15" t="s">
        <v>892</v>
      </c>
      <c r="K43" s="15" t="s">
        <v>39</v>
      </c>
      <c r="L43" s="16">
        <v>0.0</v>
      </c>
      <c r="M43" s="16">
        <v>0.8</v>
      </c>
      <c r="N43" s="16">
        <v>0.8</v>
      </c>
      <c r="O43" s="17">
        <v>45262.0</v>
      </c>
      <c r="P43" s="18">
        <v>1.975</v>
      </c>
      <c r="Q43" s="15" t="s">
        <v>70</v>
      </c>
      <c r="R43" s="19">
        <f t="shared" si="1"/>
        <v>0</v>
      </c>
      <c r="S43" s="19">
        <f t="shared" si="4"/>
        <v>-0.7533</v>
      </c>
      <c r="U43" s="30"/>
    </row>
    <row r="44">
      <c r="A44" s="8">
        <f t="shared" si="3"/>
        <v>43</v>
      </c>
      <c r="B44" s="8" t="s">
        <v>19</v>
      </c>
      <c r="C44" s="8">
        <v>65.0</v>
      </c>
      <c r="D44" s="8" t="s">
        <v>4022</v>
      </c>
      <c r="E44" s="8" t="s">
        <v>5564</v>
      </c>
      <c r="F44" s="8" t="s">
        <v>2660</v>
      </c>
      <c r="G44" s="8">
        <v>0.0</v>
      </c>
      <c r="H44" s="8" t="s">
        <v>88</v>
      </c>
      <c r="I44" s="8" t="s">
        <v>22</v>
      </c>
      <c r="J44" s="8" t="s">
        <v>892</v>
      </c>
      <c r="K44" s="8" t="s">
        <v>24</v>
      </c>
      <c r="L44" s="9">
        <v>0.0</v>
      </c>
      <c r="M44" s="9">
        <v>0.4</v>
      </c>
      <c r="N44" s="9">
        <v>0.4</v>
      </c>
      <c r="O44" s="10">
        <v>45263.0</v>
      </c>
      <c r="P44" s="11">
        <v>1.775</v>
      </c>
      <c r="Q44" s="8" t="s">
        <v>70</v>
      </c>
      <c r="R44" s="12">
        <f t="shared" si="1"/>
        <v>0</v>
      </c>
      <c r="S44" s="12">
        <f t="shared" si="4"/>
        <v>-0.7533</v>
      </c>
    </row>
    <row r="45">
      <c r="A45" s="15">
        <f t="shared" si="3"/>
        <v>44</v>
      </c>
      <c r="B45" s="15" t="s">
        <v>19</v>
      </c>
      <c r="C45" s="15">
        <v>40.0</v>
      </c>
      <c r="D45" s="15" t="s">
        <v>4023</v>
      </c>
      <c r="E45" s="15" t="s">
        <v>5565</v>
      </c>
      <c r="F45" s="15" t="s">
        <v>2556</v>
      </c>
      <c r="G45" s="15">
        <f>1</f>
        <v>1</v>
      </c>
      <c r="H45" s="15" t="s">
        <v>48</v>
      </c>
      <c r="I45" s="15" t="s">
        <v>22</v>
      </c>
      <c r="J45" s="15" t="s">
        <v>225</v>
      </c>
      <c r="K45" s="15" t="s">
        <v>24</v>
      </c>
      <c r="L45" s="16">
        <v>0.75</v>
      </c>
      <c r="M45" s="16">
        <v>0.6</v>
      </c>
      <c r="N45" s="16">
        <v>0.6</v>
      </c>
      <c r="O45" s="17">
        <v>45263.0</v>
      </c>
      <c r="P45" s="18">
        <v>1.875</v>
      </c>
      <c r="Q45" s="15" t="s">
        <v>79</v>
      </c>
      <c r="R45" s="19">
        <f t="shared" si="1"/>
        <v>-0.3</v>
      </c>
      <c r="S45" s="19">
        <f t="shared" si="4"/>
        <v>-1.0533</v>
      </c>
    </row>
    <row r="46">
      <c r="A46" s="8">
        <f t="shared" si="3"/>
        <v>45</v>
      </c>
      <c r="B46" s="8" t="s">
        <v>19</v>
      </c>
      <c r="C46" s="8">
        <v>30.0</v>
      </c>
      <c r="D46" s="8" t="s">
        <v>4024</v>
      </c>
      <c r="E46" s="8" t="s">
        <v>5565</v>
      </c>
      <c r="F46" s="8" t="s">
        <v>2660</v>
      </c>
      <c r="G46" s="8">
        <v>-1.0</v>
      </c>
      <c r="H46" s="8" t="s">
        <v>115</v>
      </c>
      <c r="I46" s="8" t="s">
        <v>22</v>
      </c>
      <c r="J46" s="8" t="s">
        <v>892</v>
      </c>
      <c r="K46" s="8" t="s">
        <v>24</v>
      </c>
      <c r="L46" s="9">
        <v>0.0</v>
      </c>
      <c r="M46" s="9">
        <v>0.8</v>
      </c>
      <c r="N46" s="9">
        <v>0.8</v>
      </c>
      <c r="O46" s="10">
        <v>45263.0</v>
      </c>
      <c r="P46" s="11">
        <v>1.825</v>
      </c>
      <c r="Q46" s="8" t="s">
        <v>33</v>
      </c>
      <c r="R46" s="12">
        <f t="shared" si="1"/>
        <v>0.66</v>
      </c>
      <c r="S46" s="12">
        <f t="shared" si="4"/>
        <v>-0.3933</v>
      </c>
    </row>
    <row r="47">
      <c r="A47" s="15">
        <f t="shared" si="3"/>
        <v>46</v>
      </c>
      <c r="B47" s="15" t="s">
        <v>19</v>
      </c>
      <c r="C47" s="15">
        <v>20.0</v>
      </c>
      <c r="D47" s="15" t="s">
        <v>4025</v>
      </c>
      <c r="E47" s="15" t="s">
        <v>5564</v>
      </c>
      <c r="F47" s="15" t="s">
        <v>2556</v>
      </c>
      <c r="G47" s="15">
        <v>0.0</v>
      </c>
      <c r="H47" s="15" t="s">
        <v>229</v>
      </c>
      <c r="I47" s="15" t="s">
        <v>22</v>
      </c>
      <c r="J47" s="15" t="s">
        <v>225</v>
      </c>
      <c r="K47" s="15" t="s">
        <v>24</v>
      </c>
      <c r="L47" s="16">
        <v>0.75</v>
      </c>
      <c r="M47" s="16">
        <v>0.6</v>
      </c>
      <c r="N47" s="16">
        <v>0.6</v>
      </c>
      <c r="O47" s="17">
        <v>45263.0</v>
      </c>
      <c r="P47" s="18">
        <v>1.36</v>
      </c>
      <c r="Q47" s="15" t="s">
        <v>33</v>
      </c>
      <c r="R47" s="19">
        <f t="shared" si="1"/>
        <v>0.216</v>
      </c>
      <c r="S47" s="19">
        <f t="shared" si="4"/>
        <v>-0.1773</v>
      </c>
    </row>
    <row r="48">
      <c r="A48" s="8">
        <f t="shared" si="3"/>
        <v>47</v>
      </c>
      <c r="B48" s="8" t="s">
        <v>19</v>
      </c>
      <c r="C48" s="8">
        <v>20.0</v>
      </c>
      <c r="D48" s="8" t="s">
        <v>4026</v>
      </c>
      <c r="E48" s="8"/>
      <c r="F48" s="8"/>
      <c r="G48" s="8"/>
      <c r="H48" s="8" t="s">
        <v>207</v>
      </c>
      <c r="I48" s="8" t="s">
        <v>22</v>
      </c>
      <c r="J48" s="8" t="s">
        <v>2634</v>
      </c>
      <c r="K48" s="8" t="s">
        <v>24</v>
      </c>
      <c r="L48" s="9"/>
      <c r="M48" s="9">
        <v>0.6</v>
      </c>
      <c r="N48" s="9">
        <v>0.6</v>
      </c>
      <c r="O48" s="10">
        <v>45263.0</v>
      </c>
      <c r="P48" s="11">
        <v>1.875</v>
      </c>
      <c r="Q48" s="8" t="s">
        <v>25</v>
      </c>
      <c r="R48" s="12">
        <f t="shared" si="1"/>
        <v>-0.6</v>
      </c>
      <c r="S48" s="12">
        <f t="shared" si="4"/>
        <v>-0.7773</v>
      </c>
    </row>
    <row r="49">
      <c r="A49" s="15">
        <f t="shared" si="3"/>
        <v>48</v>
      </c>
      <c r="B49" s="15" t="s">
        <v>19</v>
      </c>
      <c r="C49" s="15">
        <v>41.0</v>
      </c>
      <c r="D49" s="15" t="s">
        <v>4027</v>
      </c>
      <c r="E49" s="15" t="s">
        <v>5564</v>
      </c>
      <c r="F49" s="15" t="s">
        <v>2660</v>
      </c>
      <c r="G49" s="15">
        <v>-1.0</v>
      </c>
      <c r="H49" s="15" t="s">
        <v>93</v>
      </c>
      <c r="I49" s="15" t="s">
        <v>22</v>
      </c>
      <c r="J49" s="15" t="s">
        <v>892</v>
      </c>
      <c r="K49" s="15" t="s">
        <v>24</v>
      </c>
      <c r="L49" s="16">
        <v>0.0</v>
      </c>
      <c r="M49" s="16">
        <v>1.0</v>
      </c>
      <c r="N49" s="16">
        <v>0.89</v>
      </c>
      <c r="O49" s="17">
        <v>45263.0</v>
      </c>
      <c r="P49" s="18">
        <v>1.825</v>
      </c>
      <c r="Q49" s="15" t="s">
        <v>25</v>
      </c>
      <c r="R49" s="19">
        <f t="shared" si="1"/>
        <v>-0.89</v>
      </c>
      <c r="S49" s="19">
        <f t="shared" si="4"/>
        <v>-1.6673</v>
      </c>
    </row>
    <row r="50">
      <c r="A50" s="8">
        <f t="shared" si="3"/>
        <v>49</v>
      </c>
      <c r="B50" s="8" t="s">
        <v>19</v>
      </c>
      <c r="C50" s="8">
        <v>56.0</v>
      </c>
      <c r="D50" s="8" t="s">
        <v>4028</v>
      </c>
      <c r="E50" s="8" t="s">
        <v>5565</v>
      </c>
      <c r="F50" s="8" t="s">
        <v>2660</v>
      </c>
      <c r="G50" s="8">
        <v>0.0</v>
      </c>
      <c r="H50" s="8" t="s">
        <v>93</v>
      </c>
      <c r="I50" s="8" t="s">
        <v>22</v>
      </c>
      <c r="J50" s="8" t="s">
        <v>892</v>
      </c>
      <c r="K50" s="8" t="s">
        <v>24</v>
      </c>
      <c r="L50" s="9">
        <v>0.0</v>
      </c>
      <c r="M50" s="9">
        <v>1.0</v>
      </c>
      <c r="N50" s="9">
        <v>1.0</v>
      </c>
      <c r="O50" s="10">
        <v>45263.0</v>
      </c>
      <c r="P50" s="11">
        <v>1.875</v>
      </c>
      <c r="Q50" s="8" t="s">
        <v>33</v>
      </c>
      <c r="R50" s="12">
        <f t="shared" si="1"/>
        <v>0.875</v>
      </c>
      <c r="S50" s="12">
        <f t="shared" si="4"/>
        <v>-0.7923</v>
      </c>
    </row>
    <row r="51">
      <c r="A51" s="15">
        <f t="shared" si="3"/>
        <v>50</v>
      </c>
      <c r="B51" s="15" t="s">
        <v>19</v>
      </c>
      <c r="C51" s="15">
        <v>55.0</v>
      </c>
      <c r="D51" s="15" t="s">
        <v>4029</v>
      </c>
      <c r="E51" s="15" t="s">
        <v>5565</v>
      </c>
      <c r="F51" s="15" t="s">
        <v>2573</v>
      </c>
      <c r="G51" s="15">
        <v>-2.0</v>
      </c>
      <c r="H51" s="15" t="s">
        <v>583</v>
      </c>
      <c r="I51" s="15" t="s">
        <v>22</v>
      </c>
      <c r="J51" s="15" t="s">
        <v>894</v>
      </c>
      <c r="K51" s="15" t="s">
        <v>24</v>
      </c>
      <c r="L51" s="16">
        <v>-0.25</v>
      </c>
      <c r="M51" s="16">
        <v>0.2</v>
      </c>
      <c r="N51" s="16">
        <v>0.2</v>
      </c>
      <c r="O51" s="17">
        <v>45263.0</v>
      </c>
      <c r="P51" s="18">
        <v>1.9</v>
      </c>
      <c r="Q51" s="15" t="s">
        <v>33</v>
      </c>
      <c r="R51" s="19">
        <f t="shared" si="1"/>
        <v>0.18</v>
      </c>
      <c r="S51" s="19">
        <f t="shared" si="4"/>
        <v>-0.6123</v>
      </c>
    </row>
    <row r="52">
      <c r="A52" s="8">
        <f t="shared" si="3"/>
        <v>51</v>
      </c>
      <c r="B52" s="8" t="s">
        <v>19</v>
      </c>
      <c r="C52" s="8">
        <v>57.0</v>
      </c>
      <c r="D52" s="8" t="s">
        <v>4029</v>
      </c>
      <c r="E52" s="8" t="s">
        <v>5565</v>
      </c>
      <c r="F52" s="8" t="s">
        <v>2573</v>
      </c>
      <c r="G52" s="8">
        <v>-1.0</v>
      </c>
      <c r="H52" s="8" t="s">
        <v>583</v>
      </c>
      <c r="I52" s="8" t="s">
        <v>22</v>
      </c>
      <c r="J52" s="8" t="s">
        <v>894</v>
      </c>
      <c r="K52" s="8" t="s">
        <v>24</v>
      </c>
      <c r="L52" s="9">
        <v>-0.25</v>
      </c>
      <c r="M52" s="9">
        <v>0.1</v>
      </c>
      <c r="N52" s="9">
        <v>0.1</v>
      </c>
      <c r="O52" s="10">
        <v>45263.0</v>
      </c>
      <c r="P52" s="11">
        <v>1.9</v>
      </c>
      <c r="Q52" s="8" t="s">
        <v>79</v>
      </c>
      <c r="R52" s="12">
        <f t="shared" si="1"/>
        <v>-0.05</v>
      </c>
      <c r="S52" s="12">
        <f t="shared" si="4"/>
        <v>-0.6623</v>
      </c>
    </row>
    <row r="53">
      <c r="A53" s="15">
        <f t="shared" si="3"/>
        <v>52</v>
      </c>
      <c r="B53" s="15" t="s">
        <v>19</v>
      </c>
      <c r="C53" s="15">
        <v>77.0</v>
      </c>
      <c r="D53" s="15" t="s">
        <v>4030</v>
      </c>
      <c r="E53" s="15" t="s">
        <v>5565</v>
      </c>
      <c r="F53" s="15" t="s">
        <v>2660</v>
      </c>
      <c r="G53" s="15">
        <v>0.0</v>
      </c>
      <c r="H53" s="15" t="s">
        <v>93</v>
      </c>
      <c r="I53" s="15" t="s">
        <v>22</v>
      </c>
      <c r="J53" s="15" t="s">
        <v>892</v>
      </c>
      <c r="K53" s="15" t="s">
        <v>24</v>
      </c>
      <c r="L53" s="16">
        <v>0.0</v>
      </c>
      <c r="M53" s="16">
        <v>0.2</v>
      </c>
      <c r="N53" s="16">
        <v>0.2</v>
      </c>
      <c r="O53" s="17">
        <v>45263.0</v>
      </c>
      <c r="P53" s="18">
        <v>1.75</v>
      </c>
      <c r="Q53" s="15" t="s">
        <v>70</v>
      </c>
      <c r="R53" s="19">
        <f t="shared" si="1"/>
        <v>0</v>
      </c>
      <c r="S53" s="19">
        <f t="shared" si="4"/>
        <v>-0.6623</v>
      </c>
    </row>
    <row r="54">
      <c r="A54" s="8">
        <f t="shared" si="3"/>
        <v>53</v>
      </c>
      <c r="B54" s="8" t="s">
        <v>19</v>
      </c>
      <c r="C54" s="8">
        <v>35.0</v>
      </c>
      <c r="D54" s="8" t="s">
        <v>4031</v>
      </c>
      <c r="E54" s="8" t="s">
        <v>5565</v>
      </c>
      <c r="F54" s="8" t="s">
        <v>2556</v>
      </c>
      <c r="G54" s="8">
        <v>0.0</v>
      </c>
      <c r="H54" s="8" t="s">
        <v>369</v>
      </c>
      <c r="I54" s="8" t="s">
        <v>22</v>
      </c>
      <c r="J54" s="8" t="s">
        <v>225</v>
      </c>
      <c r="K54" s="8" t="s">
        <v>24</v>
      </c>
      <c r="L54" s="9">
        <v>0.5</v>
      </c>
      <c r="M54" s="9">
        <v>0.6</v>
      </c>
      <c r="N54" s="9">
        <v>0.57</v>
      </c>
      <c r="O54" s="10">
        <v>45263.0</v>
      </c>
      <c r="P54" s="11">
        <v>1.05</v>
      </c>
      <c r="Q54" s="8" t="s">
        <v>33</v>
      </c>
      <c r="R54" s="12">
        <f t="shared" si="1"/>
        <v>0.0285</v>
      </c>
      <c r="S54" s="12">
        <f t="shared" si="4"/>
        <v>-0.6338</v>
      </c>
    </row>
    <row r="55">
      <c r="A55" s="15">
        <f t="shared" si="3"/>
        <v>54</v>
      </c>
      <c r="B55" s="15" t="s">
        <v>19</v>
      </c>
      <c r="C55" s="15">
        <v>63.0</v>
      </c>
      <c r="D55" s="15" t="s">
        <v>4032</v>
      </c>
      <c r="E55" s="15" t="s">
        <v>5564</v>
      </c>
      <c r="F55" s="15" t="s">
        <v>2556</v>
      </c>
      <c r="G55" s="15">
        <v>-4.0</v>
      </c>
      <c r="H55" s="15" t="s">
        <v>185</v>
      </c>
      <c r="I55" s="15" t="s">
        <v>22</v>
      </c>
      <c r="J55" s="15" t="s">
        <v>2634</v>
      </c>
      <c r="K55" s="15" t="s">
        <v>39</v>
      </c>
      <c r="L55" s="16"/>
      <c r="M55" s="16">
        <v>0.1</v>
      </c>
      <c r="N55" s="16">
        <v>0.1</v>
      </c>
      <c r="O55" s="55">
        <v>45263.0</v>
      </c>
      <c r="P55" s="18">
        <v>2.75</v>
      </c>
      <c r="Q55" s="15" t="s">
        <v>33</v>
      </c>
      <c r="R55" s="19">
        <f t="shared" si="1"/>
        <v>0.175</v>
      </c>
      <c r="S55" s="19">
        <f t="shared" si="4"/>
        <v>-0.4588</v>
      </c>
    </row>
    <row r="56">
      <c r="A56" s="8">
        <f t="shared" si="3"/>
        <v>55</v>
      </c>
      <c r="B56" s="8" t="s">
        <v>19</v>
      </c>
      <c r="C56" s="8">
        <v>39.0</v>
      </c>
      <c r="D56" s="8" t="s">
        <v>4033</v>
      </c>
      <c r="E56" s="8" t="s">
        <v>5564</v>
      </c>
      <c r="F56" s="8" t="s">
        <v>2556</v>
      </c>
      <c r="G56" s="8">
        <v>0.0</v>
      </c>
      <c r="H56" s="8" t="s">
        <v>44</v>
      </c>
      <c r="I56" s="8" t="s">
        <v>22</v>
      </c>
      <c r="J56" s="8" t="s">
        <v>440</v>
      </c>
      <c r="K56" s="8" t="s">
        <v>24</v>
      </c>
      <c r="L56" s="9">
        <v>1.5</v>
      </c>
      <c r="M56" s="9">
        <v>0.1</v>
      </c>
      <c r="N56" s="9">
        <v>0.1</v>
      </c>
      <c r="O56" s="10">
        <v>45263.0</v>
      </c>
      <c r="P56" s="11">
        <v>1.725</v>
      </c>
      <c r="Q56" s="8" t="s">
        <v>25</v>
      </c>
      <c r="R56" s="12">
        <f t="shared" si="1"/>
        <v>-0.1</v>
      </c>
      <c r="S56" s="12">
        <f t="shared" si="4"/>
        <v>-0.5588</v>
      </c>
    </row>
    <row r="57">
      <c r="A57" s="15">
        <f t="shared" si="3"/>
        <v>56</v>
      </c>
      <c r="B57" s="15" t="s">
        <v>19</v>
      </c>
      <c r="C57" s="15">
        <v>56.0</v>
      </c>
      <c r="D57" s="15" t="s">
        <v>4034</v>
      </c>
      <c r="E57" s="15" t="s">
        <v>5565</v>
      </c>
      <c r="F57" s="15" t="s">
        <v>2660</v>
      </c>
      <c r="G57" s="15">
        <v>0.0</v>
      </c>
      <c r="H57" s="15" t="s">
        <v>121</v>
      </c>
      <c r="I57" s="15" t="s">
        <v>22</v>
      </c>
      <c r="J57" s="15" t="s">
        <v>892</v>
      </c>
      <c r="K57" s="15" t="s">
        <v>24</v>
      </c>
      <c r="L57" s="16">
        <v>0.0</v>
      </c>
      <c r="M57" s="16">
        <v>0.6</v>
      </c>
      <c r="N57" s="16">
        <v>0.6</v>
      </c>
      <c r="O57" s="17">
        <v>45263.0</v>
      </c>
      <c r="P57" s="18">
        <v>1.825</v>
      </c>
      <c r="Q57" s="15" t="s">
        <v>70</v>
      </c>
      <c r="R57" s="19">
        <f t="shared" si="1"/>
        <v>0</v>
      </c>
      <c r="S57" s="19">
        <f t="shared" si="4"/>
        <v>-0.5588</v>
      </c>
    </row>
    <row r="58">
      <c r="A58" s="8">
        <f t="shared" si="3"/>
        <v>57</v>
      </c>
      <c r="B58" s="8" t="s">
        <v>40</v>
      </c>
      <c r="C58" s="8">
        <v>20.0</v>
      </c>
      <c r="D58" s="8" t="s">
        <v>4035</v>
      </c>
      <c r="E58" s="8" t="s">
        <v>5564</v>
      </c>
      <c r="F58" s="8" t="s">
        <v>2556</v>
      </c>
      <c r="G58" s="8">
        <v>0.0</v>
      </c>
      <c r="H58" s="8" t="s">
        <v>93</v>
      </c>
      <c r="I58" s="8" t="s">
        <v>22</v>
      </c>
      <c r="J58" s="8" t="s">
        <v>225</v>
      </c>
      <c r="K58" s="8" t="s">
        <v>39</v>
      </c>
      <c r="L58" s="9">
        <v>0.5</v>
      </c>
      <c r="M58" s="9">
        <v>0.7</v>
      </c>
      <c r="N58" s="9">
        <v>0.7</v>
      </c>
      <c r="O58" s="10">
        <v>45263.0</v>
      </c>
      <c r="P58" s="11">
        <f>1.45</f>
        <v>1.45</v>
      </c>
      <c r="Q58" s="8" t="s">
        <v>33</v>
      </c>
      <c r="R58" s="12">
        <f t="shared" si="1"/>
        <v>0.315</v>
      </c>
      <c r="S58" s="12">
        <f t="shared" si="4"/>
        <v>-0.2438</v>
      </c>
    </row>
    <row r="59">
      <c r="A59" s="15">
        <f t="shared" si="3"/>
        <v>58</v>
      </c>
      <c r="B59" s="15" t="s">
        <v>40</v>
      </c>
      <c r="C59" s="15">
        <v>20.0</v>
      </c>
      <c r="D59" s="15" t="s">
        <v>4036</v>
      </c>
      <c r="E59" s="15" t="s">
        <v>5564</v>
      </c>
      <c r="F59" s="15" t="s">
        <v>2556</v>
      </c>
      <c r="G59" s="15">
        <v>0.0</v>
      </c>
      <c r="H59" s="15" t="s">
        <v>93</v>
      </c>
      <c r="I59" s="15" t="s">
        <v>22</v>
      </c>
      <c r="J59" s="15" t="s">
        <v>225</v>
      </c>
      <c r="K59" s="15" t="s">
        <v>39</v>
      </c>
      <c r="L59" s="16">
        <v>0.25</v>
      </c>
      <c r="M59" s="16">
        <v>0.25</v>
      </c>
      <c r="N59" s="16">
        <v>0.25</v>
      </c>
      <c r="O59" s="17">
        <v>45263.0</v>
      </c>
      <c r="P59" s="18">
        <v>1.23</v>
      </c>
      <c r="Q59" s="15" t="s">
        <v>33</v>
      </c>
      <c r="R59" s="19">
        <f t="shared" si="1"/>
        <v>0.0575</v>
      </c>
      <c r="S59" s="19">
        <f t="shared" si="4"/>
        <v>-0.1863</v>
      </c>
    </row>
    <row r="60">
      <c r="A60" s="8">
        <f t="shared" si="3"/>
        <v>59</v>
      </c>
      <c r="B60" s="8" t="s">
        <v>19</v>
      </c>
      <c r="C60" s="8">
        <v>20.0</v>
      </c>
      <c r="D60" s="8" t="s">
        <v>4037</v>
      </c>
      <c r="E60" s="8" t="s">
        <v>5564</v>
      </c>
      <c r="F60" s="8" t="s">
        <v>2556</v>
      </c>
      <c r="G60" s="8">
        <v>0.0</v>
      </c>
      <c r="H60" s="8" t="s">
        <v>124</v>
      </c>
      <c r="I60" s="8" t="s">
        <v>22</v>
      </c>
      <c r="J60" s="8" t="s">
        <v>225</v>
      </c>
      <c r="K60" s="8" t="s">
        <v>24</v>
      </c>
      <c r="L60" s="9">
        <v>0.25</v>
      </c>
      <c r="M60" s="9">
        <v>0.5</v>
      </c>
      <c r="N60" s="9">
        <v>0.5</v>
      </c>
      <c r="O60" s="10">
        <v>45263.0</v>
      </c>
      <c r="P60" s="11">
        <v>2.05</v>
      </c>
      <c r="Q60" s="8" t="s">
        <v>33</v>
      </c>
      <c r="R60" s="12">
        <f t="shared" si="1"/>
        <v>0.525</v>
      </c>
      <c r="S60" s="12">
        <f t="shared" si="4"/>
        <v>0.3387</v>
      </c>
    </row>
    <row r="61">
      <c r="A61" s="15">
        <f t="shared" si="3"/>
        <v>60</v>
      </c>
      <c r="B61" s="15" t="s">
        <v>19</v>
      </c>
      <c r="C61" s="15">
        <v>25.0</v>
      </c>
      <c r="D61" s="15" t="s">
        <v>4038</v>
      </c>
      <c r="E61" s="15" t="s">
        <v>5565</v>
      </c>
      <c r="F61" s="15" t="s">
        <v>2660</v>
      </c>
      <c r="G61" s="15">
        <v>-1.0</v>
      </c>
      <c r="H61" s="15" t="s">
        <v>66</v>
      </c>
      <c r="I61" s="15" t="s">
        <v>22</v>
      </c>
      <c r="J61" s="15" t="s">
        <v>892</v>
      </c>
      <c r="K61" s="15" t="s">
        <v>24</v>
      </c>
      <c r="L61" s="16">
        <v>0.0</v>
      </c>
      <c r="M61" s="16">
        <v>1.0</v>
      </c>
      <c r="N61" s="16">
        <v>1.0</v>
      </c>
      <c r="O61" s="17">
        <v>45263.0</v>
      </c>
      <c r="P61" s="18">
        <v>1.7</v>
      </c>
      <c r="Q61" s="15" t="s">
        <v>70</v>
      </c>
      <c r="R61" s="19">
        <f t="shared" si="1"/>
        <v>0</v>
      </c>
      <c r="S61" s="19">
        <f t="shared" si="4"/>
        <v>0.3387</v>
      </c>
    </row>
    <row r="62">
      <c r="A62" s="8">
        <f t="shared" si="3"/>
        <v>61</v>
      </c>
      <c r="B62" s="8" t="s">
        <v>40</v>
      </c>
      <c r="C62" s="8">
        <v>65.0</v>
      </c>
      <c r="D62" s="8" t="s">
        <v>4039</v>
      </c>
      <c r="E62" s="8" t="s">
        <v>5564</v>
      </c>
      <c r="F62" s="8" t="s">
        <v>2556</v>
      </c>
      <c r="G62" s="8">
        <v>0.0</v>
      </c>
      <c r="H62" s="8" t="s">
        <v>38</v>
      </c>
      <c r="I62" s="8" t="s">
        <v>22</v>
      </c>
      <c r="J62" s="8" t="s">
        <v>1165</v>
      </c>
      <c r="K62" s="8" t="s">
        <v>24</v>
      </c>
      <c r="L62" s="9"/>
      <c r="M62" s="9">
        <v>0.1</v>
      </c>
      <c r="N62" s="9">
        <v>0.1</v>
      </c>
      <c r="O62" s="10">
        <v>45263.0</v>
      </c>
      <c r="P62" s="11">
        <v>8.0</v>
      </c>
      <c r="Q62" s="8" t="s">
        <v>33</v>
      </c>
      <c r="R62" s="12">
        <f t="shared" si="1"/>
        <v>0.7</v>
      </c>
      <c r="S62" s="12">
        <f t="shared" si="4"/>
        <v>1.0387</v>
      </c>
    </row>
    <row r="63">
      <c r="A63" s="15">
        <f t="shared" si="3"/>
        <v>62</v>
      </c>
      <c r="B63" s="15" t="s">
        <v>19</v>
      </c>
      <c r="C63" s="15">
        <v>24.0</v>
      </c>
      <c r="D63" s="15" t="s">
        <v>4040</v>
      </c>
      <c r="E63" s="15" t="s">
        <v>5564</v>
      </c>
      <c r="F63" s="15" t="s">
        <v>2556</v>
      </c>
      <c r="G63" s="15">
        <v>0.0</v>
      </c>
      <c r="H63" s="15" t="s">
        <v>635</v>
      </c>
      <c r="I63" s="15" t="s">
        <v>22</v>
      </c>
      <c r="J63" s="15" t="s">
        <v>440</v>
      </c>
      <c r="K63" s="15" t="s">
        <v>39</v>
      </c>
      <c r="L63" s="16">
        <v>1.5</v>
      </c>
      <c r="M63" s="16">
        <v>0.1</v>
      </c>
      <c r="N63" s="16">
        <v>0.1</v>
      </c>
      <c r="O63" s="17">
        <v>45263.0</v>
      </c>
      <c r="P63" s="18">
        <v>1.8</v>
      </c>
      <c r="Q63" s="15" t="s">
        <v>33</v>
      </c>
      <c r="R63" s="19">
        <f t="shared" si="1"/>
        <v>0.08</v>
      </c>
      <c r="S63" s="19">
        <f t="shared" si="4"/>
        <v>1.1187</v>
      </c>
    </row>
    <row r="64">
      <c r="A64" s="8">
        <f t="shared" si="3"/>
        <v>63</v>
      </c>
      <c r="B64" s="8" t="s">
        <v>19</v>
      </c>
      <c r="C64" s="8">
        <v>22.0</v>
      </c>
      <c r="D64" s="8" t="s">
        <v>4041</v>
      </c>
      <c r="E64" s="8" t="s">
        <v>5564</v>
      </c>
      <c r="F64" s="8" t="s">
        <v>2556</v>
      </c>
      <c r="G64" s="8">
        <f>1</f>
        <v>1</v>
      </c>
      <c r="H64" s="8" t="s">
        <v>877</v>
      </c>
      <c r="I64" s="8" t="s">
        <v>22</v>
      </c>
      <c r="J64" s="8" t="s">
        <v>225</v>
      </c>
      <c r="K64" s="8" t="s">
        <v>1851</v>
      </c>
      <c r="L64" s="9">
        <v>0.5</v>
      </c>
      <c r="M64" s="9">
        <v>1.0</v>
      </c>
      <c r="N64" s="9">
        <v>1.0</v>
      </c>
      <c r="O64" s="10">
        <v>45265.0</v>
      </c>
      <c r="P64" s="11">
        <v>1.825</v>
      </c>
      <c r="Q64" s="8" t="s">
        <v>33</v>
      </c>
      <c r="R64" s="12">
        <f t="shared" si="1"/>
        <v>0.825</v>
      </c>
      <c r="S64" s="12">
        <f t="shared" si="4"/>
        <v>1.9437</v>
      </c>
    </row>
    <row r="65">
      <c r="A65" s="15">
        <f t="shared" si="3"/>
        <v>64</v>
      </c>
      <c r="B65" s="15" t="s">
        <v>19</v>
      </c>
      <c r="C65" s="15">
        <v>73.0</v>
      </c>
      <c r="D65" s="15" t="s">
        <v>4042</v>
      </c>
      <c r="E65" s="15" t="s">
        <v>5565</v>
      </c>
      <c r="F65" s="15" t="s">
        <v>2660</v>
      </c>
      <c r="G65" s="15">
        <v>-2.0</v>
      </c>
      <c r="H65" s="15" t="s">
        <v>174</v>
      </c>
      <c r="I65" s="15" t="s">
        <v>22</v>
      </c>
      <c r="J65" s="15" t="s">
        <v>892</v>
      </c>
      <c r="K65" s="15" t="s">
        <v>24</v>
      </c>
      <c r="L65" s="16">
        <v>0.0</v>
      </c>
      <c r="M65" s="16">
        <v>1.0</v>
      </c>
      <c r="N65" s="16">
        <v>1.0</v>
      </c>
      <c r="O65" s="17">
        <v>45265.0</v>
      </c>
      <c r="P65" s="18">
        <v>1.725</v>
      </c>
      <c r="Q65" s="15" t="s">
        <v>70</v>
      </c>
      <c r="R65" s="19">
        <f t="shared" si="1"/>
        <v>0</v>
      </c>
      <c r="S65" s="19">
        <f t="shared" si="4"/>
        <v>1.9437</v>
      </c>
    </row>
    <row r="66">
      <c r="A66" s="8">
        <f t="shared" si="3"/>
        <v>65</v>
      </c>
      <c r="B66" s="8" t="s">
        <v>19</v>
      </c>
      <c r="C66" s="8">
        <v>79.0</v>
      </c>
      <c r="D66" s="8" t="s">
        <v>4043</v>
      </c>
      <c r="E66" s="8" t="s">
        <v>5564</v>
      </c>
      <c r="F66" s="8" t="s">
        <v>2556</v>
      </c>
      <c r="G66" s="8">
        <v>-1.0</v>
      </c>
      <c r="H66" s="8" t="s">
        <v>42</v>
      </c>
      <c r="I66" s="8" t="s">
        <v>22</v>
      </c>
      <c r="J66" s="8" t="s">
        <v>225</v>
      </c>
      <c r="K66" s="8" t="s">
        <v>24</v>
      </c>
      <c r="L66" s="9">
        <v>0.25</v>
      </c>
      <c r="M66" s="9">
        <v>0.2</v>
      </c>
      <c r="N66" s="9">
        <v>0.2</v>
      </c>
      <c r="O66" s="10">
        <v>45265.0</v>
      </c>
      <c r="P66" s="11">
        <v>1.725</v>
      </c>
      <c r="Q66" s="8" t="s">
        <v>996</v>
      </c>
      <c r="R66" s="12">
        <f t="shared" si="1"/>
        <v>0.0725</v>
      </c>
      <c r="S66" s="12">
        <f t="shared" si="4"/>
        <v>2.0162</v>
      </c>
    </row>
    <row r="67">
      <c r="A67" s="15">
        <f t="shared" si="3"/>
        <v>66</v>
      </c>
      <c r="B67" s="15" t="s">
        <v>19</v>
      </c>
      <c r="C67" s="15">
        <v>80.0</v>
      </c>
      <c r="D67" s="15" t="s">
        <v>4044</v>
      </c>
      <c r="E67" s="15" t="s">
        <v>5564</v>
      </c>
      <c r="F67" s="15" t="s">
        <v>2556</v>
      </c>
      <c r="G67" s="15">
        <v>-1.0</v>
      </c>
      <c r="H67" s="15" t="s">
        <v>42</v>
      </c>
      <c r="I67" s="15" t="s">
        <v>22</v>
      </c>
      <c r="J67" s="15" t="s">
        <v>892</v>
      </c>
      <c r="K67" s="15" t="s">
        <v>24</v>
      </c>
      <c r="L67" s="16">
        <v>0.0</v>
      </c>
      <c r="M67" s="16">
        <v>0.1</v>
      </c>
      <c r="N67" s="16">
        <v>0.1</v>
      </c>
      <c r="O67" s="17">
        <v>45265.0</v>
      </c>
      <c r="P67" s="18">
        <v>4.15</v>
      </c>
      <c r="Q67" s="15" t="s">
        <v>70</v>
      </c>
      <c r="R67" s="19">
        <f t="shared" si="1"/>
        <v>0</v>
      </c>
      <c r="S67" s="19">
        <f t="shared" si="4"/>
        <v>2.0162</v>
      </c>
    </row>
    <row r="68">
      <c r="A68" s="8">
        <f t="shared" si="3"/>
        <v>67</v>
      </c>
      <c r="B68" s="8" t="s">
        <v>19</v>
      </c>
      <c r="C68" s="8">
        <v>20.0</v>
      </c>
      <c r="D68" s="8" t="s">
        <v>4045</v>
      </c>
      <c r="E68" s="8" t="s">
        <v>5565</v>
      </c>
      <c r="F68" s="8" t="s">
        <v>2660</v>
      </c>
      <c r="G68" s="8">
        <v>-1.0</v>
      </c>
      <c r="H68" s="8" t="s">
        <v>42</v>
      </c>
      <c r="I68" s="8" t="s">
        <v>22</v>
      </c>
      <c r="J68" s="8" t="s">
        <v>1150</v>
      </c>
      <c r="K68" s="8" t="s">
        <v>24</v>
      </c>
      <c r="L68" s="9">
        <v>0.0</v>
      </c>
      <c r="M68" s="9">
        <v>0.8</v>
      </c>
      <c r="N68" s="9">
        <v>0.8</v>
      </c>
      <c r="O68" s="10">
        <v>45265.0</v>
      </c>
      <c r="P68" s="11">
        <v>1.725</v>
      </c>
      <c r="Q68" s="8" t="s">
        <v>70</v>
      </c>
      <c r="R68" s="12">
        <f t="shared" si="1"/>
        <v>0</v>
      </c>
      <c r="S68" s="12">
        <f t="shared" si="4"/>
        <v>2.0162</v>
      </c>
    </row>
    <row r="69">
      <c r="A69" s="15">
        <f t="shared" si="3"/>
        <v>68</v>
      </c>
      <c r="B69" s="15" t="s">
        <v>19</v>
      </c>
      <c r="C69" s="15">
        <v>89.0</v>
      </c>
      <c r="D69" s="15" t="s">
        <v>4046</v>
      </c>
      <c r="E69" s="15"/>
      <c r="F69" s="15"/>
      <c r="G69" s="15">
        <v>0.0</v>
      </c>
      <c r="H69" s="15" t="s">
        <v>1031</v>
      </c>
      <c r="I69" s="15" t="s">
        <v>22</v>
      </c>
      <c r="J69" s="15" t="s">
        <v>29</v>
      </c>
      <c r="K69" s="15" t="s">
        <v>24</v>
      </c>
      <c r="L69" s="16">
        <v>-2.5</v>
      </c>
      <c r="M69" s="16">
        <v>0.4</v>
      </c>
      <c r="N69" s="16">
        <v>0.4</v>
      </c>
      <c r="O69" s="17">
        <v>45265.0</v>
      </c>
      <c r="P69" s="18">
        <v>1.2</v>
      </c>
      <c r="Q69" s="15" t="s">
        <v>33</v>
      </c>
      <c r="R69" s="19">
        <f t="shared" si="1"/>
        <v>0.08</v>
      </c>
      <c r="S69" s="19">
        <f t="shared" si="4"/>
        <v>2.0962</v>
      </c>
    </row>
    <row r="70">
      <c r="A70" s="8">
        <f t="shared" si="3"/>
        <v>69</v>
      </c>
      <c r="B70" s="8" t="s">
        <v>19</v>
      </c>
      <c r="C70" s="8">
        <v>0.0</v>
      </c>
      <c r="D70" s="8" t="s">
        <v>4047</v>
      </c>
      <c r="E70" s="8" t="s">
        <v>5564</v>
      </c>
      <c r="F70" s="8" t="s">
        <v>2573</v>
      </c>
      <c r="G70" s="8"/>
      <c r="H70" s="8" t="s">
        <v>60</v>
      </c>
      <c r="I70" s="8" t="s">
        <v>598</v>
      </c>
      <c r="J70" s="8" t="s">
        <v>894</v>
      </c>
      <c r="K70" s="8" t="s">
        <v>24</v>
      </c>
      <c r="L70" s="9">
        <v>-0.5</v>
      </c>
      <c r="M70" s="9">
        <v>0.1</v>
      </c>
      <c r="N70" s="9">
        <v>0.1</v>
      </c>
      <c r="O70" s="10">
        <v>45265.0</v>
      </c>
      <c r="P70" s="11">
        <v>1.775</v>
      </c>
      <c r="Q70" s="8" t="s">
        <v>25</v>
      </c>
      <c r="R70" s="12">
        <f t="shared" si="1"/>
        <v>-0.1</v>
      </c>
      <c r="S70" s="12">
        <f t="shared" si="4"/>
        <v>1.9962</v>
      </c>
    </row>
    <row r="71">
      <c r="A71" s="15">
        <f t="shared" si="3"/>
        <v>70</v>
      </c>
      <c r="B71" s="15" t="s">
        <v>19</v>
      </c>
      <c r="C71" s="15">
        <v>32.0</v>
      </c>
      <c r="D71" s="15" t="s">
        <v>4048</v>
      </c>
      <c r="E71" s="15" t="s">
        <v>5564</v>
      </c>
      <c r="F71" s="15" t="s">
        <v>2556</v>
      </c>
      <c r="G71" s="15">
        <v>0.0</v>
      </c>
      <c r="H71" s="15" t="s">
        <v>248</v>
      </c>
      <c r="I71" s="15" t="s">
        <v>22</v>
      </c>
      <c r="J71" s="15" t="s">
        <v>225</v>
      </c>
      <c r="K71" s="15" t="s">
        <v>24</v>
      </c>
      <c r="L71" s="16">
        <v>0.25</v>
      </c>
      <c r="M71" s="16">
        <v>0.2</v>
      </c>
      <c r="N71" s="16">
        <v>0.2</v>
      </c>
      <c r="O71" s="17">
        <v>45265.0</v>
      </c>
      <c r="P71" s="18">
        <v>1.28</v>
      </c>
      <c r="Q71" s="15" t="s">
        <v>33</v>
      </c>
      <c r="R71" s="19">
        <f t="shared" si="1"/>
        <v>0.056</v>
      </c>
      <c r="S71" s="19">
        <f t="shared" si="4"/>
        <v>2.0522</v>
      </c>
    </row>
    <row r="72">
      <c r="A72" s="8">
        <f t="shared" si="3"/>
        <v>71</v>
      </c>
      <c r="B72" s="8" t="s">
        <v>19</v>
      </c>
      <c r="C72" s="8">
        <v>77.0</v>
      </c>
      <c r="D72" s="8" t="s">
        <v>4049</v>
      </c>
      <c r="E72" s="8" t="s">
        <v>5565</v>
      </c>
      <c r="F72" s="8" t="s">
        <v>2660</v>
      </c>
      <c r="G72" s="8">
        <f>1</f>
        <v>1</v>
      </c>
      <c r="H72" s="8" t="s">
        <v>229</v>
      </c>
      <c r="I72" s="8" t="s">
        <v>22</v>
      </c>
      <c r="J72" s="8" t="s">
        <v>892</v>
      </c>
      <c r="K72" s="8" t="s">
        <v>39</v>
      </c>
      <c r="L72" s="9">
        <v>0.0</v>
      </c>
      <c r="M72" s="9">
        <v>0.5</v>
      </c>
      <c r="N72" s="9">
        <v>0.5</v>
      </c>
      <c r="O72" s="10">
        <v>45266.0</v>
      </c>
      <c r="P72" s="11">
        <v>1.7</v>
      </c>
      <c r="Q72" s="8" t="s">
        <v>33</v>
      </c>
      <c r="R72" s="12">
        <f t="shared" si="1"/>
        <v>0.35</v>
      </c>
      <c r="S72" s="12">
        <f t="shared" si="4"/>
        <v>2.4022</v>
      </c>
    </row>
    <row r="73">
      <c r="A73" s="15">
        <f t="shared" si="3"/>
        <v>72</v>
      </c>
      <c r="B73" s="15" t="s">
        <v>19</v>
      </c>
      <c r="C73" s="15">
        <v>0.0</v>
      </c>
      <c r="D73" s="15" t="s">
        <v>4050</v>
      </c>
      <c r="E73" s="15" t="s">
        <v>5565</v>
      </c>
      <c r="F73" s="15"/>
      <c r="G73" s="15"/>
      <c r="H73" s="15" t="s">
        <v>50</v>
      </c>
      <c r="I73" s="15" t="s">
        <v>598</v>
      </c>
      <c r="J73" s="15" t="s">
        <v>1847</v>
      </c>
      <c r="K73" s="15" t="s">
        <v>39</v>
      </c>
      <c r="L73" s="16">
        <v>-0.5</v>
      </c>
      <c r="M73" s="16">
        <v>0.1</v>
      </c>
      <c r="N73" s="16">
        <v>0.1</v>
      </c>
      <c r="O73" s="17">
        <v>45266.0</v>
      </c>
      <c r="P73" s="18">
        <v>1.8</v>
      </c>
      <c r="Q73" s="15" t="s">
        <v>33</v>
      </c>
      <c r="R73" s="19">
        <f t="shared" si="1"/>
        <v>0.08</v>
      </c>
      <c r="S73" s="19">
        <f t="shared" si="4"/>
        <v>2.4822</v>
      </c>
    </row>
    <row r="74">
      <c r="A74" s="8">
        <f t="shared" si="3"/>
        <v>73</v>
      </c>
      <c r="B74" s="8" t="s">
        <v>19</v>
      </c>
      <c r="C74" s="8">
        <v>0.0</v>
      </c>
      <c r="D74" s="8" t="s">
        <v>4051</v>
      </c>
      <c r="E74" s="8" t="s">
        <v>5564</v>
      </c>
      <c r="F74" s="8"/>
      <c r="G74" s="8"/>
      <c r="H74" s="8" t="s">
        <v>82</v>
      </c>
      <c r="I74" s="8" t="s">
        <v>598</v>
      </c>
      <c r="J74" s="8" t="s">
        <v>892</v>
      </c>
      <c r="K74" s="8" t="s">
        <v>39</v>
      </c>
      <c r="L74" s="9">
        <v>0.0</v>
      </c>
      <c r="M74" s="9">
        <v>0.25</v>
      </c>
      <c r="N74" s="9">
        <v>0.25</v>
      </c>
      <c r="O74" s="10">
        <v>45266.0</v>
      </c>
      <c r="P74" s="11">
        <v>1.825</v>
      </c>
      <c r="Q74" s="8" t="s">
        <v>70</v>
      </c>
      <c r="R74" s="12">
        <f t="shared" si="1"/>
        <v>0</v>
      </c>
      <c r="S74" s="12">
        <f t="shared" si="4"/>
        <v>2.4822</v>
      </c>
    </row>
    <row r="75">
      <c r="A75" s="15">
        <f t="shared" si="3"/>
        <v>74</v>
      </c>
      <c r="B75" s="15" t="s">
        <v>40</v>
      </c>
      <c r="C75" s="15">
        <v>0.0</v>
      </c>
      <c r="D75" s="15" t="s">
        <v>4052</v>
      </c>
      <c r="E75" s="15" t="s">
        <v>5564</v>
      </c>
      <c r="F75" s="15" t="s">
        <v>2573</v>
      </c>
      <c r="G75" s="15">
        <v>0.0</v>
      </c>
      <c r="H75" s="15" t="s">
        <v>28</v>
      </c>
      <c r="I75" s="15" t="s">
        <v>598</v>
      </c>
      <c r="J75" s="15" t="s">
        <v>894</v>
      </c>
      <c r="K75" s="15" t="s">
        <v>1522</v>
      </c>
      <c r="L75" s="16">
        <v>-1.5</v>
      </c>
      <c r="M75" s="16">
        <v>0.1</v>
      </c>
      <c r="N75" s="16">
        <v>0.1</v>
      </c>
      <c r="O75" s="17">
        <v>45266.0</v>
      </c>
      <c r="P75" s="18">
        <v>1.9</v>
      </c>
      <c r="Q75" s="15" t="s">
        <v>25</v>
      </c>
      <c r="R75" s="19">
        <f t="shared" si="1"/>
        <v>-0.1</v>
      </c>
      <c r="S75" s="19">
        <f t="shared" si="4"/>
        <v>2.3822</v>
      </c>
    </row>
    <row r="76">
      <c r="A76" s="8">
        <f t="shared" si="3"/>
        <v>75</v>
      </c>
      <c r="B76" s="8" t="s">
        <v>19</v>
      </c>
      <c r="C76" s="8">
        <v>70.0</v>
      </c>
      <c r="D76" s="8" t="s">
        <v>4053</v>
      </c>
      <c r="E76" s="8" t="s">
        <v>5564</v>
      </c>
      <c r="F76" s="8" t="s">
        <v>2556</v>
      </c>
      <c r="G76" s="8">
        <v>0.0</v>
      </c>
      <c r="H76" s="8" t="s">
        <v>42</v>
      </c>
      <c r="I76" s="8" t="s">
        <v>22</v>
      </c>
      <c r="J76" s="8" t="s">
        <v>941</v>
      </c>
      <c r="K76" s="8" t="s">
        <v>24</v>
      </c>
      <c r="L76" s="9">
        <v>0.0</v>
      </c>
      <c r="M76" s="9">
        <v>0.8</v>
      </c>
      <c r="N76" s="9">
        <v>0.8</v>
      </c>
      <c r="O76" s="10">
        <v>45266.0</v>
      </c>
      <c r="P76" s="11">
        <v>2.375</v>
      </c>
      <c r="Q76" s="8" t="s">
        <v>70</v>
      </c>
      <c r="R76" s="12">
        <f t="shared" si="1"/>
        <v>0</v>
      </c>
      <c r="S76" s="12">
        <f t="shared" si="4"/>
        <v>2.3822</v>
      </c>
    </row>
    <row r="77">
      <c r="A77" s="15">
        <f t="shared" si="3"/>
        <v>76</v>
      </c>
      <c r="B77" s="15" t="s">
        <v>19</v>
      </c>
      <c r="C77" s="15">
        <v>34.0</v>
      </c>
      <c r="D77" s="15" t="s">
        <v>4054</v>
      </c>
      <c r="E77" s="15" t="s">
        <v>5565</v>
      </c>
      <c r="F77" s="15" t="s">
        <v>2660</v>
      </c>
      <c r="G77" s="15">
        <v>0.0</v>
      </c>
      <c r="H77" s="15" t="s">
        <v>913</v>
      </c>
      <c r="I77" s="15" t="s">
        <v>22</v>
      </c>
      <c r="J77" s="15" t="s">
        <v>1150</v>
      </c>
      <c r="K77" s="15" t="s">
        <v>39</v>
      </c>
      <c r="L77" s="16">
        <v>0.0</v>
      </c>
      <c r="M77" s="16">
        <v>0.5</v>
      </c>
      <c r="N77" s="16">
        <v>0.5</v>
      </c>
      <c r="O77" s="17">
        <v>45266.0</v>
      </c>
      <c r="P77" s="18">
        <v>1.75</v>
      </c>
      <c r="Q77" s="15" t="s">
        <v>70</v>
      </c>
      <c r="R77" s="19">
        <f t="shared" si="1"/>
        <v>0</v>
      </c>
      <c r="S77" s="19">
        <f t="shared" si="4"/>
        <v>2.3822</v>
      </c>
    </row>
    <row r="78">
      <c r="A78" s="8">
        <f t="shared" si="3"/>
        <v>77</v>
      </c>
      <c r="B78" s="8" t="s">
        <v>19</v>
      </c>
      <c r="C78" s="8">
        <v>7.0</v>
      </c>
      <c r="D78" s="8" t="s">
        <v>4055</v>
      </c>
      <c r="E78" s="8" t="s">
        <v>5565</v>
      </c>
      <c r="F78" s="8" t="s">
        <v>2660</v>
      </c>
      <c r="G78" s="8">
        <v>0.0</v>
      </c>
      <c r="H78" s="8" t="s">
        <v>248</v>
      </c>
      <c r="I78" s="8" t="s">
        <v>22</v>
      </c>
      <c r="J78" s="8" t="s">
        <v>892</v>
      </c>
      <c r="K78" s="8" t="s">
        <v>24</v>
      </c>
      <c r="L78" s="9">
        <v>0.0</v>
      </c>
      <c r="M78" s="9">
        <v>0.2</v>
      </c>
      <c r="N78" s="9">
        <v>0.2</v>
      </c>
      <c r="O78" s="10">
        <v>45266.0</v>
      </c>
      <c r="P78" s="11">
        <v>1.8</v>
      </c>
      <c r="Q78" s="8" t="s">
        <v>25</v>
      </c>
      <c r="R78" s="12">
        <f t="shared" si="1"/>
        <v>-0.2</v>
      </c>
      <c r="S78" s="12">
        <f t="shared" si="4"/>
        <v>2.1822</v>
      </c>
    </row>
    <row r="79">
      <c r="A79" s="15">
        <f t="shared" si="3"/>
        <v>78</v>
      </c>
      <c r="B79" s="15" t="s">
        <v>19</v>
      </c>
      <c r="C79" s="15">
        <v>0.0</v>
      </c>
      <c r="D79" s="15" t="s">
        <v>4056</v>
      </c>
      <c r="E79" s="15" t="s">
        <v>5564</v>
      </c>
      <c r="F79" s="15" t="s">
        <v>2556</v>
      </c>
      <c r="G79" s="15"/>
      <c r="H79" s="15" t="s">
        <v>82</v>
      </c>
      <c r="I79" s="15" t="s">
        <v>598</v>
      </c>
      <c r="J79" s="15" t="s">
        <v>225</v>
      </c>
      <c r="K79" s="15" t="s">
        <v>39</v>
      </c>
      <c r="L79" s="16">
        <v>0.5</v>
      </c>
      <c r="M79" s="16">
        <v>0.25</v>
      </c>
      <c r="N79" s="16">
        <v>0.25</v>
      </c>
      <c r="O79" s="17">
        <v>45266.0</v>
      </c>
      <c r="P79" s="18">
        <v>1.75</v>
      </c>
      <c r="Q79" s="15" t="s">
        <v>33</v>
      </c>
      <c r="R79" s="19">
        <f t="shared" si="1"/>
        <v>0.1875</v>
      </c>
      <c r="S79" s="19">
        <f t="shared" si="4"/>
        <v>2.3697</v>
      </c>
    </row>
    <row r="80">
      <c r="A80" s="8">
        <f t="shared" si="3"/>
        <v>79</v>
      </c>
      <c r="B80" s="8" t="s">
        <v>19</v>
      </c>
      <c r="C80" s="8">
        <v>19.0</v>
      </c>
      <c r="D80" s="8" t="s">
        <v>4057</v>
      </c>
      <c r="E80" s="8" t="s">
        <v>5565</v>
      </c>
      <c r="F80" s="8" t="s">
        <v>2660</v>
      </c>
      <c r="G80" s="8">
        <v>0.0</v>
      </c>
      <c r="H80" s="8" t="s">
        <v>1031</v>
      </c>
      <c r="I80" s="8" t="s">
        <v>22</v>
      </c>
      <c r="J80" s="8" t="s">
        <v>1150</v>
      </c>
      <c r="K80" s="8" t="s">
        <v>24</v>
      </c>
      <c r="L80" s="9">
        <v>0.0</v>
      </c>
      <c r="M80" s="9">
        <v>0.8</v>
      </c>
      <c r="N80" s="9">
        <v>0.8</v>
      </c>
      <c r="O80" s="54">
        <v>45266.0</v>
      </c>
      <c r="P80" s="11">
        <v>1.7</v>
      </c>
      <c r="Q80" s="8" t="s">
        <v>33</v>
      </c>
      <c r="R80" s="12">
        <f t="shared" si="1"/>
        <v>0.56</v>
      </c>
      <c r="S80" s="12">
        <f t="shared" si="4"/>
        <v>2.9297</v>
      </c>
    </row>
    <row r="81">
      <c r="A81" s="15">
        <f t="shared" si="3"/>
        <v>80</v>
      </c>
      <c r="B81" s="15" t="s">
        <v>19</v>
      </c>
      <c r="C81" s="15">
        <v>67.0</v>
      </c>
      <c r="D81" s="15" t="s">
        <v>4058</v>
      </c>
      <c r="E81" s="15" t="s">
        <v>5565</v>
      </c>
      <c r="F81" s="15" t="s">
        <v>2660</v>
      </c>
      <c r="G81" s="15">
        <v>0.0</v>
      </c>
      <c r="H81" s="15" t="s">
        <v>233</v>
      </c>
      <c r="I81" s="15" t="s">
        <v>22</v>
      </c>
      <c r="J81" s="15" t="s">
        <v>892</v>
      </c>
      <c r="K81" s="15" t="s">
        <v>24</v>
      </c>
      <c r="L81" s="16">
        <v>0.0</v>
      </c>
      <c r="M81" s="16">
        <v>1.0</v>
      </c>
      <c r="N81" s="16">
        <v>1.0</v>
      </c>
      <c r="O81" s="55">
        <v>45266.0</v>
      </c>
      <c r="P81" s="18">
        <v>1.7</v>
      </c>
      <c r="Q81" s="15" t="s">
        <v>70</v>
      </c>
      <c r="R81" s="19">
        <f t="shared" si="1"/>
        <v>0</v>
      </c>
      <c r="S81" s="19">
        <f t="shared" si="4"/>
        <v>2.9297</v>
      </c>
    </row>
    <row r="82">
      <c r="A82" s="8">
        <f t="shared" si="3"/>
        <v>81</v>
      </c>
      <c r="B82" s="8" t="s">
        <v>19</v>
      </c>
      <c r="C82" s="8">
        <v>59.0</v>
      </c>
      <c r="D82" s="8" t="s">
        <v>4059</v>
      </c>
      <c r="E82" s="8" t="s">
        <v>5564</v>
      </c>
      <c r="F82" s="8" t="s">
        <v>2556</v>
      </c>
      <c r="G82" s="8">
        <v>-3.0</v>
      </c>
      <c r="H82" s="8" t="s">
        <v>248</v>
      </c>
      <c r="I82" s="8" t="s">
        <v>22</v>
      </c>
      <c r="J82" s="8" t="s">
        <v>225</v>
      </c>
      <c r="K82" s="8" t="s">
        <v>24</v>
      </c>
      <c r="L82" s="9">
        <v>0.5</v>
      </c>
      <c r="M82" s="9">
        <v>0.4</v>
      </c>
      <c r="N82" s="9">
        <v>0.4</v>
      </c>
      <c r="O82" s="54">
        <v>45266.0</v>
      </c>
      <c r="P82" s="11">
        <v>1.75</v>
      </c>
      <c r="Q82" s="8" t="s">
        <v>33</v>
      </c>
      <c r="R82" s="12">
        <f t="shared" si="1"/>
        <v>0.3</v>
      </c>
      <c r="S82" s="12">
        <f t="shared" si="4"/>
        <v>3.2297</v>
      </c>
    </row>
    <row r="83">
      <c r="A83" s="15">
        <f t="shared" si="3"/>
        <v>82</v>
      </c>
      <c r="B83" s="15" t="s">
        <v>19</v>
      </c>
      <c r="C83" s="15">
        <v>77.0</v>
      </c>
      <c r="D83" s="15" t="s">
        <v>4060</v>
      </c>
      <c r="E83" s="15" t="s">
        <v>5564</v>
      </c>
      <c r="F83" s="15" t="s">
        <v>2556</v>
      </c>
      <c r="G83" s="15">
        <v>-1.0</v>
      </c>
      <c r="H83" s="15" t="s">
        <v>248</v>
      </c>
      <c r="I83" s="15" t="s">
        <v>22</v>
      </c>
      <c r="J83" s="15" t="s">
        <v>1023</v>
      </c>
      <c r="K83" s="15" t="s">
        <v>24</v>
      </c>
      <c r="L83" s="16">
        <f>0.5</f>
        <v>0.5</v>
      </c>
      <c r="M83" s="16">
        <v>0.1</v>
      </c>
      <c r="N83" s="16">
        <v>0.1</v>
      </c>
      <c r="O83" s="55">
        <v>45266.0</v>
      </c>
      <c r="P83" s="18">
        <v>6.5</v>
      </c>
      <c r="Q83" s="15" t="s">
        <v>25</v>
      </c>
      <c r="R83" s="19">
        <f t="shared" si="1"/>
        <v>-0.1</v>
      </c>
      <c r="S83" s="19">
        <f t="shared" si="4"/>
        <v>3.1297</v>
      </c>
    </row>
    <row r="84">
      <c r="A84" s="8">
        <f t="shared" si="3"/>
        <v>83</v>
      </c>
      <c r="B84" s="8" t="s">
        <v>19</v>
      </c>
      <c r="C84" s="8">
        <v>38.0</v>
      </c>
      <c r="D84" s="8" t="s">
        <v>4061</v>
      </c>
      <c r="E84" s="8" t="s">
        <v>5564</v>
      </c>
      <c r="F84" s="8" t="s">
        <v>2556</v>
      </c>
      <c r="G84" s="8">
        <v>0.0</v>
      </c>
      <c r="H84" s="8" t="s">
        <v>187</v>
      </c>
      <c r="I84" s="8" t="s">
        <v>22</v>
      </c>
      <c r="J84" s="8" t="s">
        <v>225</v>
      </c>
      <c r="K84" s="8" t="s">
        <v>24</v>
      </c>
      <c r="L84" s="9">
        <v>0.5</v>
      </c>
      <c r="M84" s="9">
        <v>0.2</v>
      </c>
      <c r="N84" s="9">
        <v>0.2</v>
      </c>
      <c r="O84" s="10">
        <v>45267.0</v>
      </c>
      <c r="P84" s="11">
        <v>1.75</v>
      </c>
      <c r="Q84" s="8" t="s">
        <v>33</v>
      </c>
      <c r="R84" s="12">
        <f t="shared" si="1"/>
        <v>0.15</v>
      </c>
      <c r="S84" s="12">
        <f t="shared" si="4"/>
        <v>3.2797</v>
      </c>
    </row>
    <row r="85">
      <c r="A85" s="15">
        <f t="shared" si="3"/>
        <v>84</v>
      </c>
      <c r="B85" s="15" t="s">
        <v>19</v>
      </c>
      <c r="C85" s="15">
        <v>78.0</v>
      </c>
      <c r="D85" s="15" t="s">
        <v>4062</v>
      </c>
      <c r="E85" s="15" t="s">
        <v>5565</v>
      </c>
      <c r="F85" s="15" t="s">
        <v>2660</v>
      </c>
      <c r="G85" s="15">
        <v>2</v>
      </c>
      <c r="H85" s="15" t="s">
        <v>624</v>
      </c>
      <c r="I85" s="15" t="s">
        <v>22</v>
      </c>
      <c r="J85" s="15" t="s">
        <v>892</v>
      </c>
      <c r="K85" s="15" t="s">
        <v>24</v>
      </c>
      <c r="L85" s="16">
        <v>0.0</v>
      </c>
      <c r="M85" s="16">
        <v>0.5</v>
      </c>
      <c r="N85" s="16">
        <v>0.5</v>
      </c>
      <c r="O85" s="17">
        <v>45267.0</v>
      </c>
      <c r="P85" s="18">
        <v>1.725</v>
      </c>
      <c r="Q85" s="15" t="s">
        <v>70</v>
      </c>
      <c r="R85" s="19">
        <f t="shared" si="1"/>
        <v>0</v>
      </c>
      <c r="S85" s="19">
        <f t="shared" si="4"/>
        <v>3.2797</v>
      </c>
    </row>
    <row r="86">
      <c r="A86" s="8">
        <f t="shared" si="3"/>
        <v>85</v>
      </c>
      <c r="B86" s="8" t="s">
        <v>40</v>
      </c>
      <c r="C86" s="8">
        <v>85.0</v>
      </c>
      <c r="D86" s="8" t="s">
        <v>4063</v>
      </c>
      <c r="E86" s="8"/>
      <c r="F86" s="8"/>
      <c r="G86" s="8"/>
      <c r="H86" s="8" t="s">
        <v>82</v>
      </c>
      <c r="I86" s="8" t="s">
        <v>22</v>
      </c>
      <c r="J86" s="8" t="s">
        <v>2939</v>
      </c>
      <c r="K86" s="8" t="s">
        <v>24</v>
      </c>
      <c r="L86" s="9">
        <v>-7.5</v>
      </c>
      <c r="M86" s="9">
        <v>0.5</v>
      </c>
      <c r="N86" s="9">
        <v>0.5</v>
      </c>
      <c r="O86" s="10">
        <v>45267.0</v>
      </c>
      <c r="P86" s="11">
        <v>1.75</v>
      </c>
      <c r="Q86" s="8" t="s">
        <v>25</v>
      </c>
      <c r="R86" s="12">
        <f t="shared" si="1"/>
        <v>-0.5</v>
      </c>
      <c r="S86" s="12">
        <f t="shared" si="4"/>
        <v>2.7797</v>
      </c>
    </row>
    <row r="87">
      <c r="A87" s="15">
        <f t="shared" si="3"/>
        <v>86</v>
      </c>
      <c r="B87" s="15" t="s">
        <v>19</v>
      </c>
      <c r="C87" s="15">
        <v>29.0</v>
      </c>
      <c r="D87" s="15" t="s">
        <v>4064</v>
      </c>
      <c r="E87" s="15" t="s">
        <v>5564</v>
      </c>
      <c r="F87" s="15" t="s">
        <v>2556</v>
      </c>
      <c r="G87" s="15">
        <f>1</f>
        <v>1</v>
      </c>
      <c r="H87" s="15" t="s">
        <v>157</v>
      </c>
      <c r="I87" s="15" t="s">
        <v>22</v>
      </c>
      <c r="J87" s="15" t="s">
        <v>225</v>
      </c>
      <c r="K87" s="15" t="s">
        <v>24</v>
      </c>
      <c r="L87" s="16">
        <v>0.5</v>
      </c>
      <c r="M87" s="16">
        <v>0.6</v>
      </c>
      <c r="N87" s="16">
        <v>0.51</v>
      </c>
      <c r="O87" s="17">
        <v>45267.0</v>
      </c>
      <c r="P87" s="18">
        <v>1.95</v>
      </c>
      <c r="Q87" s="15" t="s">
        <v>33</v>
      </c>
      <c r="R87" s="19">
        <f t="shared" si="1"/>
        <v>0.4845</v>
      </c>
      <c r="S87" s="19">
        <f t="shared" si="4"/>
        <v>3.2642</v>
      </c>
    </row>
    <row r="88">
      <c r="A88" s="8">
        <f t="shared" si="3"/>
        <v>87</v>
      </c>
      <c r="B88" s="8" t="s">
        <v>19</v>
      </c>
      <c r="C88" s="8">
        <v>79.0</v>
      </c>
      <c r="D88" s="8" t="s">
        <v>4065</v>
      </c>
      <c r="E88" s="8" t="s">
        <v>5564</v>
      </c>
      <c r="F88" s="8" t="s">
        <v>2660</v>
      </c>
      <c r="G88" s="8">
        <v>-1.0</v>
      </c>
      <c r="H88" s="8" t="s">
        <v>923</v>
      </c>
      <c r="I88" s="8" t="s">
        <v>22</v>
      </c>
      <c r="J88" s="8" t="s">
        <v>892</v>
      </c>
      <c r="K88" s="8" t="s">
        <v>24</v>
      </c>
      <c r="L88" s="9">
        <v>0.0</v>
      </c>
      <c r="M88" s="9">
        <v>0.8</v>
      </c>
      <c r="N88" s="9">
        <v>0.8</v>
      </c>
      <c r="O88" s="10">
        <v>45268.0</v>
      </c>
      <c r="P88" s="11">
        <v>2.3</v>
      </c>
      <c r="Q88" s="8" t="s">
        <v>70</v>
      </c>
      <c r="R88" s="12">
        <f t="shared" si="1"/>
        <v>0</v>
      </c>
      <c r="S88" s="12">
        <f t="shared" si="4"/>
        <v>3.2642</v>
      </c>
    </row>
    <row r="89">
      <c r="A89" s="15">
        <f t="shared" si="3"/>
        <v>88</v>
      </c>
      <c r="B89" s="15" t="s">
        <v>19</v>
      </c>
      <c r="C89" s="15">
        <v>45.0</v>
      </c>
      <c r="D89" s="15" t="s">
        <v>4066</v>
      </c>
      <c r="E89" s="15" t="s">
        <v>5564</v>
      </c>
      <c r="F89" s="15" t="s">
        <v>2556</v>
      </c>
      <c r="G89" s="15">
        <v>0.0</v>
      </c>
      <c r="H89" s="15" t="s">
        <v>167</v>
      </c>
      <c r="I89" s="15" t="s">
        <v>22</v>
      </c>
      <c r="J89" s="15" t="s">
        <v>225</v>
      </c>
      <c r="K89" s="15" t="s">
        <v>24</v>
      </c>
      <c r="L89" s="16">
        <v>0.5</v>
      </c>
      <c r="M89" s="16">
        <v>0.8</v>
      </c>
      <c r="N89" s="16">
        <v>0.8</v>
      </c>
      <c r="O89" s="17">
        <v>45268.0</v>
      </c>
      <c r="P89" s="18">
        <v>1.775</v>
      </c>
      <c r="Q89" s="15" t="s">
        <v>33</v>
      </c>
      <c r="R89" s="19">
        <f t="shared" si="1"/>
        <v>0.62</v>
      </c>
      <c r="S89" s="19">
        <f t="shared" si="4"/>
        <v>3.8842</v>
      </c>
    </row>
    <row r="90">
      <c r="A90" s="8">
        <f t="shared" si="3"/>
        <v>89</v>
      </c>
      <c r="B90" s="8" t="s">
        <v>19</v>
      </c>
      <c r="C90" s="8">
        <v>0.0</v>
      </c>
      <c r="D90" s="8" t="s">
        <v>4067</v>
      </c>
      <c r="E90" s="8" t="s">
        <v>5565</v>
      </c>
      <c r="F90" s="8" t="s">
        <v>2556</v>
      </c>
      <c r="G90" s="8">
        <v>0.0</v>
      </c>
      <c r="H90" s="8" t="s">
        <v>44</v>
      </c>
      <c r="I90" s="8" t="s">
        <v>598</v>
      </c>
      <c r="J90" s="8" t="s">
        <v>1847</v>
      </c>
      <c r="K90" s="8" t="s">
        <v>39</v>
      </c>
      <c r="L90" s="9">
        <v>-0.5</v>
      </c>
      <c r="M90" s="9">
        <v>0.15</v>
      </c>
      <c r="N90" s="9">
        <v>0.15</v>
      </c>
      <c r="O90" s="10">
        <v>45268.0</v>
      </c>
      <c r="P90" s="11">
        <v>1.95</v>
      </c>
      <c r="Q90" s="8" t="s">
        <v>25</v>
      </c>
      <c r="R90" s="12">
        <f t="shared" si="1"/>
        <v>-0.15</v>
      </c>
      <c r="S90" s="12">
        <f t="shared" si="4"/>
        <v>3.7342</v>
      </c>
    </row>
    <row r="91">
      <c r="A91" s="15">
        <f t="shared" si="3"/>
        <v>90</v>
      </c>
      <c r="B91" s="15" t="s">
        <v>19</v>
      </c>
      <c r="C91" s="15">
        <v>72.0</v>
      </c>
      <c r="D91" s="15" t="s">
        <v>4068</v>
      </c>
      <c r="E91" s="15" t="s">
        <v>5565</v>
      </c>
      <c r="F91" s="15" t="s">
        <v>2660</v>
      </c>
      <c r="G91" s="15">
        <v>-1.0</v>
      </c>
      <c r="H91" s="15" t="s">
        <v>124</v>
      </c>
      <c r="I91" s="15" t="s">
        <v>22</v>
      </c>
      <c r="J91" s="15" t="s">
        <v>892</v>
      </c>
      <c r="K91" s="15" t="s">
        <v>24</v>
      </c>
      <c r="L91" s="16">
        <v>0.0</v>
      </c>
      <c r="M91" s="16">
        <v>0.5</v>
      </c>
      <c r="N91" s="16">
        <v>0.5</v>
      </c>
      <c r="O91" s="17">
        <v>45268.0</v>
      </c>
      <c r="P91" s="18">
        <v>2.825</v>
      </c>
      <c r="Q91" s="15" t="s">
        <v>25</v>
      </c>
      <c r="R91" s="19">
        <f t="shared" si="1"/>
        <v>-0.5</v>
      </c>
      <c r="S91" s="19">
        <f t="shared" si="4"/>
        <v>3.2342</v>
      </c>
    </row>
    <row r="92">
      <c r="A92" s="8">
        <f t="shared" si="3"/>
        <v>91</v>
      </c>
      <c r="B92" s="8" t="s">
        <v>19</v>
      </c>
      <c r="C92" s="8">
        <v>60.0</v>
      </c>
      <c r="D92" s="8" t="s">
        <v>4069</v>
      </c>
      <c r="E92" s="8" t="s">
        <v>5564</v>
      </c>
      <c r="F92" s="8" t="s">
        <v>2660</v>
      </c>
      <c r="G92" s="8">
        <v>-2.0</v>
      </c>
      <c r="H92" s="8" t="s">
        <v>273</v>
      </c>
      <c r="I92" s="8" t="s">
        <v>22</v>
      </c>
      <c r="J92" s="8" t="s">
        <v>892</v>
      </c>
      <c r="K92" s="8" t="s">
        <v>24</v>
      </c>
      <c r="L92" s="9">
        <v>0.0</v>
      </c>
      <c r="M92" s="9">
        <v>1.0</v>
      </c>
      <c r="N92" s="9">
        <v>1.0</v>
      </c>
      <c r="O92" s="10">
        <v>45268.0</v>
      </c>
      <c r="P92" s="11">
        <v>2.0</v>
      </c>
      <c r="Q92" s="8" t="s">
        <v>33</v>
      </c>
      <c r="R92" s="12">
        <f t="shared" si="1"/>
        <v>1</v>
      </c>
      <c r="S92" s="12">
        <f t="shared" si="4"/>
        <v>4.2342</v>
      </c>
    </row>
    <row r="93">
      <c r="A93" s="15">
        <f t="shared" si="3"/>
        <v>92</v>
      </c>
      <c r="B93" s="15" t="s">
        <v>19</v>
      </c>
      <c r="C93" s="15">
        <v>63.0</v>
      </c>
      <c r="D93" s="15" t="s">
        <v>4070</v>
      </c>
      <c r="E93" s="15" t="s">
        <v>5564</v>
      </c>
      <c r="F93" s="15" t="s">
        <v>2660</v>
      </c>
      <c r="G93" s="15">
        <v>-1.0</v>
      </c>
      <c r="H93" s="15" t="s">
        <v>172</v>
      </c>
      <c r="I93" s="15" t="s">
        <v>22</v>
      </c>
      <c r="J93" s="15" t="s">
        <v>892</v>
      </c>
      <c r="K93" s="15" t="s">
        <v>39</v>
      </c>
      <c r="L93" s="16">
        <v>0.0</v>
      </c>
      <c r="M93" s="16">
        <v>0.6</v>
      </c>
      <c r="N93" s="16">
        <v>0.6</v>
      </c>
      <c r="O93" s="17">
        <v>45268.0</v>
      </c>
      <c r="P93" s="18">
        <v>1.7</v>
      </c>
      <c r="Q93" s="15" t="s">
        <v>70</v>
      </c>
      <c r="R93" s="19">
        <f t="shared" si="1"/>
        <v>0</v>
      </c>
      <c r="S93" s="19">
        <f t="shared" si="4"/>
        <v>4.2342</v>
      </c>
    </row>
    <row r="94">
      <c r="A94" s="8">
        <f t="shared" si="3"/>
        <v>93</v>
      </c>
      <c r="B94" s="8" t="s">
        <v>19</v>
      </c>
      <c r="C94" s="8">
        <v>44.0</v>
      </c>
      <c r="D94" s="8" t="s">
        <v>4071</v>
      </c>
      <c r="E94" s="8" t="s">
        <v>5564</v>
      </c>
      <c r="F94" s="8" t="s">
        <v>2556</v>
      </c>
      <c r="G94" s="8">
        <v>-1.0</v>
      </c>
      <c r="H94" s="8" t="s">
        <v>174</v>
      </c>
      <c r="I94" s="8" t="s">
        <v>22</v>
      </c>
      <c r="J94" s="8" t="s">
        <v>225</v>
      </c>
      <c r="K94" s="8" t="s">
        <v>24</v>
      </c>
      <c r="L94" s="9">
        <v>0.5</v>
      </c>
      <c r="M94" s="9">
        <v>0.6</v>
      </c>
      <c r="N94" s="9">
        <v>0.6</v>
      </c>
      <c r="O94" s="10">
        <v>45268.0</v>
      </c>
      <c r="P94" s="11">
        <v>1.75</v>
      </c>
      <c r="Q94" s="8" t="s">
        <v>25</v>
      </c>
      <c r="R94" s="12">
        <f t="shared" si="1"/>
        <v>-0.6</v>
      </c>
      <c r="S94" s="12">
        <f t="shared" si="4"/>
        <v>3.6342</v>
      </c>
    </row>
    <row r="95">
      <c r="A95" s="15">
        <f t="shared" si="3"/>
        <v>94</v>
      </c>
      <c r="B95" s="15" t="s">
        <v>19</v>
      </c>
      <c r="C95" s="15">
        <v>70.0</v>
      </c>
      <c r="D95" s="15" t="s">
        <v>4072</v>
      </c>
      <c r="E95" s="15" t="s">
        <v>5565</v>
      </c>
      <c r="F95" s="15" t="s">
        <v>2660</v>
      </c>
      <c r="G95" s="15">
        <v>-1.0</v>
      </c>
      <c r="H95" s="15" t="s">
        <v>93</v>
      </c>
      <c r="I95" s="15" t="s">
        <v>22</v>
      </c>
      <c r="J95" s="15" t="s">
        <v>892</v>
      </c>
      <c r="K95" s="15" t="s">
        <v>24</v>
      </c>
      <c r="L95" s="16">
        <v>0.0</v>
      </c>
      <c r="M95" s="16">
        <v>0.6</v>
      </c>
      <c r="N95" s="16">
        <v>0.6</v>
      </c>
      <c r="O95" s="17">
        <v>45269.0</v>
      </c>
      <c r="P95" s="18">
        <v>2.05</v>
      </c>
      <c r="Q95" s="15" t="s">
        <v>33</v>
      </c>
      <c r="R95" s="19">
        <f t="shared" si="1"/>
        <v>0.63</v>
      </c>
      <c r="S95" s="19">
        <f t="shared" si="4"/>
        <v>4.2642</v>
      </c>
    </row>
    <row r="96">
      <c r="A96" s="8">
        <f t="shared" si="3"/>
        <v>95</v>
      </c>
      <c r="B96" s="8" t="s">
        <v>19</v>
      </c>
      <c r="C96" s="8">
        <v>60.0</v>
      </c>
      <c r="D96" s="8" t="s">
        <v>4073</v>
      </c>
      <c r="E96" s="8" t="s">
        <v>5564</v>
      </c>
      <c r="F96" s="8" t="s">
        <v>2660</v>
      </c>
      <c r="G96" s="8">
        <v>2</v>
      </c>
      <c r="H96" s="8" t="s">
        <v>218</v>
      </c>
      <c r="I96" s="8" t="s">
        <v>22</v>
      </c>
      <c r="J96" s="8" t="s">
        <v>892</v>
      </c>
      <c r="K96" s="8" t="s">
        <v>24</v>
      </c>
      <c r="L96" s="9">
        <v>0.0</v>
      </c>
      <c r="M96" s="9">
        <v>0.8</v>
      </c>
      <c r="N96" s="9">
        <v>0.8</v>
      </c>
      <c r="O96" s="10">
        <v>45269.0</v>
      </c>
      <c r="P96" s="11">
        <v>1.85</v>
      </c>
      <c r="Q96" s="8" t="s">
        <v>25</v>
      </c>
      <c r="R96" s="12">
        <f t="shared" si="1"/>
        <v>-0.8</v>
      </c>
      <c r="S96" s="12">
        <f t="shared" si="4"/>
        <v>3.4642</v>
      </c>
    </row>
    <row r="97">
      <c r="A97" s="15">
        <f t="shared" si="3"/>
        <v>96</v>
      </c>
      <c r="B97" s="15" t="s">
        <v>19</v>
      </c>
      <c r="C97" s="15">
        <v>32.0</v>
      </c>
      <c r="D97" s="15" t="s">
        <v>4074</v>
      </c>
      <c r="E97" s="15" t="s">
        <v>5565</v>
      </c>
      <c r="F97" s="15" t="s">
        <v>2660</v>
      </c>
      <c r="G97" s="15">
        <v>0.0</v>
      </c>
      <c r="H97" s="15" t="s">
        <v>93</v>
      </c>
      <c r="I97" s="15" t="s">
        <v>22</v>
      </c>
      <c r="J97" s="15" t="s">
        <v>1150</v>
      </c>
      <c r="K97" s="15" t="s">
        <v>24</v>
      </c>
      <c r="L97" s="16">
        <v>0.0</v>
      </c>
      <c r="M97" s="16">
        <v>0.8</v>
      </c>
      <c r="N97" s="16">
        <v>0.8</v>
      </c>
      <c r="O97" s="55">
        <v>45269.0</v>
      </c>
      <c r="P97" s="18">
        <v>1.775</v>
      </c>
      <c r="Q97" s="15" t="s">
        <v>70</v>
      </c>
      <c r="R97" s="19">
        <f t="shared" si="1"/>
        <v>0</v>
      </c>
      <c r="S97" s="19">
        <f t="shared" si="4"/>
        <v>3.4642</v>
      </c>
    </row>
    <row r="98">
      <c r="A98" s="8">
        <f t="shared" si="3"/>
        <v>97</v>
      </c>
      <c r="B98" s="8" t="s">
        <v>19</v>
      </c>
      <c r="C98" s="8">
        <v>28.0</v>
      </c>
      <c r="D98" s="8" t="s">
        <v>4075</v>
      </c>
      <c r="E98" s="8" t="s">
        <v>5565</v>
      </c>
      <c r="F98" s="8" t="s">
        <v>2660</v>
      </c>
      <c r="G98" s="8">
        <v>0.0</v>
      </c>
      <c r="H98" s="8" t="s">
        <v>612</v>
      </c>
      <c r="I98" s="8" t="s">
        <v>22</v>
      </c>
      <c r="J98" s="8" t="s">
        <v>892</v>
      </c>
      <c r="K98" s="8" t="s">
        <v>24</v>
      </c>
      <c r="L98" s="9">
        <v>0.0</v>
      </c>
      <c r="M98" s="9">
        <v>1.0</v>
      </c>
      <c r="N98" s="9">
        <v>1.0</v>
      </c>
      <c r="O98" s="10">
        <v>45269.0</v>
      </c>
      <c r="P98" s="11">
        <v>1.9</v>
      </c>
      <c r="Q98" s="8" t="s">
        <v>33</v>
      </c>
      <c r="R98" s="12">
        <f t="shared" si="1"/>
        <v>0.9</v>
      </c>
      <c r="S98" s="12">
        <f t="shared" si="4"/>
        <v>4.3642</v>
      </c>
    </row>
    <row r="99">
      <c r="A99" s="15">
        <f t="shared" si="3"/>
        <v>98</v>
      </c>
      <c r="B99" s="15" t="s">
        <v>19</v>
      </c>
      <c r="C99" s="15">
        <v>55.0</v>
      </c>
      <c r="D99" s="15" t="s">
        <v>4076</v>
      </c>
      <c r="E99" s="15" t="s">
        <v>5565</v>
      </c>
      <c r="F99" s="15" t="s">
        <v>2556</v>
      </c>
      <c r="G99" s="15">
        <v>0.0</v>
      </c>
      <c r="H99" s="15" t="s">
        <v>93</v>
      </c>
      <c r="I99" s="15" t="s">
        <v>22</v>
      </c>
      <c r="J99" s="15" t="s">
        <v>225</v>
      </c>
      <c r="K99" s="15" t="s">
        <v>24</v>
      </c>
      <c r="L99" s="16">
        <v>0.25</v>
      </c>
      <c r="M99" s="16">
        <v>0.6</v>
      </c>
      <c r="N99" s="16">
        <v>0.6</v>
      </c>
      <c r="O99" s="17">
        <v>45269.0</v>
      </c>
      <c r="P99" s="18">
        <v>1.09</v>
      </c>
      <c r="Q99" s="15" t="s">
        <v>33</v>
      </c>
      <c r="R99" s="19">
        <f t="shared" si="1"/>
        <v>0.054</v>
      </c>
      <c r="S99" s="19">
        <f t="shared" si="4"/>
        <v>4.4182</v>
      </c>
    </row>
    <row r="100">
      <c r="A100" s="8">
        <f t="shared" si="3"/>
        <v>99</v>
      </c>
      <c r="B100" s="8" t="s">
        <v>40</v>
      </c>
      <c r="C100" s="8">
        <v>65.0</v>
      </c>
      <c r="D100" s="8" t="s">
        <v>4077</v>
      </c>
      <c r="E100" s="8" t="s">
        <v>5565</v>
      </c>
      <c r="F100" s="8" t="s">
        <v>2556</v>
      </c>
      <c r="G100" s="8">
        <v>0.0</v>
      </c>
      <c r="H100" s="8" t="s">
        <v>93</v>
      </c>
      <c r="I100" s="8" t="s">
        <v>22</v>
      </c>
      <c r="J100" s="8" t="s">
        <v>1847</v>
      </c>
      <c r="K100" s="8" t="s">
        <v>39</v>
      </c>
      <c r="L100" s="9">
        <v>-0.5</v>
      </c>
      <c r="M100" s="9">
        <v>0.1</v>
      </c>
      <c r="N100" s="9">
        <v>0.1</v>
      </c>
      <c r="O100" s="10">
        <v>45269.0</v>
      </c>
      <c r="P100" s="11">
        <v>1.8</v>
      </c>
      <c r="Q100" s="8" t="s">
        <v>33</v>
      </c>
      <c r="R100" s="12">
        <f t="shared" si="1"/>
        <v>0.08</v>
      </c>
      <c r="S100" s="12">
        <f t="shared" si="4"/>
        <v>4.4982</v>
      </c>
    </row>
    <row r="101">
      <c r="A101" s="15">
        <f t="shared" si="3"/>
        <v>100</v>
      </c>
      <c r="B101" s="15" t="s">
        <v>19</v>
      </c>
      <c r="C101" s="15">
        <v>68.0</v>
      </c>
      <c r="D101" s="15" t="s">
        <v>4078</v>
      </c>
      <c r="E101" s="15" t="s">
        <v>5564</v>
      </c>
      <c r="F101" s="15" t="s">
        <v>2660</v>
      </c>
      <c r="G101" s="15">
        <v>0.0</v>
      </c>
      <c r="H101" s="15" t="s">
        <v>115</v>
      </c>
      <c r="I101" s="15" t="s">
        <v>22</v>
      </c>
      <c r="J101" s="15" t="s">
        <v>892</v>
      </c>
      <c r="K101" s="15" t="s">
        <v>24</v>
      </c>
      <c r="L101" s="16">
        <v>0.0</v>
      </c>
      <c r="M101" s="16">
        <v>0.5</v>
      </c>
      <c r="N101" s="16">
        <v>0.5</v>
      </c>
      <c r="O101" s="17">
        <v>45269.0</v>
      </c>
      <c r="P101" s="18">
        <v>2.2</v>
      </c>
      <c r="Q101" s="15" t="s">
        <v>70</v>
      </c>
      <c r="R101" s="19">
        <f t="shared" si="1"/>
        <v>0</v>
      </c>
      <c r="S101" s="19">
        <f t="shared" si="4"/>
        <v>4.4982</v>
      </c>
    </row>
    <row r="102">
      <c r="A102" s="8">
        <f t="shared" si="3"/>
        <v>101</v>
      </c>
      <c r="B102" s="8" t="s">
        <v>19</v>
      </c>
      <c r="C102" s="8">
        <v>67.0</v>
      </c>
      <c r="D102" s="8" t="s">
        <v>4079</v>
      </c>
      <c r="E102" s="8" t="s">
        <v>5564</v>
      </c>
      <c r="F102" s="8" t="s">
        <v>2660</v>
      </c>
      <c r="G102" s="8">
        <v>-1.0</v>
      </c>
      <c r="H102" s="8" t="s">
        <v>48</v>
      </c>
      <c r="I102" s="8" t="s">
        <v>22</v>
      </c>
      <c r="J102" s="8" t="s">
        <v>892</v>
      </c>
      <c r="K102" s="8" t="s">
        <v>24</v>
      </c>
      <c r="L102" s="9">
        <v>0.0</v>
      </c>
      <c r="M102" s="9">
        <v>0.6</v>
      </c>
      <c r="N102" s="9">
        <v>0.6</v>
      </c>
      <c r="O102" s="10">
        <v>45269.0</v>
      </c>
      <c r="P102" s="11">
        <v>1.9</v>
      </c>
      <c r="Q102" s="8" t="s">
        <v>70</v>
      </c>
      <c r="R102" s="12">
        <f t="shared" si="1"/>
        <v>0</v>
      </c>
      <c r="S102" s="12">
        <f t="shared" si="4"/>
        <v>4.4982</v>
      </c>
    </row>
    <row r="103">
      <c r="A103" s="15">
        <f t="shared" si="3"/>
        <v>102</v>
      </c>
      <c r="B103" s="15" t="s">
        <v>19</v>
      </c>
      <c r="C103" s="15">
        <v>38.0</v>
      </c>
      <c r="D103" s="15" t="s">
        <v>4080</v>
      </c>
      <c r="E103" s="15" t="s">
        <v>5564</v>
      </c>
      <c r="F103" s="15" t="s">
        <v>2660</v>
      </c>
      <c r="G103" s="15">
        <v>0.0</v>
      </c>
      <c r="H103" s="15" t="s">
        <v>913</v>
      </c>
      <c r="I103" s="15" t="s">
        <v>22</v>
      </c>
      <c r="J103" s="15" t="s">
        <v>892</v>
      </c>
      <c r="K103" s="15" t="s">
        <v>24</v>
      </c>
      <c r="L103" s="16">
        <v>0.0</v>
      </c>
      <c r="M103" s="16">
        <v>0.6</v>
      </c>
      <c r="N103" s="16">
        <v>0.03</v>
      </c>
      <c r="O103" s="17">
        <v>45269.0</v>
      </c>
      <c r="P103" s="18">
        <v>1.85</v>
      </c>
      <c r="Q103" s="15" t="s">
        <v>25</v>
      </c>
      <c r="R103" s="19">
        <f t="shared" si="1"/>
        <v>-0.03</v>
      </c>
      <c r="S103" s="19">
        <f t="shared" si="4"/>
        <v>4.4682</v>
      </c>
    </row>
    <row r="104">
      <c r="A104" s="8">
        <f t="shared" si="3"/>
        <v>103</v>
      </c>
      <c r="B104" s="8" t="s">
        <v>19</v>
      </c>
      <c r="C104" s="8">
        <v>75.0</v>
      </c>
      <c r="D104" s="8" t="s">
        <v>4081</v>
      </c>
      <c r="E104" s="8" t="s">
        <v>5565</v>
      </c>
      <c r="F104" s="8" t="s">
        <v>2660</v>
      </c>
      <c r="G104" s="8">
        <v>-1.0</v>
      </c>
      <c r="H104" s="8" t="s">
        <v>877</v>
      </c>
      <c r="I104" s="8" t="s">
        <v>22</v>
      </c>
      <c r="J104" s="8" t="s">
        <v>892</v>
      </c>
      <c r="K104" s="8" t="s">
        <v>24</v>
      </c>
      <c r="L104" s="9">
        <v>0.0</v>
      </c>
      <c r="M104" s="9">
        <v>0.2</v>
      </c>
      <c r="N104" s="9">
        <v>0.2</v>
      </c>
      <c r="O104" s="10">
        <v>45269.0</v>
      </c>
      <c r="P104" s="11">
        <v>1.7</v>
      </c>
      <c r="Q104" s="8" t="s">
        <v>70</v>
      </c>
      <c r="R104" s="12">
        <f t="shared" si="1"/>
        <v>0</v>
      </c>
      <c r="S104" s="12">
        <f t="shared" si="4"/>
        <v>4.4682</v>
      </c>
    </row>
    <row r="105">
      <c r="A105" s="15">
        <f t="shared" si="3"/>
        <v>104</v>
      </c>
      <c r="B105" s="15" t="s">
        <v>19</v>
      </c>
      <c r="C105" s="15">
        <v>74.0</v>
      </c>
      <c r="D105" s="15" t="s">
        <v>4082</v>
      </c>
      <c r="E105" s="15" t="s">
        <v>5565</v>
      </c>
      <c r="F105" s="15" t="s">
        <v>2660</v>
      </c>
      <c r="G105" s="15">
        <f>1</f>
        <v>1</v>
      </c>
      <c r="H105" s="15" t="s">
        <v>44</v>
      </c>
      <c r="I105" s="15" t="s">
        <v>22</v>
      </c>
      <c r="J105" s="15" t="s">
        <v>892</v>
      </c>
      <c r="K105" s="15" t="s">
        <v>39</v>
      </c>
      <c r="L105" s="16">
        <v>0.0</v>
      </c>
      <c r="M105" s="16">
        <v>0.1</v>
      </c>
      <c r="N105" s="16">
        <v>0.1</v>
      </c>
      <c r="O105" s="55">
        <v>45269.0</v>
      </c>
      <c r="P105" s="18">
        <v>1.7</v>
      </c>
      <c r="Q105" s="15" t="s">
        <v>33</v>
      </c>
      <c r="R105" s="19">
        <f t="shared" si="1"/>
        <v>0.07</v>
      </c>
      <c r="S105" s="19">
        <f t="shared" si="4"/>
        <v>4.5382</v>
      </c>
    </row>
    <row r="106">
      <c r="A106" s="8">
        <f t="shared" si="3"/>
        <v>105</v>
      </c>
      <c r="B106" s="8" t="s">
        <v>19</v>
      </c>
      <c r="C106" s="8">
        <v>25.0</v>
      </c>
      <c r="D106" s="8" t="s">
        <v>4083</v>
      </c>
      <c r="E106" s="8" t="s">
        <v>5564</v>
      </c>
      <c r="F106" s="8" t="s">
        <v>2660</v>
      </c>
      <c r="G106" s="8">
        <v>0.0</v>
      </c>
      <c r="H106" s="8" t="s">
        <v>121</v>
      </c>
      <c r="I106" s="8" t="s">
        <v>22</v>
      </c>
      <c r="J106" s="8" t="s">
        <v>892</v>
      </c>
      <c r="K106" s="8" t="s">
        <v>24</v>
      </c>
      <c r="L106" s="9">
        <v>0.0</v>
      </c>
      <c r="M106" s="9">
        <v>0.75</v>
      </c>
      <c r="N106" s="9">
        <v>0.75</v>
      </c>
      <c r="O106" s="10">
        <v>45269.0</v>
      </c>
      <c r="P106" s="11">
        <v>1.8</v>
      </c>
      <c r="Q106" s="8" t="s">
        <v>33</v>
      </c>
      <c r="R106" s="12">
        <f t="shared" si="1"/>
        <v>0.6</v>
      </c>
      <c r="S106" s="12">
        <f t="shared" si="4"/>
        <v>5.1382</v>
      </c>
    </row>
    <row r="107">
      <c r="A107" s="15">
        <f t="shared" si="3"/>
        <v>106</v>
      </c>
      <c r="B107" s="15" t="s">
        <v>19</v>
      </c>
      <c r="C107" s="15">
        <v>14.0</v>
      </c>
      <c r="D107" s="15" t="s">
        <v>4084</v>
      </c>
      <c r="E107" s="15" t="s">
        <v>5564</v>
      </c>
      <c r="F107" s="15" t="s">
        <v>2556</v>
      </c>
      <c r="G107" s="15">
        <v>0.0</v>
      </c>
      <c r="H107" s="15" t="s">
        <v>66</v>
      </c>
      <c r="I107" s="15" t="s">
        <v>22</v>
      </c>
      <c r="J107" s="15" t="s">
        <v>1165</v>
      </c>
      <c r="K107" s="15" t="s">
        <v>24</v>
      </c>
      <c r="L107" s="16"/>
      <c r="M107" s="16">
        <v>0.1</v>
      </c>
      <c r="N107" s="16">
        <v>0.1</v>
      </c>
      <c r="O107" s="17">
        <v>45269.0</v>
      </c>
      <c r="P107" s="18">
        <v>6.0</v>
      </c>
      <c r="Q107" s="15" t="s">
        <v>25</v>
      </c>
      <c r="R107" s="19">
        <f t="shared" si="1"/>
        <v>-0.1</v>
      </c>
      <c r="S107" s="19">
        <f t="shared" si="4"/>
        <v>5.0382</v>
      </c>
    </row>
    <row r="108">
      <c r="A108" s="8">
        <f t="shared" si="3"/>
        <v>107</v>
      </c>
      <c r="B108" s="8" t="s">
        <v>19</v>
      </c>
      <c r="C108" s="8">
        <v>33.0</v>
      </c>
      <c r="D108" s="8" t="s">
        <v>4085</v>
      </c>
      <c r="E108" s="8" t="s">
        <v>5565</v>
      </c>
      <c r="F108" s="8" t="s">
        <v>2660</v>
      </c>
      <c r="G108" s="8">
        <v>0.0</v>
      </c>
      <c r="H108" s="8" t="s">
        <v>93</v>
      </c>
      <c r="I108" s="8" t="s">
        <v>22</v>
      </c>
      <c r="J108" s="8" t="s">
        <v>892</v>
      </c>
      <c r="K108" s="8" t="s">
        <v>39</v>
      </c>
      <c r="L108" s="9">
        <v>0.0</v>
      </c>
      <c r="M108" s="9">
        <v>0.25</v>
      </c>
      <c r="N108" s="9">
        <v>0.25</v>
      </c>
      <c r="O108" s="10">
        <v>45269.0</v>
      </c>
      <c r="P108" s="11">
        <v>1.8</v>
      </c>
      <c r="Q108" s="8" t="s">
        <v>33</v>
      </c>
      <c r="R108" s="12">
        <f t="shared" si="1"/>
        <v>0.2</v>
      </c>
      <c r="S108" s="12">
        <f t="shared" si="4"/>
        <v>5.2382</v>
      </c>
    </row>
    <row r="109">
      <c r="A109" s="15">
        <f t="shared" si="3"/>
        <v>108</v>
      </c>
      <c r="B109" s="15" t="s">
        <v>19</v>
      </c>
      <c r="C109" s="15">
        <v>31.0</v>
      </c>
      <c r="D109" s="15" t="s">
        <v>4086</v>
      </c>
      <c r="E109" s="15" t="s">
        <v>5565</v>
      </c>
      <c r="F109" s="15" t="s">
        <v>2660</v>
      </c>
      <c r="G109" s="15">
        <v>0.0</v>
      </c>
      <c r="H109" s="15" t="s">
        <v>66</v>
      </c>
      <c r="I109" s="15" t="s">
        <v>22</v>
      </c>
      <c r="J109" s="15" t="s">
        <v>1150</v>
      </c>
      <c r="K109" s="15" t="s">
        <v>24</v>
      </c>
      <c r="L109" s="16">
        <v>0.0</v>
      </c>
      <c r="M109" s="16">
        <v>0.25</v>
      </c>
      <c r="N109" s="16">
        <v>0.25</v>
      </c>
      <c r="O109" s="17">
        <v>45269.0</v>
      </c>
      <c r="P109" s="18">
        <v>1.725</v>
      </c>
      <c r="Q109" s="15" t="s">
        <v>70</v>
      </c>
      <c r="R109" s="19">
        <f t="shared" si="1"/>
        <v>0</v>
      </c>
      <c r="S109" s="19">
        <f t="shared" si="4"/>
        <v>5.2382</v>
      </c>
    </row>
    <row r="110">
      <c r="A110" s="8">
        <f t="shared" si="3"/>
        <v>109</v>
      </c>
      <c r="B110" s="8" t="s">
        <v>40</v>
      </c>
      <c r="C110" s="8">
        <v>35.0</v>
      </c>
      <c r="D110" s="8" t="s">
        <v>4087</v>
      </c>
      <c r="E110" s="8" t="s">
        <v>5565</v>
      </c>
      <c r="F110" s="8" t="s">
        <v>2556</v>
      </c>
      <c r="G110" s="8">
        <f t="shared" ref="G110:G111" si="7">1</f>
        <v>1</v>
      </c>
      <c r="H110" s="8" t="s">
        <v>42</v>
      </c>
      <c r="I110" s="8" t="s">
        <v>22</v>
      </c>
      <c r="J110" s="8" t="s">
        <v>225</v>
      </c>
      <c r="K110" s="8" t="s">
        <v>24</v>
      </c>
      <c r="L110" s="9">
        <v>0.25</v>
      </c>
      <c r="M110" s="9">
        <v>0.5</v>
      </c>
      <c r="N110" s="9">
        <v>0.5</v>
      </c>
      <c r="O110" s="10">
        <v>45270.0</v>
      </c>
      <c r="P110" s="11">
        <v>1.75</v>
      </c>
      <c r="Q110" s="8" t="s">
        <v>996</v>
      </c>
      <c r="R110" s="12">
        <f t="shared" si="1"/>
        <v>0.1875</v>
      </c>
      <c r="S110" s="12">
        <f t="shared" si="4"/>
        <v>5.4257</v>
      </c>
    </row>
    <row r="111">
      <c r="A111" s="15">
        <f t="shared" si="3"/>
        <v>110</v>
      </c>
      <c r="B111" s="15" t="s">
        <v>40</v>
      </c>
      <c r="C111" s="15">
        <v>56.0</v>
      </c>
      <c r="D111" s="15" t="s">
        <v>4088</v>
      </c>
      <c r="E111" s="15" t="s">
        <v>5564</v>
      </c>
      <c r="F111" s="15" t="s">
        <v>2660</v>
      </c>
      <c r="G111" s="15">
        <f t="shared" si="7"/>
        <v>1</v>
      </c>
      <c r="H111" s="15" t="s">
        <v>229</v>
      </c>
      <c r="I111" s="15" t="s">
        <v>22</v>
      </c>
      <c r="J111" s="15" t="s">
        <v>892</v>
      </c>
      <c r="K111" s="15" t="s">
        <v>24</v>
      </c>
      <c r="L111" s="16">
        <v>0.0</v>
      </c>
      <c r="M111" s="16">
        <v>0.6</v>
      </c>
      <c r="N111" s="16">
        <v>0.6</v>
      </c>
      <c r="O111" s="17">
        <v>45270.0</v>
      </c>
      <c r="P111" s="18">
        <v>1.8</v>
      </c>
      <c r="Q111" s="15" t="s">
        <v>33</v>
      </c>
      <c r="R111" s="19">
        <f t="shared" si="1"/>
        <v>0.48</v>
      </c>
      <c r="S111" s="19">
        <f t="shared" si="4"/>
        <v>5.9057</v>
      </c>
    </row>
    <row r="112">
      <c r="A112" s="8">
        <f t="shared" si="3"/>
        <v>111</v>
      </c>
      <c r="B112" s="8" t="s">
        <v>19</v>
      </c>
      <c r="C112" s="8">
        <v>20.0</v>
      </c>
      <c r="D112" s="8" t="s">
        <v>4089</v>
      </c>
      <c r="E112" s="8" t="s">
        <v>5564</v>
      </c>
      <c r="F112" s="8" t="s">
        <v>2556</v>
      </c>
      <c r="G112" s="8">
        <v>0.0</v>
      </c>
      <c r="H112" s="8" t="s">
        <v>229</v>
      </c>
      <c r="I112" s="8" t="s">
        <v>22</v>
      </c>
      <c r="J112" s="8" t="s">
        <v>225</v>
      </c>
      <c r="K112" s="8" t="s">
        <v>24</v>
      </c>
      <c r="L112" s="9">
        <v>0.25</v>
      </c>
      <c r="M112" s="9">
        <v>0.4</v>
      </c>
      <c r="N112" s="9">
        <v>0.4</v>
      </c>
      <c r="O112" s="10">
        <v>45270.0</v>
      </c>
      <c r="P112" s="11">
        <v>1.01</v>
      </c>
      <c r="Q112" s="8" t="s">
        <v>33</v>
      </c>
      <c r="R112" s="12">
        <f t="shared" si="1"/>
        <v>0.004</v>
      </c>
      <c r="S112" s="12">
        <f t="shared" si="4"/>
        <v>5.9097</v>
      </c>
    </row>
    <row r="113">
      <c r="A113" s="15">
        <f t="shared" si="3"/>
        <v>112</v>
      </c>
      <c r="B113" s="15" t="s">
        <v>19</v>
      </c>
      <c r="C113" s="15">
        <v>67.0</v>
      </c>
      <c r="D113" s="15" t="s">
        <v>4090</v>
      </c>
      <c r="E113" s="15" t="s">
        <v>5565</v>
      </c>
      <c r="F113" s="15" t="s">
        <v>2660</v>
      </c>
      <c r="G113" s="15">
        <v>-4.0</v>
      </c>
      <c r="H113" s="15" t="s">
        <v>229</v>
      </c>
      <c r="I113" s="15" t="s">
        <v>22</v>
      </c>
      <c r="J113" s="15" t="s">
        <v>892</v>
      </c>
      <c r="K113" s="15" t="s">
        <v>24</v>
      </c>
      <c r="L113" s="16">
        <v>0.0</v>
      </c>
      <c r="M113" s="16">
        <v>0.8</v>
      </c>
      <c r="N113" s="16">
        <v>0.8</v>
      </c>
      <c r="O113" s="17">
        <v>45270.0</v>
      </c>
      <c r="P113" s="18">
        <v>1.7</v>
      </c>
      <c r="Q113" s="15" t="s">
        <v>25</v>
      </c>
      <c r="R113" s="19">
        <f t="shared" si="1"/>
        <v>-0.8</v>
      </c>
      <c r="S113" s="19">
        <f t="shared" si="4"/>
        <v>5.1097</v>
      </c>
    </row>
    <row r="114">
      <c r="A114" s="8">
        <f t="shared" si="3"/>
        <v>113</v>
      </c>
      <c r="B114" s="8" t="s">
        <v>19</v>
      </c>
      <c r="C114" s="8">
        <v>41.0</v>
      </c>
      <c r="D114" s="8" t="s">
        <v>4091</v>
      </c>
      <c r="E114" s="8" t="s">
        <v>5565</v>
      </c>
      <c r="F114" s="8" t="s">
        <v>2556</v>
      </c>
      <c r="G114" s="8">
        <v>0.0</v>
      </c>
      <c r="H114" s="8" t="s">
        <v>229</v>
      </c>
      <c r="I114" s="8" t="s">
        <v>22</v>
      </c>
      <c r="J114" s="8" t="s">
        <v>225</v>
      </c>
      <c r="K114" s="8" t="s">
        <v>24</v>
      </c>
      <c r="L114" s="9">
        <v>0.5</v>
      </c>
      <c r="M114" s="9">
        <v>0.6</v>
      </c>
      <c r="N114" s="9">
        <v>0.6</v>
      </c>
      <c r="O114" s="10">
        <v>45270.0</v>
      </c>
      <c r="P114" s="11">
        <v>1.725</v>
      </c>
      <c r="Q114" s="8" t="s">
        <v>33</v>
      </c>
      <c r="R114" s="12">
        <f t="shared" si="1"/>
        <v>0.435</v>
      </c>
      <c r="S114" s="12">
        <f t="shared" si="4"/>
        <v>5.5447</v>
      </c>
    </row>
    <row r="115">
      <c r="A115" s="15">
        <f t="shared" si="3"/>
        <v>114</v>
      </c>
      <c r="B115" s="15" t="s">
        <v>40</v>
      </c>
      <c r="C115" s="15">
        <v>69.0</v>
      </c>
      <c r="D115" s="15" t="s">
        <v>4092</v>
      </c>
      <c r="E115" s="15" t="s">
        <v>5565</v>
      </c>
      <c r="F115" s="15" t="s">
        <v>2556</v>
      </c>
      <c r="G115" s="15">
        <v>0.0</v>
      </c>
      <c r="H115" s="15" t="s">
        <v>93</v>
      </c>
      <c r="I115" s="15" t="s">
        <v>22</v>
      </c>
      <c r="J115" s="15" t="s">
        <v>225</v>
      </c>
      <c r="K115" s="15" t="s">
        <v>1522</v>
      </c>
      <c r="L115" s="16">
        <v>0.25</v>
      </c>
      <c r="M115" s="16">
        <v>0.5</v>
      </c>
      <c r="N115" s="16">
        <v>0.5</v>
      </c>
      <c r="O115" s="17">
        <v>45270.0</v>
      </c>
      <c r="P115" s="18">
        <v>1.775</v>
      </c>
      <c r="Q115" s="15" t="s">
        <v>996</v>
      </c>
      <c r="R115" s="19">
        <f t="shared" si="1"/>
        <v>0.19375</v>
      </c>
      <c r="S115" s="19">
        <f t="shared" si="4"/>
        <v>5.73845</v>
      </c>
    </row>
    <row r="116">
      <c r="A116" s="8">
        <f t="shared" si="3"/>
        <v>115</v>
      </c>
      <c r="B116" s="8" t="s">
        <v>19</v>
      </c>
      <c r="C116" s="8">
        <v>27.0</v>
      </c>
      <c r="D116" s="8" t="s">
        <v>4093</v>
      </c>
      <c r="E116" s="8" t="s">
        <v>5564</v>
      </c>
      <c r="F116" s="8" t="s">
        <v>2660</v>
      </c>
      <c r="G116" s="8">
        <v>0.0</v>
      </c>
      <c r="H116" s="8" t="s">
        <v>806</v>
      </c>
      <c r="I116" s="8" t="s">
        <v>22</v>
      </c>
      <c r="J116" s="8" t="s">
        <v>892</v>
      </c>
      <c r="K116" s="8" t="s">
        <v>24</v>
      </c>
      <c r="L116" s="9">
        <v>0.0</v>
      </c>
      <c r="M116" s="9">
        <v>0.5</v>
      </c>
      <c r="N116" s="9">
        <v>0.5</v>
      </c>
      <c r="O116" s="10">
        <v>45270.0</v>
      </c>
      <c r="P116" s="11">
        <v>1.975</v>
      </c>
      <c r="Q116" s="8" t="s">
        <v>70</v>
      </c>
      <c r="R116" s="12">
        <f t="shared" si="1"/>
        <v>0</v>
      </c>
      <c r="S116" s="12">
        <f t="shared" si="4"/>
        <v>5.73845</v>
      </c>
    </row>
    <row r="117">
      <c r="A117" s="15">
        <f t="shared" si="3"/>
        <v>116</v>
      </c>
      <c r="B117" s="15" t="s">
        <v>19</v>
      </c>
      <c r="C117" s="15">
        <v>0.0</v>
      </c>
      <c r="D117" s="15" t="s">
        <v>4094</v>
      </c>
      <c r="E117" s="15"/>
      <c r="F117" s="15"/>
      <c r="G117" s="15"/>
      <c r="H117" s="15" t="s">
        <v>121</v>
      </c>
      <c r="I117" s="15" t="s">
        <v>598</v>
      </c>
      <c r="J117" s="15" t="s">
        <v>2634</v>
      </c>
      <c r="K117" s="15" t="s">
        <v>39</v>
      </c>
      <c r="L117" s="16"/>
      <c r="M117" s="16">
        <v>0.1</v>
      </c>
      <c r="N117" s="16">
        <v>0.1</v>
      </c>
      <c r="O117" s="17">
        <v>45270.0</v>
      </c>
      <c r="P117" s="18">
        <v>2.05</v>
      </c>
      <c r="Q117" s="15" t="s">
        <v>25</v>
      </c>
      <c r="R117" s="19">
        <f t="shared" si="1"/>
        <v>-0.1</v>
      </c>
      <c r="S117" s="19">
        <f t="shared" si="4"/>
        <v>5.63845</v>
      </c>
    </row>
    <row r="118">
      <c r="A118" s="8">
        <f t="shared" si="3"/>
        <v>117</v>
      </c>
      <c r="B118" s="8" t="s">
        <v>19</v>
      </c>
      <c r="C118" s="8">
        <v>27.0</v>
      </c>
      <c r="D118" s="8" t="s">
        <v>4095</v>
      </c>
      <c r="E118" s="8" t="s">
        <v>5564</v>
      </c>
      <c r="F118" s="8" t="s">
        <v>2556</v>
      </c>
      <c r="G118" s="8">
        <v>0.0</v>
      </c>
      <c r="H118" s="8" t="s">
        <v>42</v>
      </c>
      <c r="I118" s="8" t="s">
        <v>22</v>
      </c>
      <c r="J118" s="8" t="s">
        <v>225</v>
      </c>
      <c r="K118" s="8" t="s">
        <v>24</v>
      </c>
      <c r="L118" s="9">
        <v>0.5</v>
      </c>
      <c r="M118" s="9">
        <v>0.5</v>
      </c>
      <c r="N118" s="9">
        <v>0.5</v>
      </c>
      <c r="O118" s="10">
        <v>45270.0</v>
      </c>
      <c r="P118" s="11">
        <v>1.75</v>
      </c>
      <c r="Q118" s="8" t="s">
        <v>25</v>
      </c>
      <c r="R118" s="12">
        <f t="shared" si="1"/>
        <v>-0.5</v>
      </c>
      <c r="S118" s="12">
        <f t="shared" si="4"/>
        <v>5.13845</v>
      </c>
    </row>
    <row r="119">
      <c r="A119" s="15">
        <f t="shared" si="3"/>
        <v>118</v>
      </c>
      <c r="B119" s="15" t="s">
        <v>40</v>
      </c>
      <c r="C119" s="15">
        <v>30.0</v>
      </c>
      <c r="D119" s="15" t="s">
        <v>4096</v>
      </c>
      <c r="E119" s="15" t="s">
        <v>5564</v>
      </c>
      <c r="F119" s="15" t="s">
        <v>2660</v>
      </c>
      <c r="G119" s="15">
        <v>0.0</v>
      </c>
      <c r="H119" s="15" t="s">
        <v>873</v>
      </c>
      <c r="I119" s="15" t="s">
        <v>22</v>
      </c>
      <c r="J119" s="15" t="s">
        <v>1150</v>
      </c>
      <c r="K119" s="15" t="s">
        <v>24</v>
      </c>
      <c r="L119" s="16">
        <v>0.0</v>
      </c>
      <c r="M119" s="16">
        <v>0.2</v>
      </c>
      <c r="N119" s="16">
        <v>0.2</v>
      </c>
      <c r="O119" s="17">
        <v>45270.0</v>
      </c>
      <c r="P119" s="18">
        <v>1.875</v>
      </c>
      <c r="Q119" s="15" t="s">
        <v>70</v>
      </c>
      <c r="R119" s="19">
        <f t="shared" si="1"/>
        <v>0</v>
      </c>
      <c r="S119" s="19">
        <f t="shared" si="4"/>
        <v>5.13845</v>
      </c>
    </row>
    <row r="120">
      <c r="A120" s="8">
        <f t="shared" si="3"/>
        <v>119</v>
      </c>
      <c r="B120" s="8" t="s">
        <v>19</v>
      </c>
      <c r="C120" s="8">
        <v>0.0</v>
      </c>
      <c r="D120" s="8" t="s">
        <v>4097</v>
      </c>
      <c r="E120" s="8" t="s">
        <v>5564</v>
      </c>
      <c r="F120" s="8"/>
      <c r="G120" s="8"/>
      <c r="H120" s="8" t="s">
        <v>768</v>
      </c>
      <c r="I120" s="8" t="s">
        <v>598</v>
      </c>
      <c r="J120" s="8" t="s">
        <v>29</v>
      </c>
      <c r="K120" s="8" t="s">
        <v>39</v>
      </c>
      <c r="L120" s="9">
        <v>-6.5</v>
      </c>
      <c r="M120" s="9">
        <v>0.1</v>
      </c>
      <c r="N120" s="9">
        <v>0.1</v>
      </c>
      <c r="O120" s="10">
        <v>45270.0</v>
      </c>
      <c r="P120" s="11">
        <v>1.775</v>
      </c>
      <c r="Q120" s="8" t="s">
        <v>25</v>
      </c>
      <c r="R120" s="12">
        <f t="shared" si="1"/>
        <v>-0.1</v>
      </c>
      <c r="S120" s="12">
        <f t="shared" si="4"/>
        <v>5.03845</v>
      </c>
    </row>
    <row r="121">
      <c r="A121" s="15">
        <f t="shared" si="3"/>
        <v>120</v>
      </c>
      <c r="B121" s="15" t="s">
        <v>19</v>
      </c>
      <c r="C121" s="15">
        <v>13.0</v>
      </c>
      <c r="D121" s="15" t="s">
        <v>4098</v>
      </c>
      <c r="E121" s="15" t="s">
        <v>5564</v>
      </c>
      <c r="F121" s="15" t="s">
        <v>2556</v>
      </c>
      <c r="G121" s="15">
        <v>0.0</v>
      </c>
      <c r="H121" s="15" t="s">
        <v>952</v>
      </c>
      <c r="I121" s="15" t="s">
        <v>22</v>
      </c>
      <c r="J121" s="15" t="s">
        <v>225</v>
      </c>
      <c r="K121" s="15" t="s">
        <v>24</v>
      </c>
      <c r="L121" s="16">
        <v>0.5</v>
      </c>
      <c r="M121" s="16">
        <v>0.8</v>
      </c>
      <c r="N121" s="16">
        <v>0.8</v>
      </c>
      <c r="O121" s="17">
        <v>45270.0</v>
      </c>
      <c r="P121" s="18">
        <v>1.22</v>
      </c>
      <c r="Q121" s="15" t="s">
        <v>33</v>
      </c>
      <c r="R121" s="19">
        <f t="shared" si="1"/>
        <v>0.176</v>
      </c>
      <c r="S121" s="19">
        <f t="shared" si="4"/>
        <v>5.21445</v>
      </c>
    </row>
    <row r="122">
      <c r="A122" s="8">
        <f t="shared" si="3"/>
        <v>121</v>
      </c>
      <c r="B122" s="8" t="s">
        <v>40</v>
      </c>
      <c r="C122" s="8">
        <v>80.0</v>
      </c>
      <c r="D122" s="8" t="s">
        <v>4099</v>
      </c>
      <c r="E122" s="8" t="s">
        <v>5564</v>
      </c>
      <c r="F122" s="8" t="s">
        <v>2556</v>
      </c>
      <c r="G122" s="8">
        <v>-3.0</v>
      </c>
      <c r="H122" s="8" t="s">
        <v>106</v>
      </c>
      <c r="I122" s="8" t="s">
        <v>22</v>
      </c>
      <c r="J122" s="8" t="s">
        <v>225</v>
      </c>
      <c r="K122" s="8" t="s">
        <v>24</v>
      </c>
      <c r="L122" s="9">
        <v>0.5</v>
      </c>
      <c r="M122" s="9">
        <v>0.6</v>
      </c>
      <c r="N122" s="9">
        <v>0.08</v>
      </c>
      <c r="O122" s="10">
        <v>45270.0</v>
      </c>
      <c r="P122" s="11">
        <v>1.725</v>
      </c>
      <c r="Q122" s="8" t="s">
        <v>25</v>
      </c>
      <c r="R122" s="12">
        <f t="shared" si="1"/>
        <v>-0.08</v>
      </c>
      <c r="S122" s="12">
        <f t="shared" si="4"/>
        <v>5.13445</v>
      </c>
    </row>
    <row r="123">
      <c r="A123" s="15">
        <f t="shared" si="3"/>
        <v>122</v>
      </c>
      <c r="B123" s="15" t="s">
        <v>40</v>
      </c>
      <c r="C123" s="15">
        <v>80.0</v>
      </c>
      <c r="D123" s="15" t="s">
        <v>4100</v>
      </c>
      <c r="E123" s="15" t="s">
        <v>5564</v>
      </c>
      <c r="F123" s="15" t="s">
        <v>2556</v>
      </c>
      <c r="G123" s="15">
        <v>-3.0</v>
      </c>
      <c r="H123" s="15" t="s">
        <v>106</v>
      </c>
      <c r="I123" s="15" t="s">
        <v>22</v>
      </c>
      <c r="J123" s="15" t="s">
        <v>1165</v>
      </c>
      <c r="K123" s="15" t="s">
        <v>24</v>
      </c>
      <c r="L123" s="16"/>
      <c r="M123" s="16">
        <v>0.05</v>
      </c>
      <c r="N123" s="16">
        <v>0.05</v>
      </c>
      <c r="O123" s="55">
        <v>45270.0</v>
      </c>
      <c r="P123" s="18">
        <v>7.5</v>
      </c>
      <c r="Q123" s="15" t="s">
        <v>25</v>
      </c>
      <c r="R123" s="19">
        <f t="shared" si="1"/>
        <v>-0.05</v>
      </c>
      <c r="S123" s="19">
        <f t="shared" si="4"/>
        <v>5.08445</v>
      </c>
    </row>
    <row r="124">
      <c r="A124" s="8">
        <f t="shared" si="3"/>
        <v>123</v>
      </c>
      <c r="B124" s="8" t="s">
        <v>40</v>
      </c>
      <c r="C124" s="8">
        <v>20.0</v>
      </c>
      <c r="D124" s="8" t="s">
        <v>4101</v>
      </c>
      <c r="E124" s="8" t="s">
        <v>5565</v>
      </c>
      <c r="F124" s="8" t="s">
        <v>2556</v>
      </c>
      <c r="G124" s="8">
        <v>2</v>
      </c>
      <c r="H124" s="8" t="s">
        <v>93</v>
      </c>
      <c r="I124" s="8" t="s">
        <v>22</v>
      </c>
      <c r="J124" s="8" t="s">
        <v>225</v>
      </c>
      <c r="K124" s="8" t="s">
        <v>24</v>
      </c>
      <c r="L124" s="9">
        <v>1.0</v>
      </c>
      <c r="M124" s="9">
        <v>0.7</v>
      </c>
      <c r="N124" s="9">
        <v>0.59</v>
      </c>
      <c r="O124" s="10">
        <v>45270.0</v>
      </c>
      <c r="P124" s="11">
        <v>1.61</v>
      </c>
      <c r="Q124" s="8" t="s">
        <v>33</v>
      </c>
      <c r="R124" s="12">
        <f t="shared" si="1"/>
        <v>0.3599</v>
      </c>
      <c r="S124" s="12">
        <f t="shared" si="4"/>
        <v>5.44435</v>
      </c>
    </row>
    <row r="125">
      <c r="A125" s="15">
        <f t="shared" si="3"/>
        <v>124</v>
      </c>
      <c r="B125" s="15" t="s">
        <v>19</v>
      </c>
      <c r="C125" s="15">
        <v>72.0</v>
      </c>
      <c r="D125" s="15" t="s">
        <v>4102</v>
      </c>
      <c r="E125" s="15" t="s">
        <v>5565</v>
      </c>
      <c r="F125" s="15" t="s">
        <v>2660</v>
      </c>
      <c r="G125" s="15">
        <v>-2.0</v>
      </c>
      <c r="H125" s="15" t="s">
        <v>167</v>
      </c>
      <c r="I125" s="15" t="s">
        <v>22</v>
      </c>
      <c r="J125" s="15" t="s">
        <v>892</v>
      </c>
      <c r="K125" s="15" t="s">
        <v>24</v>
      </c>
      <c r="L125" s="16">
        <v>0.0</v>
      </c>
      <c r="M125" s="16">
        <v>0.4</v>
      </c>
      <c r="N125" s="16">
        <v>0.4</v>
      </c>
      <c r="O125" s="17">
        <v>45272.0</v>
      </c>
      <c r="P125" s="18">
        <v>1.7</v>
      </c>
      <c r="Q125" s="15" t="s">
        <v>70</v>
      </c>
      <c r="R125" s="19">
        <f t="shared" si="1"/>
        <v>0</v>
      </c>
      <c r="S125" s="19">
        <f t="shared" si="4"/>
        <v>5.44435</v>
      </c>
    </row>
    <row r="126">
      <c r="A126" s="8">
        <f t="shared" si="3"/>
        <v>125</v>
      </c>
      <c r="B126" s="8" t="s">
        <v>19</v>
      </c>
      <c r="C126" s="8">
        <v>22.0</v>
      </c>
      <c r="D126" s="8" t="s">
        <v>4103</v>
      </c>
      <c r="E126" s="8" t="s">
        <v>5564</v>
      </c>
      <c r="F126" s="8" t="s">
        <v>2556</v>
      </c>
      <c r="G126" s="8">
        <v>0.0</v>
      </c>
      <c r="H126" s="8" t="s">
        <v>1031</v>
      </c>
      <c r="I126" s="8" t="s">
        <v>22</v>
      </c>
      <c r="J126" s="8" t="s">
        <v>225</v>
      </c>
      <c r="K126" s="8" t="s">
        <v>24</v>
      </c>
      <c r="L126" s="9">
        <v>0.75</v>
      </c>
      <c r="M126" s="9">
        <v>0.8</v>
      </c>
      <c r="N126" s="9">
        <v>0.8</v>
      </c>
      <c r="O126" s="54">
        <v>45272.0</v>
      </c>
      <c r="P126" s="11">
        <v>1.9</v>
      </c>
      <c r="Q126" s="8" t="s">
        <v>4104</v>
      </c>
      <c r="R126" s="12">
        <f t="shared" si="1"/>
        <v>-0.4</v>
      </c>
      <c r="S126" s="12">
        <f t="shared" si="4"/>
        <v>5.04435</v>
      </c>
    </row>
    <row r="127">
      <c r="A127" s="15">
        <f t="shared" si="3"/>
        <v>126</v>
      </c>
      <c r="B127" s="15" t="s">
        <v>19</v>
      </c>
      <c r="C127" s="15">
        <v>23.0</v>
      </c>
      <c r="D127" s="15" t="s">
        <v>4105</v>
      </c>
      <c r="E127" s="15" t="s">
        <v>5564</v>
      </c>
      <c r="F127" s="15" t="s">
        <v>2660</v>
      </c>
      <c r="G127" s="15">
        <v>0.0</v>
      </c>
      <c r="H127" s="15" t="s">
        <v>1031</v>
      </c>
      <c r="I127" s="15" t="s">
        <v>22</v>
      </c>
      <c r="J127" s="15" t="s">
        <v>1150</v>
      </c>
      <c r="K127" s="15" t="s">
        <v>24</v>
      </c>
      <c r="L127" s="16">
        <v>0.0</v>
      </c>
      <c r="M127" s="16">
        <v>0.2</v>
      </c>
      <c r="N127" s="16">
        <v>0.2</v>
      </c>
      <c r="O127" s="17">
        <v>45272.0</v>
      </c>
      <c r="P127" s="18">
        <v>3.2</v>
      </c>
      <c r="Q127" s="15" t="s">
        <v>25</v>
      </c>
      <c r="R127" s="19">
        <f t="shared" si="1"/>
        <v>-0.2</v>
      </c>
      <c r="S127" s="19">
        <f t="shared" si="4"/>
        <v>4.84435</v>
      </c>
    </row>
    <row r="128">
      <c r="A128" s="8">
        <f t="shared" si="3"/>
        <v>127</v>
      </c>
      <c r="B128" s="8" t="s">
        <v>19</v>
      </c>
      <c r="C128" s="8">
        <v>28.0</v>
      </c>
      <c r="D128" s="8" t="s">
        <v>4106</v>
      </c>
      <c r="E128" s="8" t="s">
        <v>5565</v>
      </c>
      <c r="F128" s="8" t="s">
        <v>2660</v>
      </c>
      <c r="G128" s="8">
        <v>0.0</v>
      </c>
      <c r="H128" s="8" t="s">
        <v>106</v>
      </c>
      <c r="I128" s="8" t="s">
        <v>22</v>
      </c>
      <c r="J128" s="8" t="s">
        <v>1150</v>
      </c>
      <c r="K128" s="8" t="s">
        <v>24</v>
      </c>
      <c r="L128" s="9">
        <v>0.0</v>
      </c>
      <c r="M128" s="9">
        <v>0.5</v>
      </c>
      <c r="N128" s="9">
        <v>0.5</v>
      </c>
      <c r="O128" s="10">
        <v>45272.0</v>
      </c>
      <c r="P128" s="11">
        <v>1.75</v>
      </c>
      <c r="Q128" s="8" t="s">
        <v>70</v>
      </c>
      <c r="R128" s="12">
        <f t="shared" si="1"/>
        <v>0</v>
      </c>
      <c r="S128" s="12">
        <f t="shared" si="4"/>
        <v>4.84435</v>
      </c>
    </row>
    <row r="129">
      <c r="A129" s="15">
        <f t="shared" si="3"/>
        <v>128</v>
      </c>
      <c r="B129" s="15" t="s">
        <v>19</v>
      </c>
      <c r="C129" s="15">
        <v>30.0</v>
      </c>
      <c r="D129" s="15" t="s">
        <v>4107</v>
      </c>
      <c r="E129" s="15" t="s">
        <v>5565</v>
      </c>
      <c r="F129" s="15" t="s">
        <v>2660</v>
      </c>
      <c r="G129" s="15">
        <v>0.0</v>
      </c>
      <c r="H129" s="15" t="s">
        <v>106</v>
      </c>
      <c r="I129" s="15" t="s">
        <v>22</v>
      </c>
      <c r="J129" s="15" t="s">
        <v>892</v>
      </c>
      <c r="K129" s="15" t="s">
        <v>24</v>
      </c>
      <c r="L129" s="16">
        <v>0.0</v>
      </c>
      <c r="M129" s="16">
        <v>0.5</v>
      </c>
      <c r="N129" s="16">
        <v>0.5</v>
      </c>
      <c r="O129" s="17">
        <v>45272.0</v>
      </c>
      <c r="P129" s="18">
        <v>1.7</v>
      </c>
      <c r="Q129" s="15" t="s">
        <v>70</v>
      </c>
      <c r="R129" s="19">
        <f t="shared" si="1"/>
        <v>0</v>
      </c>
      <c r="S129" s="19">
        <f t="shared" si="4"/>
        <v>4.84435</v>
      </c>
    </row>
    <row r="130">
      <c r="A130" s="8">
        <f t="shared" si="3"/>
        <v>129</v>
      </c>
      <c r="B130" s="8" t="s">
        <v>19</v>
      </c>
      <c r="C130" s="8">
        <v>0.0</v>
      </c>
      <c r="D130" s="8" t="s">
        <v>4108</v>
      </c>
      <c r="E130" s="8"/>
      <c r="F130" s="8"/>
      <c r="G130" s="8"/>
      <c r="H130" s="8" t="s">
        <v>1961</v>
      </c>
      <c r="I130" s="8" t="s">
        <v>598</v>
      </c>
      <c r="J130" s="8" t="s">
        <v>440</v>
      </c>
      <c r="K130" s="8" t="s">
        <v>39</v>
      </c>
      <c r="L130" s="9">
        <v>2.75</v>
      </c>
      <c r="M130" s="9">
        <v>0.15</v>
      </c>
      <c r="N130" s="9">
        <v>0.15</v>
      </c>
      <c r="O130" s="10">
        <v>45272.0</v>
      </c>
      <c r="P130" s="11">
        <v>1.86</v>
      </c>
      <c r="Q130" s="8" t="s">
        <v>25</v>
      </c>
      <c r="R130" s="12">
        <f t="shared" si="1"/>
        <v>-0.15</v>
      </c>
      <c r="S130" s="12">
        <f t="shared" si="4"/>
        <v>4.69435</v>
      </c>
    </row>
    <row r="131">
      <c r="A131" s="15">
        <f t="shared" si="3"/>
        <v>130</v>
      </c>
      <c r="B131" s="15" t="s">
        <v>19</v>
      </c>
      <c r="C131" s="15">
        <v>65.0</v>
      </c>
      <c r="D131" s="15" t="s">
        <v>4109</v>
      </c>
      <c r="E131" s="15" t="s">
        <v>5565</v>
      </c>
      <c r="F131" s="15" t="s">
        <v>2660</v>
      </c>
      <c r="G131" s="15">
        <v>0.0</v>
      </c>
      <c r="H131" s="15" t="s">
        <v>248</v>
      </c>
      <c r="I131" s="15" t="s">
        <v>22</v>
      </c>
      <c r="J131" s="15" t="s">
        <v>892</v>
      </c>
      <c r="K131" s="15" t="s">
        <v>24</v>
      </c>
      <c r="L131" s="16">
        <v>0.0</v>
      </c>
      <c r="M131" s="16">
        <v>0.4</v>
      </c>
      <c r="N131" s="16">
        <v>0.4</v>
      </c>
      <c r="O131" s="17">
        <v>45272.0</v>
      </c>
      <c r="P131" s="18">
        <v>2.05</v>
      </c>
      <c r="Q131" s="15" t="s">
        <v>25</v>
      </c>
      <c r="R131" s="19">
        <f t="shared" si="1"/>
        <v>-0.4</v>
      </c>
      <c r="S131" s="19">
        <f t="shared" si="4"/>
        <v>4.29435</v>
      </c>
    </row>
    <row r="132">
      <c r="A132" s="8">
        <f t="shared" si="3"/>
        <v>131</v>
      </c>
      <c r="B132" s="8" t="s">
        <v>40</v>
      </c>
      <c r="C132" s="8">
        <v>65.0</v>
      </c>
      <c r="D132" s="8" t="s">
        <v>4110</v>
      </c>
      <c r="E132" s="8" t="s">
        <v>5564</v>
      </c>
      <c r="F132" s="8" t="s">
        <v>2556</v>
      </c>
      <c r="G132" s="8">
        <v>-1.0</v>
      </c>
      <c r="H132" s="8" t="s">
        <v>42</v>
      </c>
      <c r="I132" s="8" t="s">
        <v>22</v>
      </c>
      <c r="J132" s="8" t="s">
        <v>225</v>
      </c>
      <c r="K132" s="8" t="s">
        <v>24</v>
      </c>
      <c r="L132" s="9">
        <v>0.5</v>
      </c>
      <c r="M132" s="9">
        <v>0.6</v>
      </c>
      <c r="N132" s="9">
        <v>0.6</v>
      </c>
      <c r="O132" s="10">
        <v>45273.0</v>
      </c>
      <c r="P132" s="11">
        <v>1.725</v>
      </c>
      <c r="Q132" s="8" t="s">
        <v>33</v>
      </c>
      <c r="R132" s="12">
        <f t="shared" si="1"/>
        <v>0.435</v>
      </c>
      <c r="S132" s="12">
        <f t="shared" si="4"/>
        <v>4.72935</v>
      </c>
    </row>
    <row r="133">
      <c r="A133" s="15">
        <f t="shared" si="3"/>
        <v>132</v>
      </c>
      <c r="B133" s="15" t="s">
        <v>40</v>
      </c>
      <c r="C133" s="15">
        <v>65.0</v>
      </c>
      <c r="D133" s="15" t="s">
        <v>4111</v>
      </c>
      <c r="E133" s="15" t="s">
        <v>5564</v>
      </c>
      <c r="F133" s="15" t="s">
        <v>2556</v>
      </c>
      <c r="G133" s="15">
        <v>-1.0</v>
      </c>
      <c r="H133" s="15" t="s">
        <v>42</v>
      </c>
      <c r="I133" s="15" t="s">
        <v>22</v>
      </c>
      <c r="J133" s="15" t="s">
        <v>225</v>
      </c>
      <c r="K133" s="15" t="s">
        <v>24</v>
      </c>
      <c r="L133" s="16">
        <v>0.25</v>
      </c>
      <c r="M133" s="16">
        <v>0.4</v>
      </c>
      <c r="N133" s="16">
        <v>0.4</v>
      </c>
      <c r="O133" s="17">
        <v>45273.0</v>
      </c>
      <c r="P133" s="18">
        <v>2.0</v>
      </c>
      <c r="Q133" s="15" t="s">
        <v>996</v>
      </c>
      <c r="R133" s="19">
        <f t="shared" si="1"/>
        <v>0.2</v>
      </c>
      <c r="S133" s="19">
        <f t="shared" si="4"/>
        <v>4.92935</v>
      </c>
    </row>
    <row r="134">
      <c r="A134" s="8">
        <f t="shared" si="3"/>
        <v>133</v>
      </c>
      <c r="B134" s="8" t="s">
        <v>19</v>
      </c>
      <c r="C134" s="8">
        <v>17.0</v>
      </c>
      <c r="D134" s="8" t="s">
        <v>4112</v>
      </c>
      <c r="E134" s="8" t="s">
        <v>5565</v>
      </c>
      <c r="F134" s="8" t="s">
        <v>2573</v>
      </c>
      <c r="G134" s="8">
        <v>0.0</v>
      </c>
      <c r="H134" s="8" t="s">
        <v>196</v>
      </c>
      <c r="I134" s="8" t="s">
        <v>22</v>
      </c>
      <c r="J134" s="8" t="s">
        <v>894</v>
      </c>
      <c r="K134" s="8" t="s">
        <v>24</v>
      </c>
      <c r="L134" s="9">
        <v>-0.25</v>
      </c>
      <c r="M134" s="9">
        <v>0.5</v>
      </c>
      <c r="N134" s="9">
        <v>0.5</v>
      </c>
      <c r="O134" s="10">
        <v>45273.0</v>
      </c>
      <c r="P134" s="11">
        <v>1.8</v>
      </c>
      <c r="Q134" s="8" t="s">
        <v>33</v>
      </c>
      <c r="R134" s="12">
        <f t="shared" si="1"/>
        <v>0.4</v>
      </c>
      <c r="S134" s="12">
        <f t="shared" si="4"/>
        <v>5.32935</v>
      </c>
    </row>
    <row r="135">
      <c r="A135" s="15">
        <f t="shared" si="3"/>
        <v>134</v>
      </c>
      <c r="B135" s="15" t="s">
        <v>19</v>
      </c>
      <c r="C135" s="15">
        <v>0.0</v>
      </c>
      <c r="D135" s="15" t="s">
        <v>4113</v>
      </c>
      <c r="E135" s="15" t="s">
        <v>5564</v>
      </c>
      <c r="F135" s="15" t="s">
        <v>2660</v>
      </c>
      <c r="G135" s="15">
        <v>0.0</v>
      </c>
      <c r="H135" s="15" t="s">
        <v>873</v>
      </c>
      <c r="I135" s="15" t="s">
        <v>598</v>
      </c>
      <c r="J135" s="15" t="s">
        <v>892</v>
      </c>
      <c r="K135" s="15" t="s">
        <v>39</v>
      </c>
      <c r="L135" s="16">
        <v>0.0</v>
      </c>
      <c r="M135" s="16">
        <v>0.1</v>
      </c>
      <c r="N135" s="16">
        <v>0.1</v>
      </c>
      <c r="O135" s="17">
        <v>45273.0</v>
      </c>
      <c r="P135" s="18">
        <v>1.75</v>
      </c>
      <c r="Q135" s="15" t="s">
        <v>70</v>
      </c>
      <c r="R135" s="19">
        <f t="shared" si="1"/>
        <v>0</v>
      </c>
      <c r="S135" s="19">
        <f t="shared" si="4"/>
        <v>5.32935</v>
      </c>
    </row>
    <row r="136">
      <c r="A136" s="8">
        <f t="shared" si="3"/>
        <v>135</v>
      </c>
      <c r="B136" s="8" t="s">
        <v>40</v>
      </c>
      <c r="C136" s="8">
        <v>80.0</v>
      </c>
      <c r="D136" s="8" t="s">
        <v>4114</v>
      </c>
      <c r="E136" s="8" t="s">
        <v>5565</v>
      </c>
      <c r="F136" s="8" t="s">
        <v>2660</v>
      </c>
      <c r="G136" s="8">
        <v>-1.0</v>
      </c>
      <c r="H136" s="8" t="s">
        <v>191</v>
      </c>
      <c r="I136" s="8" t="s">
        <v>22</v>
      </c>
      <c r="J136" s="8" t="s">
        <v>892</v>
      </c>
      <c r="K136" s="8" t="s">
        <v>24</v>
      </c>
      <c r="L136" s="9">
        <v>0.0</v>
      </c>
      <c r="M136" s="9">
        <v>0.5</v>
      </c>
      <c r="N136" s="9">
        <v>0.5</v>
      </c>
      <c r="O136" s="10">
        <v>45273.0</v>
      </c>
      <c r="P136" s="11">
        <v>1.625</v>
      </c>
      <c r="Q136" s="8" t="s">
        <v>33</v>
      </c>
      <c r="R136" s="12">
        <f t="shared" si="1"/>
        <v>0.3125</v>
      </c>
      <c r="S136" s="12">
        <f t="shared" si="4"/>
        <v>5.64185</v>
      </c>
    </row>
    <row r="137">
      <c r="A137" s="15">
        <f t="shared" si="3"/>
        <v>136</v>
      </c>
      <c r="B137" s="15" t="s">
        <v>40</v>
      </c>
      <c r="C137" s="15">
        <v>10.0</v>
      </c>
      <c r="D137" s="15" t="s">
        <v>4115</v>
      </c>
      <c r="E137" s="15" t="s">
        <v>5564</v>
      </c>
      <c r="F137" s="15" t="s">
        <v>2556</v>
      </c>
      <c r="G137" s="15">
        <v>0.0</v>
      </c>
      <c r="H137" s="15" t="s">
        <v>82</v>
      </c>
      <c r="I137" s="15" t="s">
        <v>22</v>
      </c>
      <c r="J137" s="15" t="s">
        <v>225</v>
      </c>
      <c r="K137" s="15" t="s">
        <v>24</v>
      </c>
      <c r="L137" s="16">
        <v>0.5</v>
      </c>
      <c r="M137" s="16">
        <v>1.0</v>
      </c>
      <c r="N137" s="16">
        <v>1.0</v>
      </c>
      <c r="O137" s="55">
        <v>45273.0</v>
      </c>
      <c r="P137" s="18">
        <v>1.54</v>
      </c>
      <c r="Q137" s="15" t="s">
        <v>33</v>
      </c>
      <c r="R137" s="19">
        <f t="shared" si="1"/>
        <v>0.54</v>
      </c>
      <c r="S137" s="19">
        <f t="shared" si="4"/>
        <v>6.18185</v>
      </c>
    </row>
    <row r="138">
      <c r="A138" s="8">
        <f t="shared" si="3"/>
        <v>137</v>
      </c>
      <c r="B138" s="8" t="s">
        <v>19</v>
      </c>
      <c r="C138" s="114">
        <v>77.0</v>
      </c>
      <c r="D138" s="8" t="s">
        <v>4116</v>
      </c>
      <c r="E138" s="8" t="s">
        <v>5564</v>
      </c>
      <c r="F138" s="8" t="s">
        <v>2660</v>
      </c>
      <c r="G138" s="8">
        <v>-1.0</v>
      </c>
      <c r="H138" s="8" t="s">
        <v>1460</v>
      </c>
      <c r="I138" s="8" t="s">
        <v>22</v>
      </c>
      <c r="J138" s="8" t="s">
        <v>892</v>
      </c>
      <c r="K138" s="8" t="s">
        <v>24</v>
      </c>
      <c r="L138" s="9">
        <v>0.0</v>
      </c>
      <c r="M138" s="9">
        <v>0.6</v>
      </c>
      <c r="N138" s="9">
        <v>0.6</v>
      </c>
      <c r="O138" s="10">
        <v>45273.0</v>
      </c>
      <c r="P138" s="11">
        <v>1.7</v>
      </c>
      <c r="Q138" s="8" t="s">
        <v>70</v>
      </c>
      <c r="R138" s="12">
        <f t="shared" si="1"/>
        <v>0</v>
      </c>
      <c r="S138" s="12">
        <f t="shared" si="4"/>
        <v>6.18185</v>
      </c>
    </row>
    <row r="139">
      <c r="A139" s="15">
        <f t="shared" si="3"/>
        <v>138</v>
      </c>
      <c r="B139" s="15" t="s">
        <v>19</v>
      </c>
      <c r="C139" s="15">
        <v>77.0</v>
      </c>
      <c r="D139" s="15" t="s">
        <v>4117</v>
      </c>
      <c r="E139" s="15" t="s">
        <v>5564</v>
      </c>
      <c r="F139" s="15" t="s">
        <v>2660</v>
      </c>
      <c r="G139" s="15">
        <v>-1.0</v>
      </c>
      <c r="H139" s="15" t="s">
        <v>1031</v>
      </c>
      <c r="I139" s="15" t="s">
        <v>22</v>
      </c>
      <c r="J139" s="15" t="s">
        <v>892</v>
      </c>
      <c r="K139" s="15" t="s">
        <v>24</v>
      </c>
      <c r="L139" s="16">
        <v>0.0</v>
      </c>
      <c r="M139" s="16">
        <v>0.5</v>
      </c>
      <c r="N139" s="16">
        <v>0.5</v>
      </c>
      <c r="O139" s="57">
        <v>45274.0</v>
      </c>
      <c r="P139" s="18">
        <v>1.95</v>
      </c>
      <c r="Q139" s="15" t="s">
        <v>70</v>
      </c>
      <c r="R139" s="19">
        <f t="shared" si="1"/>
        <v>0</v>
      </c>
      <c r="S139" s="19">
        <f t="shared" si="4"/>
        <v>6.18185</v>
      </c>
    </row>
    <row r="140">
      <c r="A140" s="8">
        <f t="shared" si="3"/>
        <v>139</v>
      </c>
      <c r="B140" s="8" t="s">
        <v>19</v>
      </c>
      <c r="C140" s="8">
        <v>25.0</v>
      </c>
      <c r="D140" s="8" t="s">
        <v>4118</v>
      </c>
      <c r="E140" s="8" t="s">
        <v>5564</v>
      </c>
      <c r="F140" s="8" t="s">
        <v>2556</v>
      </c>
      <c r="G140" s="8">
        <v>0.0</v>
      </c>
      <c r="H140" s="8" t="s">
        <v>952</v>
      </c>
      <c r="I140" s="8" t="s">
        <v>22</v>
      </c>
      <c r="J140" s="8" t="s">
        <v>225</v>
      </c>
      <c r="K140" s="8" t="s">
        <v>24</v>
      </c>
      <c r="L140" s="9">
        <v>0.25</v>
      </c>
      <c r="M140" s="9">
        <v>0.4</v>
      </c>
      <c r="N140" s="9">
        <v>0.4</v>
      </c>
      <c r="O140" s="56">
        <v>45274.0</v>
      </c>
      <c r="P140" s="11">
        <v>1.95</v>
      </c>
      <c r="Q140" s="8" t="s">
        <v>70</v>
      </c>
      <c r="R140" s="12">
        <f t="shared" si="1"/>
        <v>0</v>
      </c>
      <c r="S140" s="12">
        <f t="shared" si="4"/>
        <v>6.18185</v>
      </c>
    </row>
    <row r="141">
      <c r="A141" s="15">
        <f t="shared" si="3"/>
        <v>140</v>
      </c>
      <c r="B141" s="15" t="s">
        <v>19</v>
      </c>
      <c r="C141" s="15">
        <v>0.0</v>
      </c>
      <c r="D141" s="15" t="s">
        <v>4119</v>
      </c>
      <c r="E141" s="15" t="s">
        <v>5564</v>
      </c>
      <c r="F141" s="15" t="s">
        <v>2556</v>
      </c>
      <c r="G141" s="15">
        <v>0.0</v>
      </c>
      <c r="H141" s="15" t="s">
        <v>1961</v>
      </c>
      <c r="I141" s="15" t="s">
        <v>598</v>
      </c>
      <c r="J141" s="15" t="s">
        <v>225</v>
      </c>
      <c r="K141" s="15" t="s">
        <v>39</v>
      </c>
      <c r="L141" s="16">
        <v>1.5</v>
      </c>
      <c r="M141" s="16">
        <v>0.1</v>
      </c>
      <c r="N141" s="16">
        <v>0.047</v>
      </c>
      <c r="O141" s="17">
        <v>45274.0</v>
      </c>
      <c r="P141" s="18">
        <v>1.86</v>
      </c>
      <c r="Q141" s="15" t="s">
        <v>25</v>
      </c>
      <c r="R141" s="19">
        <f t="shared" si="1"/>
        <v>-0.047</v>
      </c>
      <c r="S141" s="19">
        <f t="shared" si="4"/>
        <v>6.13485</v>
      </c>
    </row>
    <row r="142">
      <c r="A142" s="8">
        <f t="shared" si="3"/>
        <v>141</v>
      </c>
      <c r="B142" s="8" t="s">
        <v>19</v>
      </c>
      <c r="C142" s="8">
        <v>66.0</v>
      </c>
      <c r="D142" s="8" t="s">
        <v>4120</v>
      </c>
      <c r="E142" s="8"/>
      <c r="F142" s="8"/>
      <c r="G142" s="8"/>
      <c r="H142" s="8" t="s">
        <v>248</v>
      </c>
      <c r="I142" s="8" t="s">
        <v>22</v>
      </c>
      <c r="J142" s="8" t="s">
        <v>440</v>
      </c>
      <c r="K142" s="8" t="s">
        <v>24</v>
      </c>
      <c r="L142" s="9">
        <v>0.5</v>
      </c>
      <c r="M142" s="9">
        <v>0.1</v>
      </c>
      <c r="N142" s="9">
        <v>0.1</v>
      </c>
      <c r="O142" s="10">
        <v>45274.0</v>
      </c>
      <c r="P142" s="11">
        <v>1.775</v>
      </c>
      <c r="Q142" s="8" t="s">
        <v>33</v>
      </c>
      <c r="R142" s="12">
        <f t="shared" si="1"/>
        <v>0.0775</v>
      </c>
      <c r="S142" s="12">
        <f t="shared" si="4"/>
        <v>6.21235</v>
      </c>
    </row>
    <row r="143">
      <c r="A143" s="15">
        <f t="shared" si="3"/>
        <v>142</v>
      </c>
      <c r="B143" s="15" t="s">
        <v>19</v>
      </c>
      <c r="C143" s="15">
        <v>0.0</v>
      </c>
      <c r="D143" s="15" t="s">
        <v>4121</v>
      </c>
      <c r="E143" s="15" t="s">
        <v>5565</v>
      </c>
      <c r="F143" s="15" t="s">
        <v>2573</v>
      </c>
      <c r="G143" s="15">
        <v>0.0</v>
      </c>
      <c r="H143" s="15" t="s">
        <v>913</v>
      </c>
      <c r="I143" s="15" t="s">
        <v>598</v>
      </c>
      <c r="J143" s="15" t="s">
        <v>3714</v>
      </c>
      <c r="K143" s="15" t="s">
        <v>39</v>
      </c>
      <c r="L143" s="16">
        <v>-0.5</v>
      </c>
      <c r="M143" s="16">
        <v>0.1</v>
      </c>
      <c r="N143" s="16">
        <v>0.1</v>
      </c>
      <c r="O143" s="17">
        <v>45275.0</v>
      </c>
      <c r="P143" s="18">
        <v>1.825</v>
      </c>
      <c r="Q143" s="15" t="s">
        <v>25</v>
      </c>
      <c r="R143" s="19">
        <f t="shared" si="1"/>
        <v>-0.1</v>
      </c>
      <c r="S143" s="19">
        <f t="shared" si="4"/>
        <v>6.11235</v>
      </c>
    </row>
    <row r="144">
      <c r="A144" s="8">
        <f t="shared" si="3"/>
        <v>143</v>
      </c>
      <c r="B144" s="8" t="s">
        <v>19</v>
      </c>
      <c r="C144" s="8">
        <v>50.0</v>
      </c>
      <c r="D144" s="8" t="s">
        <v>4122</v>
      </c>
      <c r="E144" s="8" t="s">
        <v>5565</v>
      </c>
      <c r="F144" s="8" t="s">
        <v>2573</v>
      </c>
      <c r="G144" s="8">
        <f>1</f>
        <v>1</v>
      </c>
      <c r="H144" s="8" t="s">
        <v>612</v>
      </c>
      <c r="I144" s="8" t="s">
        <v>22</v>
      </c>
      <c r="J144" s="8" t="s">
        <v>894</v>
      </c>
      <c r="K144" s="8" t="s">
        <v>24</v>
      </c>
      <c r="L144" s="9">
        <v>-0.5</v>
      </c>
      <c r="M144" s="9">
        <v>0.1</v>
      </c>
      <c r="N144" s="9">
        <v>0.1</v>
      </c>
      <c r="O144" s="10">
        <v>45275.0</v>
      </c>
      <c r="P144" s="11">
        <v>1.775</v>
      </c>
      <c r="Q144" s="8" t="s">
        <v>33</v>
      </c>
      <c r="R144" s="12">
        <f t="shared" si="1"/>
        <v>0.0775</v>
      </c>
      <c r="S144" s="12">
        <f t="shared" si="4"/>
        <v>6.18985</v>
      </c>
    </row>
    <row r="145">
      <c r="A145" s="15">
        <f t="shared" si="3"/>
        <v>144</v>
      </c>
      <c r="B145" s="15" t="s">
        <v>19</v>
      </c>
      <c r="C145" s="15">
        <v>30.0</v>
      </c>
      <c r="D145" s="15" t="s">
        <v>4123</v>
      </c>
      <c r="E145" s="15" t="s">
        <v>5564</v>
      </c>
      <c r="F145" s="15" t="s">
        <v>2556</v>
      </c>
      <c r="G145" s="15">
        <v>0.0</v>
      </c>
      <c r="H145" s="15" t="s">
        <v>38</v>
      </c>
      <c r="I145" s="15" t="s">
        <v>22</v>
      </c>
      <c r="J145" s="15" t="s">
        <v>225</v>
      </c>
      <c r="K145" s="15" t="s">
        <v>39</v>
      </c>
      <c r="L145" s="16">
        <v>0.5</v>
      </c>
      <c r="M145" s="16">
        <v>0.1</v>
      </c>
      <c r="N145" s="16">
        <v>0.1</v>
      </c>
      <c r="O145" s="17">
        <v>45275.0</v>
      </c>
      <c r="P145" s="18">
        <v>1.05</v>
      </c>
      <c r="Q145" s="15" t="s">
        <v>33</v>
      </c>
      <c r="R145" s="19">
        <f t="shared" si="1"/>
        <v>0.005</v>
      </c>
      <c r="S145" s="19">
        <f t="shared" si="4"/>
        <v>6.19485</v>
      </c>
    </row>
    <row r="146">
      <c r="A146" s="8">
        <f t="shared" si="3"/>
        <v>145</v>
      </c>
      <c r="B146" s="8" t="s">
        <v>19</v>
      </c>
      <c r="C146" s="8">
        <v>60.0</v>
      </c>
      <c r="D146" s="8" t="s">
        <v>4124</v>
      </c>
      <c r="E146" s="8" t="s">
        <v>5565</v>
      </c>
      <c r="F146" s="8" t="s">
        <v>2660</v>
      </c>
      <c r="G146" s="8">
        <v>0.0</v>
      </c>
      <c r="H146" s="8" t="s">
        <v>167</v>
      </c>
      <c r="I146" s="8" t="s">
        <v>22</v>
      </c>
      <c r="J146" s="8" t="s">
        <v>892</v>
      </c>
      <c r="K146" s="8" t="s">
        <v>24</v>
      </c>
      <c r="L146" s="9">
        <v>0.0</v>
      </c>
      <c r="M146" s="9">
        <v>0.6</v>
      </c>
      <c r="N146" s="9">
        <v>0.6</v>
      </c>
      <c r="O146" s="10">
        <v>45275.0</v>
      </c>
      <c r="P146" s="11">
        <v>1.95</v>
      </c>
      <c r="Q146" s="8" t="s">
        <v>33</v>
      </c>
      <c r="R146" s="12">
        <f t="shared" si="1"/>
        <v>0.57</v>
      </c>
      <c r="S146" s="12">
        <f t="shared" si="4"/>
        <v>6.76485</v>
      </c>
    </row>
    <row r="147">
      <c r="A147" s="15">
        <f t="shared" si="3"/>
        <v>146</v>
      </c>
      <c r="B147" s="15" t="s">
        <v>19</v>
      </c>
      <c r="C147" s="15">
        <v>62.0</v>
      </c>
      <c r="D147" s="15" t="s">
        <v>4125</v>
      </c>
      <c r="E147" s="15"/>
      <c r="F147" s="15"/>
      <c r="G147" s="15"/>
      <c r="H147" s="15" t="s">
        <v>167</v>
      </c>
      <c r="I147" s="15" t="s">
        <v>22</v>
      </c>
      <c r="J147" s="15" t="s">
        <v>440</v>
      </c>
      <c r="K147" s="15" t="s">
        <v>24</v>
      </c>
      <c r="L147" s="16">
        <v>0.5</v>
      </c>
      <c r="M147" s="16">
        <v>0.1</v>
      </c>
      <c r="N147" s="16">
        <v>0.1</v>
      </c>
      <c r="O147" s="17">
        <v>45275.0</v>
      </c>
      <c r="P147" s="18">
        <v>1.775</v>
      </c>
      <c r="Q147" s="15" t="s">
        <v>33</v>
      </c>
      <c r="R147" s="19">
        <f t="shared" si="1"/>
        <v>0.0775</v>
      </c>
      <c r="S147" s="19">
        <f t="shared" si="4"/>
        <v>6.84235</v>
      </c>
    </row>
    <row r="148">
      <c r="A148" s="8">
        <f t="shared" si="3"/>
        <v>147</v>
      </c>
      <c r="B148" s="8" t="s">
        <v>19</v>
      </c>
      <c r="C148" s="8">
        <v>72.0</v>
      </c>
      <c r="D148" s="8" t="s">
        <v>4126</v>
      </c>
      <c r="E148" s="8" t="s">
        <v>5565</v>
      </c>
      <c r="F148" s="8" t="s">
        <v>2660</v>
      </c>
      <c r="G148" s="8">
        <v>-1.0</v>
      </c>
      <c r="H148" s="8" t="s">
        <v>1031</v>
      </c>
      <c r="I148" s="8" t="s">
        <v>22</v>
      </c>
      <c r="J148" s="8" t="s">
        <v>892</v>
      </c>
      <c r="K148" s="8" t="s">
        <v>24</v>
      </c>
      <c r="L148" s="9">
        <v>0.0</v>
      </c>
      <c r="M148" s="9">
        <v>0.5</v>
      </c>
      <c r="N148" s="9">
        <v>0.5</v>
      </c>
      <c r="O148" s="10">
        <v>45275.0</v>
      </c>
      <c r="P148" s="11">
        <v>2.15</v>
      </c>
      <c r="Q148" s="8" t="s">
        <v>33</v>
      </c>
      <c r="R148" s="12">
        <f t="shared" si="1"/>
        <v>0.575</v>
      </c>
      <c r="S148" s="12">
        <f t="shared" si="4"/>
        <v>7.41735</v>
      </c>
    </row>
    <row r="149">
      <c r="A149" s="15">
        <f t="shared" si="3"/>
        <v>148</v>
      </c>
      <c r="B149" s="15" t="s">
        <v>19</v>
      </c>
      <c r="C149" s="15">
        <v>13.0</v>
      </c>
      <c r="D149" s="15" t="s">
        <v>4127</v>
      </c>
      <c r="E149" s="15" t="s">
        <v>5564</v>
      </c>
      <c r="F149" s="15" t="s">
        <v>2660</v>
      </c>
      <c r="G149" s="15">
        <v>0.0</v>
      </c>
      <c r="H149" s="15" t="s">
        <v>794</v>
      </c>
      <c r="I149" s="15" t="s">
        <v>22</v>
      </c>
      <c r="J149" s="15" t="s">
        <v>892</v>
      </c>
      <c r="K149" s="15" t="s">
        <v>39</v>
      </c>
      <c r="L149" s="16">
        <v>0.0</v>
      </c>
      <c r="M149" s="16">
        <v>0.1</v>
      </c>
      <c r="N149" s="16">
        <v>0.1</v>
      </c>
      <c r="O149" s="17">
        <v>45275.0</v>
      </c>
      <c r="P149" s="18">
        <v>1.82</v>
      </c>
      <c r="Q149" s="15" t="s">
        <v>33</v>
      </c>
      <c r="R149" s="19">
        <f t="shared" si="1"/>
        <v>0.082</v>
      </c>
      <c r="S149" s="19">
        <f t="shared" si="4"/>
        <v>7.49935</v>
      </c>
    </row>
    <row r="150">
      <c r="A150" s="8">
        <f t="shared" si="3"/>
        <v>149</v>
      </c>
      <c r="B150" s="8" t="s">
        <v>19</v>
      </c>
      <c r="C150" s="8">
        <v>78.0</v>
      </c>
      <c r="D150" s="8" t="s">
        <v>4128</v>
      </c>
      <c r="E150" s="8" t="s">
        <v>5565</v>
      </c>
      <c r="F150" s="8" t="s">
        <v>2660</v>
      </c>
      <c r="G150" s="8">
        <f>1</f>
        <v>1</v>
      </c>
      <c r="H150" s="8" t="s">
        <v>124</v>
      </c>
      <c r="I150" s="8" t="s">
        <v>22</v>
      </c>
      <c r="J150" s="8" t="s">
        <v>892</v>
      </c>
      <c r="K150" s="8" t="s">
        <v>24</v>
      </c>
      <c r="L150" s="9">
        <v>0.0</v>
      </c>
      <c r="M150" s="9">
        <v>0.5</v>
      </c>
      <c r="N150" s="9">
        <v>0.5</v>
      </c>
      <c r="O150" s="10">
        <v>45275.0</v>
      </c>
      <c r="P150" s="11">
        <v>1.95</v>
      </c>
      <c r="Q150" s="8" t="s">
        <v>70</v>
      </c>
      <c r="R150" s="12">
        <f t="shared" si="1"/>
        <v>0</v>
      </c>
      <c r="S150" s="12">
        <f t="shared" si="4"/>
        <v>7.49935</v>
      </c>
    </row>
    <row r="151">
      <c r="A151" s="15">
        <f t="shared" si="3"/>
        <v>150</v>
      </c>
      <c r="B151" s="15" t="s">
        <v>19</v>
      </c>
      <c r="C151" s="15">
        <v>66.0</v>
      </c>
      <c r="D151" s="15" t="s">
        <v>4129</v>
      </c>
      <c r="E151" s="15" t="s">
        <v>5565</v>
      </c>
      <c r="F151" s="15" t="s">
        <v>2556</v>
      </c>
      <c r="G151" s="15">
        <v>3</v>
      </c>
      <c r="H151" s="15" t="s">
        <v>4130</v>
      </c>
      <c r="I151" s="15" t="s">
        <v>22</v>
      </c>
      <c r="J151" s="15" t="s">
        <v>225</v>
      </c>
      <c r="K151" s="15" t="s">
        <v>39</v>
      </c>
      <c r="L151" s="16">
        <v>0.25</v>
      </c>
      <c r="M151" s="16">
        <v>0.1</v>
      </c>
      <c r="N151" s="16">
        <v>0.1</v>
      </c>
      <c r="O151" s="17">
        <v>45275.0</v>
      </c>
      <c r="P151" s="18">
        <v>2.0</v>
      </c>
      <c r="Q151" s="15" t="s">
        <v>25</v>
      </c>
      <c r="R151" s="19">
        <f t="shared" si="1"/>
        <v>-0.1</v>
      </c>
      <c r="S151" s="19">
        <f t="shared" si="4"/>
        <v>7.39935</v>
      </c>
    </row>
    <row r="152">
      <c r="A152" s="8">
        <f t="shared" si="3"/>
        <v>151</v>
      </c>
      <c r="B152" s="8" t="s">
        <v>19</v>
      </c>
      <c r="C152" s="8"/>
      <c r="D152" s="8" t="s">
        <v>4131</v>
      </c>
      <c r="E152" s="8" t="s">
        <v>5564</v>
      </c>
      <c r="F152" s="8" t="s">
        <v>2660</v>
      </c>
      <c r="G152" s="8">
        <v>-3.0</v>
      </c>
      <c r="H152" s="8" t="s">
        <v>487</v>
      </c>
      <c r="I152" s="8" t="s">
        <v>22</v>
      </c>
      <c r="J152" s="8" t="s">
        <v>892</v>
      </c>
      <c r="K152" s="8" t="s">
        <v>39</v>
      </c>
      <c r="L152" s="9">
        <v>0.0</v>
      </c>
      <c r="M152" s="9">
        <v>0.1</v>
      </c>
      <c r="N152" s="9">
        <v>0.1</v>
      </c>
      <c r="O152" s="10">
        <v>45276.0</v>
      </c>
      <c r="P152" s="11">
        <v>1.775</v>
      </c>
      <c r="Q152" s="8" t="s">
        <v>70</v>
      </c>
      <c r="R152" s="12">
        <f t="shared" si="1"/>
        <v>0</v>
      </c>
      <c r="S152" s="12">
        <f t="shared" si="4"/>
        <v>7.39935</v>
      </c>
    </row>
    <row r="153">
      <c r="A153" s="15">
        <f t="shared" si="3"/>
        <v>152</v>
      </c>
      <c r="B153" s="15" t="s">
        <v>19</v>
      </c>
      <c r="C153" s="15">
        <v>52.0</v>
      </c>
      <c r="D153" s="15" t="s">
        <v>4132</v>
      </c>
      <c r="E153" s="15" t="s">
        <v>5565</v>
      </c>
      <c r="F153" s="15" t="s">
        <v>2556</v>
      </c>
      <c r="G153" s="15">
        <v>-1.0</v>
      </c>
      <c r="H153" s="15" t="s">
        <v>121</v>
      </c>
      <c r="I153" s="15" t="s">
        <v>22</v>
      </c>
      <c r="J153" s="15" t="s">
        <v>225</v>
      </c>
      <c r="K153" s="15" t="s">
        <v>24</v>
      </c>
      <c r="L153" s="16">
        <v>0.25</v>
      </c>
      <c r="M153" s="16">
        <v>1.0</v>
      </c>
      <c r="N153" s="16">
        <v>1.0</v>
      </c>
      <c r="O153" s="17">
        <v>45276.0</v>
      </c>
      <c r="P153" s="18">
        <v>1.775</v>
      </c>
      <c r="Q153" s="15" t="s">
        <v>25</v>
      </c>
      <c r="R153" s="19">
        <f t="shared" si="1"/>
        <v>-1</v>
      </c>
      <c r="S153" s="19">
        <f t="shared" si="4"/>
        <v>6.39935</v>
      </c>
    </row>
    <row r="154">
      <c r="A154" s="8">
        <f t="shared" si="3"/>
        <v>153</v>
      </c>
      <c r="B154" s="8" t="s">
        <v>19</v>
      </c>
      <c r="C154" s="8">
        <v>54.0</v>
      </c>
      <c r="D154" s="8" t="s">
        <v>4133</v>
      </c>
      <c r="E154" s="8" t="s">
        <v>5564</v>
      </c>
      <c r="F154" s="8" t="s">
        <v>2660</v>
      </c>
      <c r="G154" s="8">
        <v>-1.0</v>
      </c>
      <c r="H154" s="8" t="s">
        <v>88</v>
      </c>
      <c r="I154" s="8" t="s">
        <v>22</v>
      </c>
      <c r="J154" s="8" t="s">
        <v>892</v>
      </c>
      <c r="K154" s="8" t="s">
        <v>24</v>
      </c>
      <c r="L154" s="9">
        <v>0.0</v>
      </c>
      <c r="M154" s="9">
        <v>1.0</v>
      </c>
      <c r="N154" s="9">
        <v>1.0</v>
      </c>
      <c r="O154" s="10">
        <v>45276.0</v>
      </c>
      <c r="P154" s="11">
        <v>1.825</v>
      </c>
      <c r="Q154" s="8" t="s">
        <v>33</v>
      </c>
      <c r="R154" s="12">
        <f t="shared" si="1"/>
        <v>0.825</v>
      </c>
      <c r="S154" s="12">
        <f t="shared" si="4"/>
        <v>7.22435</v>
      </c>
    </row>
    <row r="155">
      <c r="A155" s="15">
        <f t="shared" si="3"/>
        <v>154</v>
      </c>
      <c r="B155" s="15" t="s">
        <v>40</v>
      </c>
      <c r="C155" s="15">
        <v>65.0</v>
      </c>
      <c r="D155" s="15" t="s">
        <v>4134</v>
      </c>
      <c r="E155" s="15" t="s">
        <v>5565</v>
      </c>
      <c r="F155" s="15" t="s">
        <v>2660</v>
      </c>
      <c r="G155" s="15">
        <v>-2.0</v>
      </c>
      <c r="H155" s="15" t="s">
        <v>93</v>
      </c>
      <c r="I155" s="15" t="s">
        <v>22</v>
      </c>
      <c r="J155" s="15" t="s">
        <v>892</v>
      </c>
      <c r="K155" s="15" t="s">
        <v>39</v>
      </c>
      <c r="L155" s="16">
        <v>0.0</v>
      </c>
      <c r="M155" s="16">
        <v>0.5</v>
      </c>
      <c r="N155" s="16">
        <v>0.5</v>
      </c>
      <c r="O155" s="55">
        <v>45276.0</v>
      </c>
      <c r="P155" s="18">
        <v>2.0</v>
      </c>
      <c r="Q155" s="15" t="s">
        <v>33</v>
      </c>
      <c r="R155" s="19">
        <f t="shared" si="1"/>
        <v>0.5</v>
      </c>
      <c r="S155" s="19">
        <f t="shared" si="4"/>
        <v>7.72435</v>
      </c>
    </row>
    <row r="156">
      <c r="A156" s="8">
        <f t="shared" si="3"/>
        <v>155</v>
      </c>
      <c r="B156" s="8" t="s">
        <v>19</v>
      </c>
      <c r="C156" s="8">
        <v>72.0</v>
      </c>
      <c r="D156" s="8" t="s">
        <v>4135</v>
      </c>
      <c r="E156" s="8" t="s">
        <v>5565</v>
      </c>
      <c r="F156" s="8" t="s">
        <v>2660</v>
      </c>
      <c r="G156" s="8">
        <v>-2.0</v>
      </c>
      <c r="H156" s="8" t="s">
        <v>115</v>
      </c>
      <c r="I156" s="8" t="s">
        <v>22</v>
      </c>
      <c r="J156" s="8" t="s">
        <v>892</v>
      </c>
      <c r="K156" s="8" t="s">
        <v>24</v>
      </c>
      <c r="L156" s="9">
        <v>0.0</v>
      </c>
      <c r="M156" s="9">
        <v>1.0</v>
      </c>
      <c r="N156" s="9">
        <v>1.0</v>
      </c>
      <c r="O156" s="10">
        <v>45276.0</v>
      </c>
      <c r="P156" s="11">
        <v>1.75</v>
      </c>
      <c r="Q156" s="8" t="s">
        <v>70</v>
      </c>
      <c r="R156" s="12">
        <f t="shared" si="1"/>
        <v>0</v>
      </c>
      <c r="S156" s="12">
        <f t="shared" si="4"/>
        <v>7.72435</v>
      </c>
    </row>
    <row r="157">
      <c r="A157" s="15">
        <f t="shared" si="3"/>
        <v>156</v>
      </c>
      <c r="B157" s="15" t="s">
        <v>19</v>
      </c>
      <c r="C157" s="15">
        <v>34.0</v>
      </c>
      <c r="D157" s="15" t="s">
        <v>4136</v>
      </c>
      <c r="E157" s="15" t="s">
        <v>5564</v>
      </c>
      <c r="F157" s="15" t="s">
        <v>2556</v>
      </c>
      <c r="G157" s="15">
        <v>-2.0</v>
      </c>
      <c r="H157" s="15" t="s">
        <v>121</v>
      </c>
      <c r="I157" s="15" t="s">
        <v>22</v>
      </c>
      <c r="J157" s="15" t="s">
        <v>225</v>
      </c>
      <c r="K157" s="15" t="s">
        <v>24</v>
      </c>
      <c r="L157" s="16">
        <v>0.5</v>
      </c>
      <c r="M157" s="16">
        <v>1.0</v>
      </c>
      <c r="N157" s="16">
        <v>1.0</v>
      </c>
      <c r="O157" s="17">
        <v>45276.0</v>
      </c>
      <c r="P157" s="18">
        <f>600/500</f>
        <v>1.2</v>
      </c>
      <c r="Q157" s="15" t="s">
        <v>33</v>
      </c>
      <c r="R157" s="19">
        <f t="shared" si="1"/>
        <v>0.2</v>
      </c>
      <c r="S157" s="19">
        <f t="shared" si="4"/>
        <v>7.92435</v>
      </c>
    </row>
    <row r="158">
      <c r="A158" s="8">
        <f t="shared" si="3"/>
        <v>157</v>
      </c>
      <c r="B158" s="8" t="s">
        <v>19</v>
      </c>
      <c r="C158" s="8">
        <v>21.0</v>
      </c>
      <c r="D158" s="8" t="s">
        <v>4137</v>
      </c>
      <c r="E158" s="8" t="s">
        <v>5564</v>
      </c>
      <c r="F158" s="8" t="s">
        <v>2660</v>
      </c>
      <c r="G158" s="8">
        <v>0.0</v>
      </c>
      <c r="H158" s="8" t="s">
        <v>66</v>
      </c>
      <c r="I158" s="8" t="s">
        <v>22</v>
      </c>
      <c r="J158" s="8" t="s">
        <v>892</v>
      </c>
      <c r="K158" s="8" t="s">
        <v>39</v>
      </c>
      <c r="L158" s="9">
        <v>0.0</v>
      </c>
      <c r="M158" s="9">
        <v>0.1</v>
      </c>
      <c r="N158" s="9">
        <v>0.1</v>
      </c>
      <c r="O158" s="10">
        <v>45276.0</v>
      </c>
      <c r="P158" s="11">
        <v>1.825</v>
      </c>
      <c r="Q158" s="8" t="s">
        <v>25</v>
      </c>
      <c r="R158" s="12">
        <f t="shared" si="1"/>
        <v>-0.1</v>
      </c>
      <c r="S158" s="12">
        <f t="shared" si="4"/>
        <v>7.82435</v>
      </c>
    </row>
    <row r="159">
      <c r="A159" s="15">
        <f t="shared" si="3"/>
        <v>158</v>
      </c>
      <c r="B159" s="15" t="s">
        <v>19</v>
      </c>
      <c r="C159" s="15">
        <v>27.0</v>
      </c>
      <c r="D159" s="15" t="s">
        <v>4138</v>
      </c>
      <c r="E159" s="15" t="s">
        <v>5564</v>
      </c>
      <c r="F159" s="15" t="s">
        <v>2660</v>
      </c>
      <c r="G159" s="15">
        <v>0.0</v>
      </c>
      <c r="H159" s="15" t="s">
        <v>873</v>
      </c>
      <c r="I159" s="15" t="s">
        <v>22</v>
      </c>
      <c r="J159" s="15" t="s">
        <v>892</v>
      </c>
      <c r="K159" s="15" t="s">
        <v>24</v>
      </c>
      <c r="L159" s="16">
        <v>0.0</v>
      </c>
      <c r="M159" s="16">
        <v>0.5</v>
      </c>
      <c r="N159" s="16">
        <v>0.5</v>
      </c>
      <c r="O159" s="17">
        <v>45276.0</v>
      </c>
      <c r="P159" s="18">
        <v>1.7</v>
      </c>
      <c r="Q159" s="15" t="s">
        <v>33</v>
      </c>
      <c r="R159" s="19">
        <f t="shared" si="1"/>
        <v>0.35</v>
      </c>
      <c r="S159" s="19">
        <f t="shared" si="4"/>
        <v>8.17435</v>
      </c>
    </row>
    <row r="160">
      <c r="A160" s="8">
        <f t="shared" si="3"/>
        <v>159</v>
      </c>
      <c r="B160" s="8" t="s">
        <v>19</v>
      </c>
      <c r="C160" s="8">
        <v>59.0</v>
      </c>
      <c r="D160" s="8" t="s">
        <v>4139</v>
      </c>
      <c r="E160" s="8" t="s">
        <v>5564</v>
      </c>
      <c r="F160" s="8" t="s">
        <v>2660</v>
      </c>
      <c r="G160" s="8">
        <v>0.0</v>
      </c>
      <c r="H160" s="8" t="s">
        <v>50</v>
      </c>
      <c r="I160" s="8" t="s">
        <v>22</v>
      </c>
      <c r="J160" s="8" t="s">
        <v>892</v>
      </c>
      <c r="K160" s="8" t="s">
        <v>24</v>
      </c>
      <c r="L160" s="9">
        <v>0.0</v>
      </c>
      <c r="M160" s="9">
        <v>0.4</v>
      </c>
      <c r="N160" s="9">
        <v>0.4</v>
      </c>
      <c r="O160" s="10">
        <v>45276.0</v>
      </c>
      <c r="P160" s="11">
        <v>1.85</v>
      </c>
      <c r="Q160" s="8" t="s">
        <v>33</v>
      </c>
      <c r="R160" s="12">
        <f t="shared" si="1"/>
        <v>0.34</v>
      </c>
      <c r="S160" s="12">
        <f t="shared" si="4"/>
        <v>8.51435</v>
      </c>
    </row>
    <row r="161">
      <c r="A161" s="15">
        <f t="shared" si="3"/>
        <v>160</v>
      </c>
      <c r="B161" s="15" t="s">
        <v>19</v>
      </c>
      <c r="C161" s="15">
        <v>30.0</v>
      </c>
      <c r="D161" s="15" t="s">
        <v>4140</v>
      </c>
      <c r="E161" s="15" t="s">
        <v>5564</v>
      </c>
      <c r="F161" s="15" t="s">
        <v>2660</v>
      </c>
      <c r="G161" s="15">
        <v>0.0</v>
      </c>
      <c r="H161" s="15" t="s">
        <v>66</v>
      </c>
      <c r="I161" s="15" t="s">
        <v>22</v>
      </c>
      <c r="J161" s="15" t="s">
        <v>892</v>
      </c>
      <c r="K161" s="15" t="s">
        <v>24</v>
      </c>
      <c r="L161" s="16">
        <v>0.0</v>
      </c>
      <c r="M161" s="16">
        <v>1.0</v>
      </c>
      <c r="N161" s="16">
        <v>1.0</v>
      </c>
      <c r="O161" s="17">
        <v>45276.0</v>
      </c>
      <c r="P161" s="18">
        <v>1.22</v>
      </c>
      <c r="Q161" s="15" t="s">
        <v>33</v>
      </c>
      <c r="R161" s="19">
        <f t="shared" si="1"/>
        <v>0.22</v>
      </c>
      <c r="S161" s="19">
        <f t="shared" si="4"/>
        <v>8.73435</v>
      </c>
    </row>
    <row r="162">
      <c r="A162" s="8">
        <f t="shared" si="3"/>
        <v>161</v>
      </c>
      <c r="B162" s="8" t="s">
        <v>19</v>
      </c>
      <c r="C162" s="8">
        <v>53.0</v>
      </c>
      <c r="D162" s="8" t="s">
        <v>4141</v>
      </c>
      <c r="E162" s="8" t="s">
        <v>5564</v>
      </c>
      <c r="F162" s="8" t="s">
        <v>2660</v>
      </c>
      <c r="G162" s="8">
        <v>0.0</v>
      </c>
      <c r="H162" s="8" t="s">
        <v>66</v>
      </c>
      <c r="I162" s="8" t="s">
        <v>22</v>
      </c>
      <c r="J162" s="8" t="s">
        <v>892</v>
      </c>
      <c r="K162" s="8" t="s">
        <v>24</v>
      </c>
      <c r="L162" s="9">
        <v>0.0</v>
      </c>
      <c r="M162" s="9">
        <v>1.0</v>
      </c>
      <c r="N162" s="9">
        <v>1.0</v>
      </c>
      <c r="O162" s="10">
        <v>45276.0</v>
      </c>
      <c r="P162" s="11">
        <v>1.775</v>
      </c>
      <c r="Q162" s="8" t="s">
        <v>25</v>
      </c>
      <c r="R162" s="12">
        <f t="shared" si="1"/>
        <v>-1</v>
      </c>
      <c r="S162" s="12">
        <f t="shared" si="4"/>
        <v>7.73435</v>
      </c>
    </row>
    <row r="163">
      <c r="A163" s="15">
        <f t="shared" si="3"/>
        <v>162</v>
      </c>
      <c r="B163" s="15" t="s">
        <v>19</v>
      </c>
      <c r="C163" s="15">
        <v>55.0</v>
      </c>
      <c r="D163" s="15" t="s">
        <v>4142</v>
      </c>
      <c r="E163" s="15" t="s">
        <v>5564</v>
      </c>
      <c r="F163" s="15" t="s">
        <v>2660</v>
      </c>
      <c r="G163" s="15">
        <v>0.0</v>
      </c>
      <c r="H163" s="15" t="s">
        <v>224</v>
      </c>
      <c r="I163" s="15" t="s">
        <v>22</v>
      </c>
      <c r="J163" s="15" t="s">
        <v>892</v>
      </c>
      <c r="K163" s="15" t="s">
        <v>24</v>
      </c>
      <c r="L163" s="16">
        <v>0.0</v>
      </c>
      <c r="M163" s="16">
        <v>0.4</v>
      </c>
      <c r="N163" s="16">
        <v>0.31</v>
      </c>
      <c r="O163" s="17">
        <v>45276.0</v>
      </c>
      <c r="P163" s="18">
        <v>1.7</v>
      </c>
      <c r="Q163" s="15" t="s">
        <v>33</v>
      </c>
      <c r="R163" s="19">
        <f t="shared" si="1"/>
        <v>0.217</v>
      </c>
      <c r="S163" s="19">
        <f t="shared" si="4"/>
        <v>7.95135</v>
      </c>
    </row>
    <row r="164">
      <c r="A164" s="8">
        <f t="shared" si="3"/>
        <v>163</v>
      </c>
      <c r="B164" s="8" t="s">
        <v>19</v>
      </c>
      <c r="C164" s="8">
        <v>80.0</v>
      </c>
      <c r="D164" s="8" t="s">
        <v>4143</v>
      </c>
      <c r="E164" s="8" t="s">
        <v>5565</v>
      </c>
      <c r="F164" s="8" t="s">
        <v>2660</v>
      </c>
      <c r="G164" s="8">
        <v>-1.0</v>
      </c>
      <c r="H164" s="8" t="s">
        <v>124</v>
      </c>
      <c r="I164" s="8" t="s">
        <v>22</v>
      </c>
      <c r="J164" s="8" t="s">
        <v>892</v>
      </c>
      <c r="K164" s="8" t="s">
        <v>24</v>
      </c>
      <c r="L164" s="9">
        <v>0.0</v>
      </c>
      <c r="M164" s="9">
        <v>0.4</v>
      </c>
      <c r="N164" s="9">
        <v>0.4</v>
      </c>
      <c r="O164" s="10">
        <v>45276.0</v>
      </c>
      <c r="P164" s="11">
        <v>1.725</v>
      </c>
      <c r="Q164" s="8" t="s">
        <v>33</v>
      </c>
      <c r="R164" s="12">
        <f t="shared" si="1"/>
        <v>0.29</v>
      </c>
      <c r="S164" s="12">
        <f t="shared" si="4"/>
        <v>8.24135</v>
      </c>
    </row>
    <row r="165">
      <c r="A165" s="15">
        <f t="shared" si="3"/>
        <v>164</v>
      </c>
      <c r="B165" s="15" t="s">
        <v>19</v>
      </c>
      <c r="C165" s="15">
        <v>76.0</v>
      </c>
      <c r="D165" s="15" t="s">
        <v>4144</v>
      </c>
      <c r="E165" s="15" t="s">
        <v>5564</v>
      </c>
      <c r="F165" s="15" t="s">
        <v>2660</v>
      </c>
      <c r="G165" s="15">
        <v>-1.0</v>
      </c>
      <c r="H165" s="15" t="s">
        <v>248</v>
      </c>
      <c r="I165" s="15" t="s">
        <v>22</v>
      </c>
      <c r="J165" s="15" t="s">
        <v>892</v>
      </c>
      <c r="K165" s="15" t="s">
        <v>24</v>
      </c>
      <c r="L165" s="16">
        <v>0.0</v>
      </c>
      <c r="M165" s="16">
        <v>0.5</v>
      </c>
      <c r="N165" s="16">
        <v>0.5</v>
      </c>
      <c r="O165" s="17">
        <v>45276.0</v>
      </c>
      <c r="P165" s="18">
        <v>1.75</v>
      </c>
      <c r="Q165" s="15" t="s">
        <v>25</v>
      </c>
      <c r="R165" s="19">
        <f t="shared" si="1"/>
        <v>-0.5</v>
      </c>
      <c r="S165" s="19">
        <f t="shared" si="4"/>
        <v>7.74135</v>
      </c>
    </row>
    <row r="166">
      <c r="A166" s="8">
        <f t="shared" si="3"/>
        <v>165</v>
      </c>
      <c r="B166" s="8" t="s">
        <v>19</v>
      </c>
      <c r="C166" s="8">
        <v>78.0</v>
      </c>
      <c r="D166" s="8" t="s">
        <v>4145</v>
      </c>
      <c r="E166" s="8" t="s">
        <v>5565</v>
      </c>
      <c r="F166" s="8" t="s">
        <v>2660</v>
      </c>
      <c r="G166" s="8">
        <v>-1.0</v>
      </c>
      <c r="H166" s="8" t="s">
        <v>88</v>
      </c>
      <c r="I166" s="8" t="s">
        <v>22</v>
      </c>
      <c r="J166" s="8" t="s">
        <v>892</v>
      </c>
      <c r="K166" s="8" t="s">
        <v>24</v>
      </c>
      <c r="L166" s="9">
        <v>0.0</v>
      </c>
      <c r="M166" s="9">
        <v>1.0</v>
      </c>
      <c r="N166" s="9">
        <v>1.0</v>
      </c>
      <c r="O166" s="10">
        <v>45277.0</v>
      </c>
      <c r="P166" s="11">
        <v>2.0</v>
      </c>
      <c r="Q166" s="8" t="s">
        <v>33</v>
      </c>
      <c r="R166" s="12">
        <f t="shared" si="1"/>
        <v>1</v>
      </c>
      <c r="S166" s="12">
        <f t="shared" si="4"/>
        <v>8.74135</v>
      </c>
    </row>
    <row r="167">
      <c r="A167" s="15">
        <f t="shared" si="3"/>
        <v>166</v>
      </c>
      <c r="B167" s="15" t="s">
        <v>19</v>
      </c>
      <c r="C167" s="15">
        <v>29.0</v>
      </c>
      <c r="D167" s="15" t="s">
        <v>4146</v>
      </c>
      <c r="E167" s="15" t="s">
        <v>5564</v>
      </c>
      <c r="F167" s="15" t="s">
        <v>2556</v>
      </c>
      <c r="G167" s="15">
        <v>2</v>
      </c>
      <c r="H167" s="15" t="s">
        <v>93</v>
      </c>
      <c r="I167" s="15" t="s">
        <v>22</v>
      </c>
      <c r="J167" s="15" t="s">
        <v>225</v>
      </c>
      <c r="K167" s="15" t="s">
        <v>39</v>
      </c>
      <c r="L167" s="16">
        <v>0.25</v>
      </c>
      <c r="M167" s="16">
        <v>0.5</v>
      </c>
      <c r="N167" s="16">
        <v>0.5</v>
      </c>
      <c r="O167" s="17">
        <v>45277.0</v>
      </c>
      <c r="P167" s="18">
        <v>1.775</v>
      </c>
      <c r="Q167" s="15" t="s">
        <v>33</v>
      </c>
      <c r="R167" s="19">
        <f t="shared" si="1"/>
        <v>0.3875</v>
      </c>
      <c r="S167" s="19">
        <f t="shared" si="4"/>
        <v>9.12885</v>
      </c>
    </row>
    <row r="168">
      <c r="A168" s="8">
        <f t="shared" si="3"/>
        <v>167</v>
      </c>
      <c r="B168" s="8" t="s">
        <v>19</v>
      </c>
      <c r="C168" s="8">
        <v>28.0</v>
      </c>
      <c r="D168" s="8" t="s">
        <v>4147</v>
      </c>
      <c r="E168" s="8" t="s">
        <v>5565</v>
      </c>
      <c r="F168" s="8" t="s">
        <v>2660</v>
      </c>
      <c r="G168" s="8">
        <v>0.0</v>
      </c>
      <c r="H168" s="8" t="s">
        <v>48</v>
      </c>
      <c r="I168" s="8" t="s">
        <v>22</v>
      </c>
      <c r="J168" s="8" t="s">
        <v>1150</v>
      </c>
      <c r="K168" s="8" t="s">
        <v>39</v>
      </c>
      <c r="L168" s="9">
        <v>0.0</v>
      </c>
      <c r="M168" s="9">
        <v>0.5</v>
      </c>
      <c r="N168" s="9">
        <v>0.5</v>
      </c>
      <c r="O168" s="10">
        <v>45277.0</v>
      </c>
      <c r="P168" s="11">
        <v>1.85</v>
      </c>
      <c r="Q168" s="8" t="s">
        <v>70</v>
      </c>
      <c r="R168" s="12">
        <f t="shared" si="1"/>
        <v>0</v>
      </c>
      <c r="S168" s="12">
        <f t="shared" si="4"/>
        <v>9.12885</v>
      </c>
    </row>
    <row r="169">
      <c r="A169" s="15">
        <f t="shared" si="3"/>
        <v>168</v>
      </c>
      <c r="B169" s="15" t="s">
        <v>19</v>
      </c>
      <c r="C169" s="15">
        <v>11.0</v>
      </c>
      <c r="D169" s="15" t="s">
        <v>4148</v>
      </c>
      <c r="E169" s="15" t="s">
        <v>5564</v>
      </c>
      <c r="F169" s="15" t="s">
        <v>2660</v>
      </c>
      <c r="G169" s="15">
        <v>0.0</v>
      </c>
      <c r="H169" s="15" t="s">
        <v>38</v>
      </c>
      <c r="I169" s="15" t="s">
        <v>22</v>
      </c>
      <c r="J169" s="15" t="s">
        <v>1150</v>
      </c>
      <c r="K169" s="15" t="s">
        <v>39</v>
      </c>
      <c r="L169" s="16">
        <v>0.0</v>
      </c>
      <c r="M169" s="16">
        <v>0.5</v>
      </c>
      <c r="N169" s="16">
        <v>0.5</v>
      </c>
      <c r="O169" s="17">
        <v>45277.0</v>
      </c>
      <c r="P169" s="18">
        <v>1.725</v>
      </c>
      <c r="Q169" s="15" t="s">
        <v>70</v>
      </c>
      <c r="R169" s="19">
        <f t="shared" si="1"/>
        <v>0</v>
      </c>
      <c r="S169" s="19">
        <f t="shared" si="4"/>
        <v>9.12885</v>
      </c>
    </row>
    <row r="170">
      <c r="A170" s="8">
        <f t="shared" si="3"/>
        <v>169</v>
      </c>
      <c r="B170" s="8" t="s">
        <v>19</v>
      </c>
      <c r="C170" s="8">
        <v>25.0</v>
      </c>
      <c r="D170" s="8" t="s">
        <v>4149</v>
      </c>
      <c r="E170" s="8" t="s">
        <v>5565</v>
      </c>
      <c r="F170" s="8" t="s">
        <v>2660</v>
      </c>
      <c r="G170" s="8">
        <v>0.0</v>
      </c>
      <c r="H170" s="8" t="s">
        <v>28</v>
      </c>
      <c r="I170" s="8" t="s">
        <v>22</v>
      </c>
      <c r="J170" s="8" t="s">
        <v>1150</v>
      </c>
      <c r="K170" s="8" t="s">
        <v>24</v>
      </c>
      <c r="L170" s="9">
        <v>0.0</v>
      </c>
      <c r="M170" s="9">
        <v>0.25</v>
      </c>
      <c r="N170" s="9">
        <v>0.25</v>
      </c>
      <c r="O170" s="10">
        <v>45277.0</v>
      </c>
      <c r="P170" s="11">
        <v>1.8</v>
      </c>
      <c r="Q170" s="8" t="s">
        <v>70</v>
      </c>
      <c r="R170" s="12">
        <f t="shared" si="1"/>
        <v>0</v>
      </c>
      <c r="S170" s="12">
        <f t="shared" si="4"/>
        <v>9.12885</v>
      </c>
    </row>
    <row r="171">
      <c r="A171" s="15">
        <f t="shared" si="3"/>
        <v>170</v>
      </c>
      <c r="B171" s="15" t="s">
        <v>19</v>
      </c>
      <c r="C171" s="15">
        <v>63.0</v>
      </c>
      <c r="D171" s="15" t="s">
        <v>4150</v>
      </c>
      <c r="E171" s="15" t="s">
        <v>5565</v>
      </c>
      <c r="F171" s="15" t="s">
        <v>2660</v>
      </c>
      <c r="G171" s="15">
        <v>0.0</v>
      </c>
      <c r="H171" s="15" t="s">
        <v>48</v>
      </c>
      <c r="I171" s="15" t="s">
        <v>22</v>
      </c>
      <c r="J171" s="15" t="s">
        <v>892</v>
      </c>
      <c r="K171" s="15" t="s">
        <v>24</v>
      </c>
      <c r="L171" s="16">
        <v>0.0</v>
      </c>
      <c r="M171" s="16">
        <v>0.5</v>
      </c>
      <c r="N171" s="16">
        <v>0.5</v>
      </c>
      <c r="O171" s="17">
        <v>45277.0</v>
      </c>
      <c r="P171" s="18">
        <v>1.9</v>
      </c>
      <c r="Q171" s="15" t="s">
        <v>33</v>
      </c>
      <c r="R171" s="19">
        <f t="shared" si="1"/>
        <v>0.45</v>
      </c>
      <c r="S171" s="19">
        <f t="shared" si="4"/>
        <v>9.57885</v>
      </c>
    </row>
    <row r="172">
      <c r="A172" s="8">
        <f t="shared" si="3"/>
        <v>171</v>
      </c>
      <c r="B172" s="8" t="s">
        <v>19</v>
      </c>
      <c r="C172" s="8">
        <v>66.0</v>
      </c>
      <c r="D172" s="8" t="s">
        <v>4151</v>
      </c>
      <c r="E172" s="8" t="s">
        <v>5565</v>
      </c>
      <c r="F172" s="8" t="s">
        <v>2660</v>
      </c>
      <c r="G172" s="8">
        <v>0.0</v>
      </c>
      <c r="H172" s="8" t="s">
        <v>48</v>
      </c>
      <c r="I172" s="8" t="s">
        <v>22</v>
      </c>
      <c r="J172" s="8" t="s">
        <v>892</v>
      </c>
      <c r="K172" s="8" t="s">
        <v>24</v>
      </c>
      <c r="L172" s="9">
        <v>0.0</v>
      </c>
      <c r="M172" s="9">
        <v>0.5</v>
      </c>
      <c r="N172" s="9">
        <v>0.5</v>
      </c>
      <c r="O172" s="10">
        <v>45277.0</v>
      </c>
      <c r="P172" s="11">
        <v>1.833</v>
      </c>
      <c r="Q172" s="8" t="s">
        <v>33</v>
      </c>
      <c r="R172" s="12">
        <f t="shared" si="1"/>
        <v>0.4165</v>
      </c>
      <c r="S172" s="12">
        <f t="shared" si="4"/>
        <v>9.99535</v>
      </c>
    </row>
    <row r="173">
      <c r="A173" s="15">
        <f t="shared" si="3"/>
        <v>172</v>
      </c>
      <c r="B173" s="15" t="s">
        <v>19</v>
      </c>
      <c r="C173" s="15">
        <v>31.0</v>
      </c>
      <c r="D173" s="15" t="s">
        <v>4152</v>
      </c>
      <c r="E173" s="15" t="s">
        <v>5565</v>
      </c>
      <c r="F173" s="15" t="s">
        <v>2556</v>
      </c>
      <c r="G173" s="15">
        <v>-1.0</v>
      </c>
      <c r="H173" s="15" t="s">
        <v>93</v>
      </c>
      <c r="I173" s="15" t="s">
        <v>22</v>
      </c>
      <c r="J173" s="15" t="s">
        <v>225</v>
      </c>
      <c r="K173" s="15" t="s">
        <v>24</v>
      </c>
      <c r="L173" s="16">
        <v>0.5</v>
      </c>
      <c r="M173" s="16">
        <v>0.25</v>
      </c>
      <c r="N173" s="16">
        <v>0.25</v>
      </c>
      <c r="O173" s="17">
        <v>45277.0</v>
      </c>
      <c r="P173" s="18">
        <f>1.167</f>
        <v>1.167</v>
      </c>
      <c r="Q173" s="15" t="s">
        <v>33</v>
      </c>
      <c r="R173" s="19">
        <f t="shared" si="1"/>
        <v>0.04175</v>
      </c>
      <c r="S173" s="19">
        <f t="shared" si="4"/>
        <v>10.0371</v>
      </c>
    </row>
    <row r="174">
      <c r="A174" s="8">
        <f t="shared" si="3"/>
        <v>173</v>
      </c>
      <c r="B174" s="8" t="s">
        <v>19</v>
      </c>
      <c r="C174" s="8">
        <v>67.0</v>
      </c>
      <c r="D174" s="8" t="s">
        <v>4153</v>
      </c>
      <c r="E174" s="8" t="s">
        <v>5565</v>
      </c>
      <c r="F174" s="8" t="s">
        <v>2660</v>
      </c>
      <c r="G174" s="8">
        <v>0.0</v>
      </c>
      <c r="H174" s="8" t="s">
        <v>109</v>
      </c>
      <c r="I174" s="8" t="s">
        <v>22</v>
      </c>
      <c r="J174" s="8" t="s">
        <v>892</v>
      </c>
      <c r="K174" s="8" t="s">
        <v>24</v>
      </c>
      <c r="L174" s="9">
        <v>0.0</v>
      </c>
      <c r="M174" s="9">
        <v>0.5</v>
      </c>
      <c r="N174" s="9">
        <v>0.46</v>
      </c>
      <c r="O174" s="10">
        <v>45279.0</v>
      </c>
      <c r="P174" s="11">
        <v>1.75</v>
      </c>
      <c r="Q174" s="8" t="s">
        <v>70</v>
      </c>
      <c r="R174" s="12">
        <f t="shared" si="1"/>
        <v>0</v>
      </c>
      <c r="S174" s="12">
        <f t="shared" si="4"/>
        <v>10.0371</v>
      </c>
    </row>
    <row r="175">
      <c r="A175" s="15">
        <f t="shared" si="3"/>
        <v>174</v>
      </c>
      <c r="B175" s="15" t="s">
        <v>19</v>
      </c>
      <c r="C175" s="15">
        <v>20.0</v>
      </c>
      <c r="D175" s="15" t="s">
        <v>4154</v>
      </c>
      <c r="E175" s="15" t="s">
        <v>5564</v>
      </c>
      <c r="F175" s="15" t="s">
        <v>2660</v>
      </c>
      <c r="G175" s="15">
        <v>0.0</v>
      </c>
      <c r="H175" s="15" t="s">
        <v>248</v>
      </c>
      <c r="I175" s="15" t="s">
        <v>22</v>
      </c>
      <c r="J175" s="15" t="s">
        <v>892</v>
      </c>
      <c r="K175" s="15" t="s">
        <v>24</v>
      </c>
      <c r="L175" s="16">
        <v>0.0</v>
      </c>
      <c r="M175" s="16">
        <v>0.2</v>
      </c>
      <c r="N175" s="16">
        <v>0.2</v>
      </c>
      <c r="O175" s="17">
        <v>45279.0</v>
      </c>
      <c r="P175" s="18">
        <v>1.775</v>
      </c>
      <c r="Q175" s="15" t="s">
        <v>70</v>
      </c>
      <c r="R175" s="19">
        <f t="shared" si="1"/>
        <v>0</v>
      </c>
      <c r="S175" s="19">
        <f t="shared" si="4"/>
        <v>10.0371</v>
      </c>
    </row>
    <row r="176">
      <c r="A176" s="8">
        <f t="shared" si="3"/>
        <v>175</v>
      </c>
      <c r="B176" s="8" t="s">
        <v>19</v>
      </c>
      <c r="C176" s="8">
        <v>22.0</v>
      </c>
      <c r="D176" s="8" t="s">
        <v>4155</v>
      </c>
      <c r="E176" s="8" t="s">
        <v>5564</v>
      </c>
      <c r="F176" s="8" t="s">
        <v>2556</v>
      </c>
      <c r="G176" s="8">
        <v>0.0</v>
      </c>
      <c r="H176" s="8" t="s">
        <v>248</v>
      </c>
      <c r="I176" s="8" t="s">
        <v>22</v>
      </c>
      <c r="J176" s="8" t="s">
        <v>941</v>
      </c>
      <c r="K176" s="8" t="s">
        <v>24</v>
      </c>
      <c r="L176" s="9">
        <v>0.0</v>
      </c>
      <c r="M176" s="9">
        <v>0.4</v>
      </c>
      <c r="N176" s="9">
        <v>0.4</v>
      </c>
      <c r="O176" s="54">
        <v>45279.0</v>
      </c>
      <c r="P176" s="11">
        <v>1.8</v>
      </c>
      <c r="Q176" s="8" t="s">
        <v>70</v>
      </c>
      <c r="R176" s="12">
        <f t="shared" si="1"/>
        <v>0</v>
      </c>
      <c r="S176" s="12">
        <f t="shared" si="4"/>
        <v>10.0371</v>
      </c>
    </row>
    <row r="177">
      <c r="A177" s="15">
        <f t="shared" si="3"/>
        <v>176</v>
      </c>
      <c r="B177" s="15" t="s">
        <v>19</v>
      </c>
      <c r="C177" s="15">
        <v>0.0</v>
      </c>
      <c r="D177" s="15" t="s">
        <v>4156</v>
      </c>
      <c r="E177" s="15" t="s">
        <v>5565</v>
      </c>
      <c r="F177" s="15"/>
      <c r="G177" s="15"/>
      <c r="H177" s="15" t="s">
        <v>4130</v>
      </c>
      <c r="I177" s="15" t="s">
        <v>598</v>
      </c>
      <c r="J177" s="15" t="s">
        <v>29</v>
      </c>
      <c r="K177" s="15" t="s">
        <v>39</v>
      </c>
      <c r="L177" s="16">
        <v>-0.5</v>
      </c>
      <c r="M177" s="16">
        <v>0.1</v>
      </c>
      <c r="N177" s="16">
        <v>0.1</v>
      </c>
      <c r="O177" s="17">
        <v>45279.0</v>
      </c>
      <c r="P177" s="18">
        <v>1.61</v>
      </c>
      <c r="Q177" s="15" t="s">
        <v>33</v>
      </c>
      <c r="R177" s="19">
        <f t="shared" si="1"/>
        <v>0.061</v>
      </c>
      <c r="S177" s="19">
        <f t="shared" si="4"/>
        <v>10.0981</v>
      </c>
    </row>
    <row r="178">
      <c r="A178" s="8">
        <f t="shared" si="3"/>
        <v>177</v>
      </c>
      <c r="B178" s="8" t="s">
        <v>19</v>
      </c>
      <c r="C178" s="8">
        <v>0.0</v>
      </c>
      <c r="D178" s="8" t="s">
        <v>4157</v>
      </c>
      <c r="E178" s="8" t="s">
        <v>5565</v>
      </c>
      <c r="F178" s="8" t="s">
        <v>2573</v>
      </c>
      <c r="G178" s="8"/>
      <c r="H178" s="8" t="s">
        <v>4130</v>
      </c>
      <c r="I178" s="8" t="s">
        <v>598</v>
      </c>
      <c r="J178" s="8" t="s">
        <v>894</v>
      </c>
      <c r="K178" s="8" t="s">
        <v>1851</v>
      </c>
      <c r="L178" s="9">
        <v>-1.25</v>
      </c>
      <c r="M178" s="9">
        <v>0.5</v>
      </c>
      <c r="N178" s="9">
        <v>0.5</v>
      </c>
      <c r="O178" s="10">
        <v>45282.0</v>
      </c>
      <c r="P178" s="11">
        <v>1.8</v>
      </c>
      <c r="Q178" s="8" t="s">
        <v>33</v>
      </c>
      <c r="R178" s="12">
        <f t="shared" si="1"/>
        <v>0.4</v>
      </c>
      <c r="S178" s="12">
        <f t="shared" si="4"/>
        <v>10.4981</v>
      </c>
    </row>
    <row r="179">
      <c r="A179" s="15">
        <f t="shared" si="3"/>
        <v>178</v>
      </c>
      <c r="B179" s="15" t="s">
        <v>19</v>
      </c>
      <c r="C179" s="15">
        <v>25.0</v>
      </c>
      <c r="D179" s="15" t="s">
        <v>4158</v>
      </c>
      <c r="E179" s="15" t="s">
        <v>5565</v>
      </c>
      <c r="F179" s="15" t="s">
        <v>2660</v>
      </c>
      <c r="G179" s="15">
        <v>-1.0</v>
      </c>
      <c r="H179" s="15" t="s">
        <v>675</v>
      </c>
      <c r="I179" s="15" t="s">
        <v>22</v>
      </c>
      <c r="J179" s="15" t="s">
        <v>1150</v>
      </c>
      <c r="K179" s="15" t="s">
        <v>24</v>
      </c>
      <c r="L179" s="16">
        <v>0.0</v>
      </c>
      <c r="M179" s="16">
        <v>0.6</v>
      </c>
      <c r="N179" s="16">
        <v>0.51</v>
      </c>
      <c r="O179" s="17">
        <v>45280.0</v>
      </c>
      <c r="P179" s="18">
        <v>1.825</v>
      </c>
      <c r="Q179" s="15" t="s">
        <v>33</v>
      </c>
      <c r="R179" s="19">
        <f t="shared" si="1"/>
        <v>0.42075</v>
      </c>
      <c r="S179" s="19">
        <f t="shared" si="4"/>
        <v>10.91885</v>
      </c>
    </row>
    <row r="180">
      <c r="A180" s="8">
        <f t="shared" si="3"/>
        <v>179</v>
      </c>
      <c r="B180" s="8" t="s">
        <v>19</v>
      </c>
      <c r="C180" s="8">
        <v>27.0</v>
      </c>
      <c r="D180" s="8" t="s">
        <v>4159</v>
      </c>
      <c r="E180" s="8" t="s">
        <v>5565</v>
      </c>
      <c r="F180" s="8" t="s">
        <v>2556</v>
      </c>
      <c r="G180" s="8">
        <v>0.0</v>
      </c>
      <c r="H180" s="8" t="s">
        <v>48</v>
      </c>
      <c r="I180" s="8" t="s">
        <v>22</v>
      </c>
      <c r="J180" s="8" t="s">
        <v>225</v>
      </c>
      <c r="K180" s="8" t="s">
        <v>24</v>
      </c>
      <c r="L180" s="9">
        <v>0.25</v>
      </c>
      <c r="M180" s="9">
        <v>0.6</v>
      </c>
      <c r="N180" s="9">
        <v>0.6</v>
      </c>
      <c r="O180" s="10">
        <v>45280.0</v>
      </c>
      <c r="P180" s="11">
        <f>1.1602</f>
        <v>1.1602</v>
      </c>
      <c r="Q180" s="8" t="s">
        <v>33</v>
      </c>
      <c r="R180" s="12">
        <f t="shared" si="1"/>
        <v>0.09612</v>
      </c>
      <c r="S180" s="12">
        <f t="shared" si="4"/>
        <v>11.01497</v>
      </c>
    </row>
    <row r="181">
      <c r="A181" s="15">
        <f t="shared" si="3"/>
        <v>180</v>
      </c>
      <c r="B181" s="15" t="s">
        <v>19</v>
      </c>
      <c r="C181" s="15">
        <v>30.0</v>
      </c>
      <c r="D181" s="15" t="s">
        <v>4160</v>
      </c>
      <c r="E181" s="15" t="s">
        <v>5565</v>
      </c>
      <c r="F181" s="15" t="s">
        <v>2660</v>
      </c>
      <c r="G181" s="15">
        <v>0.0</v>
      </c>
      <c r="H181" s="15" t="s">
        <v>48</v>
      </c>
      <c r="I181" s="15" t="s">
        <v>22</v>
      </c>
      <c r="J181" s="15" t="s">
        <v>1150</v>
      </c>
      <c r="K181" s="15" t="s">
        <v>24</v>
      </c>
      <c r="L181" s="16">
        <v>0.0</v>
      </c>
      <c r="M181" s="16">
        <v>0.2</v>
      </c>
      <c r="N181" s="16">
        <v>0.2</v>
      </c>
      <c r="O181" s="17">
        <v>45280.0</v>
      </c>
      <c r="P181" s="18">
        <v>1.975</v>
      </c>
      <c r="Q181" s="15" t="s">
        <v>70</v>
      </c>
      <c r="R181" s="19">
        <f t="shared" si="1"/>
        <v>0</v>
      </c>
      <c r="S181" s="19">
        <f t="shared" si="4"/>
        <v>11.01497</v>
      </c>
    </row>
    <row r="182">
      <c r="A182" s="8">
        <f t="shared" si="3"/>
        <v>181</v>
      </c>
      <c r="B182" s="8" t="s">
        <v>19</v>
      </c>
      <c r="C182" s="8">
        <v>36.0</v>
      </c>
      <c r="D182" s="8" t="s">
        <v>4161</v>
      </c>
      <c r="E182" s="8" t="s">
        <v>5564</v>
      </c>
      <c r="F182" s="8" t="s">
        <v>2556</v>
      </c>
      <c r="G182" s="8">
        <v>0.0</v>
      </c>
      <c r="H182" s="8" t="s">
        <v>48</v>
      </c>
      <c r="I182" s="8" t="s">
        <v>22</v>
      </c>
      <c r="J182" s="8" t="s">
        <v>225</v>
      </c>
      <c r="K182" s="8" t="s">
        <v>24</v>
      </c>
      <c r="L182" s="9">
        <v>0.25</v>
      </c>
      <c r="M182" s="9">
        <v>0.4</v>
      </c>
      <c r="N182" s="9">
        <v>0.27</v>
      </c>
      <c r="O182" s="10">
        <v>45280.0</v>
      </c>
      <c r="P182" s="11">
        <v>1.75</v>
      </c>
      <c r="Q182" s="8" t="s">
        <v>25</v>
      </c>
      <c r="R182" s="12">
        <f t="shared" si="1"/>
        <v>-0.27</v>
      </c>
      <c r="S182" s="12">
        <f t="shared" si="4"/>
        <v>10.74497</v>
      </c>
    </row>
    <row r="183">
      <c r="A183" s="15">
        <f t="shared" si="3"/>
        <v>182</v>
      </c>
      <c r="B183" s="15" t="s">
        <v>19</v>
      </c>
      <c r="C183" s="15">
        <v>0.0</v>
      </c>
      <c r="D183" s="15" t="s">
        <v>4162</v>
      </c>
      <c r="E183" s="15" t="s">
        <v>5565</v>
      </c>
      <c r="F183" s="15" t="s">
        <v>2556</v>
      </c>
      <c r="G183" s="15">
        <v>0.0</v>
      </c>
      <c r="H183" s="15" t="s">
        <v>229</v>
      </c>
      <c r="I183" s="15" t="s">
        <v>22</v>
      </c>
      <c r="J183" s="15" t="s">
        <v>225</v>
      </c>
      <c r="K183" s="15" t="s">
        <v>24</v>
      </c>
      <c r="L183" s="16">
        <v>1.0</v>
      </c>
      <c r="M183" s="16">
        <v>0.1</v>
      </c>
      <c r="N183" s="16">
        <v>0.1</v>
      </c>
      <c r="O183" s="17">
        <v>45280.0</v>
      </c>
      <c r="P183" s="18">
        <v>1.925</v>
      </c>
      <c r="Q183" s="15" t="s">
        <v>70</v>
      </c>
      <c r="R183" s="19">
        <f t="shared" si="1"/>
        <v>0</v>
      </c>
      <c r="S183" s="19">
        <f t="shared" si="4"/>
        <v>10.74497</v>
      </c>
    </row>
    <row r="184">
      <c r="A184" s="8">
        <f t="shared" si="3"/>
        <v>183</v>
      </c>
      <c r="B184" s="8" t="s">
        <v>19</v>
      </c>
      <c r="C184" s="8">
        <v>60.0</v>
      </c>
      <c r="D184" s="8" t="s">
        <v>4163</v>
      </c>
      <c r="E184" s="8"/>
      <c r="F184" s="8"/>
      <c r="G184" s="8"/>
      <c r="H184" s="8" t="s">
        <v>48</v>
      </c>
      <c r="I184" s="8" t="s">
        <v>22</v>
      </c>
      <c r="J184" s="8" t="s">
        <v>440</v>
      </c>
      <c r="K184" s="8" t="s">
        <v>24</v>
      </c>
      <c r="L184" s="9">
        <v>3.75</v>
      </c>
      <c r="M184" s="9">
        <v>0.15</v>
      </c>
      <c r="N184" s="9">
        <v>0.15</v>
      </c>
      <c r="O184" s="10">
        <v>45280.0</v>
      </c>
      <c r="P184" s="11">
        <v>1.75</v>
      </c>
      <c r="Q184" s="8" t="s">
        <v>996</v>
      </c>
      <c r="R184" s="12">
        <f t="shared" si="1"/>
        <v>0.05625</v>
      </c>
      <c r="S184" s="12">
        <f t="shared" si="4"/>
        <v>10.80122</v>
      </c>
    </row>
    <row r="185">
      <c r="A185" s="15">
        <f t="shared" si="3"/>
        <v>184</v>
      </c>
      <c r="B185" s="15" t="s">
        <v>19</v>
      </c>
      <c r="C185" s="15">
        <v>70.0</v>
      </c>
      <c r="D185" s="15" t="s">
        <v>4164</v>
      </c>
      <c r="E185" s="15" t="s">
        <v>5565</v>
      </c>
      <c r="F185" s="15" t="s">
        <v>2660</v>
      </c>
      <c r="G185" s="15">
        <v>0.0</v>
      </c>
      <c r="H185" s="15" t="s">
        <v>48</v>
      </c>
      <c r="I185" s="15" t="s">
        <v>22</v>
      </c>
      <c r="J185" s="15" t="s">
        <v>892</v>
      </c>
      <c r="K185" s="15" t="s">
        <v>24</v>
      </c>
      <c r="L185" s="16">
        <v>0.0</v>
      </c>
      <c r="M185" s="16">
        <v>0.2</v>
      </c>
      <c r="N185" s="16">
        <v>0.02762</v>
      </c>
      <c r="O185" s="17">
        <v>45280.0</v>
      </c>
      <c r="P185" s="18">
        <v>1.75</v>
      </c>
      <c r="Q185" s="15" t="s">
        <v>25</v>
      </c>
      <c r="R185" s="19">
        <f t="shared" si="1"/>
        <v>-0.02762</v>
      </c>
      <c r="S185" s="19">
        <f t="shared" si="4"/>
        <v>10.7736</v>
      </c>
    </row>
    <row r="186">
      <c r="A186" s="8">
        <f t="shared" si="3"/>
        <v>185</v>
      </c>
      <c r="B186" s="8" t="s">
        <v>19</v>
      </c>
      <c r="C186" s="8">
        <v>80.0</v>
      </c>
      <c r="D186" s="8" t="s">
        <v>4165</v>
      </c>
      <c r="E186" s="8" t="s">
        <v>5564</v>
      </c>
      <c r="F186" s="8" t="s">
        <v>2660</v>
      </c>
      <c r="G186" s="8">
        <v>-1.0</v>
      </c>
      <c r="H186" s="8" t="s">
        <v>952</v>
      </c>
      <c r="I186" s="8" t="s">
        <v>22</v>
      </c>
      <c r="J186" s="8" t="s">
        <v>892</v>
      </c>
      <c r="K186" s="8" t="s">
        <v>24</v>
      </c>
      <c r="L186" s="9">
        <v>0.0</v>
      </c>
      <c r="M186" s="9">
        <v>0.5</v>
      </c>
      <c r="N186" s="9">
        <v>0.5</v>
      </c>
      <c r="O186" s="10">
        <v>45280.0</v>
      </c>
      <c r="P186" s="11">
        <v>2.1</v>
      </c>
      <c r="Q186" s="8" t="s">
        <v>70</v>
      </c>
      <c r="R186" s="12">
        <f t="shared" si="1"/>
        <v>0</v>
      </c>
      <c r="S186" s="12">
        <f t="shared" si="4"/>
        <v>10.7736</v>
      </c>
    </row>
    <row r="187">
      <c r="A187" s="15">
        <f t="shared" si="3"/>
        <v>186</v>
      </c>
      <c r="B187" s="15" t="s">
        <v>19</v>
      </c>
      <c r="C187" s="15"/>
      <c r="D187" s="15" t="s">
        <v>4166</v>
      </c>
      <c r="E187" s="15" t="s">
        <v>5565</v>
      </c>
      <c r="F187" s="15" t="s">
        <v>2660</v>
      </c>
      <c r="G187" s="15">
        <v>0.0</v>
      </c>
      <c r="H187" s="15" t="s">
        <v>42</v>
      </c>
      <c r="I187" s="15" t="s">
        <v>22</v>
      </c>
      <c r="J187" s="15" t="s">
        <v>892</v>
      </c>
      <c r="K187" s="15" t="s">
        <v>24</v>
      </c>
      <c r="L187" s="16">
        <v>0.0</v>
      </c>
      <c r="M187" s="16">
        <v>0.5</v>
      </c>
      <c r="N187" s="16">
        <v>0.5</v>
      </c>
      <c r="O187" s="17">
        <v>45280.0</v>
      </c>
      <c r="P187" s="18">
        <v>1.9</v>
      </c>
      <c r="Q187" s="15" t="s">
        <v>33</v>
      </c>
      <c r="R187" s="19">
        <f t="shared" si="1"/>
        <v>0.45</v>
      </c>
      <c r="S187" s="19">
        <f t="shared" si="4"/>
        <v>11.2236</v>
      </c>
    </row>
    <row r="188">
      <c r="A188" s="8">
        <f t="shared" si="3"/>
        <v>187</v>
      </c>
      <c r="B188" s="8" t="s">
        <v>40</v>
      </c>
      <c r="C188" s="8"/>
      <c r="D188" s="8" t="s">
        <v>4167</v>
      </c>
      <c r="E188" s="8" t="s">
        <v>5564</v>
      </c>
      <c r="F188" s="8" t="s">
        <v>2556</v>
      </c>
      <c r="G188" s="8">
        <v>0.0</v>
      </c>
      <c r="H188" s="8" t="s">
        <v>42</v>
      </c>
      <c r="I188" s="8" t="s">
        <v>22</v>
      </c>
      <c r="J188" s="8" t="s">
        <v>225</v>
      </c>
      <c r="K188" s="8" t="s">
        <v>24</v>
      </c>
      <c r="L188" s="9">
        <v>0.5</v>
      </c>
      <c r="M188" s="9">
        <v>0.6</v>
      </c>
      <c r="N188" s="9">
        <v>0.6</v>
      </c>
      <c r="O188" s="10">
        <v>45280.0</v>
      </c>
      <c r="P188" s="11">
        <v>1.735</v>
      </c>
      <c r="Q188" s="8" t="s">
        <v>33</v>
      </c>
      <c r="R188" s="12">
        <f t="shared" si="1"/>
        <v>0.441</v>
      </c>
      <c r="S188" s="12">
        <f t="shared" si="4"/>
        <v>11.6646</v>
      </c>
    </row>
    <row r="189">
      <c r="A189" s="15">
        <f t="shared" si="3"/>
        <v>188</v>
      </c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6"/>
      <c r="M189" s="16"/>
      <c r="N189" s="16"/>
      <c r="O189" s="17"/>
      <c r="P189" s="18"/>
      <c r="Q189" s="15"/>
      <c r="R189" s="19" t="str">
        <f t="shared" si="1"/>
        <v/>
      </c>
      <c r="S189" s="19">
        <f t="shared" si="4"/>
        <v>11.6646</v>
      </c>
    </row>
    <row r="190">
      <c r="A190" s="8">
        <f t="shared" si="3"/>
        <v>189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9"/>
      <c r="M190" s="9"/>
      <c r="N190" s="9"/>
      <c r="O190" s="10"/>
      <c r="P190" s="11"/>
      <c r="Q190" s="8"/>
      <c r="R190" s="12" t="str">
        <f t="shared" si="1"/>
        <v/>
      </c>
      <c r="S190" s="12">
        <f t="shared" si="4"/>
        <v>11.6646</v>
      </c>
    </row>
    <row r="191">
      <c r="A191" s="15">
        <f t="shared" si="3"/>
        <v>190</v>
      </c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6"/>
      <c r="M191" s="16"/>
      <c r="N191" s="16"/>
      <c r="O191" s="55"/>
      <c r="P191" s="18"/>
      <c r="Q191" s="15"/>
      <c r="R191" s="19" t="str">
        <f t="shared" si="1"/>
        <v/>
      </c>
      <c r="S191" s="19">
        <f t="shared" si="4"/>
        <v>11.6646</v>
      </c>
    </row>
    <row r="192">
      <c r="A192" s="8">
        <f t="shared" si="3"/>
        <v>191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9"/>
      <c r="M192" s="9"/>
      <c r="N192" s="9"/>
      <c r="O192" s="10"/>
      <c r="P192" s="11"/>
      <c r="Q192" s="8"/>
      <c r="R192" s="12" t="str">
        <f t="shared" si="1"/>
        <v/>
      </c>
      <c r="S192" s="12">
        <f t="shared" si="4"/>
        <v>11.6646</v>
      </c>
    </row>
    <row r="193">
      <c r="A193" s="15">
        <f t="shared" si="3"/>
        <v>192</v>
      </c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6"/>
      <c r="M193" s="16"/>
      <c r="N193" s="16"/>
      <c r="O193" s="17"/>
      <c r="P193" s="18"/>
      <c r="Q193" s="15"/>
      <c r="R193" s="19" t="str">
        <f t="shared" si="1"/>
        <v/>
      </c>
      <c r="S193" s="19">
        <f t="shared" si="4"/>
        <v>11.6646</v>
      </c>
    </row>
    <row r="194">
      <c r="A194" s="8">
        <f t="shared" si="3"/>
        <v>193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9"/>
      <c r="M194" s="9"/>
      <c r="N194" s="9"/>
      <c r="O194" s="10"/>
      <c r="P194" s="11"/>
      <c r="Q194" s="8"/>
      <c r="R194" s="12" t="str">
        <f t="shared" si="1"/>
        <v/>
      </c>
      <c r="S194" s="12">
        <f t="shared" si="4"/>
        <v>11.6646</v>
      </c>
    </row>
    <row r="195">
      <c r="A195" s="15">
        <f t="shared" si="3"/>
        <v>194</v>
      </c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6"/>
      <c r="M195" s="16"/>
      <c r="N195" s="16"/>
      <c r="O195" s="17"/>
      <c r="P195" s="18"/>
      <c r="Q195" s="15"/>
      <c r="R195" s="19" t="str">
        <f t="shared" si="1"/>
        <v/>
      </c>
      <c r="S195" s="19">
        <f t="shared" si="4"/>
        <v>11.6646</v>
      </c>
    </row>
    <row r="196">
      <c r="A196" s="8">
        <f t="shared" si="3"/>
        <v>195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9"/>
      <c r="M196" s="9"/>
      <c r="N196" s="9"/>
      <c r="O196" s="10"/>
      <c r="P196" s="11"/>
      <c r="Q196" s="8"/>
      <c r="R196" s="12" t="str">
        <f t="shared" si="1"/>
        <v/>
      </c>
      <c r="S196" s="12">
        <f t="shared" si="4"/>
        <v>11.6646</v>
      </c>
    </row>
    <row r="197">
      <c r="A197" s="15">
        <f t="shared" si="3"/>
        <v>196</v>
      </c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6"/>
      <c r="M197" s="16"/>
      <c r="N197" s="16"/>
      <c r="O197" s="17"/>
      <c r="P197" s="18"/>
      <c r="Q197" s="15"/>
      <c r="R197" s="19" t="str">
        <f t="shared" si="1"/>
        <v/>
      </c>
      <c r="S197" s="19">
        <f t="shared" si="4"/>
        <v>11.6646</v>
      </c>
    </row>
    <row r="198">
      <c r="A198" s="8">
        <f t="shared" si="3"/>
        <v>197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9"/>
      <c r="M198" s="9"/>
      <c r="N198" s="9"/>
      <c r="O198" s="10"/>
      <c r="P198" s="11"/>
      <c r="Q198" s="8"/>
      <c r="R198" s="12" t="str">
        <f t="shared" si="1"/>
        <v/>
      </c>
      <c r="S198" s="12">
        <f t="shared" si="4"/>
        <v>11.6646</v>
      </c>
    </row>
    <row r="199">
      <c r="A199" s="15">
        <f t="shared" si="3"/>
        <v>198</v>
      </c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6"/>
      <c r="M199" s="16"/>
      <c r="N199" s="16"/>
      <c r="O199" s="17"/>
      <c r="P199" s="18"/>
      <c r="Q199" s="15"/>
      <c r="R199" s="19" t="str">
        <f t="shared" si="1"/>
        <v/>
      </c>
      <c r="S199" s="19">
        <f t="shared" si="4"/>
        <v>11.6646</v>
      </c>
    </row>
    <row r="200">
      <c r="A200" s="8">
        <f t="shared" si="3"/>
        <v>199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9"/>
      <c r="M200" s="9"/>
      <c r="N200" s="9"/>
      <c r="O200" s="10"/>
      <c r="P200" s="11"/>
      <c r="Q200" s="8"/>
      <c r="R200" s="12" t="str">
        <f t="shared" si="1"/>
        <v/>
      </c>
      <c r="S200" s="12">
        <f t="shared" si="4"/>
        <v>11.6646</v>
      </c>
    </row>
    <row r="201">
      <c r="A201" s="15">
        <f t="shared" si="3"/>
        <v>200</v>
      </c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6"/>
      <c r="M201" s="16"/>
      <c r="N201" s="16"/>
      <c r="O201" s="17"/>
      <c r="P201" s="18"/>
      <c r="Q201" s="15"/>
      <c r="R201" s="19" t="str">
        <f t="shared" si="1"/>
        <v/>
      </c>
      <c r="S201" s="19">
        <f t="shared" si="4"/>
        <v>11.6646</v>
      </c>
    </row>
    <row r="202">
      <c r="A202" s="8">
        <f t="shared" si="3"/>
        <v>201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9"/>
      <c r="M202" s="9"/>
      <c r="N202" s="9"/>
      <c r="O202" s="10"/>
      <c r="P202" s="11"/>
      <c r="Q202" s="8"/>
      <c r="R202" s="12" t="str">
        <f t="shared" si="1"/>
        <v/>
      </c>
      <c r="S202" s="12">
        <f t="shared" si="4"/>
        <v>11.6646</v>
      </c>
    </row>
    <row r="203">
      <c r="A203" s="15">
        <f t="shared" si="3"/>
        <v>202</v>
      </c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6"/>
      <c r="M203" s="16"/>
      <c r="N203" s="16"/>
      <c r="O203" s="17"/>
      <c r="P203" s="18"/>
      <c r="Q203" s="15"/>
      <c r="R203" s="19" t="str">
        <f t="shared" si="1"/>
        <v/>
      </c>
      <c r="S203" s="19">
        <f t="shared" si="4"/>
        <v>11.6646</v>
      </c>
    </row>
    <row r="204">
      <c r="A204" s="8">
        <f t="shared" si="3"/>
        <v>203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9"/>
      <c r="M204" s="9"/>
      <c r="N204" s="9"/>
      <c r="O204" s="10"/>
      <c r="P204" s="11"/>
      <c r="Q204" s="8"/>
      <c r="R204" s="12" t="str">
        <f t="shared" si="1"/>
        <v/>
      </c>
      <c r="S204" s="12">
        <f t="shared" si="4"/>
        <v>11.6646</v>
      </c>
    </row>
    <row r="205">
      <c r="A205" s="15">
        <f t="shared" si="3"/>
        <v>204</v>
      </c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6"/>
      <c r="M205" s="16"/>
      <c r="N205" s="16"/>
      <c r="O205" s="17"/>
      <c r="P205" s="18"/>
      <c r="Q205" s="15"/>
      <c r="R205" s="19" t="str">
        <f t="shared" si="1"/>
        <v/>
      </c>
      <c r="S205" s="19">
        <f t="shared" si="4"/>
        <v>11.6646</v>
      </c>
    </row>
    <row r="206">
      <c r="A206" s="8">
        <f t="shared" si="3"/>
        <v>205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9"/>
      <c r="M206" s="9"/>
      <c r="N206" s="9"/>
      <c r="O206" s="10"/>
      <c r="P206" s="11"/>
      <c r="Q206" s="8"/>
      <c r="R206" s="12" t="str">
        <f t="shared" si="1"/>
        <v/>
      </c>
      <c r="S206" s="12">
        <f t="shared" si="4"/>
        <v>11.6646</v>
      </c>
    </row>
    <row r="207">
      <c r="A207" s="15">
        <f t="shared" si="3"/>
        <v>206</v>
      </c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6"/>
      <c r="M207" s="16"/>
      <c r="N207" s="16"/>
      <c r="O207" s="17"/>
      <c r="P207" s="18"/>
      <c r="Q207" s="15"/>
      <c r="R207" s="19" t="str">
        <f t="shared" si="1"/>
        <v/>
      </c>
      <c r="S207" s="19">
        <f t="shared" si="4"/>
        <v>11.6646</v>
      </c>
    </row>
    <row r="208">
      <c r="A208" s="8">
        <f t="shared" si="3"/>
        <v>207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9"/>
      <c r="M208" s="9"/>
      <c r="N208" s="9"/>
      <c r="O208" s="10"/>
      <c r="P208" s="11"/>
      <c r="Q208" s="8"/>
      <c r="R208" s="12" t="str">
        <f t="shared" si="1"/>
        <v/>
      </c>
      <c r="S208" s="12">
        <f t="shared" si="4"/>
        <v>11.6646</v>
      </c>
    </row>
    <row r="209">
      <c r="A209" s="15">
        <f t="shared" si="3"/>
        <v>208</v>
      </c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6"/>
      <c r="M209" s="16"/>
      <c r="N209" s="16"/>
      <c r="O209" s="17"/>
      <c r="P209" s="18"/>
      <c r="Q209" s="15"/>
      <c r="R209" s="19" t="str">
        <f t="shared" si="1"/>
        <v/>
      </c>
      <c r="S209" s="19">
        <f t="shared" si="4"/>
        <v>11.6646</v>
      </c>
    </row>
    <row r="210">
      <c r="A210" s="8">
        <f t="shared" si="3"/>
        <v>209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9"/>
      <c r="M210" s="9"/>
      <c r="N210" s="9"/>
      <c r="O210" s="10"/>
      <c r="P210" s="11"/>
      <c r="Q210" s="8"/>
      <c r="R210" s="12" t="str">
        <f t="shared" si="1"/>
        <v/>
      </c>
      <c r="S210" s="12">
        <f t="shared" si="4"/>
        <v>11.6646</v>
      </c>
    </row>
    <row r="211">
      <c r="A211" s="15">
        <f t="shared" si="3"/>
        <v>210</v>
      </c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6"/>
      <c r="M211" s="16"/>
      <c r="N211" s="16"/>
      <c r="O211" s="17"/>
      <c r="P211" s="18"/>
      <c r="Q211" s="15"/>
      <c r="R211" s="19" t="str">
        <f t="shared" si="1"/>
        <v/>
      </c>
      <c r="S211" s="19">
        <f t="shared" si="4"/>
        <v>11.6646</v>
      </c>
    </row>
    <row r="212">
      <c r="A212" s="8">
        <f t="shared" si="3"/>
        <v>211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9"/>
      <c r="M212" s="9"/>
      <c r="N212" s="9"/>
      <c r="O212" s="10"/>
      <c r="P212" s="11"/>
      <c r="Q212" s="8"/>
      <c r="R212" s="12" t="str">
        <f t="shared" si="1"/>
        <v/>
      </c>
      <c r="S212" s="12">
        <f t="shared" si="4"/>
        <v>11.6646</v>
      </c>
    </row>
    <row r="213">
      <c r="A213" s="15">
        <f t="shared" si="3"/>
        <v>212</v>
      </c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6"/>
      <c r="M213" s="16"/>
      <c r="N213" s="16"/>
      <c r="O213" s="17"/>
      <c r="P213" s="18"/>
      <c r="Q213" s="15"/>
      <c r="R213" s="19" t="str">
        <f t="shared" si="1"/>
        <v/>
      </c>
      <c r="S213" s="19">
        <f t="shared" si="4"/>
        <v>11.6646</v>
      </c>
    </row>
    <row r="214">
      <c r="A214" s="8">
        <f t="shared" si="3"/>
        <v>213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9"/>
      <c r="M214" s="9"/>
      <c r="N214" s="9"/>
      <c r="O214" s="10"/>
      <c r="P214" s="11"/>
      <c r="Q214" s="8"/>
      <c r="R214" s="12" t="str">
        <f t="shared" si="1"/>
        <v/>
      </c>
      <c r="S214" s="12">
        <f t="shared" si="4"/>
        <v>11.6646</v>
      </c>
    </row>
    <row r="215">
      <c r="A215" s="15">
        <f t="shared" si="3"/>
        <v>214</v>
      </c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6"/>
      <c r="M215" s="16"/>
      <c r="N215" s="16"/>
      <c r="O215" s="17"/>
      <c r="P215" s="18"/>
      <c r="Q215" s="15"/>
      <c r="R215" s="19" t="str">
        <f t="shared" si="1"/>
        <v/>
      </c>
      <c r="S215" s="19">
        <f t="shared" si="4"/>
        <v>11.6646</v>
      </c>
    </row>
    <row r="216">
      <c r="A216" s="8">
        <f t="shared" si="3"/>
        <v>215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9"/>
      <c r="M216" s="9"/>
      <c r="N216" s="9"/>
      <c r="O216" s="10"/>
      <c r="P216" s="11"/>
      <c r="Q216" s="8"/>
      <c r="R216" s="12" t="str">
        <f t="shared" si="1"/>
        <v/>
      </c>
      <c r="S216" s="12">
        <f t="shared" si="4"/>
        <v>11.6646</v>
      </c>
    </row>
    <row r="217">
      <c r="A217" s="15">
        <f t="shared" si="3"/>
        <v>216</v>
      </c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6"/>
      <c r="M217" s="16"/>
      <c r="N217" s="16"/>
      <c r="O217" s="17"/>
      <c r="P217" s="18"/>
      <c r="Q217" s="15"/>
      <c r="R217" s="19" t="str">
        <f t="shared" si="1"/>
        <v/>
      </c>
      <c r="S217" s="19">
        <f t="shared" si="4"/>
        <v>11.6646</v>
      </c>
    </row>
    <row r="218">
      <c r="A218" s="8">
        <f t="shared" si="3"/>
        <v>217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9"/>
      <c r="M218" s="9"/>
      <c r="N218" s="9"/>
      <c r="O218" s="10"/>
      <c r="P218" s="11"/>
      <c r="Q218" s="8"/>
      <c r="R218" s="12" t="str">
        <f t="shared" si="1"/>
        <v/>
      </c>
      <c r="S218" s="12">
        <f t="shared" si="4"/>
        <v>11.6646</v>
      </c>
    </row>
    <row r="219">
      <c r="A219" s="15">
        <f t="shared" si="3"/>
        <v>218</v>
      </c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6"/>
      <c r="M219" s="16"/>
      <c r="N219" s="16"/>
      <c r="O219" s="17"/>
      <c r="P219" s="18"/>
      <c r="Q219" s="15"/>
      <c r="R219" s="19" t="str">
        <f t="shared" si="1"/>
        <v/>
      </c>
      <c r="S219" s="19">
        <f t="shared" si="4"/>
        <v>11.6646</v>
      </c>
    </row>
    <row r="220">
      <c r="A220" s="8">
        <f t="shared" si="3"/>
        <v>219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9"/>
      <c r="M220" s="9"/>
      <c r="N220" s="9"/>
      <c r="O220" s="10"/>
      <c r="P220" s="11"/>
      <c r="Q220" s="8"/>
      <c r="R220" s="12" t="str">
        <f t="shared" si="1"/>
        <v/>
      </c>
      <c r="S220" s="12">
        <f t="shared" si="4"/>
        <v>11.6646</v>
      </c>
    </row>
    <row r="221">
      <c r="A221" s="15">
        <f t="shared" si="3"/>
        <v>220</v>
      </c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6"/>
      <c r="M221" s="16"/>
      <c r="N221" s="16"/>
      <c r="O221" s="57"/>
      <c r="P221" s="18"/>
      <c r="Q221" s="15"/>
      <c r="R221" s="19" t="str">
        <f t="shared" si="1"/>
        <v/>
      </c>
      <c r="S221" s="19">
        <f t="shared" si="4"/>
        <v>11.6646</v>
      </c>
    </row>
    <row r="222">
      <c r="A222" s="8">
        <f t="shared" si="3"/>
        <v>221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9"/>
      <c r="M222" s="9"/>
      <c r="N222" s="9"/>
      <c r="O222" s="10"/>
      <c r="P222" s="11"/>
      <c r="Q222" s="8"/>
      <c r="R222" s="12" t="str">
        <f t="shared" si="1"/>
        <v/>
      </c>
      <c r="S222" s="12">
        <f t="shared" si="4"/>
        <v>11.6646</v>
      </c>
    </row>
    <row r="223">
      <c r="A223" s="15">
        <f t="shared" si="3"/>
        <v>222</v>
      </c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6"/>
      <c r="M223" s="16"/>
      <c r="N223" s="16"/>
      <c r="O223" s="17"/>
      <c r="P223" s="18"/>
      <c r="Q223" s="15"/>
      <c r="R223" s="19" t="str">
        <f t="shared" si="1"/>
        <v/>
      </c>
      <c r="S223" s="19">
        <f t="shared" si="4"/>
        <v>11.6646</v>
      </c>
    </row>
    <row r="224">
      <c r="A224" s="8">
        <f t="shared" si="3"/>
        <v>223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9"/>
      <c r="M224" s="9"/>
      <c r="N224" s="9"/>
      <c r="O224" s="10"/>
      <c r="P224" s="11"/>
      <c r="Q224" s="8"/>
      <c r="R224" s="12" t="str">
        <f t="shared" si="1"/>
        <v/>
      </c>
      <c r="S224" s="12">
        <f t="shared" si="4"/>
        <v>11.6646</v>
      </c>
    </row>
    <row r="225">
      <c r="A225" s="15">
        <f t="shared" si="3"/>
        <v>224</v>
      </c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6"/>
      <c r="M225" s="16"/>
      <c r="N225" s="16"/>
      <c r="O225" s="17"/>
      <c r="P225" s="18"/>
      <c r="Q225" s="15"/>
      <c r="R225" s="19" t="str">
        <f t="shared" si="1"/>
        <v/>
      </c>
      <c r="S225" s="19">
        <f t="shared" si="4"/>
        <v>11.6646</v>
      </c>
    </row>
    <row r="226">
      <c r="A226" s="8">
        <f t="shared" si="3"/>
        <v>225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9"/>
      <c r="M226" s="9"/>
      <c r="N226" s="9"/>
      <c r="O226" s="10"/>
      <c r="P226" s="11"/>
      <c r="Q226" s="8"/>
      <c r="R226" s="12" t="str">
        <f t="shared" si="1"/>
        <v/>
      </c>
      <c r="S226" s="12">
        <f t="shared" si="4"/>
        <v>11.6646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6"/>
      <c r="M227" s="16"/>
      <c r="N227" s="16"/>
      <c r="O227" s="17"/>
      <c r="P227" s="18"/>
      <c r="Q227" s="15"/>
      <c r="R227" s="19" t="str">
        <f t="shared" si="1"/>
        <v/>
      </c>
      <c r="S227" s="19">
        <f t="shared" si="4"/>
        <v>11.6646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9"/>
      <c r="M228" s="9"/>
      <c r="N228" s="9"/>
      <c r="O228" s="10"/>
      <c r="P228" s="11"/>
      <c r="Q228" s="8"/>
      <c r="R228" s="12" t="str">
        <f t="shared" si="1"/>
        <v/>
      </c>
      <c r="S228" s="12">
        <f t="shared" si="4"/>
        <v>11.6646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6"/>
      <c r="M229" s="16"/>
      <c r="N229" s="16"/>
      <c r="O229" s="17"/>
      <c r="P229" s="18"/>
      <c r="Q229" s="15"/>
      <c r="R229" s="19" t="str">
        <f t="shared" si="1"/>
        <v/>
      </c>
      <c r="S229" s="19">
        <f t="shared" si="4"/>
        <v>11.6646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9"/>
      <c r="M230" s="9"/>
      <c r="N230" s="9"/>
      <c r="O230" s="10"/>
      <c r="P230" s="11"/>
      <c r="Q230" s="8"/>
      <c r="R230" s="12" t="str">
        <f t="shared" si="1"/>
        <v/>
      </c>
      <c r="S230" s="12">
        <f t="shared" si="4"/>
        <v>11.6646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6"/>
      <c r="M231" s="16"/>
      <c r="N231" s="16"/>
      <c r="O231" s="17"/>
      <c r="P231" s="18"/>
      <c r="Q231" s="15"/>
      <c r="R231" s="19" t="str">
        <f t="shared" si="1"/>
        <v/>
      </c>
      <c r="S231" s="19">
        <f t="shared" si="4"/>
        <v>11.6646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9"/>
      <c r="M232" s="9"/>
      <c r="N232" s="9"/>
      <c r="O232" s="10"/>
      <c r="P232" s="11"/>
      <c r="Q232" s="8"/>
      <c r="R232" s="12" t="str">
        <f t="shared" si="1"/>
        <v/>
      </c>
      <c r="S232" s="12">
        <f t="shared" si="4"/>
        <v>11.6646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6"/>
      <c r="M233" s="16"/>
      <c r="N233" s="16"/>
      <c r="O233" s="17"/>
      <c r="P233" s="18"/>
      <c r="Q233" s="15"/>
      <c r="R233" s="19" t="str">
        <f t="shared" si="1"/>
        <v/>
      </c>
      <c r="S233" s="19">
        <f t="shared" si="4"/>
        <v>11.6646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9"/>
      <c r="M234" s="9"/>
      <c r="N234" s="9"/>
      <c r="O234" s="10"/>
      <c r="P234" s="11"/>
      <c r="Q234" s="8"/>
      <c r="R234" s="12" t="str">
        <f t="shared" si="1"/>
        <v/>
      </c>
      <c r="S234" s="12">
        <f t="shared" si="4"/>
        <v>11.6646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6"/>
      <c r="M235" s="16"/>
      <c r="N235" s="16"/>
      <c r="O235" s="17"/>
      <c r="P235" s="18"/>
      <c r="Q235" s="15"/>
      <c r="R235" s="19" t="str">
        <f t="shared" si="1"/>
        <v/>
      </c>
      <c r="S235" s="19">
        <f t="shared" si="4"/>
        <v>11.6646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9"/>
      <c r="M236" s="9"/>
      <c r="N236" s="9"/>
      <c r="O236" s="10"/>
      <c r="P236" s="11"/>
      <c r="Q236" s="8"/>
      <c r="R236" s="12" t="str">
        <f t="shared" si="1"/>
        <v/>
      </c>
      <c r="S236" s="12">
        <f t="shared" si="4"/>
        <v>11.6646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6"/>
      <c r="M237" s="16"/>
      <c r="N237" s="16"/>
      <c r="O237" s="17"/>
      <c r="P237" s="18"/>
      <c r="Q237" s="15"/>
      <c r="R237" s="19" t="str">
        <f t="shared" si="1"/>
        <v/>
      </c>
      <c r="S237" s="19">
        <f t="shared" si="4"/>
        <v>11.6646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9"/>
      <c r="M238" s="9"/>
      <c r="N238" s="9"/>
      <c r="O238" s="10"/>
      <c r="P238" s="11"/>
      <c r="Q238" s="8"/>
      <c r="R238" s="12" t="str">
        <f t="shared" si="1"/>
        <v/>
      </c>
      <c r="S238" s="12">
        <f t="shared" si="4"/>
        <v>11.6646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6"/>
      <c r="M239" s="16"/>
      <c r="N239" s="16"/>
      <c r="O239" s="17"/>
      <c r="P239" s="18"/>
      <c r="Q239" s="15"/>
      <c r="R239" s="19" t="str">
        <f t="shared" si="1"/>
        <v/>
      </c>
      <c r="S239" s="19">
        <f t="shared" si="4"/>
        <v>11.6646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9"/>
      <c r="M240" s="9"/>
      <c r="N240" s="9"/>
      <c r="O240" s="10"/>
      <c r="P240" s="11"/>
      <c r="Q240" s="8"/>
      <c r="R240" s="12" t="str">
        <f t="shared" si="1"/>
        <v/>
      </c>
      <c r="S240" s="12">
        <f t="shared" si="4"/>
        <v>11.6646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6"/>
      <c r="M241" s="16"/>
      <c r="N241" s="16"/>
      <c r="O241" s="17"/>
      <c r="P241" s="18"/>
      <c r="Q241" s="15"/>
      <c r="R241" s="19" t="str">
        <f t="shared" si="1"/>
        <v/>
      </c>
      <c r="S241" s="19">
        <f t="shared" si="4"/>
        <v>11.6646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9"/>
      <c r="M242" s="9"/>
      <c r="N242" s="9"/>
      <c r="O242" s="54"/>
      <c r="P242" s="11"/>
      <c r="Q242" s="8"/>
      <c r="R242" s="12" t="str">
        <f t="shared" si="1"/>
        <v/>
      </c>
      <c r="S242" s="12">
        <f t="shared" si="4"/>
        <v>11.6646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6"/>
      <c r="M243" s="16"/>
      <c r="N243" s="16"/>
      <c r="O243" s="17"/>
      <c r="P243" s="18"/>
      <c r="Q243" s="15"/>
      <c r="R243" s="19" t="str">
        <f t="shared" si="1"/>
        <v/>
      </c>
      <c r="S243" s="19">
        <f t="shared" si="4"/>
        <v>11.6646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9"/>
      <c r="M244" s="9"/>
      <c r="N244" s="9"/>
      <c r="O244" s="10"/>
      <c r="P244" s="11"/>
      <c r="Q244" s="8"/>
      <c r="R244" s="12" t="str">
        <f t="shared" si="1"/>
        <v/>
      </c>
      <c r="S244" s="12">
        <f t="shared" si="4"/>
        <v>11.6646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6"/>
      <c r="M245" s="16"/>
      <c r="N245" s="16"/>
      <c r="O245" s="17"/>
      <c r="P245" s="18"/>
      <c r="Q245" s="15"/>
      <c r="R245" s="19" t="str">
        <f t="shared" si="1"/>
        <v/>
      </c>
      <c r="S245" s="19">
        <f t="shared" si="4"/>
        <v>11.6646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9"/>
      <c r="M246" s="9"/>
      <c r="N246" s="9"/>
      <c r="O246" s="10"/>
      <c r="P246" s="11"/>
      <c r="Q246" s="8"/>
      <c r="R246" s="12" t="str">
        <f t="shared" si="1"/>
        <v/>
      </c>
      <c r="S246" s="12">
        <f t="shared" si="4"/>
        <v>11.6646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6"/>
      <c r="M247" s="16"/>
      <c r="N247" s="16"/>
      <c r="O247" s="17"/>
      <c r="P247" s="18"/>
      <c r="Q247" s="15"/>
      <c r="R247" s="19" t="str">
        <f t="shared" si="1"/>
        <v/>
      </c>
      <c r="S247" s="19">
        <f t="shared" si="4"/>
        <v>11.6646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9"/>
      <c r="M248" s="9"/>
      <c r="N248" s="9"/>
      <c r="O248" s="10"/>
      <c r="P248" s="11"/>
      <c r="Q248" s="8"/>
      <c r="R248" s="12" t="str">
        <f t="shared" si="1"/>
        <v/>
      </c>
      <c r="S248" s="12">
        <f t="shared" si="4"/>
        <v>11.6646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6"/>
      <c r="M249" s="16"/>
      <c r="N249" s="16"/>
      <c r="O249" s="17"/>
      <c r="P249" s="18"/>
      <c r="Q249" s="15"/>
      <c r="R249" s="19" t="str">
        <f t="shared" si="1"/>
        <v/>
      </c>
      <c r="S249" s="19">
        <f t="shared" si="4"/>
        <v>11.6646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9"/>
      <c r="M250" s="9"/>
      <c r="N250" s="9"/>
      <c r="O250" s="10"/>
      <c r="P250" s="11"/>
      <c r="Q250" s="8"/>
      <c r="R250" s="12" t="str">
        <f t="shared" si="1"/>
        <v/>
      </c>
      <c r="S250" s="12">
        <f t="shared" si="4"/>
        <v>11.6646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6"/>
      <c r="M251" s="16"/>
      <c r="N251" s="16"/>
      <c r="O251" s="17"/>
      <c r="P251" s="18"/>
      <c r="Q251" s="15"/>
      <c r="R251" s="19" t="str">
        <f t="shared" si="1"/>
        <v/>
      </c>
      <c r="S251" s="19">
        <f t="shared" si="4"/>
        <v>11.6646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9"/>
      <c r="M252" s="9"/>
      <c r="N252" s="9"/>
      <c r="O252" s="10"/>
      <c r="P252" s="11"/>
      <c r="Q252" s="8"/>
      <c r="R252" s="12" t="str">
        <f t="shared" si="1"/>
        <v/>
      </c>
      <c r="S252" s="12">
        <f t="shared" si="4"/>
        <v>11.6646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6"/>
      <c r="M253" s="16"/>
      <c r="N253" s="16"/>
      <c r="O253" s="17"/>
      <c r="P253" s="18"/>
      <c r="Q253" s="15"/>
      <c r="R253" s="19" t="str">
        <f t="shared" si="1"/>
        <v/>
      </c>
      <c r="S253" s="19">
        <f t="shared" si="4"/>
        <v>11.6646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9"/>
      <c r="M254" s="9"/>
      <c r="N254" s="9"/>
      <c r="O254" s="10"/>
      <c r="P254" s="11"/>
      <c r="Q254" s="8"/>
      <c r="R254" s="12" t="str">
        <f t="shared" si="1"/>
        <v/>
      </c>
      <c r="S254" s="12">
        <f t="shared" si="4"/>
        <v>11.6646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6"/>
      <c r="M255" s="16"/>
      <c r="N255" s="16"/>
      <c r="O255" s="17"/>
      <c r="P255" s="18"/>
      <c r="Q255" s="15"/>
      <c r="R255" s="19" t="str">
        <f t="shared" si="1"/>
        <v/>
      </c>
      <c r="S255" s="19">
        <f t="shared" si="4"/>
        <v>11.6646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9"/>
      <c r="M256" s="9"/>
      <c r="N256" s="9"/>
      <c r="O256" s="10"/>
      <c r="P256" s="11"/>
      <c r="Q256" s="8"/>
      <c r="R256" s="12" t="str">
        <f t="shared" si="1"/>
        <v/>
      </c>
      <c r="S256" s="12">
        <f t="shared" si="4"/>
        <v>11.6646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6"/>
      <c r="M257" s="16"/>
      <c r="N257" s="16"/>
      <c r="O257" s="57"/>
      <c r="P257" s="18"/>
      <c r="Q257" s="15"/>
      <c r="R257" s="19" t="str">
        <f t="shared" si="1"/>
        <v/>
      </c>
      <c r="S257" s="19">
        <f t="shared" si="4"/>
        <v>11.6646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9"/>
      <c r="M258" s="9"/>
      <c r="N258" s="9"/>
      <c r="O258" s="10"/>
      <c r="P258" s="11"/>
      <c r="Q258" s="8"/>
      <c r="R258" s="12" t="str">
        <f t="shared" si="1"/>
        <v/>
      </c>
      <c r="S258" s="12">
        <f t="shared" si="4"/>
        <v>11.6646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6"/>
      <c r="M259" s="16"/>
      <c r="N259" s="16"/>
      <c r="O259" s="17"/>
      <c r="P259" s="18"/>
      <c r="Q259" s="15"/>
      <c r="R259" s="19" t="str">
        <f t="shared" si="1"/>
        <v/>
      </c>
      <c r="S259" s="19">
        <f t="shared" si="4"/>
        <v>11.6646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9"/>
      <c r="M260" s="9"/>
      <c r="N260" s="9"/>
      <c r="O260" s="10"/>
      <c r="P260" s="11"/>
      <c r="Q260" s="8"/>
      <c r="R260" s="12" t="str">
        <f t="shared" si="1"/>
        <v/>
      </c>
      <c r="S260" s="12">
        <f t="shared" si="4"/>
        <v>11.6646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6"/>
      <c r="M261" s="16"/>
      <c r="N261" s="16"/>
      <c r="O261" s="17"/>
      <c r="P261" s="18"/>
      <c r="Q261" s="15"/>
      <c r="R261" s="19" t="str">
        <f t="shared" si="1"/>
        <v/>
      </c>
      <c r="S261" s="19">
        <f t="shared" si="4"/>
        <v>11.6646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9"/>
      <c r="M262" s="9"/>
      <c r="N262" s="9"/>
      <c r="O262" s="10"/>
      <c r="P262" s="11"/>
      <c r="Q262" s="8"/>
      <c r="R262" s="12" t="str">
        <f t="shared" si="1"/>
        <v/>
      </c>
      <c r="S262" s="12">
        <f t="shared" si="4"/>
        <v>11.6646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6"/>
      <c r="M263" s="16"/>
      <c r="N263" s="16"/>
      <c r="O263" s="17"/>
      <c r="P263" s="18"/>
      <c r="Q263" s="15"/>
      <c r="R263" s="19" t="str">
        <f t="shared" si="1"/>
        <v/>
      </c>
      <c r="S263" s="19">
        <f t="shared" si="4"/>
        <v>11.6646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9"/>
      <c r="M264" s="9"/>
      <c r="N264" s="9"/>
      <c r="O264" s="10"/>
      <c r="P264" s="11"/>
      <c r="Q264" s="8"/>
      <c r="R264" s="12" t="str">
        <f t="shared" si="1"/>
        <v/>
      </c>
      <c r="S264" s="12">
        <f t="shared" si="4"/>
        <v>11.6646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6"/>
      <c r="M265" s="16"/>
      <c r="N265" s="16"/>
      <c r="O265" s="17"/>
      <c r="P265" s="18"/>
      <c r="Q265" s="15"/>
      <c r="R265" s="19" t="str">
        <f t="shared" si="1"/>
        <v/>
      </c>
      <c r="S265" s="19">
        <f t="shared" si="4"/>
        <v>11.6646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9"/>
      <c r="M266" s="9"/>
      <c r="N266" s="9"/>
      <c r="O266" s="10"/>
      <c r="P266" s="11"/>
      <c r="Q266" s="8"/>
      <c r="R266" s="12" t="str">
        <f t="shared" si="1"/>
        <v/>
      </c>
      <c r="S266" s="12">
        <f t="shared" si="4"/>
        <v>11.6646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6"/>
      <c r="M267" s="16"/>
      <c r="N267" s="16"/>
      <c r="O267" s="17"/>
      <c r="P267" s="18"/>
      <c r="Q267" s="15"/>
      <c r="R267" s="19" t="str">
        <f t="shared" si="1"/>
        <v/>
      </c>
      <c r="S267" s="19">
        <f t="shared" si="4"/>
        <v>11.6646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9"/>
      <c r="M268" s="9"/>
      <c r="N268" s="9"/>
      <c r="O268" s="10"/>
      <c r="P268" s="11"/>
      <c r="Q268" s="8"/>
      <c r="R268" s="12" t="str">
        <f t="shared" si="1"/>
        <v/>
      </c>
      <c r="S268" s="12">
        <f t="shared" si="4"/>
        <v>11.6646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6"/>
      <c r="M269" s="16"/>
      <c r="N269" s="16"/>
      <c r="O269" s="17"/>
      <c r="P269" s="18"/>
      <c r="Q269" s="15"/>
      <c r="R269" s="19" t="str">
        <f t="shared" si="1"/>
        <v/>
      </c>
      <c r="S269" s="19">
        <f t="shared" si="4"/>
        <v>11.6646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9"/>
      <c r="M270" s="9"/>
      <c r="N270" s="9"/>
      <c r="O270" s="10"/>
      <c r="P270" s="11"/>
      <c r="Q270" s="8"/>
      <c r="R270" s="12" t="str">
        <f t="shared" si="1"/>
        <v/>
      </c>
      <c r="S270" s="12">
        <f t="shared" si="4"/>
        <v>11.6646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6"/>
      <c r="M271" s="16"/>
      <c r="N271" s="16"/>
      <c r="O271" s="17"/>
      <c r="P271" s="18"/>
      <c r="Q271" s="15"/>
      <c r="R271" s="19" t="str">
        <f t="shared" si="1"/>
        <v/>
      </c>
      <c r="S271" s="19">
        <f t="shared" si="4"/>
        <v>11.6646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9"/>
      <c r="M272" s="9"/>
      <c r="N272" s="9"/>
      <c r="O272" s="10"/>
      <c r="P272" s="11"/>
      <c r="Q272" s="8"/>
      <c r="R272" s="12" t="str">
        <f t="shared" si="1"/>
        <v/>
      </c>
      <c r="S272" s="12">
        <f t="shared" si="4"/>
        <v>11.6646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6"/>
      <c r="M273" s="16"/>
      <c r="N273" s="16"/>
      <c r="O273" s="17"/>
      <c r="P273" s="18"/>
      <c r="Q273" s="15"/>
      <c r="R273" s="19" t="str">
        <f t="shared" si="1"/>
        <v/>
      </c>
      <c r="S273" s="19">
        <f t="shared" si="4"/>
        <v>11.6646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9"/>
      <c r="M274" s="9"/>
      <c r="N274" s="9"/>
      <c r="O274" s="10"/>
      <c r="P274" s="11"/>
      <c r="Q274" s="8"/>
      <c r="R274" s="12" t="str">
        <f t="shared" si="1"/>
        <v/>
      </c>
      <c r="S274" s="12">
        <f t="shared" si="4"/>
        <v>11.6646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6"/>
      <c r="M275" s="16"/>
      <c r="N275" s="16"/>
      <c r="O275" s="17"/>
      <c r="P275" s="18"/>
      <c r="Q275" s="15"/>
      <c r="R275" s="19" t="str">
        <f t="shared" si="1"/>
        <v/>
      </c>
      <c r="S275" s="19">
        <f t="shared" si="4"/>
        <v>11.6646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9"/>
      <c r="M276" s="9"/>
      <c r="N276" s="9"/>
      <c r="O276" s="10"/>
      <c r="P276" s="11"/>
      <c r="Q276" s="8"/>
      <c r="R276" s="12" t="str">
        <f t="shared" si="1"/>
        <v/>
      </c>
      <c r="S276" s="12">
        <f t="shared" si="4"/>
        <v>11.6646</v>
      </c>
    </row>
    <row r="277">
      <c r="A277" s="15">
        <f t="shared" si="3"/>
        <v>276</v>
      </c>
      <c r="B277" s="15"/>
      <c r="C277" s="15"/>
      <c r="D277" s="15"/>
      <c r="E277" s="139"/>
      <c r="F277" s="139"/>
      <c r="G277" s="139"/>
      <c r="H277" s="15"/>
      <c r="I277" s="15"/>
      <c r="J277" s="15"/>
      <c r="K277" s="15"/>
      <c r="L277" s="16"/>
      <c r="M277" s="16"/>
      <c r="N277" s="16"/>
      <c r="O277" s="17"/>
      <c r="P277" s="18"/>
      <c r="Q277" s="15"/>
      <c r="R277" s="19" t="str">
        <f t="shared" si="1"/>
        <v/>
      </c>
      <c r="S277" s="19">
        <f t="shared" si="4"/>
        <v>11.6646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9"/>
      <c r="M278" s="9"/>
      <c r="N278" s="9"/>
      <c r="O278" s="10"/>
      <c r="P278" s="11"/>
      <c r="Q278" s="8"/>
      <c r="R278" s="12" t="str">
        <f t="shared" si="1"/>
        <v/>
      </c>
      <c r="S278" s="12">
        <f t="shared" si="4"/>
        <v>11.6646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6"/>
      <c r="M279" s="16"/>
      <c r="N279" s="16"/>
      <c r="O279" s="17"/>
      <c r="P279" s="18"/>
      <c r="Q279" s="15"/>
      <c r="R279" s="19" t="str">
        <f t="shared" si="1"/>
        <v/>
      </c>
      <c r="S279" s="19">
        <f t="shared" si="4"/>
        <v>11.6646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9"/>
      <c r="M280" s="9"/>
      <c r="N280" s="9"/>
      <c r="O280" s="10"/>
      <c r="P280" s="11"/>
      <c r="Q280" s="8"/>
      <c r="R280" s="12" t="str">
        <f t="shared" si="1"/>
        <v/>
      </c>
      <c r="S280" s="12">
        <f t="shared" si="4"/>
        <v>11.6646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6"/>
      <c r="M281" s="16"/>
      <c r="N281" s="16"/>
      <c r="O281" s="17"/>
      <c r="P281" s="18"/>
      <c r="Q281" s="15"/>
      <c r="R281" s="19" t="str">
        <f t="shared" si="1"/>
        <v/>
      </c>
      <c r="S281" s="19">
        <f t="shared" si="4"/>
        <v>11.6646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9"/>
      <c r="M282" s="9"/>
      <c r="N282" s="9"/>
      <c r="O282" s="10"/>
      <c r="P282" s="11"/>
      <c r="Q282" s="8"/>
      <c r="R282" s="12" t="str">
        <f t="shared" si="1"/>
        <v/>
      </c>
      <c r="S282" s="12">
        <f t="shared" si="4"/>
        <v>11.6646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6"/>
      <c r="M283" s="16"/>
      <c r="N283" s="16"/>
      <c r="O283" s="17"/>
      <c r="P283" s="18"/>
      <c r="Q283" s="15"/>
      <c r="R283" s="19" t="str">
        <f t="shared" si="1"/>
        <v/>
      </c>
      <c r="S283" s="19">
        <f t="shared" si="4"/>
        <v>11.6646</v>
      </c>
    </row>
    <row r="284">
      <c r="A284" s="8">
        <f t="shared" si="3"/>
        <v>283</v>
      </c>
      <c r="B284" s="8"/>
      <c r="C284" s="8"/>
      <c r="D284" s="31"/>
      <c r="E284" s="32"/>
      <c r="F284" s="32"/>
      <c r="G284" s="32"/>
      <c r="H284" s="32"/>
      <c r="I284" s="32"/>
      <c r="J284" s="32"/>
      <c r="K284" s="32"/>
      <c r="L284" s="33"/>
      <c r="M284" s="9"/>
      <c r="N284" s="9"/>
      <c r="O284" s="10"/>
      <c r="P284" s="11"/>
      <c r="Q284" s="8"/>
      <c r="R284" s="12" t="str">
        <f t="shared" si="1"/>
        <v/>
      </c>
      <c r="S284" s="12">
        <f t="shared" si="4"/>
        <v>11.6646</v>
      </c>
    </row>
    <row r="285">
      <c r="A285" s="15">
        <f t="shared" si="3"/>
        <v>284</v>
      </c>
      <c r="B285" s="15"/>
      <c r="C285" s="15"/>
      <c r="D285" s="36"/>
      <c r="E285" s="37"/>
      <c r="F285" s="37"/>
      <c r="G285" s="37"/>
      <c r="H285" s="37"/>
      <c r="I285" s="37"/>
      <c r="J285" s="37"/>
      <c r="K285" s="37"/>
      <c r="L285" s="24"/>
      <c r="M285" s="16"/>
      <c r="N285" s="16"/>
      <c r="O285" s="17"/>
      <c r="P285" s="18"/>
      <c r="Q285" s="15"/>
      <c r="R285" s="19" t="str">
        <f t="shared" si="1"/>
        <v/>
      </c>
      <c r="S285" s="19">
        <f t="shared" si="4"/>
        <v>11.6646</v>
      </c>
    </row>
    <row r="286">
      <c r="A286" s="8">
        <f t="shared" si="3"/>
        <v>285</v>
      </c>
      <c r="B286" s="8"/>
      <c r="C286" s="158"/>
      <c r="D286" s="185"/>
      <c r="E286" s="47"/>
      <c r="F286" s="47"/>
      <c r="G286" s="47"/>
      <c r="H286" s="47"/>
      <c r="I286" s="47"/>
      <c r="J286" s="47"/>
      <c r="K286" s="32"/>
      <c r="L286" s="9"/>
      <c r="M286" s="9"/>
      <c r="N286" s="9"/>
      <c r="O286" s="10"/>
      <c r="P286" s="11"/>
      <c r="Q286" s="8"/>
      <c r="R286" s="12" t="str">
        <f t="shared" si="1"/>
        <v/>
      </c>
      <c r="S286" s="12">
        <f t="shared" si="4"/>
        <v>11.6646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37"/>
      <c r="L287" s="16"/>
      <c r="M287" s="16"/>
      <c r="N287" s="16"/>
      <c r="O287" s="17"/>
      <c r="P287" s="18"/>
      <c r="Q287" s="15"/>
      <c r="R287" s="19" t="str">
        <f t="shared" si="1"/>
        <v/>
      </c>
      <c r="S287" s="19">
        <f t="shared" si="4"/>
        <v>11.6646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32"/>
      <c r="L288" s="9"/>
      <c r="M288" s="9"/>
      <c r="N288" s="9"/>
      <c r="O288" s="10"/>
      <c r="P288" s="11"/>
      <c r="Q288" s="8"/>
      <c r="R288" s="12" t="str">
        <f t="shared" si="1"/>
        <v/>
      </c>
      <c r="S288" s="12">
        <f t="shared" si="4"/>
        <v>11.6646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37"/>
      <c r="L289" s="16"/>
      <c r="M289" s="16"/>
      <c r="N289" s="16"/>
      <c r="O289" s="17"/>
      <c r="P289" s="18"/>
      <c r="Q289" s="15"/>
      <c r="R289" s="19" t="str">
        <f t="shared" si="1"/>
        <v/>
      </c>
      <c r="S289" s="19">
        <f t="shared" si="4"/>
        <v>11.6646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32"/>
      <c r="L290" s="9"/>
      <c r="M290" s="9"/>
      <c r="N290" s="9"/>
      <c r="O290" s="10"/>
      <c r="P290" s="11"/>
      <c r="Q290" s="8"/>
      <c r="R290" s="12" t="str">
        <f t="shared" si="1"/>
        <v/>
      </c>
      <c r="S290" s="12">
        <f t="shared" si="4"/>
        <v>11.6646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37"/>
      <c r="L291" s="16"/>
      <c r="M291" s="16"/>
      <c r="N291" s="16"/>
      <c r="O291" s="17"/>
      <c r="P291" s="18"/>
      <c r="Q291" s="15"/>
      <c r="R291" s="19" t="str">
        <f t="shared" si="1"/>
        <v/>
      </c>
      <c r="S291" s="19">
        <f t="shared" si="4"/>
        <v>11.6646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32"/>
      <c r="L292" s="9"/>
      <c r="M292" s="9"/>
      <c r="N292" s="9"/>
      <c r="O292" s="10"/>
      <c r="P292" s="11"/>
      <c r="Q292" s="8"/>
      <c r="R292" s="12" t="str">
        <f t="shared" si="1"/>
        <v/>
      </c>
      <c r="S292" s="12">
        <f t="shared" si="4"/>
        <v>11.6646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37"/>
      <c r="L293" s="16"/>
      <c r="M293" s="16"/>
      <c r="N293" s="16"/>
      <c r="O293" s="17"/>
      <c r="P293" s="18"/>
      <c r="Q293" s="15"/>
      <c r="R293" s="19" t="str">
        <f t="shared" si="1"/>
        <v/>
      </c>
      <c r="S293" s="19">
        <f t="shared" si="4"/>
        <v>11.6646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32"/>
      <c r="L294" s="9"/>
      <c r="M294" s="9"/>
      <c r="N294" s="9"/>
      <c r="O294" s="10"/>
      <c r="P294" s="11"/>
      <c r="Q294" s="8"/>
      <c r="R294" s="12" t="str">
        <f t="shared" si="1"/>
        <v/>
      </c>
      <c r="S294" s="12">
        <f t="shared" si="4"/>
        <v>11.6646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37"/>
      <c r="L295" s="16"/>
      <c r="M295" s="16"/>
      <c r="N295" s="16"/>
      <c r="O295" s="17"/>
      <c r="P295" s="18"/>
      <c r="Q295" s="15"/>
      <c r="R295" s="19" t="str">
        <f t="shared" si="1"/>
        <v/>
      </c>
      <c r="S295" s="19">
        <f t="shared" si="4"/>
        <v>11.6646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32"/>
      <c r="L296" s="9"/>
      <c r="M296" s="9"/>
      <c r="N296" s="9"/>
      <c r="O296" s="10"/>
      <c r="P296" s="11"/>
      <c r="Q296" s="8"/>
      <c r="R296" s="12" t="str">
        <f t="shared" si="1"/>
        <v/>
      </c>
      <c r="S296" s="12">
        <f t="shared" si="4"/>
        <v>11.6646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37"/>
      <c r="L297" s="16"/>
      <c r="M297" s="16"/>
      <c r="N297" s="16"/>
      <c r="O297" s="17"/>
      <c r="P297" s="18"/>
      <c r="Q297" s="15"/>
      <c r="R297" s="19" t="str">
        <f t="shared" si="1"/>
        <v/>
      </c>
      <c r="S297" s="19">
        <f t="shared" si="4"/>
        <v>11.6646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32"/>
      <c r="L298" s="9"/>
      <c r="M298" s="9"/>
      <c r="N298" s="9"/>
      <c r="O298" s="10"/>
      <c r="P298" s="11"/>
      <c r="Q298" s="8"/>
      <c r="R298" s="12" t="str">
        <f t="shared" si="1"/>
        <v/>
      </c>
      <c r="S298" s="12">
        <f t="shared" si="4"/>
        <v>11.6646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6"/>
      <c r="M299" s="16"/>
      <c r="N299" s="16"/>
      <c r="O299" s="17"/>
      <c r="P299" s="18"/>
      <c r="Q299" s="15"/>
      <c r="R299" s="19" t="str">
        <f t="shared" si="1"/>
        <v/>
      </c>
      <c r="S299" s="19">
        <f t="shared" si="4"/>
        <v>11.6646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9"/>
      <c r="M300" s="9"/>
      <c r="N300" s="9"/>
      <c r="O300" s="10"/>
      <c r="P300" s="11"/>
      <c r="Q300" s="8"/>
      <c r="R300" s="12" t="str">
        <f t="shared" si="1"/>
        <v/>
      </c>
      <c r="S300" s="12">
        <f t="shared" si="4"/>
        <v>11.6646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6"/>
      <c r="M301" s="16"/>
      <c r="N301" s="16"/>
      <c r="O301" s="17"/>
      <c r="P301" s="18"/>
      <c r="Q301" s="15"/>
      <c r="R301" s="19" t="str">
        <f t="shared" si="1"/>
        <v/>
      </c>
      <c r="S301" s="19">
        <f t="shared" si="4"/>
        <v>11.6646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9"/>
      <c r="M302" s="9"/>
      <c r="N302" s="9"/>
      <c r="O302" s="10"/>
      <c r="P302" s="11"/>
      <c r="Q302" s="8"/>
      <c r="R302" s="12" t="str">
        <f t="shared" si="1"/>
        <v/>
      </c>
      <c r="S302" s="12">
        <f t="shared" si="4"/>
        <v>11.6646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6"/>
      <c r="M303" s="16"/>
      <c r="N303" s="16"/>
      <c r="O303" s="17"/>
      <c r="P303" s="18"/>
      <c r="Q303" s="15"/>
      <c r="R303" s="19" t="str">
        <f t="shared" si="1"/>
        <v/>
      </c>
      <c r="S303" s="19">
        <f t="shared" si="4"/>
        <v>11.6646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9"/>
      <c r="M304" s="9"/>
      <c r="N304" s="9"/>
      <c r="O304" s="10"/>
      <c r="P304" s="11"/>
      <c r="Q304" s="8"/>
      <c r="R304" s="12" t="str">
        <f t="shared" si="1"/>
        <v/>
      </c>
      <c r="S304" s="12">
        <f t="shared" si="4"/>
        <v>11.6646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6"/>
      <c r="M305" s="16"/>
      <c r="N305" s="16"/>
      <c r="O305" s="17"/>
      <c r="P305" s="18"/>
      <c r="Q305" s="15"/>
      <c r="R305" s="19" t="str">
        <f t="shared" si="1"/>
        <v/>
      </c>
      <c r="S305" s="19">
        <f t="shared" si="4"/>
        <v>11.6646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9"/>
      <c r="M306" s="9"/>
      <c r="N306" s="9"/>
      <c r="O306" s="10"/>
      <c r="P306" s="11"/>
      <c r="Q306" s="8"/>
      <c r="R306" s="12" t="str">
        <f t="shared" si="1"/>
        <v/>
      </c>
      <c r="S306" s="12">
        <f t="shared" si="4"/>
        <v>11.6646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6"/>
      <c r="M307" s="16"/>
      <c r="N307" s="16"/>
      <c r="O307" s="17"/>
      <c r="P307" s="18"/>
      <c r="Q307" s="15"/>
      <c r="R307" s="19" t="str">
        <f t="shared" si="1"/>
        <v/>
      </c>
      <c r="S307" s="19">
        <f t="shared" si="4"/>
        <v>11.6646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9"/>
      <c r="M308" s="9"/>
      <c r="N308" s="9"/>
      <c r="O308" s="10"/>
      <c r="P308" s="11"/>
      <c r="Q308" s="8"/>
      <c r="R308" s="12" t="str">
        <f t="shared" si="1"/>
        <v/>
      </c>
      <c r="S308" s="12">
        <f t="shared" si="4"/>
        <v>11.6646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6"/>
      <c r="M309" s="16"/>
      <c r="N309" s="16"/>
      <c r="O309" s="17"/>
      <c r="P309" s="18"/>
      <c r="Q309" s="15"/>
      <c r="R309" s="19" t="str">
        <f t="shared" si="1"/>
        <v/>
      </c>
      <c r="S309" s="19">
        <f t="shared" si="4"/>
        <v>11.6646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9"/>
      <c r="M310" s="9"/>
      <c r="N310" s="9"/>
      <c r="O310" s="10"/>
      <c r="P310" s="11"/>
      <c r="Q310" s="8"/>
      <c r="R310" s="12" t="str">
        <f t="shared" si="1"/>
        <v/>
      </c>
      <c r="S310" s="12">
        <f t="shared" si="4"/>
        <v>11.6646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6"/>
      <c r="M311" s="16"/>
      <c r="N311" s="16"/>
      <c r="O311" s="17"/>
      <c r="P311" s="18"/>
      <c r="Q311" s="15"/>
      <c r="R311" s="19" t="str">
        <f t="shared" si="1"/>
        <v/>
      </c>
      <c r="S311" s="19">
        <f t="shared" si="4"/>
        <v>11.6646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9"/>
      <c r="M312" s="9"/>
      <c r="N312" s="9"/>
      <c r="O312" s="10"/>
      <c r="P312" s="11"/>
      <c r="Q312" s="8"/>
      <c r="R312" s="12" t="str">
        <f t="shared" si="1"/>
        <v/>
      </c>
      <c r="S312" s="12">
        <f t="shared" si="4"/>
        <v>11.6646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6"/>
      <c r="M313" s="16"/>
      <c r="N313" s="16"/>
      <c r="O313" s="17"/>
      <c r="P313" s="18"/>
      <c r="Q313" s="15"/>
      <c r="R313" s="19" t="str">
        <f t="shared" si="1"/>
        <v/>
      </c>
      <c r="S313" s="19">
        <f t="shared" si="4"/>
        <v>11.6646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9"/>
      <c r="M314" s="9"/>
      <c r="N314" s="9"/>
      <c r="O314" s="10"/>
      <c r="P314" s="11"/>
      <c r="Q314" s="8"/>
      <c r="R314" s="12" t="str">
        <f t="shared" si="1"/>
        <v/>
      </c>
      <c r="S314" s="12">
        <f t="shared" si="4"/>
        <v>11.6646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6"/>
      <c r="M315" s="16"/>
      <c r="N315" s="16"/>
      <c r="O315" s="17"/>
      <c r="P315" s="18"/>
      <c r="Q315" s="15"/>
      <c r="R315" s="19" t="str">
        <f t="shared" si="1"/>
        <v/>
      </c>
      <c r="S315" s="19">
        <f t="shared" si="4"/>
        <v>11.6646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9"/>
      <c r="M316" s="9"/>
      <c r="N316" s="9"/>
      <c r="O316" s="10"/>
      <c r="P316" s="11"/>
      <c r="Q316" s="8"/>
      <c r="R316" s="12" t="str">
        <f t="shared" si="1"/>
        <v/>
      </c>
      <c r="S316" s="12">
        <f t="shared" si="4"/>
        <v>11.6646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6"/>
      <c r="M317" s="16"/>
      <c r="N317" s="16"/>
      <c r="O317" s="17"/>
      <c r="P317" s="18"/>
      <c r="Q317" s="15"/>
      <c r="R317" s="19" t="str">
        <f t="shared" si="1"/>
        <v/>
      </c>
      <c r="S317" s="19">
        <f t="shared" si="4"/>
        <v>11.6646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9"/>
      <c r="M318" s="9"/>
      <c r="N318" s="9"/>
      <c r="O318" s="10"/>
      <c r="P318" s="11"/>
      <c r="Q318" s="8"/>
      <c r="R318" s="12" t="str">
        <f t="shared" si="1"/>
        <v/>
      </c>
      <c r="S318" s="12">
        <f t="shared" si="4"/>
        <v>11.6646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24"/>
      <c r="M319" s="16"/>
      <c r="N319" s="16"/>
      <c r="O319" s="17"/>
      <c r="P319" s="18"/>
      <c r="Q319" s="15"/>
      <c r="R319" s="19" t="str">
        <f t="shared" si="1"/>
        <v/>
      </c>
      <c r="S319" s="19">
        <f t="shared" si="4"/>
        <v>11.6646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9"/>
      <c r="M320" s="9"/>
      <c r="N320" s="9"/>
      <c r="O320" s="10"/>
      <c r="P320" s="11"/>
      <c r="Q320" s="8"/>
      <c r="R320" s="12" t="str">
        <f t="shared" si="1"/>
        <v/>
      </c>
      <c r="S320" s="12">
        <f t="shared" si="4"/>
        <v>11.6646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6"/>
      <c r="M321" s="16"/>
      <c r="N321" s="16"/>
      <c r="O321" s="17"/>
      <c r="P321" s="18"/>
      <c r="Q321" s="15"/>
      <c r="R321" s="19" t="str">
        <f t="shared" si="1"/>
        <v/>
      </c>
      <c r="S321" s="19">
        <f t="shared" si="4"/>
        <v>11.6646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123"/>
      <c r="M322" s="9"/>
      <c r="N322" s="9"/>
      <c r="O322" s="10"/>
      <c r="P322" s="11"/>
      <c r="Q322" s="8"/>
      <c r="R322" s="12" t="str">
        <f t="shared" si="1"/>
        <v/>
      </c>
      <c r="S322" s="12">
        <f t="shared" si="4"/>
        <v>11.6646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6"/>
      <c r="N323" s="16"/>
      <c r="O323" s="17"/>
      <c r="P323" s="18"/>
      <c r="Q323" s="15"/>
      <c r="R323" s="19" t="str">
        <f t="shared" si="1"/>
        <v/>
      </c>
      <c r="S323" s="19">
        <f t="shared" si="4"/>
        <v>11.6646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9"/>
      <c r="M324" s="9"/>
      <c r="N324" s="9"/>
      <c r="O324" s="10"/>
      <c r="P324" s="11"/>
      <c r="Q324" s="8"/>
      <c r="R324" s="12" t="str">
        <f t="shared" si="1"/>
        <v/>
      </c>
      <c r="S324" s="12">
        <f t="shared" si="4"/>
        <v>11.6646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6"/>
      <c r="M325" s="16"/>
      <c r="N325" s="16"/>
      <c r="O325" s="17"/>
      <c r="P325" s="15"/>
      <c r="Q325" s="15"/>
      <c r="R325" s="19" t="str">
        <f t="shared" si="1"/>
        <v/>
      </c>
      <c r="S325" s="19">
        <f t="shared" si="4"/>
        <v>11.6646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9"/>
      <c r="M326" s="9"/>
      <c r="N326" s="9"/>
      <c r="O326" s="10"/>
      <c r="P326" s="8"/>
      <c r="Q326" s="8"/>
      <c r="R326" s="12" t="str">
        <f t="shared" si="1"/>
        <v/>
      </c>
      <c r="S326" s="12">
        <f t="shared" si="4"/>
        <v>11.6646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6"/>
      <c r="M327" s="16"/>
      <c r="N327" s="16"/>
      <c r="O327" s="17"/>
      <c r="P327" s="15"/>
      <c r="Q327" s="15"/>
      <c r="R327" s="19" t="str">
        <f t="shared" si="1"/>
        <v/>
      </c>
      <c r="S327" s="19">
        <f t="shared" si="4"/>
        <v>11.6646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9"/>
      <c r="M328" s="9"/>
      <c r="N328" s="9"/>
      <c r="O328" s="10"/>
      <c r="P328" s="11"/>
      <c r="Q328" s="8"/>
      <c r="R328" s="12" t="str">
        <f t="shared" si="1"/>
        <v/>
      </c>
      <c r="S328" s="12">
        <f t="shared" si="4"/>
        <v>11.6646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6"/>
      <c r="M329" s="16"/>
      <c r="N329" s="16"/>
      <c r="O329" s="17"/>
      <c r="P329" s="18"/>
      <c r="Q329" s="15"/>
      <c r="R329" s="19" t="str">
        <f t="shared" si="1"/>
        <v/>
      </c>
      <c r="S329" s="19">
        <f t="shared" si="4"/>
        <v>11.6646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9"/>
      <c r="M330" s="9"/>
      <c r="N330" s="9"/>
      <c r="O330" s="10"/>
      <c r="P330" s="11"/>
      <c r="Q330" s="8"/>
      <c r="R330" s="12" t="str">
        <f t="shared" si="1"/>
        <v/>
      </c>
      <c r="S330" s="12">
        <f t="shared" si="4"/>
        <v>11.6646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6"/>
      <c r="M331" s="16"/>
      <c r="N331" s="16"/>
      <c r="O331" s="17"/>
      <c r="P331" s="18"/>
      <c r="Q331" s="15"/>
      <c r="R331" s="19" t="str">
        <f t="shared" si="1"/>
        <v/>
      </c>
      <c r="S331" s="19">
        <f t="shared" si="4"/>
        <v>11.6646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9"/>
      <c r="M332" s="9"/>
      <c r="N332" s="9"/>
      <c r="O332" s="10"/>
      <c r="P332" s="11"/>
      <c r="Q332" s="8"/>
      <c r="R332" s="12" t="str">
        <f t="shared" si="1"/>
        <v/>
      </c>
      <c r="S332" s="12">
        <f t="shared" si="4"/>
        <v>11.6646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6"/>
      <c r="N333" s="16"/>
      <c r="O333" s="17"/>
      <c r="P333" s="18"/>
      <c r="Q333" s="15"/>
      <c r="R333" s="19" t="str">
        <f t="shared" si="1"/>
        <v/>
      </c>
      <c r="S333" s="19">
        <f t="shared" si="4"/>
        <v>11.6646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9"/>
      <c r="M334" s="9"/>
      <c r="N334" s="9"/>
      <c r="O334" s="10"/>
      <c r="P334" s="11"/>
      <c r="Q334" s="8"/>
      <c r="R334" s="12" t="str">
        <f t="shared" si="1"/>
        <v/>
      </c>
      <c r="S334" s="12">
        <f t="shared" si="4"/>
        <v>11.6646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6"/>
      <c r="M335" s="16"/>
      <c r="N335" s="16"/>
      <c r="O335" s="17"/>
      <c r="P335" s="18"/>
      <c r="Q335" s="15"/>
      <c r="R335" s="19" t="str">
        <f t="shared" si="1"/>
        <v/>
      </c>
      <c r="S335" s="19">
        <f t="shared" si="4"/>
        <v>11.6646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9"/>
      <c r="M336" s="9"/>
      <c r="N336" s="9"/>
      <c r="O336" s="10"/>
      <c r="P336" s="11"/>
      <c r="Q336" s="8"/>
      <c r="R336" s="12" t="str">
        <f t="shared" si="1"/>
        <v/>
      </c>
      <c r="S336" s="12">
        <f t="shared" si="4"/>
        <v>11.6646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6"/>
      <c r="M337" s="16"/>
      <c r="N337" s="16"/>
      <c r="O337" s="17"/>
      <c r="P337" s="18"/>
      <c r="Q337" s="15"/>
      <c r="R337" s="19" t="str">
        <f t="shared" si="1"/>
        <v/>
      </c>
      <c r="S337" s="19">
        <f t="shared" si="4"/>
        <v>11.6646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9"/>
      <c r="M338" s="9"/>
      <c r="N338" s="9"/>
      <c r="O338" s="10"/>
      <c r="P338" s="11"/>
      <c r="Q338" s="8"/>
      <c r="R338" s="12" t="str">
        <f t="shared" si="1"/>
        <v/>
      </c>
      <c r="S338" s="12">
        <f t="shared" si="4"/>
        <v>11.6646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6"/>
      <c r="M339" s="16"/>
      <c r="N339" s="16"/>
      <c r="O339" s="17"/>
      <c r="P339" s="18"/>
      <c r="Q339" s="15"/>
      <c r="R339" s="19" t="str">
        <f t="shared" si="1"/>
        <v/>
      </c>
      <c r="S339" s="19">
        <f t="shared" si="4"/>
        <v>11.6646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9"/>
      <c r="M340" s="9"/>
      <c r="N340" s="9"/>
      <c r="O340" s="10"/>
      <c r="P340" s="11"/>
      <c r="Q340" s="8"/>
      <c r="R340" s="12" t="str">
        <f t="shared" si="1"/>
        <v/>
      </c>
      <c r="S340" s="12">
        <f t="shared" si="4"/>
        <v>11.6646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6"/>
      <c r="N341" s="16"/>
      <c r="O341" s="17"/>
      <c r="P341" s="18"/>
      <c r="Q341" s="15"/>
      <c r="R341" s="19" t="str">
        <f t="shared" si="1"/>
        <v/>
      </c>
      <c r="S341" s="19">
        <f t="shared" si="4"/>
        <v>11.6646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123"/>
      <c r="M342" s="9"/>
      <c r="N342" s="9"/>
      <c r="O342" s="10"/>
      <c r="P342" s="11"/>
      <c r="Q342" s="8"/>
      <c r="R342" s="12" t="str">
        <f t="shared" si="1"/>
        <v/>
      </c>
      <c r="S342" s="12">
        <f t="shared" si="4"/>
        <v>11.6646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24"/>
      <c r="M343" s="16"/>
      <c r="N343" s="16"/>
      <c r="O343" s="17"/>
      <c r="P343" s="18"/>
      <c r="Q343" s="15"/>
      <c r="R343" s="19" t="str">
        <f t="shared" si="1"/>
        <v/>
      </c>
      <c r="S343" s="19">
        <f t="shared" si="4"/>
        <v>11.6646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123"/>
      <c r="M344" s="9"/>
      <c r="N344" s="9"/>
      <c r="O344" s="10"/>
      <c r="P344" s="11"/>
      <c r="Q344" s="8"/>
      <c r="R344" s="12" t="str">
        <f t="shared" si="1"/>
        <v/>
      </c>
      <c r="S344" s="12">
        <f t="shared" si="4"/>
        <v>11.6646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24"/>
      <c r="M345" s="16"/>
      <c r="N345" s="16"/>
      <c r="O345" s="17"/>
      <c r="P345" s="18"/>
      <c r="Q345" s="15"/>
      <c r="R345" s="19" t="str">
        <f t="shared" si="1"/>
        <v/>
      </c>
      <c r="S345" s="19">
        <f t="shared" si="4"/>
        <v>11.6646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123"/>
      <c r="M346" s="9"/>
      <c r="N346" s="9"/>
      <c r="O346" s="10"/>
      <c r="P346" s="11"/>
      <c r="Q346" s="8"/>
      <c r="R346" s="12" t="str">
        <f t="shared" si="1"/>
        <v/>
      </c>
      <c r="S346" s="12">
        <f t="shared" si="4"/>
        <v>11.6646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24"/>
      <c r="M347" s="16"/>
      <c r="N347" s="16"/>
      <c r="O347" s="17"/>
      <c r="P347" s="18"/>
      <c r="Q347" s="15"/>
      <c r="R347" s="19" t="str">
        <f t="shared" si="1"/>
        <v/>
      </c>
      <c r="S347" s="19">
        <f t="shared" si="4"/>
        <v>11.6646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123"/>
      <c r="M348" s="9"/>
      <c r="N348" s="9"/>
      <c r="O348" s="10"/>
      <c r="P348" s="11"/>
      <c r="Q348" s="8"/>
      <c r="R348" s="12" t="str">
        <f t="shared" si="1"/>
        <v/>
      </c>
      <c r="S348" s="12">
        <f t="shared" si="4"/>
        <v>11.6646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24"/>
      <c r="M349" s="16"/>
      <c r="N349" s="16"/>
      <c r="O349" s="17"/>
      <c r="P349" s="18"/>
      <c r="Q349" s="15"/>
      <c r="R349" s="19" t="str">
        <f t="shared" si="1"/>
        <v/>
      </c>
      <c r="S349" s="19">
        <f t="shared" si="4"/>
        <v>11.6646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123"/>
      <c r="M350" s="9"/>
      <c r="N350" s="9"/>
      <c r="O350" s="10"/>
      <c r="P350" s="11"/>
      <c r="Q350" s="8"/>
      <c r="R350" s="12" t="str">
        <f t="shared" si="1"/>
        <v/>
      </c>
      <c r="S350" s="12">
        <f t="shared" si="4"/>
        <v>11.6646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24"/>
      <c r="M351" s="16"/>
      <c r="N351" s="16"/>
      <c r="O351" s="17"/>
      <c r="P351" s="18"/>
      <c r="Q351" s="15"/>
      <c r="R351" s="19" t="str">
        <f t="shared" si="1"/>
        <v/>
      </c>
      <c r="S351" s="19">
        <f t="shared" si="4"/>
        <v>11.6646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123"/>
      <c r="M352" s="9"/>
      <c r="N352" s="9"/>
      <c r="O352" s="10"/>
      <c r="P352" s="11"/>
      <c r="Q352" s="8"/>
      <c r="R352" s="12" t="str">
        <f t="shared" si="1"/>
        <v/>
      </c>
      <c r="S352" s="12">
        <f t="shared" si="4"/>
        <v>11.6646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24"/>
      <c r="M353" s="16"/>
      <c r="N353" s="16"/>
      <c r="O353" s="17"/>
      <c r="P353" s="18"/>
      <c r="Q353" s="15"/>
      <c r="R353" s="19" t="str">
        <f t="shared" si="1"/>
        <v/>
      </c>
      <c r="S353" s="19">
        <f t="shared" si="4"/>
        <v>11.6646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123"/>
      <c r="M354" s="9"/>
      <c r="N354" s="9"/>
      <c r="O354" s="10"/>
      <c r="P354" s="11"/>
      <c r="Q354" s="8"/>
      <c r="R354" s="12" t="str">
        <f t="shared" si="1"/>
        <v/>
      </c>
      <c r="S354" s="12">
        <f t="shared" si="4"/>
        <v>11.6646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24"/>
      <c r="M355" s="16"/>
      <c r="N355" s="16"/>
      <c r="O355" s="17"/>
      <c r="P355" s="18"/>
      <c r="Q355" s="15"/>
      <c r="R355" s="19" t="str">
        <f t="shared" si="1"/>
        <v/>
      </c>
      <c r="S355" s="19">
        <f t="shared" si="4"/>
        <v>11.6646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123"/>
      <c r="M356" s="9"/>
      <c r="N356" s="9"/>
      <c r="O356" s="10"/>
      <c r="P356" s="11"/>
      <c r="Q356" s="8"/>
      <c r="R356" s="12" t="str">
        <f t="shared" si="1"/>
        <v/>
      </c>
      <c r="S356" s="12">
        <f t="shared" si="4"/>
        <v>11.6646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24"/>
      <c r="M357" s="16"/>
      <c r="N357" s="16"/>
      <c r="O357" s="17"/>
      <c r="P357" s="18"/>
      <c r="Q357" s="15"/>
      <c r="R357" s="19" t="str">
        <f t="shared" si="1"/>
        <v/>
      </c>
      <c r="S357" s="19">
        <f t="shared" si="4"/>
        <v>11.6646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123"/>
      <c r="M358" s="9"/>
      <c r="N358" s="9"/>
      <c r="O358" s="10"/>
      <c r="P358" s="11"/>
      <c r="Q358" s="8"/>
      <c r="R358" s="12" t="str">
        <f t="shared" si="1"/>
        <v/>
      </c>
      <c r="S358" s="123"/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24"/>
      <c r="M359" s="16"/>
      <c r="N359" s="16"/>
      <c r="O359" s="17"/>
      <c r="P359" s="18"/>
      <c r="Q359" s="15"/>
      <c r="R359" s="19" t="str">
        <f t="shared" si="1"/>
        <v/>
      </c>
      <c r="S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123"/>
      <c r="M360" s="9"/>
      <c r="N360" s="9"/>
      <c r="O360" s="10"/>
      <c r="P360" s="11"/>
      <c r="Q360" s="8"/>
      <c r="R360" s="12" t="str">
        <f t="shared" si="1"/>
        <v/>
      </c>
      <c r="S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24"/>
      <c r="M361" s="16"/>
      <c r="N361" s="16"/>
      <c r="O361" s="17"/>
      <c r="P361" s="18"/>
      <c r="Q361" s="15"/>
      <c r="R361" s="19" t="str">
        <f t="shared" si="1"/>
        <v/>
      </c>
      <c r="S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123"/>
      <c r="M362" s="9"/>
      <c r="N362" s="9"/>
      <c r="O362" s="10"/>
      <c r="P362" s="11"/>
      <c r="Q362" s="8"/>
      <c r="R362" s="12" t="str">
        <f t="shared" si="1"/>
        <v/>
      </c>
      <c r="S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24"/>
      <c r="M363" s="16"/>
      <c r="N363" s="16"/>
      <c r="O363" s="17"/>
      <c r="P363" s="18"/>
      <c r="Q363" s="15"/>
      <c r="R363" s="19" t="str">
        <f t="shared" si="1"/>
        <v/>
      </c>
      <c r="S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123"/>
      <c r="M364" s="9"/>
      <c r="N364" s="9"/>
      <c r="O364" s="10"/>
      <c r="P364" s="11"/>
      <c r="Q364" s="8"/>
      <c r="R364" s="12" t="str">
        <f t="shared" si="1"/>
        <v/>
      </c>
      <c r="S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24"/>
      <c r="M365" s="16"/>
      <c r="N365" s="16"/>
      <c r="O365" s="17"/>
      <c r="P365" s="18"/>
      <c r="Q365" s="15"/>
      <c r="R365" s="19" t="str">
        <f t="shared" si="1"/>
        <v/>
      </c>
      <c r="S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123"/>
      <c r="M366" s="9"/>
      <c r="N366" s="9"/>
      <c r="O366" s="10"/>
      <c r="P366" s="11"/>
      <c r="Q366" s="8"/>
      <c r="R366" s="12" t="str">
        <f t="shared" si="1"/>
        <v/>
      </c>
      <c r="S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24"/>
      <c r="M367" s="16"/>
      <c r="N367" s="16"/>
      <c r="O367" s="17"/>
      <c r="P367" s="18"/>
      <c r="Q367" s="15"/>
      <c r="R367" s="19" t="str">
        <f t="shared" si="1"/>
        <v/>
      </c>
      <c r="S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123"/>
      <c r="M368" s="9"/>
      <c r="N368" s="9"/>
      <c r="O368" s="10"/>
      <c r="P368" s="11"/>
      <c r="Q368" s="8"/>
      <c r="R368" s="12" t="str">
        <f t="shared" si="1"/>
        <v/>
      </c>
      <c r="S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24"/>
      <c r="M369" s="16"/>
      <c r="N369" s="16"/>
      <c r="O369" s="17"/>
      <c r="P369" s="15"/>
      <c r="Q369" s="15"/>
      <c r="R369" s="19" t="str">
        <f t="shared" si="1"/>
        <v/>
      </c>
      <c r="S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123"/>
      <c r="M370" s="9"/>
      <c r="N370" s="9"/>
      <c r="O370" s="10"/>
      <c r="P370" s="8"/>
      <c r="Q370" s="8"/>
      <c r="R370" s="12" t="str">
        <f t="shared" si="1"/>
        <v/>
      </c>
      <c r="S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24"/>
      <c r="M371" s="16"/>
      <c r="N371" s="16"/>
      <c r="O371" s="17"/>
      <c r="P371" s="15"/>
      <c r="Q371" s="15"/>
      <c r="R371" s="19" t="str">
        <f t="shared" si="1"/>
        <v/>
      </c>
      <c r="S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123"/>
      <c r="M372" s="9"/>
      <c r="N372" s="9"/>
      <c r="O372" s="10"/>
      <c r="P372" s="8"/>
      <c r="Q372" s="8"/>
      <c r="R372" s="12" t="str">
        <f t="shared" si="1"/>
        <v/>
      </c>
      <c r="S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24"/>
      <c r="M373" s="16"/>
      <c r="N373" s="16"/>
      <c r="O373" s="17"/>
      <c r="P373" s="15"/>
      <c r="Q373" s="15"/>
      <c r="R373" s="19" t="str">
        <f t="shared" si="1"/>
        <v/>
      </c>
      <c r="S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123"/>
      <c r="M374" s="9"/>
      <c r="N374" s="9"/>
      <c r="O374" s="10"/>
      <c r="P374" s="8"/>
      <c r="Q374" s="8"/>
      <c r="R374" s="12" t="str">
        <f t="shared" si="1"/>
        <v/>
      </c>
      <c r="S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24"/>
      <c r="M375" s="16"/>
      <c r="N375" s="16"/>
      <c r="O375" s="17"/>
      <c r="P375" s="15"/>
      <c r="Q375" s="15"/>
      <c r="R375" s="19" t="str">
        <f t="shared" si="1"/>
        <v/>
      </c>
      <c r="S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123"/>
      <c r="M376" s="9"/>
      <c r="N376" s="9"/>
      <c r="O376" s="10"/>
      <c r="P376" s="8"/>
      <c r="Q376" s="8"/>
      <c r="R376" s="12" t="str">
        <f t="shared" si="1"/>
        <v/>
      </c>
      <c r="S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24"/>
      <c r="M377" s="16"/>
      <c r="N377" s="16"/>
      <c r="O377" s="17"/>
      <c r="P377" s="15"/>
      <c r="Q377" s="15"/>
      <c r="R377" s="19" t="str">
        <f t="shared" si="1"/>
        <v/>
      </c>
      <c r="S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123"/>
      <c r="M378" s="9"/>
      <c r="N378" s="9"/>
      <c r="O378" s="10"/>
      <c r="P378" s="8"/>
      <c r="Q378" s="8"/>
      <c r="R378" s="12" t="str">
        <f t="shared" si="1"/>
        <v/>
      </c>
      <c r="S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24"/>
      <c r="M379" s="16"/>
      <c r="N379" s="16"/>
      <c r="O379" s="17"/>
      <c r="P379" s="15"/>
      <c r="Q379" s="15"/>
      <c r="R379" s="19" t="str">
        <f t="shared" si="1"/>
        <v/>
      </c>
      <c r="S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123"/>
      <c r="M380" s="9"/>
      <c r="N380" s="9"/>
      <c r="O380" s="10"/>
      <c r="P380" s="8"/>
      <c r="Q380" s="8"/>
      <c r="R380" s="12" t="str">
        <f t="shared" si="1"/>
        <v/>
      </c>
      <c r="S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24"/>
      <c r="M381" s="16"/>
      <c r="N381" s="16"/>
      <c r="O381" s="17"/>
      <c r="P381" s="15"/>
      <c r="Q381" s="15"/>
      <c r="R381" s="19" t="str">
        <f t="shared" si="1"/>
        <v/>
      </c>
      <c r="S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123"/>
      <c r="M382" s="9"/>
      <c r="N382" s="9"/>
      <c r="O382" s="10"/>
      <c r="P382" s="8"/>
      <c r="Q382" s="8"/>
      <c r="R382" s="12" t="str">
        <f t="shared" si="1"/>
        <v/>
      </c>
      <c r="S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24"/>
      <c r="M383" s="16"/>
      <c r="N383" s="16"/>
      <c r="O383" s="17"/>
      <c r="P383" s="15"/>
      <c r="Q383" s="15"/>
      <c r="R383" s="19" t="str">
        <f t="shared" si="1"/>
        <v/>
      </c>
      <c r="S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123"/>
      <c r="M384" s="9"/>
      <c r="N384" s="9"/>
      <c r="O384" s="10"/>
      <c r="P384" s="8"/>
      <c r="Q384" s="8"/>
      <c r="R384" s="12" t="str">
        <f t="shared" si="1"/>
        <v/>
      </c>
      <c r="S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24"/>
      <c r="M385" s="16"/>
      <c r="N385" s="16"/>
      <c r="O385" s="17"/>
      <c r="P385" s="15"/>
      <c r="Q385" s="15"/>
      <c r="R385" s="19" t="str">
        <f t="shared" si="1"/>
        <v/>
      </c>
      <c r="S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123"/>
      <c r="M386" s="9"/>
      <c r="N386" s="9"/>
      <c r="O386" s="10"/>
      <c r="P386" s="8"/>
      <c r="Q386" s="8"/>
      <c r="R386" s="12" t="str">
        <f t="shared" si="1"/>
        <v/>
      </c>
      <c r="S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24"/>
      <c r="M387" s="16"/>
      <c r="N387" s="16"/>
      <c r="O387" s="17"/>
      <c r="P387" s="15"/>
      <c r="Q387" s="15"/>
      <c r="R387" s="19" t="str">
        <f t="shared" si="1"/>
        <v/>
      </c>
      <c r="S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123"/>
      <c r="M388" s="9"/>
      <c r="N388" s="9"/>
      <c r="O388" s="10"/>
      <c r="P388" s="8"/>
      <c r="Q388" s="8"/>
      <c r="R388" s="12" t="str">
        <f t="shared" si="1"/>
        <v/>
      </c>
      <c r="S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24"/>
      <c r="M389" s="16"/>
      <c r="N389" s="16"/>
      <c r="O389" s="17"/>
      <c r="P389" s="15"/>
      <c r="Q389" s="15"/>
      <c r="R389" s="19" t="str">
        <f t="shared" si="1"/>
        <v/>
      </c>
      <c r="S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123"/>
      <c r="M390" s="9"/>
      <c r="N390" s="9"/>
      <c r="O390" s="10"/>
      <c r="P390" s="8"/>
      <c r="Q390" s="8"/>
      <c r="R390" s="12" t="str">
        <f t="shared" si="1"/>
        <v/>
      </c>
      <c r="S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24"/>
      <c r="M391" s="16"/>
      <c r="N391" s="16"/>
      <c r="O391" s="17"/>
      <c r="P391" s="15"/>
      <c r="Q391" s="15"/>
      <c r="R391" s="19" t="str">
        <f t="shared" si="1"/>
        <v/>
      </c>
      <c r="S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123"/>
      <c r="M392" s="9"/>
      <c r="N392" s="9"/>
      <c r="O392" s="10"/>
      <c r="P392" s="8"/>
      <c r="Q392" s="8"/>
      <c r="R392" s="12" t="str">
        <f t="shared" si="1"/>
        <v/>
      </c>
      <c r="S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24"/>
      <c r="M393" s="16"/>
      <c r="N393" s="16"/>
      <c r="O393" s="17"/>
      <c r="P393" s="15"/>
      <c r="Q393" s="15"/>
      <c r="R393" s="19" t="str">
        <f t="shared" si="1"/>
        <v/>
      </c>
      <c r="S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123"/>
      <c r="M394" s="9"/>
      <c r="N394" s="9"/>
      <c r="O394" s="10"/>
      <c r="P394" s="8"/>
      <c r="Q394" s="8"/>
      <c r="R394" s="123"/>
      <c r="S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24"/>
      <c r="M395" s="16"/>
      <c r="N395" s="16"/>
      <c r="O395" s="17"/>
      <c r="P395" s="15"/>
      <c r="Q395" s="15"/>
      <c r="R395" s="124"/>
      <c r="S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123"/>
      <c r="M396" s="9"/>
      <c r="N396" s="9"/>
      <c r="O396" s="10"/>
      <c r="P396" s="8"/>
      <c r="Q396" s="8"/>
      <c r="R396" s="123"/>
      <c r="S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24"/>
      <c r="M397" s="16"/>
      <c r="N397" s="16"/>
      <c r="O397" s="17"/>
      <c r="P397" s="15"/>
      <c r="Q397" s="15"/>
      <c r="R397" s="124"/>
      <c r="S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123"/>
      <c r="M398" s="9"/>
      <c r="N398" s="9"/>
      <c r="O398" s="10"/>
      <c r="P398" s="8"/>
      <c r="Q398" s="8"/>
      <c r="R398" s="123"/>
      <c r="S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24"/>
      <c r="M399" s="16"/>
      <c r="N399" s="16"/>
      <c r="O399" s="17"/>
      <c r="P399" s="15"/>
      <c r="Q399" s="15"/>
      <c r="R399" s="124"/>
      <c r="S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123"/>
      <c r="M400" s="9"/>
      <c r="N400" s="9"/>
      <c r="O400" s="10"/>
      <c r="P400" s="8"/>
      <c r="Q400" s="8"/>
      <c r="R400" s="123"/>
      <c r="S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24"/>
      <c r="M401" s="16"/>
      <c r="N401" s="16"/>
      <c r="O401" s="17"/>
      <c r="P401" s="15"/>
      <c r="Q401" s="15"/>
      <c r="R401" s="124"/>
      <c r="S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123"/>
      <c r="M402" s="9"/>
      <c r="N402" s="9"/>
      <c r="O402" s="10"/>
      <c r="P402" s="8"/>
      <c r="Q402" s="8"/>
      <c r="R402" s="123"/>
      <c r="S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24"/>
      <c r="M403" s="16"/>
      <c r="N403" s="16"/>
      <c r="O403" s="17"/>
      <c r="P403" s="15"/>
      <c r="Q403" s="15"/>
      <c r="R403" s="124"/>
      <c r="S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123"/>
      <c r="M404" s="9"/>
      <c r="N404" s="9"/>
      <c r="O404" s="10"/>
      <c r="P404" s="8"/>
      <c r="Q404" s="8"/>
      <c r="R404" s="123"/>
      <c r="S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24"/>
      <c r="M405" s="16"/>
      <c r="N405" s="16"/>
      <c r="O405" s="17"/>
      <c r="P405" s="15"/>
      <c r="Q405" s="15"/>
      <c r="R405" s="124"/>
      <c r="S405" s="124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30"/>
      <c r="M406" s="131"/>
      <c r="N406" s="131"/>
      <c r="O406" s="132"/>
      <c r="P406" s="129"/>
      <c r="Q406" s="129"/>
      <c r="R406" s="130"/>
      <c r="S406" s="130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6"/>
      <c r="M407" s="127"/>
      <c r="N407" s="127"/>
      <c r="O407" s="128"/>
      <c r="P407" s="125"/>
      <c r="Q407" s="125"/>
      <c r="R407" s="126"/>
      <c r="S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30"/>
      <c r="M408" s="131"/>
      <c r="N408" s="131"/>
      <c r="O408" s="132"/>
      <c r="P408" s="129"/>
      <c r="Q408" s="129"/>
      <c r="R408" s="130"/>
      <c r="S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6"/>
      <c r="M409" s="127"/>
      <c r="N409" s="127"/>
      <c r="O409" s="128"/>
      <c r="P409" s="125"/>
      <c r="Q409" s="125"/>
      <c r="R409" s="126"/>
      <c r="S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30"/>
      <c r="M410" s="131"/>
      <c r="N410" s="131"/>
      <c r="O410" s="132"/>
      <c r="P410" s="129"/>
      <c r="Q410" s="129"/>
      <c r="R410" s="130"/>
      <c r="S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6"/>
      <c r="M411" s="127"/>
      <c r="N411" s="127"/>
      <c r="O411" s="128"/>
      <c r="P411" s="125"/>
      <c r="Q411" s="125"/>
      <c r="R411" s="126"/>
      <c r="S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30"/>
      <c r="M412" s="131"/>
      <c r="N412" s="131"/>
      <c r="O412" s="132"/>
      <c r="P412" s="129"/>
      <c r="Q412" s="129"/>
      <c r="R412" s="130"/>
      <c r="S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6"/>
      <c r="M413" s="127"/>
      <c r="N413" s="127"/>
      <c r="O413" s="128"/>
      <c r="P413" s="125"/>
      <c r="Q413" s="125"/>
      <c r="R413" s="126"/>
      <c r="S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30"/>
      <c r="M414" s="131"/>
      <c r="N414" s="131"/>
      <c r="O414" s="132"/>
      <c r="P414" s="129"/>
      <c r="Q414" s="129"/>
      <c r="R414" s="130"/>
      <c r="S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6"/>
      <c r="M415" s="127"/>
      <c r="N415" s="127"/>
      <c r="O415" s="128"/>
      <c r="P415" s="125"/>
      <c r="Q415" s="125"/>
      <c r="R415" s="126"/>
      <c r="S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30"/>
      <c r="M416" s="131"/>
      <c r="N416" s="131"/>
      <c r="O416" s="132"/>
      <c r="P416" s="129"/>
      <c r="Q416" s="129"/>
      <c r="R416" s="130"/>
      <c r="S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6"/>
      <c r="M417" s="127"/>
      <c r="N417" s="127"/>
      <c r="O417" s="128"/>
      <c r="P417" s="125"/>
      <c r="Q417" s="125"/>
      <c r="R417" s="126"/>
      <c r="S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30"/>
      <c r="M418" s="131"/>
      <c r="N418" s="131"/>
      <c r="O418" s="132"/>
      <c r="P418" s="129"/>
      <c r="Q418" s="129"/>
      <c r="R418" s="130"/>
      <c r="S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6"/>
      <c r="M419" s="127"/>
      <c r="N419" s="127"/>
      <c r="O419" s="128"/>
      <c r="P419" s="125"/>
      <c r="Q419" s="125"/>
      <c r="R419" s="126"/>
      <c r="S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30"/>
      <c r="M420" s="131"/>
      <c r="N420" s="131"/>
      <c r="O420" s="132"/>
      <c r="P420" s="129"/>
      <c r="Q420" s="129"/>
      <c r="R420" s="130"/>
      <c r="S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6"/>
      <c r="M421" s="127"/>
      <c r="N421" s="127"/>
      <c r="O421" s="128"/>
      <c r="P421" s="125"/>
      <c r="Q421" s="125"/>
      <c r="R421" s="126"/>
      <c r="S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30"/>
      <c r="M422" s="131"/>
      <c r="N422" s="131"/>
      <c r="O422" s="132"/>
      <c r="P422" s="129"/>
      <c r="Q422" s="129"/>
      <c r="R422" s="130"/>
      <c r="S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6"/>
      <c r="M423" s="127"/>
      <c r="N423" s="127"/>
      <c r="O423" s="128"/>
      <c r="P423" s="125"/>
      <c r="Q423" s="125"/>
      <c r="R423" s="126"/>
      <c r="S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30"/>
      <c r="M424" s="131"/>
      <c r="N424" s="131"/>
      <c r="O424" s="132"/>
      <c r="P424" s="129"/>
      <c r="Q424" s="129"/>
      <c r="R424" s="130"/>
      <c r="S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6"/>
      <c r="M425" s="127"/>
      <c r="N425" s="127"/>
      <c r="O425" s="128"/>
      <c r="P425" s="125"/>
      <c r="Q425" s="125"/>
      <c r="R425" s="126"/>
      <c r="S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30"/>
      <c r="M426" s="131"/>
      <c r="N426" s="131"/>
      <c r="O426" s="132"/>
      <c r="P426" s="129"/>
      <c r="Q426" s="129"/>
      <c r="R426" s="130"/>
      <c r="S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6"/>
      <c r="M427" s="127"/>
      <c r="N427" s="127"/>
      <c r="O427" s="128"/>
      <c r="P427" s="125"/>
      <c r="Q427" s="125"/>
      <c r="R427" s="126"/>
      <c r="S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30"/>
      <c r="M428" s="131"/>
      <c r="N428" s="131"/>
      <c r="O428" s="132"/>
      <c r="P428" s="129"/>
      <c r="Q428" s="129"/>
      <c r="R428" s="130"/>
      <c r="S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6"/>
      <c r="M429" s="127"/>
      <c r="N429" s="127"/>
      <c r="O429" s="128"/>
      <c r="P429" s="125"/>
      <c r="Q429" s="125"/>
      <c r="R429" s="126"/>
      <c r="S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30"/>
      <c r="M430" s="131"/>
      <c r="N430" s="131"/>
      <c r="O430" s="132"/>
      <c r="P430" s="129"/>
      <c r="Q430" s="129"/>
      <c r="R430" s="130"/>
      <c r="S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6"/>
      <c r="M431" s="127"/>
      <c r="N431" s="127"/>
      <c r="O431" s="128"/>
      <c r="P431" s="125"/>
      <c r="Q431" s="125"/>
      <c r="R431" s="126"/>
      <c r="S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30"/>
      <c r="M432" s="131"/>
      <c r="N432" s="131"/>
      <c r="O432" s="132"/>
      <c r="P432" s="129"/>
      <c r="Q432" s="129"/>
      <c r="R432" s="130"/>
      <c r="S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6"/>
      <c r="M433" s="127"/>
      <c r="N433" s="127"/>
      <c r="O433" s="128"/>
      <c r="P433" s="125"/>
      <c r="Q433" s="125"/>
      <c r="R433" s="126"/>
      <c r="S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30"/>
      <c r="M434" s="131"/>
      <c r="N434" s="131"/>
      <c r="O434" s="132"/>
      <c r="P434" s="129"/>
      <c r="Q434" s="129"/>
      <c r="R434" s="130"/>
      <c r="S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6"/>
      <c r="M435" s="127"/>
      <c r="N435" s="127"/>
      <c r="O435" s="128"/>
      <c r="P435" s="125"/>
      <c r="Q435" s="125"/>
      <c r="R435" s="126"/>
      <c r="S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30"/>
      <c r="M436" s="131"/>
      <c r="N436" s="131"/>
      <c r="O436" s="132"/>
      <c r="P436" s="129"/>
      <c r="Q436" s="129"/>
      <c r="R436" s="130"/>
      <c r="S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6"/>
      <c r="M437" s="127"/>
      <c r="N437" s="127"/>
      <c r="O437" s="128"/>
      <c r="P437" s="125"/>
      <c r="Q437" s="125"/>
      <c r="R437" s="126"/>
      <c r="S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30"/>
      <c r="M438" s="131"/>
      <c r="N438" s="131"/>
      <c r="O438" s="132"/>
      <c r="P438" s="129"/>
      <c r="Q438" s="129"/>
      <c r="R438" s="130"/>
      <c r="S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6"/>
      <c r="M439" s="127"/>
      <c r="N439" s="127"/>
      <c r="O439" s="128"/>
      <c r="P439" s="125"/>
      <c r="Q439" s="125"/>
      <c r="R439" s="126"/>
      <c r="S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30"/>
      <c r="M440" s="131"/>
      <c r="N440" s="131"/>
      <c r="O440" s="132"/>
      <c r="P440" s="129"/>
      <c r="Q440" s="129"/>
      <c r="R440" s="130"/>
      <c r="S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6"/>
      <c r="M441" s="127"/>
      <c r="N441" s="127"/>
      <c r="O441" s="128"/>
      <c r="P441" s="125"/>
      <c r="Q441" s="125"/>
      <c r="R441" s="126"/>
      <c r="S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30"/>
      <c r="M442" s="131"/>
      <c r="N442" s="131"/>
      <c r="O442" s="132"/>
      <c r="P442" s="129"/>
      <c r="Q442" s="129"/>
      <c r="R442" s="130"/>
      <c r="S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6"/>
      <c r="M443" s="127"/>
      <c r="N443" s="127"/>
      <c r="O443" s="128"/>
      <c r="P443" s="125"/>
      <c r="Q443" s="125"/>
      <c r="R443" s="126"/>
      <c r="S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30"/>
      <c r="M444" s="131"/>
      <c r="N444" s="131"/>
      <c r="O444" s="132"/>
      <c r="P444" s="129"/>
      <c r="Q444" s="129"/>
      <c r="R444" s="130"/>
      <c r="S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6"/>
      <c r="M445" s="127"/>
      <c r="N445" s="127"/>
      <c r="O445" s="128"/>
      <c r="P445" s="125"/>
      <c r="Q445" s="125"/>
      <c r="R445" s="126"/>
      <c r="S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30"/>
      <c r="M446" s="131"/>
      <c r="N446" s="131"/>
      <c r="O446" s="132"/>
      <c r="P446" s="129"/>
      <c r="Q446" s="129"/>
      <c r="R446" s="130"/>
      <c r="S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6"/>
      <c r="M447" s="127"/>
      <c r="N447" s="127"/>
      <c r="O447" s="128"/>
      <c r="P447" s="125"/>
      <c r="Q447" s="125"/>
      <c r="R447" s="126"/>
      <c r="S447" s="126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130"/>
      <c r="S448" s="59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126"/>
      <c r="S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130"/>
      <c r="S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126"/>
      <c r="S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130"/>
      <c r="S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126"/>
      <c r="S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130"/>
      <c r="S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126"/>
      <c r="S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130"/>
      <c r="S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</row>
  </sheetData>
  <autoFilter ref="$A$1:$S$405"/>
  <customSheetViews>
    <customSheetView guid="{BA551338-6311-4C02-9137-137E692B7D93}" filter="1" showAutoFilter="1">
      <autoFilter ref="$A$1:$S$405">
        <filterColumn colId="11">
          <filters>
            <filter val="2.50"/>
            <filter val="0.00"/>
            <filter val="0.75"/>
            <filter val="1.00"/>
            <filter val="-7.50"/>
            <filter val="2.75"/>
            <filter val="1.50"/>
            <filter val="3.75"/>
            <filter val="0.50"/>
            <filter val="-6.50"/>
            <filter val="-1.50"/>
            <filter val="-2.50"/>
            <filter val="-0.50"/>
            <filter val="0.25"/>
            <filter val="-1.25"/>
            <filter val="-0.25"/>
          </filters>
        </filterColumn>
      </autoFilter>
    </customSheetView>
    <customSheetView guid="{D9D1A42E-DDFC-4032-8664-60A2E47E0D40}" filter="1" showAutoFilter="1">
      <autoFilter ref="$A$1:$R$283"/>
    </customSheetView>
    <customSheetView guid="{3D13BECD-F97B-4CC8-B9FC-728C2CBFEBF1}" filter="1" showAutoFilter="1">
      <autoFilter ref="$A$1:$S$405">
        <filterColumn colId="7">
          <filters>
            <filter val="Nigéria"/>
            <filter val="Tunísia"/>
            <filter val="Líbano"/>
            <filter val="Mali"/>
            <filter val="México"/>
            <filter val="Azerbaijão"/>
            <filter val="Botsuana"/>
            <filter val="Mundial"/>
            <filter val="Austrália"/>
            <filter val="África do Sul"/>
            <filter val="Países Baixos"/>
            <filter val="Ruanda"/>
            <filter val="Vietnã"/>
            <filter val="Andorra"/>
            <filter val="Grécia"/>
            <filter val="Togo"/>
            <filter val="Jordânia"/>
            <filter val="Índia"/>
            <filter val="UEFA"/>
            <filter val="Djibouti"/>
            <filter val="Camarões"/>
          </filters>
        </filterColumn>
      </autoFilter>
    </customSheetView>
    <customSheetView guid="{9B5C888F-E11A-4842-8D0B-62F1614802A4}" filter="1" showAutoFilter="1">
      <autoFilter ref="$A$1:$R$283">
        <filterColumn colId="9">
          <filters>
            <filter val="AH+"/>
            <filter val="AH-"/>
            <filter val="BTTS"/>
            <filter val="AH- HT"/>
            <filter val="Under L"/>
            <filter val="DC"/>
          </filters>
        </filterColumn>
      </autoFilter>
    </customSheetView>
    <customSheetView guid="{9BA04A38-02DA-4F02-BBBB-302FC15326E0}" filter="1" showAutoFilter="1">
      <autoFilter ref="$A$1:$S$405">
        <filterColumn colId="9">
          <filters>
            <filter val="AH-"/>
            <filter val="BTTS"/>
            <filter val="AH- HT"/>
            <filter val="Under L"/>
            <filter val="NG"/>
            <filter val="DC"/>
          </filters>
        </filterColumn>
      </autoFilter>
    </customSheetView>
  </customSheetViews>
  <conditionalFormatting sqref="Q2:Q498">
    <cfRule type="cellIs" dxfId="0" priority="1" operator="equal">
      <formula>"Ganha"</formula>
    </cfRule>
  </conditionalFormatting>
  <conditionalFormatting sqref="Q2:Q498">
    <cfRule type="cellIs" dxfId="1" priority="2" operator="equal">
      <formula>"Ganha/devolvida"</formula>
    </cfRule>
  </conditionalFormatting>
  <conditionalFormatting sqref="Q2:Q498">
    <cfRule type="cellIs" dxfId="2" priority="3" operator="equal">
      <formula>"Devolvida"</formula>
    </cfRule>
  </conditionalFormatting>
  <conditionalFormatting sqref="Q2:Q498">
    <cfRule type="cellIs" dxfId="3" priority="4" operator="equal">
      <formula>"Perdida/devolvida"</formula>
    </cfRule>
  </conditionalFormatting>
  <conditionalFormatting sqref="Q2:Q498">
    <cfRule type="cellIs" dxfId="4" priority="5" operator="equal">
      <formula>"Perdida"</formula>
    </cfRule>
  </conditionalFormatting>
  <conditionalFormatting sqref="R2:R456 S2:S997 V2:V34">
    <cfRule type="cellIs" dxfId="0" priority="6" operator="greaterThan">
      <formula>0</formula>
    </cfRule>
  </conditionalFormatting>
  <conditionalFormatting sqref="R2:R456 S2:S997 V2:V34">
    <cfRule type="cellIs" dxfId="4" priority="7" operator="lessThan">
      <formula>0</formula>
    </cfRule>
  </conditionalFormatting>
  <conditionalFormatting sqref="R2:R997 S2:S8 V2:V34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3" width="3.88"/>
    <col customWidth="1" min="4" max="4" width="60.88"/>
    <col customWidth="1" min="5" max="5" width="8.38"/>
    <col customWidth="1" min="6" max="6" width="9.25"/>
    <col customWidth="1" min="7" max="7" width="12.88"/>
    <col customWidth="1" min="8" max="8" width="11.25"/>
    <col customWidth="1" min="9" max="9" width="4.5"/>
    <col customWidth="1" min="10" max="10" width="8.13"/>
    <col customWidth="1" min="11" max="11" width="9.5"/>
    <col customWidth="1" min="12" max="15" width="5.88"/>
    <col customWidth="1" min="16" max="16" width="6.5"/>
    <col customWidth="1" min="17" max="17" width="14.75"/>
    <col customWidth="1" min="18" max="18" width="10.75"/>
    <col customWidth="1" min="19" max="19" width="7.25"/>
    <col customWidth="1" min="20" max="20" width="4.13"/>
    <col customWidth="1" min="21" max="21" width="6.25"/>
    <col customWidth="1" min="22" max="22" width="6.5"/>
    <col customWidth="1" min="23" max="23" width="11.25"/>
  </cols>
  <sheetData>
    <row r="1">
      <c r="A1" s="3" t="s">
        <v>0</v>
      </c>
      <c r="B1" s="2" t="s">
        <v>2</v>
      </c>
      <c r="C1" s="2" t="s">
        <v>1462</v>
      </c>
      <c r="D1" s="3" t="s">
        <v>3</v>
      </c>
      <c r="E1" s="2" t="s">
        <v>1466</v>
      </c>
      <c r="F1" s="2" t="s">
        <v>1467</v>
      </c>
      <c r="G1" s="2" t="s">
        <v>1468</v>
      </c>
      <c r="H1" s="3" t="s">
        <v>4</v>
      </c>
      <c r="I1" s="3" t="s">
        <v>5</v>
      </c>
      <c r="J1" s="3" t="s">
        <v>6</v>
      </c>
      <c r="K1" s="2" t="s">
        <v>7</v>
      </c>
      <c r="L1" s="4" t="s">
        <v>8</v>
      </c>
      <c r="M1" s="5" t="s">
        <v>9</v>
      </c>
      <c r="N1" s="4" t="s">
        <v>10</v>
      </c>
      <c r="O1" s="6" t="s">
        <v>11</v>
      </c>
      <c r="P1" s="97" t="s">
        <v>12</v>
      </c>
      <c r="Q1" s="3" t="s">
        <v>13</v>
      </c>
      <c r="R1" s="4" t="s">
        <v>2372</v>
      </c>
      <c r="S1" s="4" t="s">
        <v>15</v>
      </c>
      <c r="U1" s="3" t="s">
        <v>16</v>
      </c>
      <c r="V1" s="3" t="s">
        <v>15</v>
      </c>
      <c r="W1" s="3" t="s">
        <v>17</v>
      </c>
    </row>
    <row r="2">
      <c r="A2" s="8">
        <f>1</f>
        <v>1</v>
      </c>
      <c r="B2" s="8" t="s">
        <v>19</v>
      </c>
      <c r="C2" s="8"/>
      <c r="D2" s="8" t="s">
        <v>5566</v>
      </c>
      <c r="E2" s="8" t="s">
        <v>5564</v>
      </c>
      <c r="F2" s="8" t="s">
        <v>2660</v>
      </c>
      <c r="G2" s="8">
        <v>-1.0</v>
      </c>
      <c r="H2" s="8" t="s">
        <v>66</v>
      </c>
      <c r="I2" s="8" t="s">
        <v>22</v>
      </c>
      <c r="J2" s="8" t="s">
        <v>892</v>
      </c>
      <c r="K2" s="8" t="s">
        <v>1522</v>
      </c>
      <c r="L2" s="9">
        <v>0.0</v>
      </c>
      <c r="M2" s="9">
        <v>1.0</v>
      </c>
      <c r="N2" s="9">
        <v>1.0</v>
      </c>
      <c r="O2" s="10">
        <v>45231.0</v>
      </c>
      <c r="P2" s="11">
        <v>1.85</v>
      </c>
      <c r="Q2" s="8" t="s">
        <v>25</v>
      </c>
      <c r="R2" s="12">
        <f t="shared" ref="R2:R393" si="1">IF(Q2="ganha",(N2*(P2-1)),IF(Q2="perdida",-N2,IF(Q2="devolvida",0,IF(Q2="ganha/devolvida",((N2*(P2-1)))/2,IF(Q2="perdida/devolvida",-N2/2,IF(Q2="Aguardando",0,""))))))</f>
        <v>-1</v>
      </c>
      <c r="S2" s="12">
        <f>R2</f>
        <v>-1</v>
      </c>
      <c r="U2" s="66">
        <v>45231.0</v>
      </c>
      <c r="V2" s="13">
        <f t="shared" ref="V2:V33" si="2">SUMIF($O$2:$O$2980,U2,$R$2:$R$2980)</f>
        <v>-3.9705</v>
      </c>
      <c r="W2" s="14">
        <f>SUMIF($Q$2:$Q$2980,"Aguardando",$N$2:$N$2980)</f>
        <v>0</v>
      </c>
    </row>
    <row r="3">
      <c r="A3" s="15">
        <f t="shared" ref="A3:A405" si="3">A2+1</f>
        <v>2</v>
      </c>
      <c r="B3" s="15" t="s">
        <v>19</v>
      </c>
      <c r="C3" s="15"/>
      <c r="D3" s="15" t="s">
        <v>5567</v>
      </c>
      <c r="E3" s="15" t="s">
        <v>5564</v>
      </c>
      <c r="F3" s="15" t="s">
        <v>2556</v>
      </c>
      <c r="G3" s="15">
        <v>0.0</v>
      </c>
      <c r="H3" s="15" t="s">
        <v>229</v>
      </c>
      <c r="I3" s="15" t="s">
        <v>22</v>
      </c>
      <c r="J3" s="15" t="s">
        <v>225</v>
      </c>
      <c r="K3" s="15" t="s">
        <v>39</v>
      </c>
      <c r="L3" s="16">
        <v>0.25</v>
      </c>
      <c r="M3" s="16">
        <v>0.5</v>
      </c>
      <c r="N3" s="16">
        <v>0.5</v>
      </c>
      <c r="O3" s="17">
        <v>45231.0</v>
      </c>
      <c r="P3" s="18">
        <v>1.75</v>
      </c>
      <c r="Q3" s="15" t="s">
        <v>25</v>
      </c>
      <c r="R3" s="19">
        <f t="shared" si="1"/>
        <v>-0.5</v>
      </c>
      <c r="S3" s="19">
        <f t="shared" ref="S3:S357" si="4">S2+R3</f>
        <v>-1.5</v>
      </c>
      <c r="U3" s="66">
        <v>45232.0</v>
      </c>
      <c r="V3" s="13">
        <f t="shared" si="2"/>
        <v>0.76875</v>
      </c>
    </row>
    <row r="4">
      <c r="A4" s="8">
        <f t="shared" si="3"/>
        <v>3</v>
      </c>
      <c r="B4" s="8" t="s">
        <v>19</v>
      </c>
      <c r="C4" s="8"/>
      <c r="D4" s="8" t="s">
        <v>5568</v>
      </c>
      <c r="E4" s="8" t="s">
        <v>5564</v>
      </c>
      <c r="F4" s="8" t="s">
        <v>2660</v>
      </c>
      <c r="G4" s="8">
        <v>-1.0</v>
      </c>
      <c r="H4" s="8" t="s">
        <v>193</v>
      </c>
      <c r="I4" s="8" t="s">
        <v>22</v>
      </c>
      <c r="J4" s="8" t="s">
        <v>892</v>
      </c>
      <c r="K4" s="8" t="s">
        <v>1522</v>
      </c>
      <c r="L4" s="9">
        <v>0.0</v>
      </c>
      <c r="M4" s="9">
        <v>1.0</v>
      </c>
      <c r="N4" s="9">
        <v>1.0</v>
      </c>
      <c r="O4" s="10">
        <v>45231.0</v>
      </c>
      <c r="P4" s="11">
        <v>1.95</v>
      </c>
      <c r="Q4" s="8" t="s">
        <v>70</v>
      </c>
      <c r="R4" s="12">
        <f t="shared" si="1"/>
        <v>0</v>
      </c>
      <c r="S4" s="12">
        <f t="shared" si="4"/>
        <v>-1.5</v>
      </c>
      <c r="U4" s="66">
        <v>45233.0</v>
      </c>
      <c r="V4" s="13">
        <f t="shared" si="2"/>
        <v>0.71925</v>
      </c>
      <c r="W4" s="3" t="s">
        <v>34</v>
      </c>
    </row>
    <row r="5">
      <c r="A5" s="15">
        <f t="shared" si="3"/>
        <v>4</v>
      </c>
      <c r="B5" s="15" t="s">
        <v>19</v>
      </c>
      <c r="C5" s="15"/>
      <c r="D5" s="15" t="s">
        <v>5569</v>
      </c>
      <c r="E5" s="15" t="s">
        <v>5564</v>
      </c>
      <c r="F5" s="15" t="s">
        <v>2556</v>
      </c>
      <c r="G5" s="15">
        <v>0.0</v>
      </c>
      <c r="H5" s="15" t="s">
        <v>1470</v>
      </c>
      <c r="I5" s="15" t="s">
        <v>22</v>
      </c>
      <c r="J5" s="15" t="s">
        <v>225</v>
      </c>
      <c r="K5" s="15" t="s">
        <v>24</v>
      </c>
      <c r="L5" s="16">
        <v>0.25</v>
      </c>
      <c r="M5" s="16">
        <v>1.0</v>
      </c>
      <c r="N5" s="16">
        <v>1.0</v>
      </c>
      <c r="O5" s="17">
        <v>45231.0</v>
      </c>
      <c r="P5" s="18">
        <v>1.825</v>
      </c>
      <c r="Q5" s="15" t="s">
        <v>25</v>
      </c>
      <c r="R5" s="19">
        <f t="shared" si="1"/>
        <v>-1</v>
      </c>
      <c r="S5" s="19">
        <f t="shared" si="4"/>
        <v>-2.5</v>
      </c>
      <c r="U5" s="66">
        <v>45234.0</v>
      </c>
      <c r="V5" s="13">
        <f t="shared" si="2"/>
        <v>-0.2759625</v>
      </c>
      <c r="W5" s="20">
        <f>sum(N2:N1013)</f>
        <v>170.275766</v>
      </c>
    </row>
    <row r="6">
      <c r="A6" s="8">
        <f t="shared" si="3"/>
        <v>5</v>
      </c>
      <c r="B6" s="8" t="s">
        <v>19</v>
      </c>
      <c r="C6" s="8"/>
      <c r="D6" s="8" t="s">
        <v>5570</v>
      </c>
      <c r="E6" s="8"/>
      <c r="F6" s="8"/>
      <c r="G6" s="8" t="s">
        <v>3306</v>
      </c>
      <c r="H6" s="8" t="s">
        <v>82</v>
      </c>
      <c r="I6" s="8" t="s">
        <v>22</v>
      </c>
      <c r="J6" s="8" t="s">
        <v>29</v>
      </c>
      <c r="K6" s="8" t="s">
        <v>24</v>
      </c>
      <c r="L6" s="9">
        <v>-6.5</v>
      </c>
      <c r="M6" s="9">
        <v>0.3</v>
      </c>
      <c r="N6" s="9">
        <v>0.3</v>
      </c>
      <c r="O6" s="10">
        <v>45231.0</v>
      </c>
      <c r="P6" s="11">
        <v>1.565</v>
      </c>
      <c r="Q6" s="8" t="s">
        <v>33</v>
      </c>
      <c r="R6" s="12">
        <f t="shared" si="1"/>
        <v>0.1695</v>
      </c>
      <c r="S6" s="12">
        <f t="shared" si="4"/>
        <v>-2.3305</v>
      </c>
      <c r="U6" s="66">
        <v>45235.0</v>
      </c>
      <c r="V6" s="13">
        <f t="shared" si="2"/>
        <v>2.23</v>
      </c>
    </row>
    <row r="7">
      <c r="A7" s="15">
        <f t="shared" si="3"/>
        <v>6</v>
      </c>
      <c r="B7" s="15" t="s">
        <v>19</v>
      </c>
      <c r="C7" s="15"/>
      <c r="D7" s="15" t="s">
        <v>5571</v>
      </c>
      <c r="E7" s="15" t="s">
        <v>5564</v>
      </c>
      <c r="F7" s="15" t="s">
        <v>2556</v>
      </c>
      <c r="G7" s="15">
        <v>-2.0</v>
      </c>
      <c r="H7" s="15" t="s">
        <v>124</v>
      </c>
      <c r="I7" s="15" t="s">
        <v>22</v>
      </c>
      <c r="J7" s="15" t="s">
        <v>225</v>
      </c>
      <c r="K7" s="15" t="s">
        <v>24</v>
      </c>
      <c r="L7" s="16">
        <v>0.5</v>
      </c>
      <c r="M7" s="16">
        <v>0.9</v>
      </c>
      <c r="N7" s="16">
        <v>0.9</v>
      </c>
      <c r="O7" s="17">
        <v>45231.0</v>
      </c>
      <c r="P7" s="18">
        <v>1.725</v>
      </c>
      <c r="Q7" s="15" t="s">
        <v>25</v>
      </c>
      <c r="R7" s="19">
        <f t="shared" si="1"/>
        <v>-0.9</v>
      </c>
      <c r="S7" s="19">
        <f t="shared" si="4"/>
        <v>-3.2305</v>
      </c>
      <c r="U7" s="66">
        <v>45236.0</v>
      </c>
      <c r="V7" s="13">
        <f t="shared" si="2"/>
        <v>0</v>
      </c>
      <c r="W7" s="3" t="s">
        <v>45</v>
      </c>
    </row>
    <row r="8">
      <c r="A8" s="8">
        <f t="shared" si="3"/>
        <v>7</v>
      </c>
      <c r="B8" s="8" t="s">
        <v>19</v>
      </c>
      <c r="C8" s="8"/>
      <c r="D8" s="8" t="s">
        <v>5572</v>
      </c>
      <c r="E8" s="8" t="s">
        <v>5564</v>
      </c>
      <c r="F8" s="8" t="s">
        <v>2556</v>
      </c>
      <c r="G8" s="8">
        <v>-2.0</v>
      </c>
      <c r="H8" s="8" t="s">
        <v>124</v>
      </c>
      <c r="I8" s="8" t="s">
        <v>22</v>
      </c>
      <c r="J8" s="8" t="s">
        <v>1165</v>
      </c>
      <c r="K8" s="8" t="s">
        <v>24</v>
      </c>
      <c r="L8" s="9"/>
      <c r="M8" s="9">
        <v>0.1</v>
      </c>
      <c r="N8" s="9">
        <v>0.1</v>
      </c>
      <c r="O8" s="10">
        <v>45231.0</v>
      </c>
      <c r="P8" s="11">
        <v>6.5</v>
      </c>
      <c r="Q8" s="8" t="s">
        <v>25</v>
      </c>
      <c r="R8" s="12">
        <f t="shared" si="1"/>
        <v>-0.1</v>
      </c>
      <c r="S8" s="12">
        <f t="shared" si="4"/>
        <v>-3.3305</v>
      </c>
      <c r="U8" s="66">
        <v>45237.0</v>
      </c>
      <c r="V8" s="13">
        <f t="shared" si="2"/>
        <v>0.97</v>
      </c>
      <c r="W8" s="21">
        <f>V34/(SUM(N3:N4933)-W2)</f>
        <v>0.02179925494</v>
      </c>
    </row>
    <row r="9">
      <c r="A9" s="15">
        <f t="shared" si="3"/>
        <v>8</v>
      </c>
      <c r="B9" s="15" t="s">
        <v>19</v>
      </c>
      <c r="C9" s="15"/>
      <c r="D9" s="15" t="s">
        <v>5573</v>
      </c>
      <c r="E9" s="15" t="s">
        <v>5565</v>
      </c>
      <c r="F9" s="15" t="s">
        <v>2660</v>
      </c>
      <c r="G9" s="15">
        <v>0.0</v>
      </c>
      <c r="H9" s="15" t="s">
        <v>93</v>
      </c>
      <c r="I9" s="15" t="s">
        <v>22</v>
      </c>
      <c r="J9" s="15" t="s">
        <v>892</v>
      </c>
      <c r="K9" s="15" t="s">
        <v>1522</v>
      </c>
      <c r="L9" s="16">
        <v>0.0</v>
      </c>
      <c r="M9" s="16">
        <v>1.0</v>
      </c>
      <c r="N9" s="16">
        <v>1.0</v>
      </c>
      <c r="O9" s="17">
        <v>45231.0</v>
      </c>
      <c r="P9" s="18">
        <v>2.05</v>
      </c>
      <c r="Q9" s="15" t="s">
        <v>70</v>
      </c>
      <c r="R9" s="19">
        <f t="shared" si="1"/>
        <v>0</v>
      </c>
      <c r="S9" s="19">
        <f t="shared" si="4"/>
        <v>-3.3305</v>
      </c>
      <c r="U9" s="66">
        <v>45238.0</v>
      </c>
      <c r="V9" s="13">
        <f t="shared" si="2"/>
        <v>1.39956</v>
      </c>
    </row>
    <row r="10">
      <c r="A10" s="8">
        <f t="shared" si="3"/>
        <v>9</v>
      </c>
      <c r="B10" s="8" t="s">
        <v>19</v>
      </c>
      <c r="C10" s="8"/>
      <c r="D10" s="8" t="s">
        <v>5574</v>
      </c>
      <c r="E10" s="8" t="s">
        <v>5564</v>
      </c>
      <c r="F10" s="8" t="s">
        <v>2556</v>
      </c>
      <c r="G10" s="8">
        <v>-1.0</v>
      </c>
      <c r="H10" s="8" t="s">
        <v>66</v>
      </c>
      <c r="I10" s="8" t="s">
        <v>22</v>
      </c>
      <c r="J10" s="8" t="s">
        <v>225</v>
      </c>
      <c r="K10" s="8" t="s">
        <v>24</v>
      </c>
      <c r="L10" s="9">
        <v>0.25</v>
      </c>
      <c r="M10" s="9">
        <v>1.0</v>
      </c>
      <c r="N10" s="9">
        <v>1.0</v>
      </c>
      <c r="O10" s="10">
        <v>45231.0</v>
      </c>
      <c r="P10" s="11">
        <v>2.02</v>
      </c>
      <c r="Q10" s="8" t="s">
        <v>25</v>
      </c>
      <c r="R10" s="12">
        <f t="shared" si="1"/>
        <v>-1</v>
      </c>
      <c r="S10" s="12">
        <f t="shared" si="4"/>
        <v>-4.3305</v>
      </c>
      <c r="U10" s="66">
        <v>45239.0</v>
      </c>
      <c r="V10" s="13">
        <f t="shared" si="2"/>
        <v>0</v>
      </c>
      <c r="W10" s="2" t="s">
        <v>55</v>
      </c>
    </row>
    <row r="11">
      <c r="A11" s="15">
        <f t="shared" si="3"/>
        <v>10</v>
      </c>
      <c r="B11" s="15" t="s">
        <v>19</v>
      </c>
      <c r="C11" s="15"/>
      <c r="D11" s="15" t="s">
        <v>5575</v>
      </c>
      <c r="E11" s="15"/>
      <c r="F11" s="15"/>
      <c r="G11" s="15"/>
      <c r="H11" s="15" t="s">
        <v>82</v>
      </c>
      <c r="I11" s="15" t="s">
        <v>598</v>
      </c>
      <c r="J11" s="15" t="s">
        <v>5576</v>
      </c>
      <c r="K11" s="15" t="s">
        <v>39</v>
      </c>
      <c r="L11" s="16"/>
      <c r="M11" s="16">
        <v>0.1</v>
      </c>
      <c r="N11" s="16">
        <v>0.1</v>
      </c>
      <c r="O11" s="17">
        <v>45231.0</v>
      </c>
      <c r="P11" s="18">
        <f>1.875*1.8*1.85*1.825</f>
        <v>11.39484375</v>
      </c>
      <c r="Q11" s="15" t="s">
        <v>25</v>
      </c>
      <c r="R11" s="19">
        <f t="shared" si="1"/>
        <v>-0.1</v>
      </c>
      <c r="S11" s="19">
        <f t="shared" si="4"/>
        <v>-4.4305</v>
      </c>
      <c r="U11" s="66">
        <v>45240.0</v>
      </c>
      <c r="V11" s="13">
        <f t="shared" si="2"/>
        <v>-1.36</v>
      </c>
      <c r="W11" s="21">
        <f>(SUMPRODUCT(--(M2:M999 = N2:N999))-countif(M2:M999,""))/countif(M2:M999,"&gt;0")</f>
        <v>0.8598726115</v>
      </c>
    </row>
    <row r="12">
      <c r="A12" s="8">
        <f t="shared" si="3"/>
        <v>11</v>
      </c>
      <c r="B12" s="8" t="s">
        <v>19</v>
      </c>
      <c r="C12" s="8"/>
      <c r="D12" s="8" t="s">
        <v>5577</v>
      </c>
      <c r="E12" s="8"/>
      <c r="F12" s="8"/>
      <c r="G12" s="8"/>
      <c r="H12" s="8" t="s">
        <v>82</v>
      </c>
      <c r="I12" s="8" t="s">
        <v>598</v>
      </c>
      <c r="J12" s="8" t="s">
        <v>2415</v>
      </c>
      <c r="K12" s="8" t="s">
        <v>39</v>
      </c>
      <c r="L12" s="9">
        <v>10.5</v>
      </c>
      <c r="M12" s="9">
        <v>0.4</v>
      </c>
      <c r="N12" s="9">
        <v>0.4</v>
      </c>
      <c r="O12" s="10">
        <v>45231.0</v>
      </c>
      <c r="P12" s="11">
        <v>1.82</v>
      </c>
      <c r="Q12" s="8" t="s">
        <v>25</v>
      </c>
      <c r="R12" s="12">
        <f t="shared" si="1"/>
        <v>-0.4</v>
      </c>
      <c r="S12" s="12">
        <f t="shared" si="4"/>
        <v>-4.8305</v>
      </c>
      <c r="U12" s="66">
        <v>45241.0</v>
      </c>
      <c r="V12" s="13">
        <f t="shared" si="2"/>
        <v>0.48375</v>
      </c>
    </row>
    <row r="13">
      <c r="A13" s="15">
        <f t="shared" si="3"/>
        <v>12</v>
      </c>
      <c r="B13" s="15" t="s">
        <v>19</v>
      </c>
      <c r="C13" s="15"/>
      <c r="D13" s="15" t="s">
        <v>5578</v>
      </c>
      <c r="E13" s="15" t="s">
        <v>5564</v>
      </c>
      <c r="F13" s="15"/>
      <c r="G13" s="15">
        <v>0.0</v>
      </c>
      <c r="H13" s="15" t="s">
        <v>82</v>
      </c>
      <c r="I13" s="15" t="s">
        <v>22</v>
      </c>
      <c r="J13" s="15" t="s">
        <v>941</v>
      </c>
      <c r="K13" s="15" t="s">
        <v>24</v>
      </c>
      <c r="L13" s="16">
        <v>0.0</v>
      </c>
      <c r="M13" s="16">
        <v>1.0</v>
      </c>
      <c r="N13" s="16">
        <v>1.0</v>
      </c>
      <c r="O13" s="17">
        <v>45231.0</v>
      </c>
      <c r="P13" s="18">
        <v>1.11</v>
      </c>
      <c r="Q13" s="15" t="s">
        <v>33</v>
      </c>
      <c r="R13" s="19">
        <f t="shared" si="1"/>
        <v>0.11</v>
      </c>
      <c r="S13" s="19">
        <f t="shared" si="4"/>
        <v>-4.7205</v>
      </c>
      <c r="U13" s="66">
        <v>45242.0</v>
      </c>
      <c r="V13" s="13">
        <f t="shared" si="2"/>
        <v>3.2525</v>
      </c>
      <c r="W13" s="2" t="s">
        <v>61</v>
      </c>
    </row>
    <row r="14">
      <c r="A14" s="8">
        <f t="shared" si="3"/>
        <v>13</v>
      </c>
      <c r="B14" s="8" t="s">
        <v>19</v>
      </c>
      <c r="C14" s="8"/>
      <c r="D14" s="8" t="s">
        <v>5579</v>
      </c>
      <c r="E14" s="8"/>
      <c r="F14" s="8"/>
      <c r="G14" s="8" t="s">
        <v>3242</v>
      </c>
      <c r="H14" s="8" t="s">
        <v>82</v>
      </c>
      <c r="I14" s="8" t="s">
        <v>22</v>
      </c>
      <c r="J14" s="8" t="s">
        <v>29</v>
      </c>
      <c r="K14" s="8" t="s">
        <v>24</v>
      </c>
      <c r="L14" s="9">
        <v>-1.5</v>
      </c>
      <c r="M14" s="9">
        <v>0.75</v>
      </c>
      <c r="N14" s="9">
        <v>0.75</v>
      </c>
      <c r="O14" s="10">
        <v>45231.0</v>
      </c>
      <c r="P14" s="11">
        <v>1.75</v>
      </c>
      <c r="Q14" s="8" t="s">
        <v>33</v>
      </c>
      <c r="R14" s="12">
        <f t="shared" si="1"/>
        <v>0.5625</v>
      </c>
      <c r="S14" s="12">
        <f t="shared" si="4"/>
        <v>-4.158</v>
      </c>
      <c r="U14" s="66">
        <v>45243.0</v>
      </c>
      <c r="V14" s="13">
        <f t="shared" si="2"/>
        <v>0</v>
      </c>
      <c r="W14" s="22">
        <f>average(P2:P999)</f>
        <v>2.029101286</v>
      </c>
    </row>
    <row r="15">
      <c r="A15" s="15">
        <f t="shared" si="3"/>
        <v>14</v>
      </c>
      <c r="B15" s="15" t="s">
        <v>19</v>
      </c>
      <c r="C15" s="15"/>
      <c r="D15" s="15" t="s">
        <v>5580</v>
      </c>
      <c r="E15" s="15"/>
      <c r="F15" s="15"/>
      <c r="G15" s="15">
        <v>0.0</v>
      </c>
      <c r="H15" s="15" t="s">
        <v>82</v>
      </c>
      <c r="I15" s="15" t="s">
        <v>22</v>
      </c>
      <c r="J15" s="15" t="s">
        <v>440</v>
      </c>
      <c r="K15" s="15" t="s">
        <v>39</v>
      </c>
      <c r="L15" s="16">
        <v>2.75</v>
      </c>
      <c r="M15" s="16">
        <v>0.5</v>
      </c>
      <c r="N15" s="16">
        <v>0.5</v>
      </c>
      <c r="O15" s="17">
        <v>45231.0</v>
      </c>
      <c r="P15" s="18">
        <v>1.75</v>
      </c>
      <c r="Q15" s="15" t="s">
        <v>30</v>
      </c>
      <c r="R15" s="19">
        <f t="shared" si="1"/>
        <v>0.1875</v>
      </c>
      <c r="S15" s="19">
        <f t="shared" si="4"/>
        <v>-3.9705</v>
      </c>
      <c r="U15" s="66">
        <v>45244.0</v>
      </c>
      <c r="V15" s="13">
        <f t="shared" si="2"/>
        <v>0</v>
      </c>
    </row>
    <row r="16">
      <c r="A16" s="8">
        <f t="shared" si="3"/>
        <v>15</v>
      </c>
      <c r="B16" s="8" t="s">
        <v>19</v>
      </c>
      <c r="C16" s="8"/>
      <c r="D16" s="8" t="s">
        <v>5581</v>
      </c>
      <c r="E16" s="8" t="s">
        <v>5565</v>
      </c>
      <c r="F16" s="8" t="s">
        <v>2556</v>
      </c>
      <c r="G16" s="8">
        <v>0.0</v>
      </c>
      <c r="H16" s="8" t="s">
        <v>82</v>
      </c>
      <c r="I16" s="8" t="s">
        <v>22</v>
      </c>
      <c r="J16" s="8" t="s">
        <v>225</v>
      </c>
      <c r="K16" s="8" t="s">
        <v>24</v>
      </c>
      <c r="L16" s="9">
        <v>0.25</v>
      </c>
      <c r="M16" s="9">
        <v>0.75</v>
      </c>
      <c r="N16" s="9">
        <v>0.75</v>
      </c>
      <c r="O16" s="10">
        <v>45232.0</v>
      </c>
      <c r="P16" s="11">
        <v>2.025</v>
      </c>
      <c r="Q16" s="8" t="s">
        <v>33</v>
      </c>
      <c r="R16" s="12">
        <f t="shared" si="1"/>
        <v>0.76875</v>
      </c>
      <c r="S16" s="12">
        <f t="shared" si="4"/>
        <v>-3.20175</v>
      </c>
      <c r="U16" s="66">
        <v>45245.0</v>
      </c>
      <c r="V16" s="13">
        <f t="shared" si="2"/>
        <v>0.7025</v>
      </c>
    </row>
    <row r="17">
      <c r="A17" s="15">
        <f t="shared" si="3"/>
        <v>16</v>
      </c>
      <c r="B17" s="15" t="s">
        <v>19</v>
      </c>
      <c r="C17" s="15"/>
      <c r="D17" s="15" t="s">
        <v>5582</v>
      </c>
      <c r="E17" s="15" t="s">
        <v>5565</v>
      </c>
      <c r="F17" s="15" t="s">
        <v>2660</v>
      </c>
      <c r="G17" s="15">
        <v>0.0</v>
      </c>
      <c r="H17" s="15" t="s">
        <v>231</v>
      </c>
      <c r="I17" s="15" t="s">
        <v>22</v>
      </c>
      <c r="J17" s="15" t="s">
        <v>1150</v>
      </c>
      <c r="K17" s="15" t="s">
        <v>24</v>
      </c>
      <c r="L17" s="16">
        <v>0.0</v>
      </c>
      <c r="M17" s="16">
        <v>0.5</v>
      </c>
      <c r="N17" s="16">
        <v>0.5</v>
      </c>
      <c r="O17" s="17">
        <v>45233.0</v>
      </c>
      <c r="P17" s="18">
        <v>2.0</v>
      </c>
      <c r="Q17" s="15" t="s">
        <v>70</v>
      </c>
      <c r="R17" s="19">
        <f t="shared" si="1"/>
        <v>0</v>
      </c>
      <c r="S17" s="19">
        <f t="shared" si="4"/>
        <v>-3.20175</v>
      </c>
      <c r="U17" s="66">
        <v>45246.0</v>
      </c>
      <c r="V17" s="13">
        <f t="shared" si="2"/>
        <v>0.6432142857</v>
      </c>
    </row>
    <row r="18">
      <c r="A18" s="8">
        <f t="shared" si="3"/>
        <v>17</v>
      </c>
      <c r="B18" s="8" t="s">
        <v>19</v>
      </c>
      <c r="C18" s="8"/>
      <c r="D18" s="8" t="s">
        <v>5583</v>
      </c>
      <c r="E18" s="8" t="s">
        <v>5565</v>
      </c>
      <c r="F18" s="8" t="s">
        <v>2660</v>
      </c>
      <c r="G18" s="8">
        <v>0.0</v>
      </c>
      <c r="H18" s="8" t="s">
        <v>82</v>
      </c>
      <c r="I18" s="8" t="s">
        <v>22</v>
      </c>
      <c r="J18" s="8" t="s">
        <v>1150</v>
      </c>
      <c r="K18" s="8" t="s">
        <v>24</v>
      </c>
      <c r="L18" s="9">
        <v>0.0</v>
      </c>
      <c r="M18" s="9">
        <v>0.5</v>
      </c>
      <c r="N18" s="9">
        <v>0.39</v>
      </c>
      <c r="O18" s="10">
        <v>45233.0</v>
      </c>
      <c r="P18" s="11">
        <v>1.95</v>
      </c>
      <c r="Q18" s="8" t="s">
        <v>33</v>
      </c>
      <c r="R18" s="12">
        <f t="shared" si="1"/>
        <v>0.3705</v>
      </c>
      <c r="S18" s="12">
        <f t="shared" si="4"/>
        <v>-2.83125</v>
      </c>
      <c r="U18" s="66">
        <v>45247.0</v>
      </c>
      <c r="V18" s="13">
        <f t="shared" si="2"/>
        <v>-3.1913</v>
      </c>
    </row>
    <row r="19">
      <c r="A19" s="15">
        <f t="shared" si="3"/>
        <v>18</v>
      </c>
      <c r="B19" s="15" t="s">
        <v>19</v>
      </c>
      <c r="C19" s="15"/>
      <c r="D19" s="15" t="s">
        <v>5584</v>
      </c>
      <c r="E19" s="15" t="s">
        <v>5564</v>
      </c>
      <c r="F19" s="15" t="s">
        <v>2556</v>
      </c>
      <c r="G19" s="15">
        <v>0.0</v>
      </c>
      <c r="H19" s="15" t="s">
        <v>675</v>
      </c>
      <c r="I19" s="15" t="s">
        <v>22</v>
      </c>
      <c r="J19" s="15" t="s">
        <v>941</v>
      </c>
      <c r="K19" s="15" t="s">
        <v>24</v>
      </c>
      <c r="L19" s="16">
        <v>0.0</v>
      </c>
      <c r="M19" s="16">
        <v>0.5</v>
      </c>
      <c r="N19" s="16">
        <v>0.5</v>
      </c>
      <c r="O19" s="55">
        <v>45233.0</v>
      </c>
      <c r="P19" s="18">
        <v>3.0</v>
      </c>
      <c r="Q19" s="15" t="s">
        <v>70</v>
      </c>
      <c r="R19" s="19">
        <f t="shared" si="1"/>
        <v>0</v>
      </c>
      <c r="S19" s="19">
        <f t="shared" si="4"/>
        <v>-2.83125</v>
      </c>
      <c r="U19" s="66">
        <v>45248.0</v>
      </c>
      <c r="V19" s="13">
        <f t="shared" si="2"/>
        <v>2.273973793</v>
      </c>
    </row>
    <row r="20">
      <c r="A20" s="8">
        <f t="shared" si="3"/>
        <v>19</v>
      </c>
      <c r="B20" s="8" t="s">
        <v>19</v>
      </c>
      <c r="C20" s="8"/>
      <c r="D20" s="8" t="s">
        <v>5585</v>
      </c>
      <c r="E20" s="8" t="s">
        <v>5565</v>
      </c>
      <c r="F20" s="8" t="s">
        <v>2660</v>
      </c>
      <c r="G20" s="8">
        <v>0.0</v>
      </c>
      <c r="H20" s="8" t="s">
        <v>82</v>
      </c>
      <c r="I20" s="8" t="s">
        <v>22</v>
      </c>
      <c r="J20" s="8" t="s">
        <v>892</v>
      </c>
      <c r="K20" s="8" t="s">
        <v>24</v>
      </c>
      <c r="L20" s="9">
        <v>0.0</v>
      </c>
      <c r="M20" s="9">
        <v>0.75</v>
      </c>
      <c r="N20" s="9">
        <v>0.75</v>
      </c>
      <c r="O20" s="10">
        <v>45233.0</v>
      </c>
      <c r="P20" s="11">
        <v>1.825</v>
      </c>
      <c r="Q20" s="8" t="s">
        <v>25</v>
      </c>
      <c r="R20" s="12">
        <f t="shared" si="1"/>
        <v>-0.75</v>
      </c>
      <c r="S20" s="12">
        <f t="shared" si="4"/>
        <v>-3.58125</v>
      </c>
      <c r="U20" s="66">
        <v>45249.0</v>
      </c>
      <c r="V20" s="13">
        <f t="shared" si="2"/>
        <v>-0.789</v>
      </c>
    </row>
    <row r="21">
      <c r="A21" s="15">
        <f t="shared" si="3"/>
        <v>20</v>
      </c>
      <c r="B21" s="15" t="s">
        <v>19</v>
      </c>
      <c r="C21" s="15"/>
      <c r="D21" s="15" t="s">
        <v>5586</v>
      </c>
      <c r="E21" s="15" t="s">
        <v>5564</v>
      </c>
      <c r="F21" s="15" t="s">
        <v>2556</v>
      </c>
      <c r="G21" s="15">
        <v>-3.0</v>
      </c>
      <c r="H21" s="15" t="s">
        <v>99</v>
      </c>
      <c r="I21" s="15" t="s">
        <v>22</v>
      </c>
      <c r="J21" s="15" t="s">
        <v>225</v>
      </c>
      <c r="K21" s="15" t="s">
        <v>24</v>
      </c>
      <c r="L21" s="16">
        <v>0.5</v>
      </c>
      <c r="M21" s="16">
        <v>0.25</v>
      </c>
      <c r="N21" s="16">
        <v>0.25</v>
      </c>
      <c r="O21" s="17">
        <v>45233.0</v>
      </c>
      <c r="P21" s="18">
        <v>1.725</v>
      </c>
      <c r="Q21" s="15" t="s">
        <v>33</v>
      </c>
      <c r="R21" s="19">
        <f t="shared" si="1"/>
        <v>0.18125</v>
      </c>
      <c r="S21" s="19">
        <f t="shared" si="4"/>
        <v>-3.4</v>
      </c>
      <c r="U21" s="66">
        <v>45250.0</v>
      </c>
      <c r="V21" s="13">
        <f t="shared" si="2"/>
        <v>-0.4</v>
      </c>
    </row>
    <row r="22">
      <c r="A22" s="8">
        <f t="shared" si="3"/>
        <v>21</v>
      </c>
      <c r="B22" s="8" t="s">
        <v>19</v>
      </c>
      <c r="C22" s="8"/>
      <c r="D22" s="8" t="s">
        <v>5587</v>
      </c>
      <c r="E22" s="8" t="s">
        <v>5565</v>
      </c>
      <c r="F22" s="8" t="s">
        <v>2660</v>
      </c>
      <c r="G22" s="8">
        <v>0.0</v>
      </c>
      <c r="H22" s="8" t="s">
        <v>96</v>
      </c>
      <c r="I22" s="8" t="s">
        <v>22</v>
      </c>
      <c r="J22" s="8" t="s">
        <v>892</v>
      </c>
      <c r="K22" s="8" t="s">
        <v>24</v>
      </c>
      <c r="L22" s="9">
        <v>0.0</v>
      </c>
      <c r="M22" s="9">
        <v>0.5</v>
      </c>
      <c r="N22" s="9">
        <v>0.5</v>
      </c>
      <c r="O22" s="10">
        <v>45233.0</v>
      </c>
      <c r="P22" s="11">
        <v>1.875</v>
      </c>
      <c r="Q22" s="8" t="s">
        <v>33</v>
      </c>
      <c r="R22" s="12">
        <f t="shared" si="1"/>
        <v>0.4375</v>
      </c>
      <c r="S22" s="12">
        <f t="shared" si="4"/>
        <v>-2.9625</v>
      </c>
      <c r="U22" s="66">
        <v>45251.0</v>
      </c>
      <c r="V22" s="13">
        <f t="shared" si="2"/>
        <v>0.045</v>
      </c>
    </row>
    <row r="23">
      <c r="A23" s="15">
        <f t="shared" si="3"/>
        <v>22</v>
      </c>
      <c r="B23" s="15" t="s">
        <v>19</v>
      </c>
      <c r="C23" s="15"/>
      <c r="D23" s="15" t="s">
        <v>5588</v>
      </c>
      <c r="E23" s="15" t="s">
        <v>5565</v>
      </c>
      <c r="F23" s="15" t="s">
        <v>2556</v>
      </c>
      <c r="G23" s="15">
        <v>0.0</v>
      </c>
      <c r="H23" s="15" t="s">
        <v>96</v>
      </c>
      <c r="I23" s="15" t="s">
        <v>22</v>
      </c>
      <c r="J23" s="15" t="s">
        <v>941</v>
      </c>
      <c r="K23" s="15" t="s">
        <v>24</v>
      </c>
      <c r="L23" s="16">
        <v>0.0</v>
      </c>
      <c r="M23" s="16">
        <v>0.5</v>
      </c>
      <c r="N23" s="16">
        <v>0.5</v>
      </c>
      <c r="O23" s="17">
        <v>45233.0</v>
      </c>
      <c r="P23" s="18">
        <v>1.825</v>
      </c>
      <c r="Q23" s="15" t="s">
        <v>33</v>
      </c>
      <c r="R23" s="19">
        <f t="shared" si="1"/>
        <v>0.4125</v>
      </c>
      <c r="S23" s="19">
        <f t="shared" si="4"/>
        <v>-2.55</v>
      </c>
      <c r="U23" s="66">
        <v>45252.0</v>
      </c>
      <c r="V23" s="13">
        <f t="shared" si="2"/>
        <v>-3.3</v>
      </c>
    </row>
    <row r="24">
      <c r="A24" s="8">
        <f t="shared" si="3"/>
        <v>23</v>
      </c>
      <c r="B24" s="8" t="s">
        <v>19</v>
      </c>
      <c r="C24" s="8"/>
      <c r="D24" s="8" t="s">
        <v>5589</v>
      </c>
      <c r="E24" s="8"/>
      <c r="F24" s="8"/>
      <c r="G24" s="8">
        <v>0.0</v>
      </c>
      <c r="H24" s="8" t="s">
        <v>101</v>
      </c>
      <c r="I24" s="8" t="s">
        <v>22</v>
      </c>
      <c r="J24" s="8" t="s">
        <v>29</v>
      </c>
      <c r="K24" s="8" t="s">
        <v>24</v>
      </c>
      <c r="L24" s="9">
        <v>-2.5</v>
      </c>
      <c r="M24" s="9">
        <v>0.5</v>
      </c>
      <c r="N24" s="9">
        <v>0.5</v>
      </c>
      <c r="O24" s="10">
        <v>45233.0</v>
      </c>
      <c r="P24" s="11">
        <v>1.66</v>
      </c>
      <c r="Q24" s="8" t="s">
        <v>33</v>
      </c>
      <c r="R24" s="12">
        <f t="shared" si="1"/>
        <v>0.33</v>
      </c>
      <c r="S24" s="12">
        <f t="shared" si="4"/>
        <v>-2.22</v>
      </c>
      <c r="U24" s="66">
        <v>45253.0</v>
      </c>
      <c r="V24" s="13">
        <f t="shared" si="2"/>
        <v>0.165</v>
      </c>
    </row>
    <row r="25">
      <c r="A25" s="15">
        <f t="shared" si="3"/>
        <v>24</v>
      </c>
      <c r="B25" s="15" t="s">
        <v>19</v>
      </c>
      <c r="C25" s="15"/>
      <c r="D25" s="15" t="s">
        <v>5590</v>
      </c>
      <c r="E25" s="15" t="s">
        <v>5565</v>
      </c>
      <c r="F25" s="15" t="s">
        <v>2660</v>
      </c>
      <c r="G25" s="15">
        <v>0.0</v>
      </c>
      <c r="H25" s="15" t="s">
        <v>644</v>
      </c>
      <c r="I25" s="15" t="s">
        <v>22</v>
      </c>
      <c r="J25" s="15" t="s">
        <v>1150</v>
      </c>
      <c r="K25" s="15" t="s">
        <v>24</v>
      </c>
      <c r="L25" s="16">
        <v>0.0</v>
      </c>
      <c r="M25" s="16">
        <v>0.75</v>
      </c>
      <c r="N25" s="16">
        <v>0.75</v>
      </c>
      <c r="O25" s="17">
        <v>45233.0</v>
      </c>
      <c r="P25" s="18">
        <v>1.975</v>
      </c>
      <c r="Q25" s="15" t="s">
        <v>70</v>
      </c>
      <c r="R25" s="19">
        <f t="shared" si="1"/>
        <v>0</v>
      </c>
      <c r="S25" s="19">
        <f t="shared" si="4"/>
        <v>-2.22</v>
      </c>
      <c r="U25" s="66">
        <v>45254.0</v>
      </c>
      <c r="V25" s="13">
        <f t="shared" si="2"/>
        <v>0.8575</v>
      </c>
    </row>
    <row r="26">
      <c r="A26" s="8">
        <f t="shared" si="3"/>
        <v>25</v>
      </c>
      <c r="B26" s="8" t="s">
        <v>19</v>
      </c>
      <c r="C26" s="8"/>
      <c r="D26" s="8" t="s">
        <v>5591</v>
      </c>
      <c r="E26" s="8" t="s">
        <v>5565</v>
      </c>
      <c r="F26" s="8" t="s">
        <v>2660</v>
      </c>
      <c r="G26" s="8">
        <v>2</v>
      </c>
      <c r="H26" s="8" t="s">
        <v>644</v>
      </c>
      <c r="I26" s="8" t="s">
        <v>22</v>
      </c>
      <c r="J26" s="8" t="s">
        <v>892</v>
      </c>
      <c r="K26" s="8" t="s">
        <v>24</v>
      </c>
      <c r="L26" s="9">
        <v>0.0</v>
      </c>
      <c r="M26" s="9">
        <v>0.3</v>
      </c>
      <c r="N26" s="9">
        <v>0.3</v>
      </c>
      <c r="O26" s="10">
        <v>45233.0</v>
      </c>
      <c r="P26" s="11">
        <v>1.825</v>
      </c>
      <c r="Q26" s="8" t="s">
        <v>25</v>
      </c>
      <c r="R26" s="12">
        <f t="shared" si="1"/>
        <v>-0.3</v>
      </c>
      <c r="S26" s="12">
        <f t="shared" si="4"/>
        <v>-2.52</v>
      </c>
      <c r="U26" s="66">
        <v>45255.0</v>
      </c>
      <c r="V26" s="13">
        <f t="shared" si="2"/>
        <v>0.1088</v>
      </c>
    </row>
    <row r="27">
      <c r="A27" s="15">
        <f t="shared" si="3"/>
        <v>26</v>
      </c>
      <c r="B27" s="15" t="s">
        <v>19</v>
      </c>
      <c r="C27" s="15"/>
      <c r="D27" s="15" t="s">
        <v>5592</v>
      </c>
      <c r="E27" s="15" t="s">
        <v>5564</v>
      </c>
      <c r="F27" s="15" t="s">
        <v>2556</v>
      </c>
      <c r="G27" s="15">
        <v>0.0</v>
      </c>
      <c r="H27" s="15" t="s">
        <v>432</v>
      </c>
      <c r="I27" s="15" t="s">
        <v>22</v>
      </c>
      <c r="J27" s="15" t="s">
        <v>225</v>
      </c>
      <c r="K27" s="15" t="s">
        <v>1522</v>
      </c>
      <c r="L27" s="16">
        <v>0.25</v>
      </c>
      <c r="M27" s="16">
        <v>0.75</v>
      </c>
      <c r="N27" s="16">
        <v>0.75</v>
      </c>
      <c r="O27" s="17">
        <v>45233.0</v>
      </c>
      <c r="P27" s="18">
        <v>1.7</v>
      </c>
      <c r="Q27" s="15" t="s">
        <v>33</v>
      </c>
      <c r="R27" s="19">
        <f t="shared" si="1"/>
        <v>0.525</v>
      </c>
      <c r="S27" s="19">
        <f t="shared" si="4"/>
        <v>-1.995</v>
      </c>
      <c r="U27" s="66">
        <v>45256.0</v>
      </c>
      <c r="V27" s="13">
        <f t="shared" si="2"/>
        <v>1.3412</v>
      </c>
    </row>
    <row r="28">
      <c r="A28" s="8">
        <f t="shared" si="3"/>
        <v>27</v>
      </c>
      <c r="B28" s="8" t="s">
        <v>19</v>
      </c>
      <c r="C28" s="8"/>
      <c r="D28" s="8" t="s">
        <v>5593</v>
      </c>
      <c r="E28" s="8" t="s">
        <v>5565</v>
      </c>
      <c r="F28" s="8" t="s">
        <v>2660</v>
      </c>
      <c r="G28" s="8">
        <v>0.0</v>
      </c>
      <c r="H28" s="8" t="s">
        <v>174</v>
      </c>
      <c r="I28" s="8" t="s">
        <v>22</v>
      </c>
      <c r="J28" s="8" t="s">
        <v>892</v>
      </c>
      <c r="K28" s="8" t="s">
        <v>24</v>
      </c>
      <c r="L28" s="9">
        <v>0.0</v>
      </c>
      <c r="M28" s="9">
        <v>0.25</v>
      </c>
      <c r="N28" s="9">
        <v>0.25</v>
      </c>
      <c r="O28" s="10">
        <v>45233.0</v>
      </c>
      <c r="P28" s="11">
        <v>1.7</v>
      </c>
      <c r="Q28" s="8" t="s">
        <v>33</v>
      </c>
      <c r="R28" s="12">
        <f t="shared" si="1"/>
        <v>0.175</v>
      </c>
      <c r="S28" s="12">
        <f t="shared" si="4"/>
        <v>-1.82</v>
      </c>
      <c r="U28" s="66">
        <v>45257.0</v>
      </c>
      <c r="V28" s="13">
        <f t="shared" si="2"/>
        <v>0</v>
      </c>
    </row>
    <row r="29">
      <c r="A29" s="15">
        <f t="shared" si="3"/>
        <v>28</v>
      </c>
      <c r="B29" s="15" t="s">
        <v>19</v>
      </c>
      <c r="C29" s="15"/>
      <c r="D29" s="15" t="s">
        <v>5594</v>
      </c>
      <c r="E29" s="15" t="s">
        <v>5565</v>
      </c>
      <c r="F29" s="15" t="s">
        <v>2660</v>
      </c>
      <c r="G29" s="15">
        <v>-1.0</v>
      </c>
      <c r="H29" s="15" t="s">
        <v>196</v>
      </c>
      <c r="I29" s="15" t="s">
        <v>22</v>
      </c>
      <c r="J29" s="15" t="s">
        <v>892</v>
      </c>
      <c r="K29" s="15" t="s">
        <v>39</v>
      </c>
      <c r="L29" s="16">
        <v>0.0</v>
      </c>
      <c r="M29" s="16">
        <v>0.5</v>
      </c>
      <c r="N29" s="16">
        <v>0.5</v>
      </c>
      <c r="O29" s="17">
        <v>45233.0</v>
      </c>
      <c r="P29" s="18">
        <v>1.7</v>
      </c>
      <c r="Q29" s="15" t="s">
        <v>70</v>
      </c>
      <c r="R29" s="19">
        <f t="shared" si="1"/>
        <v>0</v>
      </c>
      <c r="S29" s="19">
        <f t="shared" si="4"/>
        <v>-1.82</v>
      </c>
      <c r="U29" s="66">
        <v>45258.0</v>
      </c>
      <c r="V29" s="13">
        <f t="shared" si="2"/>
        <v>0.28</v>
      </c>
    </row>
    <row r="30">
      <c r="A30" s="8">
        <f t="shared" si="3"/>
        <v>29</v>
      </c>
      <c r="B30" s="8" t="s">
        <v>19</v>
      </c>
      <c r="C30" s="8"/>
      <c r="D30" s="8" t="s">
        <v>5595</v>
      </c>
      <c r="E30" s="8" t="s">
        <v>5564</v>
      </c>
      <c r="F30" s="8" t="s">
        <v>2660</v>
      </c>
      <c r="G30" s="8" t="s">
        <v>5596</v>
      </c>
      <c r="H30" s="8" t="s">
        <v>44</v>
      </c>
      <c r="I30" s="8" t="s">
        <v>22</v>
      </c>
      <c r="J30" s="8" t="s">
        <v>892</v>
      </c>
      <c r="K30" s="8" t="s">
        <v>39</v>
      </c>
      <c r="L30" s="9">
        <v>0.0</v>
      </c>
      <c r="M30" s="9">
        <v>0.5</v>
      </c>
      <c r="N30" s="9">
        <v>0.5</v>
      </c>
      <c r="O30" s="10">
        <v>45233.0</v>
      </c>
      <c r="P30" s="11">
        <f>(1.75+1.6)/2</f>
        <v>1.675</v>
      </c>
      <c r="Q30" s="8" t="s">
        <v>33</v>
      </c>
      <c r="R30" s="12">
        <f t="shared" si="1"/>
        <v>0.3375</v>
      </c>
      <c r="S30" s="12">
        <f t="shared" si="4"/>
        <v>-1.4825</v>
      </c>
      <c r="U30" s="66">
        <v>45259.0</v>
      </c>
      <c r="V30" s="13">
        <f t="shared" si="2"/>
        <v>0.4721</v>
      </c>
    </row>
    <row r="31">
      <c r="A31" s="15">
        <f t="shared" si="3"/>
        <v>30</v>
      </c>
      <c r="B31" s="15" t="s">
        <v>19</v>
      </c>
      <c r="C31" s="15"/>
      <c r="D31" s="15" t="s">
        <v>5597</v>
      </c>
      <c r="E31" s="15" t="s">
        <v>5565</v>
      </c>
      <c r="F31" s="15" t="s">
        <v>2660</v>
      </c>
      <c r="G31" s="15">
        <v>0.0</v>
      </c>
      <c r="H31" s="15" t="s">
        <v>44</v>
      </c>
      <c r="I31" s="15" t="s">
        <v>22</v>
      </c>
      <c r="J31" s="15" t="s">
        <v>892</v>
      </c>
      <c r="K31" s="15" t="s">
        <v>24</v>
      </c>
      <c r="L31" s="16">
        <v>0.0</v>
      </c>
      <c r="M31" s="16">
        <v>1.0</v>
      </c>
      <c r="N31" s="16">
        <v>1.0</v>
      </c>
      <c r="O31" s="17">
        <v>45233.0</v>
      </c>
      <c r="P31" s="18">
        <v>1.7</v>
      </c>
      <c r="Q31" s="15" t="s">
        <v>25</v>
      </c>
      <c r="R31" s="19">
        <f t="shared" si="1"/>
        <v>-1</v>
      </c>
      <c r="S31" s="19">
        <f t="shared" si="4"/>
        <v>-2.4825</v>
      </c>
      <c r="U31" s="66">
        <v>45260.0</v>
      </c>
      <c r="V31" s="13">
        <f t="shared" si="2"/>
        <v>0.26375</v>
      </c>
    </row>
    <row r="32">
      <c r="A32" s="8">
        <f t="shared" si="3"/>
        <v>31</v>
      </c>
      <c r="B32" s="8" t="s">
        <v>19</v>
      </c>
      <c r="C32" s="8"/>
      <c r="D32" s="8" t="s">
        <v>5598</v>
      </c>
      <c r="E32" s="8" t="s">
        <v>5565</v>
      </c>
      <c r="F32" s="8" t="s">
        <v>2660</v>
      </c>
      <c r="G32" s="8">
        <v>-3.0</v>
      </c>
      <c r="H32" s="8" t="s">
        <v>583</v>
      </c>
      <c r="I32" s="8" t="s">
        <v>22</v>
      </c>
      <c r="J32" s="8" t="s">
        <v>892</v>
      </c>
      <c r="K32" s="8" t="s">
        <v>24</v>
      </c>
      <c r="L32" s="9">
        <v>0.0</v>
      </c>
      <c r="M32" s="9">
        <v>0.5</v>
      </c>
      <c r="N32" s="9">
        <v>0.346</v>
      </c>
      <c r="O32" s="10">
        <v>45234.0</v>
      </c>
      <c r="P32" s="11">
        <v>1.75</v>
      </c>
      <c r="Q32" s="8" t="s">
        <v>25</v>
      </c>
      <c r="R32" s="12">
        <f t="shared" si="1"/>
        <v>-0.346</v>
      </c>
      <c r="S32" s="12">
        <f t="shared" si="4"/>
        <v>-2.8285</v>
      </c>
      <c r="U32" s="66"/>
      <c r="V32" s="13">
        <f t="shared" si="2"/>
        <v>0</v>
      </c>
    </row>
    <row r="33">
      <c r="A33" s="15">
        <f t="shared" si="3"/>
        <v>32</v>
      </c>
      <c r="B33" s="15" t="s">
        <v>19</v>
      </c>
      <c r="C33" s="15"/>
      <c r="D33" s="15" t="s">
        <v>5599</v>
      </c>
      <c r="E33" s="15" t="s">
        <v>5565</v>
      </c>
      <c r="F33" s="15" t="s">
        <v>2660</v>
      </c>
      <c r="G33" s="15">
        <v>0.0</v>
      </c>
      <c r="H33" s="15" t="s">
        <v>1025</v>
      </c>
      <c r="I33" s="15" t="s">
        <v>22</v>
      </c>
      <c r="J33" s="15" t="s">
        <v>1150</v>
      </c>
      <c r="K33" s="15" t="s">
        <v>24</v>
      </c>
      <c r="L33" s="16">
        <v>0.0</v>
      </c>
      <c r="M33" s="16">
        <v>0.5</v>
      </c>
      <c r="N33" s="16">
        <v>0.46</v>
      </c>
      <c r="O33" s="17">
        <v>45234.0</v>
      </c>
      <c r="P33" s="18">
        <v>1.9</v>
      </c>
      <c r="Q33" s="15" t="s">
        <v>70</v>
      </c>
      <c r="R33" s="19">
        <f t="shared" si="1"/>
        <v>0</v>
      </c>
      <c r="S33" s="19">
        <f t="shared" si="4"/>
        <v>-2.8285</v>
      </c>
      <c r="U33" s="66"/>
      <c r="V33" s="13">
        <f t="shared" si="2"/>
        <v>0</v>
      </c>
    </row>
    <row r="34">
      <c r="A34" s="8">
        <f t="shared" si="3"/>
        <v>33</v>
      </c>
      <c r="B34" s="8" t="s">
        <v>19</v>
      </c>
      <c r="C34" s="8"/>
      <c r="D34" s="8" t="s">
        <v>5600</v>
      </c>
      <c r="E34" s="8" t="s">
        <v>5564</v>
      </c>
      <c r="F34" s="8" t="s">
        <v>2556</v>
      </c>
      <c r="G34" s="8">
        <v>-1.0</v>
      </c>
      <c r="H34" s="8" t="s">
        <v>101</v>
      </c>
      <c r="I34" s="8" t="s">
        <v>22</v>
      </c>
      <c r="J34" s="8" t="s">
        <v>225</v>
      </c>
      <c r="K34" s="8" t="s">
        <v>24</v>
      </c>
      <c r="L34" s="9">
        <v>0.25</v>
      </c>
      <c r="M34" s="9">
        <v>0.25</v>
      </c>
      <c r="N34" s="9">
        <f>0.957*0.25</f>
        <v>0.23925</v>
      </c>
      <c r="O34" s="10">
        <v>45234.0</v>
      </c>
      <c r="P34" s="11">
        <v>1.7</v>
      </c>
      <c r="Q34" s="8" t="s">
        <v>30</v>
      </c>
      <c r="R34" s="12">
        <f t="shared" si="1"/>
        <v>0.0837375</v>
      </c>
      <c r="S34" s="12">
        <f t="shared" si="4"/>
        <v>-2.7447625</v>
      </c>
      <c r="U34" s="94" t="s">
        <v>89</v>
      </c>
      <c r="V34" s="28">
        <f>SUM(V2:V33)</f>
        <v>3.690085579</v>
      </c>
    </row>
    <row r="35">
      <c r="A35" s="15">
        <f t="shared" si="3"/>
        <v>34</v>
      </c>
      <c r="B35" s="15" t="s">
        <v>19</v>
      </c>
      <c r="C35" s="15"/>
      <c r="D35" s="15" t="s">
        <v>5601</v>
      </c>
      <c r="E35" s="15" t="s">
        <v>5564</v>
      </c>
      <c r="F35" s="15" t="s">
        <v>2660</v>
      </c>
      <c r="G35" s="15">
        <v>-1.0</v>
      </c>
      <c r="H35" s="15" t="s">
        <v>101</v>
      </c>
      <c r="I35" s="15" t="s">
        <v>22</v>
      </c>
      <c r="J35" s="15" t="s">
        <v>892</v>
      </c>
      <c r="K35" s="15" t="s">
        <v>24</v>
      </c>
      <c r="L35" s="16">
        <v>0.0</v>
      </c>
      <c r="M35" s="16">
        <v>0.25</v>
      </c>
      <c r="N35" s="16">
        <v>0.25</v>
      </c>
      <c r="O35" s="17">
        <v>45234.0</v>
      </c>
      <c r="P35" s="18">
        <v>2.2</v>
      </c>
      <c r="Q35" s="15" t="s">
        <v>70</v>
      </c>
      <c r="R35" s="19">
        <f t="shared" si="1"/>
        <v>0</v>
      </c>
      <c r="S35" s="19">
        <f t="shared" si="4"/>
        <v>-2.7447625</v>
      </c>
      <c r="U35" s="30"/>
    </row>
    <row r="36">
      <c r="A36" s="8">
        <f t="shared" si="3"/>
        <v>35</v>
      </c>
      <c r="B36" s="8" t="s">
        <v>19</v>
      </c>
      <c r="C36" s="8"/>
      <c r="D36" s="8" t="s">
        <v>5602</v>
      </c>
      <c r="E36" s="8" t="s">
        <v>5564</v>
      </c>
      <c r="F36" s="8" t="s">
        <v>2556</v>
      </c>
      <c r="G36" s="8">
        <v>0.0</v>
      </c>
      <c r="H36" s="8" t="s">
        <v>583</v>
      </c>
      <c r="I36" s="8" t="s">
        <v>22</v>
      </c>
      <c r="J36" s="8" t="s">
        <v>225</v>
      </c>
      <c r="K36" s="8" t="s">
        <v>24</v>
      </c>
      <c r="L36" s="9">
        <v>0.25</v>
      </c>
      <c r="M36" s="9">
        <v>0.75</v>
      </c>
      <c r="N36" s="9">
        <v>0.75</v>
      </c>
      <c r="O36" s="10">
        <v>45234.0</v>
      </c>
      <c r="P36" s="11">
        <v>1.7</v>
      </c>
      <c r="Q36" s="8" t="s">
        <v>30</v>
      </c>
      <c r="R36" s="12">
        <f t="shared" si="1"/>
        <v>0.2625</v>
      </c>
      <c r="S36" s="12">
        <f t="shared" si="4"/>
        <v>-2.4822625</v>
      </c>
      <c r="U36" s="30"/>
    </row>
    <row r="37">
      <c r="A37" s="15">
        <f t="shared" si="3"/>
        <v>36</v>
      </c>
      <c r="B37" s="15" t="s">
        <v>19</v>
      </c>
      <c r="C37" s="15"/>
      <c r="D37" s="15" t="s">
        <v>5603</v>
      </c>
      <c r="E37" s="15" t="s">
        <v>5565</v>
      </c>
      <c r="F37" s="15" t="s">
        <v>2660</v>
      </c>
      <c r="G37" s="15" t="s">
        <v>5596</v>
      </c>
      <c r="H37" s="15" t="s">
        <v>583</v>
      </c>
      <c r="I37" s="15" t="s">
        <v>22</v>
      </c>
      <c r="J37" s="15" t="s">
        <v>892</v>
      </c>
      <c r="K37" s="15" t="s">
        <v>24</v>
      </c>
      <c r="L37" s="16">
        <v>0.0</v>
      </c>
      <c r="M37" s="16">
        <v>1.0</v>
      </c>
      <c r="N37" s="16">
        <v>1.0</v>
      </c>
      <c r="O37" s="17">
        <v>45234.0</v>
      </c>
      <c r="P37" s="18">
        <v>1.725</v>
      </c>
      <c r="Q37" s="15" t="s">
        <v>70</v>
      </c>
      <c r="R37" s="19">
        <f t="shared" si="1"/>
        <v>0</v>
      </c>
      <c r="S37" s="19">
        <f t="shared" si="4"/>
        <v>-2.4822625</v>
      </c>
      <c r="U37" s="30"/>
    </row>
    <row r="38">
      <c r="A38" s="8">
        <f t="shared" si="3"/>
        <v>37</v>
      </c>
      <c r="B38" s="8" t="s">
        <v>19</v>
      </c>
      <c r="C38" s="8"/>
      <c r="D38" s="8" t="s">
        <v>5604</v>
      </c>
      <c r="E38" s="8" t="s">
        <v>5564</v>
      </c>
      <c r="F38" s="8" t="s">
        <v>2660</v>
      </c>
      <c r="G38" s="8">
        <v>-1.0</v>
      </c>
      <c r="H38" s="8" t="s">
        <v>101</v>
      </c>
      <c r="I38" s="8" t="s">
        <v>22</v>
      </c>
      <c r="J38" s="8" t="s">
        <v>892</v>
      </c>
      <c r="K38" s="8" t="s">
        <v>39</v>
      </c>
      <c r="L38" s="9">
        <v>0.0</v>
      </c>
      <c r="M38" s="9">
        <v>0.5</v>
      </c>
      <c r="N38" s="9">
        <v>0.5</v>
      </c>
      <c r="O38" s="10">
        <v>45234.0</v>
      </c>
      <c r="P38" s="11">
        <v>1.725</v>
      </c>
      <c r="Q38" s="8" t="s">
        <v>70</v>
      </c>
      <c r="R38" s="12">
        <f t="shared" si="1"/>
        <v>0</v>
      </c>
      <c r="S38" s="12">
        <f t="shared" si="4"/>
        <v>-2.4822625</v>
      </c>
      <c r="U38" s="30"/>
    </row>
    <row r="39">
      <c r="A39" s="15">
        <f t="shared" si="3"/>
        <v>38</v>
      </c>
      <c r="B39" s="15" t="s">
        <v>19</v>
      </c>
      <c r="C39" s="15"/>
      <c r="D39" s="15" t="s">
        <v>5605</v>
      </c>
      <c r="E39" s="15" t="s">
        <v>5564</v>
      </c>
      <c r="F39" s="15" t="s">
        <v>2660</v>
      </c>
      <c r="G39" s="15">
        <v>0.0</v>
      </c>
      <c r="H39" s="15" t="s">
        <v>115</v>
      </c>
      <c r="I39" s="15" t="s">
        <v>22</v>
      </c>
      <c r="J39" s="15" t="s">
        <v>892</v>
      </c>
      <c r="K39" s="15" t="s">
        <v>1522</v>
      </c>
      <c r="L39" s="16">
        <v>0.0</v>
      </c>
      <c r="M39" s="16">
        <v>0.25</v>
      </c>
      <c r="N39" s="16">
        <v>0.25</v>
      </c>
      <c r="O39" s="17">
        <v>45234.0</v>
      </c>
      <c r="P39" s="18">
        <v>1.85</v>
      </c>
      <c r="Q39" s="15" t="s">
        <v>25</v>
      </c>
      <c r="R39" s="19">
        <f t="shared" si="1"/>
        <v>-0.25</v>
      </c>
      <c r="S39" s="19">
        <f t="shared" si="4"/>
        <v>-2.7322625</v>
      </c>
      <c r="U39" s="30"/>
    </row>
    <row r="40">
      <c r="A40" s="8">
        <f t="shared" si="3"/>
        <v>39</v>
      </c>
      <c r="B40" s="8" t="s">
        <v>19</v>
      </c>
      <c r="C40" s="8"/>
      <c r="D40" s="8" t="s">
        <v>5606</v>
      </c>
      <c r="E40" s="8" t="s">
        <v>5564</v>
      </c>
      <c r="F40" s="8" t="s">
        <v>2556</v>
      </c>
      <c r="G40" s="8">
        <v>0.0</v>
      </c>
      <c r="H40" s="8" t="s">
        <v>115</v>
      </c>
      <c r="I40" s="8" t="s">
        <v>22</v>
      </c>
      <c r="J40" s="8" t="s">
        <v>941</v>
      </c>
      <c r="K40" s="8" t="s">
        <v>1522</v>
      </c>
      <c r="L40" s="9">
        <v>0.0</v>
      </c>
      <c r="M40" s="9">
        <v>0.75</v>
      </c>
      <c r="N40" s="9">
        <v>0.75</v>
      </c>
      <c r="O40" s="10">
        <v>45234.0</v>
      </c>
      <c r="P40" s="11">
        <v>1.825</v>
      </c>
      <c r="Q40" s="8" t="s">
        <v>25</v>
      </c>
      <c r="R40" s="12">
        <f t="shared" si="1"/>
        <v>-0.75</v>
      </c>
      <c r="S40" s="12">
        <f t="shared" si="4"/>
        <v>-3.4822625</v>
      </c>
      <c r="U40" s="30"/>
    </row>
    <row r="41">
      <c r="A41" s="15">
        <f t="shared" si="3"/>
        <v>40</v>
      </c>
      <c r="B41" s="15" t="s">
        <v>19</v>
      </c>
      <c r="C41" s="15"/>
      <c r="D41" s="15" t="s">
        <v>5607</v>
      </c>
      <c r="E41" s="15" t="s">
        <v>5564</v>
      </c>
      <c r="F41" s="15" t="s">
        <v>2660</v>
      </c>
      <c r="G41" s="15">
        <v>-1.0</v>
      </c>
      <c r="H41" s="15" t="s">
        <v>99</v>
      </c>
      <c r="I41" s="15" t="s">
        <v>22</v>
      </c>
      <c r="J41" s="15" t="s">
        <v>892</v>
      </c>
      <c r="K41" s="15" t="s">
        <v>24</v>
      </c>
      <c r="L41" s="16">
        <v>0.0</v>
      </c>
      <c r="M41" s="16">
        <v>1.0</v>
      </c>
      <c r="N41" s="16">
        <v>1.0</v>
      </c>
      <c r="O41" s="17">
        <v>45234.0</v>
      </c>
      <c r="P41" s="18">
        <v>1.75</v>
      </c>
      <c r="Q41" s="15" t="s">
        <v>33</v>
      </c>
      <c r="R41" s="19">
        <f t="shared" si="1"/>
        <v>0.75</v>
      </c>
      <c r="S41" s="19">
        <f t="shared" si="4"/>
        <v>-2.7322625</v>
      </c>
      <c r="U41" s="30"/>
    </row>
    <row r="42">
      <c r="A42" s="8">
        <f t="shared" si="3"/>
        <v>41</v>
      </c>
      <c r="B42" s="8" t="s">
        <v>19</v>
      </c>
      <c r="C42" s="8"/>
      <c r="D42" s="8" t="s">
        <v>5608</v>
      </c>
      <c r="E42" s="8" t="s">
        <v>5564</v>
      </c>
      <c r="F42" s="8" t="s">
        <v>2556</v>
      </c>
      <c r="G42" s="8">
        <v>0.0</v>
      </c>
      <c r="H42" s="8" t="s">
        <v>178</v>
      </c>
      <c r="I42" s="8" t="s">
        <v>22</v>
      </c>
      <c r="J42" s="8" t="s">
        <v>225</v>
      </c>
      <c r="K42" s="8" t="s">
        <v>24</v>
      </c>
      <c r="L42" s="9">
        <v>0.5</v>
      </c>
      <c r="M42" s="9">
        <v>1.0</v>
      </c>
      <c r="N42" s="9">
        <v>1.0</v>
      </c>
      <c r="O42" s="10">
        <v>45234.0</v>
      </c>
      <c r="P42" s="11">
        <v>1.67</v>
      </c>
      <c r="Q42" s="8" t="s">
        <v>33</v>
      </c>
      <c r="R42" s="12">
        <f t="shared" si="1"/>
        <v>0.67</v>
      </c>
      <c r="S42" s="12">
        <f t="shared" si="4"/>
        <v>-2.0622625</v>
      </c>
      <c r="U42" s="30"/>
    </row>
    <row r="43">
      <c r="A43" s="15">
        <f t="shared" si="3"/>
        <v>42</v>
      </c>
      <c r="B43" s="15" t="s">
        <v>19</v>
      </c>
      <c r="C43" s="15"/>
      <c r="D43" s="15" t="s">
        <v>5609</v>
      </c>
      <c r="E43" s="15" t="s">
        <v>5564</v>
      </c>
      <c r="F43" s="15" t="s">
        <v>2556</v>
      </c>
      <c r="G43" s="15">
        <v>2</v>
      </c>
      <c r="H43" s="15" t="s">
        <v>44</v>
      </c>
      <c r="I43" s="15" t="s">
        <v>22</v>
      </c>
      <c r="J43" s="15" t="s">
        <v>225</v>
      </c>
      <c r="K43" s="15" t="s">
        <v>24</v>
      </c>
      <c r="L43" s="16">
        <v>0.5</v>
      </c>
      <c r="M43" s="16">
        <v>0.8</v>
      </c>
      <c r="N43" s="16">
        <v>0.8</v>
      </c>
      <c r="O43" s="17">
        <v>45234.0</v>
      </c>
      <c r="P43" s="18">
        <v>1.8</v>
      </c>
      <c r="Q43" s="15" t="s">
        <v>33</v>
      </c>
      <c r="R43" s="19">
        <f t="shared" si="1"/>
        <v>0.64</v>
      </c>
      <c r="S43" s="19">
        <f t="shared" si="4"/>
        <v>-1.4222625</v>
      </c>
      <c r="U43" s="30"/>
    </row>
    <row r="44">
      <c r="A44" s="8">
        <f t="shared" si="3"/>
        <v>43</v>
      </c>
      <c r="B44" s="8" t="s">
        <v>40</v>
      </c>
      <c r="C44" s="8"/>
      <c r="D44" s="8" t="s">
        <v>5610</v>
      </c>
      <c r="E44" s="8" t="s">
        <v>5564</v>
      </c>
      <c r="F44" s="8" t="s">
        <v>2556</v>
      </c>
      <c r="G44" s="8">
        <v>0.0</v>
      </c>
      <c r="H44" s="8" t="s">
        <v>463</v>
      </c>
      <c r="I44" s="8" t="s">
        <v>22</v>
      </c>
      <c r="J44" s="8" t="s">
        <v>225</v>
      </c>
      <c r="K44" s="8" t="s">
        <v>24</v>
      </c>
      <c r="L44" s="9">
        <v>0.75</v>
      </c>
      <c r="M44" s="9">
        <v>1.0</v>
      </c>
      <c r="N44" s="9">
        <v>1.0</v>
      </c>
      <c r="O44" s="10">
        <v>45234.0</v>
      </c>
      <c r="P44" s="11">
        <v>1.263</v>
      </c>
      <c r="Q44" s="8" t="s">
        <v>33</v>
      </c>
      <c r="R44" s="12">
        <f t="shared" si="1"/>
        <v>0.263</v>
      </c>
      <c r="S44" s="12">
        <f t="shared" si="4"/>
        <v>-1.1592625</v>
      </c>
    </row>
    <row r="45">
      <c r="A45" s="15">
        <f t="shared" si="3"/>
        <v>44</v>
      </c>
      <c r="B45" s="15" t="s">
        <v>19</v>
      </c>
      <c r="C45" s="15"/>
      <c r="D45" s="15" t="s">
        <v>5611</v>
      </c>
      <c r="E45" s="15" t="s">
        <v>5564</v>
      </c>
      <c r="F45" s="15" t="s">
        <v>2556</v>
      </c>
      <c r="G45" s="15">
        <f>1</f>
        <v>1</v>
      </c>
      <c r="H45" s="15" t="s">
        <v>121</v>
      </c>
      <c r="I45" s="15" t="s">
        <v>22</v>
      </c>
      <c r="J45" s="15" t="s">
        <v>225</v>
      </c>
      <c r="K45" s="15" t="s">
        <v>24</v>
      </c>
      <c r="L45" s="16">
        <v>0.25</v>
      </c>
      <c r="M45" s="16">
        <v>1.0</v>
      </c>
      <c r="N45" s="16">
        <v>1.0</v>
      </c>
      <c r="O45" s="17">
        <v>45234.0</v>
      </c>
      <c r="P45" s="18">
        <v>1.775</v>
      </c>
      <c r="Q45" s="15" t="s">
        <v>25</v>
      </c>
      <c r="R45" s="19">
        <f t="shared" si="1"/>
        <v>-1</v>
      </c>
      <c r="S45" s="19">
        <f t="shared" si="4"/>
        <v>-2.1592625</v>
      </c>
    </row>
    <row r="46">
      <c r="A46" s="8">
        <f t="shared" si="3"/>
        <v>45</v>
      </c>
      <c r="B46" s="8" t="s">
        <v>19</v>
      </c>
      <c r="C46" s="8"/>
      <c r="D46" s="8" t="s">
        <v>5612</v>
      </c>
      <c r="E46" s="8" t="s">
        <v>5564</v>
      </c>
      <c r="F46" s="8" t="s">
        <v>2556</v>
      </c>
      <c r="G46" s="8">
        <v>0.0</v>
      </c>
      <c r="H46" s="8" t="s">
        <v>245</v>
      </c>
      <c r="I46" s="8" t="s">
        <v>22</v>
      </c>
      <c r="J46" s="8" t="s">
        <v>225</v>
      </c>
      <c r="K46" s="8" t="s">
        <v>24</v>
      </c>
      <c r="L46" s="9">
        <v>0.25</v>
      </c>
      <c r="M46" s="9">
        <v>1.0</v>
      </c>
      <c r="N46" s="9">
        <v>1.0</v>
      </c>
      <c r="O46" s="10">
        <v>45234.0</v>
      </c>
      <c r="P46" s="11">
        <v>1.85</v>
      </c>
      <c r="Q46" s="8" t="s">
        <v>33</v>
      </c>
      <c r="R46" s="12">
        <f t="shared" si="1"/>
        <v>0.85</v>
      </c>
      <c r="S46" s="12">
        <f t="shared" si="4"/>
        <v>-1.3092625</v>
      </c>
    </row>
    <row r="47">
      <c r="A47" s="15">
        <f t="shared" si="3"/>
        <v>46</v>
      </c>
      <c r="B47" s="15" t="s">
        <v>19</v>
      </c>
      <c r="C47" s="15"/>
      <c r="D47" s="15" t="s">
        <v>5613</v>
      </c>
      <c r="E47" s="15" t="s">
        <v>5564</v>
      </c>
      <c r="F47" s="15" t="s">
        <v>2556</v>
      </c>
      <c r="G47" s="15">
        <v>-1.0</v>
      </c>
      <c r="H47" s="15" t="s">
        <v>1470</v>
      </c>
      <c r="I47" s="15" t="s">
        <v>22</v>
      </c>
      <c r="J47" s="15" t="s">
        <v>225</v>
      </c>
      <c r="K47" s="15" t="s">
        <v>24</v>
      </c>
      <c r="L47" s="16">
        <v>0.25</v>
      </c>
      <c r="M47" s="16">
        <v>1.0</v>
      </c>
      <c r="N47" s="16">
        <v>1.0</v>
      </c>
      <c r="O47" s="17">
        <v>45234.0</v>
      </c>
      <c r="P47" s="18">
        <v>1.95</v>
      </c>
      <c r="Q47" s="15" t="s">
        <v>30</v>
      </c>
      <c r="R47" s="19">
        <f t="shared" si="1"/>
        <v>0.475</v>
      </c>
      <c r="S47" s="19">
        <f t="shared" si="4"/>
        <v>-0.8342625</v>
      </c>
    </row>
    <row r="48">
      <c r="A48" s="8">
        <f t="shared" si="3"/>
        <v>47</v>
      </c>
      <c r="B48" s="8" t="s">
        <v>19</v>
      </c>
      <c r="C48" s="8"/>
      <c r="D48" s="8" t="s">
        <v>5614</v>
      </c>
      <c r="E48" s="8"/>
      <c r="F48" s="8"/>
      <c r="G48" s="8"/>
      <c r="H48" s="8" t="s">
        <v>93</v>
      </c>
      <c r="I48" s="8" t="s">
        <v>22</v>
      </c>
      <c r="J48" s="8" t="s">
        <v>23</v>
      </c>
      <c r="K48" s="8" t="s">
        <v>39</v>
      </c>
      <c r="L48" s="9">
        <v>-11.5</v>
      </c>
      <c r="M48" s="9">
        <v>0.3</v>
      </c>
      <c r="N48" s="9">
        <v>0.3</v>
      </c>
      <c r="O48" s="10">
        <v>45234.0</v>
      </c>
      <c r="P48" s="11">
        <v>1.5</v>
      </c>
      <c r="Q48" s="8" t="s">
        <v>33</v>
      </c>
      <c r="R48" s="12">
        <f t="shared" si="1"/>
        <v>0.15</v>
      </c>
      <c r="S48" s="12">
        <f t="shared" si="4"/>
        <v>-0.6842625</v>
      </c>
    </row>
    <row r="49">
      <c r="A49" s="15">
        <f t="shared" si="3"/>
        <v>48</v>
      </c>
      <c r="B49" s="15" t="s">
        <v>19</v>
      </c>
      <c r="C49" s="15"/>
      <c r="D49" s="15" t="s">
        <v>5615</v>
      </c>
      <c r="E49" s="15" t="s">
        <v>5564</v>
      </c>
      <c r="F49" s="15" t="s">
        <v>2556</v>
      </c>
      <c r="G49" s="15">
        <v>0.0</v>
      </c>
      <c r="H49" s="15" t="s">
        <v>101</v>
      </c>
      <c r="I49" s="15" t="s">
        <v>22</v>
      </c>
      <c r="J49" s="15" t="s">
        <v>225</v>
      </c>
      <c r="K49" s="15" t="s">
        <v>39</v>
      </c>
      <c r="L49" s="16">
        <v>0.25</v>
      </c>
      <c r="M49" s="16">
        <v>0.2</v>
      </c>
      <c r="N49" s="16">
        <v>0.2</v>
      </c>
      <c r="O49" s="17">
        <v>45234.0</v>
      </c>
      <c r="P49" s="18">
        <v>1.75</v>
      </c>
      <c r="Q49" s="15" t="s">
        <v>25</v>
      </c>
      <c r="R49" s="19">
        <f t="shared" si="1"/>
        <v>-0.2</v>
      </c>
      <c r="S49" s="19">
        <f t="shared" si="4"/>
        <v>-0.8842625</v>
      </c>
    </row>
    <row r="50">
      <c r="A50" s="8">
        <f t="shared" si="3"/>
        <v>49</v>
      </c>
      <c r="B50" s="8" t="s">
        <v>19</v>
      </c>
      <c r="C50" s="8"/>
      <c r="D50" s="8" t="s">
        <v>5616</v>
      </c>
      <c r="E50" s="8" t="s">
        <v>5564</v>
      </c>
      <c r="F50" s="8" t="s">
        <v>2556</v>
      </c>
      <c r="G50" s="8">
        <v>0.0</v>
      </c>
      <c r="H50" s="8" t="s">
        <v>101</v>
      </c>
      <c r="I50" s="8" t="s">
        <v>22</v>
      </c>
      <c r="J50" s="8" t="s">
        <v>941</v>
      </c>
      <c r="K50" s="8" t="s">
        <v>39</v>
      </c>
      <c r="L50" s="9">
        <v>0.0</v>
      </c>
      <c r="M50" s="9">
        <v>0.25</v>
      </c>
      <c r="N50" s="9">
        <v>0.25</v>
      </c>
      <c r="O50" s="10">
        <v>45234.0</v>
      </c>
      <c r="P50" s="11">
        <v>2.5</v>
      </c>
      <c r="Q50" s="8" t="s">
        <v>25</v>
      </c>
      <c r="R50" s="12">
        <f t="shared" si="1"/>
        <v>-0.25</v>
      </c>
      <c r="S50" s="12">
        <f t="shared" si="4"/>
        <v>-1.1342625</v>
      </c>
    </row>
    <row r="51">
      <c r="A51" s="15">
        <f t="shared" si="3"/>
        <v>50</v>
      </c>
      <c r="B51" s="15" t="s">
        <v>19</v>
      </c>
      <c r="C51" s="15"/>
      <c r="D51" s="15" t="s">
        <v>5617</v>
      </c>
      <c r="E51" s="15" t="s">
        <v>5564</v>
      </c>
      <c r="F51" s="15" t="s">
        <v>2556</v>
      </c>
      <c r="G51" s="15">
        <v>0.0</v>
      </c>
      <c r="H51" s="15" t="s">
        <v>66</v>
      </c>
      <c r="I51" s="15" t="s">
        <v>22</v>
      </c>
      <c r="J51" s="15" t="s">
        <v>225</v>
      </c>
      <c r="K51" s="15" t="s">
        <v>24</v>
      </c>
      <c r="L51" s="16">
        <v>1.5</v>
      </c>
      <c r="M51" s="16">
        <v>1.0</v>
      </c>
      <c r="N51" s="16">
        <v>1.0</v>
      </c>
      <c r="O51" s="17">
        <v>45234.0</v>
      </c>
      <c r="P51" s="18">
        <v>2.025</v>
      </c>
      <c r="Q51" s="15" t="s">
        <v>25</v>
      </c>
      <c r="R51" s="19">
        <f t="shared" si="1"/>
        <v>-1</v>
      </c>
      <c r="S51" s="19">
        <f t="shared" si="4"/>
        <v>-2.1342625</v>
      </c>
    </row>
    <row r="52">
      <c r="A52" s="8">
        <f t="shared" si="3"/>
        <v>51</v>
      </c>
      <c r="B52" s="8" t="s">
        <v>19</v>
      </c>
      <c r="C52" s="8"/>
      <c r="D52" s="8" t="s">
        <v>5618</v>
      </c>
      <c r="E52" s="8" t="s">
        <v>5564</v>
      </c>
      <c r="F52" s="8" t="s">
        <v>2660</v>
      </c>
      <c r="G52" s="8">
        <v>-1.0</v>
      </c>
      <c r="H52" s="8" t="s">
        <v>44</v>
      </c>
      <c r="I52" s="8" t="s">
        <v>22</v>
      </c>
      <c r="J52" s="8" t="s">
        <v>892</v>
      </c>
      <c r="K52" s="8" t="s">
        <v>1851</v>
      </c>
      <c r="L52" s="9">
        <v>0.0</v>
      </c>
      <c r="M52" s="9">
        <v>1.0</v>
      </c>
      <c r="N52" s="9">
        <v>1.0</v>
      </c>
      <c r="O52" s="10">
        <v>45234.0</v>
      </c>
      <c r="P52" s="11">
        <v>2.35</v>
      </c>
      <c r="Q52" s="8" t="s">
        <v>70</v>
      </c>
      <c r="R52" s="12">
        <f t="shared" si="1"/>
        <v>0</v>
      </c>
      <c r="S52" s="12">
        <f t="shared" si="4"/>
        <v>-2.1342625</v>
      </c>
    </row>
    <row r="53">
      <c r="A53" s="15">
        <f t="shared" si="3"/>
        <v>52</v>
      </c>
      <c r="B53" s="15" t="s">
        <v>19</v>
      </c>
      <c r="C53" s="15"/>
      <c r="D53" s="15" t="s">
        <v>5619</v>
      </c>
      <c r="E53" s="15" t="s">
        <v>5564</v>
      </c>
      <c r="F53" s="15" t="s">
        <v>2660</v>
      </c>
      <c r="G53" s="15">
        <v>-2.0</v>
      </c>
      <c r="H53" s="15" t="s">
        <v>432</v>
      </c>
      <c r="I53" s="15" t="s">
        <v>22</v>
      </c>
      <c r="J53" s="15" t="s">
        <v>892</v>
      </c>
      <c r="K53" s="15" t="s">
        <v>24</v>
      </c>
      <c r="L53" s="16">
        <v>0.0</v>
      </c>
      <c r="M53" s="16">
        <v>0.6</v>
      </c>
      <c r="N53" s="16">
        <v>0.6</v>
      </c>
      <c r="O53" s="17">
        <v>45234.0</v>
      </c>
      <c r="P53" s="18">
        <v>1.925</v>
      </c>
      <c r="Q53" s="15" t="s">
        <v>25</v>
      </c>
      <c r="R53" s="19">
        <f t="shared" si="1"/>
        <v>-0.6</v>
      </c>
      <c r="S53" s="19">
        <f t="shared" si="4"/>
        <v>-2.7342625</v>
      </c>
    </row>
    <row r="54">
      <c r="A54" s="8">
        <f t="shared" si="3"/>
        <v>53</v>
      </c>
      <c r="B54" s="8" t="s">
        <v>19</v>
      </c>
      <c r="C54" s="8"/>
      <c r="D54" s="8" t="s">
        <v>5620</v>
      </c>
      <c r="E54" s="8" t="s">
        <v>5565</v>
      </c>
      <c r="F54" s="8" t="s">
        <v>2660</v>
      </c>
      <c r="G54" s="8">
        <v>0.0</v>
      </c>
      <c r="H54" s="8" t="s">
        <v>66</v>
      </c>
      <c r="I54" s="8" t="s">
        <v>22</v>
      </c>
      <c r="J54" s="8" t="s">
        <v>892</v>
      </c>
      <c r="K54" s="8" t="s">
        <v>24</v>
      </c>
      <c r="L54" s="9">
        <v>0.0</v>
      </c>
      <c r="M54" s="9">
        <v>1.0</v>
      </c>
      <c r="N54" s="9">
        <v>1.0</v>
      </c>
      <c r="O54" s="10">
        <v>45234.0</v>
      </c>
      <c r="P54" s="11">
        <v>1.725</v>
      </c>
      <c r="Q54" s="8" t="s">
        <v>70</v>
      </c>
      <c r="R54" s="12">
        <f t="shared" si="1"/>
        <v>0</v>
      </c>
      <c r="S54" s="12">
        <f t="shared" si="4"/>
        <v>-2.7342625</v>
      </c>
    </row>
    <row r="55">
      <c r="A55" s="15">
        <f t="shared" si="3"/>
        <v>54</v>
      </c>
      <c r="B55" s="15" t="s">
        <v>19</v>
      </c>
      <c r="C55" s="15"/>
      <c r="D55" s="15" t="s">
        <v>5621</v>
      </c>
      <c r="E55" s="15" t="s">
        <v>5564</v>
      </c>
      <c r="F55" s="15" t="s">
        <v>2556</v>
      </c>
      <c r="G55" s="15">
        <v>-2.0</v>
      </c>
      <c r="H55" s="15" t="s">
        <v>66</v>
      </c>
      <c r="I55" s="15" t="s">
        <v>22</v>
      </c>
      <c r="J55" s="15" t="s">
        <v>225</v>
      </c>
      <c r="K55" s="15" t="s">
        <v>24</v>
      </c>
      <c r="L55" s="16">
        <v>0.25</v>
      </c>
      <c r="M55" s="16">
        <v>0.8</v>
      </c>
      <c r="N55" s="16">
        <v>0.8</v>
      </c>
      <c r="O55" s="55">
        <v>45234.0</v>
      </c>
      <c r="P55" s="18">
        <v>2.0</v>
      </c>
      <c r="Q55" s="15" t="s">
        <v>25</v>
      </c>
      <c r="R55" s="19">
        <f t="shared" si="1"/>
        <v>-0.8</v>
      </c>
      <c r="S55" s="19">
        <f t="shared" si="4"/>
        <v>-3.5342625</v>
      </c>
    </row>
    <row r="56">
      <c r="A56" s="8">
        <f t="shared" si="3"/>
        <v>55</v>
      </c>
      <c r="B56" s="8" t="s">
        <v>19</v>
      </c>
      <c r="C56" s="8"/>
      <c r="D56" s="8" t="s">
        <v>5622</v>
      </c>
      <c r="E56" s="8" t="s">
        <v>5564</v>
      </c>
      <c r="F56" s="8" t="s">
        <v>2660</v>
      </c>
      <c r="G56" s="8">
        <v>0.0</v>
      </c>
      <c r="H56" s="8" t="s">
        <v>432</v>
      </c>
      <c r="I56" s="8" t="s">
        <v>22</v>
      </c>
      <c r="J56" s="8" t="s">
        <v>892</v>
      </c>
      <c r="K56" s="8" t="s">
        <v>1522</v>
      </c>
      <c r="L56" s="9">
        <v>0.0</v>
      </c>
      <c r="M56" s="9">
        <v>0.25</v>
      </c>
      <c r="N56" s="9">
        <v>0.25</v>
      </c>
      <c r="O56" s="10">
        <v>45234.0</v>
      </c>
      <c r="P56" s="11">
        <v>2.01</v>
      </c>
      <c r="Q56" s="8" t="s">
        <v>33</v>
      </c>
      <c r="R56" s="12">
        <f t="shared" si="1"/>
        <v>0.2525</v>
      </c>
      <c r="S56" s="12">
        <f t="shared" si="4"/>
        <v>-3.2817625</v>
      </c>
    </row>
    <row r="57">
      <c r="A57" s="15">
        <f t="shared" si="3"/>
        <v>56</v>
      </c>
      <c r="B57" s="15" t="s">
        <v>19</v>
      </c>
      <c r="C57" s="15"/>
      <c r="D57" s="15" t="s">
        <v>5623</v>
      </c>
      <c r="E57" s="15" t="s">
        <v>5564</v>
      </c>
      <c r="F57" s="15" t="s">
        <v>2556</v>
      </c>
      <c r="G57" s="15">
        <v>0.0</v>
      </c>
      <c r="H57" s="15" t="s">
        <v>432</v>
      </c>
      <c r="I57" s="15" t="s">
        <v>22</v>
      </c>
      <c r="J57" s="15" t="s">
        <v>941</v>
      </c>
      <c r="K57" s="15" t="s">
        <v>1522</v>
      </c>
      <c r="L57" s="16">
        <v>0.0</v>
      </c>
      <c r="M57" s="16">
        <v>0.75</v>
      </c>
      <c r="N57" s="16">
        <v>0.75</v>
      </c>
      <c r="O57" s="17">
        <v>45234.0</v>
      </c>
      <c r="P57" s="18">
        <v>2.01</v>
      </c>
      <c r="Q57" s="15" t="s">
        <v>33</v>
      </c>
      <c r="R57" s="19">
        <f t="shared" si="1"/>
        <v>0.7575</v>
      </c>
      <c r="S57" s="19">
        <f t="shared" si="4"/>
        <v>-2.5242625</v>
      </c>
    </row>
    <row r="58">
      <c r="A58" s="8">
        <f t="shared" si="3"/>
        <v>57</v>
      </c>
      <c r="B58" s="8" t="s">
        <v>19</v>
      </c>
      <c r="C58" s="8"/>
      <c r="D58" s="8" t="s">
        <v>5624</v>
      </c>
      <c r="E58" s="8" t="s">
        <v>5564</v>
      </c>
      <c r="F58" s="8" t="s">
        <v>2556</v>
      </c>
      <c r="G58" s="8">
        <v>0.0</v>
      </c>
      <c r="H58" s="8" t="s">
        <v>50</v>
      </c>
      <c r="I58" s="8" t="s">
        <v>22</v>
      </c>
      <c r="J58" s="8" t="s">
        <v>225</v>
      </c>
      <c r="K58" s="8" t="s">
        <v>1522</v>
      </c>
      <c r="L58" s="9">
        <v>0.5</v>
      </c>
      <c r="M58" s="9">
        <v>1.0</v>
      </c>
      <c r="N58" s="9">
        <v>1.0</v>
      </c>
      <c r="O58" s="10">
        <v>45234.0</v>
      </c>
      <c r="P58" s="11">
        <v>1.775</v>
      </c>
      <c r="Q58" s="8" t="s">
        <v>25</v>
      </c>
      <c r="R58" s="12">
        <f t="shared" si="1"/>
        <v>-1</v>
      </c>
      <c r="S58" s="12">
        <f t="shared" si="4"/>
        <v>-3.5242625</v>
      </c>
    </row>
    <row r="59">
      <c r="A59" s="15">
        <f t="shared" si="3"/>
        <v>58</v>
      </c>
      <c r="B59" s="15" t="s">
        <v>19</v>
      </c>
      <c r="C59" s="15"/>
      <c r="D59" s="15" t="s">
        <v>5625</v>
      </c>
      <c r="E59" s="15" t="s">
        <v>5565</v>
      </c>
      <c r="F59" s="15"/>
      <c r="G59" s="15"/>
      <c r="H59" s="15" t="s">
        <v>82</v>
      </c>
      <c r="I59" s="15" t="s">
        <v>598</v>
      </c>
      <c r="J59" s="15" t="s">
        <v>5626</v>
      </c>
      <c r="K59" s="15" t="s">
        <v>39</v>
      </c>
      <c r="L59" s="16">
        <v>-0.5</v>
      </c>
      <c r="M59" s="16">
        <v>0.5</v>
      </c>
      <c r="N59" s="16">
        <v>0.5</v>
      </c>
      <c r="O59" s="17">
        <v>45234.0</v>
      </c>
      <c r="P59" s="18">
        <v>1.8</v>
      </c>
      <c r="Q59" s="15" t="s">
        <v>33</v>
      </c>
      <c r="R59" s="19">
        <f t="shared" si="1"/>
        <v>0.4</v>
      </c>
      <c r="S59" s="19">
        <f t="shared" si="4"/>
        <v>-3.1242625</v>
      </c>
    </row>
    <row r="60">
      <c r="A60" s="8">
        <f t="shared" si="3"/>
        <v>59</v>
      </c>
      <c r="B60" s="8" t="s">
        <v>19</v>
      </c>
      <c r="C60" s="8"/>
      <c r="D60" s="8" t="s">
        <v>5627</v>
      </c>
      <c r="E60" s="8"/>
      <c r="F60" s="8"/>
      <c r="G60" s="8"/>
      <c r="H60" s="8" t="s">
        <v>768</v>
      </c>
      <c r="I60" s="8" t="s">
        <v>598</v>
      </c>
      <c r="J60" s="8" t="s">
        <v>29</v>
      </c>
      <c r="K60" s="8" t="s">
        <v>1522</v>
      </c>
      <c r="L60" s="9">
        <v>-53.5</v>
      </c>
      <c r="M60" s="9">
        <v>0.5</v>
      </c>
      <c r="N60" s="9">
        <v>0.5</v>
      </c>
      <c r="O60" s="10">
        <v>45235.0</v>
      </c>
      <c r="P60" s="11">
        <v>1.91</v>
      </c>
      <c r="Q60" s="8" t="s">
        <v>33</v>
      </c>
      <c r="R60" s="12">
        <f t="shared" si="1"/>
        <v>0.455</v>
      </c>
      <c r="S60" s="12">
        <f t="shared" si="4"/>
        <v>-2.6692625</v>
      </c>
    </row>
    <row r="61">
      <c r="A61" s="15">
        <f t="shared" si="3"/>
        <v>60</v>
      </c>
      <c r="B61" s="15" t="s">
        <v>19</v>
      </c>
      <c r="C61" s="15"/>
      <c r="D61" s="15" t="s">
        <v>5628</v>
      </c>
      <c r="E61" s="15"/>
      <c r="F61" s="15"/>
      <c r="G61" s="15"/>
      <c r="H61" s="15" t="s">
        <v>82</v>
      </c>
      <c r="I61" s="15" t="s">
        <v>598</v>
      </c>
      <c r="J61" s="15" t="s">
        <v>23</v>
      </c>
      <c r="K61" s="15" t="s">
        <v>39</v>
      </c>
      <c r="L61" s="16">
        <v>-10.5</v>
      </c>
      <c r="M61" s="16">
        <v>0.35</v>
      </c>
      <c r="N61" s="16">
        <f>0.92*0.35</f>
        <v>0.322</v>
      </c>
      <c r="O61" s="17">
        <v>45234.0</v>
      </c>
      <c r="P61" s="18">
        <v>1.775</v>
      </c>
      <c r="Q61" s="15" t="s">
        <v>33</v>
      </c>
      <c r="R61" s="19">
        <f t="shared" si="1"/>
        <v>0.24955</v>
      </c>
      <c r="S61" s="19">
        <f t="shared" si="4"/>
        <v>-2.4197125</v>
      </c>
    </row>
    <row r="62">
      <c r="A62" s="8">
        <f t="shared" si="3"/>
        <v>61</v>
      </c>
      <c r="B62" s="8" t="s">
        <v>19</v>
      </c>
      <c r="C62" s="8"/>
      <c r="D62" s="8" t="s">
        <v>5629</v>
      </c>
      <c r="E62" s="8" t="s">
        <v>5565</v>
      </c>
      <c r="F62" s="8" t="s">
        <v>2660</v>
      </c>
      <c r="G62" s="8">
        <v>-1.0</v>
      </c>
      <c r="H62" s="8" t="s">
        <v>873</v>
      </c>
      <c r="I62" s="8" t="s">
        <v>22</v>
      </c>
      <c r="J62" s="8" t="s">
        <v>892</v>
      </c>
      <c r="K62" s="8" t="s">
        <v>24</v>
      </c>
      <c r="L62" s="9">
        <v>0.0</v>
      </c>
      <c r="M62" s="9">
        <v>0.8</v>
      </c>
      <c r="N62" s="9">
        <v>0.8</v>
      </c>
      <c r="O62" s="10">
        <v>45234.0</v>
      </c>
      <c r="P62" s="11">
        <v>1.9</v>
      </c>
      <c r="Q62" s="8" t="s">
        <v>70</v>
      </c>
      <c r="R62" s="12">
        <f t="shared" si="1"/>
        <v>0</v>
      </c>
      <c r="S62" s="12">
        <f t="shared" si="4"/>
        <v>-2.4197125</v>
      </c>
    </row>
    <row r="63">
      <c r="A63" s="15">
        <f t="shared" si="3"/>
        <v>62</v>
      </c>
      <c r="B63" s="15" t="s">
        <v>19</v>
      </c>
      <c r="C63" s="15"/>
      <c r="D63" s="15" t="s">
        <v>5628</v>
      </c>
      <c r="E63" s="15"/>
      <c r="F63" s="15"/>
      <c r="G63" s="15"/>
      <c r="H63" s="15" t="s">
        <v>82</v>
      </c>
      <c r="I63" s="15" t="s">
        <v>598</v>
      </c>
      <c r="J63" s="15" t="s">
        <v>23</v>
      </c>
      <c r="K63" s="15" t="s">
        <v>39</v>
      </c>
      <c r="L63" s="16">
        <v>-10.5</v>
      </c>
      <c r="M63" s="16">
        <v>0.15</v>
      </c>
      <c r="N63" s="16">
        <v>0.15</v>
      </c>
      <c r="O63" s="17">
        <v>45234.0</v>
      </c>
      <c r="P63" s="18">
        <v>1.775</v>
      </c>
      <c r="Q63" s="15" t="s">
        <v>33</v>
      </c>
      <c r="R63" s="19">
        <f t="shared" si="1"/>
        <v>0.11625</v>
      </c>
      <c r="S63" s="19">
        <f t="shared" si="4"/>
        <v>-2.3034625</v>
      </c>
    </row>
    <row r="64">
      <c r="A64" s="8">
        <f t="shared" si="3"/>
        <v>63</v>
      </c>
      <c r="B64" s="8" t="s">
        <v>19</v>
      </c>
      <c r="C64" s="8"/>
      <c r="D64" s="8" t="s">
        <v>5630</v>
      </c>
      <c r="E64" s="8" t="s">
        <v>5565</v>
      </c>
      <c r="F64" s="8" t="s">
        <v>2660</v>
      </c>
      <c r="G64" s="8">
        <v>0.0</v>
      </c>
      <c r="H64" s="8" t="s">
        <v>88</v>
      </c>
      <c r="I64" s="8" t="s">
        <v>22</v>
      </c>
      <c r="J64" s="8" t="s">
        <v>892</v>
      </c>
      <c r="K64" s="8" t="s">
        <v>24</v>
      </c>
      <c r="L64" s="9">
        <v>0.0</v>
      </c>
      <c r="M64" s="9">
        <v>1.0</v>
      </c>
      <c r="N64" s="9">
        <v>1.0</v>
      </c>
      <c r="O64" s="10">
        <v>45235.0</v>
      </c>
      <c r="P64" s="11">
        <v>1.875</v>
      </c>
      <c r="Q64" s="8" t="s">
        <v>33</v>
      </c>
      <c r="R64" s="12">
        <f t="shared" si="1"/>
        <v>0.875</v>
      </c>
      <c r="S64" s="12">
        <f t="shared" si="4"/>
        <v>-1.4284625</v>
      </c>
    </row>
    <row r="65">
      <c r="A65" s="15">
        <f t="shared" si="3"/>
        <v>64</v>
      </c>
      <c r="B65" s="15" t="s">
        <v>19</v>
      </c>
      <c r="C65" s="15"/>
      <c r="D65" s="15" t="s">
        <v>5631</v>
      </c>
      <c r="E65" s="15" t="s">
        <v>5565</v>
      </c>
      <c r="F65" s="15" t="s">
        <v>2556</v>
      </c>
      <c r="G65" s="15">
        <f>1</f>
        <v>1</v>
      </c>
      <c r="H65" s="15" t="s">
        <v>316</v>
      </c>
      <c r="I65" s="15" t="s">
        <v>22</v>
      </c>
      <c r="J65" s="15" t="s">
        <v>225</v>
      </c>
      <c r="K65" s="15" t="s">
        <v>24</v>
      </c>
      <c r="L65" s="16">
        <v>0.5</v>
      </c>
      <c r="M65" s="16">
        <v>1.0</v>
      </c>
      <c r="N65" s="16">
        <v>1.0</v>
      </c>
      <c r="O65" s="17">
        <v>45235.0</v>
      </c>
      <c r="P65" s="18">
        <v>1.9</v>
      </c>
      <c r="Q65" s="15" t="s">
        <v>33</v>
      </c>
      <c r="R65" s="19">
        <f t="shared" si="1"/>
        <v>0.9</v>
      </c>
      <c r="S65" s="19">
        <f t="shared" si="4"/>
        <v>-0.5284625</v>
      </c>
    </row>
    <row r="66">
      <c r="A66" s="8">
        <f t="shared" si="3"/>
        <v>65</v>
      </c>
      <c r="B66" s="8" t="s">
        <v>40</v>
      </c>
      <c r="C66" s="8">
        <v>20.0</v>
      </c>
      <c r="D66" s="8" t="s">
        <v>5632</v>
      </c>
      <c r="E66" s="8" t="s">
        <v>5565</v>
      </c>
      <c r="F66" s="8" t="s">
        <v>2556</v>
      </c>
      <c r="G66" s="8">
        <v>0.0</v>
      </c>
      <c r="H66" s="8" t="s">
        <v>93</v>
      </c>
      <c r="I66" s="8" t="s">
        <v>22</v>
      </c>
      <c r="J66" s="8" t="s">
        <v>225</v>
      </c>
      <c r="K66" s="8" t="s">
        <v>39</v>
      </c>
      <c r="L66" s="9">
        <v>0.75</v>
      </c>
      <c r="M66" s="9">
        <v>1.0</v>
      </c>
      <c r="N66" s="9">
        <v>1.0</v>
      </c>
      <c r="O66" s="10">
        <v>45237.0</v>
      </c>
      <c r="P66" s="11">
        <v>1.825</v>
      </c>
      <c r="Q66" s="8" t="s">
        <v>33</v>
      </c>
      <c r="R66" s="12">
        <f t="shared" si="1"/>
        <v>0.825</v>
      </c>
      <c r="S66" s="12">
        <f t="shared" si="4"/>
        <v>0.2965375</v>
      </c>
    </row>
    <row r="67">
      <c r="A67" s="15">
        <f t="shared" si="3"/>
        <v>66</v>
      </c>
      <c r="B67" s="15" t="s">
        <v>19</v>
      </c>
      <c r="C67" s="15">
        <v>31.0</v>
      </c>
      <c r="D67" s="15" t="s">
        <v>5633</v>
      </c>
      <c r="E67" s="15" t="s">
        <v>5565</v>
      </c>
      <c r="F67" s="15" t="s">
        <v>2556</v>
      </c>
      <c r="G67" s="15">
        <f>1</f>
        <v>1</v>
      </c>
      <c r="H67" s="15" t="s">
        <v>44</v>
      </c>
      <c r="I67" s="15" t="s">
        <v>22</v>
      </c>
      <c r="J67" s="15" t="s">
        <v>225</v>
      </c>
      <c r="K67" s="15" t="s">
        <v>24</v>
      </c>
      <c r="L67" s="16">
        <v>0.5</v>
      </c>
      <c r="M67" s="16">
        <v>0.2</v>
      </c>
      <c r="N67" s="16">
        <v>0.2</v>
      </c>
      <c r="O67" s="17">
        <v>45237.0</v>
      </c>
      <c r="P67" s="18">
        <v>1.725</v>
      </c>
      <c r="Q67" s="15" t="s">
        <v>33</v>
      </c>
      <c r="R67" s="19">
        <f t="shared" si="1"/>
        <v>0.145</v>
      </c>
      <c r="S67" s="19">
        <f t="shared" si="4"/>
        <v>0.4415375</v>
      </c>
    </row>
    <row r="68">
      <c r="A68" s="8">
        <f t="shared" si="3"/>
        <v>67</v>
      </c>
      <c r="B68" s="8" t="s">
        <v>19</v>
      </c>
      <c r="C68" s="8">
        <v>34.0</v>
      </c>
      <c r="D68" s="8" t="s">
        <v>5634</v>
      </c>
      <c r="E68" s="8" t="s">
        <v>5564</v>
      </c>
      <c r="F68" s="8" t="s">
        <v>2556</v>
      </c>
      <c r="G68" s="8">
        <v>0.0</v>
      </c>
      <c r="H68" s="8" t="s">
        <v>231</v>
      </c>
      <c r="I68" s="8" t="s">
        <v>22</v>
      </c>
      <c r="J68" s="8" t="s">
        <v>225</v>
      </c>
      <c r="K68" s="8" t="s">
        <v>24</v>
      </c>
      <c r="L68" s="9">
        <v>0.25</v>
      </c>
      <c r="M68" s="9">
        <v>1.0</v>
      </c>
      <c r="N68" s="9">
        <v>1.0</v>
      </c>
      <c r="O68" s="10">
        <v>45238.0</v>
      </c>
      <c r="P68" s="11">
        <v>1.95</v>
      </c>
      <c r="Q68" s="8" t="s">
        <v>30</v>
      </c>
      <c r="R68" s="12">
        <f t="shared" si="1"/>
        <v>0.475</v>
      </c>
      <c r="S68" s="12">
        <f t="shared" si="4"/>
        <v>0.9165375</v>
      </c>
    </row>
    <row r="69">
      <c r="A69" s="15">
        <f t="shared" si="3"/>
        <v>68</v>
      </c>
      <c r="B69" s="15" t="s">
        <v>19</v>
      </c>
      <c r="C69" s="15">
        <v>45.0</v>
      </c>
      <c r="D69" s="15" t="s">
        <v>5635</v>
      </c>
      <c r="E69" s="15" t="s">
        <v>5565</v>
      </c>
      <c r="F69" s="15" t="s">
        <v>2556</v>
      </c>
      <c r="G69" s="15">
        <v>0.0</v>
      </c>
      <c r="H69" s="15" t="s">
        <v>187</v>
      </c>
      <c r="I69" s="15" t="s">
        <v>22</v>
      </c>
      <c r="J69" s="15" t="s">
        <v>941</v>
      </c>
      <c r="K69" s="15" t="s">
        <v>1522</v>
      </c>
      <c r="L69" s="16">
        <v>0.0</v>
      </c>
      <c r="M69" s="16">
        <v>1.0</v>
      </c>
      <c r="N69" s="16">
        <v>1.0</v>
      </c>
      <c r="O69" s="17">
        <v>45238.0</v>
      </c>
      <c r="P69" s="18">
        <v>1.725</v>
      </c>
      <c r="Q69" s="15" t="s">
        <v>70</v>
      </c>
      <c r="R69" s="19">
        <f t="shared" si="1"/>
        <v>0</v>
      </c>
      <c r="S69" s="19">
        <f t="shared" si="4"/>
        <v>0.9165375</v>
      </c>
    </row>
    <row r="70">
      <c r="A70" s="8">
        <f t="shared" si="3"/>
        <v>69</v>
      </c>
      <c r="B70" s="8" t="s">
        <v>19</v>
      </c>
      <c r="C70" s="8">
        <v>80.0</v>
      </c>
      <c r="D70" s="8" t="s">
        <v>5636</v>
      </c>
      <c r="E70" s="8" t="s">
        <v>5564</v>
      </c>
      <c r="F70" s="8" t="s">
        <v>2660</v>
      </c>
      <c r="G70" s="8">
        <v>0.0</v>
      </c>
      <c r="H70" s="8" t="s">
        <v>806</v>
      </c>
      <c r="I70" s="8" t="s">
        <v>22</v>
      </c>
      <c r="J70" s="8" t="s">
        <v>892</v>
      </c>
      <c r="K70" s="8" t="s">
        <v>24</v>
      </c>
      <c r="L70" s="9">
        <v>0.0</v>
      </c>
      <c r="M70" s="9">
        <v>0.2</v>
      </c>
      <c r="N70" s="9">
        <v>0.2</v>
      </c>
      <c r="O70" s="10">
        <v>45238.0</v>
      </c>
      <c r="P70" s="11">
        <v>1.8</v>
      </c>
      <c r="Q70" s="8" t="s">
        <v>25</v>
      </c>
      <c r="R70" s="12">
        <f t="shared" si="1"/>
        <v>-0.2</v>
      </c>
      <c r="S70" s="12">
        <f t="shared" si="4"/>
        <v>0.7165375</v>
      </c>
    </row>
    <row r="71">
      <c r="A71" s="15">
        <f t="shared" si="3"/>
        <v>70</v>
      </c>
      <c r="B71" s="15" t="s">
        <v>19</v>
      </c>
      <c r="C71" s="15">
        <v>80.0</v>
      </c>
      <c r="D71" s="15" t="s">
        <v>5637</v>
      </c>
      <c r="E71" s="15" t="s">
        <v>5564</v>
      </c>
      <c r="F71" s="15" t="s">
        <v>2556</v>
      </c>
      <c r="G71" s="15">
        <v>0.0</v>
      </c>
      <c r="H71" s="15" t="s">
        <v>806</v>
      </c>
      <c r="I71" s="15" t="s">
        <v>22</v>
      </c>
      <c r="J71" s="15" t="s">
        <v>941</v>
      </c>
      <c r="K71" s="15" t="s">
        <v>24</v>
      </c>
      <c r="L71" s="16">
        <v>0.0</v>
      </c>
      <c r="M71" s="16">
        <v>0.3</v>
      </c>
      <c r="N71" s="16">
        <v>0.3</v>
      </c>
      <c r="O71" s="17">
        <v>45238.0</v>
      </c>
      <c r="P71" s="18">
        <v>1.8</v>
      </c>
      <c r="Q71" s="15" t="s">
        <v>25</v>
      </c>
      <c r="R71" s="19">
        <f t="shared" si="1"/>
        <v>-0.3</v>
      </c>
      <c r="S71" s="19">
        <f t="shared" si="4"/>
        <v>0.4165375</v>
      </c>
    </row>
    <row r="72">
      <c r="A72" s="8">
        <f t="shared" si="3"/>
        <v>71</v>
      </c>
      <c r="B72" s="8" t="s">
        <v>19</v>
      </c>
      <c r="C72" s="8">
        <v>72.0</v>
      </c>
      <c r="D72" s="8" t="s">
        <v>5638</v>
      </c>
      <c r="E72" s="8" t="s">
        <v>5565</v>
      </c>
      <c r="F72" s="8" t="s">
        <v>2660</v>
      </c>
      <c r="G72" s="8">
        <v>-1.0</v>
      </c>
      <c r="H72" s="8" t="s">
        <v>644</v>
      </c>
      <c r="I72" s="8" t="s">
        <v>22</v>
      </c>
      <c r="J72" s="8" t="s">
        <v>892</v>
      </c>
      <c r="K72" s="8" t="s">
        <v>24</v>
      </c>
      <c r="L72" s="9">
        <v>0.0</v>
      </c>
      <c r="M72" s="9">
        <v>1.0</v>
      </c>
      <c r="N72" s="9">
        <v>1.0</v>
      </c>
      <c r="O72" s="10">
        <v>45238.0</v>
      </c>
      <c r="P72" s="11">
        <v>1.725</v>
      </c>
      <c r="Q72" s="8" t="s">
        <v>70</v>
      </c>
      <c r="R72" s="12">
        <f t="shared" si="1"/>
        <v>0</v>
      </c>
      <c r="S72" s="12">
        <f t="shared" si="4"/>
        <v>0.4165375</v>
      </c>
    </row>
    <row r="73">
      <c r="A73" s="15">
        <f t="shared" si="3"/>
        <v>72</v>
      </c>
      <c r="B73" s="15" t="s">
        <v>19</v>
      </c>
      <c r="C73" s="15">
        <v>68.0</v>
      </c>
      <c r="D73" s="15" t="s">
        <v>5639</v>
      </c>
      <c r="E73" s="15" t="s">
        <v>5565</v>
      </c>
      <c r="F73" s="15" t="s">
        <v>2556</v>
      </c>
      <c r="G73" s="15">
        <v>2</v>
      </c>
      <c r="H73" s="15" t="s">
        <v>703</v>
      </c>
      <c r="I73" s="15" t="s">
        <v>22</v>
      </c>
      <c r="J73" s="15" t="s">
        <v>225</v>
      </c>
      <c r="K73" s="15" t="s">
        <v>24</v>
      </c>
      <c r="L73" s="16">
        <v>0.25</v>
      </c>
      <c r="M73" s="16">
        <v>0.4</v>
      </c>
      <c r="N73" s="16">
        <v>0.4</v>
      </c>
      <c r="O73" s="17">
        <v>45238.0</v>
      </c>
      <c r="P73" s="18">
        <v>1.9</v>
      </c>
      <c r="Q73" s="15" t="s">
        <v>30</v>
      </c>
      <c r="R73" s="19">
        <f t="shared" si="1"/>
        <v>0.18</v>
      </c>
      <c r="S73" s="19">
        <f t="shared" si="4"/>
        <v>0.5965375</v>
      </c>
    </row>
    <row r="74">
      <c r="A74" s="8">
        <f t="shared" si="3"/>
        <v>73</v>
      </c>
      <c r="B74" s="8" t="s">
        <v>40</v>
      </c>
      <c r="C74" s="8">
        <v>45.0</v>
      </c>
      <c r="D74" s="8" t="s">
        <v>5640</v>
      </c>
      <c r="E74" s="8" t="s">
        <v>5565</v>
      </c>
      <c r="F74" s="8" t="s">
        <v>2556</v>
      </c>
      <c r="G74" s="8">
        <v>-1.0</v>
      </c>
      <c r="H74" s="8" t="s">
        <v>93</v>
      </c>
      <c r="I74" s="8" t="s">
        <v>22</v>
      </c>
      <c r="J74" s="8" t="s">
        <v>225</v>
      </c>
      <c r="K74" s="8" t="s">
        <v>1851</v>
      </c>
      <c r="L74" s="9">
        <v>0.5</v>
      </c>
      <c r="M74" s="9">
        <v>1.0</v>
      </c>
      <c r="N74" s="9">
        <v>1.0</v>
      </c>
      <c r="O74" s="10">
        <v>45238.0</v>
      </c>
      <c r="P74" s="11">
        <f>(1.75+1.7239+1.7239+1.55+1.575)/5</f>
        <v>1.66456</v>
      </c>
      <c r="Q74" s="8" t="s">
        <v>33</v>
      </c>
      <c r="R74" s="12">
        <f t="shared" si="1"/>
        <v>0.66456</v>
      </c>
      <c r="S74" s="12">
        <f t="shared" si="4"/>
        <v>1.2610975</v>
      </c>
    </row>
    <row r="75">
      <c r="A75" s="15">
        <f t="shared" si="3"/>
        <v>74</v>
      </c>
      <c r="B75" s="15" t="s">
        <v>19</v>
      </c>
      <c r="C75" s="15">
        <v>53.0</v>
      </c>
      <c r="D75" s="15" t="s">
        <v>5641</v>
      </c>
      <c r="E75" s="15" t="s">
        <v>5565</v>
      </c>
      <c r="F75" s="15" t="s">
        <v>2556</v>
      </c>
      <c r="G75" s="15">
        <v>0.0</v>
      </c>
      <c r="H75" s="15" t="s">
        <v>86</v>
      </c>
      <c r="I75" s="15" t="s">
        <v>22</v>
      </c>
      <c r="J75" s="15" t="s">
        <v>941</v>
      </c>
      <c r="K75" s="15" t="s">
        <v>24</v>
      </c>
      <c r="L75" s="16">
        <v>0.0</v>
      </c>
      <c r="M75" s="16">
        <v>0.4</v>
      </c>
      <c r="N75" s="16">
        <v>0.4</v>
      </c>
      <c r="O75" s="17">
        <v>45238.0</v>
      </c>
      <c r="P75" s="18">
        <v>1.725</v>
      </c>
      <c r="Q75" s="15" t="s">
        <v>33</v>
      </c>
      <c r="R75" s="19">
        <f t="shared" si="1"/>
        <v>0.29</v>
      </c>
      <c r="S75" s="19">
        <f t="shared" si="4"/>
        <v>1.5510975</v>
      </c>
    </row>
    <row r="76">
      <c r="A76" s="8">
        <f t="shared" si="3"/>
        <v>75</v>
      </c>
      <c r="B76" s="8" t="s">
        <v>19</v>
      </c>
      <c r="C76" s="8">
        <v>56.0</v>
      </c>
      <c r="D76" s="8" t="s">
        <v>5642</v>
      </c>
      <c r="E76" s="8" t="s">
        <v>5564</v>
      </c>
      <c r="F76" s="8" t="s">
        <v>2556</v>
      </c>
      <c r="G76" s="8">
        <v>-1.0</v>
      </c>
      <c r="H76" s="8" t="s">
        <v>415</v>
      </c>
      <c r="I76" s="8" t="s">
        <v>22</v>
      </c>
      <c r="J76" s="8" t="s">
        <v>225</v>
      </c>
      <c r="K76" s="8" t="s">
        <v>24</v>
      </c>
      <c r="L76" s="9">
        <v>0.5</v>
      </c>
      <c r="M76" s="9">
        <v>0.4</v>
      </c>
      <c r="N76" s="9">
        <v>0.4</v>
      </c>
      <c r="O76" s="10">
        <v>45238.0</v>
      </c>
      <c r="P76" s="11">
        <v>1.75</v>
      </c>
      <c r="Q76" s="8" t="s">
        <v>70</v>
      </c>
      <c r="R76" s="12">
        <f t="shared" si="1"/>
        <v>0</v>
      </c>
      <c r="S76" s="12">
        <f t="shared" si="4"/>
        <v>1.5510975</v>
      </c>
    </row>
    <row r="77">
      <c r="A77" s="15">
        <f t="shared" si="3"/>
        <v>76</v>
      </c>
      <c r="B77" s="15" t="s">
        <v>40</v>
      </c>
      <c r="C77" s="15">
        <v>74.0</v>
      </c>
      <c r="D77" s="15" t="s">
        <v>5643</v>
      </c>
      <c r="E77" s="15" t="s">
        <v>5564</v>
      </c>
      <c r="F77" s="15" t="s">
        <v>2556</v>
      </c>
      <c r="G77" s="15">
        <v>-3.0</v>
      </c>
      <c r="H77" s="15" t="s">
        <v>432</v>
      </c>
      <c r="I77" s="15" t="s">
        <v>22</v>
      </c>
      <c r="J77" s="15" t="s">
        <v>225</v>
      </c>
      <c r="K77" s="15" t="s">
        <v>24</v>
      </c>
      <c r="L77" s="16">
        <v>0.5</v>
      </c>
      <c r="M77" s="16">
        <v>0.4</v>
      </c>
      <c r="N77" s="16">
        <v>0.4</v>
      </c>
      <c r="O77" s="17">
        <v>45238.0</v>
      </c>
      <c r="P77" s="18">
        <v>1.725</v>
      </c>
      <c r="Q77" s="15" t="s">
        <v>33</v>
      </c>
      <c r="R77" s="19">
        <f t="shared" si="1"/>
        <v>0.29</v>
      </c>
      <c r="S77" s="19">
        <f t="shared" si="4"/>
        <v>1.8410975</v>
      </c>
    </row>
    <row r="78">
      <c r="A78" s="8">
        <f t="shared" si="3"/>
        <v>77</v>
      </c>
      <c r="B78" s="8" t="s">
        <v>19</v>
      </c>
      <c r="C78" s="8">
        <v>25.0</v>
      </c>
      <c r="D78" s="8" t="s">
        <v>5644</v>
      </c>
      <c r="E78" s="8" t="s">
        <v>5564</v>
      </c>
      <c r="F78" s="8" t="s">
        <v>2660</v>
      </c>
      <c r="G78" s="8">
        <v>0.0</v>
      </c>
      <c r="H78" s="8" t="s">
        <v>3351</v>
      </c>
      <c r="I78" s="8" t="s">
        <v>22</v>
      </c>
      <c r="J78" s="8" t="s">
        <v>1150</v>
      </c>
      <c r="K78" s="8" t="s">
        <v>1851</v>
      </c>
      <c r="L78" s="9">
        <v>0.0</v>
      </c>
      <c r="M78" s="9">
        <v>0.8</v>
      </c>
      <c r="N78" s="9">
        <v>0.8</v>
      </c>
      <c r="O78" s="10">
        <v>45238.0</v>
      </c>
      <c r="P78" s="11">
        <v>1.75</v>
      </c>
      <c r="Q78" s="8" t="s">
        <v>70</v>
      </c>
      <c r="R78" s="12">
        <f t="shared" si="1"/>
        <v>0</v>
      </c>
      <c r="S78" s="12">
        <f t="shared" si="4"/>
        <v>1.8410975</v>
      </c>
    </row>
    <row r="79">
      <c r="A79" s="15">
        <f t="shared" si="3"/>
        <v>78</v>
      </c>
      <c r="B79" s="15" t="s">
        <v>19</v>
      </c>
      <c r="C79" s="15">
        <v>64.0</v>
      </c>
      <c r="D79" s="15" t="s">
        <v>5645</v>
      </c>
      <c r="E79" s="15" t="s">
        <v>5565</v>
      </c>
      <c r="F79" s="15" t="s">
        <v>2660</v>
      </c>
      <c r="G79" s="15">
        <v>-1.0</v>
      </c>
      <c r="H79" s="15" t="s">
        <v>187</v>
      </c>
      <c r="I79" s="15" t="s">
        <v>22</v>
      </c>
      <c r="J79" s="15" t="s">
        <v>892</v>
      </c>
      <c r="K79" s="15" t="s">
        <v>1522</v>
      </c>
      <c r="L79" s="16">
        <v>0.0</v>
      </c>
      <c r="M79" s="16">
        <v>1.0</v>
      </c>
      <c r="N79" s="16">
        <v>1.0</v>
      </c>
      <c r="O79" s="17">
        <v>45239.0</v>
      </c>
      <c r="P79" s="18">
        <v>2.2</v>
      </c>
      <c r="Q79" s="15" t="s">
        <v>70</v>
      </c>
      <c r="R79" s="19">
        <f t="shared" si="1"/>
        <v>0</v>
      </c>
      <c r="S79" s="19">
        <f t="shared" si="4"/>
        <v>1.8410975</v>
      </c>
    </row>
    <row r="80">
      <c r="A80" s="8">
        <f t="shared" si="3"/>
        <v>79</v>
      </c>
      <c r="B80" s="8" t="s">
        <v>19</v>
      </c>
      <c r="C80" s="8">
        <v>71.0</v>
      </c>
      <c r="D80" s="8" t="s">
        <v>5646</v>
      </c>
      <c r="E80" s="8" t="s">
        <v>5564</v>
      </c>
      <c r="F80" s="8" t="s">
        <v>2556</v>
      </c>
      <c r="G80" s="8">
        <v>-2.0</v>
      </c>
      <c r="H80" s="8" t="s">
        <v>923</v>
      </c>
      <c r="I80" s="8" t="s">
        <v>22</v>
      </c>
      <c r="J80" s="8" t="s">
        <v>225</v>
      </c>
      <c r="K80" s="8" t="s">
        <v>24</v>
      </c>
      <c r="L80" s="9">
        <v>0.25</v>
      </c>
      <c r="M80" s="9">
        <v>0.5</v>
      </c>
      <c r="N80" s="9">
        <v>0.5</v>
      </c>
      <c r="O80" s="10">
        <v>45240.0</v>
      </c>
      <c r="P80" s="11">
        <v>1.85</v>
      </c>
      <c r="Q80" s="8" t="s">
        <v>25</v>
      </c>
      <c r="R80" s="12">
        <f t="shared" si="1"/>
        <v>-0.5</v>
      </c>
      <c r="S80" s="12">
        <f t="shared" si="4"/>
        <v>1.3410975</v>
      </c>
    </row>
    <row r="81">
      <c r="A81" s="15">
        <f t="shared" si="3"/>
        <v>80</v>
      </c>
      <c r="B81" s="15" t="s">
        <v>19</v>
      </c>
      <c r="C81" s="15">
        <v>30.0</v>
      </c>
      <c r="D81" s="15" t="s">
        <v>5647</v>
      </c>
      <c r="E81" s="15" t="s">
        <v>5564</v>
      </c>
      <c r="F81" s="15" t="s">
        <v>2660</v>
      </c>
      <c r="G81" s="15">
        <v>0.0</v>
      </c>
      <c r="H81" s="15" t="s">
        <v>187</v>
      </c>
      <c r="I81" s="15" t="s">
        <v>22</v>
      </c>
      <c r="J81" s="15" t="s">
        <v>1150</v>
      </c>
      <c r="K81" s="15" t="s">
        <v>24</v>
      </c>
      <c r="L81" s="16">
        <v>0.0</v>
      </c>
      <c r="M81" s="16">
        <v>0.8</v>
      </c>
      <c r="N81" s="16">
        <v>0.8</v>
      </c>
      <c r="O81" s="55">
        <v>45240.0</v>
      </c>
      <c r="P81" s="18">
        <v>1.625</v>
      </c>
      <c r="Q81" s="15" t="s">
        <v>70</v>
      </c>
      <c r="R81" s="19">
        <f t="shared" si="1"/>
        <v>0</v>
      </c>
      <c r="S81" s="19">
        <f t="shared" si="4"/>
        <v>1.3410975</v>
      </c>
    </row>
    <row r="82">
      <c r="A82" s="8">
        <f t="shared" si="3"/>
        <v>81</v>
      </c>
      <c r="B82" s="8" t="s">
        <v>19</v>
      </c>
      <c r="C82" s="8">
        <v>69.0</v>
      </c>
      <c r="D82" s="8" t="s">
        <v>5648</v>
      </c>
      <c r="E82" s="8" t="s">
        <v>5564</v>
      </c>
      <c r="F82" s="8" t="s">
        <v>2660</v>
      </c>
      <c r="G82" s="8">
        <v>0.0</v>
      </c>
      <c r="H82" s="8" t="s">
        <v>583</v>
      </c>
      <c r="I82" s="8" t="s">
        <v>22</v>
      </c>
      <c r="J82" s="8" t="s">
        <v>892</v>
      </c>
      <c r="K82" s="8" t="s">
        <v>1803</v>
      </c>
      <c r="L82" s="9">
        <v>0.0</v>
      </c>
      <c r="M82" s="9">
        <v>0.8</v>
      </c>
      <c r="N82" s="9">
        <v>0.8</v>
      </c>
      <c r="O82" s="54">
        <v>45240.0</v>
      </c>
      <c r="P82" s="11">
        <v>1.875</v>
      </c>
      <c r="Q82" s="8" t="s">
        <v>70</v>
      </c>
      <c r="R82" s="12">
        <f t="shared" si="1"/>
        <v>0</v>
      </c>
      <c r="S82" s="12">
        <f t="shared" si="4"/>
        <v>1.3410975</v>
      </c>
    </row>
    <row r="83">
      <c r="A83" s="15">
        <f t="shared" si="3"/>
        <v>82</v>
      </c>
      <c r="B83" s="15" t="s">
        <v>19</v>
      </c>
      <c r="C83" s="15">
        <v>41.0</v>
      </c>
      <c r="D83" s="15" t="s">
        <v>5649</v>
      </c>
      <c r="E83" s="15" t="s">
        <v>5564</v>
      </c>
      <c r="F83" s="15" t="s">
        <v>2556</v>
      </c>
      <c r="G83" s="15">
        <v>0.0</v>
      </c>
      <c r="H83" s="15" t="s">
        <v>820</v>
      </c>
      <c r="I83" s="15" t="s">
        <v>22</v>
      </c>
      <c r="J83" s="15" t="s">
        <v>225</v>
      </c>
      <c r="K83" s="15" t="s">
        <v>1522</v>
      </c>
      <c r="L83" s="16">
        <v>1.0</v>
      </c>
      <c r="M83" s="16">
        <v>0.6</v>
      </c>
      <c r="N83" s="16">
        <v>0.6</v>
      </c>
      <c r="O83" s="55">
        <v>45240.0</v>
      </c>
      <c r="P83" s="18">
        <v>1.925</v>
      </c>
      <c r="Q83" s="15" t="s">
        <v>70</v>
      </c>
      <c r="R83" s="19">
        <f t="shared" si="1"/>
        <v>0</v>
      </c>
      <c r="S83" s="19">
        <f t="shared" si="4"/>
        <v>1.3410975</v>
      </c>
    </row>
    <row r="84">
      <c r="A84" s="8">
        <f t="shared" si="3"/>
        <v>83</v>
      </c>
      <c r="B84" s="8" t="s">
        <v>19</v>
      </c>
      <c r="C84" s="8">
        <v>62.0</v>
      </c>
      <c r="D84" s="8" t="s">
        <v>5650</v>
      </c>
      <c r="E84" s="8" t="s">
        <v>5565</v>
      </c>
      <c r="F84" s="8" t="s">
        <v>2556</v>
      </c>
      <c r="G84" s="8">
        <v>-1.0</v>
      </c>
      <c r="H84" s="8" t="s">
        <v>248</v>
      </c>
      <c r="I84" s="8" t="s">
        <v>22</v>
      </c>
      <c r="J84" s="8" t="s">
        <v>225</v>
      </c>
      <c r="K84" s="8" t="s">
        <v>24</v>
      </c>
      <c r="L84" s="9">
        <v>0.25</v>
      </c>
      <c r="M84" s="9">
        <v>0.4</v>
      </c>
      <c r="N84" s="9">
        <v>0.4</v>
      </c>
      <c r="O84" s="10">
        <v>45240.0</v>
      </c>
      <c r="P84" s="11">
        <v>1.7</v>
      </c>
      <c r="Q84" s="8" t="s">
        <v>30</v>
      </c>
      <c r="R84" s="12">
        <f t="shared" si="1"/>
        <v>0.14</v>
      </c>
      <c r="S84" s="12">
        <f t="shared" si="4"/>
        <v>1.4810975</v>
      </c>
    </row>
    <row r="85">
      <c r="A85" s="15">
        <f t="shared" si="3"/>
        <v>84</v>
      </c>
      <c r="B85" s="15" t="s">
        <v>19</v>
      </c>
      <c r="C85" s="15">
        <v>62.0</v>
      </c>
      <c r="D85" s="15" t="s">
        <v>5651</v>
      </c>
      <c r="E85" s="15" t="s">
        <v>5565</v>
      </c>
      <c r="F85" s="15" t="s">
        <v>2660</v>
      </c>
      <c r="G85" s="15">
        <v>-1.0</v>
      </c>
      <c r="H85" s="15" t="s">
        <v>248</v>
      </c>
      <c r="I85" s="15" t="s">
        <v>22</v>
      </c>
      <c r="J85" s="15" t="s">
        <v>892</v>
      </c>
      <c r="K85" s="15" t="s">
        <v>24</v>
      </c>
      <c r="L85" s="16">
        <v>0.0</v>
      </c>
      <c r="M85" s="16">
        <v>0.2</v>
      </c>
      <c r="N85" s="16">
        <f>0.52*0.2</f>
        <v>0.104</v>
      </c>
      <c r="O85" s="17">
        <v>45240.0</v>
      </c>
      <c r="P85" s="18">
        <v>2.725</v>
      </c>
      <c r="Q85" s="15" t="s">
        <v>70</v>
      </c>
      <c r="R85" s="19">
        <f t="shared" si="1"/>
        <v>0</v>
      </c>
      <c r="S85" s="19">
        <f t="shared" si="4"/>
        <v>1.4810975</v>
      </c>
    </row>
    <row r="86">
      <c r="A86" s="8">
        <f t="shared" si="3"/>
        <v>85</v>
      </c>
      <c r="B86" s="8" t="s">
        <v>19</v>
      </c>
      <c r="C86" s="8">
        <v>37.0</v>
      </c>
      <c r="D86" s="8" t="s">
        <v>5652</v>
      </c>
      <c r="E86" s="8" t="s">
        <v>5565</v>
      </c>
      <c r="F86" s="8" t="s">
        <v>2660</v>
      </c>
      <c r="G86" s="8">
        <v>0.0</v>
      </c>
      <c r="H86" s="8" t="s">
        <v>316</v>
      </c>
      <c r="I86" s="8" t="s">
        <v>22</v>
      </c>
      <c r="J86" s="8" t="s">
        <v>1150</v>
      </c>
      <c r="K86" s="8" t="s">
        <v>24</v>
      </c>
      <c r="L86" s="9">
        <v>0.0</v>
      </c>
      <c r="M86" s="9">
        <v>0.2</v>
      </c>
      <c r="N86" s="9">
        <v>0.2</v>
      </c>
      <c r="O86" s="10">
        <v>45240.0</v>
      </c>
      <c r="P86" s="11">
        <v>1.775</v>
      </c>
      <c r="Q86" s="8" t="s">
        <v>70</v>
      </c>
      <c r="R86" s="12">
        <f t="shared" si="1"/>
        <v>0</v>
      </c>
      <c r="S86" s="12">
        <f t="shared" si="4"/>
        <v>1.4810975</v>
      </c>
    </row>
    <row r="87">
      <c r="A87" s="15">
        <f t="shared" si="3"/>
        <v>86</v>
      </c>
      <c r="B87" s="15" t="s">
        <v>19</v>
      </c>
      <c r="C87" s="15">
        <v>18.0</v>
      </c>
      <c r="D87" s="15" t="s">
        <v>3791</v>
      </c>
      <c r="E87" s="15" t="s">
        <v>5565</v>
      </c>
      <c r="F87" s="15" t="s">
        <v>2556</v>
      </c>
      <c r="G87" s="15">
        <v>0.0</v>
      </c>
      <c r="H87" s="15" t="s">
        <v>44</v>
      </c>
      <c r="I87" s="15" t="s">
        <v>22</v>
      </c>
      <c r="J87" s="15" t="s">
        <v>225</v>
      </c>
      <c r="K87" s="15" t="s">
        <v>24</v>
      </c>
      <c r="L87" s="16">
        <v>0.75</v>
      </c>
      <c r="M87" s="16">
        <v>1.0</v>
      </c>
      <c r="N87" s="16">
        <v>1.0</v>
      </c>
      <c r="O87" s="17">
        <v>45240.0</v>
      </c>
      <c r="P87" s="18">
        <v>1.825</v>
      </c>
      <c r="Q87" s="15" t="s">
        <v>25</v>
      </c>
      <c r="R87" s="19">
        <f t="shared" si="1"/>
        <v>-1</v>
      </c>
      <c r="S87" s="19">
        <f t="shared" si="4"/>
        <v>0.4810975</v>
      </c>
    </row>
    <row r="88">
      <c r="A88" s="8">
        <f t="shared" si="3"/>
        <v>87</v>
      </c>
      <c r="B88" s="8" t="s">
        <v>19</v>
      </c>
      <c r="C88" s="8">
        <v>58.0</v>
      </c>
      <c r="D88" s="8" t="s">
        <v>3792</v>
      </c>
      <c r="E88" s="8" t="s">
        <v>5565</v>
      </c>
      <c r="F88" s="8" t="s">
        <v>2660</v>
      </c>
      <c r="G88" s="8">
        <v>-1.0</v>
      </c>
      <c r="H88" s="8" t="s">
        <v>820</v>
      </c>
      <c r="I88" s="8" t="s">
        <v>22</v>
      </c>
      <c r="J88" s="8" t="s">
        <v>892</v>
      </c>
      <c r="K88" s="8" t="s">
        <v>24</v>
      </c>
      <c r="L88" s="9">
        <v>0.0</v>
      </c>
      <c r="M88" s="9">
        <v>0.4</v>
      </c>
      <c r="N88" s="9">
        <v>0.4</v>
      </c>
      <c r="O88" s="10">
        <v>45241.0</v>
      </c>
      <c r="P88" s="11">
        <v>1.7</v>
      </c>
      <c r="Q88" s="8" t="s">
        <v>33</v>
      </c>
      <c r="R88" s="12">
        <f t="shared" si="1"/>
        <v>0.28</v>
      </c>
      <c r="S88" s="12">
        <f t="shared" si="4"/>
        <v>0.7610975</v>
      </c>
    </row>
    <row r="89">
      <c r="A89" s="15">
        <f t="shared" si="3"/>
        <v>88</v>
      </c>
      <c r="B89" s="15" t="s">
        <v>19</v>
      </c>
      <c r="C89" s="15">
        <v>59.0</v>
      </c>
      <c r="D89" s="15" t="s">
        <v>3793</v>
      </c>
      <c r="E89" s="15" t="s">
        <v>5564</v>
      </c>
      <c r="F89" s="15" t="s">
        <v>2660</v>
      </c>
      <c r="G89" s="15">
        <v>0.0</v>
      </c>
      <c r="H89" s="15" t="s">
        <v>101</v>
      </c>
      <c r="I89" s="15" t="s">
        <v>22</v>
      </c>
      <c r="J89" s="15" t="s">
        <v>892</v>
      </c>
      <c r="K89" s="15" t="s">
        <v>24</v>
      </c>
      <c r="L89" s="16">
        <v>0.0</v>
      </c>
      <c r="M89" s="16">
        <v>0.6</v>
      </c>
      <c r="N89" s="16">
        <v>0.6</v>
      </c>
      <c r="O89" s="17">
        <v>45241.0</v>
      </c>
      <c r="P89" s="18">
        <v>1.7</v>
      </c>
      <c r="Q89" s="15" t="s">
        <v>70</v>
      </c>
      <c r="R89" s="19">
        <f t="shared" si="1"/>
        <v>0</v>
      </c>
      <c r="S89" s="19">
        <f t="shared" si="4"/>
        <v>0.7610975</v>
      </c>
    </row>
    <row r="90">
      <c r="A90" s="8">
        <f t="shared" si="3"/>
        <v>89</v>
      </c>
      <c r="B90" s="8" t="s">
        <v>19</v>
      </c>
      <c r="C90" s="8"/>
      <c r="D90" s="8" t="s">
        <v>5653</v>
      </c>
      <c r="E90" s="8" t="s">
        <v>5564</v>
      </c>
      <c r="F90" s="8" t="s">
        <v>2660</v>
      </c>
      <c r="G90" s="8">
        <f>1</f>
        <v>1</v>
      </c>
      <c r="H90" s="8" t="s">
        <v>101</v>
      </c>
      <c r="I90" s="8" t="s">
        <v>22</v>
      </c>
      <c r="J90" s="8" t="s">
        <v>892</v>
      </c>
      <c r="K90" s="8" t="s">
        <v>24</v>
      </c>
      <c r="L90" s="9">
        <v>0.0</v>
      </c>
      <c r="M90" s="9">
        <v>0.8</v>
      </c>
      <c r="N90" s="9">
        <v>0.75</v>
      </c>
      <c r="O90" s="10">
        <v>45241.0</v>
      </c>
      <c r="P90" s="11">
        <v>1.75</v>
      </c>
      <c r="Q90" s="8" t="s">
        <v>70</v>
      </c>
      <c r="R90" s="12">
        <f t="shared" si="1"/>
        <v>0</v>
      </c>
      <c r="S90" s="12">
        <f t="shared" si="4"/>
        <v>0.7610975</v>
      </c>
    </row>
    <row r="91">
      <c r="A91" s="15">
        <f t="shared" si="3"/>
        <v>90</v>
      </c>
      <c r="B91" s="15" t="s">
        <v>19</v>
      </c>
      <c r="C91" s="15">
        <v>45.0</v>
      </c>
      <c r="D91" s="15" t="s">
        <v>5654</v>
      </c>
      <c r="E91" s="15" t="s">
        <v>5564</v>
      </c>
      <c r="F91" s="15" t="s">
        <v>2660</v>
      </c>
      <c r="G91" s="15">
        <v>0.0</v>
      </c>
      <c r="H91" s="15" t="s">
        <v>229</v>
      </c>
      <c r="I91" s="15" t="s">
        <v>22</v>
      </c>
      <c r="J91" s="15" t="s">
        <v>892</v>
      </c>
      <c r="K91" s="15" t="s">
        <v>24</v>
      </c>
      <c r="L91" s="16">
        <v>0.0</v>
      </c>
      <c r="M91" s="16">
        <v>1.0</v>
      </c>
      <c r="N91" s="16">
        <v>0.8</v>
      </c>
      <c r="O91" s="17">
        <v>45241.0</v>
      </c>
      <c r="P91" s="18">
        <v>1.975</v>
      </c>
      <c r="Q91" s="15" t="s">
        <v>25</v>
      </c>
      <c r="R91" s="19">
        <f t="shared" si="1"/>
        <v>-0.8</v>
      </c>
      <c r="S91" s="19">
        <f t="shared" si="4"/>
        <v>-0.0389025</v>
      </c>
    </row>
    <row r="92">
      <c r="A92" s="8">
        <f t="shared" si="3"/>
        <v>91</v>
      </c>
      <c r="B92" s="8" t="s">
        <v>19</v>
      </c>
      <c r="C92" s="8">
        <v>24.0</v>
      </c>
      <c r="D92" s="8" t="s">
        <v>5655</v>
      </c>
      <c r="E92" s="8" t="s">
        <v>5564</v>
      </c>
      <c r="F92" s="8" t="s">
        <v>2660</v>
      </c>
      <c r="G92" s="8">
        <f>1</f>
        <v>1</v>
      </c>
      <c r="H92" s="8" t="s">
        <v>93</v>
      </c>
      <c r="I92" s="8" t="s">
        <v>22</v>
      </c>
      <c r="J92" s="8" t="s">
        <v>892</v>
      </c>
      <c r="K92" s="8" t="s">
        <v>39</v>
      </c>
      <c r="L92" s="9">
        <v>0.0</v>
      </c>
      <c r="M92" s="9">
        <v>0.5</v>
      </c>
      <c r="N92" s="9">
        <v>0.5</v>
      </c>
      <c r="O92" s="10">
        <v>45241.0</v>
      </c>
      <c r="P92" s="11">
        <v>1.75</v>
      </c>
      <c r="Q92" s="8" t="s">
        <v>33</v>
      </c>
      <c r="R92" s="12">
        <f t="shared" si="1"/>
        <v>0.375</v>
      </c>
      <c r="S92" s="12">
        <f t="shared" si="4"/>
        <v>0.3360975</v>
      </c>
    </row>
    <row r="93">
      <c r="A93" s="15">
        <f t="shared" si="3"/>
        <v>92</v>
      </c>
      <c r="B93" s="15" t="s">
        <v>19</v>
      </c>
      <c r="C93" s="15">
        <v>5.0</v>
      </c>
      <c r="D93" s="15" t="s">
        <v>5656</v>
      </c>
      <c r="E93" s="15" t="s">
        <v>5565</v>
      </c>
      <c r="F93" s="15" t="s">
        <v>2556</v>
      </c>
      <c r="G93" s="15">
        <v>0.0</v>
      </c>
      <c r="H93" s="15" t="s">
        <v>115</v>
      </c>
      <c r="I93" s="15" t="s">
        <v>22</v>
      </c>
      <c r="J93" s="15" t="s">
        <v>941</v>
      </c>
      <c r="K93" s="15" t="s">
        <v>1522</v>
      </c>
      <c r="L93" s="16">
        <v>0.0</v>
      </c>
      <c r="M93" s="16">
        <v>0.5</v>
      </c>
      <c r="N93" s="16">
        <v>0.5</v>
      </c>
      <c r="O93" s="17">
        <v>45241.0</v>
      </c>
      <c r="P93" s="18">
        <v>1.8</v>
      </c>
      <c r="Q93" s="15" t="s">
        <v>33</v>
      </c>
      <c r="R93" s="19">
        <f t="shared" si="1"/>
        <v>0.4</v>
      </c>
      <c r="S93" s="19">
        <f t="shared" si="4"/>
        <v>0.7360975</v>
      </c>
    </row>
    <row r="94">
      <c r="A94" s="8">
        <f t="shared" si="3"/>
        <v>93</v>
      </c>
      <c r="B94" s="8" t="s">
        <v>19</v>
      </c>
      <c r="C94" s="8">
        <v>54.0</v>
      </c>
      <c r="D94" s="8" t="s">
        <v>5657</v>
      </c>
      <c r="E94" s="8" t="s">
        <v>5565</v>
      </c>
      <c r="F94" s="8" t="s">
        <v>2660</v>
      </c>
      <c r="G94" s="8">
        <v>0.0</v>
      </c>
      <c r="H94" s="8" t="s">
        <v>432</v>
      </c>
      <c r="I94" s="8" t="s">
        <v>22</v>
      </c>
      <c r="J94" s="8" t="s">
        <v>892</v>
      </c>
      <c r="K94" s="8" t="s">
        <v>1851</v>
      </c>
      <c r="L94" s="9">
        <v>0.0</v>
      </c>
      <c r="M94" s="9">
        <v>0.6</v>
      </c>
      <c r="N94" s="9">
        <v>0.6</v>
      </c>
      <c r="O94" s="10">
        <v>45241.0</v>
      </c>
      <c r="P94" s="11">
        <v>1.75</v>
      </c>
      <c r="Q94" s="8" t="s">
        <v>33</v>
      </c>
      <c r="R94" s="12">
        <f t="shared" si="1"/>
        <v>0.45</v>
      </c>
      <c r="S94" s="12">
        <f t="shared" si="4"/>
        <v>1.1860975</v>
      </c>
    </row>
    <row r="95">
      <c r="A95" s="15">
        <f t="shared" si="3"/>
        <v>94</v>
      </c>
      <c r="B95" s="15" t="s">
        <v>19</v>
      </c>
      <c r="C95" s="15">
        <v>16.0</v>
      </c>
      <c r="D95" s="15" t="s">
        <v>5658</v>
      </c>
      <c r="E95" s="15" t="s">
        <v>5565</v>
      </c>
      <c r="F95" s="15" t="s">
        <v>2556</v>
      </c>
      <c r="G95" s="15">
        <f>1</f>
        <v>1</v>
      </c>
      <c r="H95" s="15" t="s">
        <v>44</v>
      </c>
      <c r="I95" s="15" t="s">
        <v>22</v>
      </c>
      <c r="J95" s="15" t="s">
        <v>225</v>
      </c>
      <c r="K95" s="15" t="s">
        <v>1522</v>
      </c>
      <c r="L95" s="16">
        <v>0.5</v>
      </c>
      <c r="M95" s="16">
        <v>1.0</v>
      </c>
      <c r="N95" s="16">
        <v>0.725</v>
      </c>
      <c r="O95" s="17">
        <v>45241.0</v>
      </c>
      <c r="P95" s="18">
        <v>2.0</v>
      </c>
      <c r="Q95" s="15" t="s">
        <v>33</v>
      </c>
      <c r="R95" s="19">
        <f t="shared" si="1"/>
        <v>0.725</v>
      </c>
      <c r="S95" s="19">
        <f t="shared" si="4"/>
        <v>1.9110975</v>
      </c>
    </row>
    <row r="96">
      <c r="A96" s="8">
        <f t="shared" si="3"/>
        <v>95</v>
      </c>
      <c r="B96" s="8" t="s">
        <v>19</v>
      </c>
      <c r="C96" s="8">
        <v>30.0</v>
      </c>
      <c r="D96" s="8" t="s">
        <v>5659</v>
      </c>
      <c r="E96" s="8" t="s">
        <v>5564</v>
      </c>
      <c r="F96" s="8" t="s">
        <v>2556</v>
      </c>
      <c r="G96" s="8">
        <v>0.0</v>
      </c>
      <c r="H96" s="8" t="s">
        <v>93</v>
      </c>
      <c r="I96" s="8" t="s">
        <v>22</v>
      </c>
      <c r="J96" s="8" t="s">
        <v>225</v>
      </c>
      <c r="K96" s="8" t="s">
        <v>24</v>
      </c>
      <c r="L96" s="9">
        <v>0.25</v>
      </c>
      <c r="M96" s="9">
        <v>1.0</v>
      </c>
      <c r="N96" s="9">
        <v>1.0</v>
      </c>
      <c r="O96" s="10">
        <v>45241.0</v>
      </c>
      <c r="P96" s="11">
        <v>1.925</v>
      </c>
      <c r="Q96" s="8" t="s">
        <v>33</v>
      </c>
      <c r="R96" s="12">
        <f t="shared" si="1"/>
        <v>0.925</v>
      </c>
      <c r="S96" s="12">
        <f t="shared" si="4"/>
        <v>2.8360975</v>
      </c>
    </row>
    <row r="97">
      <c r="A97" s="15">
        <f t="shared" si="3"/>
        <v>96</v>
      </c>
      <c r="B97" s="15" t="s">
        <v>19</v>
      </c>
      <c r="C97" s="15">
        <v>18.0</v>
      </c>
      <c r="D97" s="15" t="s">
        <v>5660</v>
      </c>
      <c r="E97" s="15"/>
      <c r="F97" s="15"/>
      <c r="G97" s="15"/>
      <c r="H97" s="15" t="s">
        <v>38</v>
      </c>
      <c r="I97" s="15" t="s">
        <v>22</v>
      </c>
      <c r="J97" s="15" t="s">
        <v>3515</v>
      </c>
      <c r="K97" s="15" t="s">
        <v>39</v>
      </c>
      <c r="L97" s="16">
        <v>1.75</v>
      </c>
      <c r="M97" s="16">
        <v>0.1</v>
      </c>
      <c r="N97" s="16">
        <v>0.1</v>
      </c>
      <c r="O97" s="55">
        <v>45241.0</v>
      </c>
      <c r="P97" s="18">
        <v>1.825</v>
      </c>
      <c r="Q97" s="15" t="s">
        <v>25</v>
      </c>
      <c r="R97" s="19">
        <f t="shared" si="1"/>
        <v>-0.1</v>
      </c>
      <c r="S97" s="19">
        <f t="shared" si="4"/>
        <v>2.7360975</v>
      </c>
    </row>
    <row r="98">
      <c r="A98" s="8">
        <f t="shared" si="3"/>
        <v>97</v>
      </c>
      <c r="B98" s="8" t="s">
        <v>19</v>
      </c>
      <c r="C98" s="8">
        <v>53.0</v>
      </c>
      <c r="D98" s="8" t="s">
        <v>5661</v>
      </c>
      <c r="E98" s="8" t="s">
        <v>5564</v>
      </c>
      <c r="F98" s="8" t="s">
        <v>2660</v>
      </c>
      <c r="G98" s="8">
        <v>0.0</v>
      </c>
      <c r="H98" s="8" t="s">
        <v>162</v>
      </c>
      <c r="I98" s="8" t="s">
        <v>22</v>
      </c>
      <c r="J98" s="8" t="s">
        <v>892</v>
      </c>
      <c r="K98" s="8" t="s">
        <v>1522</v>
      </c>
      <c r="L98" s="9">
        <v>0.0</v>
      </c>
      <c r="M98" s="9">
        <v>0.2</v>
      </c>
      <c r="N98" s="9">
        <v>0.2</v>
      </c>
      <c r="O98" s="10">
        <v>45241.0</v>
      </c>
      <c r="P98" s="11">
        <v>1.725</v>
      </c>
      <c r="Q98" s="8" t="s">
        <v>33</v>
      </c>
      <c r="R98" s="12">
        <f t="shared" si="1"/>
        <v>0.145</v>
      </c>
      <c r="S98" s="12">
        <f t="shared" si="4"/>
        <v>2.8810975</v>
      </c>
    </row>
    <row r="99">
      <c r="A99" s="15">
        <f t="shared" si="3"/>
        <v>98</v>
      </c>
      <c r="B99" s="15" t="s">
        <v>19</v>
      </c>
      <c r="C99" s="15"/>
      <c r="D99" s="15" t="s">
        <v>5662</v>
      </c>
      <c r="E99" s="15" t="s">
        <v>5564</v>
      </c>
      <c r="F99" s="15" t="s">
        <v>2556</v>
      </c>
      <c r="G99" s="15">
        <v>0.0</v>
      </c>
      <c r="H99" s="15" t="s">
        <v>115</v>
      </c>
      <c r="I99" s="15" t="s">
        <v>22</v>
      </c>
      <c r="J99" s="15" t="s">
        <v>941</v>
      </c>
      <c r="K99" s="15" t="s">
        <v>1522</v>
      </c>
      <c r="L99" s="16">
        <v>0.0</v>
      </c>
      <c r="M99" s="16">
        <v>0.33</v>
      </c>
      <c r="N99" s="16">
        <v>0.33</v>
      </c>
      <c r="O99" s="17">
        <v>45241.0</v>
      </c>
      <c r="P99" s="18">
        <v>2.5</v>
      </c>
      <c r="Q99" s="15" t="s">
        <v>25</v>
      </c>
      <c r="R99" s="19">
        <f t="shared" si="1"/>
        <v>-0.33</v>
      </c>
      <c r="S99" s="19">
        <f t="shared" si="4"/>
        <v>2.5510975</v>
      </c>
    </row>
    <row r="100">
      <c r="A100" s="8">
        <f t="shared" si="3"/>
        <v>99</v>
      </c>
      <c r="B100" s="8" t="s">
        <v>19</v>
      </c>
      <c r="C100" s="8">
        <v>89.0</v>
      </c>
      <c r="D100" s="8" t="s">
        <v>5663</v>
      </c>
      <c r="E100" s="8"/>
      <c r="F100" s="8"/>
      <c r="G100" s="8"/>
      <c r="H100" s="8" t="s">
        <v>463</v>
      </c>
      <c r="I100" s="8" t="s">
        <v>22</v>
      </c>
      <c r="J100" s="8" t="s">
        <v>23</v>
      </c>
      <c r="K100" s="8" t="s">
        <v>24</v>
      </c>
      <c r="L100" s="9">
        <v>-13.0</v>
      </c>
      <c r="M100" s="9">
        <v>0.5</v>
      </c>
      <c r="N100" s="9">
        <v>0.45</v>
      </c>
      <c r="O100" s="10">
        <v>45241.0</v>
      </c>
      <c r="P100" s="11">
        <v>1.8</v>
      </c>
      <c r="Q100" s="8" t="s">
        <v>25</v>
      </c>
      <c r="R100" s="12">
        <f t="shared" si="1"/>
        <v>-0.45</v>
      </c>
      <c r="S100" s="12">
        <f t="shared" si="4"/>
        <v>2.1010975</v>
      </c>
    </row>
    <row r="101">
      <c r="A101" s="15">
        <f t="shared" si="3"/>
        <v>100</v>
      </c>
      <c r="B101" s="15" t="s">
        <v>19</v>
      </c>
      <c r="C101" s="15">
        <v>52.0</v>
      </c>
      <c r="D101" s="15" t="s">
        <v>5664</v>
      </c>
      <c r="E101" s="15" t="s">
        <v>5565</v>
      </c>
      <c r="F101" s="15" t="s">
        <v>2660</v>
      </c>
      <c r="G101" s="15">
        <v>-1.0</v>
      </c>
      <c r="H101" s="15" t="s">
        <v>101</v>
      </c>
      <c r="I101" s="15" t="s">
        <v>22</v>
      </c>
      <c r="J101" s="15" t="s">
        <v>892</v>
      </c>
      <c r="K101" s="15" t="s">
        <v>24</v>
      </c>
      <c r="L101" s="16">
        <v>0.0</v>
      </c>
      <c r="M101" s="16">
        <v>1.0</v>
      </c>
      <c r="N101" s="16">
        <v>1.0</v>
      </c>
      <c r="O101" s="17">
        <v>45241.0</v>
      </c>
      <c r="P101" s="18">
        <v>2.025</v>
      </c>
      <c r="Q101" s="15" t="s">
        <v>70</v>
      </c>
      <c r="R101" s="19">
        <f t="shared" si="1"/>
        <v>0</v>
      </c>
      <c r="S101" s="19">
        <f t="shared" si="4"/>
        <v>2.1010975</v>
      </c>
    </row>
    <row r="102">
      <c r="A102" s="8">
        <f t="shared" si="3"/>
        <v>101</v>
      </c>
      <c r="B102" s="8" t="s">
        <v>19</v>
      </c>
      <c r="C102" s="8">
        <v>68.0</v>
      </c>
      <c r="D102" s="8" t="s">
        <v>5665</v>
      </c>
      <c r="E102" s="8" t="s">
        <v>5564</v>
      </c>
      <c r="F102" s="8"/>
      <c r="G102" s="8">
        <v>-1.0</v>
      </c>
      <c r="H102" s="8" t="s">
        <v>806</v>
      </c>
      <c r="I102" s="8" t="s">
        <v>22</v>
      </c>
      <c r="J102" s="8" t="s">
        <v>1165</v>
      </c>
      <c r="K102" s="8" t="s">
        <v>24</v>
      </c>
      <c r="L102" s="9"/>
      <c r="M102" s="9">
        <v>0.1</v>
      </c>
      <c r="N102" s="9">
        <v>0.1</v>
      </c>
      <c r="O102" s="10">
        <v>45241.0</v>
      </c>
      <c r="P102" s="11">
        <v>6.0</v>
      </c>
      <c r="Q102" s="8" t="s">
        <v>25</v>
      </c>
      <c r="R102" s="12">
        <f t="shared" si="1"/>
        <v>-0.1</v>
      </c>
      <c r="S102" s="12">
        <f t="shared" si="4"/>
        <v>2.0010975</v>
      </c>
    </row>
    <row r="103">
      <c r="A103" s="15">
        <f t="shared" si="3"/>
        <v>102</v>
      </c>
      <c r="B103" s="15" t="s">
        <v>19</v>
      </c>
      <c r="C103" s="15">
        <v>72.0</v>
      </c>
      <c r="D103" s="15" t="s">
        <v>5666</v>
      </c>
      <c r="E103" s="15" t="s">
        <v>5564</v>
      </c>
      <c r="F103" s="15" t="s">
        <v>2660</v>
      </c>
      <c r="G103" s="15">
        <v>-1.0</v>
      </c>
      <c r="H103" s="15" t="s">
        <v>806</v>
      </c>
      <c r="I103" s="15" t="s">
        <v>22</v>
      </c>
      <c r="J103" s="15" t="s">
        <v>892</v>
      </c>
      <c r="K103" s="15" t="s">
        <v>24</v>
      </c>
      <c r="L103" s="16">
        <v>0.0</v>
      </c>
      <c r="M103" s="16">
        <v>0.25</v>
      </c>
      <c r="N103" s="16">
        <v>0.25</v>
      </c>
      <c r="O103" s="17">
        <v>45241.0</v>
      </c>
      <c r="P103" s="18">
        <v>3.08</v>
      </c>
      <c r="Q103" s="15" t="s">
        <v>70</v>
      </c>
      <c r="R103" s="19">
        <f t="shared" si="1"/>
        <v>0</v>
      </c>
      <c r="S103" s="19">
        <f t="shared" si="4"/>
        <v>2.0010975</v>
      </c>
    </row>
    <row r="104">
      <c r="A104" s="8">
        <f t="shared" si="3"/>
        <v>103</v>
      </c>
      <c r="B104" s="8" t="s">
        <v>19</v>
      </c>
      <c r="C104" s="8">
        <v>50.0</v>
      </c>
      <c r="D104" s="8" t="s">
        <v>5667</v>
      </c>
      <c r="E104" s="8" t="s">
        <v>5564</v>
      </c>
      <c r="F104" s="8" t="s">
        <v>2556</v>
      </c>
      <c r="G104" s="8">
        <v>0.0</v>
      </c>
      <c r="H104" s="8" t="s">
        <v>44</v>
      </c>
      <c r="I104" s="8" t="s">
        <v>22</v>
      </c>
      <c r="J104" s="8" t="s">
        <v>941</v>
      </c>
      <c r="K104" s="8" t="s">
        <v>24</v>
      </c>
      <c r="L104" s="9">
        <v>0.0</v>
      </c>
      <c r="M104" s="9">
        <v>0.4</v>
      </c>
      <c r="N104" s="9">
        <v>0.4</v>
      </c>
      <c r="O104" s="10">
        <v>45241.0</v>
      </c>
      <c r="P104" s="11">
        <v>2.2</v>
      </c>
      <c r="Q104" s="8" t="s">
        <v>70</v>
      </c>
      <c r="R104" s="12">
        <f t="shared" si="1"/>
        <v>0</v>
      </c>
      <c r="S104" s="12">
        <f t="shared" si="4"/>
        <v>2.0010975</v>
      </c>
    </row>
    <row r="105">
      <c r="A105" s="15">
        <f t="shared" si="3"/>
        <v>104</v>
      </c>
      <c r="B105" s="15" t="s">
        <v>40</v>
      </c>
      <c r="C105" s="15">
        <v>65.0</v>
      </c>
      <c r="D105" s="15" t="s">
        <v>5668</v>
      </c>
      <c r="E105" s="15" t="s">
        <v>5564</v>
      </c>
      <c r="F105" s="15" t="s">
        <v>2556</v>
      </c>
      <c r="G105" s="15">
        <v>-1.0</v>
      </c>
      <c r="H105" s="15" t="s">
        <v>908</v>
      </c>
      <c r="I105" s="15" t="s">
        <v>22</v>
      </c>
      <c r="J105" s="15" t="s">
        <v>225</v>
      </c>
      <c r="K105" s="15" t="s">
        <v>24</v>
      </c>
      <c r="L105" s="16">
        <v>0.25</v>
      </c>
      <c r="M105" s="16">
        <v>0.75</v>
      </c>
      <c r="N105" s="16">
        <v>0.75</v>
      </c>
      <c r="O105" s="55">
        <v>45241.0</v>
      </c>
      <c r="P105" s="18">
        <v>1.7</v>
      </c>
      <c r="Q105" s="15" t="s">
        <v>30</v>
      </c>
      <c r="R105" s="19">
        <f t="shared" si="1"/>
        <v>0.2625</v>
      </c>
      <c r="S105" s="19">
        <f t="shared" si="4"/>
        <v>2.2635975</v>
      </c>
    </row>
    <row r="106">
      <c r="A106" s="8">
        <f t="shared" si="3"/>
        <v>105</v>
      </c>
      <c r="B106" s="8" t="s">
        <v>19</v>
      </c>
      <c r="C106" s="8">
        <v>36.0</v>
      </c>
      <c r="D106" s="8" t="s">
        <v>5669</v>
      </c>
      <c r="E106" s="8" t="s">
        <v>5564</v>
      </c>
      <c r="F106" s="8" t="s">
        <v>2556</v>
      </c>
      <c r="G106" s="8">
        <v>0.0</v>
      </c>
      <c r="H106" s="8" t="s">
        <v>169</v>
      </c>
      <c r="I106" s="8" t="s">
        <v>22</v>
      </c>
      <c r="J106" s="8" t="s">
        <v>225</v>
      </c>
      <c r="K106" s="8" t="s">
        <v>24</v>
      </c>
      <c r="L106" s="9">
        <v>0.25</v>
      </c>
      <c r="M106" s="9">
        <v>1.0</v>
      </c>
      <c r="N106" s="9">
        <v>1.0</v>
      </c>
      <c r="O106" s="10">
        <v>45241.0</v>
      </c>
      <c r="P106" s="11">
        <v>1.775</v>
      </c>
      <c r="Q106" s="8" t="s">
        <v>25</v>
      </c>
      <c r="R106" s="12">
        <f t="shared" si="1"/>
        <v>-1</v>
      </c>
      <c r="S106" s="12">
        <f t="shared" si="4"/>
        <v>1.2635975</v>
      </c>
    </row>
    <row r="107">
      <c r="A107" s="15">
        <f t="shared" si="3"/>
        <v>106</v>
      </c>
      <c r="B107" s="15" t="s">
        <v>19</v>
      </c>
      <c r="C107" s="15">
        <v>26.0</v>
      </c>
      <c r="D107" s="15" t="s">
        <v>5670</v>
      </c>
      <c r="E107" s="15" t="s">
        <v>5564</v>
      </c>
      <c r="F107" s="15" t="s">
        <v>2660</v>
      </c>
      <c r="G107" s="15">
        <v>0.0</v>
      </c>
      <c r="H107" s="15" t="s">
        <v>316</v>
      </c>
      <c r="I107" s="15" t="s">
        <v>22</v>
      </c>
      <c r="J107" s="15" t="s">
        <v>1150</v>
      </c>
      <c r="K107" s="15" t="s">
        <v>1851</v>
      </c>
      <c r="L107" s="16">
        <v>0.0</v>
      </c>
      <c r="M107" s="16">
        <v>0.5</v>
      </c>
      <c r="N107" s="16">
        <v>0.5</v>
      </c>
      <c r="O107" s="17">
        <v>45241.0</v>
      </c>
      <c r="P107" s="18">
        <v>1.7</v>
      </c>
      <c r="Q107" s="15" t="s">
        <v>70</v>
      </c>
      <c r="R107" s="19">
        <f t="shared" si="1"/>
        <v>0</v>
      </c>
      <c r="S107" s="19">
        <f t="shared" si="4"/>
        <v>1.2635975</v>
      </c>
    </row>
    <row r="108">
      <c r="A108" s="8">
        <f t="shared" si="3"/>
        <v>107</v>
      </c>
      <c r="B108" s="8" t="s">
        <v>19</v>
      </c>
      <c r="C108" s="8">
        <v>59.0</v>
      </c>
      <c r="D108" s="8" t="s">
        <v>5671</v>
      </c>
      <c r="E108" s="8" t="s">
        <v>5564</v>
      </c>
      <c r="F108" s="8" t="s">
        <v>2556</v>
      </c>
      <c r="G108" s="8">
        <v>-1.0</v>
      </c>
      <c r="H108" s="8" t="s">
        <v>66</v>
      </c>
      <c r="I108" s="8" t="s">
        <v>22</v>
      </c>
      <c r="J108" s="8" t="s">
        <v>225</v>
      </c>
      <c r="K108" s="8" t="s">
        <v>24</v>
      </c>
      <c r="L108" s="9">
        <v>0.5</v>
      </c>
      <c r="M108" s="9">
        <v>0.6</v>
      </c>
      <c r="N108" s="9">
        <v>0.6</v>
      </c>
      <c r="O108" s="10">
        <v>45241.0</v>
      </c>
      <c r="P108" s="11">
        <v>1.925</v>
      </c>
      <c r="Q108" s="8" t="s">
        <v>33</v>
      </c>
      <c r="R108" s="12">
        <f t="shared" si="1"/>
        <v>0.555</v>
      </c>
      <c r="S108" s="12">
        <f t="shared" si="4"/>
        <v>1.8185975</v>
      </c>
    </row>
    <row r="109">
      <c r="A109" s="15">
        <f t="shared" si="3"/>
        <v>108</v>
      </c>
      <c r="B109" s="15" t="s">
        <v>19</v>
      </c>
      <c r="C109" s="15">
        <v>60.0</v>
      </c>
      <c r="D109" s="15" t="s">
        <v>5672</v>
      </c>
      <c r="E109" s="15" t="s">
        <v>5564</v>
      </c>
      <c r="F109" s="15" t="s">
        <v>2556</v>
      </c>
      <c r="G109" s="15">
        <v>-1.0</v>
      </c>
      <c r="H109" s="15" t="s">
        <v>66</v>
      </c>
      <c r="I109" s="15" t="s">
        <v>22</v>
      </c>
      <c r="J109" s="15" t="s">
        <v>1165</v>
      </c>
      <c r="K109" s="15" t="s">
        <v>24</v>
      </c>
      <c r="L109" s="16"/>
      <c r="M109" s="16">
        <v>0.1</v>
      </c>
      <c r="N109" s="16">
        <v>0.1</v>
      </c>
      <c r="O109" s="17">
        <v>45241.0</v>
      </c>
      <c r="P109" s="18">
        <v>4.5</v>
      </c>
      <c r="Q109" s="15" t="s">
        <v>25</v>
      </c>
      <c r="R109" s="19">
        <f t="shared" si="1"/>
        <v>-0.1</v>
      </c>
      <c r="S109" s="19">
        <f t="shared" si="4"/>
        <v>1.7185975</v>
      </c>
    </row>
    <row r="110">
      <c r="A110" s="8">
        <f t="shared" si="3"/>
        <v>109</v>
      </c>
      <c r="B110" s="8" t="s">
        <v>19</v>
      </c>
      <c r="C110" s="8">
        <v>30.0</v>
      </c>
      <c r="D110" s="8" t="s">
        <v>5673</v>
      </c>
      <c r="E110" s="8" t="s">
        <v>5564</v>
      </c>
      <c r="F110" s="8" t="s">
        <v>2660</v>
      </c>
      <c r="G110" s="8">
        <v>0.0</v>
      </c>
      <c r="H110" s="8" t="s">
        <v>93</v>
      </c>
      <c r="I110" s="8" t="s">
        <v>22</v>
      </c>
      <c r="J110" s="8" t="s">
        <v>1150</v>
      </c>
      <c r="K110" s="8" t="s">
        <v>39</v>
      </c>
      <c r="L110" s="9">
        <v>0.0</v>
      </c>
      <c r="M110" s="9">
        <v>0.5</v>
      </c>
      <c r="N110" s="9">
        <v>0.5</v>
      </c>
      <c r="O110" s="10">
        <v>45241.0</v>
      </c>
      <c r="P110" s="11">
        <v>2.05</v>
      </c>
      <c r="Q110" s="8" t="s">
        <v>70</v>
      </c>
      <c r="R110" s="12">
        <f t="shared" si="1"/>
        <v>0</v>
      </c>
      <c r="S110" s="12">
        <f t="shared" si="4"/>
        <v>1.7185975</v>
      </c>
    </row>
    <row r="111">
      <c r="A111" s="15">
        <f t="shared" si="3"/>
        <v>110</v>
      </c>
      <c r="B111" s="15" t="s">
        <v>19</v>
      </c>
      <c r="C111" s="15">
        <v>74.0</v>
      </c>
      <c r="D111" s="15" t="s">
        <v>5674</v>
      </c>
      <c r="E111" s="15" t="s">
        <v>5564</v>
      </c>
      <c r="F111" s="15" t="s">
        <v>2556</v>
      </c>
      <c r="G111" s="15">
        <v>-3.0</v>
      </c>
      <c r="H111" s="15" t="s">
        <v>93</v>
      </c>
      <c r="I111" s="15" t="s">
        <v>22</v>
      </c>
      <c r="J111" s="15" t="s">
        <v>225</v>
      </c>
      <c r="K111" s="15" t="s">
        <v>1522</v>
      </c>
      <c r="L111" s="16">
        <v>0.25</v>
      </c>
      <c r="M111" s="16">
        <v>1.0</v>
      </c>
      <c r="N111" s="16">
        <v>1.0</v>
      </c>
      <c r="O111" s="17">
        <v>45241.0</v>
      </c>
      <c r="P111" s="18">
        <v>1.75</v>
      </c>
      <c r="Q111" s="15" t="s">
        <v>25</v>
      </c>
      <c r="R111" s="19">
        <f t="shared" si="1"/>
        <v>-1</v>
      </c>
      <c r="S111" s="19">
        <f t="shared" si="4"/>
        <v>0.7185975</v>
      </c>
    </row>
    <row r="112">
      <c r="A112" s="8">
        <f t="shared" si="3"/>
        <v>111</v>
      </c>
      <c r="B112" s="8" t="s">
        <v>40</v>
      </c>
      <c r="C112" s="8">
        <v>64.0</v>
      </c>
      <c r="D112" s="8" t="s">
        <v>5675</v>
      </c>
      <c r="E112" s="8" t="s">
        <v>5565</v>
      </c>
      <c r="F112" s="8" t="s">
        <v>2660</v>
      </c>
      <c r="G112" s="8">
        <v>-1.0</v>
      </c>
      <c r="H112" s="8" t="s">
        <v>117</v>
      </c>
      <c r="I112" s="8" t="s">
        <v>22</v>
      </c>
      <c r="J112" s="8" t="s">
        <v>892</v>
      </c>
      <c r="K112" s="8" t="s">
        <v>24</v>
      </c>
      <c r="L112" s="9">
        <v>0.0</v>
      </c>
      <c r="M112" s="9">
        <v>0.6</v>
      </c>
      <c r="N112" s="9">
        <v>0.6</v>
      </c>
      <c r="O112" s="10">
        <v>45241.0</v>
      </c>
      <c r="P112" s="11">
        <v>1.8</v>
      </c>
      <c r="Q112" s="8" t="s">
        <v>25</v>
      </c>
      <c r="R112" s="12">
        <f t="shared" si="1"/>
        <v>-0.6</v>
      </c>
      <c r="S112" s="12">
        <f t="shared" si="4"/>
        <v>0.1185975</v>
      </c>
    </row>
    <row r="113">
      <c r="A113" s="15">
        <f t="shared" si="3"/>
        <v>112</v>
      </c>
      <c r="B113" s="15" t="s">
        <v>19</v>
      </c>
      <c r="C113" s="15">
        <v>32.0</v>
      </c>
      <c r="D113" s="15" t="s">
        <v>5676</v>
      </c>
      <c r="E113" s="15" t="s">
        <v>5565</v>
      </c>
      <c r="F113" s="15" t="s">
        <v>2556</v>
      </c>
      <c r="G113" s="15">
        <f>1</f>
        <v>1</v>
      </c>
      <c r="H113" s="15" t="s">
        <v>50</v>
      </c>
      <c r="I113" s="15" t="s">
        <v>22</v>
      </c>
      <c r="J113" s="15" t="s">
        <v>225</v>
      </c>
      <c r="K113" s="15" t="s">
        <v>24</v>
      </c>
      <c r="L113" s="16">
        <v>0.5</v>
      </c>
      <c r="M113" s="16">
        <v>1.0</v>
      </c>
      <c r="N113" s="16">
        <v>1.0</v>
      </c>
      <c r="O113" s="17">
        <v>45241.0</v>
      </c>
      <c r="P113" s="18">
        <v>1.725</v>
      </c>
      <c r="Q113" s="15" t="s">
        <v>25</v>
      </c>
      <c r="R113" s="19">
        <f t="shared" si="1"/>
        <v>-1</v>
      </c>
      <c r="S113" s="19">
        <f t="shared" si="4"/>
        <v>-0.8814025</v>
      </c>
    </row>
    <row r="114">
      <c r="A114" s="8">
        <f t="shared" si="3"/>
        <v>113</v>
      </c>
      <c r="B114" s="8" t="s">
        <v>40</v>
      </c>
      <c r="C114" s="8">
        <v>51.0</v>
      </c>
      <c r="D114" s="8" t="s">
        <v>5677</v>
      </c>
      <c r="E114" s="8" t="s">
        <v>5564</v>
      </c>
      <c r="F114" s="8" t="s">
        <v>2660</v>
      </c>
      <c r="G114" s="8">
        <v>3</v>
      </c>
      <c r="H114" s="8" t="s">
        <v>341</v>
      </c>
      <c r="I114" s="8" t="s">
        <v>22</v>
      </c>
      <c r="J114" s="8" t="s">
        <v>892</v>
      </c>
      <c r="K114" s="8" t="s">
        <v>24</v>
      </c>
      <c r="L114" s="9">
        <v>0.0</v>
      </c>
      <c r="M114" s="9">
        <v>0.8</v>
      </c>
      <c r="N114" s="9">
        <v>0.51</v>
      </c>
      <c r="O114" s="10">
        <v>45241.0</v>
      </c>
      <c r="P114" s="11">
        <v>1.875</v>
      </c>
      <c r="Q114" s="8" t="s">
        <v>33</v>
      </c>
      <c r="R114" s="12">
        <f t="shared" si="1"/>
        <v>0.44625</v>
      </c>
      <c r="S114" s="12">
        <f t="shared" si="4"/>
        <v>-0.4351525</v>
      </c>
    </row>
    <row r="115">
      <c r="A115" s="15">
        <f t="shared" si="3"/>
        <v>114</v>
      </c>
      <c r="B115" s="15" t="s">
        <v>19</v>
      </c>
      <c r="C115" s="15">
        <v>68.0</v>
      </c>
      <c r="D115" s="15" t="s">
        <v>5678</v>
      </c>
      <c r="E115" s="15" t="s">
        <v>5565</v>
      </c>
      <c r="F115" s="15" t="s">
        <v>2660</v>
      </c>
      <c r="G115" s="15">
        <v>-1.0</v>
      </c>
      <c r="H115" s="15" t="s">
        <v>68</v>
      </c>
      <c r="I115" s="15" t="s">
        <v>22</v>
      </c>
      <c r="J115" s="15" t="s">
        <v>892</v>
      </c>
      <c r="K115" s="15" t="s">
        <v>24</v>
      </c>
      <c r="L115" s="16">
        <v>0.0</v>
      </c>
      <c r="M115" s="16">
        <v>1.0</v>
      </c>
      <c r="N115" s="16">
        <v>1.0</v>
      </c>
      <c r="O115" s="17">
        <v>45241.0</v>
      </c>
      <c r="P115" s="18">
        <v>1.95</v>
      </c>
      <c r="Q115" s="15" t="s">
        <v>33</v>
      </c>
      <c r="R115" s="19">
        <f t="shared" si="1"/>
        <v>0.95</v>
      </c>
      <c r="S115" s="19">
        <f t="shared" si="4"/>
        <v>0.5148475</v>
      </c>
    </row>
    <row r="116">
      <c r="A116" s="8">
        <f t="shared" si="3"/>
        <v>115</v>
      </c>
      <c r="B116" s="8" t="s">
        <v>19</v>
      </c>
      <c r="C116" s="8">
        <v>0.0</v>
      </c>
      <c r="D116" s="8" t="s">
        <v>5679</v>
      </c>
      <c r="E116" s="8"/>
      <c r="F116" s="8"/>
      <c r="G116" s="8"/>
      <c r="H116" s="8" t="s">
        <v>82</v>
      </c>
      <c r="I116" s="8" t="s">
        <v>598</v>
      </c>
      <c r="J116" s="8" t="s">
        <v>23</v>
      </c>
      <c r="K116" s="8" t="s">
        <v>1522</v>
      </c>
      <c r="L116" s="9">
        <v>-11.0</v>
      </c>
      <c r="M116" s="9">
        <v>0.5</v>
      </c>
      <c r="N116" s="9">
        <v>0.5</v>
      </c>
      <c r="O116" s="10">
        <v>45241.0</v>
      </c>
      <c r="P116" s="11">
        <v>1.9</v>
      </c>
      <c r="Q116" s="8" t="s">
        <v>33</v>
      </c>
      <c r="R116" s="12">
        <f t="shared" si="1"/>
        <v>0.45</v>
      </c>
      <c r="S116" s="12">
        <f t="shared" si="4"/>
        <v>0.9648475</v>
      </c>
    </row>
    <row r="117">
      <c r="A117" s="15">
        <f t="shared" si="3"/>
        <v>116</v>
      </c>
      <c r="B117" s="15" t="s">
        <v>19</v>
      </c>
      <c r="C117" s="15"/>
      <c r="D117" s="15" t="s">
        <v>5680</v>
      </c>
      <c r="E117" s="15" t="s">
        <v>5565</v>
      </c>
      <c r="F117" s="15" t="s">
        <v>2660</v>
      </c>
      <c r="G117" s="15">
        <v>-1.0</v>
      </c>
      <c r="H117" s="15" t="s">
        <v>583</v>
      </c>
      <c r="I117" s="15" t="s">
        <v>22</v>
      </c>
      <c r="J117" s="15" t="s">
        <v>1150</v>
      </c>
      <c r="K117" s="15" t="s">
        <v>24</v>
      </c>
      <c r="L117" s="16">
        <v>0.0</v>
      </c>
      <c r="M117" s="16">
        <v>0.6</v>
      </c>
      <c r="N117" s="16">
        <v>0.6</v>
      </c>
      <c r="O117" s="17">
        <v>45242.0</v>
      </c>
      <c r="P117" s="18">
        <v>2.0</v>
      </c>
      <c r="Q117" s="15" t="s">
        <v>70</v>
      </c>
      <c r="R117" s="19">
        <f t="shared" si="1"/>
        <v>0</v>
      </c>
      <c r="S117" s="19">
        <f t="shared" si="4"/>
        <v>0.9648475</v>
      </c>
    </row>
    <row r="118">
      <c r="A118" s="8">
        <f t="shared" si="3"/>
        <v>117</v>
      </c>
      <c r="B118" s="8" t="s">
        <v>19</v>
      </c>
      <c r="C118" s="8">
        <v>17.0</v>
      </c>
      <c r="D118" s="8" t="s">
        <v>5681</v>
      </c>
      <c r="E118" s="8" t="s">
        <v>5564</v>
      </c>
      <c r="F118" s="8" t="s">
        <v>2556</v>
      </c>
      <c r="G118" s="8">
        <v>0.0</v>
      </c>
      <c r="H118" s="8" t="s">
        <v>920</v>
      </c>
      <c r="I118" s="8" t="s">
        <v>22</v>
      </c>
      <c r="J118" s="8" t="s">
        <v>225</v>
      </c>
      <c r="K118" s="8" t="s">
        <v>1851</v>
      </c>
      <c r="L118" s="9">
        <v>0.5</v>
      </c>
      <c r="M118" s="9">
        <v>0.5</v>
      </c>
      <c r="N118" s="9">
        <f>0.37*0.5</f>
        <v>0.185</v>
      </c>
      <c r="O118" s="10">
        <v>45242.0</v>
      </c>
      <c r="P118" s="11">
        <v>1.8</v>
      </c>
      <c r="Q118" s="8" t="s">
        <v>25</v>
      </c>
      <c r="R118" s="12">
        <f t="shared" si="1"/>
        <v>-0.185</v>
      </c>
      <c r="S118" s="12">
        <f t="shared" si="4"/>
        <v>0.7798475</v>
      </c>
    </row>
    <row r="119">
      <c r="A119" s="15">
        <f t="shared" si="3"/>
        <v>118</v>
      </c>
      <c r="B119" s="15" t="s">
        <v>19</v>
      </c>
      <c r="C119" s="15">
        <v>66.0</v>
      </c>
      <c r="D119" s="15" t="s">
        <v>5682</v>
      </c>
      <c r="E119" s="15" t="s">
        <v>5565</v>
      </c>
      <c r="F119" s="15" t="s">
        <v>2660</v>
      </c>
      <c r="G119" s="15">
        <v>0.0</v>
      </c>
      <c r="H119" s="15" t="s">
        <v>101</v>
      </c>
      <c r="I119" s="15" t="s">
        <v>22</v>
      </c>
      <c r="J119" s="15" t="s">
        <v>892</v>
      </c>
      <c r="K119" s="15" t="s">
        <v>24</v>
      </c>
      <c r="L119" s="16">
        <v>0.0</v>
      </c>
      <c r="M119" s="16">
        <v>0.4</v>
      </c>
      <c r="N119" s="16">
        <v>0.4</v>
      </c>
      <c r="O119" s="17">
        <v>45242.0</v>
      </c>
      <c r="P119" s="18">
        <v>1.725</v>
      </c>
      <c r="Q119" s="15" t="s">
        <v>25</v>
      </c>
      <c r="R119" s="19">
        <f t="shared" si="1"/>
        <v>-0.4</v>
      </c>
      <c r="S119" s="19">
        <f t="shared" si="4"/>
        <v>0.3798475</v>
      </c>
    </row>
    <row r="120">
      <c r="A120" s="8">
        <f t="shared" si="3"/>
        <v>119</v>
      </c>
      <c r="B120" s="8" t="s">
        <v>40</v>
      </c>
      <c r="C120" s="8">
        <v>38.0</v>
      </c>
      <c r="D120" s="8" t="s">
        <v>5683</v>
      </c>
      <c r="E120" s="8" t="s">
        <v>5564</v>
      </c>
      <c r="F120" s="8" t="s">
        <v>2556</v>
      </c>
      <c r="G120" s="8">
        <f>1</f>
        <v>1</v>
      </c>
      <c r="H120" s="8" t="s">
        <v>873</v>
      </c>
      <c r="I120" s="8" t="s">
        <v>22</v>
      </c>
      <c r="J120" s="8" t="s">
        <v>225</v>
      </c>
      <c r="K120" s="8" t="s">
        <v>24</v>
      </c>
      <c r="L120" s="9">
        <v>0.5</v>
      </c>
      <c r="M120" s="9">
        <v>0.2</v>
      </c>
      <c r="N120" s="9">
        <v>0.2</v>
      </c>
      <c r="O120" s="10">
        <v>45242.0</v>
      </c>
      <c r="P120" s="11">
        <v>1.95</v>
      </c>
      <c r="Q120" s="8" t="s">
        <v>25</v>
      </c>
      <c r="R120" s="12">
        <f t="shared" si="1"/>
        <v>-0.2</v>
      </c>
      <c r="S120" s="12">
        <f t="shared" si="4"/>
        <v>0.1798475</v>
      </c>
    </row>
    <row r="121">
      <c r="A121" s="15">
        <f t="shared" si="3"/>
        <v>120</v>
      </c>
      <c r="B121" s="15" t="s">
        <v>19</v>
      </c>
      <c r="C121" s="15">
        <v>69.0</v>
      </c>
      <c r="D121" s="15" t="s">
        <v>5684</v>
      </c>
      <c r="E121" s="15" t="s">
        <v>5565</v>
      </c>
      <c r="F121" s="15" t="s">
        <v>2556</v>
      </c>
      <c r="G121" s="15">
        <v>0.0</v>
      </c>
      <c r="H121" s="15" t="s">
        <v>583</v>
      </c>
      <c r="I121" s="15" t="s">
        <v>22</v>
      </c>
      <c r="J121" s="15" t="s">
        <v>225</v>
      </c>
      <c r="K121" s="15" t="s">
        <v>24</v>
      </c>
      <c r="L121" s="16">
        <v>0.5</v>
      </c>
      <c r="M121" s="16">
        <v>0.9</v>
      </c>
      <c r="N121" s="16">
        <v>0.9</v>
      </c>
      <c r="O121" s="17">
        <v>45242.0</v>
      </c>
      <c r="P121" s="18">
        <v>1.85</v>
      </c>
      <c r="Q121" s="15" t="s">
        <v>33</v>
      </c>
      <c r="R121" s="19">
        <f t="shared" si="1"/>
        <v>0.765</v>
      </c>
      <c r="S121" s="19">
        <f t="shared" si="4"/>
        <v>0.9448475</v>
      </c>
    </row>
    <row r="122">
      <c r="A122" s="8">
        <f t="shared" si="3"/>
        <v>121</v>
      </c>
      <c r="B122" s="8" t="s">
        <v>19</v>
      </c>
      <c r="C122" s="8">
        <v>70.0</v>
      </c>
      <c r="D122" s="8" t="s">
        <v>5685</v>
      </c>
      <c r="E122" s="8" t="s">
        <v>5565</v>
      </c>
      <c r="F122" s="8" t="s">
        <v>2556</v>
      </c>
      <c r="G122" s="8">
        <v>0.0</v>
      </c>
      <c r="H122" s="8" t="s">
        <v>583</v>
      </c>
      <c r="I122" s="8" t="s">
        <v>22</v>
      </c>
      <c r="J122" s="8" t="s">
        <v>1847</v>
      </c>
      <c r="K122" s="8" t="s">
        <v>24</v>
      </c>
      <c r="L122" s="9">
        <v>-0.5</v>
      </c>
      <c r="M122" s="9">
        <v>0.1</v>
      </c>
      <c r="N122" s="9">
        <v>0.1</v>
      </c>
      <c r="O122" s="10">
        <v>45242.0</v>
      </c>
      <c r="P122" s="11">
        <v>7.5</v>
      </c>
      <c r="Q122" s="8" t="s">
        <v>25</v>
      </c>
      <c r="R122" s="12">
        <f t="shared" si="1"/>
        <v>-0.1</v>
      </c>
      <c r="S122" s="12">
        <f t="shared" si="4"/>
        <v>0.8448475</v>
      </c>
    </row>
    <row r="123">
      <c r="A123" s="15">
        <f t="shared" si="3"/>
        <v>122</v>
      </c>
      <c r="B123" s="15" t="s">
        <v>40</v>
      </c>
      <c r="C123" s="15">
        <v>70.0</v>
      </c>
      <c r="D123" s="15" t="s">
        <v>5686</v>
      </c>
      <c r="E123" s="15" t="s">
        <v>5565</v>
      </c>
      <c r="F123" s="15" t="s">
        <v>2660</v>
      </c>
      <c r="G123" s="15">
        <v>-1.0</v>
      </c>
      <c r="H123" s="15" t="s">
        <v>50</v>
      </c>
      <c r="I123" s="15" t="s">
        <v>22</v>
      </c>
      <c r="J123" s="15" t="s">
        <v>892</v>
      </c>
      <c r="K123" s="15" t="s">
        <v>24</v>
      </c>
      <c r="L123" s="16">
        <v>0.0</v>
      </c>
      <c r="M123" s="16">
        <v>1.0</v>
      </c>
      <c r="N123" s="16">
        <v>1.0</v>
      </c>
      <c r="O123" s="55">
        <v>45242.0</v>
      </c>
      <c r="P123" s="18">
        <v>1.75</v>
      </c>
      <c r="Q123" s="15" t="s">
        <v>25</v>
      </c>
      <c r="R123" s="19">
        <f t="shared" si="1"/>
        <v>-1</v>
      </c>
      <c r="S123" s="19">
        <f t="shared" si="4"/>
        <v>-0.1551525</v>
      </c>
    </row>
    <row r="124">
      <c r="A124" s="8">
        <f t="shared" si="3"/>
        <v>123</v>
      </c>
      <c r="B124" s="8" t="s">
        <v>19</v>
      </c>
      <c r="C124" s="8">
        <v>43.0</v>
      </c>
      <c r="D124" s="8" t="s">
        <v>5687</v>
      </c>
      <c r="E124" s="8" t="s">
        <v>5564</v>
      </c>
      <c r="F124" s="8" t="s">
        <v>2556</v>
      </c>
      <c r="G124" s="8">
        <v>0.0</v>
      </c>
      <c r="H124" s="8" t="s">
        <v>93</v>
      </c>
      <c r="I124" s="8" t="s">
        <v>22</v>
      </c>
      <c r="J124" s="8" t="s">
        <v>225</v>
      </c>
      <c r="K124" s="8" t="s">
        <v>1522</v>
      </c>
      <c r="L124" s="9">
        <v>0.75</v>
      </c>
      <c r="M124" s="9">
        <v>0.4</v>
      </c>
      <c r="N124" s="9">
        <v>0.4</v>
      </c>
      <c r="O124" s="10">
        <v>45242.0</v>
      </c>
      <c r="P124" s="11">
        <v>1.775</v>
      </c>
      <c r="Q124" s="8" t="s">
        <v>33</v>
      </c>
      <c r="R124" s="12">
        <f t="shared" si="1"/>
        <v>0.31</v>
      </c>
      <c r="S124" s="12">
        <f t="shared" si="4"/>
        <v>0.1548475</v>
      </c>
    </row>
    <row r="125">
      <c r="A125" s="15">
        <f t="shared" si="3"/>
        <v>124</v>
      </c>
      <c r="B125" s="15" t="s">
        <v>19</v>
      </c>
      <c r="C125" s="15">
        <v>69.0</v>
      </c>
      <c r="D125" s="15" t="s">
        <v>5688</v>
      </c>
      <c r="E125" s="15" t="s">
        <v>5564</v>
      </c>
      <c r="F125" s="15" t="s">
        <v>2556</v>
      </c>
      <c r="G125" s="15">
        <f>1</f>
        <v>1</v>
      </c>
      <c r="H125" s="15" t="s">
        <v>873</v>
      </c>
      <c r="I125" s="15" t="s">
        <v>22</v>
      </c>
      <c r="J125" s="15" t="s">
        <v>1165</v>
      </c>
      <c r="K125" s="15" t="s">
        <v>24</v>
      </c>
      <c r="L125" s="16"/>
      <c r="M125" s="16">
        <v>0.15</v>
      </c>
      <c r="N125" s="16">
        <v>0.15</v>
      </c>
      <c r="O125" s="17">
        <v>45242.0</v>
      </c>
      <c r="P125" s="18">
        <v>4.33</v>
      </c>
      <c r="Q125" s="15" t="s">
        <v>25</v>
      </c>
      <c r="R125" s="19">
        <f t="shared" si="1"/>
        <v>-0.15</v>
      </c>
      <c r="S125" s="19">
        <f t="shared" si="4"/>
        <v>0.0048475</v>
      </c>
    </row>
    <row r="126">
      <c r="A126" s="8">
        <f t="shared" si="3"/>
        <v>125</v>
      </c>
      <c r="B126" s="8" t="s">
        <v>19</v>
      </c>
      <c r="C126" s="8">
        <v>36.0</v>
      </c>
      <c r="D126" s="8" t="s">
        <v>5689</v>
      </c>
      <c r="E126" s="8" t="s">
        <v>5565</v>
      </c>
      <c r="F126" s="8" t="s">
        <v>2660</v>
      </c>
      <c r="G126" s="8">
        <v>0.0</v>
      </c>
      <c r="H126" s="8" t="s">
        <v>93</v>
      </c>
      <c r="I126" s="8" t="s">
        <v>22</v>
      </c>
      <c r="J126" s="8" t="s">
        <v>1150</v>
      </c>
      <c r="K126" s="8" t="s">
        <v>1522</v>
      </c>
      <c r="L126" s="9">
        <v>0.0</v>
      </c>
      <c r="M126" s="9">
        <v>1.0</v>
      </c>
      <c r="N126" s="9">
        <v>1.0</v>
      </c>
      <c r="O126" s="54">
        <v>45242.0</v>
      </c>
      <c r="P126" s="11">
        <v>1.75</v>
      </c>
      <c r="Q126" s="8" t="s">
        <v>70</v>
      </c>
      <c r="R126" s="12">
        <f t="shared" si="1"/>
        <v>0</v>
      </c>
      <c r="S126" s="12">
        <f t="shared" si="4"/>
        <v>0.0048475</v>
      </c>
    </row>
    <row r="127">
      <c r="A127" s="15">
        <f t="shared" si="3"/>
        <v>126</v>
      </c>
      <c r="B127" s="15" t="s">
        <v>19</v>
      </c>
      <c r="C127" s="15">
        <v>47.0</v>
      </c>
      <c r="D127" s="15" t="s">
        <v>3794</v>
      </c>
      <c r="E127" s="15" t="s">
        <v>5564</v>
      </c>
      <c r="F127" s="15" t="s">
        <v>2556</v>
      </c>
      <c r="G127" s="15">
        <v>0.0</v>
      </c>
      <c r="H127" s="15" t="s">
        <v>863</v>
      </c>
      <c r="I127" s="15" t="s">
        <v>22</v>
      </c>
      <c r="J127" s="15" t="s">
        <v>1165</v>
      </c>
      <c r="K127" s="15" t="s">
        <v>24</v>
      </c>
      <c r="L127" s="16"/>
      <c r="M127" s="16">
        <v>0.1</v>
      </c>
      <c r="N127" s="16">
        <v>0.1</v>
      </c>
      <c r="O127" s="17">
        <v>45242.0</v>
      </c>
      <c r="P127" s="18">
        <v>15.0</v>
      </c>
      <c r="Q127" s="15" t="s">
        <v>25</v>
      </c>
      <c r="R127" s="19">
        <f t="shared" si="1"/>
        <v>-0.1</v>
      </c>
      <c r="S127" s="19">
        <f t="shared" si="4"/>
        <v>-0.0951525</v>
      </c>
    </row>
    <row r="128">
      <c r="A128" s="8">
        <f t="shared" si="3"/>
        <v>127</v>
      </c>
      <c r="B128" s="8" t="s">
        <v>19</v>
      </c>
      <c r="C128" s="8">
        <v>32.0</v>
      </c>
      <c r="D128" s="8" t="s">
        <v>3795</v>
      </c>
      <c r="E128" s="8" t="s">
        <v>5565</v>
      </c>
      <c r="F128" s="8" t="s">
        <v>2556</v>
      </c>
      <c r="G128" s="8">
        <v>0.0</v>
      </c>
      <c r="H128" s="8" t="s">
        <v>397</v>
      </c>
      <c r="I128" s="8" t="s">
        <v>22</v>
      </c>
      <c r="J128" s="8" t="s">
        <v>225</v>
      </c>
      <c r="K128" s="8" t="s">
        <v>24</v>
      </c>
      <c r="L128" s="9">
        <v>0.5</v>
      </c>
      <c r="M128" s="9">
        <v>1.0</v>
      </c>
      <c r="N128" s="9">
        <v>1.0</v>
      </c>
      <c r="O128" s="10">
        <v>45242.0</v>
      </c>
      <c r="P128" s="11">
        <v>2.0</v>
      </c>
      <c r="Q128" s="8" t="s">
        <v>33</v>
      </c>
      <c r="R128" s="12">
        <f t="shared" si="1"/>
        <v>1</v>
      </c>
      <c r="S128" s="12">
        <f t="shared" si="4"/>
        <v>0.9048475</v>
      </c>
    </row>
    <row r="129">
      <c r="A129" s="15">
        <f t="shared" si="3"/>
        <v>128</v>
      </c>
      <c r="B129" s="15" t="s">
        <v>19</v>
      </c>
      <c r="C129" s="15">
        <v>24.0</v>
      </c>
      <c r="D129" s="15" t="s">
        <v>3796</v>
      </c>
      <c r="E129" s="15" t="s">
        <v>5564</v>
      </c>
      <c r="F129" s="15" t="s">
        <v>2556</v>
      </c>
      <c r="G129" s="15">
        <v>0.0</v>
      </c>
      <c r="H129" s="15" t="s">
        <v>48</v>
      </c>
      <c r="I129" s="15" t="s">
        <v>22</v>
      </c>
      <c r="J129" s="15" t="s">
        <v>225</v>
      </c>
      <c r="K129" s="15" t="s">
        <v>24</v>
      </c>
      <c r="L129" s="16">
        <v>0.25</v>
      </c>
      <c r="M129" s="16">
        <v>1.0</v>
      </c>
      <c r="N129" s="16">
        <v>1.0</v>
      </c>
      <c r="O129" s="17">
        <v>45242.0</v>
      </c>
      <c r="P129" s="18">
        <v>1.8</v>
      </c>
      <c r="Q129" s="15" t="s">
        <v>33</v>
      </c>
      <c r="R129" s="19">
        <f t="shared" si="1"/>
        <v>0.8</v>
      </c>
      <c r="S129" s="19">
        <f t="shared" si="4"/>
        <v>1.7048475</v>
      </c>
    </row>
    <row r="130">
      <c r="A130" s="8">
        <f t="shared" si="3"/>
        <v>129</v>
      </c>
      <c r="B130" s="8" t="s">
        <v>19</v>
      </c>
      <c r="C130" s="8">
        <v>33.0</v>
      </c>
      <c r="D130" s="8" t="s">
        <v>3797</v>
      </c>
      <c r="E130" s="8" t="s">
        <v>5565</v>
      </c>
      <c r="F130" s="8" t="s">
        <v>2556</v>
      </c>
      <c r="G130" s="8">
        <v>-1.0</v>
      </c>
      <c r="H130" s="8" t="s">
        <v>48</v>
      </c>
      <c r="I130" s="8" t="s">
        <v>22</v>
      </c>
      <c r="J130" s="8" t="s">
        <v>225</v>
      </c>
      <c r="K130" s="8" t="s">
        <v>24</v>
      </c>
      <c r="L130" s="9">
        <v>0.25</v>
      </c>
      <c r="M130" s="9">
        <v>1.0</v>
      </c>
      <c r="N130" s="9">
        <v>1.0</v>
      </c>
      <c r="O130" s="10">
        <v>45242.0</v>
      </c>
      <c r="P130" s="11">
        <v>1.975</v>
      </c>
      <c r="Q130" s="8" t="s">
        <v>33</v>
      </c>
      <c r="R130" s="12">
        <f t="shared" si="1"/>
        <v>0.975</v>
      </c>
      <c r="S130" s="12">
        <f t="shared" si="4"/>
        <v>2.6798475</v>
      </c>
    </row>
    <row r="131">
      <c r="A131" s="15">
        <f t="shared" si="3"/>
        <v>130</v>
      </c>
      <c r="B131" s="15" t="s">
        <v>19</v>
      </c>
      <c r="C131" s="15">
        <v>19.0</v>
      </c>
      <c r="D131" s="15" t="s">
        <v>3798</v>
      </c>
      <c r="E131" s="15" t="s">
        <v>5565</v>
      </c>
      <c r="F131" s="15" t="s">
        <v>2660</v>
      </c>
      <c r="G131" s="15">
        <v>0.0</v>
      </c>
      <c r="H131" s="15" t="s">
        <v>60</v>
      </c>
      <c r="I131" s="15" t="s">
        <v>22</v>
      </c>
      <c r="J131" s="15" t="s">
        <v>1150</v>
      </c>
      <c r="K131" s="15" t="s">
        <v>1522</v>
      </c>
      <c r="L131" s="16">
        <v>0.0</v>
      </c>
      <c r="M131" s="16">
        <v>1.0</v>
      </c>
      <c r="N131" s="16">
        <v>1.0</v>
      </c>
      <c r="O131" s="17">
        <v>45242.0</v>
      </c>
      <c r="P131" s="18">
        <v>1.825</v>
      </c>
      <c r="Q131" s="15" t="s">
        <v>33</v>
      </c>
      <c r="R131" s="19">
        <f t="shared" si="1"/>
        <v>0.825</v>
      </c>
      <c r="S131" s="19">
        <f t="shared" si="4"/>
        <v>3.5048475</v>
      </c>
    </row>
    <row r="132">
      <c r="A132" s="8">
        <f t="shared" si="3"/>
        <v>131</v>
      </c>
      <c r="B132" s="8" t="s">
        <v>19</v>
      </c>
      <c r="C132" s="8">
        <v>43.0</v>
      </c>
      <c r="D132" s="8" t="s">
        <v>3799</v>
      </c>
      <c r="E132" s="8" t="s">
        <v>5565</v>
      </c>
      <c r="F132" s="8" t="s">
        <v>2556</v>
      </c>
      <c r="G132" s="8">
        <v>0.0</v>
      </c>
      <c r="H132" s="8" t="s">
        <v>463</v>
      </c>
      <c r="I132" s="8" t="s">
        <v>22</v>
      </c>
      <c r="J132" s="8" t="s">
        <v>225</v>
      </c>
      <c r="K132" s="8" t="s">
        <v>1851</v>
      </c>
      <c r="L132" s="9">
        <v>0.5</v>
      </c>
      <c r="M132" s="9">
        <v>0.5</v>
      </c>
      <c r="N132" s="9">
        <v>0.5</v>
      </c>
      <c r="O132" s="10">
        <v>45242.0</v>
      </c>
      <c r="P132" s="11">
        <v>1.825</v>
      </c>
      <c r="Q132" s="8" t="s">
        <v>33</v>
      </c>
      <c r="R132" s="12">
        <f t="shared" si="1"/>
        <v>0.4125</v>
      </c>
      <c r="S132" s="12">
        <f t="shared" si="4"/>
        <v>3.9173475</v>
      </c>
    </row>
    <row r="133">
      <c r="A133" s="15">
        <f t="shared" si="3"/>
        <v>132</v>
      </c>
      <c r="B133" s="15" t="s">
        <v>40</v>
      </c>
      <c r="C133" s="15">
        <v>74.0</v>
      </c>
      <c r="D133" s="15" t="s">
        <v>3800</v>
      </c>
      <c r="E133" s="15" t="s">
        <v>5564</v>
      </c>
      <c r="F133" s="15" t="s">
        <v>2556</v>
      </c>
      <c r="G133" s="15">
        <f>1</f>
        <v>1</v>
      </c>
      <c r="H133" s="15" t="s">
        <v>38</v>
      </c>
      <c r="I133" s="15" t="s">
        <v>22</v>
      </c>
      <c r="J133" s="15" t="s">
        <v>225</v>
      </c>
      <c r="K133" s="15" t="s">
        <v>24</v>
      </c>
      <c r="L133" s="16">
        <v>0.5</v>
      </c>
      <c r="M133" s="16">
        <v>0.8</v>
      </c>
      <c r="N133" s="16">
        <v>0.8</v>
      </c>
      <c r="O133" s="17">
        <v>45242.0</v>
      </c>
      <c r="P133" s="18">
        <v>1.75</v>
      </c>
      <c r="Q133" s="15" t="s">
        <v>33</v>
      </c>
      <c r="R133" s="19">
        <f t="shared" si="1"/>
        <v>0.6</v>
      </c>
      <c r="S133" s="19">
        <f t="shared" si="4"/>
        <v>4.5173475</v>
      </c>
    </row>
    <row r="134">
      <c r="A134" s="8">
        <f t="shared" si="3"/>
        <v>133</v>
      </c>
      <c r="B134" s="8" t="s">
        <v>19</v>
      </c>
      <c r="C134" s="8">
        <v>71.0</v>
      </c>
      <c r="D134" s="8" t="s">
        <v>3801</v>
      </c>
      <c r="E134" s="8" t="s">
        <v>5564</v>
      </c>
      <c r="F134" s="8" t="s">
        <v>2556</v>
      </c>
      <c r="G134" s="8">
        <v>0.0</v>
      </c>
      <c r="H134" s="8" t="s">
        <v>463</v>
      </c>
      <c r="I134" s="8" t="s">
        <v>22</v>
      </c>
      <c r="J134" s="8" t="s">
        <v>1847</v>
      </c>
      <c r="K134" s="8" t="s">
        <v>39</v>
      </c>
      <c r="L134" s="9">
        <v>-0.5</v>
      </c>
      <c r="M134" s="9">
        <v>0.3</v>
      </c>
      <c r="N134" s="9">
        <v>0.3</v>
      </c>
      <c r="O134" s="10">
        <v>45242.0</v>
      </c>
      <c r="P134" s="11">
        <v>2.875</v>
      </c>
      <c r="Q134" s="8" t="s">
        <v>25</v>
      </c>
      <c r="R134" s="12">
        <f t="shared" si="1"/>
        <v>-0.3</v>
      </c>
      <c r="S134" s="12">
        <f t="shared" si="4"/>
        <v>4.2173475</v>
      </c>
    </row>
    <row r="135">
      <c r="A135" s="15">
        <f t="shared" si="3"/>
        <v>134</v>
      </c>
      <c r="B135" s="15" t="s">
        <v>19</v>
      </c>
      <c r="C135" s="15">
        <v>66.0</v>
      </c>
      <c r="D135" s="15" t="s">
        <v>3802</v>
      </c>
      <c r="E135" s="15" t="s">
        <v>5565</v>
      </c>
      <c r="F135" s="15" t="s">
        <v>2556</v>
      </c>
      <c r="G135" s="15">
        <v>0.0</v>
      </c>
      <c r="H135" s="15" t="s">
        <v>2873</v>
      </c>
      <c r="I135" s="15" t="s">
        <v>22</v>
      </c>
      <c r="J135" s="15" t="s">
        <v>225</v>
      </c>
      <c r="K135" s="15" t="s">
        <v>24</v>
      </c>
      <c r="L135" s="16">
        <v>2.25</v>
      </c>
      <c r="M135" s="16">
        <v>0.25</v>
      </c>
      <c r="N135" s="16">
        <f>0.643*0.25</f>
        <v>0.16075</v>
      </c>
      <c r="O135" s="17">
        <v>45245.0</v>
      </c>
      <c r="P135" s="18">
        <v>1.8</v>
      </c>
      <c r="Q135" s="15" t="s">
        <v>33</v>
      </c>
      <c r="R135" s="19">
        <f t="shared" si="1"/>
        <v>0.1286</v>
      </c>
      <c r="S135" s="19">
        <f t="shared" si="4"/>
        <v>4.3459475</v>
      </c>
    </row>
    <row r="136">
      <c r="A136" s="8">
        <f t="shared" si="3"/>
        <v>135</v>
      </c>
      <c r="B136" s="8" t="s">
        <v>19</v>
      </c>
      <c r="C136" s="8">
        <v>66.0</v>
      </c>
      <c r="D136" s="8" t="s">
        <v>3803</v>
      </c>
      <c r="E136" s="8" t="s">
        <v>5565</v>
      </c>
      <c r="F136" s="8" t="s">
        <v>2556</v>
      </c>
      <c r="G136" s="8">
        <v>0.0</v>
      </c>
      <c r="H136" s="8" t="s">
        <v>2873</v>
      </c>
      <c r="I136" s="8" t="s">
        <v>22</v>
      </c>
      <c r="J136" s="8" t="s">
        <v>225</v>
      </c>
      <c r="K136" s="8" t="s">
        <v>24</v>
      </c>
      <c r="L136" s="9">
        <v>2.0</v>
      </c>
      <c r="M136" s="9">
        <v>0.25</v>
      </c>
      <c r="N136" s="9">
        <f>0.5*0.25</f>
        <v>0.125</v>
      </c>
      <c r="O136" s="10">
        <v>45245.0</v>
      </c>
      <c r="P136" s="11">
        <v>2.0</v>
      </c>
      <c r="Q136" s="8" t="s">
        <v>33</v>
      </c>
      <c r="R136" s="12">
        <f t="shared" si="1"/>
        <v>0.125</v>
      </c>
      <c r="S136" s="12">
        <f t="shared" si="4"/>
        <v>4.4709475</v>
      </c>
    </row>
    <row r="137">
      <c r="A137" s="15">
        <f t="shared" si="3"/>
        <v>136</v>
      </c>
      <c r="B137" s="15" t="s">
        <v>19</v>
      </c>
      <c r="C137" s="15">
        <v>68.0</v>
      </c>
      <c r="D137" s="15" t="s">
        <v>3804</v>
      </c>
      <c r="E137" s="15" t="s">
        <v>5565</v>
      </c>
      <c r="F137" s="15" t="s">
        <v>2556</v>
      </c>
      <c r="G137" s="15">
        <v>0.0</v>
      </c>
      <c r="H137" s="15" t="s">
        <v>2873</v>
      </c>
      <c r="I137" s="15" t="s">
        <v>22</v>
      </c>
      <c r="J137" s="15" t="s">
        <v>1847</v>
      </c>
      <c r="K137" s="15" t="s">
        <v>24</v>
      </c>
      <c r="L137" s="16">
        <v>-0.5</v>
      </c>
      <c r="M137" s="16">
        <v>0.1</v>
      </c>
      <c r="N137" s="16">
        <v>0.0821</v>
      </c>
      <c r="O137" s="55">
        <v>45245.0</v>
      </c>
      <c r="P137" s="18">
        <v>10.0</v>
      </c>
      <c r="Q137" s="15" t="s">
        <v>33</v>
      </c>
      <c r="R137" s="19">
        <f t="shared" si="1"/>
        <v>0.7389</v>
      </c>
      <c r="S137" s="19">
        <f t="shared" si="4"/>
        <v>5.2098475</v>
      </c>
    </row>
    <row r="138">
      <c r="A138" s="8">
        <f t="shared" si="3"/>
        <v>137</v>
      </c>
      <c r="B138" s="8" t="s">
        <v>19</v>
      </c>
      <c r="C138" s="114">
        <v>24.0</v>
      </c>
      <c r="D138" s="8" t="s">
        <v>3805</v>
      </c>
      <c r="E138" s="8" t="s">
        <v>5565</v>
      </c>
      <c r="F138" s="8" t="s">
        <v>2660</v>
      </c>
      <c r="G138" s="8">
        <f>1</f>
        <v>1</v>
      </c>
      <c r="H138" s="8" t="s">
        <v>96</v>
      </c>
      <c r="I138" s="8" t="s">
        <v>22</v>
      </c>
      <c r="J138" s="8" t="s">
        <v>1150</v>
      </c>
      <c r="K138" s="8" t="s">
        <v>24</v>
      </c>
      <c r="L138" s="9">
        <v>0.0</v>
      </c>
      <c r="M138" s="9">
        <v>0.2</v>
      </c>
      <c r="N138" s="9">
        <v>0.2</v>
      </c>
      <c r="O138" s="10">
        <v>45245.0</v>
      </c>
      <c r="P138" s="11">
        <v>1.7</v>
      </c>
      <c r="Q138" s="8" t="s">
        <v>25</v>
      </c>
      <c r="R138" s="12">
        <f t="shared" si="1"/>
        <v>-0.2</v>
      </c>
      <c r="S138" s="12">
        <f t="shared" si="4"/>
        <v>5.0098475</v>
      </c>
    </row>
    <row r="139">
      <c r="A139" s="15">
        <f t="shared" si="3"/>
        <v>138</v>
      </c>
      <c r="B139" s="15" t="s">
        <v>19</v>
      </c>
      <c r="C139" s="15">
        <v>70.0</v>
      </c>
      <c r="D139" s="15" t="s">
        <v>3806</v>
      </c>
      <c r="E139" s="15" t="s">
        <v>5564</v>
      </c>
      <c r="F139" s="15" t="s">
        <v>2556</v>
      </c>
      <c r="G139" s="15">
        <v>0.0</v>
      </c>
      <c r="H139" s="15" t="s">
        <v>2456</v>
      </c>
      <c r="I139" s="15" t="s">
        <v>22</v>
      </c>
      <c r="J139" s="15" t="s">
        <v>941</v>
      </c>
      <c r="K139" s="15" t="s">
        <v>1851</v>
      </c>
      <c r="L139" s="16">
        <v>0.0</v>
      </c>
      <c r="M139" s="16">
        <v>0.25</v>
      </c>
      <c r="N139" s="16">
        <v>0.25</v>
      </c>
      <c r="O139" s="57">
        <v>45245.0</v>
      </c>
      <c r="P139" s="18">
        <v>2.0</v>
      </c>
      <c r="Q139" s="15" t="s">
        <v>70</v>
      </c>
      <c r="R139" s="19">
        <f t="shared" si="1"/>
        <v>0</v>
      </c>
      <c r="S139" s="19">
        <f t="shared" si="4"/>
        <v>5.0098475</v>
      </c>
    </row>
    <row r="140">
      <c r="A140" s="8">
        <f t="shared" si="3"/>
        <v>139</v>
      </c>
      <c r="B140" s="8" t="s">
        <v>19</v>
      </c>
      <c r="C140" s="8">
        <v>75.0</v>
      </c>
      <c r="D140" s="8" t="s">
        <v>3807</v>
      </c>
      <c r="E140" s="8" t="s">
        <v>5565</v>
      </c>
      <c r="F140" s="8" t="s">
        <v>2556</v>
      </c>
      <c r="G140" s="8">
        <v>-3.0</v>
      </c>
      <c r="H140" s="8" t="s">
        <v>683</v>
      </c>
      <c r="I140" s="8" t="s">
        <v>22</v>
      </c>
      <c r="J140" s="8" t="s">
        <v>225</v>
      </c>
      <c r="K140" s="8" t="s">
        <v>24</v>
      </c>
      <c r="L140" s="9">
        <v>0.25</v>
      </c>
      <c r="M140" s="9">
        <v>0.6</v>
      </c>
      <c r="N140" s="9">
        <v>0.6</v>
      </c>
      <c r="O140" s="56">
        <v>45245.0</v>
      </c>
      <c r="P140" s="11">
        <v>1.825</v>
      </c>
      <c r="Q140" s="8" t="s">
        <v>30</v>
      </c>
      <c r="R140" s="12">
        <f t="shared" si="1"/>
        <v>0.2475</v>
      </c>
      <c r="S140" s="12">
        <f t="shared" si="4"/>
        <v>5.2573475</v>
      </c>
    </row>
    <row r="141">
      <c r="A141" s="15">
        <f t="shared" si="3"/>
        <v>140</v>
      </c>
      <c r="B141" s="15" t="s">
        <v>19</v>
      </c>
      <c r="C141" s="15">
        <v>87.0</v>
      </c>
      <c r="D141" s="15" t="s">
        <v>3808</v>
      </c>
      <c r="E141" s="15"/>
      <c r="F141" s="15"/>
      <c r="G141" s="15"/>
      <c r="H141" s="15" t="s">
        <v>794</v>
      </c>
      <c r="I141" s="15" t="s">
        <v>22</v>
      </c>
      <c r="J141" s="15" t="s">
        <v>23</v>
      </c>
      <c r="K141" s="15" t="s">
        <v>24</v>
      </c>
      <c r="L141" s="16">
        <v>-11.5</v>
      </c>
      <c r="M141" s="16">
        <v>0.25</v>
      </c>
      <c r="N141" s="16">
        <v>0.25</v>
      </c>
      <c r="O141" s="17">
        <v>45245.0</v>
      </c>
      <c r="P141" s="18">
        <v>1.65</v>
      </c>
      <c r="Q141" s="15" t="s">
        <v>33</v>
      </c>
      <c r="R141" s="19">
        <f t="shared" si="1"/>
        <v>0.1625</v>
      </c>
      <c r="S141" s="19">
        <f t="shared" si="4"/>
        <v>5.4198475</v>
      </c>
    </row>
    <row r="142">
      <c r="A142" s="8">
        <f t="shared" si="3"/>
        <v>141</v>
      </c>
      <c r="B142" s="8" t="s">
        <v>19</v>
      </c>
      <c r="C142" s="8">
        <v>17.0</v>
      </c>
      <c r="D142" s="8" t="s">
        <v>3809</v>
      </c>
      <c r="E142" s="8" t="s">
        <v>5564</v>
      </c>
      <c r="F142" s="8" t="s">
        <v>2660</v>
      </c>
      <c r="G142" s="8">
        <v>0.0</v>
      </c>
      <c r="H142" s="8" t="s">
        <v>3351</v>
      </c>
      <c r="I142" s="8" t="s">
        <v>22</v>
      </c>
      <c r="J142" s="8" t="s">
        <v>1150</v>
      </c>
      <c r="K142" s="8" t="s">
        <v>24</v>
      </c>
      <c r="L142" s="9">
        <v>0.0</v>
      </c>
      <c r="M142" s="9">
        <v>0.5</v>
      </c>
      <c r="N142" s="9">
        <v>0.5</v>
      </c>
      <c r="O142" s="10">
        <v>45245.0</v>
      </c>
      <c r="P142" s="11">
        <v>1.85</v>
      </c>
      <c r="Q142" s="8" t="s">
        <v>25</v>
      </c>
      <c r="R142" s="12">
        <f t="shared" si="1"/>
        <v>-0.5</v>
      </c>
      <c r="S142" s="12">
        <f t="shared" si="4"/>
        <v>4.9198475</v>
      </c>
    </row>
    <row r="143">
      <c r="A143" s="15">
        <f t="shared" si="3"/>
        <v>142</v>
      </c>
      <c r="B143" s="15" t="s">
        <v>19</v>
      </c>
      <c r="C143" s="15">
        <v>64.0</v>
      </c>
      <c r="D143" s="15" t="s">
        <v>3810</v>
      </c>
      <c r="E143" s="15" t="s">
        <v>5565</v>
      </c>
      <c r="F143" s="15" t="s">
        <v>2660</v>
      </c>
      <c r="G143" s="15">
        <v>0.0</v>
      </c>
      <c r="H143" s="15" t="s">
        <v>448</v>
      </c>
      <c r="I143" s="15" t="s">
        <v>22</v>
      </c>
      <c r="J143" s="15" t="s">
        <v>892</v>
      </c>
      <c r="K143" s="15" t="s">
        <v>24</v>
      </c>
      <c r="L143" s="16">
        <v>0.0</v>
      </c>
      <c r="M143" s="16">
        <v>1.0</v>
      </c>
      <c r="N143" s="16">
        <f>(15/28+17/28+22/28+25/28+25/28)*0.2</f>
        <v>0.7428571429</v>
      </c>
      <c r="O143" s="17">
        <v>45246.0</v>
      </c>
      <c r="P143" s="18">
        <v>1.725</v>
      </c>
      <c r="Q143" s="15" t="s">
        <v>33</v>
      </c>
      <c r="R143" s="19">
        <f t="shared" si="1"/>
        <v>0.5385714286</v>
      </c>
      <c r="S143" s="19">
        <f t="shared" si="4"/>
        <v>5.458418929</v>
      </c>
    </row>
    <row r="144">
      <c r="A144" s="8">
        <f t="shared" si="3"/>
        <v>143</v>
      </c>
      <c r="B144" s="8" t="s">
        <v>19</v>
      </c>
      <c r="C144" s="8">
        <v>22.0</v>
      </c>
      <c r="D144" s="8" t="s">
        <v>3811</v>
      </c>
      <c r="E144" s="8" t="s">
        <v>5564</v>
      </c>
      <c r="F144" s="8" t="s">
        <v>2556</v>
      </c>
      <c r="G144" s="8">
        <v>-1.0</v>
      </c>
      <c r="H144" s="8" t="s">
        <v>1031</v>
      </c>
      <c r="I144" s="8" t="s">
        <v>22</v>
      </c>
      <c r="J144" s="8" t="s">
        <v>225</v>
      </c>
      <c r="K144" s="8" t="s">
        <v>24</v>
      </c>
      <c r="L144" s="9">
        <v>0.25</v>
      </c>
      <c r="M144" s="9">
        <v>1.0</v>
      </c>
      <c r="N144" s="9">
        <f>25/28</f>
        <v>0.8928571429</v>
      </c>
      <c r="O144" s="10">
        <v>45246.0</v>
      </c>
      <c r="P144" s="11">
        <v>1.825</v>
      </c>
      <c r="Q144" s="8" t="s">
        <v>25</v>
      </c>
      <c r="R144" s="12">
        <f t="shared" si="1"/>
        <v>-0.8928571429</v>
      </c>
      <c r="S144" s="12">
        <f t="shared" si="4"/>
        <v>4.565561786</v>
      </c>
    </row>
    <row r="145">
      <c r="A145" s="15">
        <f t="shared" si="3"/>
        <v>144</v>
      </c>
      <c r="B145" s="15" t="s">
        <v>19</v>
      </c>
      <c r="C145" s="15">
        <v>45.0</v>
      </c>
      <c r="D145" s="15" t="s">
        <v>3812</v>
      </c>
      <c r="E145" s="15" t="s">
        <v>5564</v>
      </c>
      <c r="F145" s="15" t="s">
        <v>2660</v>
      </c>
      <c r="G145" s="15">
        <v>-1.0</v>
      </c>
      <c r="H145" s="15" t="s">
        <v>820</v>
      </c>
      <c r="I145" s="15" t="s">
        <v>22</v>
      </c>
      <c r="J145" s="15" t="s">
        <v>892</v>
      </c>
      <c r="K145" s="15" t="s">
        <v>24</v>
      </c>
      <c r="L145" s="16">
        <v>0.0</v>
      </c>
      <c r="M145" s="16">
        <v>0.8</v>
      </c>
      <c r="N145" s="16">
        <v>0.714</v>
      </c>
      <c r="O145" s="17">
        <v>45246.0</v>
      </c>
      <c r="P145" s="18">
        <v>1.9</v>
      </c>
      <c r="Q145" s="15" t="s">
        <v>70</v>
      </c>
      <c r="R145" s="19">
        <f t="shared" si="1"/>
        <v>0</v>
      </c>
      <c r="S145" s="19">
        <f t="shared" si="4"/>
        <v>4.565561786</v>
      </c>
    </row>
    <row r="146">
      <c r="A146" s="8">
        <f t="shared" si="3"/>
        <v>145</v>
      </c>
      <c r="B146" s="8" t="s">
        <v>19</v>
      </c>
      <c r="C146" s="8">
        <v>73.0</v>
      </c>
      <c r="D146" s="8" t="s">
        <v>3813</v>
      </c>
      <c r="E146" s="8" t="s">
        <v>5564</v>
      </c>
      <c r="F146" s="8" t="s">
        <v>2660</v>
      </c>
      <c r="G146" s="8">
        <v>-1.0</v>
      </c>
      <c r="H146" s="8" t="s">
        <v>1031</v>
      </c>
      <c r="I146" s="8" t="s">
        <v>22</v>
      </c>
      <c r="J146" s="8" t="s">
        <v>892</v>
      </c>
      <c r="K146" s="8" t="s">
        <v>24</v>
      </c>
      <c r="L146" s="9">
        <v>0.0</v>
      </c>
      <c r="M146" s="9">
        <v>1.0</v>
      </c>
      <c r="N146" s="9">
        <v>1.0</v>
      </c>
      <c r="O146" s="10">
        <v>45246.0</v>
      </c>
      <c r="P146" s="11">
        <v>1.925</v>
      </c>
      <c r="Q146" s="8" t="s">
        <v>33</v>
      </c>
      <c r="R146" s="12">
        <f t="shared" si="1"/>
        <v>0.925</v>
      </c>
      <c r="S146" s="12">
        <f t="shared" si="4"/>
        <v>5.490561786</v>
      </c>
    </row>
    <row r="147">
      <c r="A147" s="15">
        <f t="shared" si="3"/>
        <v>146</v>
      </c>
      <c r="B147" s="15" t="s">
        <v>40</v>
      </c>
      <c r="C147" s="15">
        <v>87.0</v>
      </c>
      <c r="D147" s="15" t="s">
        <v>3814</v>
      </c>
      <c r="E147" s="15"/>
      <c r="F147" s="15"/>
      <c r="G147" s="15"/>
      <c r="H147" s="15" t="s">
        <v>624</v>
      </c>
      <c r="I147" s="15" t="s">
        <v>22</v>
      </c>
      <c r="J147" s="15" t="s">
        <v>29</v>
      </c>
      <c r="K147" s="15" t="s">
        <v>24</v>
      </c>
      <c r="L147" s="16">
        <v>-8.5</v>
      </c>
      <c r="M147" s="16">
        <v>0.1</v>
      </c>
      <c r="N147" s="16">
        <v>0.1</v>
      </c>
      <c r="O147" s="17">
        <v>45246.0</v>
      </c>
      <c r="P147" s="18">
        <v>1.66</v>
      </c>
      <c r="Q147" s="15" t="s">
        <v>33</v>
      </c>
      <c r="R147" s="19">
        <f t="shared" si="1"/>
        <v>0.066</v>
      </c>
      <c r="S147" s="19">
        <f t="shared" si="4"/>
        <v>5.556561786</v>
      </c>
    </row>
    <row r="148">
      <c r="A148" s="8">
        <f t="shared" si="3"/>
        <v>147</v>
      </c>
      <c r="B148" s="8" t="s">
        <v>19</v>
      </c>
      <c r="C148" s="8">
        <v>45.0</v>
      </c>
      <c r="D148" s="8" t="s">
        <v>3815</v>
      </c>
      <c r="E148" s="8"/>
      <c r="F148" s="8"/>
      <c r="G148" s="8"/>
      <c r="H148" s="8" t="s">
        <v>101</v>
      </c>
      <c r="I148" s="8" t="s">
        <v>22</v>
      </c>
      <c r="J148" s="8" t="s">
        <v>29</v>
      </c>
      <c r="K148" s="8" t="s">
        <v>1803</v>
      </c>
      <c r="L148" s="9">
        <v>-2.5</v>
      </c>
      <c r="M148" s="9">
        <v>0.5</v>
      </c>
      <c r="N148" s="9">
        <v>0.5</v>
      </c>
      <c r="O148" s="10">
        <v>45246.0</v>
      </c>
      <c r="P148" s="11">
        <v>1.725</v>
      </c>
      <c r="Q148" s="8" t="s">
        <v>25</v>
      </c>
      <c r="R148" s="12">
        <f t="shared" si="1"/>
        <v>-0.5</v>
      </c>
      <c r="S148" s="12">
        <f t="shared" si="4"/>
        <v>5.056561786</v>
      </c>
    </row>
    <row r="149">
      <c r="A149" s="15">
        <f t="shared" si="3"/>
        <v>148</v>
      </c>
      <c r="B149" s="15" t="s">
        <v>19</v>
      </c>
      <c r="C149" s="15">
        <v>22.0</v>
      </c>
      <c r="D149" s="15" t="s">
        <v>3816</v>
      </c>
      <c r="E149" s="15" t="s">
        <v>5564</v>
      </c>
      <c r="F149" s="15" t="s">
        <v>2556</v>
      </c>
      <c r="G149" s="15">
        <v>-1.0</v>
      </c>
      <c r="H149" s="15" t="s">
        <v>189</v>
      </c>
      <c r="I149" s="15" t="s">
        <v>22</v>
      </c>
      <c r="J149" s="15" t="s">
        <v>225</v>
      </c>
      <c r="K149" s="15" t="s">
        <v>1522</v>
      </c>
      <c r="L149" s="16">
        <v>3.5</v>
      </c>
      <c r="M149" s="16">
        <v>0.5</v>
      </c>
      <c r="N149" s="16">
        <v>0.5</v>
      </c>
      <c r="O149" s="17">
        <v>45246.0</v>
      </c>
      <c r="P149" s="18">
        <v>1.975</v>
      </c>
      <c r="Q149" s="15" t="s">
        <v>33</v>
      </c>
      <c r="R149" s="19">
        <f t="shared" si="1"/>
        <v>0.4875</v>
      </c>
      <c r="S149" s="19">
        <f t="shared" si="4"/>
        <v>5.544061786</v>
      </c>
    </row>
    <row r="150">
      <c r="A150" s="8">
        <f t="shared" si="3"/>
        <v>149</v>
      </c>
      <c r="B150" s="8" t="s">
        <v>19</v>
      </c>
      <c r="C150" s="8">
        <v>0.0</v>
      </c>
      <c r="D150" s="8" t="s">
        <v>3817</v>
      </c>
      <c r="E150" s="8" t="s">
        <v>5564</v>
      </c>
      <c r="F150" s="8" t="s">
        <v>2556</v>
      </c>
      <c r="G150" s="8"/>
      <c r="H150" s="8" t="s">
        <v>2468</v>
      </c>
      <c r="I150" s="8" t="s">
        <v>598</v>
      </c>
      <c r="J150" s="8" t="s">
        <v>941</v>
      </c>
      <c r="K150" s="8" t="s">
        <v>39</v>
      </c>
      <c r="L150" s="9">
        <v>0.0</v>
      </c>
      <c r="M150" s="9">
        <v>0.1</v>
      </c>
      <c r="N150" s="9">
        <v>0.1</v>
      </c>
      <c r="O150" s="10">
        <v>45246.0</v>
      </c>
      <c r="P150" s="11">
        <v>1.19</v>
      </c>
      <c r="Q150" s="8" t="s">
        <v>33</v>
      </c>
      <c r="R150" s="12">
        <f t="shared" si="1"/>
        <v>0.019</v>
      </c>
      <c r="S150" s="12">
        <f t="shared" si="4"/>
        <v>5.563061786</v>
      </c>
    </row>
    <row r="151">
      <c r="A151" s="15">
        <f t="shared" si="3"/>
        <v>150</v>
      </c>
      <c r="B151" s="15" t="s">
        <v>19</v>
      </c>
      <c r="C151" s="15">
        <v>21.0</v>
      </c>
      <c r="D151" s="15" t="s">
        <v>3818</v>
      </c>
      <c r="E151" s="15" t="s">
        <v>5564</v>
      </c>
      <c r="F151" s="15" t="s">
        <v>2556</v>
      </c>
      <c r="G151" s="15">
        <v>0.0</v>
      </c>
      <c r="H151" s="15" t="s">
        <v>101</v>
      </c>
      <c r="I151" s="15" t="s">
        <v>22</v>
      </c>
      <c r="J151" s="15" t="s">
        <v>225</v>
      </c>
      <c r="K151" s="15" t="s">
        <v>24</v>
      </c>
      <c r="L151" s="16">
        <v>0.5</v>
      </c>
      <c r="M151" s="16">
        <v>1.0</v>
      </c>
      <c r="N151" s="16">
        <v>1.0</v>
      </c>
      <c r="O151" s="17">
        <v>45247.0</v>
      </c>
      <c r="P151" s="18">
        <v>1.03</v>
      </c>
      <c r="Q151" s="15" t="s">
        <v>33</v>
      </c>
      <c r="R151" s="19">
        <f t="shared" si="1"/>
        <v>0.03</v>
      </c>
      <c r="S151" s="19">
        <f t="shared" si="4"/>
        <v>5.593061786</v>
      </c>
    </row>
    <row r="152">
      <c r="A152" s="8">
        <f t="shared" si="3"/>
        <v>151</v>
      </c>
      <c r="B152" s="8" t="s">
        <v>40</v>
      </c>
      <c r="C152" s="8">
        <v>28.0</v>
      </c>
      <c r="D152" s="8" t="s">
        <v>3819</v>
      </c>
      <c r="E152" s="8" t="s">
        <v>5564</v>
      </c>
      <c r="F152" s="8" t="s">
        <v>2556</v>
      </c>
      <c r="G152" s="8">
        <v>0.0</v>
      </c>
      <c r="H152" s="8" t="s">
        <v>187</v>
      </c>
      <c r="I152" s="8" t="s">
        <v>22</v>
      </c>
      <c r="J152" s="8" t="s">
        <v>225</v>
      </c>
      <c r="K152" s="8" t="s">
        <v>24</v>
      </c>
      <c r="L152" s="9">
        <v>0.25</v>
      </c>
      <c r="M152" s="9">
        <v>0.4</v>
      </c>
      <c r="N152" s="9">
        <v>0.25</v>
      </c>
      <c r="O152" s="10">
        <v>45247.0</v>
      </c>
      <c r="P152" s="11">
        <v>1.825</v>
      </c>
      <c r="Q152" s="8" t="s">
        <v>25</v>
      </c>
      <c r="R152" s="12">
        <f t="shared" si="1"/>
        <v>-0.25</v>
      </c>
      <c r="S152" s="12">
        <f t="shared" si="4"/>
        <v>5.343061786</v>
      </c>
    </row>
    <row r="153">
      <c r="A153" s="15">
        <f t="shared" si="3"/>
        <v>152</v>
      </c>
      <c r="B153" s="15" t="s">
        <v>19</v>
      </c>
      <c r="C153" s="15">
        <v>35.0</v>
      </c>
      <c r="D153" s="15" t="s">
        <v>3820</v>
      </c>
      <c r="E153" s="15" t="s">
        <v>5564</v>
      </c>
      <c r="F153" s="15" t="s">
        <v>2660</v>
      </c>
      <c r="G153" s="15">
        <v>0.0</v>
      </c>
      <c r="H153" s="15" t="s">
        <v>187</v>
      </c>
      <c r="I153" s="15" t="s">
        <v>22</v>
      </c>
      <c r="J153" s="15" t="s">
        <v>1150</v>
      </c>
      <c r="K153" s="15" t="s">
        <v>24</v>
      </c>
      <c r="L153" s="16">
        <v>0.0</v>
      </c>
      <c r="M153" s="16">
        <v>0.4</v>
      </c>
      <c r="N153" s="16">
        <v>0.39</v>
      </c>
      <c r="O153" s="17">
        <v>45247.0</v>
      </c>
      <c r="P153" s="18">
        <v>1.8</v>
      </c>
      <c r="Q153" s="15" t="s">
        <v>25</v>
      </c>
      <c r="R153" s="19">
        <f t="shared" si="1"/>
        <v>-0.39</v>
      </c>
      <c r="S153" s="19">
        <f t="shared" si="4"/>
        <v>4.953061786</v>
      </c>
    </row>
    <row r="154">
      <c r="A154" s="8">
        <f t="shared" si="3"/>
        <v>153</v>
      </c>
      <c r="B154" s="8" t="s">
        <v>19</v>
      </c>
      <c r="C154" s="8">
        <v>61.0</v>
      </c>
      <c r="D154" s="8" t="s">
        <v>3821</v>
      </c>
      <c r="E154" s="8" t="s">
        <v>5564</v>
      </c>
      <c r="F154" s="8" t="s">
        <v>2556</v>
      </c>
      <c r="G154" s="8">
        <v>0.0</v>
      </c>
      <c r="H154" s="8" t="s">
        <v>583</v>
      </c>
      <c r="I154" s="8" t="s">
        <v>22</v>
      </c>
      <c r="J154" s="8" t="s">
        <v>941</v>
      </c>
      <c r="K154" s="8" t="s">
        <v>39</v>
      </c>
      <c r="L154" s="9">
        <v>0.0</v>
      </c>
      <c r="M154" s="9">
        <f t="shared" ref="M154:N154" si="5">0.2*0.27</f>
        <v>0.054</v>
      </c>
      <c r="N154" s="9">
        <f t="shared" si="5"/>
        <v>0.054</v>
      </c>
      <c r="O154" s="10">
        <v>45247.0</v>
      </c>
      <c r="P154" s="11">
        <v>1.825</v>
      </c>
      <c r="Q154" s="8" t="s">
        <v>25</v>
      </c>
      <c r="R154" s="12">
        <f t="shared" si="1"/>
        <v>-0.054</v>
      </c>
      <c r="S154" s="12">
        <f t="shared" si="4"/>
        <v>4.899061786</v>
      </c>
    </row>
    <row r="155">
      <c r="A155" s="15">
        <f t="shared" si="3"/>
        <v>154</v>
      </c>
      <c r="B155" s="15" t="s">
        <v>19</v>
      </c>
      <c r="C155" s="15">
        <v>63.0</v>
      </c>
      <c r="D155" s="15" t="s">
        <v>3822</v>
      </c>
      <c r="E155" s="15" t="s">
        <v>5564</v>
      </c>
      <c r="F155" s="15" t="s">
        <v>2660</v>
      </c>
      <c r="G155" s="15">
        <v>0.0</v>
      </c>
      <c r="H155" s="15" t="s">
        <v>583</v>
      </c>
      <c r="I155" s="15" t="s">
        <v>22</v>
      </c>
      <c r="J155" s="15" t="s">
        <v>892</v>
      </c>
      <c r="K155" s="15" t="s">
        <v>39</v>
      </c>
      <c r="L155" s="16">
        <v>0.0</v>
      </c>
      <c r="M155" s="16">
        <v>0.8</v>
      </c>
      <c r="N155" s="16">
        <f>0.8*0.27</f>
        <v>0.216</v>
      </c>
      <c r="O155" s="55">
        <v>45247.0</v>
      </c>
      <c r="P155" s="18">
        <v>1.875</v>
      </c>
      <c r="Q155" s="15" t="s">
        <v>25</v>
      </c>
      <c r="R155" s="19">
        <f t="shared" si="1"/>
        <v>-0.216</v>
      </c>
      <c r="S155" s="19">
        <f t="shared" si="4"/>
        <v>4.683061786</v>
      </c>
    </row>
    <row r="156">
      <c r="A156" s="8">
        <f t="shared" si="3"/>
        <v>155</v>
      </c>
      <c r="B156" s="8" t="s">
        <v>19</v>
      </c>
      <c r="C156" s="8">
        <v>31.0</v>
      </c>
      <c r="D156" s="8" t="s">
        <v>3823</v>
      </c>
      <c r="E156" s="8" t="s">
        <v>5564</v>
      </c>
      <c r="F156" s="8" t="s">
        <v>2556</v>
      </c>
      <c r="G156" s="8">
        <f t="shared" ref="G156:G157" si="6">1</f>
        <v>1</v>
      </c>
      <c r="H156" s="8" t="s">
        <v>28</v>
      </c>
      <c r="I156" s="8" t="s">
        <v>22</v>
      </c>
      <c r="J156" s="8" t="s">
        <v>225</v>
      </c>
      <c r="K156" s="8" t="s">
        <v>24</v>
      </c>
      <c r="L156" s="9">
        <v>4.25</v>
      </c>
      <c r="M156" s="9">
        <v>0.6</v>
      </c>
      <c r="N156" s="9">
        <v>0.6</v>
      </c>
      <c r="O156" s="10">
        <v>45247.0</v>
      </c>
      <c r="P156" s="11">
        <v>1.85</v>
      </c>
      <c r="Q156" s="8" t="s">
        <v>25</v>
      </c>
      <c r="R156" s="12">
        <f t="shared" si="1"/>
        <v>-0.6</v>
      </c>
      <c r="S156" s="12">
        <f t="shared" si="4"/>
        <v>4.083061786</v>
      </c>
    </row>
    <row r="157">
      <c r="A157" s="15">
        <f t="shared" si="3"/>
        <v>156</v>
      </c>
      <c r="B157" s="15" t="s">
        <v>19</v>
      </c>
      <c r="C157" s="15">
        <v>33.0</v>
      </c>
      <c r="D157" s="15" t="s">
        <v>3824</v>
      </c>
      <c r="E157" s="15" t="s">
        <v>5564</v>
      </c>
      <c r="F157" s="15" t="s">
        <v>2556</v>
      </c>
      <c r="G157" s="15">
        <f t="shared" si="6"/>
        <v>1</v>
      </c>
      <c r="H157" s="15" t="s">
        <v>28</v>
      </c>
      <c r="I157" s="15" t="s">
        <v>22</v>
      </c>
      <c r="J157" s="15" t="s">
        <v>225</v>
      </c>
      <c r="K157" s="15" t="s">
        <v>24</v>
      </c>
      <c r="L157" s="16">
        <v>3.75</v>
      </c>
      <c r="M157" s="16">
        <v>0.3</v>
      </c>
      <c r="N157" s="16">
        <f>0.571*0.3</f>
        <v>0.1713</v>
      </c>
      <c r="O157" s="17">
        <v>45247.0</v>
      </c>
      <c r="P157" s="18">
        <v>1.975</v>
      </c>
      <c r="Q157" s="15" t="s">
        <v>25</v>
      </c>
      <c r="R157" s="19">
        <f t="shared" si="1"/>
        <v>-0.1713</v>
      </c>
      <c r="S157" s="19">
        <f t="shared" si="4"/>
        <v>3.911761786</v>
      </c>
    </row>
    <row r="158">
      <c r="A158" s="8">
        <f t="shared" si="3"/>
        <v>157</v>
      </c>
      <c r="B158" s="8" t="s">
        <v>19</v>
      </c>
      <c r="C158" s="8">
        <v>69.0</v>
      </c>
      <c r="D158" s="8" t="s">
        <v>3825</v>
      </c>
      <c r="E158" s="8" t="s">
        <v>5564</v>
      </c>
      <c r="F158" s="8" t="s">
        <v>2660</v>
      </c>
      <c r="G158" s="8">
        <v>0.0</v>
      </c>
      <c r="H158" s="8" t="s">
        <v>167</v>
      </c>
      <c r="I158" s="8" t="s">
        <v>22</v>
      </c>
      <c r="J158" s="8" t="s">
        <v>892</v>
      </c>
      <c r="K158" s="8" t="s">
        <v>24</v>
      </c>
      <c r="L158" s="9">
        <v>0.0</v>
      </c>
      <c r="M158" s="9">
        <v>0.6</v>
      </c>
      <c r="N158" s="9">
        <v>0.6</v>
      </c>
      <c r="O158" s="10">
        <v>45247.0</v>
      </c>
      <c r="P158" s="11">
        <v>1.9</v>
      </c>
      <c r="Q158" s="8" t="s">
        <v>70</v>
      </c>
      <c r="R158" s="12">
        <f t="shared" si="1"/>
        <v>0</v>
      </c>
      <c r="S158" s="12">
        <f t="shared" si="4"/>
        <v>3.911761786</v>
      </c>
    </row>
    <row r="159">
      <c r="A159" s="15">
        <f t="shared" si="3"/>
        <v>158</v>
      </c>
      <c r="B159" s="15" t="s">
        <v>19</v>
      </c>
      <c r="C159" s="15">
        <v>75.0</v>
      </c>
      <c r="D159" s="15" t="s">
        <v>3826</v>
      </c>
      <c r="E159" s="15" t="s">
        <v>5564</v>
      </c>
      <c r="F159" s="15" t="s">
        <v>2660</v>
      </c>
      <c r="G159" s="15">
        <v>-2.0</v>
      </c>
      <c r="H159" s="15" t="s">
        <v>96</v>
      </c>
      <c r="I159" s="15" t="s">
        <v>22</v>
      </c>
      <c r="J159" s="15" t="s">
        <v>892</v>
      </c>
      <c r="K159" s="15" t="s">
        <v>24</v>
      </c>
      <c r="L159" s="16">
        <v>0.0</v>
      </c>
      <c r="M159" s="16">
        <v>0.8</v>
      </c>
      <c r="N159" s="16">
        <v>0.8</v>
      </c>
      <c r="O159" s="17">
        <v>45247.0</v>
      </c>
      <c r="P159" s="18">
        <v>2.2</v>
      </c>
      <c r="Q159" s="15" t="s">
        <v>70</v>
      </c>
      <c r="R159" s="19">
        <f t="shared" si="1"/>
        <v>0</v>
      </c>
      <c r="S159" s="19">
        <f t="shared" si="4"/>
        <v>3.911761786</v>
      </c>
    </row>
    <row r="160">
      <c r="A160" s="8">
        <f t="shared" si="3"/>
        <v>159</v>
      </c>
      <c r="B160" s="8" t="s">
        <v>19</v>
      </c>
      <c r="C160" s="8">
        <v>20.0</v>
      </c>
      <c r="D160" s="8" t="s">
        <v>3827</v>
      </c>
      <c r="E160" s="8" t="s">
        <v>5564</v>
      </c>
      <c r="F160" s="8" t="s">
        <v>2556</v>
      </c>
      <c r="G160" s="8">
        <v>-1.0</v>
      </c>
      <c r="H160" s="8" t="s">
        <v>248</v>
      </c>
      <c r="I160" s="8" t="s">
        <v>22</v>
      </c>
      <c r="J160" s="8" t="s">
        <v>225</v>
      </c>
      <c r="K160" s="8" t="s">
        <v>24</v>
      </c>
      <c r="L160" s="9">
        <v>0.5</v>
      </c>
      <c r="M160" s="9">
        <v>0.9</v>
      </c>
      <c r="N160" s="9">
        <v>0.9</v>
      </c>
      <c r="O160" s="10">
        <v>45247.0</v>
      </c>
      <c r="P160" s="11">
        <v>2.0</v>
      </c>
      <c r="Q160" s="8" t="s">
        <v>25</v>
      </c>
      <c r="R160" s="12">
        <f t="shared" si="1"/>
        <v>-0.9</v>
      </c>
      <c r="S160" s="12">
        <f t="shared" si="4"/>
        <v>3.011761786</v>
      </c>
    </row>
    <row r="161">
      <c r="A161" s="15">
        <f t="shared" si="3"/>
        <v>160</v>
      </c>
      <c r="B161" s="15" t="s">
        <v>19</v>
      </c>
      <c r="C161" s="15">
        <v>23.0</v>
      </c>
      <c r="D161" s="15" t="s">
        <v>3828</v>
      </c>
      <c r="E161" s="15" t="s">
        <v>5564</v>
      </c>
      <c r="F161" s="15" t="s">
        <v>2556</v>
      </c>
      <c r="G161" s="15">
        <v>-1.0</v>
      </c>
      <c r="H161" s="15" t="s">
        <v>248</v>
      </c>
      <c r="I161" s="15" t="s">
        <v>22</v>
      </c>
      <c r="J161" s="15" t="s">
        <v>1165</v>
      </c>
      <c r="K161" s="15" t="s">
        <v>24</v>
      </c>
      <c r="L161" s="16"/>
      <c r="M161" s="16">
        <v>0.1</v>
      </c>
      <c r="N161" s="16">
        <v>0.1</v>
      </c>
      <c r="O161" s="17">
        <v>45247.0</v>
      </c>
      <c r="P161" s="18">
        <v>4.0</v>
      </c>
      <c r="Q161" s="15" t="s">
        <v>25</v>
      </c>
      <c r="R161" s="19">
        <f t="shared" si="1"/>
        <v>-0.1</v>
      </c>
      <c r="S161" s="19">
        <f t="shared" si="4"/>
        <v>2.911761786</v>
      </c>
    </row>
    <row r="162">
      <c r="A162" s="8">
        <f t="shared" si="3"/>
        <v>161</v>
      </c>
      <c r="B162" s="8" t="s">
        <v>19</v>
      </c>
      <c r="C162" s="8">
        <v>41.0</v>
      </c>
      <c r="D162" s="8" t="s">
        <v>3829</v>
      </c>
      <c r="E162" s="8" t="s">
        <v>5564</v>
      </c>
      <c r="F162" s="8" t="s">
        <v>2660</v>
      </c>
      <c r="G162" s="8">
        <v>0.0</v>
      </c>
      <c r="H162" s="8" t="s">
        <v>82</v>
      </c>
      <c r="I162" s="8" t="s">
        <v>22</v>
      </c>
      <c r="J162" s="8" t="s">
        <v>892</v>
      </c>
      <c r="K162" s="8" t="s">
        <v>1522</v>
      </c>
      <c r="L162" s="9">
        <v>0.0</v>
      </c>
      <c r="M162" s="9">
        <v>0.8</v>
      </c>
      <c r="N162" s="9">
        <v>0.8</v>
      </c>
      <c r="O162" s="10">
        <v>45247.0</v>
      </c>
      <c r="P162" s="11">
        <v>1.85</v>
      </c>
      <c r="Q162" s="8" t="s">
        <v>70</v>
      </c>
      <c r="R162" s="12">
        <f t="shared" si="1"/>
        <v>0</v>
      </c>
      <c r="S162" s="12">
        <f t="shared" si="4"/>
        <v>2.911761786</v>
      </c>
    </row>
    <row r="163">
      <c r="A163" s="15">
        <f t="shared" si="3"/>
        <v>162</v>
      </c>
      <c r="B163" s="15" t="s">
        <v>19</v>
      </c>
      <c r="C163" s="15">
        <v>62.0</v>
      </c>
      <c r="D163" s="15" t="s">
        <v>3830</v>
      </c>
      <c r="E163" s="15"/>
      <c r="F163" s="15"/>
      <c r="G163" s="15">
        <v>0.0</v>
      </c>
      <c r="H163" s="15" t="s">
        <v>44</v>
      </c>
      <c r="I163" s="15" t="s">
        <v>22</v>
      </c>
      <c r="J163" s="15" t="s">
        <v>440</v>
      </c>
      <c r="K163" s="15" t="s">
        <v>24</v>
      </c>
      <c r="L163" s="16">
        <v>0.75</v>
      </c>
      <c r="M163" s="16">
        <v>0.75</v>
      </c>
      <c r="N163" s="16">
        <v>0.54</v>
      </c>
      <c r="O163" s="17">
        <v>45247.0</v>
      </c>
      <c r="P163" s="18">
        <v>1.7</v>
      </c>
      <c r="Q163" s="15" t="s">
        <v>25</v>
      </c>
      <c r="R163" s="19">
        <f t="shared" si="1"/>
        <v>-0.54</v>
      </c>
      <c r="S163" s="19">
        <f t="shared" si="4"/>
        <v>2.371761786</v>
      </c>
    </row>
    <row r="164">
      <c r="A164" s="8">
        <f t="shared" si="3"/>
        <v>163</v>
      </c>
      <c r="B164" s="8" t="s">
        <v>19</v>
      </c>
      <c r="C164" s="8">
        <v>75.0</v>
      </c>
      <c r="D164" s="8" t="s">
        <v>3831</v>
      </c>
      <c r="E164" s="8" t="s">
        <v>5565</v>
      </c>
      <c r="F164" s="8" t="s">
        <v>2556</v>
      </c>
      <c r="G164" s="8">
        <v>2</v>
      </c>
      <c r="H164" s="8" t="s">
        <v>583</v>
      </c>
      <c r="I164" s="8" t="s">
        <v>22</v>
      </c>
      <c r="J164" s="8" t="s">
        <v>225</v>
      </c>
      <c r="K164" s="8" t="s">
        <v>24</v>
      </c>
      <c r="L164" s="9">
        <v>0.5</v>
      </c>
      <c r="M164" s="9">
        <v>1.0</v>
      </c>
      <c r="N164" s="9">
        <v>1.0</v>
      </c>
      <c r="O164" s="10">
        <v>45248.0</v>
      </c>
      <c r="P164" s="11">
        <v>1.9</v>
      </c>
      <c r="Q164" s="8" t="s">
        <v>33</v>
      </c>
      <c r="R164" s="12">
        <f t="shared" si="1"/>
        <v>0.9</v>
      </c>
      <c r="S164" s="12">
        <f t="shared" si="4"/>
        <v>3.271761786</v>
      </c>
    </row>
    <row r="165">
      <c r="A165" s="15">
        <f t="shared" si="3"/>
        <v>164</v>
      </c>
      <c r="B165" s="15" t="s">
        <v>19</v>
      </c>
      <c r="C165" s="15">
        <v>75.0</v>
      </c>
      <c r="D165" s="15" t="s">
        <v>3832</v>
      </c>
      <c r="E165" s="15" t="s">
        <v>5564</v>
      </c>
      <c r="F165" s="15" t="s">
        <v>2556</v>
      </c>
      <c r="G165" s="15">
        <v>0.0</v>
      </c>
      <c r="H165" s="15" t="s">
        <v>88</v>
      </c>
      <c r="I165" s="15" t="s">
        <v>22</v>
      </c>
      <c r="J165" s="15" t="s">
        <v>225</v>
      </c>
      <c r="K165" s="15" t="s">
        <v>24</v>
      </c>
      <c r="L165" s="16">
        <v>0.25</v>
      </c>
      <c r="M165" s="16">
        <v>0.25</v>
      </c>
      <c r="N165" s="16">
        <v>0.25</v>
      </c>
      <c r="O165" s="17">
        <v>45248.0</v>
      </c>
      <c r="P165" s="18">
        <v>1.7</v>
      </c>
      <c r="Q165" s="15" t="s">
        <v>25</v>
      </c>
      <c r="R165" s="19">
        <f t="shared" si="1"/>
        <v>-0.25</v>
      </c>
      <c r="S165" s="19">
        <f t="shared" si="4"/>
        <v>3.021761786</v>
      </c>
    </row>
    <row r="166">
      <c r="A166" s="8">
        <f t="shared" si="3"/>
        <v>165</v>
      </c>
      <c r="B166" s="8" t="s">
        <v>19</v>
      </c>
      <c r="C166" s="8">
        <v>87.0</v>
      </c>
      <c r="D166" s="8" t="s">
        <v>3833</v>
      </c>
      <c r="E166" s="8"/>
      <c r="F166" s="8"/>
      <c r="G166" s="8"/>
      <c r="H166" s="8" t="s">
        <v>583</v>
      </c>
      <c r="I166" s="8" t="s">
        <v>22</v>
      </c>
      <c r="J166" s="8" t="s">
        <v>29</v>
      </c>
      <c r="K166" s="8" t="s">
        <v>24</v>
      </c>
      <c r="L166" s="9">
        <v>-7.5</v>
      </c>
      <c r="M166" s="9">
        <v>0.3</v>
      </c>
      <c r="N166" s="9">
        <v>0.3</v>
      </c>
      <c r="O166" s="10">
        <v>45248.0</v>
      </c>
      <c r="P166" s="11">
        <v>1.7</v>
      </c>
      <c r="Q166" s="8" t="s">
        <v>33</v>
      </c>
      <c r="R166" s="12">
        <f t="shared" si="1"/>
        <v>0.21</v>
      </c>
      <c r="S166" s="12">
        <f t="shared" si="4"/>
        <v>3.231761786</v>
      </c>
    </row>
    <row r="167">
      <c r="A167" s="15">
        <f t="shared" si="3"/>
        <v>166</v>
      </c>
      <c r="B167" s="15" t="s">
        <v>19</v>
      </c>
      <c r="C167" s="15">
        <v>71.0</v>
      </c>
      <c r="D167" s="15" t="s">
        <v>3834</v>
      </c>
      <c r="E167" s="15" t="s">
        <v>5564</v>
      </c>
      <c r="F167" s="15" t="s">
        <v>2556</v>
      </c>
      <c r="G167" s="15">
        <v>0.0</v>
      </c>
      <c r="H167" s="15" t="s">
        <v>3835</v>
      </c>
      <c r="I167" s="15" t="s">
        <v>22</v>
      </c>
      <c r="J167" s="15" t="s">
        <v>225</v>
      </c>
      <c r="K167" s="15" t="s">
        <v>24</v>
      </c>
      <c r="L167" s="16">
        <v>0.5</v>
      </c>
      <c r="M167" s="16">
        <v>0.2</v>
      </c>
      <c r="N167" s="16">
        <v>0.2</v>
      </c>
      <c r="O167" s="17">
        <v>45248.0</v>
      </c>
      <c r="P167" s="18">
        <v>1.9</v>
      </c>
      <c r="Q167" s="15" t="s">
        <v>25</v>
      </c>
      <c r="R167" s="19">
        <f t="shared" si="1"/>
        <v>-0.2</v>
      </c>
      <c r="S167" s="19">
        <f t="shared" si="4"/>
        <v>3.031761786</v>
      </c>
    </row>
    <row r="168">
      <c r="A168" s="8">
        <f t="shared" si="3"/>
        <v>167</v>
      </c>
      <c r="B168" s="8" t="s">
        <v>40</v>
      </c>
      <c r="C168" s="8">
        <v>26.0</v>
      </c>
      <c r="D168" s="8" t="s">
        <v>3836</v>
      </c>
      <c r="E168" s="8" t="s">
        <v>5564</v>
      </c>
      <c r="F168" s="8" t="s">
        <v>2660</v>
      </c>
      <c r="G168" s="8">
        <v>0.0</v>
      </c>
      <c r="H168" s="8" t="s">
        <v>93</v>
      </c>
      <c r="I168" s="8" t="s">
        <v>22</v>
      </c>
      <c r="J168" s="8" t="s">
        <v>892</v>
      </c>
      <c r="K168" s="8" t="s">
        <v>39</v>
      </c>
      <c r="L168" s="9">
        <v>0.0</v>
      </c>
      <c r="M168" s="9">
        <v>0.5</v>
      </c>
      <c r="N168" s="9">
        <v>0.5</v>
      </c>
      <c r="O168" s="10">
        <v>45248.0</v>
      </c>
      <c r="P168" s="11">
        <v>1.825</v>
      </c>
      <c r="Q168" s="8" t="s">
        <v>70</v>
      </c>
      <c r="R168" s="12">
        <f t="shared" si="1"/>
        <v>0</v>
      </c>
      <c r="S168" s="12">
        <f t="shared" si="4"/>
        <v>3.031761786</v>
      </c>
    </row>
    <row r="169">
      <c r="A169" s="15">
        <f t="shared" si="3"/>
        <v>168</v>
      </c>
      <c r="B169" s="15" t="s">
        <v>19</v>
      </c>
      <c r="C169" s="15">
        <v>23.0</v>
      </c>
      <c r="D169" s="15" t="s">
        <v>3837</v>
      </c>
      <c r="E169" s="15" t="s">
        <v>5564</v>
      </c>
      <c r="F169" s="15" t="s">
        <v>2556</v>
      </c>
      <c r="G169" s="15">
        <v>0.0</v>
      </c>
      <c r="H169" s="15" t="s">
        <v>66</v>
      </c>
      <c r="I169" s="15" t="s">
        <v>22</v>
      </c>
      <c r="J169" s="15" t="s">
        <v>225</v>
      </c>
      <c r="K169" s="15" t="s">
        <v>24</v>
      </c>
      <c r="L169" s="16">
        <v>1.0</v>
      </c>
      <c r="M169" s="16">
        <v>0.2</v>
      </c>
      <c r="N169" s="16">
        <v>0.2</v>
      </c>
      <c r="O169" s="17">
        <v>45248.0</v>
      </c>
      <c r="P169" s="18">
        <v>1.925</v>
      </c>
      <c r="Q169" s="15" t="s">
        <v>33</v>
      </c>
      <c r="R169" s="19">
        <f t="shared" si="1"/>
        <v>0.185</v>
      </c>
      <c r="S169" s="19">
        <f t="shared" si="4"/>
        <v>3.216761786</v>
      </c>
    </row>
    <row r="170">
      <c r="A170" s="8">
        <f t="shared" si="3"/>
        <v>169</v>
      </c>
      <c r="B170" s="8" t="s">
        <v>19</v>
      </c>
      <c r="C170" s="8">
        <v>29.0</v>
      </c>
      <c r="D170" s="8" t="s">
        <v>3838</v>
      </c>
      <c r="E170" s="8" t="s">
        <v>5565</v>
      </c>
      <c r="F170" s="8" t="s">
        <v>2556</v>
      </c>
      <c r="G170" s="8">
        <f>1</f>
        <v>1</v>
      </c>
      <c r="H170" s="8" t="s">
        <v>1501</v>
      </c>
      <c r="I170" s="8" t="s">
        <v>22</v>
      </c>
      <c r="J170" s="8" t="s">
        <v>225</v>
      </c>
      <c r="K170" s="8" t="s">
        <v>39</v>
      </c>
      <c r="L170" s="9">
        <v>0.25</v>
      </c>
      <c r="M170" s="9">
        <v>0.5</v>
      </c>
      <c r="N170" s="9">
        <f>0.517*0.5</f>
        <v>0.2585</v>
      </c>
      <c r="O170" s="10">
        <v>45248.0</v>
      </c>
      <c r="P170" s="11">
        <v>1.95</v>
      </c>
      <c r="Q170" s="8" t="s">
        <v>70</v>
      </c>
      <c r="R170" s="12">
        <f t="shared" si="1"/>
        <v>0</v>
      </c>
      <c r="S170" s="12">
        <f t="shared" si="4"/>
        <v>3.216761786</v>
      </c>
    </row>
    <row r="171">
      <c r="A171" s="15">
        <f t="shared" si="3"/>
        <v>170</v>
      </c>
      <c r="B171" s="15" t="s">
        <v>40</v>
      </c>
      <c r="C171" s="15">
        <v>64.0</v>
      </c>
      <c r="D171" s="15" t="s">
        <v>3839</v>
      </c>
      <c r="E171" s="15" t="s">
        <v>5564</v>
      </c>
      <c r="F171" s="15" t="s">
        <v>2660</v>
      </c>
      <c r="G171" s="15">
        <v>0.0</v>
      </c>
      <c r="H171" s="15" t="s">
        <v>448</v>
      </c>
      <c r="I171" s="15" t="s">
        <v>22</v>
      </c>
      <c r="J171" s="15" t="s">
        <v>892</v>
      </c>
      <c r="K171" s="15" t="s">
        <v>39</v>
      </c>
      <c r="L171" s="16">
        <v>0.0</v>
      </c>
      <c r="M171" s="16">
        <v>0.6</v>
      </c>
      <c r="N171" s="16">
        <v>0.6</v>
      </c>
      <c r="O171" s="17">
        <v>45248.0</v>
      </c>
      <c r="P171" s="18">
        <v>1.7</v>
      </c>
      <c r="Q171" s="15" t="s">
        <v>70</v>
      </c>
      <c r="R171" s="19">
        <f t="shared" si="1"/>
        <v>0</v>
      </c>
      <c r="S171" s="19">
        <f t="shared" si="4"/>
        <v>3.216761786</v>
      </c>
    </row>
    <row r="172">
      <c r="A172" s="8">
        <f t="shared" si="3"/>
        <v>171</v>
      </c>
      <c r="B172" s="8" t="s">
        <v>19</v>
      </c>
      <c r="C172" s="8">
        <v>55.0</v>
      </c>
      <c r="D172" s="8" t="s">
        <v>3840</v>
      </c>
      <c r="E172" s="8" t="s">
        <v>5564</v>
      </c>
      <c r="F172" s="8" t="s">
        <v>2556</v>
      </c>
      <c r="G172" s="8">
        <v>-2.0</v>
      </c>
      <c r="H172" s="8" t="s">
        <v>229</v>
      </c>
      <c r="I172" s="8" t="s">
        <v>22</v>
      </c>
      <c r="J172" s="8" t="s">
        <v>225</v>
      </c>
      <c r="K172" s="8" t="s">
        <v>24</v>
      </c>
      <c r="L172" s="9">
        <v>0.25</v>
      </c>
      <c r="M172" s="9">
        <v>0.2</v>
      </c>
      <c r="N172" s="9">
        <v>0.2</v>
      </c>
      <c r="O172" s="10">
        <v>45248.0</v>
      </c>
      <c r="P172" s="11">
        <v>1.825</v>
      </c>
      <c r="Q172" s="8" t="s">
        <v>30</v>
      </c>
      <c r="R172" s="12">
        <f t="shared" si="1"/>
        <v>0.0825</v>
      </c>
      <c r="S172" s="12">
        <f t="shared" si="4"/>
        <v>3.299261786</v>
      </c>
    </row>
    <row r="173">
      <c r="A173" s="15">
        <f t="shared" si="3"/>
        <v>172</v>
      </c>
      <c r="B173" s="15" t="s">
        <v>19</v>
      </c>
      <c r="C173" s="15">
        <v>58.0</v>
      </c>
      <c r="D173" s="15" t="s">
        <v>3841</v>
      </c>
      <c r="E173" s="15" t="s">
        <v>5564</v>
      </c>
      <c r="F173" s="15" t="s">
        <v>2660</v>
      </c>
      <c r="G173" s="15">
        <v>-2.0</v>
      </c>
      <c r="H173" s="15" t="s">
        <v>229</v>
      </c>
      <c r="I173" s="15" t="s">
        <v>22</v>
      </c>
      <c r="J173" s="15" t="s">
        <v>892</v>
      </c>
      <c r="K173" s="15" t="s">
        <v>24</v>
      </c>
      <c r="L173" s="16">
        <v>0.0</v>
      </c>
      <c r="M173" s="16">
        <v>0.2</v>
      </c>
      <c r="N173" s="16">
        <v>0.2</v>
      </c>
      <c r="O173" s="17">
        <v>45248.0</v>
      </c>
      <c r="P173" s="18">
        <v>1.9</v>
      </c>
      <c r="Q173" s="15" t="s">
        <v>70</v>
      </c>
      <c r="R173" s="19">
        <f t="shared" si="1"/>
        <v>0</v>
      </c>
      <c r="S173" s="19">
        <f t="shared" si="4"/>
        <v>3.299261786</v>
      </c>
    </row>
    <row r="174">
      <c r="A174" s="8">
        <f t="shared" si="3"/>
        <v>173</v>
      </c>
      <c r="B174" s="8" t="s">
        <v>19</v>
      </c>
      <c r="C174" s="8">
        <v>23.0</v>
      </c>
      <c r="D174" s="8" t="s">
        <v>3842</v>
      </c>
      <c r="E174" s="8" t="s">
        <v>5564</v>
      </c>
      <c r="F174" s="8" t="s">
        <v>2660</v>
      </c>
      <c r="G174" s="8">
        <v>0.0</v>
      </c>
      <c r="H174" s="8" t="s">
        <v>432</v>
      </c>
      <c r="I174" s="8" t="s">
        <v>22</v>
      </c>
      <c r="J174" s="8" t="s">
        <v>1150</v>
      </c>
      <c r="K174" s="8" t="s">
        <v>24</v>
      </c>
      <c r="L174" s="9">
        <v>0.0</v>
      </c>
      <c r="M174" s="9">
        <v>0.4</v>
      </c>
      <c r="N174" s="9">
        <v>0.4</v>
      </c>
      <c r="O174" s="10">
        <v>45248.0</v>
      </c>
      <c r="P174" s="11">
        <v>1.975</v>
      </c>
      <c r="Q174" s="8" t="s">
        <v>70</v>
      </c>
      <c r="R174" s="12">
        <f t="shared" si="1"/>
        <v>0</v>
      </c>
      <c r="S174" s="12">
        <f t="shared" si="4"/>
        <v>3.299261786</v>
      </c>
    </row>
    <row r="175">
      <c r="A175" s="15">
        <f t="shared" si="3"/>
        <v>174</v>
      </c>
      <c r="B175" s="15" t="s">
        <v>40</v>
      </c>
      <c r="C175" s="15">
        <v>23.0</v>
      </c>
      <c r="D175" s="15" t="s">
        <v>3843</v>
      </c>
      <c r="E175" s="15" t="s">
        <v>5565</v>
      </c>
      <c r="F175" s="15" t="s">
        <v>2660</v>
      </c>
      <c r="G175" s="15">
        <f>1</f>
        <v>1</v>
      </c>
      <c r="H175" s="15" t="s">
        <v>185</v>
      </c>
      <c r="I175" s="15" t="s">
        <v>22</v>
      </c>
      <c r="J175" s="15" t="s">
        <v>1150</v>
      </c>
      <c r="K175" s="15" t="s">
        <v>39</v>
      </c>
      <c r="L175" s="16">
        <v>0.0</v>
      </c>
      <c r="M175" s="16">
        <v>0.2</v>
      </c>
      <c r="N175" s="16">
        <v>0.21</v>
      </c>
      <c r="O175" s="17">
        <v>45248.0</v>
      </c>
      <c r="P175" s="18">
        <v>2.1</v>
      </c>
      <c r="Q175" s="15" t="s">
        <v>33</v>
      </c>
      <c r="R175" s="19">
        <f t="shared" si="1"/>
        <v>0.231</v>
      </c>
      <c r="S175" s="19">
        <f t="shared" si="4"/>
        <v>3.530261786</v>
      </c>
    </row>
    <row r="176">
      <c r="A176" s="8">
        <f t="shared" si="3"/>
        <v>175</v>
      </c>
      <c r="B176" s="8" t="s">
        <v>19</v>
      </c>
      <c r="C176" s="8">
        <v>14.0</v>
      </c>
      <c r="D176" s="8" t="s">
        <v>3844</v>
      </c>
      <c r="E176" s="8" t="s">
        <v>5564</v>
      </c>
      <c r="F176" s="8" t="s">
        <v>2660</v>
      </c>
      <c r="G176" s="8">
        <v>0.0</v>
      </c>
      <c r="H176" s="8" t="s">
        <v>82</v>
      </c>
      <c r="I176" s="8" t="s">
        <v>22</v>
      </c>
      <c r="J176" s="8" t="s">
        <v>1150</v>
      </c>
      <c r="K176" s="8" t="s">
        <v>39</v>
      </c>
      <c r="L176" s="9">
        <v>0.0</v>
      </c>
      <c r="M176" s="9">
        <v>0.6</v>
      </c>
      <c r="N176" s="9">
        <v>0.55</v>
      </c>
      <c r="O176" s="54">
        <v>45248.0</v>
      </c>
      <c r="P176" s="11">
        <v>1.775</v>
      </c>
      <c r="Q176" s="8" t="s">
        <v>33</v>
      </c>
      <c r="R176" s="12">
        <f t="shared" si="1"/>
        <v>0.42625</v>
      </c>
      <c r="S176" s="12">
        <f t="shared" si="4"/>
        <v>3.956511786</v>
      </c>
    </row>
    <row r="177">
      <c r="A177" s="15">
        <f t="shared" si="3"/>
        <v>176</v>
      </c>
      <c r="B177" s="15" t="s">
        <v>19</v>
      </c>
      <c r="C177" s="15">
        <v>30.0</v>
      </c>
      <c r="D177" s="15" t="s">
        <v>3844</v>
      </c>
      <c r="E177" s="15" t="s">
        <v>5564</v>
      </c>
      <c r="F177" s="15" t="s">
        <v>2660</v>
      </c>
      <c r="G177" s="15">
        <f>1</f>
        <v>1</v>
      </c>
      <c r="H177" s="15" t="s">
        <v>82</v>
      </c>
      <c r="I177" s="15" t="s">
        <v>22</v>
      </c>
      <c r="J177" s="15" t="s">
        <v>1150</v>
      </c>
      <c r="K177" s="15" t="s">
        <v>39</v>
      </c>
      <c r="L177" s="16">
        <v>0.0</v>
      </c>
      <c r="M177" s="16">
        <v>0.2</v>
      </c>
      <c r="N177" s="16">
        <f>0.31*0.2</f>
        <v>0.062</v>
      </c>
      <c r="O177" s="17">
        <v>45248.0</v>
      </c>
      <c r="P177" s="18">
        <v>1.625</v>
      </c>
      <c r="Q177" s="15" t="s">
        <v>33</v>
      </c>
      <c r="R177" s="19">
        <f t="shared" si="1"/>
        <v>0.03875</v>
      </c>
      <c r="S177" s="19">
        <f t="shared" si="4"/>
        <v>3.995261786</v>
      </c>
    </row>
    <row r="178">
      <c r="A178" s="8">
        <f t="shared" si="3"/>
        <v>177</v>
      </c>
      <c r="B178" s="8" t="s">
        <v>19</v>
      </c>
      <c r="C178" s="8">
        <v>68.0</v>
      </c>
      <c r="D178" s="8" t="s">
        <v>3845</v>
      </c>
      <c r="E178" s="8" t="s">
        <v>5565</v>
      </c>
      <c r="F178" s="8" t="s">
        <v>2660</v>
      </c>
      <c r="G178" s="8">
        <v>-1.0</v>
      </c>
      <c r="H178" s="8" t="s">
        <v>583</v>
      </c>
      <c r="I178" s="8" t="s">
        <v>22</v>
      </c>
      <c r="J178" s="8" t="s">
        <v>892</v>
      </c>
      <c r="K178" s="8" t="s">
        <v>24</v>
      </c>
      <c r="L178" s="9">
        <v>0.0</v>
      </c>
      <c r="M178" s="9">
        <v>0.4</v>
      </c>
      <c r="N178" s="9">
        <v>0.4</v>
      </c>
      <c r="O178" s="10">
        <v>45248.0</v>
      </c>
      <c r="P178" s="11">
        <v>1.775</v>
      </c>
      <c r="Q178" s="8" t="s">
        <v>33</v>
      </c>
      <c r="R178" s="12">
        <f t="shared" si="1"/>
        <v>0.31</v>
      </c>
      <c r="S178" s="12">
        <f t="shared" si="4"/>
        <v>4.305261786</v>
      </c>
    </row>
    <row r="179">
      <c r="A179" s="15">
        <f t="shared" si="3"/>
        <v>178</v>
      </c>
      <c r="B179" s="15" t="s">
        <v>19</v>
      </c>
      <c r="C179" s="15">
        <v>88.0</v>
      </c>
      <c r="D179" s="15" t="s">
        <v>3846</v>
      </c>
      <c r="E179" s="15"/>
      <c r="F179" s="15"/>
      <c r="G179" s="15"/>
      <c r="H179" s="15" t="s">
        <v>82</v>
      </c>
      <c r="I179" s="15" t="s">
        <v>22</v>
      </c>
      <c r="J179" s="15" t="s">
        <v>2939</v>
      </c>
      <c r="K179" s="15" t="s">
        <v>24</v>
      </c>
      <c r="L179" s="16">
        <v>-11.5</v>
      </c>
      <c r="M179" s="16">
        <v>0.3</v>
      </c>
      <c r="N179" s="16">
        <v>0.3</v>
      </c>
      <c r="O179" s="17">
        <v>45248.0</v>
      </c>
      <c r="P179" s="18">
        <v>1.33</v>
      </c>
      <c r="Q179" s="15" t="s">
        <v>70</v>
      </c>
      <c r="R179" s="19">
        <f t="shared" si="1"/>
        <v>0</v>
      </c>
      <c r="S179" s="19">
        <f t="shared" si="4"/>
        <v>4.305261786</v>
      </c>
    </row>
    <row r="180">
      <c r="A180" s="8">
        <f t="shared" si="3"/>
        <v>179</v>
      </c>
      <c r="B180" s="8" t="s">
        <v>19</v>
      </c>
      <c r="C180" s="8">
        <v>60.0</v>
      </c>
      <c r="D180" s="8" t="s">
        <v>3847</v>
      </c>
      <c r="E180" s="8" t="s">
        <v>5564</v>
      </c>
      <c r="F180" s="8" t="s">
        <v>2660</v>
      </c>
      <c r="G180" s="8">
        <v>0.0</v>
      </c>
      <c r="H180" s="8" t="s">
        <v>1194</v>
      </c>
      <c r="I180" s="8" t="s">
        <v>22</v>
      </c>
      <c r="J180" s="8" t="s">
        <v>892</v>
      </c>
      <c r="K180" s="8" t="s">
        <v>24</v>
      </c>
      <c r="L180" s="9">
        <v>0.0</v>
      </c>
      <c r="M180" s="9">
        <v>0.4</v>
      </c>
      <c r="N180" s="9">
        <f>0.2+0.2*14/29</f>
        <v>0.2965517241</v>
      </c>
      <c r="O180" s="10">
        <v>45248.0</v>
      </c>
      <c r="P180" s="11">
        <f>1.17</f>
        <v>1.17</v>
      </c>
      <c r="Q180" s="8" t="s">
        <v>33</v>
      </c>
      <c r="R180" s="12">
        <f t="shared" si="1"/>
        <v>0.0504137931</v>
      </c>
      <c r="S180" s="12">
        <f t="shared" si="4"/>
        <v>4.355675579</v>
      </c>
    </row>
    <row r="181">
      <c r="A181" s="15">
        <f t="shared" si="3"/>
        <v>180</v>
      </c>
      <c r="B181" s="15" t="s">
        <v>40</v>
      </c>
      <c r="C181" s="15">
        <v>47.0</v>
      </c>
      <c r="D181" s="15" t="s">
        <v>3848</v>
      </c>
      <c r="E181" s="15" t="s">
        <v>5564</v>
      </c>
      <c r="F181" s="15" t="s">
        <v>2556</v>
      </c>
      <c r="G181" s="15">
        <v>-1.0</v>
      </c>
      <c r="H181" s="15" t="s">
        <v>178</v>
      </c>
      <c r="I181" s="15" t="s">
        <v>22</v>
      </c>
      <c r="J181" s="15" t="s">
        <v>225</v>
      </c>
      <c r="K181" s="15" t="s">
        <v>1522</v>
      </c>
      <c r="L181" s="16">
        <v>0.5</v>
      </c>
      <c r="M181" s="16">
        <v>0.5</v>
      </c>
      <c r="N181" s="16">
        <v>0.41</v>
      </c>
      <c r="O181" s="17">
        <v>45248.0</v>
      </c>
      <c r="P181" s="18">
        <v>1.75</v>
      </c>
      <c r="Q181" s="15" t="s">
        <v>33</v>
      </c>
      <c r="R181" s="19">
        <f t="shared" si="1"/>
        <v>0.3075</v>
      </c>
      <c r="S181" s="19">
        <f t="shared" si="4"/>
        <v>4.663175579</v>
      </c>
    </row>
    <row r="182">
      <c r="A182" s="8">
        <f t="shared" si="3"/>
        <v>181</v>
      </c>
      <c r="B182" s="8" t="s">
        <v>19</v>
      </c>
      <c r="C182" s="8">
        <v>64.0</v>
      </c>
      <c r="D182" s="8" t="s">
        <v>3849</v>
      </c>
      <c r="E182" s="8" t="s">
        <v>5564</v>
      </c>
      <c r="F182" s="8" t="s">
        <v>2556</v>
      </c>
      <c r="G182" s="8">
        <v>-1.0</v>
      </c>
      <c r="H182" s="8" t="s">
        <v>66</v>
      </c>
      <c r="I182" s="8" t="s">
        <v>22</v>
      </c>
      <c r="J182" s="8" t="s">
        <v>1165</v>
      </c>
      <c r="K182" s="8" t="s">
        <v>24</v>
      </c>
      <c r="L182" s="9"/>
      <c r="M182" s="9">
        <v>0.1</v>
      </c>
      <c r="N182" s="9">
        <v>0.1</v>
      </c>
      <c r="O182" s="10">
        <v>45248.0</v>
      </c>
      <c r="P182" s="11">
        <v>1.3334</v>
      </c>
      <c r="Q182" s="8" t="s">
        <v>33</v>
      </c>
      <c r="R182" s="12">
        <f t="shared" si="1"/>
        <v>0.03334</v>
      </c>
      <c r="S182" s="12">
        <f t="shared" si="4"/>
        <v>4.696515579</v>
      </c>
    </row>
    <row r="183">
      <c r="A183" s="15">
        <f t="shared" si="3"/>
        <v>182</v>
      </c>
      <c r="B183" s="15" t="s">
        <v>19</v>
      </c>
      <c r="C183" s="15">
        <v>45.0</v>
      </c>
      <c r="D183" s="15" t="s">
        <v>3850</v>
      </c>
      <c r="E183" s="15" t="s">
        <v>5564</v>
      </c>
      <c r="F183" s="15" t="s">
        <v>2556</v>
      </c>
      <c r="G183" s="15">
        <v>0.0</v>
      </c>
      <c r="H183" s="15" t="s">
        <v>714</v>
      </c>
      <c r="I183" s="15" t="s">
        <v>22</v>
      </c>
      <c r="J183" s="15" t="s">
        <v>225</v>
      </c>
      <c r="K183" s="15" t="s">
        <v>24</v>
      </c>
      <c r="L183" s="16">
        <v>0.5</v>
      </c>
      <c r="M183" s="16">
        <v>0.5</v>
      </c>
      <c r="N183" s="16">
        <v>0.5</v>
      </c>
      <c r="O183" s="17">
        <v>45248.0</v>
      </c>
      <c r="P183" s="18">
        <v>1.825</v>
      </c>
      <c r="Q183" s="15" t="s">
        <v>70</v>
      </c>
      <c r="R183" s="19">
        <f t="shared" si="1"/>
        <v>0</v>
      </c>
      <c r="S183" s="19">
        <f t="shared" si="4"/>
        <v>4.696515579</v>
      </c>
    </row>
    <row r="184">
      <c r="A184" s="8">
        <f t="shared" si="3"/>
        <v>183</v>
      </c>
      <c r="B184" s="8" t="s">
        <v>19</v>
      </c>
      <c r="C184" s="8">
        <v>82.0</v>
      </c>
      <c r="D184" s="8" t="s">
        <v>3851</v>
      </c>
      <c r="E184" s="8" t="s">
        <v>5565</v>
      </c>
      <c r="F184" s="8" t="s">
        <v>2660</v>
      </c>
      <c r="G184" s="8">
        <v>-3.0</v>
      </c>
      <c r="H184" s="8" t="s">
        <v>169</v>
      </c>
      <c r="I184" s="8" t="s">
        <v>22</v>
      </c>
      <c r="J184" s="8" t="s">
        <v>892</v>
      </c>
      <c r="K184" s="8" t="s">
        <v>1522</v>
      </c>
      <c r="L184" s="9">
        <v>0.0</v>
      </c>
      <c r="M184" s="9">
        <v>0.75</v>
      </c>
      <c r="N184" s="9">
        <v>0.75</v>
      </c>
      <c r="O184" s="10">
        <v>45248.0</v>
      </c>
      <c r="P184" s="11">
        <v>1.75</v>
      </c>
      <c r="Q184" s="8" t="s">
        <v>70</v>
      </c>
      <c r="R184" s="12">
        <f t="shared" si="1"/>
        <v>0</v>
      </c>
      <c r="S184" s="12">
        <f t="shared" si="4"/>
        <v>4.696515579</v>
      </c>
    </row>
    <row r="185">
      <c r="A185" s="15">
        <f t="shared" si="3"/>
        <v>184</v>
      </c>
      <c r="B185" s="15" t="s">
        <v>19</v>
      </c>
      <c r="C185" s="15">
        <v>46.0</v>
      </c>
      <c r="D185" s="15" t="s">
        <v>3852</v>
      </c>
      <c r="E185" s="15" t="s">
        <v>5564</v>
      </c>
      <c r="F185" s="15" t="s">
        <v>2556</v>
      </c>
      <c r="G185" s="15">
        <v>-1.0</v>
      </c>
      <c r="H185" s="15" t="s">
        <v>68</v>
      </c>
      <c r="I185" s="15" t="s">
        <v>22</v>
      </c>
      <c r="J185" s="15" t="s">
        <v>225</v>
      </c>
      <c r="K185" s="15" t="s">
        <v>24</v>
      </c>
      <c r="L185" s="16">
        <v>0.25</v>
      </c>
      <c r="M185" s="16">
        <v>0.25</v>
      </c>
      <c r="N185" s="16">
        <v>0.25</v>
      </c>
      <c r="O185" s="17">
        <v>45248.0</v>
      </c>
      <c r="P185" s="18">
        <v>1.04</v>
      </c>
      <c r="Q185" s="15" t="s">
        <v>33</v>
      </c>
      <c r="R185" s="19">
        <f t="shared" si="1"/>
        <v>0.01</v>
      </c>
      <c r="S185" s="19">
        <f t="shared" si="4"/>
        <v>4.706515579</v>
      </c>
    </row>
    <row r="186">
      <c r="A186" s="8">
        <f t="shared" si="3"/>
        <v>185</v>
      </c>
      <c r="B186" s="8" t="s">
        <v>19</v>
      </c>
      <c r="C186" s="8">
        <v>27.0</v>
      </c>
      <c r="D186" s="8" t="s">
        <v>3853</v>
      </c>
      <c r="E186" s="8" t="s">
        <v>5565</v>
      </c>
      <c r="F186" s="8" t="s">
        <v>2556</v>
      </c>
      <c r="G186" s="8">
        <v>0.0</v>
      </c>
      <c r="H186" s="8" t="s">
        <v>432</v>
      </c>
      <c r="I186" s="8" t="s">
        <v>22</v>
      </c>
      <c r="J186" s="8" t="s">
        <v>225</v>
      </c>
      <c r="K186" s="8" t="s">
        <v>24</v>
      </c>
      <c r="L186" s="9">
        <v>0.5</v>
      </c>
      <c r="M186" s="9">
        <v>0.5</v>
      </c>
      <c r="N186" s="9">
        <v>0.5</v>
      </c>
      <c r="O186" s="10">
        <v>45248.0</v>
      </c>
      <c r="P186" s="11">
        <v>1.9</v>
      </c>
      <c r="Q186" s="8" t="s">
        <v>70</v>
      </c>
      <c r="R186" s="12">
        <f t="shared" si="1"/>
        <v>0</v>
      </c>
      <c r="S186" s="12">
        <f t="shared" si="4"/>
        <v>4.706515579</v>
      </c>
    </row>
    <row r="187">
      <c r="A187" s="15">
        <f t="shared" si="3"/>
        <v>186</v>
      </c>
      <c r="B187" s="15" t="s">
        <v>19</v>
      </c>
      <c r="C187" s="15">
        <v>85.0</v>
      </c>
      <c r="D187" s="15" t="s">
        <v>3854</v>
      </c>
      <c r="E187" s="15"/>
      <c r="F187" s="15"/>
      <c r="G187" s="15"/>
      <c r="H187" s="15" t="s">
        <v>44</v>
      </c>
      <c r="I187" s="15" t="s">
        <v>22</v>
      </c>
      <c r="J187" s="15" t="s">
        <v>2939</v>
      </c>
      <c r="K187" s="15" t="s">
        <v>24</v>
      </c>
      <c r="L187" s="16">
        <v>-10.5</v>
      </c>
      <c r="M187" s="16">
        <v>0.1</v>
      </c>
      <c r="N187" s="16">
        <v>0.1</v>
      </c>
      <c r="O187" s="17">
        <v>45248.0</v>
      </c>
      <c r="P187" s="18">
        <v>1.375</v>
      </c>
      <c r="Q187" s="15" t="s">
        <v>33</v>
      </c>
      <c r="R187" s="19">
        <f t="shared" si="1"/>
        <v>0.0375</v>
      </c>
      <c r="S187" s="19">
        <f t="shared" si="4"/>
        <v>4.744015579</v>
      </c>
    </row>
    <row r="188">
      <c r="A188" s="8">
        <f t="shared" si="3"/>
        <v>187</v>
      </c>
      <c r="B188" s="8" t="s">
        <v>19</v>
      </c>
      <c r="C188" s="8">
        <v>86.0</v>
      </c>
      <c r="D188" s="8" t="s">
        <v>3855</v>
      </c>
      <c r="E188" s="8"/>
      <c r="F188" s="8"/>
      <c r="G188" s="8"/>
      <c r="H188" s="8" t="s">
        <v>432</v>
      </c>
      <c r="I188" s="8" t="s">
        <v>22</v>
      </c>
      <c r="J188" s="8" t="s">
        <v>23</v>
      </c>
      <c r="K188" s="8" t="s">
        <v>39</v>
      </c>
      <c r="L188" s="9">
        <v>-12.5</v>
      </c>
      <c r="M188" s="9">
        <v>0.3</v>
      </c>
      <c r="N188" s="9">
        <f>0.862*0.3</f>
        <v>0.2586</v>
      </c>
      <c r="O188" s="10">
        <v>45248.0</v>
      </c>
      <c r="P188" s="11">
        <f>180/150</f>
        <v>1.2</v>
      </c>
      <c r="Q188" s="8" t="s">
        <v>33</v>
      </c>
      <c r="R188" s="12">
        <f t="shared" si="1"/>
        <v>0.05172</v>
      </c>
      <c r="S188" s="12">
        <f t="shared" si="4"/>
        <v>4.795735579</v>
      </c>
    </row>
    <row r="189">
      <c r="A189" s="15">
        <f t="shared" si="3"/>
        <v>188</v>
      </c>
      <c r="B189" s="15" t="s">
        <v>19</v>
      </c>
      <c r="C189" s="15">
        <v>62.0</v>
      </c>
      <c r="D189" s="15" t="s">
        <v>3856</v>
      </c>
      <c r="E189" s="15" t="s">
        <v>5564</v>
      </c>
      <c r="F189" s="15" t="s">
        <v>2660</v>
      </c>
      <c r="G189" s="15">
        <v>0.0</v>
      </c>
      <c r="H189" s="15" t="s">
        <v>50</v>
      </c>
      <c r="I189" s="15" t="s">
        <v>22</v>
      </c>
      <c r="J189" s="15" t="s">
        <v>892</v>
      </c>
      <c r="K189" s="15" t="s">
        <v>24</v>
      </c>
      <c r="L189" s="16">
        <v>0.0</v>
      </c>
      <c r="M189" s="16">
        <v>0.5</v>
      </c>
      <c r="N189" s="16">
        <v>0.15</v>
      </c>
      <c r="O189" s="17">
        <v>45248.0</v>
      </c>
      <c r="P189" s="18">
        <v>2.375</v>
      </c>
      <c r="Q189" s="15" t="s">
        <v>25</v>
      </c>
      <c r="R189" s="19">
        <f t="shared" si="1"/>
        <v>-0.15</v>
      </c>
      <c r="S189" s="19">
        <f t="shared" si="4"/>
        <v>4.645735579</v>
      </c>
    </row>
    <row r="190">
      <c r="A190" s="8">
        <f t="shared" si="3"/>
        <v>189</v>
      </c>
      <c r="B190" s="8" t="s">
        <v>40</v>
      </c>
      <c r="C190" s="8">
        <f t="shared" ref="C190:C191" si="7">45+20</f>
        <v>65</v>
      </c>
      <c r="D190" s="8" t="s">
        <v>3857</v>
      </c>
      <c r="E190" s="8" t="s">
        <v>5564</v>
      </c>
      <c r="F190" s="8" t="s">
        <v>2556</v>
      </c>
      <c r="G190" s="8">
        <f t="shared" ref="G190:G191" si="8">1</f>
        <v>1</v>
      </c>
      <c r="H190" s="8" t="s">
        <v>229</v>
      </c>
      <c r="I190" s="8" t="s">
        <v>22</v>
      </c>
      <c r="J190" s="8" t="s">
        <v>225</v>
      </c>
      <c r="K190" s="8" t="s">
        <v>24</v>
      </c>
      <c r="L190" s="9">
        <v>0.5</v>
      </c>
      <c r="M190" s="9">
        <v>0.5</v>
      </c>
      <c r="N190" s="9">
        <v>0.5</v>
      </c>
      <c r="O190" s="10">
        <v>45249.0</v>
      </c>
      <c r="P190" s="11">
        <v>1.775</v>
      </c>
      <c r="Q190" s="8" t="s">
        <v>25</v>
      </c>
      <c r="R190" s="12">
        <f t="shared" si="1"/>
        <v>-0.5</v>
      </c>
      <c r="S190" s="12">
        <f t="shared" si="4"/>
        <v>4.145735579</v>
      </c>
    </row>
    <row r="191">
      <c r="A191" s="15">
        <f t="shared" si="3"/>
        <v>190</v>
      </c>
      <c r="B191" s="15" t="s">
        <v>40</v>
      </c>
      <c r="C191" s="15">
        <f t="shared" si="7"/>
        <v>65</v>
      </c>
      <c r="D191" s="15" t="s">
        <v>3858</v>
      </c>
      <c r="E191" s="15" t="s">
        <v>5564</v>
      </c>
      <c r="F191" s="15" t="s">
        <v>2556</v>
      </c>
      <c r="G191" s="15">
        <f t="shared" si="8"/>
        <v>1</v>
      </c>
      <c r="H191" s="15" t="s">
        <v>229</v>
      </c>
      <c r="I191" s="15" t="s">
        <v>22</v>
      </c>
      <c r="J191" s="15" t="s">
        <v>1165</v>
      </c>
      <c r="K191" s="15" t="s">
        <v>24</v>
      </c>
      <c r="L191" s="16"/>
      <c r="M191" s="16">
        <v>0.1</v>
      </c>
      <c r="N191" s="16">
        <v>0.1</v>
      </c>
      <c r="O191" s="55">
        <v>45249.0</v>
      </c>
      <c r="P191" s="18">
        <v>4.0</v>
      </c>
      <c r="Q191" s="15" t="s">
        <v>25</v>
      </c>
      <c r="R191" s="19">
        <f t="shared" si="1"/>
        <v>-0.1</v>
      </c>
      <c r="S191" s="19">
        <f t="shared" si="4"/>
        <v>4.045735579</v>
      </c>
    </row>
    <row r="192">
      <c r="A192" s="8">
        <f t="shared" si="3"/>
        <v>191</v>
      </c>
      <c r="B192" s="8" t="s">
        <v>19</v>
      </c>
      <c r="C192" s="8">
        <v>87.0</v>
      </c>
      <c r="D192" s="8" t="s">
        <v>3859</v>
      </c>
      <c r="E192" s="8"/>
      <c r="F192" s="8"/>
      <c r="G192" s="8"/>
      <c r="H192" s="8" t="s">
        <v>273</v>
      </c>
      <c r="I192" s="8" t="s">
        <v>22</v>
      </c>
      <c r="J192" s="8" t="s">
        <v>29</v>
      </c>
      <c r="K192" s="8" t="s">
        <v>24</v>
      </c>
      <c r="L192" s="9">
        <v>-7.5</v>
      </c>
      <c r="M192" s="9">
        <v>0.3</v>
      </c>
      <c r="N192" s="9">
        <v>0.3</v>
      </c>
      <c r="O192" s="10">
        <v>45249.0</v>
      </c>
      <c r="P192" s="11">
        <f>183/150</f>
        <v>1.22</v>
      </c>
      <c r="Q192" s="8" t="s">
        <v>33</v>
      </c>
      <c r="R192" s="12">
        <f t="shared" si="1"/>
        <v>0.066</v>
      </c>
      <c r="S192" s="12">
        <f t="shared" si="4"/>
        <v>4.111735579</v>
      </c>
    </row>
    <row r="193">
      <c r="A193" s="15">
        <f t="shared" si="3"/>
        <v>192</v>
      </c>
      <c r="B193" s="15" t="s">
        <v>19</v>
      </c>
      <c r="C193" s="15">
        <v>66.0</v>
      </c>
      <c r="D193" s="15" t="s">
        <v>3860</v>
      </c>
      <c r="E193" s="15"/>
      <c r="F193" s="15"/>
      <c r="G193" s="15"/>
      <c r="H193" s="15" t="s">
        <v>88</v>
      </c>
      <c r="I193" s="15" t="s">
        <v>22</v>
      </c>
      <c r="J193" s="15" t="s">
        <v>440</v>
      </c>
      <c r="K193" s="15" t="s">
        <v>24</v>
      </c>
      <c r="L193" s="16">
        <v>0.5</v>
      </c>
      <c r="M193" s="16">
        <v>0.25</v>
      </c>
      <c r="N193" s="16">
        <v>0.25</v>
      </c>
      <c r="O193" s="17">
        <v>45249.0</v>
      </c>
      <c r="P193" s="18">
        <v>1.8</v>
      </c>
      <c r="Q193" s="15" t="s">
        <v>25</v>
      </c>
      <c r="R193" s="19">
        <f t="shared" si="1"/>
        <v>-0.25</v>
      </c>
      <c r="S193" s="19">
        <f t="shared" si="4"/>
        <v>3.861735579</v>
      </c>
    </row>
    <row r="194">
      <c r="A194" s="8">
        <f t="shared" si="3"/>
        <v>193</v>
      </c>
      <c r="B194" s="8" t="s">
        <v>40</v>
      </c>
      <c r="C194" s="8">
        <v>71.0</v>
      </c>
      <c r="D194" s="8" t="s">
        <v>3861</v>
      </c>
      <c r="E194" s="8" t="s">
        <v>5564</v>
      </c>
      <c r="F194" s="8" t="s">
        <v>2660</v>
      </c>
      <c r="G194" s="8">
        <v>2</v>
      </c>
      <c r="H194" s="8" t="s">
        <v>93</v>
      </c>
      <c r="I194" s="8" t="s">
        <v>22</v>
      </c>
      <c r="J194" s="8" t="s">
        <v>892</v>
      </c>
      <c r="K194" s="8" t="s">
        <v>24</v>
      </c>
      <c r="L194" s="9">
        <v>0.0</v>
      </c>
      <c r="M194" s="9">
        <v>1.0</v>
      </c>
      <c r="N194" s="9">
        <v>1.0</v>
      </c>
      <c r="O194" s="10">
        <v>45249.0</v>
      </c>
      <c r="P194" s="11">
        <v>1.725</v>
      </c>
      <c r="Q194" s="8" t="s">
        <v>33</v>
      </c>
      <c r="R194" s="12">
        <f t="shared" si="1"/>
        <v>0.725</v>
      </c>
      <c r="S194" s="12">
        <f t="shared" si="4"/>
        <v>4.586735579</v>
      </c>
    </row>
    <row r="195">
      <c r="A195" s="15">
        <f t="shared" si="3"/>
        <v>194</v>
      </c>
      <c r="B195" s="15" t="s">
        <v>19</v>
      </c>
      <c r="C195" s="15">
        <v>84.0</v>
      </c>
      <c r="D195" s="15" t="s">
        <v>3862</v>
      </c>
      <c r="E195" s="15" t="s">
        <v>5565</v>
      </c>
      <c r="F195" s="15" t="s">
        <v>2660</v>
      </c>
      <c r="G195" s="15">
        <v>0.0</v>
      </c>
      <c r="H195" s="15" t="s">
        <v>1025</v>
      </c>
      <c r="I195" s="15" t="s">
        <v>22</v>
      </c>
      <c r="J195" s="15" t="s">
        <v>892</v>
      </c>
      <c r="K195" s="15" t="s">
        <v>24</v>
      </c>
      <c r="L195" s="16">
        <v>0.0</v>
      </c>
      <c r="M195" s="16">
        <v>0.5</v>
      </c>
      <c r="N195" s="16">
        <v>0.5</v>
      </c>
      <c r="O195" s="17">
        <v>45249.0</v>
      </c>
      <c r="P195" s="18">
        <v>1.7</v>
      </c>
      <c r="Q195" s="15" t="s">
        <v>70</v>
      </c>
      <c r="R195" s="19">
        <f t="shared" si="1"/>
        <v>0</v>
      </c>
      <c r="S195" s="19">
        <f t="shared" si="4"/>
        <v>4.586735579</v>
      </c>
    </row>
    <row r="196">
      <c r="A196" s="8">
        <f t="shared" si="3"/>
        <v>195</v>
      </c>
      <c r="B196" s="8" t="s">
        <v>19</v>
      </c>
      <c r="C196" s="8">
        <v>45.0</v>
      </c>
      <c r="D196" s="8" t="s">
        <v>3863</v>
      </c>
      <c r="E196" s="8" t="s">
        <v>5564</v>
      </c>
      <c r="F196" s="8" t="s">
        <v>2556</v>
      </c>
      <c r="G196" s="8">
        <v>-2.0</v>
      </c>
      <c r="H196" s="8" t="s">
        <v>229</v>
      </c>
      <c r="I196" s="8" t="s">
        <v>22</v>
      </c>
      <c r="J196" s="8" t="s">
        <v>225</v>
      </c>
      <c r="K196" s="8" t="s">
        <v>24</v>
      </c>
      <c r="L196" s="9">
        <v>0.5</v>
      </c>
      <c r="M196" s="9">
        <v>0.75</v>
      </c>
      <c r="N196" s="9">
        <v>0.64</v>
      </c>
      <c r="O196" s="10">
        <v>45249.0</v>
      </c>
      <c r="P196" s="11">
        <v>1.7</v>
      </c>
      <c r="Q196" s="8" t="s">
        <v>25</v>
      </c>
      <c r="R196" s="12">
        <f t="shared" si="1"/>
        <v>-0.64</v>
      </c>
      <c r="S196" s="12">
        <f t="shared" si="4"/>
        <v>3.946735579</v>
      </c>
    </row>
    <row r="197">
      <c r="A197" s="15">
        <f t="shared" si="3"/>
        <v>196</v>
      </c>
      <c r="B197" s="15" t="s">
        <v>19</v>
      </c>
      <c r="C197" s="15">
        <v>84.0</v>
      </c>
      <c r="D197" s="15" t="s">
        <v>3864</v>
      </c>
      <c r="E197" s="15" t="s">
        <v>5564</v>
      </c>
      <c r="F197" s="15" t="s">
        <v>2660</v>
      </c>
      <c r="G197" s="15">
        <f>1</f>
        <v>1</v>
      </c>
      <c r="H197" s="15" t="s">
        <v>93</v>
      </c>
      <c r="I197" s="15" t="s">
        <v>22</v>
      </c>
      <c r="J197" s="15" t="s">
        <v>892</v>
      </c>
      <c r="K197" s="15" t="s">
        <v>24</v>
      </c>
      <c r="L197" s="16">
        <v>0.0</v>
      </c>
      <c r="M197" s="16">
        <v>0.5</v>
      </c>
      <c r="N197" s="16">
        <v>0.5</v>
      </c>
      <c r="O197" s="17">
        <v>45249.0</v>
      </c>
      <c r="P197" s="18">
        <v>1.7</v>
      </c>
      <c r="Q197" s="15" t="s">
        <v>70</v>
      </c>
      <c r="R197" s="19">
        <f t="shared" si="1"/>
        <v>0</v>
      </c>
      <c r="S197" s="19">
        <f t="shared" si="4"/>
        <v>3.946735579</v>
      </c>
    </row>
    <row r="198">
      <c r="A198" s="8">
        <f t="shared" si="3"/>
        <v>197</v>
      </c>
      <c r="B198" s="8" t="s">
        <v>19</v>
      </c>
      <c r="C198" s="8">
        <v>0.0</v>
      </c>
      <c r="D198" s="8" t="s">
        <v>3865</v>
      </c>
      <c r="E198" s="8"/>
      <c r="F198" s="8"/>
      <c r="G198" s="8"/>
      <c r="H198" s="8" t="s">
        <v>44</v>
      </c>
      <c r="I198" s="8" t="s">
        <v>598</v>
      </c>
      <c r="J198" s="8"/>
      <c r="K198" s="8" t="s">
        <v>39</v>
      </c>
      <c r="L198" s="9">
        <v>2.5</v>
      </c>
      <c r="M198" s="9">
        <v>0.1</v>
      </c>
      <c r="N198" s="9">
        <v>0.1</v>
      </c>
      <c r="O198" s="10">
        <v>45249.0</v>
      </c>
      <c r="P198" s="11">
        <v>1.8</v>
      </c>
      <c r="Q198" s="8" t="s">
        <v>25</v>
      </c>
      <c r="R198" s="12">
        <f t="shared" si="1"/>
        <v>-0.1</v>
      </c>
      <c r="S198" s="12">
        <f t="shared" si="4"/>
        <v>3.846735579</v>
      </c>
    </row>
    <row r="199">
      <c r="A199" s="15">
        <f t="shared" si="3"/>
        <v>198</v>
      </c>
      <c r="B199" s="15" t="s">
        <v>19</v>
      </c>
      <c r="C199" s="15">
        <v>69.0</v>
      </c>
      <c r="D199" s="15" t="s">
        <v>3866</v>
      </c>
      <c r="E199" s="15" t="s">
        <v>5565</v>
      </c>
      <c r="F199" s="15" t="s">
        <v>2660</v>
      </c>
      <c r="G199" s="15">
        <v>-1.0</v>
      </c>
      <c r="H199" s="15" t="s">
        <v>93</v>
      </c>
      <c r="I199" s="15" t="s">
        <v>22</v>
      </c>
      <c r="J199" s="15" t="s">
        <v>892</v>
      </c>
      <c r="K199" s="15" t="s">
        <v>24</v>
      </c>
      <c r="L199" s="16">
        <v>0.0</v>
      </c>
      <c r="M199" s="16">
        <v>1.0</v>
      </c>
      <c r="N199" s="16">
        <v>1.0</v>
      </c>
      <c r="O199" s="17">
        <v>45249.0</v>
      </c>
      <c r="P199" s="18">
        <v>1.775</v>
      </c>
      <c r="Q199" s="15" t="s">
        <v>70</v>
      </c>
      <c r="R199" s="19">
        <f t="shared" si="1"/>
        <v>0</v>
      </c>
      <c r="S199" s="19">
        <f t="shared" si="4"/>
        <v>3.846735579</v>
      </c>
    </row>
    <row r="200">
      <c r="A200" s="8">
        <f t="shared" si="3"/>
        <v>199</v>
      </c>
      <c r="B200" s="8" t="s">
        <v>40</v>
      </c>
      <c r="C200" s="8">
        <v>50.0</v>
      </c>
      <c r="D200" s="8" t="s">
        <v>3867</v>
      </c>
      <c r="E200" s="8" t="s">
        <v>5565</v>
      </c>
      <c r="F200" s="8" t="s">
        <v>2660</v>
      </c>
      <c r="G200" s="8">
        <f>1</f>
        <v>1</v>
      </c>
      <c r="H200" s="8" t="s">
        <v>908</v>
      </c>
      <c r="I200" s="8" t="s">
        <v>22</v>
      </c>
      <c r="J200" s="8" t="s">
        <v>892</v>
      </c>
      <c r="K200" s="8" t="s">
        <v>1851</v>
      </c>
      <c r="L200" s="9">
        <v>0.0</v>
      </c>
      <c r="M200" s="9">
        <v>0.5</v>
      </c>
      <c r="N200" s="9">
        <v>0.5</v>
      </c>
      <c r="O200" s="10">
        <v>45249.0</v>
      </c>
      <c r="P200" s="11">
        <v>1.725</v>
      </c>
      <c r="Q200" s="8" t="s">
        <v>70</v>
      </c>
      <c r="R200" s="12">
        <f t="shared" si="1"/>
        <v>0</v>
      </c>
      <c r="S200" s="12">
        <f t="shared" si="4"/>
        <v>3.846735579</v>
      </c>
    </row>
    <row r="201">
      <c r="A201" s="15">
        <f t="shared" si="3"/>
        <v>200</v>
      </c>
      <c r="B201" s="15" t="s">
        <v>19</v>
      </c>
      <c r="C201" s="15">
        <v>31.0</v>
      </c>
      <c r="D201" s="15" t="s">
        <v>3868</v>
      </c>
      <c r="E201" s="15" t="s">
        <v>5565</v>
      </c>
      <c r="F201" s="15" t="s">
        <v>2556</v>
      </c>
      <c r="G201" s="15">
        <v>0.0</v>
      </c>
      <c r="H201" s="15" t="s">
        <v>48</v>
      </c>
      <c r="I201" s="15" t="s">
        <v>22</v>
      </c>
      <c r="J201" s="15" t="s">
        <v>225</v>
      </c>
      <c r="K201" s="15" t="s">
        <v>24</v>
      </c>
      <c r="L201" s="16">
        <v>0.5</v>
      </c>
      <c r="M201" s="16">
        <v>0.5</v>
      </c>
      <c r="N201" s="16">
        <v>0.5</v>
      </c>
      <c r="O201" s="17">
        <v>45249.0</v>
      </c>
      <c r="P201" s="18">
        <v>1.875</v>
      </c>
      <c r="Q201" s="15" t="s">
        <v>33</v>
      </c>
      <c r="R201" s="19">
        <f t="shared" si="1"/>
        <v>0.4375</v>
      </c>
      <c r="S201" s="19">
        <f t="shared" si="4"/>
        <v>4.284235579</v>
      </c>
    </row>
    <row r="202">
      <c r="A202" s="8">
        <f t="shared" si="3"/>
        <v>201</v>
      </c>
      <c r="B202" s="8" t="s">
        <v>40</v>
      </c>
      <c r="C202" s="8">
        <v>37.0</v>
      </c>
      <c r="D202" s="8" t="s">
        <v>3869</v>
      </c>
      <c r="E202" s="8" t="s">
        <v>5564</v>
      </c>
      <c r="F202" s="8" t="s">
        <v>2556</v>
      </c>
      <c r="G202" s="8">
        <v>-1.0</v>
      </c>
      <c r="H202" s="8" t="s">
        <v>178</v>
      </c>
      <c r="I202" s="8" t="s">
        <v>22</v>
      </c>
      <c r="J202" s="8" t="s">
        <v>225</v>
      </c>
      <c r="K202" s="8" t="s">
        <v>24</v>
      </c>
      <c r="L202" s="9">
        <v>0.75</v>
      </c>
      <c r="M202" s="9">
        <v>0.25</v>
      </c>
      <c r="N202" s="9">
        <v>0.25</v>
      </c>
      <c r="O202" s="10">
        <v>45249.0</v>
      </c>
      <c r="P202" s="11">
        <v>1.975</v>
      </c>
      <c r="Q202" s="8" t="s">
        <v>25</v>
      </c>
      <c r="R202" s="12">
        <f t="shared" si="1"/>
        <v>-0.25</v>
      </c>
      <c r="S202" s="12">
        <f t="shared" si="4"/>
        <v>4.034235579</v>
      </c>
    </row>
    <row r="203">
      <c r="A203" s="15">
        <f t="shared" si="3"/>
        <v>202</v>
      </c>
      <c r="B203" s="15" t="s">
        <v>40</v>
      </c>
      <c r="C203" s="15">
        <v>37.0</v>
      </c>
      <c r="D203" s="15" t="s">
        <v>3870</v>
      </c>
      <c r="E203" s="15" t="s">
        <v>5564</v>
      </c>
      <c r="F203" s="15" t="s">
        <v>2556</v>
      </c>
      <c r="G203" s="15">
        <v>-1.0</v>
      </c>
      <c r="H203" s="15" t="s">
        <v>178</v>
      </c>
      <c r="I203" s="15" t="s">
        <v>22</v>
      </c>
      <c r="J203" s="15" t="s">
        <v>225</v>
      </c>
      <c r="K203" s="15" t="s">
        <v>24</v>
      </c>
      <c r="L203" s="16">
        <v>0.5</v>
      </c>
      <c r="M203" s="16">
        <v>0.75</v>
      </c>
      <c r="N203" s="16">
        <v>0.75</v>
      </c>
      <c r="O203" s="17">
        <v>45249.0</v>
      </c>
      <c r="P203" s="18">
        <v>1.97</v>
      </c>
      <c r="Q203" s="15" t="s">
        <v>25</v>
      </c>
      <c r="R203" s="19">
        <f t="shared" si="1"/>
        <v>-0.75</v>
      </c>
      <c r="S203" s="19">
        <f t="shared" si="4"/>
        <v>3.284235579</v>
      </c>
    </row>
    <row r="204">
      <c r="A204" s="8">
        <f t="shared" si="3"/>
        <v>203</v>
      </c>
      <c r="B204" s="8" t="s">
        <v>40</v>
      </c>
      <c r="C204" s="8">
        <v>45.0</v>
      </c>
      <c r="D204" s="8" t="s">
        <v>3871</v>
      </c>
      <c r="E204" s="8" t="s">
        <v>5564</v>
      </c>
      <c r="F204" s="8" t="s">
        <v>2556</v>
      </c>
      <c r="G204" s="8">
        <v>0.0</v>
      </c>
      <c r="H204" s="8" t="s">
        <v>48</v>
      </c>
      <c r="I204" s="8" t="s">
        <v>22</v>
      </c>
      <c r="J204" s="8" t="s">
        <v>225</v>
      </c>
      <c r="K204" s="8" t="s">
        <v>24</v>
      </c>
      <c r="L204" s="9">
        <v>0.75</v>
      </c>
      <c r="M204" s="9">
        <v>1.0</v>
      </c>
      <c r="N204" s="9">
        <v>1.0</v>
      </c>
      <c r="O204" s="10">
        <v>45249.0</v>
      </c>
      <c r="P204" s="11">
        <v>1.9</v>
      </c>
      <c r="Q204" s="8" t="s">
        <v>33</v>
      </c>
      <c r="R204" s="12">
        <f t="shared" si="1"/>
        <v>0.9</v>
      </c>
      <c r="S204" s="12">
        <f t="shared" si="4"/>
        <v>4.184235579</v>
      </c>
    </row>
    <row r="205">
      <c r="A205" s="15">
        <f t="shared" si="3"/>
        <v>204</v>
      </c>
      <c r="B205" s="15" t="s">
        <v>19</v>
      </c>
      <c r="C205" s="15">
        <v>77.0</v>
      </c>
      <c r="D205" s="15" t="s">
        <v>3872</v>
      </c>
      <c r="E205" s="15" t="s">
        <v>5565</v>
      </c>
      <c r="F205" s="15" t="s">
        <v>2660</v>
      </c>
      <c r="G205" s="15">
        <v>0.0</v>
      </c>
      <c r="H205" s="15" t="s">
        <v>397</v>
      </c>
      <c r="I205" s="15" t="s">
        <v>22</v>
      </c>
      <c r="J205" s="15" t="s">
        <v>892</v>
      </c>
      <c r="K205" s="15" t="s">
        <v>24</v>
      </c>
      <c r="L205" s="16">
        <v>0.0</v>
      </c>
      <c r="M205" s="16">
        <v>0.8</v>
      </c>
      <c r="N205" s="16">
        <v>0.8</v>
      </c>
      <c r="O205" s="17">
        <v>45249.0</v>
      </c>
      <c r="P205" s="18">
        <v>1.85</v>
      </c>
      <c r="Q205" s="15" t="s">
        <v>33</v>
      </c>
      <c r="R205" s="19">
        <f t="shared" si="1"/>
        <v>0.68</v>
      </c>
      <c r="S205" s="19">
        <f t="shared" si="4"/>
        <v>4.864235579</v>
      </c>
    </row>
    <row r="206">
      <c r="A206" s="8">
        <f t="shared" si="3"/>
        <v>205</v>
      </c>
      <c r="B206" s="8" t="s">
        <v>19</v>
      </c>
      <c r="C206" s="8">
        <v>69.0</v>
      </c>
      <c r="D206" s="8" t="s">
        <v>3873</v>
      </c>
      <c r="E206" s="8" t="s">
        <v>5564</v>
      </c>
      <c r="F206" s="8" t="s">
        <v>2660</v>
      </c>
      <c r="G206" s="8">
        <v>0.0</v>
      </c>
      <c r="H206" s="8" t="s">
        <v>50</v>
      </c>
      <c r="I206" s="8" t="s">
        <v>22</v>
      </c>
      <c r="J206" s="8" t="s">
        <v>892</v>
      </c>
      <c r="K206" s="8" t="s">
        <v>24</v>
      </c>
      <c r="L206" s="9">
        <v>0.0</v>
      </c>
      <c r="M206" s="9">
        <v>0.25</v>
      </c>
      <c r="N206" s="9">
        <v>0.25</v>
      </c>
      <c r="O206" s="10">
        <v>45249.0</v>
      </c>
      <c r="P206" s="11">
        <v>2.3</v>
      </c>
      <c r="Q206" s="8" t="s">
        <v>25</v>
      </c>
      <c r="R206" s="12">
        <f t="shared" si="1"/>
        <v>-0.25</v>
      </c>
      <c r="S206" s="12">
        <f t="shared" si="4"/>
        <v>4.614235579</v>
      </c>
    </row>
    <row r="207">
      <c r="A207" s="15">
        <f t="shared" si="3"/>
        <v>206</v>
      </c>
      <c r="B207" s="15" t="s">
        <v>40</v>
      </c>
      <c r="C207" s="15">
        <v>30.0</v>
      </c>
      <c r="D207" s="15" t="s">
        <v>3874</v>
      </c>
      <c r="E207" s="15" t="s">
        <v>5564</v>
      </c>
      <c r="F207" s="15" t="s">
        <v>2660</v>
      </c>
      <c r="G207" s="15">
        <v>0.0</v>
      </c>
      <c r="H207" s="15" t="s">
        <v>50</v>
      </c>
      <c r="I207" s="15" t="s">
        <v>22</v>
      </c>
      <c r="J207" s="15" t="s">
        <v>1150</v>
      </c>
      <c r="K207" s="15" t="s">
        <v>24</v>
      </c>
      <c r="L207" s="16">
        <v>0.0</v>
      </c>
      <c r="M207" s="16">
        <v>0.75</v>
      </c>
      <c r="N207" s="16">
        <v>0.75</v>
      </c>
      <c r="O207" s="17">
        <v>45249.0</v>
      </c>
      <c r="P207" s="18">
        <v>1.95</v>
      </c>
      <c r="Q207" s="15" t="s">
        <v>70</v>
      </c>
      <c r="R207" s="19">
        <f t="shared" si="1"/>
        <v>0</v>
      </c>
      <c r="S207" s="19">
        <f t="shared" si="4"/>
        <v>4.614235579</v>
      </c>
    </row>
    <row r="208">
      <c r="A208" s="8">
        <f t="shared" si="3"/>
        <v>207</v>
      </c>
      <c r="B208" s="8" t="s">
        <v>19</v>
      </c>
      <c r="C208" s="8">
        <v>80.0</v>
      </c>
      <c r="D208" s="8" t="s">
        <v>3875</v>
      </c>
      <c r="E208" s="8" t="s">
        <v>5564</v>
      </c>
      <c r="F208" s="8" t="s">
        <v>2556</v>
      </c>
      <c r="G208" s="8">
        <v>0.0</v>
      </c>
      <c r="H208" s="8" t="s">
        <v>354</v>
      </c>
      <c r="I208" s="8" t="s">
        <v>22</v>
      </c>
      <c r="J208" s="8" t="s">
        <v>941</v>
      </c>
      <c r="K208" s="8" t="s">
        <v>24</v>
      </c>
      <c r="L208" s="9">
        <v>0.0</v>
      </c>
      <c r="M208" s="9">
        <v>0.5</v>
      </c>
      <c r="N208" s="9">
        <v>0.5</v>
      </c>
      <c r="O208" s="10">
        <v>45249.0</v>
      </c>
      <c r="P208" s="11">
        <v>2.625</v>
      </c>
      <c r="Q208" s="8" t="s">
        <v>70</v>
      </c>
      <c r="R208" s="12">
        <f t="shared" si="1"/>
        <v>0</v>
      </c>
      <c r="S208" s="12">
        <f t="shared" si="4"/>
        <v>4.614235579</v>
      </c>
    </row>
    <row r="209">
      <c r="A209" s="15">
        <f t="shared" si="3"/>
        <v>208</v>
      </c>
      <c r="B209" s="15" t="s">
        <v>19</v>
      </c>
      <c r="C209" s="15">
        <v>64.0</v>
      </c>
      <c r="D209" s="15" t="s">
        <v>3876</v>
      </c>
      <c r="E209" s="15" t="s">
        <v>5565</v>
      </c>
      <c r="F209" s="15" t="s">
        <v>2660</v>
      </c>
      <c r="G209" s="15">
        <v>-1.0</v>
      </c>
      <c r="H209" s="15" t="s">
        <v>341</v>
      </c>
      <c r="I209" s="15" t="s">
        <v>22</v>
      </c>
      <c r="J209" s="15" t="s">
        <v>892</v>
      </c>
      <c r="K209" s="15" t="s">
        <v>1522</v>
      </c>
      <c r="L209" s="16">
        <v>0.0</v>
      </c>
      <c r="M209" s="16">
        <v>1.0</v>
      </c>
      <c r="N209" s="16">
        <v>1.0</v>
      </c>
      <c r="O209" s="17">
        <v>45249.0</v>
      </c>
      <c r="P209" s="18">
        <v>1.8</v>
      </c>
      <c r="Q209" s="15" t="s">
        <v>25</v>
      </c>
      <c r="R209" s="19">
        <f t="shared" si="1"/>
        <v>-1</v>
      </c>
      <c r="S209" s="19">
        <f t="shared" si="4"/>
        <v>3.614235579</v>
      </c>
    </row>
    <row r="210">
      <c r="A210" s="8">
        <f t="shared" si="3"/>
        <v>209</v>
      </c>
      <c r="B210" s="8" t="s">
        <v>19</v>
      </c>
      <c r="C210" s="8">
        <v>24.0</v>
      </c>
      <c r="D210" s="8" t="s">
        <v>3877</v>
      </c>
      <c r="E210" s="8" t="s">
        <v>5564</v>
      </c>
      <c r="F210" s="8" t="s">
        <v>2573</v>
      </c>
      <c r="G210" s="8">
        <v>0.0</v>
      </c>
      <c r="H210" s="8" t="s">
        <v>316</v>
      </c>
      <c r="I210" s="8" t="s">
        <v>22</v>
      </c>
      <c r="J210" s="8" t="s">
        <v>894</v>
      </c>
      <c r="K210" s="8" t="s">
        <v>1522</v>
      </c>
      <c r="L210" s="9">
        <v>-0.5</v>
      </c>
      <c r="M210" s="9">
        <v>0.5</v>
      </c>
      <c r="N210" s="9">
        <v>0.5</v>
      </c>
      <c r="O210" s="10">
        <v>45249.0</v>
      </c>
      <c r="P210" s="11">
        <v>1.975</v>
      </c>
      <c r="Q210" s="8" t="s">
        <v>33</v>
      </c>
      <c r="R210" s="12">
        <f t="shared" si="1"/>
        <v>0.4875</v>
      </c>
      <c r="S210" s="12">
        <f t="shared" si="4"/>
        <v>4.101735579</v>
      </c>
    </row>
    <row r="211">
      <c r="A211" s="15">
        <f t="shared" si="3"/>
        <v>210</v>
      </c>
      <c r="B211" s="15" t="s">
        <v>19</v>
      </c>
      <c r="C211" s="15">
        <v>39.0</v>
      </c>
      <c r="D211" s="15" t="s">
        <v>3878</v>
      </c>
      <c r="E211" s="15" t="s">
        <v>5565</v>
      </c>
      <c r="F211" s="15" t="s">
        <v>2660</v>
      </c>
      <c r="G211" s="15">
        <v>-1.0</v>
      </c>
      <c r="H211" s="15" t="s">
        <v>248</v>
      </c>
      <c r="I211" s="15" t="s">
        <v>22</v>
      </c>
      <c r="J211" s="15" t="s">
        <v>892</v>
      </c>
      <c r="K211" s="15" t="s">
        <v>24</v>
      </c>
      <c r="L211" s="16">
        <v>0.0</v>
      </c>
      <c r="M211" s="16">
        <v>0.5</v>
      </c>
      <c r="N211" s="16">
        <v>0.5</v>
      </c>
      <c r="O211" s="17">
        <v>45249.0</v>
      </c>
      <c r="P211" s="18">
        <v>1.875</v>
      </c>
      <c r="Q211" s="15" t="s">
        <v>70</v>
      </c>
      <c r="R211" s="19">
        <f t="shared" si="1"/>
        <v>0</v>
      </c>
      <c r="S211" s="19">
        <f t="shared" si="4"/>
        <v>4.101735579</v>
      </c>
    </row>
    <row r="212">
      <c r="A212" s="8">
        <f t="shared" si="3"/>
        <v>211</v>
      </c>
      <c r="B212" s="8" t="s">
        <v>19</v>
      </c>
      <c r="C212" s="8">
        <v>0.0</v>
      </c>
      <c r="D212" s="8" t="s">
        <v>3879</v>
      </c>
      <c r="E212" s="8" t="s">
        <v>5565</v>
      </c>
      <c r="F212" s="8" t="s">
        <v>2556</v>
      </c>
      <c r="G212" s="8">
        <v>0.0</v>
      </c>
      <c r="H212" s="8" t="s">
        <v>121</v>
      </c>
      <c r="I212" s="8" t="s">
        <v>598</v>
      </c>
      <c r="J212" s="8" t="s">
        <v>1847</v>
      </c>
      <c r="K212" s="8" t="s">
        <v>1522</v>
      </c>
      <c r="L212" s="9">
        <v>-0.5</v>
      </c>
      <c r="M212" s="9">
        <v>0.5</v>
      </c>
      <c r="N212" s="9">
        <v>0.47</v>
      </c>
      <c r="O212" s="10">
        <v>45249.0</v>
      </c>
      <c r="P212" s="11">
        <v>2.3</v>
      </c>
      <c r="Q212" s="8" t="s">
        <v>25</v>
      </c>
      <c r="R212" s="12">
        <f t="shared" si="1"/>
        <v>-0.47</v>
      </c>
      <c r="S212" s="12">
        <f t="shared" si="4"/>
        <v>3.631735579</v>
      </c>
    </row>
    <row r="213">
      <c r="A213" s="15">
        <f t="shared" si="3"/>
        <v>212</v>
      </c>
      <c r="B213" s="15" t="s">
        <v>19</v>
      </c>
      <c r="C213" s="15">
        <v>65.0</v>
      </c>
      <c r="D213" s="15" t="s">
        <v>3880</v>
      </c>
      <c r="E213" s="15"/>
      <c r="F213" s="15"/>
      <c r="G213" s="15">
        <v>0.0</v>
      </c>
      <c r="H213" s="15" t="s">
        <v>93</v>
      </c>
      <c r="I213" s="15" t="s">
        <v>22</v>
      </c>
      <c r="J213" s="15" t="s">
        <v>440</v>
      </c>
      <c r="K213" s="15" t="s">
        <v>24</v>
      </c>
      <c r="L213" s="16">
        <v>0.5</v>
      </c>
      <c r="M213" s="16">
        <v>0.5</v>
      </c>
      <c r="N213" s="16">
        <v>0.5</v>
      </c>
      <c r="O213" s="17">
        <v>45249.0</v>
      </c>
      <c r="P213" s="18">
        <v>2.05</v>
      </c>
      <c r="Q213" s="15" t="s">
        <v>33</v>
      </c>
      <c r="R213" s="19">
        <f t="shared" si="1"/>
        <v>0.525</v>
      </c>
      <c r="S213" s="19">
        <f t="shared" si="4"/>
        <v>4.156735579</v>
      </c>
    </row>
    <row r="214">
      <c r="A214" s="8">
        <f t="shared" si="3"/>
        <v>213</v>
      </c>
      <c r="B214" s="8" t="s">
        <v>19</v>
      </c>
      <c r="C214" s="8">
        <v>79.0</v>
      </c>
      <c r="D214" s="8" t="s">
        <v>3878</v>
      </c>
      <c r="E214" s="8" t="s">
        <v>5565</v>
      </c>
      <c r="F214" s="8" t="s">
        <v>2660</v>
      </c>
      <c r="G214" s="8">
        <v>-1.0</v>
      </c>
      <c r="H214" s="8" t="s">
        <v>248</v>
      </c>
      <c r="I214" s="8" t="s">
        <v>22</v>
      </c>
      <c r="J214" s="8" t="s">
        <v>892</v>
      </c>
      <c r="K214" s="8" t="s">
        <v>24</v>
      </c>
      <c r="L214" s="9">
        <v>0.0</v>
      </c>
      <c r="M214" s="9">
        <v>0.5</v>
      </c>
      <c r="N214" s="9">
        <v>0.5</v>
      </c>
      <c r="O214" s="10">
        <v>45249.0</v>
      </c>
      <c r="P214" s="11">
        <v>1.9</v>
      </c>
      <c r="Q214" s="8" t="s">
        <v>70</v>
      </c>
      <c r="R214" s="12">
        <f t="shared" si="1"/>
        <v>0</v>
      </c>
      <c r="S214" s="12">
        <f t="shared" si="4"/>
        <v>4.156735579</v>
      </c>
    </row>
    <row r="215">
      <c r="A215" s="15">
        <f t="shared" si="3"/>
        <v>214</v>
      </c>
      <c r="B215" s="15" t="s">
        <v>19</v>
      </c>
      <c r="C215" s="15">
        <v>87.0</v>
      </c>
      <c r="D215" s="15" t="s">
        <v>3881</v>
      </c>
      <c r="E215" s="15"/>
      <c r="F215" s="15"/>
      <c r="G215" s="15"/>
      <c r="H215" s="15" t="s">
        <v>2932</v>
      </c>
      <c r="I215" s="15" t="s">
        <v>22</v>
      </c>
      <c r="J215" s="15" t="s">
        <v>2939</v>
      </c>
      <c r="K215" s="15" t="s">
        <v>39</v>
      </c>
      <c r="L215" s="16">
        <v>-9.5</v>
      </c>
      <c r="M215" s="16">
        <v>0.3</v>
      </c>
      <c r="N215" s="16">
        <v>0.3</v>
      </c>
      <c r="O215" s="17">
        <v>45249.0</v>
      </c>
      <c r="P215" s="18">
        <v>1.825</v>
      </c>
      <c r="Q215" s="15" t="s">
        <v>25</v>
      </c>
      <c r="R215" s="19">
        <f t="shared" si="1"/>
        <v>-0.3</v>
      </c>
      <c r="S215" s="19">
        <f t="shared" si="4"/>
        <v>3.856735579</v>
      </c>
    </row>
    <row r="216">
      <c r="A216" s="8">
        <f t="shared" si="3"/>
        <v>215</v>
      </c>
      <c r="B216" s="8" t="s">
        <v>19</v>
      </c>
      <c r="C216" s="8">
        <v>80.0</v>
      </c>
      <c r="D216" s="8" t="s">
        <v>3882</v>
      </c>
      <c r="E216" s="8" t="s">
        <v>5565</v>
      </c>
      <c r="F216" s="8" t="s">
        <v>2660</v>
      </c>
      <c r="G216" s="8">
        <v>-1.0</v>
      </c>
      <c r="H216" s="8" t="s">
        <v>68</v>
      </c>
      <c r="I216" s="8" t="s">
        <v>22</v>
      </c>
      <c r="J216" s="8" t="s">
        <v>892</v>
      </c>
      <c r="K216" s="8" t="s">
        <v>24</v>
      </c>
      <c r="L216" s="9">
        <v>0.0</v>
      </c>
      <c r="M216" s="9">
        <v>0.25</v>
      </c>
      <c r="N216" s="9">
        <v>0.25</v>
      </c>
      <c r="O216" s="10">
        <v>45249.0</v>
      </c>
      <c r="P216" s="11">
        <v>2.025</v>
      </c>
      <c r="Q216" s="8" t="s">
        <v>70</v>
      </c>
      <c r="R216" s="12">
        <f t="shared" si="1"/>
        <v>0</v>
      </c>
      <c r="S216" s="12">
        <f t="shared" si="4"/>
        <v>3.856735579</v>
      </c>
    </row>
    <row r="217">
      <c r="A217" s="15">
        <f t="shared" si="3"/>
        <v>216</v>
      </c>
      <c r="B217" s="15" t="s">
        <v>19</v>
      </c>
      <c r="C217" s="15">
        <v>56.0</v>
      </c>
      <c r="D217" s="15" t="s">
        <v>3883</v>
      </c>
      <c r="E217" s="15" t="s">
        <v>5565</v>
      </c>
      <c r="F217" s="15" t="s">
        <v>2660</v>
      </c>
      <c r="G217" s="15">
        <v>-1.0</v>
      </c>
      <c r="H217" s="15" t="s">
        <v>93</v>
      </c>
      <c r="I217" s="15" t="s">
        <v>22</v>
      </c>
      <c r="J217" s="15" t="s">
        <v>892</v>
      </c>
      <c r="K217" s="15" t="s">
        <v>39</v>
      </c>
      <c r="L217" s="16">
        <v>0.0</v>
      </c>
      <c r="M217" s="16">
        <v>1.0</v>
      </c>
      <c r="N217" s="16">
        <v>0.87</v>
      </c>
      <c r="O217" s="17">
        <v>45249.0</v>
      </c>
      <c r="P217" s="18">
        <v>1.825</v>
      </c>
      <c r="Q217" s="15" t="s">
        <v>70</v>
      </c>
      <c r="R217" s="19">
        <f t="shared" si="1"/>
        <v>0</v>
      </c>
      <c r="S217" s="19">
        <f t="shared" si="4"/>
        <v>3.856735579</v>
      </c>
    </row>
    <row r="218">
      <c r="A218" s="8">
        <f t="shared" si="3"/>
        <v>217</v>
      </c>
      <c r="B218" s="8" t="s">
        <v>19</v>
      </c>
      <c r="C218" s="8"/>
      <c r="D218" s="8" t="s">
        <v>3884</v>
      </c>
      <c r="E218" s="8" t="s">
        <v>5564</v>
      </c>
      <c r="F218" s="8" t="s">
        <v>2556</v>
      </c>
      <c r="G218" s="8">
        <v>0.0</v>
      </c>
      <c r="H218" s="8" t="s">
        <v>635</v>
      </c>
      <c r="I218" s="8" t="s">
        <v>22</v>
      </c>
      <c r="J218" s="8" t="s">
        <v>225</v>
      </c>
      <c r="K218" s="8" t="s">
        <v>1522</v>
      </c>
      <c r="L218" s="9">
        <v>1.0</v>
      </c>
      <c r="M218" s="9">
        <v>0.4</v>
      </c>
      <c r="N218" s="9">
        <v>0.4</v>
      </c>
      <c r="O218" s="10">
        <v>45250.0</v>
      </c>
      <c r="P218" s="11">
        <v>1.775</v>
      </c>
      <c r="Q218" s="8" t="s">
        <v>25</v>
      </c>
      <c r="R218" s="12">
        <f t="shared" si="1"/>
        <v>-0.4</v>
      </c>
      <c r="S218" s="12">
        <f t="shared" si="4"/>
        <v>3.456735579</v>
      </c>
    </row>
    <row r="219">
      <c r="A219" s="15">
        <f t="shared" si="3"/>
        <v>218</v>
      </c>
      <c r="B219" s="15" t="s">
        <v>19</v>
      </c>
      <c r="C219" s="15">
        <v>20.0</v>
      </c>
      <c r="D219" s="15" t="s">
        <v>3885</v>
      </c>
      <c r="E219" s="15" t="s">
        <v>5564</v>
      </c>
      <c r="F219" s="15" t="s">
        <v>2556</v>
      </c>
      <c r="G219" s="15">
        <v>0.0</v>
      </c>
      <c r="H219" s="15" t="s">
        <v>82</v>
      </c>
      <c r="I219" s="15" t="s">
        <v>22</v>
      </c>
      <c r="J219" s="15" t="s">
        <v>225</v>
      </c>
      <c r="K219" s="15" t="s">
        <v>39</v>
      </c>
      <c r="L219" s="16">
        <v>0.25</v>
      </c>
      <c r="M219" s="16">
        <v>1.0</v>
      </c>
      <c r="N219" s="16">
        <v>1.0</v>
      </c>
      <c r="O219" s="17">
        <v>45251.0</v>
      </c>
      <c r="P219" s="18">
        <v>1.59</v>
      </c>
      <c r="Q219" s="15" t="s">
        <v>30</v>
      </c>
      <c r="R219" s="19">
        <f t="shared" si="1"/>
        <v>0.295</v>
      </c>
      <c r="S219" s="19">
        <f t="shared" si="4"/>
        <v>3.751735579</v>
      </c>
    </row>
    <row r="220">
      <c r="A220" s="8">
        <f t="shared" si="3"/>
        <v>219</v>
      </c>
      <c r="B220" s="8" t="s">
        <v>19</v>
      </c>
      <c r="C220" s="8">
        <v>40.0</v>
      </c>
      <c r="D220" s="8" t="s">
        <v>3886</v>
      </c>
      <c r="E220" s="8" t="s">
        <v>5565</v>
      </c>
      <c r="F220" s="8" t="s">
        <v>2556</v>
      </c>
      <c r="G220" s="8">
        <v>-1.0</v>
      </c>
      <c r="H220" s="8" t="s">
        <v>644</v>
      </c>
      <c r="I220" s="8" t="s">
        <v>22</v>
      </c>
      <c r="J220" s="8" t="s">
        <v>225</v>
      </c>
      <c r="K220" s="8" t="s">
        <v>24</v>
      </c>
      <c r="L220" s="9">
        <v>0.5</v>
      </c>
      <c r="M220" s="9">
        <v>0.5</v>
      </c>
      <c r="N220" s="9">
        <v>0.5</v>
      </c>
      <c r="O220" s="10">
        <v>45251.0</v>
      </c>
      <c r="P220" s="11">
        <v>1.85</v>
      </c>
      <c r="Q220" s="8" t="s">
        <v>25</v>
      </c>
      <c r="R220" s="12">
        <f t="shared" si="1"/>
        <v>-0.5</v>
      </c>
      <c r="S220" s="12">
        <f t="shared" si="4"/>
        <v>3.251735579</v>
      </c>
    </row>
    <row r="221">
      <c r="A221" s="15">
        <f t="shared" si="3"/>
        <v>220</v>
      </c>
      <c r="B221" s="15" t="s">
        <v>19</v>
      </c>
      <c r="C221" s="15">
        <v>0.0</v>
      </c>
      <c r="D221" s="15" t="s">
        <v>3887</v>
      </c>
      <c r="E221" s="15"/>
      <c r="F221" s="15"/>
      <c r="G221" s="15"/>
      <c r="H221" s="15" t="s">
        <v>2468</v>
      </c>
      <c r="I221" s="15" t="s">
        <v>598</v>
      </c>
      <c r="J221" s="15" t="s">
        <v>3888</v>
      </c>
      <c r="K221" s="15" t="s">
        <v>24</v>
      </c>
      <c r="L221" s="16">
        <v>0.5</v>
      </c>
      <c r="M221" s="16">
        <v>0.5</v>
      </c>
      <c r="N221" s="16">
        <v>0.5</v>
      </c>
      <c r="O221" s="57">
        <v>45251.0</v>
      </c>
      <c r="P221" s="18">
        <v>1.725</v>
      </c>
      <c r="Q221" s="15" t="s">
        <v>25</v>
      </c>
      <c r="R221" s="19">
        <f t="shared" si="1"/>
        <v>-0.5</v>
      </c>
      <c r="S221" s="19">
        <f t="shared" si="4"/>
        <v>2.751735579</v>
      </c>
    </row>
    <row r="222">
      <c r="A222" s="8">
        <f t="shared" si="3"/>
        <v>221</v>
      </c>
      <c r="B222" s="8" t="s">
        <v>19</v>
      </c>
      <c r="C222" s="8">
        <v>38.0</v>
      </c>
      <c r="D222" s="8" t="s">
        <v>3889</v>
      </c>
      <c r="E222" s="8" t="s">
        <v>5564</v>
      </c>
      <c r="F222" s="8" t="s">
        <v>2556</v>
      </c>
      <c r="G222" s="8">
        <v>0.0</v>
      </c>
      <c r="H222" s="8" t="s">
        <v>644</v>
      </c>
      <c r="I222" s="8" t="s">
        <v>22</v>
      </c>
      <c r="J222" s="8" t="s">
        <v>941</v>
      </c>
      <c r="K222" s="8" t="s">
        <v>24</v>
      </c>
      <c r="L222" s="9">
        <v>0.0</v>
      </c>
      <c r="M222" s="9">
        <v>0.8</v>
      </c>
      <c r="N222" s="9">
        <v>0.8</v>
      </c>
      <c r="O222" s="10">
        <v>45251.0</v>
      </c>
      <c r="P222" s="11">
        <v>1.75</v>
      </c>
      <c r="Q222" s="8" t="s">
        <v>33</v>
      </c>
      <c r="R222" s="12">
        <f t="shared" si="1"/>
        <v>0.6</v>
      </c>
      <c r="S222" s="12">
        <f t="shared" si="4"/>
        <v>3.351735579</v>
      </c>
    </row>
    <row r="223">
      <c r="A223" s="15">
        <f t="shared" si="3"/>
        <v>222</v>
      </c>
      <c r="B223" s="15" t="s">
        <v>19</v>
      </c>
      <c r="C223" s="15">
        <v>38.0</v>
      </c>
      <c r="D223" s="15" t="s">
        <v>3890</v>
      </c>
      <c r="E223" s="15" t="s">
        <v>5564</v>
      </c>
      <c r="F223" s="15" t="s">
        <v>2660</v>
      </c>
      <c r="G223" s="15">
        <v>0.0</v>
      </c>
      <c r="H223" s="15" t="s">
        <v>644</v>
      </c>
      <c r="I223" s="15" t="s">
        <v>22</v>
      </c>
      <c r="J223" s="15" t="s">
        <v>892</v>
      </c>
      <c r="K223" s="15" t="s">
        <v>24</v>
      </c>
      <c r="L223" s="16">
        <v>0.0</v>
      </c>
      <c r="M223" s="16">
        <v>0.2</v>
      </c>
      <c r="N223" s="16">
        <v>0.2</v>
      </c>
      <c r="O223" s="17">
        <v>45251.0</v>
      </c>
      <c r="P223" s="18">
        <v>1.75</v>
      </c>
      <c r="Q223" s="15" t="s">
        <v>33</v>
      </c>
      <c r="R223" s="19">
        <f t="shared" si="1"/>
        <v>0.15</v>
      </c>
      <c r="S223" s="19">
        <f t="shared" si="4"/>
        <v>3.501735579</v>
      </c>
    </row>
    <row r="224">
      <c r="A224" s="8">
        <f t="shared" si="3"/>
        <v>223</v>
      </c>
      <c r="B224" s="8" t="s">
        <v>19</v>
      </c>
      <c r="C224" s="8">
        <v>58.0</v>
      </c>
      <c r="D224" s="8" t="s">
        <v>3891</v>
      </c>
      <c r="E224" s="8" t="s">
        <v>5565</v>
      </c>
      <c r="F224" s="8" t="s">
        <v>2660</v>
      </c>
      <c r="G224" s="8">
        <v>-2.0</v>
      </c>
      <c r="H224" s="8" t="s">
        <v>644</v>
      </c>
      <c r="I224" s="8" t="s">
        <v>22</v>
      </c>
      <c r="J224" s="8" t="s">
        <v>892</v>
      </c>
      <c r="K224" s="8" t="s">
        <v>24</v>
      </c>
      <c r="L224" s="9">
        <v>0.0</v>
      </c>
      <c r="M224" s="9">
        <v>0.5</v>
      </c>
      <c r="N224" s="9">
        <v>0.5</v>
      </c>
      <c r="O224" s="10">
        <v>45251.0</v>
      </c>
      <c r="P224" s="11">
        <v>1.7</v>
      </c>
      <c r="Q224" s="8" t="s">
        <v>70</v>
      </c>
      <c r="R224" s="12">
        <f t="shared" si="1"/>
        <v>0</v>
      </c>
      <c r="S224" s="12">
        <f t="shared" si="4"/>
        <v>3.501735579</v>
      </c>
    </row>
    <row r="225">
      <c r="A225" s="15">
        <f t="shared" si="3"/>
        <v>224</v>
      </c>
      <c r="B225" s="15" t="s">
        <v>19</v>
      </c>
      <c r="C225" s="15">
        <v>33.0</v>
      </c>
      <c r="D225" s="15" t="s">
        <v>3892</v>
      </c>
      <c r="E225" s="15" t="s">
        <v>5564</v>
      </c>
      <c r="F225" s="15" t="s">
        <v>2556</v>
      </c>
      <c r="G225" s="15">
        <f>1</f>
        <v>1</v>
      </c>
      <c r="H225" s="15" t="s">
        <v>48</v>
      </c>
      <c r="I225" s="15" t="s">
        <v>22</v>
      </c>
      <c r="J225" s="15" t="s">
        <v>225</v>
      </c>
      <c r="K225" s="15" t="s">
        <v>1803</v>
      </c>
      <c r="L225" s="16">
        <v>0.25</v>
      </c>
      <c r="M225" s="16">
        <v>1.0</v>
      </c>
      <c r="N225" s="16">
        <v>1.0</v>
      </c>
      <c r="O225" s="17">
        <v>45252.0</v>
      </c>
      <c r="P225" s="18">
        <v>1.8</v>
      </c>
      <c r="Q225" s="15" t="s">
        <v>25</v>
      </c>
      <c r="R225" s="19">
        <f t="shared" si="1"/>
        <v>-1</v>
      </c>
      <c r="S225" s="19">
        <f t="shared" si="4"/>
        <v>2.501735579</v>
      </c>
    </row>
    <row r="226">
      <c r="A226" s="8">
        <f t="shared" si="3"/>
        <v>225</v>
      </c>
      <c r="B226" s="8" t="s">
        <v>19</v>
      </c>
      <c r="C226" s="8">
        <v>54.0</v>
      </c>
      <c r="D226" s="8" t="s">
        <v>3893</v>
      </c>
      <c r="E226" s="8" t="s">
        <v>5565</v>
      </c>
      <c r="F226" s="8" t="s">
        <v>2573</v>
      </c>
      <c r="G226" s="8">
        <v>0.0</v>
      </c>
      <c r="H226" s="8" t="s">
        <v>96</v>
      </c>
      <c r="I226" s="8" t="s">
        <v>22</v>
      </c>
      <c r="J226" s="8" t="s">
        <v>894</v>
      </c>
      <c r="K226" s="8" t="s">
        <v>24</v>
      </c>
      <c r="L226" s="9">
        <v>-0.25</v>
      </c>
      <c r="M226" s="9">
        <v>0.8</v>
      </c>
      <c r="N226" s="9">
        <v>0.71</v>
      </c>
      <c r="O226" s="10">
        <v>45252.0</v>
      </c>
      <c r="P226" s="11">
        <v>1.975</v>
      </c>
      <c r="Q226" s="8" t="s">
        <v>70</v>
      </c>
      <c r="R226" s="12">
        <f t="shared" si="1"/>
        <v>0</v>
      </c>
      <c r="S226" s="12">
        <f t="shared" si="4"/>
        <v>2.501735579</v>
      </c>
    </row>
    <row r="227">
      <c r="A227" s="15">
        <f t="shared" si="3"/>
        <v>226</v>
      </c>
      <c r="B227" s="15" t="s">
        <v>19</v>
      </c>
      <c r="C227" s="15">
        <v>0.0</v>
      </c>
      <c r="D227" s="15" t="s">
        <v>3894</v>
      </c>
      <c r="E227" s="15" t="s">
        <v>5564</v>
      </c>
      <c r="F227" s="15" t="s">
        <v>2573</v>
      </c>
      <c r="G227" s="15"/>
      <c r="H227" s="15" t="s">
        <v>93</v>
      </c>
      <c r="I227" s="15" t="s">
        <v>598</v>
      </c>
      <c r="J227" s="15" t="s">
        <v>894</v>
      </c>
      <c r="K227" s="15" t="s">
        <v>39</v>
      </c>
      <c r="L227" s="16">
        <v>-1.5</v>
      </c>
      <c r="M227" s="16">
        <v>0.25</v>
      </c>
      <c r="N227" s="16">
        <v>0.25</v>
      </c>
      <c r="O227" s="17">
        <v>45252.0</v>
      </c>
      <c r="P227" s="18">
        <v>1.925</v>
      </c>
      <c r="Q227" s="15" t="s">
        <v>25</v>
      </c>
      <c r="R227" s="19">
        <f t="shared" si="1"/>
        <v>-0.25</v>
      </c>
      <c r="S227" s="19">
        <f t="shared" si="4"/>
        <v>2.251735579</v>
      </c>
    </row>
    <row r="228">
      <c r="A228" s="8">
        <f t="shared" si="3"/>
        <v>227</v>
      </c>
      <c r="B228" s="8" t="s">
        <v>19</v>
      </c>
      <c r="C228" s="8">
        <v>19.0</v>
      </c>
      <c r="D228" s="8" t="s">
        <v>3895</v>
      </c>
      <c r="E228" s="8" t="s">
        <v>5564</v>
      </c>
      <c r="F228" s="8" t="s">
        <v>2660</v>
      </c>
      <c r="G228" s="8">
        <v>-1.0</v>
      </c>
      <c r="H228" s="8" t="s">
        <v>248</v>
      </c>
      <c r="I228" s="8" t="s">
        <v>22</v>
      </c>
      <c r="J228" s="8" t="s">
        <v>1150</v>
      </c>
      <c r="K228" s="8" t="s">
        <v>24</v>
      </c>
      <c r="L228" s="9">
        <v>0.0</v>
      </c>
      <c r="M228" s="9">
        <v>1.0</v>
      </c>
      <c r="N228" s="9">
        <v>1.0</v>
      </c>
      <c r="O228" s="10">
        <v>45252.0</v>
      </c>
      <c r="P228" s="11">
        <v>1.9</v>
      </c>
      <c r="Q228" s="8" t="s">
        <v>70</v>
      </c>
      <c r="R228" s="12">
        <f t="shared" si="1"/>
        <v>0</v>
      </c>
      <c r="S228" s="12">
        <f t="shared" si="4"/>
        <v>2.251735579</v>
      </c>
    </row>
    <row r="229">
      <c r="A229" s="15">
        <f t="shared" si="3"/>
        <v>228</v>
      </c>
      <c r="B229" s="15" t="s">
        <v>19</v>
      </c>
      <c r="C229" s="15">
        <v>71.0</v>
      </c>
      <c r="D229" s="15" t="s">
        <v>3896</v>
      </c>
      <c r="E229" s="15" t="s">
        <v>5564</v>
      </c>
      <c r="F229" s="15" t="s">
        <v>2660</v>
      </c>
      <c r="G229" s="15">
        <v>0.0</v>
      </c>
      <c r="H229" s="15" t="s">
        <v>248</v>
      </c>
      <c r="I229" s="15" t="s">
        <v>22</v>
      </c>
      <c r="J229" s="15" t="s">
        <v>892</v>
      </c>
      <c r="K229" s="15" t="s">
        <v>24</v>
      </c>
      <c r="L229" s="16">
        <v>0.0</v>
      </c>
      <c r="M229" s="16">
        <v>0.5</v>
      </c>
      <c r="N229" s="16">
        <v>0.5</v>
      </c>
      <c r="O229" s="17">
        <v>45252.0</v>
      </c>
      <c r="P229" s="18">
        <v>1.725</v>
      </c>
      <c r="Q229" s="15" t="s">
        <v>70</v>
      </c>
      <c r="R229" s="19">
        <f t="shared" si="1"/>
        <v>0</v>
      </c>
      <c r="S229" s="19">
        <f t="shared" si="4"/>
        <v>2.251735579</v>
      </c>
    </row>
    <row r="230">
      <c r="A230" s="8">
        <f t="shared" si="3"/>
        <v>229</v>
      </c>
      <c r="B230" s="8" t="s">
        <v>19</v>
      </c>
      <c r="C230" s="8">
        <v>54.0</v>
      </c>
      <c r="D230" s="8" t="s">
        <v>3897</v>
      </c>
      <c r="E230" s="8" t="s">
        <v>5564</v>
      </c>
      <c r="F230" s="8" t="s">
        <v>2660</v>
      </c>
      <c r="G230" s="8">
        <v>0.0</v>
      </c>
      <c r="H230" s="8" t="s">
        <v>93</v>
      </c>
      <c r="I230" s="8" t="s">
        <v>22</v>
      </c>
      <c r="J230" s="8" t="s">
        <v>892</v>
      </c>
      <c r="K230" s="8" t="s">
        <v>1803</v>
      </c>
      <c r="L230" s="9">
        <v>0.0</v>
      </c>
      <c r="M230" s="9">
        <v>1.0</v>
      </c>
      <c r="N230" s="9">
        <v>1.0</v>
      </c>
      <c r="O230" s="10">
        <v>45252.0</v>
      </c>
      <c r="P230" s="11">
        <v>1.9</v>
      </c>
      <c r="Q230" s="8" t="s">
        <v>25</v>
      </c>
      <c r="R230" s="12">
        <f t="shared" si="1"/>
        <v>-1</v>
      </c>
      <c r="S230" s="12">
        <f t="shared" si="4"/>
        <v>1.251735579</v>
      </c>
    </row>
    <row r="231">
      <c r="A231" s="15">
        <f t="shared" si="3"/>
        <v>230</v>
      </c>
      <c r="B231" s="15" t="s">
        <v>19</v>
      </c>
      <c r="C231" s="15">
        <v>12.0</v>
      </c>
      <c r="D231" s="15" t="s">
        <v>3898</v>
      </c>
      <c r="E231" s="15" t="s">
        <v>5565</v>
      </c>
      <c r="F231" s="15" t="s">
        <v>2556</v>
      </c>
      <c r="G231" s="15">
        <v>0.0</v>
      </c>
      <c r="H231" s="15" t="s">
        <v>178</v>
      </c>
      <c r="I231" s="15" t="s">
        <v>22</v>
      </c>
      <c r="J231" s="15" t="s">
        <v>225</v>
      </c>
      <c r="K231" s="15" t="s">
        <v>1522</v>
      </c>
      <c r="L231" s="16">
        <v>0.25</v>
      </c>
      <c r="M231" s="16">
        <v>0.75</v>
      </c>
      <c r="N231" s="16">
        <v>0.75</v>
      </c>
      <c r="O231" s="17">
        <v>45252.0</v>
      </c>
      <c r="P231" s="18">
        <v>1.975</v>
      </c>
      <c r="Q231" s="15" t="s">
        <v>25</v>
      </c>
      <c r="R231" s="19">
        <f t="shared" si="1"/>
        <v>-0.75</v>
      </c>
      <c r="S231" s="19">
        <f t="shared" si="4"/>
        <v>0.5017355788</v>
      </c>
    </row>
    <row r="232">
      <c r="A232" s="8">
        <f t="shared" si="3"/>
        <v>231</v>
      </c>
      <c r="B232" s="8" t="s">
        <v>19</v>
      </c>
      <c r="C232" s="8">
        <v>26.0</v>
      </c>
      <c r="D232" s="8" t="s">
        <v>3899</v>
      </c>
      <c r="E232" s="8" t="s">
        <v>5565</v>
      </c>
      <c r="F232" s="8" t="s">
        <v>2660</v>
      </c>
      <c r="G232" s="8">
        <v>-1.0</v>
      </c>
      <c r="H232" s="8" t="s">
        <v>316</v>
      </c>
      <c r="I232" s="8" t="s">
        <v>22</v>
      </c>
      <c r="J232" s="8" t="s">
        <v>1150</v>
      </c>
      <c r="K232" s="8" t="s">
        <v>24</v>
      </c>
      <c r="L232" s="9">
        <v>0.0</v>
      </c>
      <c r="M232" s="9">
        <v>0.3</v>
      </c>
      <c r="N232" s="9">
        <v>0.3</v>
      </c>
      <c r="O232" s="10">
        <v>45252.0</v>
      </c>
      <c r="P232" s="11">
        <v>2.0</v>
      </c>
      <c r="Q232" s="8" t="s">
        <v>25</v>
      </c>
      <c r="R232" s="12">
        <f t="shared" si="1"/>
        <v>-0.3</v>
      </c>
      <c r="S232" s="12">
        <f t="shared" si="4"/>
        <v>0.2017355788</v>
      </c>
    </row>
    <row r="233">
      <c r="A233" s="15">
        <f t="shared" si="3"/>
        <v>232</v>
      </c>
      <c r="B233" s="15" t="s">
        <v>40</v>
      </c>
      <c r="C233" s="15">
        <v>34.0</v>
      </c>
      <c r="D233" s="15" t="s">
        <v>3900</v>
      </c>
      <c r="E233" s="15" t="s">
        <v>5565</v>
      </c>
      <c r="F233" s="15" t="s">
        <v>2556</v>
      </c>
      <c r="G233" s="15">
        <v>-1.0</v>
      </c>
      <c r="H233" s="15" t="s">
        <v>703</v>
      </c>
      <c r="I233" s="15" t="s">
        <v>22</v>
      </c>
      <c r="J233" s="15" t="s">
        <v>225</v>
      </c>
      <c r="K233" s="15" t="s">
        <v>24</v>
      </c>
      <c r="L233" s="16">
        <v>2.25</v>
      </c>
      <c r="M233" s="16">
        <v>0.75</v>
      </c>
      <c r="N233" s="16">
        <v>0.55</v>
      </c>
      <c r="O233" s="17">
        <v>45253.0</v>
      </c>
      <c r="P233" s="18">
        <v>1.825</v>
      </c>
      <c r="Q233" s="15" t="s">
        <v>25</v>
      </c>
      <c r="R233" s="19">
        <f t="shared" si="1"/>
        <v>-0.55</v>
      </c>
      <c r="S233" s="19">
        <f t="shared" si="4"/>
        <v>-0.3482644212</v>
      </c>
    </row>
    <row r="234">
      <c r="A234" s="8">
        <f t="shared" si="3"/>
        <v>233</v>
      </c>
      <c r="B234" s="8" t="s">
        <v>40</v>
      </c>
      <c r="C234" s="8">
        <v>37.0</v>
      </c>
      <c r="D234" s="8" t="s">
        <v>3900</v>
      </c>
      <c r="E234" s="8" t="s">
        <v>5565</v>
      </c>
      <c r="F234" s="8" t="s">
        <v>2660</v>
      </c>
      <c r="G234" s="8">
        <v>-2.0</v>
      </c>
      <c r="H234" s="8" t="s">
        <v>703</v>
      </c>
      <c r="I234" s="8" t="s">
        <v>22</v>
      </c>
      <c r="J234" s="8" t="s">
        <v>225</v>
      </c>
      <c r="K234" s="8" t="s">
        <v>24</v>
      </c>
      <c r="L234" s="9">
        <v>2.25</v>
      </c>
      <c r="M234" s="9">
        <v>0.25</v>
      </c>
      <c r="N234" s="9">
        <v>0.25</v>
      </c>
      <c r="O234" s="10">
        <v>45253.0</v>
      </c>
      <c r="P234" s="11">
        <v>1.2</v>
      </c>
      <c r="Q234" s="8" t="s">
        <v>33</v>
      </c>
      <c r="R234" s="12">
        <f t="shared" si="1"/>
        <v>0.05</v>
      </c>
      <c r="S234" s="12">
        <f t="shared" si="4"/>
        <v>-0.2982644212</v>
      </c>
    </row>
    <row r="235">
      <c r="A235" s="15">
        <f t="shared" si="3"/>
        <v>234</v>
      </c>
      <c r="B235" s="15" t="s">
        <v>19</v>
      </c>
      <c r="C235" s="15">
        <v>28.0</v>
      </c>
      <c r="D235" s="15" t="s">
        <v>3901</v>
      </c>
      <c r="E235" s="15" t="s">
        <v>5564</v>
      </c>
      <c r="F235" s="15" t="s">
        <v>2556</v>
      </c>
      <c r="G235" s="15">
        <f>1</f>
        <v>1</v>
      </c>
      <c r="H235" s="15" t="s">
        <v>1172</v>
      </c>
      <c r="I235" s="15" t="s">
        <v>22</v>
      </c>
      <c r="J235" s="15" t="s">
        <v>225</v>
      </c>
      <c r="K235" s="15" t="s">
        <v>39</v>
      </c>
      <c r="L235" s="16">
        <v>0.25</v>
      </c>
      <c r="M235" s="16">
        <v>1.0</v>
      </c>
      <c r="N235" s="16">
        <v>1.0</v>
      </c>
      <c r="O235" s="17">
        <v>45253.0</v>
      </c>
      <c r="P235" s="18">
        <v>1.51</v>
      </c>
      <c r="Q235" s="15" t="s">
        <v>33</v>
      </c>
      <c r="R235" s="19">
        <f t="shared" si="1"/>
        <v>0.51</v>
      </c>
      <c r="S235" s="19">
        <f t="shared" si="4"/>
        <v>0.2117355788</v>
      </c>
    </row>
    <row r="236">
      <c r="A236" s="8">
        <f t="shared" si="3"/>
        <v>235</v>
      </c>
      <c r="B236" s="8" t="s">
        <v>19</v>
      </c>
      <c r="C236" s="8">
        <v>0.0</v>
      </c>
      <c r="D236" s="8" t="s">
        <v>3902</v>
      </c>
      <c r="E236" s="8"/>
      <c r="F236" s="8"/>
      <c r="G236" s="8"/>
      <c r="H236" s="8" t="s">
        <v>768</v>
      </c>
      <c r="I236" s="8" t="s">
        <v>598</v>
      </c>
      <c r="J236" s="8" t="s">
        <v>440</v>
      </c>
      <c r="K236" s="8" t="s">
        <v>24</v>
      </c>
      <c r="L236" s="9">
        <v>5.5</v>
      </c>
      <c r="M236" s="9">
        <v>0.4</v>
      </c>
      <c r="N236" s="9">
        <v>0.4</v>
      </c>
      <c r="O236" s="10">
        <v>45253.0</v>
      </c>
      <c r="P236" s="11">
        <v>1.875</v>
      </c>
      <c r="Q236" s="8" t="s">
        <v>25</v>
      </c>
      <c r="R236" s="12">
        <f t="shared" si="1"/>
        <v>-0.4</v>
      </c>
      <c r="S236" s="12">
        <f t="shared" si="4"/>
        <v>-0.1882644212</v>
      </c>
    </row>
    <row r="237">
      <c r="A237" s="15">
        <f t="shared" si="3"/>
        <v>236</v>
      </c>
      <c r="B237" s="15" t="s">
        <v>19</v>
      </c>
      <c r="C237" s="15"/>
      <c r="D237" s="15" t="s">
        <v>3903</v>
      </c>
      <c r="E237" s="15" t="s">
        <v>5564</v>
      </c>
      <c r="F237" s="15" t="s">
        <v>2660</v>
      </c>
      <c r="G237" s="15">
        <v>0.0</v>
      </c>
      <c r="H237" s="15" t="s">
        <v>820</v>
      </c>
      <c r="I237" s="15" t="s">
        <v>22</v>
      </c>
      <c r="J237" s="15" t="s">
        <v>892</v>
      </c>
      <c r="K237" s="15" t="s">
        <v>39</v>
      </c>
      <c r="L237" s="16">
        <v>0.0</v>
      </c>
      <c r="M237" s="16">
        <v>0.5</v>
      </c>
      <c r="N237" s="16">
        <v>0.5</v>
      </c>
      <c r="O237" s="17">
        <v>45253.0</v>
      </c>
      <c r="P237" s="18">
        <v>1.675</v>
      </c>
      <c r="Q237" s="15" t="s">
        <v>70</v>
      </c>
      <c r="R237" s="19">
        <f t="shared" si="1"/>
        <v>0</v>
      </c>
      <c r="S237" s="19">
        <f t="shared" si="4"/>
        <v>-0.1882644212</v>
      </c>
    </row>
    <row r="238">
      <c r="A238" s="8">
        <f t="shared" si="3"/>
        <v>237</v>
      </c>
      <c r="B238" s="8" t="s">
        <v>19</v>
      </c>
      <c r="C238" s="8">
        <v>82.0</v>
      </c>
      <c r="D238" s="8" t="s">
        <v>3904</v>
      </c>
      <c r="E238" s="8" t="s">
        <v>5564</v>
      </c>
      <c r="F238" s="8" t="s">
        <v>2660</v>
      </c>
      <c r="G238" s="8">
        <v>-2.0</v>
      </c>
      <c r="H238" s="8" t="s">
        <v>1031</v>
      </c>
      <c r="I238" s="8" t="s">
        <v>22</v>
      </c>
      <c r="J238" s="8" t="s">
        <v>892</v>
      </c>
      <c r="K238" s="8" t="s">
        <v>24</v>
      </c>
      <c r="L238" s="9">
        <v>0.0</v>
      </c>
      <c r="M238" s="9">
        <v>0.5</v>
      </c>
      <c r="N238" s="9">
        <v>0.5</v>
      </c>
      <c r="O238" s="10">
        <v>45253.0</v>
      </c>
      <c r="P238" s="11">
        <v>1.8</v>
      </c>
      <c r="Q238" s="8" t="s">
        <v>70</v>
      </c>
      <c r="R238" s="12">
        <f t="shared" si="1"/>
        <v>0</v>
      </c>
      <c r="S238" s="12">
        <f t="shared" si="4"/>
        <v>-0.1882644212</v>
      </c>
    </row>
    <row r="239">
      <c r="A239" s="15">
        <f t="shared" si="3"/>
        <v>238</v>
      </c>
      <c r="B239" s="15" t="s">
        <v>19</v>
      </c>
      <c r="C239" s="15">
        <v>69.0</v>
      </c>
      <c r="D239" s="15" t="s">
        <v>3905</v>
      </c>
      <c r="E239" s="15" t="s">
        <v>5564</v>
      </c>
      <c r="F239" s="15" t="s">
        <v>2660</v>
      </c>
      <c r="G239" s="15">
        <v>-1.0</v>
      </c>
      <c r="H239" s="15" t="s">
        <v>714</v>
      </c>
      <c r="I239" s="15" t="s">
        <v>22</v>
      </c>
      <c r="J239" s="15" t="s">
        <v>892</v>
      </c>
      <c r="K239" s="15" t="s">
        <v>39</v>
      </c>
      <c r="L239" s="16">
        <v>0.0</v>
      </c>
      <c r="M239" s="16">
        <v>0.6</v>
      </c>
      <c r="N239" s="16">
        <v>0.6</v>
      </c>
      <c r="O239" s="17">
        <v>45253.0</v>
      </c>
      <c r="P239" s="18">
        <v>1.925</v>
      </c>
      <c r="Q239" s="15" t="s">
        <v>33</v>
      </c>
      <c r="R239" s="19">
        <f t="shared" si="1"/>
        <v>0.555</v>
      </c>
      <c r="S239" s="19">
        <f t="shared" si="4"/>
        <v>0.3667355788</v>
      </c>
    </row>
    <row r="240">
      <c r="A240" s="8">
        <f t="shared" si="3"/>
        <v>239</v>
      </c>
      <c r="B240" s="8" t="s">
        <v>19</v>
      </c>
      <c r="C240" s="8">
        <v>37.0</v>
      </c>
      <c r="D240" s="8" t="s">
        <v>3906</v>
      </c>
      <c r="E240" s="8" t="s">
        <v>5564</v>
      </c>
      <c r="F240" s="8" t="s">
        <v>2556</v>
      </c>
      <c r="G240" s="8">
        <f t="shared" ref="G240:G241" si="9">1</f>
        <v>1</v>
      </c>
      <c r="H240" s="8" t="s">
        <v>187</v>
      </c>
      <c r="I240" s="8" t="s">
        <v>22</v>
      </c>
      <c r="J240" s="8" t="s">
        <v>225</v>
      </c>
      <c r="K240" s="8" t="s">
        <v>24</v>
      </c>
      <c r="L240" s="9">
        <v>1.5</v>
      </c>
      <c r="M240" s="9">
        <v>0.4</v>
      </c>
      <c r="N240" s="9">
        <v>0.4</v>
      </c>
      <c r="O240" s="10">
        <v>45254.0</v>
      </c>
      <c r="P240" s="11">
        <v>1.7</v>
      </c>
      <c r="Q240" s="8" t="s">
        <v>33</v>
      </c>
      <c r="R240" s="12">
        <f t="shared" si="1"/>
        <v>0.28</v>
      </c>
      <c r="S240" s="12">
        <f t="shared" si="4"/>
        <v>0.6467355788</v>
      </c>
    </row>
    <row r="241">
      <c r="A241" s="15">
        <f t="shared" si="3"/>
        <v>240</v>
      </c>
      <c r="B241" s="15" t="s">
        <v>19</v>
      </c>
      <c r="C241" s="15">
        <v>39.0</v>
      </c>
      <c r="D241" s="15" t="s">
        <v>3907</v>
      </c>
      <c r="E241" s="15" t="s">
        <v>5564</v>
      </c>
      <c r="F241" s="15" t="s">
        <v>2556</v>
      </c>
      <c r="G241" s="15">
        <f t="shared" si="9"/>
        <v>1</v>
      </c>
      <c r="H241" s="15" t="s">
        <v>187</v>
      </c>
      <c r="I241" s="15" t="s">
        <v>22</v>
      </c>
      <c r="J241" s="15" t="s">
        <v>225</v>
      </c>
      <c r="K241" s="15" t="s">
        <v>24</v>
      </c>
      <c r="L241" s="16">
        <v>1.25</v>
      </c>
      <c r="M241" s="16">
        <v>0.4</v>
      </c>
      <c r="N241" s="16">
        <v>0.4</v>
      </c>
      <c r="O241" s="17">
        <v>45254.0</v>
      </c>
      <c r="P241" s="18">
        <v>1.925</v>
      </c>
      <c r="Q241" s="15" t="s">
        <v>33</v>
      </c>
      <c r="R241" s="19">
        <f t="shared" si="1"/>
        <v>0.37</v>
      </c>
      <c r="S241" s="19">
        <f t="shared" si="4"/>
        <v>1.016735579</v>
      </c>
    </row>
    <row r="242">
      <c r="A242" s="8">
        <f t="shared" si="3"/>
        <v>241</v>
      </c>
      <c r="B242" s="8" t="s">
        <v>19</v>
      </c>
      <c r="C242" s="8">
        <v>65.0</v>
      </c>
      <c r="D242" s="8" t="s">
        <v>3908</v>
      </c>
      <c r="E242" s="8" t="s">
        <v>5564</v>
      </c>
      <c r="F242" s="8" t="s">
        <v>2573</v>
      </c>
      <c r="G242" s="8">
        <v>-1.0</v>
      </c>
      <c r="H242" s="8" t="s">
        <v>583</v>
      </c>
      <c r="I242" s="8" t="s">
        <v>22</v>
      </c>
      <c r="J242" s="8" t="s">
        <v>894</v>
      </c>
      <c r="K242" s="8" t="s">
        <v>39</v>
      </c>
      <c r="L242" s="9">
        <v>-0.25</v>
      </c>
      <c r="M242" s="9">
        <v>0.25</v>
      </c>
      <c r="N242" s="9">
        <v>0.25</v>
      </c>
      <c r="O242" s="54">
        <v>45254.0</v>
      </c>
      <c r="P242" s="11">
        <v>1.825</v>
      </c>
      <c r="Q242" s="8" t="s">
        <v>79</v>
      </c>
      <c r="R242" s="12">
        <f t="shared" si="1"/>
        <v>-0.125</v>
      </c>
      <c r="S242" s="12">
        <f t="shared" si="4"/>
        <v>0.8917355788</v>
      </c>
    </row>
    <row r="243">
      <c r="A243" s="15">
        <f t="shared" si="3"/>
        <v>242</v>
      </c>
      <c r="B243" s="15" t="s">
        <v>19</v>
      </c>
      <c r="C243" s="15">
        <v>30.0</v>
      </c>
      <c r="D243" s="15" t="s">
        <v>3909</v>
      </c>
      <c r="E243" s="15" t="s">
        <v>5564</v>
      </c>
      <c r="F243" s="15" t="s">
        <v>2556</v>
      </c>
      <c r="G243" s="15">
        <v>-1.0</v>
      </c>
      <c r="H243" s="15" t="s">
        <v>1031</v>
      </c>
      <c r="I243" s="15" t="s">
        <v>22</v>
      </c>
      <c r="J243" s="15" t="s">
        <v>225</v>
      </c>
      <c r="K243" s="15" t="s">
        <v>24</v>
      </c>
      <c r="L243" s="16">
        <v>0.25</v>
      </c>
      <c r="M243" s="16">
        <v>1.0</v>
      </c>
      <c r="N243" s="16">
        <v>1.0</v>
      </c>
      <c r="O243" s="17">
        <v>45254.0</v>
      </c>
      <c r="P243" s="18">
        <v>1.015</v>
      </c>
      <c r="Q243" s="15" t="s">
        <v>33</v>
      </c>
      <c r="R243" s="19">
        <f t="shared" si="1"/>
        <v>0.015</v>
      </c>
      <c r="S243" s="19">
        <f t="shared" si="4"/>
        <v>0.9067355788</v>
      </c>
    </row>
    <row r="244">
      <c r="A244" s="8">
        <f t="shared" si="3"/>
        <v>243</v>
      </c>
      <c r="B244" s="8" t="s">
        <v>19</v>
      </c>
      <c r="C244" s="8">
        <v>56.0</v>
      </c>
      <c r="D244" s="8" t="s">
        <v>3910</v>
      </c>
      <c r="E244" s="8" t="s">
        <v>5565</v>
      </c>
      <c r="F244" s="8" t="s">
        <v>2660</v>
      </c>
      <c r="G244" s="8">
        <v>0.0</v>
      </c>
      <c r="H244" s="8" t="s">
        <v>3911</v>
      </c>
      <c r="I244" s="8" t="s">
        <v>22</v>
      </c>
      <c r="J244" s="8" t="s">
        <v>892</v>
      </c>
      <c r="K244" s="8" t="s">
        <v>39</v>
      </c>
      <c r="L244" s="9">
        <v>0.0</v>
      </c>
      <c r="M244" s="9">
        <v>1.0</v>
      </c>
      <c r="N244" s="9">
        <v>0.46</v>
      </c>
      <c r="O244" s="10">
        <v>45254.0</v>
      </c>
      <c r="P244" s="11">
        <v>2.05</v>
      </c>
      <c r="Q244" s="8" t="s">
        <v>25</v>
      </c>
      <c r="R244" s="12">
        <f t="shared" si="1"/>
        <v>-0.46</v>
      </c>
      <c r="S244" s="12">
        <f t="shared" si="4"/>
        <v>0.4467355788</v>
      </c>
    </row>
    <row r="245">
      <c r="A245" s="15">
        <f t="shared" si="3"/>
        <v>244</v>
      </c>
      <c r="B245" s="15" t="s">
        <v>19</v>
      </c>
      <c r="C245" s="15">
        <v>28.0</v>
      </c>
      <c r="D245" s="15" t="s">
        <v>3912</v>
      </c>
      <c r="E245" s="15" t="s">
        <v>5565</v>
      </c>
      <c r="F245" s="15" t="s">
        <v>2556</v>
      </c>
      <c r="G245" s="15">
        <v>0.0</v>
      </c>
      <c r="H245" s="15" t="s">
        <v>248</v>
      </c>
      <c r="I245" s="15" t="s">
        <v>22</v>
      </c>
      <c r="J245" s="15" t="s">
        <v>941</v>
      </c>
      <c r="K245" s="15" t="s">
        <v>24</v>
      </c>
      <c r="L245" s="16">
        <v>0.0</v>
      </c>
      <c r="M245" s="16">
        <v>1.0</v>
      </c>
      <c r="N245" s="16">
        <v>1.0</v>
      </c>
      <c r="O245" s="17">
        <v>45254.0</v>
      </c>
      <c r="P245" s="18">
        <v>1.8</v>
      </c>
      <c r="Q245" s="15" t="s">
        <v>70</v>
      </c>
      <c r="R245" s="19">
        <f t="shared" si="1"/>
        <v>0</v>
      </c>
      <c r="S245" s="19">
        <f t="shared" si="4"/>
        <v>0.4467355788</v>
      </c>
    </row>
    <row r="246">
      <c r="A246" s="8">
        <f t="shared" si="3"/>
        <v>245</v>
      </c>
      <c r="B246" s="8" t="s">
        <v>19</v>
      </c>
      <c r="C246" s="8">
        <v>76.0</v>
      </c>
      <c r="D246" s="8" t="s">
        <v>3913</v>
      </c>
      <c r="E246" s="8" t="s">
        <v>5565</v>
      </c>
      <c r="F246" s="8" t="s">
        <v>2660</v>
      </c>
      <c r="G246" s="8">
        <v>0.0</v>
      </c>
      <c r="H246" s="8" t="s">
        <v>224</v>
      </c>
      <c r="I246" s="8" t="s">
        <v>22</v>
      </c>
      <c r="J246" s="8" t="s">
        <v>892</v>
      </c>
      <c r="K246" s="8" t="s">
        <v>24</v>
      </c>
      <c r="L246" s="9">
        <v>0.0</v>
      </c>
      <c r="M246" s="9">
        <v>0.8</v>
      </c>
      <c r="N246" s="9">
        <v>0.8</v>
      </c>
      <c r="O246" s="10">
        <v>45254.0</v>
      </c>
      <c r="P246" s="11">
        <v>1.9</v>
      </c>
      <c r="Q246" s="8" t="s">
        <v>70</v>
      </c>
      <c r="R246" s="12">
        <f t="shared" si="1"/>
        <v>0</v>
      </c>
      <c r="S246" s="12">
        <f t="shared" si="4"/>
        <v>0.4467355788</v>
      </c>
    </row>
    <row r="247">
      <c r="A247" s="15">
        <f t="shared" si="3"/>
        <v>246</v>
      </c>
      <c r="B247" s="15" t="s">
        <v>19</v>
      </c>
      <c r="C247" s="15">
        <v>2.0</v>
      </c>
      <c r="D247" s="15" t="s">
        <v>3914</v>
      </c>
      <c r="E247" s="15" t="s">
        <v>5564</v>
      </c>
      <c r="F247" s="15" t="s">
        <v>2556</v>
      </c>
      <c r="G247" s="15">
        <v>0.0</v>
      </c>
      <c r="H247" s="15" t="s">
        <v>1025</v>
      </c>
      <c r="I247" s="15" t="s">
        <v>22</v>
      </c>
      <c r="J247" s="15" t="s">
        <v>225</v>
      </c>
      <c r="K247" s="15" t="s">
        <v>24</v>
      </c>
      <c r="L247" s="16">
        <v>1.25</v>
      </c>
      <c r="M247" s="16">
        <v>0.25</v>
      </c>
      <c r="N247" s="16">
        <v>0.25</v>
      </c>
      <c r="O247" s="17">
        <v>45254.0</v>
      </c>
      <c r="P247" s="18">
        <v>1.65</v>
      </c>
      <c r="Q247" s="15" t="s">
        <v>33</v>
      </c>
      <c r="R247" s="19">
        <f t="shared" si="1"/>
        <v>0.1625</v>
      </c>
      <c r="S247" s="19">
        <f t="shared" si="4"/>
        <v>0.6092355788</v>
      </c>
    </row>
    <row r="248">
      <c r="A248" s="8">
        <f t="shared" si="3"/>
        <v>247</v>
      </c>
      <c r="B248" s="8" t="s">
        <v>19</v>
      </c>
      <c r="C248" s="8">
        <v>63.0</v>
      </c>
      <c r="D248" s="8" t="s">
        <v>3915</v>
      </c>
      <c r="E248" s="8" t="s">
        <v>5565</v>
      </c>
      <c r="F248" s="8" t="s">
        <v>2660</v>
      </c>
      <c r="G248" s="8">
        <f t="shared" ref="G248:G249" si="10">1</f>
        <v>1</v>
      </c>
      <c r="H248" s="8" t="s">
        <v>248</v>
      </c>
      <c r="I248" s="8" t="s">
        <v>22</v>
      </c>
      <c r="J248" s="8" t="s">
        <v>892</v>
      </c>
      <c r="K248" s="8" t="s">
        <v>24</v>
      </c>
      <c r="L248" s="9">
        <v>0.0</v>
      </c>
      <c r="M248" s="9">
        <v>1.0</v>
      </c>
      <c r="N248" s="9">
        <v>1.0</v>
      </c>
      <c r="O248" s="10">
        <v>45254.0</v>
      </c>
      <c r="P248" s="11">
        <v>1.8</v>
      </c>
      <c r="Q248" s="8" t="s">
        <v>70</v>
      </c>
      <c r="R248" s="12">
        <f t="shared" si="1"/>
        <v>0</v>
      </c>
      <c r="S248" s="12">
        <f t="shared" si="4"/>
        <v>0.6092355788</v>
      </c>
    </row>
    <row r="249">
      <c r="A249" s="15">
        <f t="shared" si="3"/>
        <v>248</v>
      </c>
      <c r="B249" s="15" t="s">
        <v>19</v>
      </c>
      <c r="C249" s="15">
        <v>37.0</v>
      </c>
      <c r="D249" s="15" t="s">
        <v>3916</v>
      </c>
      <c r="E249" s="15" t="s">
        <v>5564</v>
      </c>
      <c r="F249" s="15" t="s">
        <v>2660</v>
      </c>
      <c r="G249" s="15">
        <f t="shared" si="10"/>
        <v>1</v>
      </c>
      <c r="H249" s="15" t="s">
        <v>432</v>
      </c>
      <c r="I249" s="15" t="s">
        <v>22</v>
      </c>
      <c r="J249" s="15" t="s">
        <v>892</v>
      </c>
      <c r="K249" s="15" t="s">
        <v>39</v>
      </c>
      <c r="L249" s="16">
        <v>0.0</v>
      </c>
      <c r="M249" s="16">
        <v>0.25</v>
      </c>
      <c r="N249" s="16">
        <v>0.25</v>
      </c>
      <c r="O249" s="17">
        <v>45254.0</v>
      </c>
      <c r="P249" s="18">
        <v>1.85</v>
      </c>
      <c r="Q249" s="15" t="s">
        <v>33</v>
      </c>
      <c r="R249" s="19">
        <f t="shared" si="1"/>
        <v>0.2125</v>
      </c>
      <c r="S249" s="19">
        <f t="shared" si="4"/>
        <v>0.8217355788</v>
      </c>
    </row>
    <row r="250">
      <c r="A250" s="8">
        <f t="shared" si="3"/>
        <v>249</v>
      </c>
      <c r="B250" s="8" t="s">
        <v>19</v>
      </c>
      <c r="C250" s="8">
        <v>38.0</v>
      </c>
      <c r="D250" s="8" t="s">
        <v>3917</v>
      </c>
      <c r="E250" s="8"/>
      <c r="F250" s="8"/>
      <c r="G250" s="8"/>
      <c r="H250" s="8" t="s">
        <v>44</v>
      </c>
      <c r="I250" s="8" t="s">
        <v>22</v>
      </c>
      <c r="J250" s="8" t="s">
        <v>2939</v>
      </c>
      <c r="K250" s="8" t="s">
        <v>24</v>
      </c>
      <c r="L250" s="9">
        <v>-3.5</v>
      </c>
      <c r="M250" s="9">
        <v>0.25</v>
      </c>
      <c r="N250" s="9">
        <v>0.25</v>
      </c>
      <c r="O250" s="10">
        <v>45254.0</v>
      </c>
      <c r="P250" s="11">
        <v>1.71</v>
      </c>
      <c r="Q250" s="8" t="s">
        <v>33</v>
      </c>
      <c r="R250" s="12">
        <f t="shared" si="1"/>
        <v>0.1775</v>
      </c>
      <c r="S250" s="12">
        <f t="shared" si="4"/>
        <v>0.9992355788</v>
      </c>
    </row>
    <row r="251">
      <c r="A251" s="15">
        <f t="shared" si="3"/>
        <v>250</v>
      </c>
      <c r="B251" s="15" t="s">
        <v>19</v>
      </c>
      <c r="C251" s="15">
        <v>55.0</v>
      </c>
      <c r="D251" s="15" t="s">
        <v>3918</v>
      </c>
      <c r="E251" s="15" t="s">
        <v>5564</v>
      </c>
      <c r="F251" s="15" t="s">
        <v>2660</v>
      </c>
      <c r="G251" s="15">
        <v>0.0</v>
      </c>
      <c r="H251" s="15" t="s">
        <v>44</v>
      </c>
      <c r="I251" s="15" t="s">
        <v>22</v>
      </c>
      <c r="J251" s="15" t="s">
        <v>892</v>
      </c>
      <c r="K251" s="15" t="s">
        <v>39</v>
      </c>
      <c r="L251" s="16">
        <v>0.0</v>
      </c>
      <c r="M251" s="16">
        <v>0.25</v>
      </c>
      <c r="N251" s="16">
        <v>0.25</v>
      </c>
      <c r="O251" s="17">
        <v>45254.0</v>
      </c>
      <c r="P251" s="18">
        <v>1.9</v>
      </c>
      <c r="Q251" s="15" t="s">
        <v>33</v>
      </c>
      <c r="R251" s="19">
        <f t="shared" si="1"/>
        <v>0.225</v>
      </c>
      <c r="S251" s="19">
        <f t="shared" si="4"/>
        <v>1.224235579</v>
      </c>
    </row>
    <row r="252">
      <c r="A252" s="8">
        <f t="shared" si="3"/>
        <v>251</v>
      </c>
      <c r="B252" s="8" t="s">
        <v>19</v>
      </c>
      <c r="C252" s="8">
        <v>19.0</v>
      </c>
      <c r="D252" s="8" t="s">
        <v>3919</v>
      </c>
      <c r="E252" s="8" t="s">
        <v>5565</v>
      </c>
      <c r="F252" s="8" t="s">
        <v>2660</v>
      </c>
      <c r="G252" s="8">
        <f>1</f>
        <v>1</v>
      </c>
      <c r="H252" s="8" t="s">
        <v>44</v>
      </c>
      <c r="I252" s="8" t="s">
        <v>22</v>
      </c>
      <c r="J252" s="8" t="s">
        <v>1150</v>
      </c>
      <c r="K252" s="8" t="s">
        <v>39</v>
      </c>
      <c r="L252" s="9">
        <v>0.0</v>
      </c>
      <c r="M252" s="9">
        <v>0.4</v>
      </c>
      <c r="N252" s="9">
        <v>0.28</v>
      </c>
      <c r="O252" s="10">
        <v>45255.0</v>
      </c>
      <c r="P252" s="11">
        <v>1.875</v>
      </c>
      <c r="Q252" s="8" t="s">
        <v>33</v>
      </c>
      <c r="R252" s="12">
        <f t="shared" si="1"/>
        <v>0.245</v>
      </c>
      <c r="S252" s="12">
        <f t="shared" si="4"/>
        <v>1.469235579</v>
      </c>
    </row>
    <row r="253">
      <c r="A253" s="15">
        <f t="shared" si="3"/>
        <v>252</v>
      </c>
      <c r="B253" s="15" t="s">
        <v>19</v>
      </c>
      <c r="C253" s="15">
        <v>24.0</v>
      </c>
      <c r="D253" s="15" t="s">
        <v>3919</v>
      </c>
      <c r="E253" s="15" t="s">
        <v>5565</v>
      </c>
      <c r="F253" s="15" t="s">
        <v>2660</v>
      </c>
      <c r="G253" s="15">
        <v>2</v>
      </c>
      <c r="H253" s="15" t="s">
        <v>44</v>
      </c>
      <c r="I253" s="15" t="s">
        <v>22</v>
      </c>
      <c r="J253" s="15" t="s">
        <v>1150</v>
      </c>
      <c r="K253" s="15" t="s">
        <v>39</v>
      </c>
      <c r="L253" s="16">
        <v>0.0</v>
      </c>
      <c r="M253" s="16">
        <v>0.25</v>
      </c>
      <c r="N253" s="16">
        <v>0.25</v>
      </c>
      <c r="O253" s="17">
        <v>45255.0</v>
      </c>
      <c r="P253" s="18">
        <v>1.7</v>
      </c>
      <c r="Q253" s="15" t="s">
        <v>33</v>
      </c>
      <c r="R253" s="19">
        <f t="shared" si="1"/>
        <v>0.175</v>
      </c>
      <c r="S253" s="19">
        <f t="shared" si="4"/>
        <v>1.644235579</v>
      </c>
    </row>
    <row r="254">
      <c r="A254" s="8">
        <f t="shared" si="3"/>
        <v>253</v>
      </c>
      <c r="B254" s="8" t="s">
        <v>19</v>
      </c>
      <c r="C254" s="8"/>
      <c r="D254" s="8" t="s">
        <v>3920</v>
      </c>
      <c r="E254" s="8" t="s">
        <v>5564</v>
      </c>
      <c r="F254" s="8" t="s">
        <v>2660</v>
      </c>
      <c r="G254" s="8">
        <v>-1.0</v>
      </c>
      <c r="H254" s="8" t="s">
        <v>1025</v>
      </c>
      <c r="I254" s="8" t="s">
        <v>22</v>
      </c>
      <c r="J254" s="8" t="s">
        <v>1150</v>
      </c>
      <c r="K254" s="8" t="s">
        <v>24</v>
      </c>
      <c r="L254" s="9">
        <v>0.0</v>
      </c>
      <c r="M254" s="9">
        <v>0.5</v>
      </c>
      <c r="N254" s="9">
        <v>0.5</v>
      </c>
      <c r="O254" s="10">
        <v>45255.0</v>
      </c>
      <c r="P254" s="11">
        <v>1.775</v>
      </c>
      <c r="Q254" s="8" t="s">
        <v>70</v>
      </c>
      <c r="R254" s="12">
        <f t="shared" si="1"/>
        <v>0</v>
      </c>
      <c r="S254" s="12">
        <f t="shared" si="4"/>
        <v>1.644235579</v>
      </c>
    </row>
    <row r="255">
      <c r="A255" s="15">
        <f t="shared" si="3"/>
        <v>254</v>
      </c>
      <c r="B255" s="15" t="s">
        <v>19</v>
      </c>
      <c r="C255" s="15">
        <v>56.0</v>
      </c>
      <c r="D255" s="15" t="s">
        <v>3921</v>
      </c>
      <c r="E255" s="15" t="s">
        <v>5564</v>
      </c>
      <c r="F255" s="15" t="s">
        <v>2660</v>
      </c>
      <c r="G255" s="15">
        <v>-1.0</v>
      </c>
      <c r="H255" s="15" t="s">
        <v>1025</v>
      </c>
      <c r="I255" s="15" t="s">
        <v>22</v>
      </c>
      <c r="J255" s="15" t="s">
        <v>892</v>
      </c>
      <c r="K255" s="15" t="s">
        <v>24</v>
      </c>
      <c r="L255" s="16">
        <v>0.0</v>
      </c>
      <c r="M255" s="16">
        <v>0.2</v>
      </c>
      <c r="N255" s="16">
        <v>0.2</v>
      </c>
      <c r="O255" s="17">
        <v>45255.0</v>
      </c>
      <c r="P255" s="18">
        <v>1.725</v>
      </c>
      <c r="Q255" s="15" t="s">
        <v>70</v>
      </c>
      <c r="R255" s="19">
        <f t="shared" si="1"/>
        <v>0</v>
      </c>
      <c r="S255" s="19">
        <f t="shared" si="4"/>
        <v>1.644235579</v>
      </c>
    </row>
    <row r="256">
      <c r="A256" s="8">
        <f t="shared" si="3"/>
        <v>255</v>
      </c>
      <c r="B256" s="8" t="s">
        <v>19</v>
      </c>
      <c r="C256" s="8">
        <v>54.0</v>
      </c>
      <c r="D256" s="8" t="s">
        <v>3922</v>
      </c>
      <c r="E256" s="8" t="s">
        <v>5564</v>
      </c>
      <c r="F256" s="8" t="s">
        <v>2556</v>
      </c>
      <c r="G256" s="8">
        <v>-4.0</v>
      </c>
      <c r="H256" s="8" t="s">
        <v>44</v>
      </c>
      <c r="I256" s="8" t="s">
        <v>22</v>
      </c>
      <c r="J256" s="8" t="s">
        <v>225</v>
      </c>
      <c r="K256" s="8" t="s">
        <v>39</v>
      </c>
      <c r="L256" s="9">
        <v>0.5</v>
      </c>
      <c r="M256" s="9">
        <v>0.25</v>
      </c>
      <c r="N256" s="9">
        <v>0.25</v>
      </c>
      <c r="O256" s="10">
        <v>45255.0</v>
      </c>
      <c r="P256" s="11">
        <v>1.75</v>
      </c>
      <c r="Q256" s="8" t="s">
        <v>33</v>
      </c>
      <c r="R256" s="12">
        <f t="shared" si="1"/>
        <v>0.1875</v>
      </c>
      <c r="S256" s="12">
        <f t="shared" si="4"/>
        <v>1.831735579</v>
      </c>
    </row>
    <row r="257">
      <c r="A257" s="15">
        <f t="shared" si="3"/>
        <v>256</v>
      </c>
      <c r="B257" s="15" t="s">
        <v>19</v>
      </c>
      <c r="C257" s="15">
        <v>56.0</v>
      </c>
      <c r="D257" s="15" t="s">
        <v>3923</v>
      </c>
      <c r="E257" s="15" t="s">
        <v>5564</v>
      </c>
      <c r="F257" s="15" t="s">
        <v>2556</v>
      </c>
      <c r="G257" s="15">
        <v>-3.0</v>
      </c>
      <c r="H257" s="15" t="s">
        <v>44</v>
      </c>
      <c r="I257" s="15" t="s">
        <v>22</v>
      </c>
      <c r="J257" s="15" t="s">
        <v>225</v>
      </c>
      <c r="K257" s="15" t="s">
        <v>39</v>
      </c>
      <c r="L257" s="16">
        <v>0.25</v>
      </c>
      <c r="M257" s="16">
        <v>0.75</v>
      </c>
      <c r="N257" s="16">
        <v>0.55</v>
      </c>
      <c r="O257" s="57">
        <v>45255.0</v>
      </c>
      <c r="P257" s="18">
        <v>1.95</v>
      </c>
      <c r="Q257" s="15" t="s">
        <v>25</v>
      </c>
      <c r="R257" s="19">
        <f t="shared" si="1"/>
        <v>-0.55</v>
      </c>
      <c r="S257" s="19">
        <f t="shared" si="4"/>
        <v>1.281735579</v>
      </c>
    </row>
    <row r="258">
      <c r="A258" s="8">
        <f t="shared" si="3"/>
        <v>257</v>
      </c>
      <c r="B258" s="8" t="s">
        <v>19</v>
      </c>
      <c r="C258" s="8">
        <v>34.0</v>
      </c>
      <c r="D258" s="8" t="s">
        <v>3924</v>
      </c>
      <c r="E258" s="8" t="s">
        <v>5564</v>
      </c>
      <c r="F258" s="8" t="s">
        <v>2660</v>
      </c>
      <c r="G258" s="8">
        <v>0.0</v>
      </c>
      <c r="H258" s="8" t="s">
        <v>908</v>
      </c>
      <c r="I258" s="8" t="s">
        <v>22</v>
      </c>
      <c r="J258" s="8" t="s">
        <v>1150</v>
      </c>
      <c r="K258" s="8" t="s">
        <v>24</v>
      </c>
      <c r="L258" s="9">
        <v>0.0</v>
      </c>
      <c r="M258" s="9">
        <v>0.5</v>
      </c>
      <c r="N258" s="9">
        <v>0.5</v>
      </c>
      <c r="O258" s="10">
        <v>45255.0</v>
      </c>
      <c r="P258" s="11">
        <v>1.725</v>
      </c>
      <c r="Q258" s="8" t="s">
        <v>70</v>
      </c>
      <c r="R258" s="12">
        <f t="shared" si="1"/>
        <v>0</v>
      </c>
      <c r="S258" s="12">
        <f t="shared" si="4"/>
        <v>1.281735579</v>
      </c>
    </row>
    <row r="259">
      <c r="A259" s="15">
        <f t="shared" si="3"/>
        <v>258</v>
      </c>
      <c r="B259" s="15" t="s">
        <v>19</v>
      </c>
      <c r="C259" s="15">
        <v>24.0</v>
      </c>
      <c r="D259" s="15" t="s">
        <v>3925</v>
      </c>
      <c r="E259" s="15" t="s">
        <v>5565</v>
      </c>
      <c r="F259" s="15" t="s">
        <v>2660</v>
      </c>
      <c r="G259" s="15">
        <v>0.0</v>
      </c>
      <c r="H259" s="15" t="s">
        <v>44</v>
      </c>
      <c r="I259" s="15" t="s">
        <v>22</v>
      </c>
      <c r="J259" s="15" t="s">
        <v>1150</v>
      </c>
      <c r="K259" s="15" t="s">
        <v>39</v>
      </c>
      <c r="L259" s="16">
        <v>0.0</v>
      </c>
      <c r="M259" s="16">
        <v>1.0</v>
      </c>
      <c r="N259" s="16">
        <v>1.0</v>
      </c>
      <c r="O259" s="17">
        <v>45255.0</v>
      </c>
      <c r="P259" s="18">
        <v>2.02</v>
      </c>
      <c r="Q259" s="15" t="s">
        <v>70</v>
      </c>
      <c r="R259" s="19">
        <f t="shared" si="1"/>
        <v>0</v>
      </c>
      <c r="S259" s="19">
        <f t="shared" si="4"/>
        <v>1.281735579</v>
      </c>
    </row>
    <row r="260">
      <c r="A260" s="8">
        <f t="shared" si="3"/>
        <v>259</v>
      </c>
      <c r="B260" s="8" t="s">
        <v>40</v>
      </c>
      <c r="C260" s="8">
        <v>45.0</v>
      </c>
      <c r="D260" s="8" t="s">
        <v>3926</v>
      </c>
      <c r="E260" s="8" t="s">
        <v>5564</v>
      </c>
      <c r="F260" s="8" t="s">
        <v>2556</v>
      </c>
      <c r="G260" s="8">
        <v>-1.0</v>
      </c>
      <c r="H260" s="8" t="s">
        <v>42</v>
      </c>
      <c r="I260" s="8" t="s">
        <v>22</v>
      </c>
      <c r="J260" s="8" t="s">
        <v>225</v>
      </c>
      <c r="K260" s="8" t="s">
        <v>24</v>
      </c>
      <c r="L260" s="9">
        <v>0.5</v>
      </c>
      <c r="M260" s="9">
        <v>1.0</v>
      </c>
      <c r="N260" s="9">
        <v>1.0</v>
      </c>
      <c r="O260" s="10">
        <v>45255.0</v>
      </c>
      <c r="P260" s="11">
        <v>1.775</v>
      </c>
      <c r="Q260" s="8" t="s">
        <v>33</v>
      </c>
      <c r="R260" s="12">
        <f t="shared" si="1"/>
        <v>0.775</v>
      </c>
      <c r="S260" s="12">
        <f t="shared" si="4"/>
        <v>2.056735579</v>
      </c>
    </row>
    <row r="261">
      <c r="A261" s="15">
        <f t="shared" si="3"/>
        <v>260</v>
      </c>
      <c r="B261" s="15" t="s">
        <v>19</v>
      </c>
      <c r="C261" s="15">
        <v>64.0</v>
      </c>
      <c r="D261" s="15" t="s">
        <v>3927</v>
      </c>
      <c r="E261" s="15" t="s">
        <v>5564</v>
      </c>
      <c r="F261" s="15" t="s">
        <v>2660</v>
      </c>
      <c r="G261" s="15">
        <v>-1.0</v>
      </c>
      <c r="H261" s="15" t="s">
        <v>583</v>
      </c>
      <c r="I261" s="15" t="s">
        <v>22</v>
      </c>
      <c r="J261" s="15" t="s">
        <v>892</v>
      </c>
      <c r="K261" s="15" t="s">
        <v>24</v>
      </c>
      <c r="L261" s="16">
        <v>0.0</v>
      </c>
      <c r="M261" s="16">
        <v>1.0</v>
      </c>
      <c r="N261" s="16">
        <v>1.0</v>
      </c>
      <c r="O261" s="17">
        <v>45255.0</v>
      </c>
      <c r="P261" s="18">
        <v>2.2</v>
      </c>
      <c r="Q261" s="15" t="s">
        <v>70</v>
      </c>
      <c r="R261" s="19">
        <f t="shared" si="1"/>
        <v>0</v>
      </c>
      <c r="S261" s="19">
        <f t="shared" si="4"/>
        <v>2.056735579</v>
      </c>
    </row>
    <row r="262">
      <c r="A262" s="8">
        <f t="shared" si="3"/>
        <v>261</v>
      </c>
      <c r="B262" s="8" t="s">
        <v>19</v>
      </c>
      <c r="C262" s="8">
        <v>36.0</v>
      </c>
      <c r="D262" s="8" t="s">
        <v>3928</v>
      </c>
      <c r="E262" s="8" t="s">
        <v>5564</v>
      </c>
      <c r="F262" s="8" t="s">
        <v>2556</v>
      </c>
      <c r="G262" s="8">
        <v>0.0</v>
      </c>
      <c r="H262" s="8" t="s">
        <v>952</v>
      </c>
      <c r="I262" s="8" t="s">
        <v>22</v>
      </c>
      <c r="J262" s="8" t="s">
        <v>225</v>
      </c>
      <c r="K262" s="8" t="s">
        <v>24</v>
      </c>
      <c r="L262" s="9">
        <v>0.5</v>
      </c>
      <c r="M262" s="9">
        <v>0.2</v>
      </c>
      <c r="N262" s="9">
        <f>0.906*0.2</f>
        <v>0.1812</v>
      </c>
      <c r="O262" s="10">
        <v>45255.0</v>
      </c>
      <c r="P262" s="11">
        <v>1.725</v>
      </c>
      <c r="Q262" s="8" t="s">
        <v>25</v>
      </c>
      <c r="R262" s="12">
        <f t="shared" si="1"/>
        <v>-0.1812</v>
      </c>
      <c r="S262" s="12">
        <f t="shared" si="4"/>
        <v>1.875535579</v>
      </c>
    </row>
    <row r="263">
      <c r="A263" s="15">
        <f t="shared" si="3"/>
        <v>262</v>
      </c>
      <c r="B263" s="15" t="s">
        <v>19</v>
      </c>
      <c r="C263" s="15">
        <v>79.0</v>
      </c>
      <c r="D263" s="15" t="s">
        <v>3929</v>
      </c>
      <c r="E263" s="15" t="s">
        <v>5564</v>
      </c>
      <c r="F263" s="15" t="s">
        <v>2660</v>
      </c>
      <c r="G263" s="15">
        <v>-1.0</v>
      </c>
      <c r="H263" s="15" t="s">
        <v>42</v>
      </c>
      <c r="I263" s="15" t="s">
        <v>22</v>
      </c>
      <c r="J263" s="15" t="s">
        <v>892</v>
      </c>
      <c r="K263" s="15" t="s">
        <v>24</v>
      </c>
      <c r="L263" s="16">
        <v>0.0</v>
      </c>
      <c r="M263" s="16">
        <v>0.25</v>
      </c>
      <c r="N263" s="16">
        <v>0.25</v>
      </c>
      <c r="O263" s="17">
        <v>45255.0</v>
      </c>
      <c r="P263" s="18">
        <v>2.5</v>
      </c>
      <c r="Q263" s="15" t="s">
        <v>70</v>
      </c>
      <c r="R263" s="19">
        <f t="shared" si="1"/>
        <v>0</v>
      </c>
      <c r="S263" s="19">
        <f t="shared" si="4"/>
        <v>1.875535579</v>
      </c>
    </row>
    <row r="264">
      <c r="A264" s="8">
        <f t="shared" si="3"/>
        <v>263</v>
      </c>
      <c r="B264" s="8" t="s">
        <v>19</v>
      </c>
      <c r="C264" s="8">
        <v>65.0</v>
      </c>
      <c r="D264" s="8" t="s">
        <v>3930</v>
      </c>
      <c r="E264" s="8" t="s">
        <v>5564</v>
      </c>
      <c r="F264" s="8" t="s">
        <v>2556</v>
      </c>
      <c r="G264" s="8">
        <v>-2.0</v>
      </c>
      <c r="H264" s="8" t="s">
        <v>178</v>
      </c>
      <c r="I264" s="8" t="s">
        <v>22</v>
      </c>
      <c r="J264" s="8" t="s">
        <v>225</v>
      </c>
      <c r="K264" s="8" t="s">
        <v>39</v>
      </c>
      <c r="L264" s="9">
        <v>0.5</v>
      </c>
      <c r="M264" s="9">
        <v>0.75</v>
      </c>
      <c r="N264" s="9">
        <v>0.75</v>
      </c>
      <c r="O264" s="10">
        <v>45255.0</v>
      </c>
      <c r="P264" s="11">
        <v>1.825</v>
      </c>
      <c r="Q264" s="8" t="s">
        <v>25</v>
      </c>
      <c r="R264" s="12">
        <f t="shared" si="1"/>
        <v>-0.75</v>
      </c>
      <c r="S264" s="12">
        <f t="shared" si="4"/>
        <v>1.125535579</v>
      </c>
    </row>
    <row r="265">
      <c r="A265" s="15">
        <f t="shared" si="3"/>
        <v>264</v>
      </c>
      <c r="B265" s="15" t="s">
        <v>19</v>
      </c>
      <c r="C265" s="15">
        <v>66.0</v>
      </c>
      <c r="D265" s="15" t="s">
        <v>3931</v>
      </c>
      <c r="E265" s="15" t="s">
        <v>5564</v>
      </c>
      <c r="F265" s="15" t="s">
        <v>2556</v>
      </c>
      <c r="G265" s="15">
        <v>-2.0</v>
      </c>
      <c r="H265" s="15" t="s">
        <v>178</v>
      </c>
      <c r="I265" s="15" t="s">
        <v>22</v>
      </c>
      <c r="J265" s="15" t="s">
        <v>1165</v>
      </c>
      <c r="K265" s="15" t="s">
        <v>39</v>
      </c>
      <c r="L265" s="16"/>
      <c r="M265" s="16">
        <v>0.15</v>
      </c>
      <c r="N265" s="16">
        <v>0.15</v>
      </c>
      <c r="O265" s="17">
        <v>45255.0</v>
      </c>
      <c r="P265" s="18">
        <v>4.75</v>
      </c>
      <c r="Q265" s="15" t="s">
        <v>25</v>
      </c>
      <c r="R265" s="19">
        <f t="shared" si="1"/>
        <v>-0.15</v>
      </c>
      <c r="S265" s="19">
        <f t="shared" si="4"/>
        <v>0.9755355788</v>
      </c>
    </row>
    <row r="266">
      <c r="A266" s="8">
        <f t="shared" si="3"/>
        <v>265</v>
      </c>
      <c r="B266" s="8" t="s">
        <v>40</v>
      </c>
      <c r="C266" s="8">
        <v>74.0</v>
      </c>
      <c r="D266" s="8" t="s">
        <v>3932</v>
      </c>
      <c r="E266" s="8" t="s">
        <v>5564</v>
      </c>
      <c r="F266" s="8" t="s">
        <v>2556</v>
      </c>
      <c r="G266" s="8">
        <v>-1.0</v>
      </c>
      <c r="H266" s="8" t="s">
        <v>683</v>
      </c>
      <c r="I266" s="8" t="s">
        <v>22</v>
      </c>
      <c r="J266" s="8" t="s">
        <v>225</v>
      </c>
      <c r="K266" s="8" t="s">
        <v>24</v>
      </c>
      <c r="L266" s="9">
        <v>0.25</v>
      </c>
      <c r="M266" s="9">
        <v>0.8</v>
      </c>
      <c r="N266" s="9">
        <v>0.8</v>
      </c>
      <c r="O266" s="10">
        <v>45255.0</v>
      </c>
      <c r="P266" s="11">
        <v>1.5</v>
      </c>
      <c r="Q266" s="8" t="s">
        <v>30</v>
      </c>
      <c r="R266" s="12">
        <f t="shared" si="1"/>
        <v>0.2</v>
      </c>
      <c r="S266" s="12">
        <f t="shared" si="4"/>
        <v>1.175535579</v>
      </c>
    </row>
    <row r="267">
      <c r="A267" s="15">
        <f t="shared" si="3"/>
        <v>266</v>
      </c>
      <c r="B267" s="15" t="s">
        <v>19</v>
      </c>
      <c r="C267" s="15">
        <v>70.0</v>
      </c>
      <c r="D267" s="15" t="s">
        <v>3933</v>
      </c>
      <c r="E267" s="15" t="s">
        <v>5565</v>
      </c>
      <c r="F267" s="15" t="s">
        <v>2556</v>
      </c>
      <c r="G267" s="15">
        <v>0.0</v>
      </c>
      <c r="H267" s="15" t="s">
        <v>121</v>
      </c>
      <c r="I267" s="15" t="s">
        <v>22</v>
      </c>
      <c r="J267" s="15" t="s">
        <v>941</v>
      </c>
      <c r="K267" s="15" t="s">
        <v>24</v>
      </c>
      <c r="L267" s="16">
        <v>0.0</v>
      </c>
      <c r="M267" s="16">
        <v>0.2</v>
      </c>
      <c r="N267" s="16">
        <v>0.2</v>
      </c>
      <c r="O267" s="17">
        <v>45255.0</v>
      </c>
      <c r="P267" s="18">
        <v>2.625</v>
      </c>
      <c r="Q267" s="15" t="s">
        <v>25</v>
      </c>
      <c r="R267" s="19">
        <f t="shared" si="1"/>
        <v>-0.2</v>
      </c>
      <c r="S267" s="19">
        <f t="shared" si="4"/>
        <v>0.9755355788</v>
      </c>
    </row>
    <row r="268">
      <c r="A268" s="8">
        <f t="shared" si="3"/>
        <v>267</v>
      </c>
      <c r="B268" s="8" t="s">
        <v>40</v>
      </c>
      <c r="C268" s="8">
        <v>71.0</v>
      </c>
      <c r="D268" s="8" t="s">
        <v>3934</v>
      </c>
      <c r="E268" s="8"/>
      <c r="F268" s="8"/>
      <c r="G268" s="8"/>
      <c r="H268" s="8" t="s">
        <v>50</v>
      </c>
      <c r="I268" s="8" t="s">
        <v>22</v>
      </c>
      <c r="J268" s="8" t="s">
        <v>440</v>
      </c>
      <c r="K268" s="8" t="s">
        <v>24</v>
      </c>
      <c r="L268" s="9">
        <v>5.5</v>
      </c>
      <c r="M268" s="9">
        <v>0.25</v>
      </c>
      <c r="N268" s="9">
        <v>0.25</v>
      </c>
      <c r="O268" s="10">
        <v>45255.0</v>
      </c>
      <c r="P268" s="11">
        <v>1.725</v>
      </c>
      <c r="Q268" s="8" t="s">
        <v>25</v>
      </c>
      <c r="R268" s="12">
        <f t="shared" si="1"/>
        <v>-0.25</v>
      </c>
      <c r="S268" s="12">
        <f t="shared" si="4"/>
        <v>0.7255355788</v>
      </c>
    </row>
    <row r="269">
      <c r="A269" s="15">
        <f t="shared" si="3"/>
        <v>268</v>
      </c>
      <c r="B269" s="15" t="s">
        <v>19</v>
      </c>
      <c r="C269" s="15">
        <v>45.0</v>
      </c>
      <c r="D269" s="15" t="s">
        <v>3935</v>
      </c>
      <c r="E269" s="15" t="s">
        <v>5564</v>
      </c>
      <c r="F269" s="15" t="s">
        <v>2556</v>
      </c>
      <c r="G269" s="15">
        <v>0.0</v>
      </c>
      <c r="H269" s="15" t="s">
        <v>66</v>
      </c>
      <c r="I269" s="15" t="s">
        <v>22</v>
      </c>
      <c r="J269" s="15" t="s">
        <v>225</v>
      </c>
      <c r="K269" s="15" t="s">
        <v>24</v>
      </c>
      <c r="L269" s="16">
        <v>0.25</v>
      </c>
      <c r="M269" s="16">
        <v>1.0</v>
      </c>
      <c r="N269" s="16">
        <v>1.0</v>
      </c>
      <c r="O269" s="17">
        <v>45255.0</v>
      </c>
      <c r="P269" s="18">
        <v>1.825</v>
      </c>
      <c r="Q269" s="15" t="s">
        <v>30</v>
      </c>
      <c r="R269" s="19">
        <f t="shared" si="1"/>
        <v>0.4125</v>
      </c>
      <c r="S269" s="19">
        <f t="shared" si="4"/>
        <v>1.138035579</v>
      </c>
    </row>
    <row r="270">
      <c r="A270" s="8">
        <f t="shared" si="3"/>
        <v>269</v>
      </c>
      <c r="B270" s="8" t="s">
        <v>19</v>
      </c>
      <c r="C270" s="8">
        <v>45.0</v>
      </c>
      <c r="D270" s="8" t="s">
        <v>3936</v>
      </c>
      <c r="E270" s="8" t="s">
        <v>5564</v>
      </c>
      <c r="F270" s="8" t="s">
        <v>2556</v>
      </c>
      <c r="G270" s="8">
        <v>0.0</v>
      </c>
      <c r="H270" s="8" t="s">
        <v>66</v>
      </c>
      <c r="I270" s="8" t="s">
        <v>22</v>
      </c>
      <c r="J270" s="8" t="s">
        <v>225</v>
      </c>
      <c r="K270" s="8" t="s">
        <v>24</v>
      </c>
      <c r="L270" s="9">
        <v>0.5</v>
      </c>
      <c r="M270" s="9">
        <v>1.0</v>
      </c>
      <c r="N270" s="9">
        <v>1.0</v>
      </c>
      <c r="O270" s="10">
        <v>45255.0</v>
      </c>
      <c r="P270" s="11">
        <v>1.9</v>
      </c>
      <c r="Q270" s="8" t="s">
        <v>33</v>
      </c>
      <c r="R270" s="12">
        <f t="shared" si="1"/>
        <v>0.9</v>
      </c>
      <c r="S270" s="12">
        <f t="shared" si="4"/>
        <v>2.038035579</v>
      </c>
    </row>
    <row r="271">
      <c r="A271" s="15">
        <f t="shared" si="3"/>
        <v>270</v>
      </c>
      <c r="B271" s="15" t="s">
        <v>40</v>
      </c>
      <c r="C271" s="15">
        <v>22.0</v>
      </c>
      <c r="D271" s="15" t="s">
        <v>3937</v>
      </c>
      <c r="E271" s="15" t="s">
        <v>5564</v>
      </c>
      <c r="F271" s="15" t="s">
        <v>2556</v>
      </c>
      <c r="G271" s="15">
        <v>0.0</v>
      </c>
      <c r="H271" s="15" t="s">
        <v>93</v>
      </c>
      <c r="I271" s="15" t="s">
        <v>22</v>
      </c>
      <c r="J271" s="15" t="s">
        <v>225</v>
      </c>
      <c r="K271" s="15" t="s">
        <v>24</v>
      </c>
      <c r="L271" s="16">
        <v>0.75</v>
      </c>
      <c r="M271" s="16">
        <v>0.6</v>
      </c>
      <c r="N271" s="16">
        <v>0.6</v>
      </c>
      <c r="O271" s="17">
        <v>45255.0</v>
      </c>
      <c r="P271" s="18">
        <v>1.85</v>
      </c>
      <c r="Q271" s="15" t="s">
        <v>70</v>
      </c>
      <c r="R271" s="19">
        <f t="shared" si="1"/>
        <v>0</v>
      </c>
      <c r="S271" s="19">
        <f t="shared" si="4"/>
        <v>2.038035579</v>
      </c>
    </row>
    <row r="272">
      <c r="A272" s="8">
        <f t="shared" si="3"/>
        <v>271</v>
      </c>
      <c r="B272" s="8" t="s">
        <v>19</v>
      </c>
      <c r="C272" s="8">
        <v>59.0</v>
      </c>
      <c r="D272" s="8" t="s">
        <v>3938</v>
      </c>
      <c r="E272" s="8" t="s">
        <v>5564</v>
      </c>
      <c r="F272" s="8" t="s">
        <v>2660</v>
      </c>
      <c r="G272" s="8">
        <v>0.0</v>
      </c>
      <c r="H272" s="8" t="s">
        <v>93</v>
      </c>
      <c r="I272" s="8" t="s">
        <v>22</v>
      </c>
      <c r="J272" s="8" t="s">
        <v>892</v>
      </c>
      <c r="K272" s="8" t="s">
        <v>39</v>
      </c>
      <c r="L272" s="9">
        <v>0.0</v>
      </c>
      <c r="M272" s="9">
        <v>0.25</v>
      </c>
      <c r="N272" s="9">
        <v>0.25</v>
      </c>
      <c r="O272" s="10">
        <v>45255.0</v>
      </c>
      <c r="P272" s="11">
        <v>2.02</v>
      </c>
      <c r="Q272" s="8" t="s">
        <v>25</v>
      </c>
      <c r="R272" s="12">
        <f t="shared" si="1"/>
        <v>-0.25</v>
      </c>
      <c r="S272" s="12">
        <f t="shared" si="4"/>
        <v>1.788035579</v>
      </c>
    </row>
    <row r="273">
      <c r="A273" s="15">
        <f t="shared" si="3"/>
        <v>272</v>
      </c>
      <c r="B273" s="15" t="s">
        <v>19</v>
      </c>
      <c r="C273" s="15">
        <v>40.0</v>
      </c>
      <c r="D273" s="15" t="s">
        <v>3939</v>
      </c>
      <c r="E273" s="15" t="s">
        <v>5564</v>
      </c>
      <c r="F273" s="15" t="s">
        <v>2556</v>
      </c>
      <c r="G273" s="15">
        <v>0.0</v>
      </c>
      <c r="H273" s="15" t="s">
        <v>248</v>
      </c>
      <c r="I273" s="15" t="s">
        <v>22</v>
      </c>
      <c r="J273" s="15" t="s">
        <v>941</v>
      </c>
      <c r="K273" s="15" t="s">
        <v>24</v>
      </c>
      <c r="L273" s="16">
        <v>0.0</v>
      </c>
      <c r="M273" s="16">
        <v>0.6</v>
      </c>
      <c r="N273" s="16">
        <v>0.6</v>
      </c>
      <c r="O273" s="17">
        <v>45255.0</v>
      </c>
      <c r="P273" s="18">
        <v>2.2</v>
      </c>
      <c r="Q273" s="15" t="s">
        <v>25</v>
      </c>
      <c r="R273" s="19">
        <f t="shared" si="1"/>
        <v>-0.6</v>
      </c>
      <c r="S273" s="19">
        <f t="shared" si="4"/>
        <v>1.188035579</v>
      </c>
    </row>
    <row r="274">
      <c r="A274" s="8">
        <f t="shared" si="3"/>
        <v>273</v>
      </c>
      <c r="B274" s="8" t="s">
        <v>19</v>
      </c>
      <c r="C274" s="8">
        <v>55.0</v>
      </c>
      <c r="D274" s="8" t="s">
        <v>3940</v>
      </c>
      <c r="E274" s="8" t="s">
        <v>5564</v>
      </c>
      <c r="F274" s="8" t="s">
        <v>2556</v>
      </c>
      <c r="G274" s="8">
        <v>-1.0</v>
      </c>
      <c r="H274" s="8" t="s">
        <v>178</v>
      </c>
      <c r="I274" s="8" t="s">
        <v>22</v>
      </c>
      <c r="J274" s="8" t="s">
        <v>225</v>
      </c>
      <c r="K274" s="8" t="s">
        <v>1522</v>
      </c>
      <c r="L274" s="9">
        <v>0.5</v>
      </c>
      <c r="M274" s="9">
        <v>1.0</v>
      </c>
      <c r="N274" s="9">
        <v>0.54</v>
      </c>
      <c r="O274" s="10">
        <v>45255.0</v>
      </c>
      <c r="P274" s="11">
        <v>1.8</v>
      </c>
      <c r="Q274" s="8" t="s">
        <v>25</v>
      </c>
      <c r="R274" s="12">
        <f t="shared" si="1"/>
        <v>-0.54</v>
      </c>
      <c r="S274" s="12">
        <f t="shared" si="4"/>
        <v>0.6480355788</v>
      </c>
    </row>
    <row r="275">
      <c r="A275" s="15">
        <f t="shared" si="3"/>
        <v>274</v>
      </c>
      <c r="B275" s="15" t="s">
        <v>19</v>
      </c>
      <c r="C275" s="15">
        <v>61.0</v>
      </c>
      <c r="D275" s="15" t="s">
        <v>3941</v>
      </c>
      <c r="E275" s="15" t="s">
        <v>5564</v>
      </c>
      <c r="F275" s="15" t="s">
        <v>2660</v>
      </c>
      <c r="G275" s="15">
        <v>0.0</v>
      </c>
      <c r="H275" s="15" t="s">
        <v>397</v>
      </c>
      <c r="I275" s="15" t="s">
        <v>22</v>
      </c>
      <c r="J275" s="15" t="s">
        <v>892</v>
      </c>
      <c r="K275" s="15" t="s">
        <v>24</v>
      </c>
      <c r="L275" s="16">
        <v>0.0</v>
      </c>
      <c r="M275" s="16">
        <v>0.6</v>
      </c>
      <c r="N275" s="16">
        <v>0.6</v>
      </c>
      <c r="O275" s="17">
        <v>45255.0</v>
      </c>
      <c r="P275" s="18">
        <v>2.25</v>
      </c>
      <c r="Q275" s="15" t="s">
        <v>70</v>
      </c>
      <c r="R275" s="19">
        <f t="shared" si="1"/>
        <v>0</v>
      </c>
      <c r="S275" s="19">
        <f t="shared" si="4"/>
        <v>0.6480355788</v>
      </c>
    </row>
    <row r="276">
      <c r="A276" s="8">
        <f t="shared" si="3"/>
        <v>275</v>
      </c>
      <c r="B276" s="8" t="s">
        <v>19</v>
      </c>
      <c r="C276" s="8">
        <v>55.0</v>
      </c>
      <c r="D276" s="8" t="s">
        <v>3939</v>
      </c>
      <c r="E276" s="8" t="s">
        <v>5564</v>
      </c>
      <c r="F276" s="8" t="s">
        <v>2556</v>
      </c>
      <c r="G276" s="8">
        <v>0.0</v>
      </c>
      <c r="H276" s="8" t="s">
        <v>248</v>
      </c>
      <c r="I276" s="8" t="s">
        <v>22</v>
      </c>
      <c r="J276" s="8" t="s">
        <v>941</v>
      </c>
      <c r="K276" s="8" t="s">
        <v>24</v>
      </c>
      <c r="L276" s="9">
        <v>0.0</v>
      </c>
      <c r="M276" s="9">
        <v>0.4</v>
      </c>
      <c r="N276" s="9">
        <v>0.4</v>
      </c>
      <c r="O276" s="10">
        <v>45255.0</v>
      </c>
      <c r="P276" s="11">
        <v>2.1</v>
      </c>
      <c r="Q276" s="8" t="s">
        <v>25</v>
      </c>
      <c r="R276" s="12">
        <f t="shared" si="1"/>
        <v>-0.4</v>
      </c>
      <c r="S276" s="12">
        <f t="shared" si="4"/>
        <v>0.2480355788</v>
      </c>
    </row>
    <row r="277">
      <c r="A277" s="15">
        <f t="shared" si="3"/>
        <v>276</v>
      </c>
      <c r="B277" s="15" t="s">
        <v>40</v>
      </c>
      <c r="C277" s="15">
        <v>53.0</v>
      </c>
      <c r="D277" s="15" t="s">
        <v>3942</v>
      </c>
      <c r="E277" s="139" t="s">
        <v>5564</v>
      </c>
      <c r="F277" s="139" t="s">
        <v>2556</v>
      </c>
      <c r="G277" s="139">
        <v>0.0</v>
      </c>
      <c r="H277" s="15" t="s">
        <v>93</v>
      </c>
      <c r="I277" s="15" t="s">
        <v>22</v>
      </c>
      <c r="J277" s="15" t="s">
        <v>225</v>
      </c>
      <c r="K277" s="15" t="s">
        <v>1522</v>
      </c>
      <c r="L277" s="16">
        <v>0.25</v>
      </c>
      <c r="M277" s="16">
        <v>1.0</v>
      </c>
      <c r="N277" s="16">
        <v>1.0</v>
      </c>
      <c r="O277" s="17">
        <v>45255.0</v>
      </c>
      <c r="P277" s="18">
        <v>1.9</v>
      </c>
      <c r="Q277" s="15" t="s">
        <v>33</v>
      </c>
      <c r="R277" s="19">
        <f t="shared" si="1"/>
        <v>0.9</v>
      </c>
      <c r="S277" s="19">
        <f t="shared" si="4"/>
        <v>1.148035579</v>
      </c>
    </row>
    <row r="278">
      <c r="A278" s="8">
        <f t="shared" si="3"/>
        <v>277</v>
      </c>
      <c r="B278" s="8" t="s">
        <v>19</v>
      </c>
      <c r="C278" s="8">
        <v>0.0</v>
      </c>
      <c r="D278" s="8" t="s">
        <v>3943</v>
      </c>
      <c r="E278" s="8" t="s">
        <v>5564</v>
      </c>
      <c r="F278" s="8" t="s">
        <v>2556</v>
      </c>
      <c r="G278" s="8"/>
      <c r="H278" s="8" t="s">
        <v>82</v>
      </c>
      <c r="I278" s="8" t="s">
        <v>598</v>
      </c>
      <c r="J278" s="8" t="s">
        <v>225</v>
      </c>
      <c r="K278" s="8" t="s">
        <v>39</v>
      </c>
      <c r="L278" s="9">
        <v>0.5</v>
      </c>
      <c r="M278" s="9">
        <v>0.1</v>
      </c>
      <c r="N278" s="9">
        <v>0.1</v>
      </c>
      <c r="O278" s="10">
        <v>45255.0</v>
      </c>
      <c r="P278" s="11">
        <v>1.1</v>
      </c>
      <c r="Q278" s="8" t="s">
        <v>33</v>
      </c>
      <c r="R278" s="12">
        <f t="shared" si="1"/>
        <v>0.01</v>
      </c>
      <c r="S278" s="12">
        <f t="shared" si="4"/>
        <v>1.158035579</v>
      </c>
    </row>
    <row r="279">
      <c r="A279" s="15">
        <f t="shared" si="3"/>
        <v>278</v>
      </c>
      <c r="B279" s="15" t="s">
        <v>19</v>
      </c>
      <c r="C279" s="15"/>
      <c r="D279" s="15" t="s">
        <v>3944</v>
      </c>
      <c r="E279" s="15"/>
      <c r="F279" s="15"/>
      <c r="G279" s="15"/>
      <c r="H279" s="15" t="s">
        <v>82</v>
      </c>
      <c r="I279" s="15" t="s">
        <v>22</v>
      </c>
      <c r="J279" s="15" t="s">
        <v>440</v>
      </c>
      <c r="K279" s="15" t="s">
        <v>39</v>
      </c>
      <c r="L279" s="16">
        <v>2.75</v>
      </c>
      <c r="M279" s="16">
        <v>0.25</v>
      </c>
      <c r="N279" s="16">
        <v>0.25</v>
      </c>
      <c r="O279" s="17">
        <v>45255.0</v>
      </c>
      <c r="P279" s="18">
        <v>1.7</v>
      </c>
      <c r="Q279" s="15" t="s">
        <v>33</v>
      </c>
      <c r="R279" s="19">
        <f t="shared" si="1"/>
        <v>0.175</v>
      </c>
      <c r="S279" s="19">
        <f t="shared" si="4"/>
        <v>1.333035579</v>
      </c>
    </row>
    <row r="280">
      <c r="A280" s="8">
        <f t="shared" si="3"/>
        <v>279</v>
      </c>
      <c r="B280" s="8" t="s">
        <v>19</v>
      </c>
      <c r="C280" s="8">
        <v>0.0</v>
      </c>
      <c r="D280" s="8" t="s">
        <v>3945</v>
      </c>
      <c r="E280" s="8" t="s">
        <v>5565</v>
      </c>
      <c r="F280" s="8" t="s">
        <v>2556</v>
      </c>
      <c r="G280" s="8">
        <v>0.0</v>
      </c>
      <c r="H280" s="8" t="s">
        <v>50</v>
      </c>
      <c r="I280" s="8" t="s">
        <v>22</v>
      </c>
      <c r="J280" s="8" t="s">
        <v>225</v>
      </c>
      <c r="K280" s="8" t="s">
        <v>24</v>
      </c>
      <c r="L280" s="9">
        <v>0.5</v>
      </c>
      <c r="M280" s="9">
        <v>1.0</v>
      </c>
      <c r="N280" s="9">
        <v>1.0</v>
      </c>
      <c r="O280" s="10">
        <v>45256.0</v>
      </c>
      <c r="P280" s="11">
        <v>1.68</v>
      </c>
      <c r="Q280" s="8" t="s">
        <v>33</v>
      </c>
      <c r="R280" s="12">
        <f t="shared" si="1"/>
        <v>0.68</v>
      </c>
      <c r="S280" s="12">
        <f t="shared" si="4"/>
        <v>2.013035579</v>
      </c>
    </row>
    <row r="281">
      <c r="A281" s="15">
        <f t="shared" si="3"/>
        <v>280</v>
      </c>
      <c r="B281" s="15" t="s">
        <v>19</v>
      </c>
      <c r="C281" s="15">
        <v>0.0</v>
      </c>
      <c r="D281" s="15" t="s">
        <v>3946</v>
      </c>
      <c r="E281" s="15" t="s">
        <v>5565</v>
      </c>
      <c r="F281" s="15" t="s">
        <v>2556</v>
      </c>
      <c r="G281" s="15">
        <f>1</f>
        <v>1</v>
      </c>
      <c r="H281" s="15" t="s">
        <v>44</v>
      </c>
      <c r="I281" s="15" t="s">
        <v>22</v>
      </c>
      <c r="J281" s="15" t="s">
        <v>1847</v>
      </c>
      <c r="K281" s="15" t="s">
        <v>39</v>
      </c>
      <c r="L281" s="16">
        <v>-0.5</v>
      </c>
      <c r="M281" s="16">
        <v>0.25</v>
      </c>
      <c r="N281" s="16">
        <v>0.25</v>
      </c>
      <c r="O281" s="17">
        <v>45256.0</v>
      </c>
      <c r="P281" s="18">
        <v>1.725</v>
      </c>
      <c r="Q281" s="15" t="s">
        <v>70</v>
      </c>
      <c r="R281" s="19">
        <f t="shared" si="1"/>
        <v>0</v>
      </c>
      <c r="S281" s="19">
        <f t="shared" si="4"/>
        <v>2.013035579</v>
      </c>
    </row>
    <row r="282">
      <c r="A282" s="8">
        <f t="shared" si="3"/>
        <v>281</v>
      </c>
      <c r="B282" s="8" t="s">
        <v>19</v>
      </c>
      <c r="C282" s="8">
        <v>0.0</v>
      </c>
      <c r="D282" s="8" t="s">
        <v>3947</v>
      </c>
      <c r="E282" s="8" t="s">
        <v>5565</v>
      </c>
      <c r="F282" s="8" t="s">
        <v>2660</v>
      </c>
      <c r="G282" s="8">
        <v>2</v>
      </c>
      <c r="H282" s="8" t="s">
        <v>44</v>
      </c>
      <c r="I282" s="8" t="s">
        <v>22</v>
      </c>
      <c r="J282" s="8" t="s">
        <v>1150</v>
      </c>
      <c r="K282" s="8" t="s">
        <v>39</v>
      </c>
      <c r="L282" s="9">
        <v>0.0</v>
      </c>
      <c r="M282" s="9">
        <v>0.5</v>
      </c>
      <c r="N282" s="9">
        <v>0.5</v>
      </c>
      <c r="O282" s="10">
        <v>45256.0</v>
      </c>
      <c r="P282" s="11">
        <v>1.75</v>
      </c>
      <c r="Q282" s="8" t="s">
        <v>33</v>
      </c>
      <c r="R282" s="12">
        <f t="shared" si="1"/>
        <v>0.375</v>
      </c>
      <c r="S282" s="12">
        <f t="shared" si="4"/>
        <v>2.388035579</v>
      </c>
    </row>
    <row r="283">
      <c r="A283" s="15">
        <f t="shared" si="3"/>
        <v>282</v>
      </c>
      <c r="B283" s="15" t="s">
        <v>19</v>
      </c>
      <c r="C283" s="15">
        <v>66.0</v>
      </c>
      <c r="D283" s="15" t="s">
        <v>3948</v>
      </c>
      <c r="E283" s="15" t="s">
        <v>5564</v>
      </c>
      <c r="F283" s="15" t="s">
        <v>2556</v>
      </c>
      <c r="G283" s="15">
        <f>1</f>
        <v>1</v>
      </c>
      <c r="H283" s="15" t="s">
        <v>99</v>
      </c>
      <c r="I283" s="15" t="s">
        <v>22</v>
      </c>
      <c r="J283" s="15" t="s">
        <v>1847</v>
      </c>
      <c r="K283" s="15" t="s">
        <v>24</v>
      </c>
      <c r="L283" s="16">
        <v>-0.5</v>
      </c>
      <c r="M283" s="16">
        <v>0.2</v>
      </c>
      <c r="N283" s="16">
        <f>0.394*0.2</f>
        <v>0.0788</v>
      </c>
      <c r="O283" s="17">
        <v>45256.0</v>
      </c>
      <c r="P283" s="18">
        <v>1.8</v>
      </c>
      <c r="Q283" s="15" t="s">
        <v>25</v>
      </c>
      <c r="R283" s="19">
        <f t="shared" si="1"/>
        <v>-0.0788</v>
      </c>
      <c r="S283" s="19">
        <f t="shared" si="4"/>
        <v>2.309235579</v>
      </c>
    </row>
    <row r="284">
      <c r="A284" s="8">
        <f t="shared" si="3"/>
        <v>283</v>
      </c>
      <c r="B284" s="8" t="s">
        <v>19</v>
      </c>
      <c r="C284" s="8">
        <v>40.0</v>
      </c>
      <c r="D284" s="31" t="s">
        <v>3949</v>
      </c>
      <c r="E284" s="32" t="s">
        <v>5564</v>
      </c>
      <c r="F284" s="32" t="s">
        <v>2556</v>
      </c>
      <c r="G284" s="32">
        <v>0.0</v>
      </c>
      <c r="H284" s="32" t="s">
        <v>229</v>
      </c>
      <c r="I284" s="32" t="s">
        <v>22</v>
      </c>
      <c r="J284" s="32" t="s">
        <v>941</v>
      </c>
      <c r="K284" s="32" t="s">
        <v>24</v>
      </c>
      <c r="L284" s="33">
        <v>0.0</v>
      </c>
      <c r="M284" s="9">
        <v>0.6</v>
      </c>
      <c r="N284" s="9">
        <v>0.6</v>
      </c>
      <c r="O284" s="10">
        <v>45256.0</v>
      </c>
      <c r="P284" s="11">
        <v>2.1</v>
      </c>
      <c r="Q284" s="8" t="s">
        <v>70</v>
      </c>
      <c r="R284" s="12">
        <f t="shared" si="1"/>
        <v>0</v>
      </c>
      <c r="S284" s="12">
        <f t="shared" si="4"/>
        <v>2.309235579</v>
      </c>
    </row>
    <row r="285">
      <c r="A285" s="15">
        <f t="shared" si="3"/>
        <v>284</v>
      </c>
      <c r="B285" s="15" t="s">
        <v>19</v>
      </c>
      <c r="C285" s="15">
        <v>19.0</v>
      </c>
      <c r="D285" s="36" t="s">
        <v>3950</v>
      </c>
      <c r="E285" s="37" t="s">
        <v>5565</v>
      </c>
      <c r="F285" s="37" t="s">
        <v>2660</v>
      </c>
      <c r="G285" s="37">
        <f>1</f>
        <v>1</v>
      </c>
      <c r="H285" s="37" t="s">
        <v>88</v>
      </c>
      <c r="I285" s="37" t="s">
        <v>22</v>
      </c>
      <c r="J285" s="37" t="s">
        <v>1150</v>
      </c>
      <c r="K285" s="37" t="s">
        <v>24</v>
      </c>
      <c r="L285" s="24">
        <v>0.0</v>
      </c>
      <c r="M285" s="16">
        <v>0.5</v>
      </c>
      <c r="N285" s="16">
        <v>0.5</v>
      </c>
      <c r="O285" s="17">
        <v>45256.0</v>
      </c>
      <c r="P285" s="18">
        <v>1.875</v>
      </c>
      <c r="Q285" s="15" t="s">
        <v>25</v>
      </c>
      <c r="R285" s="19">
        <f t="shared" si="1"/>
        <v>-0.5</v>
      </c>
      <c r="S285" s="19">
        <f t="shared" si="4"/>
        <v>1.809235579</v>
      </c>
    </row>
    <row r="286">
      <c r="A286" s="8">
        <f t="shared" si="3"/>
        <v>285</v>
      </c>
      <c r="B286" s="8" t="s">
        <v>40</v>
      </c>
      <c r="C286" s="158">
        <v>39.0</v>
      </c>
      <c r="D286" s="185" t="s">
        <v>3951</v>
      </c>
      <c r="E286" s="47" t="s">
        <v>5564</v>
      </c>
      <c r="F286" s="47" t="s">
        <v>2556</v>
      </c>
      <c r="G286" s="47">
        <v>0.0</v>
      </c>
      <c r="H286" s="47" t="s">
        <v>316</v>
      </c>
      <c r="I286" s="47" t="s">
        <v>22</v>
      </c>
      <c r="J286" s="47" t="s">
        <v>225</v>
      </c>
      <c r="K286" s="32" t="s">
        <v>24</v>
      </c>
      <c r="L286" s="9">
        <v>0.5</v>
      </c>
      <c r="M286" s="9">
        <v>0.8</v>
      </c>
      <c r="N286" s="9">
        <v>0.8</v>
      </c>
      <c r="O286" s="10">
        <v>45256.0</v>
      </c>
      <c r="P286" s="11">
        <v>1.825</v>
      </c>
      <c r="Q286" s="8" t="s">
        <v>25</v>
      </c>
      <c r="R286" s="12">
        <f t="shared" si="1"/>
        <v>-0.8</v>
      </c>
      <c r="S286" s="12">
        <f t="shared" si="4"/>
        <v>1.009235579</v>
      </c>
    </row>
    <row r="287">
      <c r="A287" s="15">
        <f t="shared" si="3"/>
        <v>286</v>
      </c>
      <c r="B287" s="15" t="s">
        <v>19</v>
      </c>
      <c r="C287" s="15">
        <v>71.0</v>
      </c>
      <c r="D287" s="15" t="s">
        <v>3952</v>
      </c>
      <c r="E287" s="15" t="s">
        <v>5564</v>
      </c>
      <c r="F287" s="15" t="s">
        <v>2660</v>
      </c>
      <c r="G287" s="15">
        <v>0.0</v>
      </c>
      <c r="H287" s="15" t="s">
        <v>93</v>
      </c>
      <c r="I287" s="15" t="s">
        <v>22</v>
      </c>
      <c r="J287" s="15" t="s">
        <v>892</v>
      </c>
      <c r="K287" s="37" t="s">
        <v>24</v>
      </c>
      <c r="L287" s="16">
        <v>0.0</v>
      </c>
      <c r="M287" s="16">
        <v>1.0</v>
      </c>
      <c r="N287" s="16">
        <v>1.0</v>
      </c>
      <c r="O287" s="17">
        <v>45256.0</v>
      </c>
      <c r="P287" s="18">
        <v>1.75</v>
      </c>
      <c r="Q287" s="15" t="s">
        <v>70</v>
      </c>
      <c r="R287" s="19">
        <f t="shared" si="1"/>
        <v>0</v>
      </c>
      <c r="S287" s="19">
        <f t="shared" si="4"/>
        <v>1.009235579</v>
      </c>
    </row>
    <row r="288">
      <c r="A288" s="8">
        <f t="shared" si="3"/>
        <v>287</v>
      </c>
      <c r="B288" s="8" t="s">
        <v>19</v>
      </c>
      <c r="C288" s="8">
        <v>81.0</v>
      </c>
      <c r="D288" s="8" t="s">
        <v>3953</v>
      </c>
      <c r="E288" s="8" t="s">
        <v>5564</v>
      </c>
      <c r="F288" s="8" t="s">
        <v>2660</v>
      </c>
      <c r="G288" s="8">
        <v>-1.0</v>
      </c>
      <c r="H288" s="8" t="s">
        <v>93</v>
      </c>
      <c r="I288" s="8" t="s">
        <v>22</v>
      </c>
      <c r="J288" s="8" t="s">
        <v>892</v>
      </c>
      <c r="K288" s="32" t="s">
        <v>24</v>
      </c>
      <c r="L288" s="9">
        <v>0.0</v>
      </c>
      <c r="M288" s="9">
        <v>0.15</v>
      </c>
      <c r="N288" s="9">
        <v>0.15</v>
      </c>
      <c r="O288" s="10">
        <v>45256.0</v>
      </c>
      <c r="P288" s="11">
        <v>4.15</v>
      </c>
      <c r="Q288" s="8" t="s">
        <v>25</v>
      </c>
      <c r="R288" s="12">
        <f t="shared" si="1"/>
        <v>-0.15</v>
      </c>
      <c r="S288" s="12">
        <f t="shared" si="4"/>
        <v>0.8592355788</v>
      </c>
    </row>
    <row r="289">
      <c r="A289" s="15">
        <f t="shared" si="3"/>
        <v>288</v>
      </c>
      <c r="B289" s="15" t="s">
        <v>19</v>
      </c>
      <c r="C289" s="15">
        <v>14.0</v>
      </c>
      <c r="D289" s="15" t="s">
        <v>3954</v>
      </c>
      <c r="E289" s="15" t="s">
        <v>5564</v>
      </c>
      <c r="F289" s="15" t="s">
        <v>2556</v>
      </c>
      <c r="G289" s="15">
        <v>0.0</v>
      </c>
      <c r="H289" s="15" t="s">
        <v>369</v>
      </c>
      <c r="I289" s="15" t="s">
        <v>22</v>
      </c>
      <c r="J289" s="15" t="s">
        <v>225</v>
      </c>
      <c r="K289" s="37" t="s">
        <v>24</v>
      </c>
      <c r="L289" s="16">
        <v>0.5</v>
      </c>
      <c r="M289" s="16">
        <v>1.0</v>
      </c>
      <c r="N289" s="16">
        <v>1.0</v>
      </c>
      <c r="O289" s="17">
        <v>45256.0</v>
      </c>
      <c r="P289" s="18">
        <v>1.975</v>
      </c>
      <c r="Q289" s="15" t="s">
        <v>33</v>
      </c>
      <c r="R289" s="19">
        <f t="shared" si="1"/>
        <v>0.975</v>
      </c>
      <c r="S289" s="19">
        <f t="shared" si="4"/>
        <v>1.834235579</v>
      </c>
    </row>
    <row r="290">
      <c r="A290" s="8">
        <f t="shared" si="3"/>
        <v>289</v>
      </c>
      <c r="B290" s="8" t="s">
        <v>19</v>
      </c>
      <c r="C290" s="8">
        <v>45.0</v>
      </c>
      <c r="D290" s="8" t="s">
        <v>3955</v>
      </c>
      <c r="E290" s="8" t="s">
        <v>5564</v>
      </c>
      <c r="F290" s="8" t="s">
        <v>2660</v>
      </c>
      <c r="G290" s="8">
        <f t="shared" ref="G290:G291" si="11">1</f>
        <v>1</v>
      </c>
      <c r="H290" s="8" t="s">
        <v>115</v>
      </c>
      <c r="I290" s="8" t="s">
        <v>22</v>
      </c>
      <c r="J290" s="8" t="s">
        <v>892</v>
      </c>
      <c r="K290" s="32" t="s">
        <v>24</v>
      </c>
      <c r="L290" s="9">
        <v>0.0</v>
      </c>
      <c r="M290" s="9">
        <v>1.0</v>
      </c>
      <c r="N290" s="9">
        <v>0.15</v>
      </c>
      <c r="O290" s="10">
        <v>45256.0</v>
      </c>
      <c r="P290" s="11">
        <v>1.75</v>
      </c>
      <c r="Q290" s="8" t="s">
        <v>25</v>
      </c>
      <c r="R290" s="12">
        <f t="shared" si="1"/>
        <v>-0.15</v>
      </c>
      <c r="S290" s="12">
        <f t="shared" si="4"/>
        <v>1.684235579</v>
      </c>
    </row>
    <row r="291">
      <c r="A291" s="15">
        <f t="shared" si="3"/>
        <v>290</v>
      </c>
      <c r="B291" s="15" t="s">
        <v>40</v>
      </c>
      <c r="C291" s="15">
        <v>71.0</v>
      </c>
      <c r="D291" s="15" t="s">
        <v>3956</v>
      </c>
      <c r="E291" s="15" t="s">
        <v>5564</v>
      </c>
      <c r="F291" s="15" t="s">
        <v>2556</v>
      </c>
      <c r="G291" s="15">
        <f t="shared" si="11"/>
        <v>1</v>
      </c>
      <c r="H291" s="15" t="s">
        <v>463</v>
      </c>
      <c r="I291" s="15" t="s">
        <v>22</v>
      </c>
      <c r="J291" s="15" t="s">
        <v>225</v>
      </c>
      <c r="K291" s="37" t="s">
        <v>24</v>
      </c>
      <c r="L291" s="16">
        <v>0.25</v>
      </c>
      <c r="M291" s="16">
        <v>0.8</v>
      </c>
      <c r="N291" s="16">
        <v>0.8</v>
      </c>
      <c r="O291" s="17">
        <v>45256.0</v>
      </c>
      <c r="P291" s="18">
        <v>1.75</v>
      </c>
      <c r="Q291" s="15" t="s">
        <v>30</v>
      </c>
      <c r="R291" s="19">
        <f t="shared" si="1"/>
        <v>0.3</v>
      </c>
      <c r="S291" s="19">
        <f t="shared" si="4"/>
        <v>1.984235579</v>
      </c>
    </row>
    <row r="292">
      <c r="A292" s="8">
        <f t="shared" si="3"/>
        <v>291</v>
      </c>
      <c r="B292" s="8" t="s">
        <v>40</v>
      </c>
      <c r="C292" s="8">
        <v>89.0</v>
      </c>
      <c r="D292" s="8" t="s">
        <v>3957</v>
      </c>
      <c r="E292" s="8"/>
      <c r="F292" s="8"/>
      <c r="G292" s="8"/>
      <c r="H292" s="8" t="s">
        <v>58</v>
      </c>
      <c r="I292" s="8" t="s">
        <v>22</v>
      </c>
      <c r="J292" s="8" t="s">
        <v>23</v>
      </c>
      <c r="K292" s="32" t="s">
        <v>24</v>
      </c>
      <c r="L292" s="9">
        <v>-7.5</v>
      </c>
      <c r="M292" s="9">
        <v>0.35</v>
      </c>
      <c r="N292" s="9">
        <v>0.35</v>
      </c>
      <c r="O292" s="10">
        <v>45256.0</v>
      </c>
      <c r="P292" s="11">
        <v>2.0</v>
      </c>
      <c r="Q292" s="8" t="s">
        <v>70</v>
      </c>
      <c r="R292" s="12">
        <f t="shared" si="1"/>
        <v>0</v>
      </c>
      <c r="S292" s="12">
        <f t="shared" si="4"/>
        <v>1.984235579</v>
      </c>
    </row>
    <row r="293">
      <c r="A293" s="15">
        <f t="shared" si="3"/>
        <v>292</v>
      </c>
      <c r="B293" s="15" t="s">
        <v>19</v>
      </c>
      <c r="C293" s="15">
        <v>57.0</v>
      </c>
      <c r="D293" s="15" t="s">
        <v>3958</v>
      </c>
      <c r="E293" s="15" t="s">
        <v>5565</v>
      </c>
      <c r="F293" s="15" t="s">
        <v>2660</v>
      </c>
      <c r="G293" s="15">
        <v>0.0</v>
      </c>
      <c r="H293" s="15" t="s">
        <v>106</v>
      </c>
      <c r="I293" s="15" t="s">
        <v>22</v>
      </c>
      <c r="J293" s="15" t="s">
        <v>892</v>
      </c>
      <c r="K293" s="37" t="s">
        <v>24</v>
      </c>
      <c r="L293" s="16">
        <v>0.0</v>
      </c>
      <c r="M293" s="16">
        <v>0.5</v>
      </c>
      <c r="N293" s="16">
        <v>0.5</v>
      </c>
      <c r="O293" s="17">
        <v>45256.0</v>
      </c>
      <c r="P293" s="18">
        <v>1.85</v>
      </c>
      <c r="Q293" s="15" t="s">
        <v>70</v>
      </c>
      <c r="R293" s="19">
        <f t="shared" si="1"/>
        <v>0</v>
      </c>
      <c r="S293" s="19">
        <f t="shared" si="4"/>
        <v>1.984235579</v>
      </c>
    </row>
    <row r="294">
      <c r="A294" s="8">
        <f t="shared" si="3"/>
        <v>293</v>
      </c>
      <c r="B294" s="8" t="s">
        <v>19</v>
      </c>
      <c r="C294" s="8">
        <v>68.0</v>
      </c>
      <c r="D294" s="8" t="s">
        <v>3959</v>
      </c>
      <c r="E294" s="8" t="s">
        <v>5564</v>
      </c>
      <c r="F294" s="8" t="s">
        <v>2660</v>
      </c>
      <c r="G294" s="8">
        <v>-1.0</v>
      </c>
      <c r="H294" s="8" t="s">
        <v>3476</v>
      </c>
      <c r="I294" s="8" t="s">
        <v>22</v>
      </c>
      <c r="J294" s="8" t="s">
        <v>892</v>
      </c>
      <c r="K294" s="32" t="s">
        <v>24</v>
      </c>
      <c r="L294" s="9">
        <v>0.0</v>
      </c>
      <c r="M294" s="9">
        <v>1.0</v>
      </c>
      <c r="N294" s="9">
        <v>1.0</v>
      </c>
      <c r="O294" s="10">
        <v>45256.0</v>
      </c>
      <c r="P294" s="11">
        <v>1.95</v>
      </c>
      <c r="Q294" s="8" t="s">
        <v>70</v>
      </c>
      <c r="R294" s="12">
        <f t="shared" si="1"/>
        <v>0</v>
      </c>
      <c r="S294" s="12">
        <f t="shared" si="4"/>
        <v>1.984235579</v>
      </c>
    </row>
    <row r="295">
      <c r="A295" s="15">
        <f t="shared" si="3"/>
        <v>294</v>
      </c>
      <c r="B295" s="15" t="s">
        <v>40</v>
      </c>
      <c r="C295" s="15">
        <v>36.0</v>
      </c>
      <c r="D295" s="15" t="s">
        <v>3960</v>
      </c>
      <c r="E295" s="15" t="s">
        <v>5564</v>
      </c>
      <c r="F295" s="15" t="s">
        <v>2556</v>
      </c>
      <c r="G295" s="15">
        <v>0.0</v>
      </c>
      <c r="H295" s="15" t="s">
        <v>38</v>
      </c>
      <c r="I295" s="15" t="s">
        <v>22</v>
      </c>
      <c r="J295" s="15" t="s">
        <v>225</v>
      </c>
      <c r="K295" s="37" t="s">
        <v>24</v>
      </c>
      <c r="L295" s="16">
        <v>0.25</v>
      </c>
      <c r="M295" s="16">
        <v>1.0</v>
      </c>
      <c r="N295" s="16">
        <v>0.3</v>
      </c>
      <c r="O295" s="17">
        <v>45256.0</v>
      </c>
      <c r="P295" s="18">
        <v>1.9</v>
      </c>
      <c r="Q295" s="15" t="s">
        <v>25</v>
      </c>
      <c r="R295" s="19">
        <f t="shared" si="1"/>
        <v>-0.3</v>
      </c>
      <c r="S295" s="19">
        <f t="shared" si="4"/>
        <v>1.684235579</v>
      </c>
    </row>
    <row r="296">
      <c r="A296" s="8">
        <f t="shared" si="3"/>
        <v>295</v>
      </c>
      <c r="B296" s="8" t="s">
        <v>19</v>
      </c>
      <c r="C296" s="8">
        <v>57.0</v>
      </c>
      <c r="D296" s="8" t="s">
        <v>3961</v>
      </c>
      <c r="E296" s="8" t="s">
        <v>5564</v>
      </c>
      <c r="F296" s="8" t="s">
        <v>2660</v>
      </c>
      <c r="G296" s="8">
        <v>0.0</v>
      </c>
      <c r="H296" s="8" t="s">
        <v>121</v>
      </c>
      <c r="I296" s="8" t="s">
        <v>22</v>
      </c>
      <c r="J296" s="8" t="s">
        <v>892</v>
      </c>
      <c r="K296" s="32" t="s">
        <v>24</v>
      </c>
      <c r="L296" s="9">
        <v>0.0</v>
      </c>
      <c r="M296" s="9">
        <v>0.5</v>
      </c>
      <c r="N296" s="9">
        <v>0.5</v>
      </c>
      <c r="O296" s="10">
        <v>45256.0</v>
      </c>
      <c r="P296" s="11">
        <v>1.7</v>
      </c>
      <c r="Q296" s="8" t="s">
        <v>70</v>
      </c>
      <c r="R296" s="12">
        <f t="shared" si="1"/>
        <v>0</v>
      </c>
      <c r="S296" s="12">
        <f t="shared" si="4"/>
        <v>1.684235579</v>
      </c>
    </row>
    <row r="297">
      <c r="A297" s="15">
        <f t="shared" si="3"/>
        <v>296</v>
      </c>
      <c r="B297" s="15" t="s">
        <v>40</v>
      </c>
      <c r="C297" s="15">
        <v>88.0</v>
      </c>
      <c r="D297" s="15" t="s">
        <v>3962</v>
      </c>
      <c r="E297" s="15"/>
      <c r="F297" s="15"/>
      <c r="G297" s="15"/>
      <c r="H297" s="15" t="s">
        <v>38</v>
      </c>
      <c r="I297" s="15" t="s">
        <v>22</v>
      </c>
      <c r="J297" s="15" t="s">
        <v>29</v>
      </c>
      <c r="K297" s="37" t="s">
        <v>24</v>
      </c>
      <c r="L297" s="16">
        <v>-1.5</v>
      </c>
      <c r="M297" s="16">
        <v>0.5</v>
      </c>
      <c r="N297" s="16">
        <v>0.5</v>
      </c>
      <c r="O297" s="17">
        <v>45256.0</v>
      </c>
      <c r="P297" s="18">
        <v>1.48</v>
      </c>
      <c r="Q297" s="15" t="s">
        <v>33</v>
      </c>
      <c r="R297" s="19">
        <f t="shared" si="1"/>
        <v>0.24</v>
      </c>
      <c r="S297" s="19">
        <f t="shared" si="4"/>
        <v>1.924235579</v>
      </c>
    </row>
    <row r="298">
      <c r="A298" s="8">
        <f t="shared" si="3"/>
        <v>297</v>
      </c>
      <c r="B298" s="8" t="s">
        <v>19</v>
      </c>
      <c r="C298" s="8">
        <v>63.0</v>
      </c>
      <c r="D298" s="8" t="s">
        <v>3963</v>
      </c>
      <c r="E298" s="8" t="s">
        <v>5564</v>
      </c>
      <c r="F298" s="8" t="s">
        <v>2556</v>
      </c>
      <c r="G298" s="8">
        <v>-1.0</v>
      </c>
      <c r="H298" s="8" t="s">
        <v>93</v>
      </c>
      <c r="I298" s="8" t="s">
        <v>22</v>
      </c>
      <c r="J298" s="8" t="s">
        <v>225</v>
      </c>
      <c r="K298" s="32" t="s">
        <v>24</v>
      </c>
      <c r="L298" s="9">
        <v>0.25</v>
      </c>
      <c r="M298" s="9">
        <v>1.0</v>
      </c>
      <c r="N298" s="9">
        <v>1.0</v>
      </c>
      <c r="O298" s="10">
        <v>45256.0</v>
      </c>
      <c r="P298" s="11">
        <v>1.8</v>
      </c>
      <c r="Q298" s="8" t="s">
        <v>33</v>
      </c>
      <c r="R298" s="12">
        <f t="shared" si="1"/>
        <v>0.8</v>
      </c>
      <c r="S298" s="12">
        <f t="shared" si="4"/>
        <v>2.724235579</v>
      </c>
    </row>
    <row r="299">
      <c r="A299" s="15">
        <f t="shared" si="3"/>
        <v>298</v>
      </c>
      <c r="B299" s="15" t="s">
        <v>19</v>
      </c>
      <c r="C299" s="15">
        <v>0.0</v>
      </c>
      <c r="D299" s="15" t="s">
        <v>3964</v>
      </c>
      <c r="E299" s="15" t="s">
        <v>5564</v>
      </c>
      <c r="F299" s="15" t="s">
        <v>2573</v>
      </c>
      <c r="G299" s="15"/>
      <c r="H299" s="15" t="s">
        <v>82</v>
      </c>
      <c r="I299" s="15" t="s">
        <v>598</v>
      </c>
      <c r="J299" s="15" t="s">
        <v>894</v>
      </c>
      <c r="K299" s="15" t="s">
        <v>39</v>
      </c>
      <c r="L299" s="16">
        <v>-0.25</v>
      </c>
      <c r="M299" s="16">
        <v>0.1</v>
      </c>
      <c r="N299" s="16">
        <v>0.1</v>
      </c>
      <c r="O299" s="17">
        <v>45256.0</v>
      </c>
      <c r="P299" s="18">
        <v>1.9</v>
      </c>
      <c r="Q299" s="15" t="s">
        <v>79</v>
      </c>
      <c r="R299" s="19">
        <f t="shared" si="1"/>
        <v>-0.05</v>
      </c>
      <c r="S299" s="19">
        <f t="shared" si="4"/>
        <v>2.674235579</v>
      </c>
    </row>
    <row r="300">
      <c r="A300" s="8">
        <f t="shared" si="3"/>
        <v>299</v>
      </c>
      <c r="B300" s="8" t="s">
        <v>19</v>
      </c>
      <c r="C300" s="8">
        <v>77.0</v>
      </c>
      <c r="D300" s="8" t="s">
        <v>3965</v>
      </c>
      <c r="E300" s="8" t="s">
        <v>5565</v>
      </c>
      <c r="F300" s="8" t="s">
        <v>2556</v>
      </c>
      <c r="G300" s="8">
        <v>-1.0</v>
      </c>
      <c r="H300" s="8" t="s">
        <v>923</v>
      </c>
      <c r="I300" s="8" t="s">
        <v>22</v>
      </c>
      <c r="J300" s="8" t="s">
        <v>225</v>
      </c>
      <c r="K300" s="8" t="s">
        <v>24</v>
      </c>
      <c r="L300" s="9">
        <v>0.25</v>
      </c>
      <c r="M300" s="9">
        <v>0.4</v>
      </c>
      <c r="N300" s="9">
        <v>0.4</v>
      </c>
      <c r="O300" s="10">
        <v>45258.0</v>
      </c>
      <c r="P300" s="11">
        <v>1.7</v>
      </c>
      <c r="Q300" s="8" t="s">
        <v>33</v>
      </c>
      <c r="R300" s="12">
        <f t="shared" si="1"/>
        <v>0.28</v>
      </c>
      <c r="S300" s="12">
        <f t="shared" si="4"/>
        <v>2.954235579</v>
      </c>
    </row>
    <row r="301">
      <c r="A301" s="15">
        <f t="shared" si="3"/>
        <v>300</v>
      </c>
      <c r="B301" s="15" t="s">
        <v>19</v>
      </c>
      <c r="C301" s="15">
        <v>29.0</v>
      </c>
      <c r="D301" s="15" t="s">
        <v>3966</v>
      </c>
      <c r="E301" s="15" t="s">
        <v>5565</v>
      </c>
      <c r="F301" s="15" t="s">
        <v>2660</v>
      </c>
      <c r="G301" s="15">
        <v>0.0</v>
      </c>
      <c r="H301" s="15" t="s">
        <v>96</v>
      </c>
      <c r="I301" s="15" t="s">
        <v>22</v>
      </c>
      <c r="J301" s="15" t="s">
        <v>1150</v>
      </c>
      <c r="K301" s="15" t="s">
        <v>24</v>
      </c>
      <c r="L301" s="16">
        <v>0.0</v>
      </c>
      <c r="M301" s="16">
        <v>0.4</v>
      </c>
      <c r="N301" s="16">
        <v>0.4</v>
      </c>
      <c r="O301" s="17">
        <v>45258.0</v>
      </c>
      <c r="P301" s="18">
        <v>1.725</v>
      </c>
      <c r="Q301" s="15" t="s">
        <v>70</v>
      </c>
      <c r="R301" s="19">
        <f t="shared" si="1"/>
        <v>0</v>
      </c>
      <c r="S301" s="19">
        <f t="shared" si="4"/>
        <v>2.954235579</v>
      </c>
    </row>
    <row r="302">
      <c r="A302" s="8">
        <f t="shared" si="3"/>
        <v>301</v>
      </c>
      <c r="B302" s="8" t="s">
        <v>19</v>
      </c>
      <c r="C302" s="8">
        <v>63.0</v>
      </c>
      <c r="D302" s="8" t="s">
        <v>3967</v>
      </c>
      <c r="E302" s="8" t="s">
        <v>5565</v>
      </c>
      <c r="F302" s="8" t="s">
        <v>2660</v>
      </c>
      <c r="G302" s="8">
        <v>-2.0</v>
      </c>
      <c r="H302" s="8" t="s">
        <v>703</v>
      </c>
      <c r="I302" s="8" t="s">
        <v>22</v>
      </c>
      <c r="J302" s="8" t="s">
        <v>892</v>
      </c>
      <c r="K302" s="8" t="s">
        <v>1522</v>
      </c>
      <c r="L302" s="9">
        <v>0.0</v>
      </c>
      <c r="M302" s="9">
        <v>0.2</v>
      </c>
      <c r="N302" s="9">
        <v>0.2</v>
      </c>
      <c r="O302" s="10">
        <v>45259.0</v>
      </c>
      <c r="P302" s="11">
        <v>1.75</v>
      </c>
      <c r="Q302" s="8" t="s">
        <v>33</v>
      </c>
      <c r="R302" s="12">
        <f t="shared" si="1"/>
        <v>0.15</v>
      </c>
      <c r="S302" s="12">
        <f t="shared" si="4"/>
        <v>3.104235579</v>
      </c>
    </row>
    <row r="303">
      <c r="A303" s="15">
        <f t="shared" si="3"/>
        <v>302</v>
      </c>
      <c r="B303" s="15" t="s">
        <v>19</v>
      </c>
      <c r="C303" s="15">
        <v>66.0</v>
      </c>
      <c r="D303" s="15" t="s">
        <v>3968</v>
      </c>
      <c r="E303" s="15" t="s">
        <v>5565</v>
      </c>
      <c r="F303" s="15" t="s">
        <v>2660</v>
      </c>
      <c r="G303" s="15">
        <v>0.0</v>
      </c>
      <c r="H303" s="15" t="s">
        <v>187</v>
      </c>
      <c r="I303" s="15" t="s">
        <v>22</v>
      </c>
      <c r="J303" s="15" t="s">
        <v>892</v>
      </c>
      <c r="K303" s="15" t="s">
        <v>1522</v>
      </c>
      <c r="L303" s="16">
        <v>0.0</v>
      </c>
      <c r="M303" s="16">
        <v>0.5</v>
      </c>
      <c r="N303" s="16">
        <v>0.5</v>
      </c>
      <c r="O303" s="17">
        <v>45259.0</v>
      </c>
      <c r="P303" s="18">
        <v>1.85</v>
      </c>
      <c r="Q303" s="15" t="s">
        <v>70</v>
      </c>
      <c r="R303" s="19">
        <f t="shared" si="1"/>
        <v>0</v>
      </c>
      <c r="S303" s="19">
        <f t="shared" si="4"/>
        <v>3.104235579</v>
      </c>
    </row>
    <row r="304">
      <c r="A304" s="8">
        <f t="shared" si="3"/>
        <v>303</v>
      </c>
      <c r="B304" s="8" t="s">
        <v>19</v>
      </c>
      <c r="C304" s="8">
        <v>55.0</v>
      </c>
      <c r="D304" s="8" t="s">
        <v>3969</v>
      </c>
      <c r="E304" s="8" t="s">
        <v>5564</v>
      </c>
      <c r="F304" s="8" t="s">
        <v>2573</v>
      </c>
      <c r="G304" s="8">
        <v>0.0</v>
      </c>
      <c r="H304" s="8" t="s">
        <v>1961</v>
      </c>
      <c r="I304" s="8" t="s">
        <v>22</v>
      </c>
      <c r="J304" s="8" t="s">
        <v>894</v>
      </c>
      <c r="K304" s="8" t="s">
        <v>1522</v>
      </c>
      <c r="L304" s="9">
        <v>-0.25</v>
      </c>
      <c r="M304" s="9">
        <v>0.2</v>
      </c>
      <c r="N304" s="9">
        <v>0.2</v>
      </c>
      <c r="O304" s="10">
        <v>45259.0</v>
      </c>
      <c r="P304" s="11">
        <v>1.825</v>
      </c>
      <c r="Q304" s="8" t="s">
        <v>33</v>
      </c>
      <c r="R304" s="12">
        <f t="shared" si="1"/>
        <v>0.165</v>
      </c>
      <c r="S304" s="12">
        <f t="shared" si="4"/>
        <v>3.269235579</v>
      </c>
    </row>
    <row r="305">
      <c r="A305" s="15">
        <f t="shared" si="3"/>
        <v>304</v>
      </c>
      <c r="B305" s="15" t="s">
        <v>19</v>
      </c>
      <c r="C305" s="15"/>
      <c r="D305" s="15" t="s">
        <v>3970</v>
      </c>
      <c r="E305" s="15" t="s">
        <v>5565</v>
      </c>
      <c r="F305" s="15" t="s">
        <v>2660</v>
      </c>
      <c r="G305" s="15">
        <v>-1.0</v>
      </c>
      <c r="H305" s="15" t="s">
        <v>48</v>
      </c>
      <c r="I305" s="15" t="s">
        <v>22</v>
      </c>
      <c r="J305" s="15" t="s">
        <v>892</v>
      </c>
      <c r="K305" s="15" t="s">
        <v>24</v>
      </c>
      <c r="L305" s="16">
        <v>0.0</v>
      </c>
      <c r="M305" s="16">
        <v>0.4</v>
      </c>
      <c r="N305" s="16">
        <v>0.4</v>
      </c>
      <c r="O305" s="17">
        <v>45259.0</v>
      </c>
      <c r="P305" s="18">
        <v>1.975</v>
      </c>
      <c r="Q305" s="15" t="s">
        <v>25</v>
      </c>
      <c r="R305" s="19">
        <f t="shared" si="1"/>
        <v>-0.4</v>
      </c>
      <c r="S305" s="19">
        <f t="shared" si="4"/>
        <v>2.869235579</v>
      </c>
    </row>
    <row r="306">
      <c r="A306" s="8">
        <f t="shared" si="3"/>
        <v>305</v>
      </c>
      <c r="B306" s="8" t="s">
        <v>19</v>
      </c>
      <c r="C306" s="8">
        <v>25.0</v>
      </c>
      <c r="D306" s="8" t="s">
        <v>3971</v>
      </c>
      <c r="E306" s="8" t="s">
        <v>5564</v>
      </c>
      <c r="F306" s="8"/>
      <c r="G306" s="8"/>
      <c r="H306" s="8" t="s">
        <v>207</v>
      </c>
      <c r="I306" s="8" t="s">
        <v>22</v>
      </c>
      <c r="J306" s="8" t="s">
        <v>2962</v>
      </c>
      <c r="K306" s="8" t="s">
        <v>39</v>
      </c>
      <c r="L306" s="9"/>
      <c r="M306" s="9">
        <v>0.25</v>
      </c>
      <c r="N306" s="9">
        <v>0.25</v>
      </c>
      <c r="O306" s="10">
        <v>45259.0</v>
      </c>
      <c r="P306" s="11">
        <v>3.25</v>
      </c>
      <c r="Q306" s="8" t="s">
        <v>25</v>
      </c>
      <c r="R306" s="12">
        <f t="shared" si="1"/>
        <v>-0.25</v>
      </c>
      <c r="S306" s="12">
        <f t="shared" si="4"/>
        <v>2.619235579</v>
      </c>
    </row>
    <row r="307">
      <c r="A307" s="15">
        <f t="shared" si="3"/>
        <v>306</v>
      </c>
      <c r="B307" s="15" t="s">
        <v>40</v>
      </c>
      <c r="C307" s="15">
        <v>45.0</v>
      </c>
      <c r="D307" s="15" t="s">
        <v>3972</v>
      </c>
      <c r="E307" s="15" t="s">
        <v>5565</v>
      </c>
      <c r="F307" s="15" t="s">
        <v>2556</v>
      </c>
      <c r="G307" s="15">
        <v>0.0</v>
      </c>
      <c r="H307" s="15" t="s">
        <v>191</v>
      </c>
      <c r="I307" s="15" t="s">
        <v>22</v>
      </c>
      <c r="J307" s="15" t="s">
        <v>225</v>
      </c>
      <c r="K307" s="15" t="s">
        <v>24</v>
      </c>
      <c r="L307" s="16">
        <v>0.5</v>
      </c>
      <c r="M307" s="16">
        <v>0.8</v>
      </c>
      <c r="N307" s="16">
        <v>0.8</v>
      </c>
      <c r="O307" s="17">
        <v>45259.0</v>
      </c>
      <c r="P307" s="18">
        <v>1.812</v>
      </c>
      <c r="Q307" s="15" t="s">
        <v>33</v>
      </c>
      <c r="R307" s="19">
        <f t="shared" si="1"/>
        <v>0.6496</v>
      </c>
      <c r="S307" s="19">
        <f t="shared" si="4"/>
        <v>3.268835579</v>
      </c>
    </row>
    <row r="308">
      <c r="A308" s="8">
        <f t="shared" si="3"/>
        <v>307</v>
      </c>
      <c r="B308" s="8" t="s">
        <v>19</v>
      </c>
      <c r="C308" s="8">
        <v>0.0</v>
      </c>
      <c r="D308" s="8" t="s">
        <v>3973</v>
      </c>
      <c r="E308" s="8"/>
      <c r="F308" s="8"/>
      <c r="G308" s="8"/>
      <c r="H308" s="8" t="s">
        <v>1961</v>
      </c>
      <c r="I308" s="8" t="s">
        <v>598</v>
      </c>
      <c r="J308" s="8" t="s">
        <v>440</v>
      </c>
      <c r="K308" s="8" t="s">
        <v>39</v>
      </c>
      <c r="L308" s="9">
        <v>2.75</v>
      </c>
      <c r="M308" s="9">
        <v>0.1</v>
      </c>
      <c r="N308" s="9">
        <v>0.1</v>
      </c>
      <c r="O308" s="10">
        <v>45259.0</v>
      </c>
      <c r="P308" s="11">
        <v>1.775</v>
      </c>
      <c r="Q308" s="8" t="s">
        <v>33</v>
      </c>
      <c r="R308" s="12">
        <f t="shared" si="1"/>
        <v>0.0775</v>
      </c>
      <c r="S308" s="12">
        <f t="shared" si="4"/>
        <v>3.346335579</v>
      </c>
    </row>
    <row r="309">
      <c r="A309" s="15">
        <f t="shared" si="3"/>
        <v>308</v>
      </c>
      <c r="B309" s="15" t="s">
        <v>19</v>
      </c>
      <c r="C309" s="15">
        <v>68.0</v>
      </c>
      <c r="D309" s="15" t="s">
        <v>3974</v>
      </c>
      <c r="E309" s="15" t="s">
        <v>5564</v>
      </c>
      <c r="F309" s="15" t="s">
        <v>2660</v>
      </c>
      <c r="G309" s="15">
        <v>-2.0</v>
      </c>
      <c r="H309" s="15" t="s">
        <v>124</v>
      </c>
      <c r="I309" s="15" t="s">
        <v>22</v>
      </c>
      <c r="J309" s="15" t="s">
        <v>892</v>
      </c>
      <c r="K309" s="15" t="s">
        <v>24</v>
      </c>
      <c r="L309" s="16">
        <v>0.0</v>
      </c>
      <c r="M309" s="16">
        <v>0.8</v>
      </c>
      <c r="N309" s="16">
        <v>0.8</v>
      </c>
      <c r="O309" s="17">
        <v>45259.0</v>
      </c>
      <c r="P309" s="18">
        <v>1.85</v>
      </c>
      <c r="Q309" s="15" t="s">
        <v>70</v>
      </c>
      <c r="R309" s="19">
        <f t="shared" si="1"/>
        <v>0</v>
      </c>
      <c r="S309" s="19">
        <f t="shared" si="4"/>
        <v>3.346335579</v>
      </c>
    </row>
    <row r="310">
      <c r="A310" s="8">
        <f t="shared" si="3"/>
        <v>309</v>
      </c>
      <c r="B310" s="8" t="s">
        <v>19</v>
      </c>
      <c r="C310" s="8">
        <v>37.0</v>
      </c>
      <c r="D310" s="8" t="s">
        <v>3975</v>
      </c>
      <c r="E310" s="8" t="s">
        <v>5565</v>
      </c>
      <c r="F310" s="8" t="s">
        <v>2556</v>
      </c>
      <c r="G310" s="8">
        <v>0.0</v>
      </c>
      <c r="H310" s="8" t="s">
        <v>248</v>
      </c>
      <c r="I310" s="8" t="s">
        <v>22</v>
      </c>
      <c r="J310" s="8" t="s">
        <v>941</v>
      </c>
      <c r="K310" s="8" t="s">
        <v>24</v>
      </c>
      <c r="L310" s="9">
        <v>0.0</v>
      </c>
      <c r="M310" s="9">
        <v>0.4</v>
      </c>
      <c r="N310" s="9">
        <v>0.4</v>
      </c>
      <c r="O310" s="10">
        <v>45259.0</v>
      </c>
      <c r="P310" s="11">
        <v>1.8</v>
      </c>
      <c r="Q310" s="8" t="s">
        <v>70</v>
      </c>
      <c r="R310" s="12">
        <f t="shared" si="1"/>
        <v>0</v>
      </c>
      <c r="S310" s="12">
        <f t="shared" si="4"/>
        <v>3.346335579</v>
      </c>
    </row>
    <row r="311">
      <c r="A311" s="15">
        <f t="shared" si="3"/>
        <v>310</v>
      </c>
      <c r="B311" s="15" t="s">
        <v>19</v>
      </c>
      <c r="C311" s="15">
        <v>59.0</v>
      </c>
      <c r="D311" s="15" t="s">
        <v>3976</v>
      </c>
      <c r="E311" s="15" t="s">
        <v>5565</v>
      </c>
      <c r="F311" s="15" t="s">
        <v>2660</v>
      </c>
      <c r="G311" s="15">
        <v>-1.0</v>
      </c>
      <c r="H311" s="15" t="s">
        <v>432</v>
      </c>
      <c r="I311" s="15" t="s">
        <v>22</v>
      </c>
      <c r="J311" s="15" t="s">
        <v>892</v>
      </c>
      <c r="K311" s="15" t="s">
        <v>1803</v>
      </c>
      <c r="L311" s="16">
        <v>0.0</v>
      </c>
      <c r="M311" s="16">
        <v>0.6</v>
      </c>
      <c r="N311" s="16">
        <v>0.6</v>
      </c>
      <c r="O311" s="17">
        <v>45259.0</v>
      </c>
      <c r="P311" s="18">
        <v>1.8</v>
      </c>
      <c r="Q311" s="15" t="s">
        <v>70</v>
      </c>
      <c r="R311" s="19">
        <f t="shared" si="1"/>
        <v>0</v>
      </c>
      <c r="S311" s="19">
        <f t="shared" si="4"/>
        <v>3.346335579</v>
      </c>
    </row>
    <row r="312">
      <c r="A312" s="8">
        <f t="shared" si="3"/>
        <v>311</v>
      </c>
      <c r="B312" s="8" t="s">
        <v>19</v>
      </c>
      <c r="C312" s="8">
        <v>38.0</v>
      </c>
      <c r="D312" s="8" t="s">
        <v>3977</v>
      </c>
      <c r="E312" s="8" t="s">
        <v>5564</v>
      </c>
      <c r="F312" s="8" t="s">
        <v>2556</v>
      </c>
      <c r="G312" s="8">
        <v>0.0</v>
      </c>
      <c r="H312" s="8" t="s">
        <v>121</v>
      </c>
      <c r="I312" s="8" t="s">
        <v>22</v>
      </c>
      <c r="J312" s="8" t="s">
        <v>225</v>
      </c>
      <c r="K312" s="8" t="s">
        <v>39</v>
      </c>
      <c r="L312" s="9">
        <v>0.25</v>
      </c>
      <c r="M312" s="9">
        <v>0.25</v>
      </c>
      <c r="N312" s="9">
        <v>0.25</v>
      </c>
      <c r="O312" s="10">
        <v>45259.0</v>
      </c>
      <c r="P312" s="11">
        <v>1.8</v>
      </c>
      <c r="Q312" s="8" t="s">
        <v>25</v>
      </c>
      <c r="R312" s="12">
        <f t="shared" si="1"/>
        <v>-0.25</v>
      </c>
      <c r="S312" s="12">
        <f t="shared" si="4"/>
        <v>3.096335579</v>
      </c>
    </row>
    <row r="313">
      <c r="A313" s="15">
        <f t="shared" si="3"/>
        <v>312</v>
      </c>
      <c r="B313" s="15" t="s">
        <v>19</v>
      </c>
      <c r="C313" s="15">
        <v>15.0</v>
      </c>
      <c r="D313" s="15" t="s">
        <v>3978</v>
      </c>
      <c r="E313" s="15" t="s">
        <v>5565</v>
      </c>
      <c r="F313" s="15" t="s">
        <v>2660</v>
      </c>
      <c r="G313" s="15">
        <v>0.0</v>
      </c>
      <c r="H313" s="15" t="s">
        <v>3351</v>
      </c>
      <c r="I313" s="15" t="s">
        <v>22</v>
      </c>
      <c r="J313" s="15" t="s">
        <v>1150</v>
      </c>
      <c r="K313" s="15" t="s">
        <v>24</v>
      </c>
      <c r="L313" s="16">
        <v>0.0</v>
      </c>
      <c r="M313" s="16">
        <v>0.4</v>
      </c>
      <c r="N313" s="16">
        <v>0.4</v>
      </c>
      <c r="O313" s="17">
        <v>45259.0</v>
      </c>
      <c r="P313" s="18">
        <v>1.825</v>
      </c>
      <c r="Q313" s="15" t="s">
        <v>33</v>
      </c>
      <c r="R313" s="19">
        <f t="shared" si="1"/>
        <v>0.33</v>
      </c>
      <c r="S313" s="19">
        <f t="shared" si="4"/>
        <v>3.426335579</v>
      </c>
    </row>
    <row r="314">
      <c r="A314" s="8">
        <f t="shared" si="3"/>
        <v>313</v>
      </c>
      <c r="B314" s="8" t="s">
        <v>19</v>
      </c>
      <c r="C314" s="8">
        <v>69.0</v>
      </c>
      <c r="D314" s="8" t="s">
        <v>3979</v>
      </c>
      <c r="E314" s="8" t="s">
        <v>5564</v>
      </c>
      <c r="F314" s="8" t="s">
        <v>2556</v>
      </c>
      <c r="G314" s="8">
        <v>-2.0</v>
      </c>
      <c r="H314" s="8" t="s">
        <v>124</v>
      </c>
      <c r="I314" s="8" t="s">
        <v>22</v>
      </c>
      <c r="J314" s="8" t="s">
        <v>225</v>
      </c>
      <c r="K314" s="8" t="s">
        <v>24</v>
      </c>
      <c r="L314" s="9">
        <v>0.25</v>
      </c>
      <c r="M314" s="9">
        <v>0.2</v>
      </c>
      <c r="N314" s="9">
        <v>0.2</v>
      </c>
      <c r="O314" s="10">
        <v>45260.0</v>
      </c>
      <c r="P314" s="11">
        <v>1.35</v>
      </c>
      <c r="Q314" s="8" t="s">
        <v>33</v>
      </c>
      <c r="R314" s="12">
        <f t="shared" si="1"/>
        <v>0.07</v>
      </c>
      <c r="S314" s="12">
        <f t="shared" si="4"/>
        <v>3.496335579</v>
      </c>
    </row>
    <row r="315">
      <c r="A315" s="15">
        <f t="shared" si="3"/>
        <v>314</v>
      </c>
      <c r="B315" s="15" t="s">
        <v>19</v>
      </c>
      <c r="C315" s="15">
        <v>65.0</v>
      </c>
      <c r="D315" s="15" t="s">
        <v>3980</v>
      </c>
      <c r="E315" s="15" t="s">
        <v>5565</v>
      </c>
      <c r="F315" s="15" t="s">
        <v>2660</v>
      </c>
      <c r="G315" s="15">
        <v>-1.0</v>
      </c>
      <c r="H315" s="15" t="s">
        <v>164</v>
      </c>
      <c r="I315" s="15" t="s">
        <v>22</v>
      </c>
      <c r="J315" s="15" t="s">
        <v>892</v>
      </c>
      <c r="K315" s="15" t="s">
        <v>39</v>
      </c>
      <c r="L315" s="16">
        <v>0.0</v>
      </c>
      <c r="M315" s="16">
        <v>0.25</v>
      </c>
      <c r="N315" s="16">
        <v>0.25</v>
      </c>
      <c r="O315" s="17">
        <v>45260.0</v>
      </c>
      <c r="P315" s="18">
        <v>1.775</v>
      </c>
      <c r="Q315" s="15" t="s">
        <v>33</v>
      </c>
      <c r="R315" s="19">
        <f t="shared" si="1"/>
        <v>0.19375</v>
      </c>
      <c r="S315" s="19">
        <f t="shared" si="4"/>
        <v>3.690085579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9"/>
      <c r="M316" s="9"/>
      <c r="N316" s="9"/>
      <c r="O316" s="10"/>
      <c r="P316" s="11"/>
      <c r="Q316" s="8"/>
      <c r="R316" s="12" t="str">
        <f t="shared" si="1"/>
        <v/>
      </c>
      <c r="S316" s="12">
        <f t="shared" si="4"/>
        <v>3.690085579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6"/>
      <c r="M317" s="16"/>
      <c r="N317" s="16"/>
      <c r="O317" s="17"/>
      <c r="P317" s="18"/>
      <c r="Q317" s="15"/>
      <c r="R317" s="19" t="str">
        <f t="shared" si="1"/>
        <v/>
      </c>
      <c r="S317" s="19">
        <f t="shared" si="4"/>
        <v>3.690085579</v>
      </c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9"/>
      <c r="M318" s="9"/>
      <c r="N318" s="9"/>
      <c r="O318" s="10"/>
      <c r="P318" s="11"/>
      <c r="Q318" s="8"/>
      <c r="R318" s="12" t="str">
        <f t="shared" si="1"/>
        <v/>
      </c>
      <c r="S318" s="12">
        <f t="shared" si="4"/>
        <v>3.690085579</v>
      </c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24"/>
      <c r="M319" s="16"/>
      <c r="N319" s="16"/>
      <c r="O319" s="17"/>
      <c r="P319" s="18"/>
      <c r="Q319" s="15"/>
      <c r="R319" s="19" t="str">
        <f t="shared" si="1"/>
        <v/>
      </c>
      <c r="S319" s="19">
        <f t="shared" si="4"/>
        <v>3.690085579</v>
      </c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9"/>
      <c r="M320" s="9"/>
      <c r="N320" s="9"/>
      <c r="O320" s="10"/>
      <c r="P320" s="11"/>
      <c r="Q320" s="8"/>
      <c r="R320" s="12" t="str">
        <f t="shared" si="1"/>
        <v/>
      </c>
      <c r="S320" s="12">
        <f t="shared" si="4"/>
        <v>3.690085579</v>
      </c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6"/>
      <c r="M321" s="16"/>
      <c r="N321" s="16"/>
      <c r="O321" s="17"/>
      <c r="P321" s="18"/>
      <c r="Q321" s="15"/>
      <c r="R321" s="19" t="str">
        <f t="shared" si="1"/>
        <v/>
      </c>
      <c r="S321" s="19">
        <f t="shared" si="4"/>
        <v>3.690085579</v>
      </c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123"/>
      <c r="M322" s="9"/>
      <c r="N322" s="9"/>
      <c r="O322" s="10"/>
      <c r="P322" s="11"/>
      <c r="Q322" s="8"/>
      <c r="R322" s="12" t="str">
        <f t="shared" si="1"/>
        <v/>
      </c>
      <c r="S322" s="12">
        <f t="shared" si="4"/>
        <v>3.690085579</v>
      </c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6"/>
      <c r="N323" s="16"/>
      <c r="O323" s="17"/>
      <c r="P323" s="18"/>
      <c r="Q323" s="15"/>
      <c r="R323" s="19" t="str">
        <f t="shared" si="1"/>
        <v/>
      </c>
      <c r="S323" s="19">
        <f t="shared" si="4"/>
        <v>3.690085579</v>
      </c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9"/>
      <c r="M324" s="9"/>
      <c r="N324" s="9"/>
      <c r="O324" s="10"/>
      <c r="P324" s="11"/>
      <c r="Q324" s="8"/>
      <c r="R324" s="12" t="str">
        <f t="shared" si="1"/>
        <v/>
      </c>
      <c r="S324" s="12">
        <f t="shared" si="4"/>
        <v>3.690085579</v>
      </c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6"/>
      <c r="M325" s="16"/>
      <c r="N325" s="16"/>
      <c r="O325" s="17"/>
      <c r="P325" s="15"/>
      <c r="Q325" s="15"/>
      <c r="R325" s="19" t="str">
        <f t="shared" si="1"/>
        <v/>
      </c>
      <c r="S325" s="19">
        <f t="shared" si="4"/>
        <v>3.690085579</v>
      </c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9"/>
      <c r="M326" s="9"/>
      <c r="N326" s="9"/>
      <c r="O326" s="10"/>
      <c r="P326" s="8"/>
      <c r="Q326" s="8"/>
      <c r="R326" s="12" t="str">
        <f t="shared" si="1"/>
        <v/>
      </c>
      <c r="S326" s="12">
        <f t="shared" si="4"/>
        <v>3.690085579</v>
      </c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6"/>
      <c r="M327" s="16"/>
      <c r="N327" s="16"/>
      <c r="O327" s="17"/>
      <c r="P327" s="15"/>
      <c r="Q327" s="15"/>
      <c r="R327" s="19" t="str">
        <f t="shared" si="1"/>
        <v/>
      </c>
      <c r="S327" s="19">
        <f t="shared" si="4"/>
        <v>3.690085579</v>
      </c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9"/>
      <c r="M328" s="9"/>
      <c r="N328" s="9"/>
      <c r="O328" s="10"/>
      <c r="P328" s="11"/>
      <c r="Q328" s="8"/>
      <c r="R328" s="12" t="str">
        <f t="shared" si="1"/>
        <v/>
      </c>
      <c r="S328" s="12">
        <f t="shared" si="4"/>
        <v>3.690085579</v>
      </c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6"/>
      <c r="M329" s="16"/>
      <c r="N329" s="16"/>
      <c r="O329" s="17"/>
      <c r="P329" s="18"/>
      <c r="Q329" s="15"/>
      <c r="R329" s="19" t="str">
        <f t="shared" si="1"/>
        <v/>
      </c>
      <c r="S329" s="19">
        <f t="shared" si="4"/>
        <v>3.690085579</v>
      </c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9"/>
      <c r="M330" s="9"/>
      <c r="N330" s="9"/>
      <c r="O330" s="10"/>
      <c r="P330" s="11"/>
      <c r="Q330" s="8"/>
      <c r="R330" s="12" t="str">
        <f t="shared" si="1"/>
        <v/>
      </c>
      <c r="S330" s="12">
        <f t="shared" si="4"/>
        <v>3.690085579</v>
      </c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6"/>
      <c r="M331" s="16"/>
      <c r="N331" s="16"/>
      <c r="O331" s="17"/>
      <c r="P331" s="18"/>
      <c r="Q331" s="15"/>
      <c r="R331" s="19" t="str">
        <f t="shared" si="1"/>
        <v/>
      </c>
      <c r="S331" s="19">
        <f t="shared" si="4"/>
        <v>3.690085579</v>
      </c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9"/>
      <c r="M332" s="9"/>
      <c r="N332" s="9"/>
      <c r="O332" s="10"/>
      <c r="P332" s="11"/>
      <c r="Q332" s="8"/>
      <c r="R332" s="12" t="str">
        <f t="shared" si="1"/>
        <v/>
      </c>
      <c r="S332" s="12">
        <f t="shared" si="4"/>
        <v>3.690085579</v>
      </c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6"/>
      <c r="N333" s="16"/>
      <c r="O333" s="17"/>
      <c r="P333" s="18"/>
      <c r="Q333" s="15"/>
      <c r="R333" s="19" t="str">
        <f t="shared" si="1"/>
        <v/>
      </c>
      <c r="S333" s="19">
        <f t="shared" si="4"/>
        <v>3.690085579</v>
      </c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9"/>
      <c r="M334" s="9"/>
      <c r="N334" s="9"/>
      <c r="O334" s="10"/>
      <c r="P334" s="11"/>
      <c r="Q334" s="8"/>
      <c r="R334" s="12" t="str">
        <f t="shared" si="1"/>
        <v/>
      </c>
      <c r="S334" s="12">
        <f t="shared" si="4"/>
        <v>3.690085579</v>
      </c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6"/>
      <c r="M335" s="16"/>
      <c r="N335" s="16"/>
      <c r="O335" s="17"/>
      <c r="P335" s="18"/>
      <c r="Q335" s="15"/>
      <c r="R335" s="19" t="str">
        <f t="shared" si="1"/>
        <v/>
      </c>
      <c r="S335" s="19">
        <f t="shared" si="4"/>
        <v>3.690085579</v>
      </c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9"/>
      <c r="M336" s="9"/>
      <c r="N336" s="9"/>
      <c r="O336" s="10"/>
      <c r="P336" s="11"/>
      <c r="Q336" s="8"/>
      <c r="R336" s="12" t="str">
        <f t="shared" si="1"/>
        <v/>
      </c>
      <c r="S336" s="12">
        <f t="shared" si="4"/>
        <v>3.690085579</v>
      </c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6"/>
      <c r="M337" s="16"/>
      <c r="N337" s="16"/>
      <c r="O337" s="17"/>
      <c r="P337" s="18"/>
      <c r="Q337" s="15"/>
      <c r="R337" s="19" t="str">
        <f t="shared" si="1"/>
        <v/>
      </c>
      <c r="S337" s="19">
        <f t="shared" si="4"/>
        <v>3.690085579</v>
      </c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9"/>
      <c r="M338" s="9"/>
      <c r="N338" s="9"/>
      <c r="O338" s="10"/>
      <c r="P338" s="11"/>
      <c r="Q338" s="8"/>
      <c r="R338" s="12" t="str">
        <f t="shared" si="1"/>
        <v/>
      </c>
      <c r="S338" s="12">
        <f t="shared" si="4"/>
        <v>3.690085579</v>
      </c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6"/>
      <c r="M339" s="16"/>
      <c r="N339" s="16"/>
      <c r="O339" s="17"/>
      <c r="P339" s="18"/>
      <c r="Q339" s="15"/>
      <c r="R339" s="19" t="str">
        <f t="shared" si="1"/>
        <v/>
      </c>
      <c r="S339" s="19">
        <f t="shared" si="4"/>
        <v>3.690085579</v>
      </c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9"/>
      <c r="M340" s="9"/>
      <c r="N340" s="9"/>
      <c r="O340" s="10"/>
      <c r="P340" s="11"/>
      <c r="Q340" s="8"/>
      <c r="R340" s="12" t="str">
        <f t="shared" si="1"/>
        <v/>
      </c>
      <c r="S340" s="12">
        <f t="shared" si="4"/>
        <v>3.690085579</v>
      </c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6"/>
      <c r="N341" s="16"/>
      <c r="O341" s="17"/>
      <c r="P341" s="18"/>
      <c r="Q341" s="15"/>
      <c r="R341" s="19" t="str">
        <f t="shared" si="1"/>
        <v/>
      </c>
      <c r="S341" s="19">
        <f t="shared" si="4"/>
        <v>3.690085579</v>
      </c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123"/>
      <c r="M342" s="9"/>
      <c r="N342" s="9"/>
      <c r="O342" s="10"/>
      <c r="P342" s="11"/>
      <c r="Q342" s="8"/>
      <c r="R342" s="12" t="str">
        <f t="shared" si="1"/>
        <v/>
      </c>
      <c r="S342" s="12">
        <f t="shared" si="4"/>
        <v>3.690085579</v>
      </c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24"/>
      <c r="M343" s="16"/>
      <c r="N343" s="16"/>
      <c r="O343" s="17"/>
      <c r="P343" s="18"/>
      <c r="Q343" s="15"/>
      <c r="R343" s="19" t="str">
        <f t="shared" si="1"/>
        <v/>
      </c>
      <c r="S343" s="19">
        <f t="shared" si="4"/>
        <v>3.690085579</v>
      </c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123"/>
      <c r="M344" s="9"/>
      <c r="N344" s="9"/>
      <c r="O344" s="10"/>
      <c r="P344" s="11"/>
      <c r="Q344" s="8"/>
      <c r="R344" s="12" t="str">
        <f t="shared" si="1"/>
        <v/>
      </c>
      <c r="S344" s="12">
        <f t="shared" si="4"/>
        <v>3.690085579</v>
      </c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24"/>
      <c r="M345" s="16"/>
      <c r="N345" s="16"/>
      <c r="O345" s="17"/>
      <c r="P345" s="18"/>
      <c r="Q345" s="15"/>
      <c r="R345" s="19" t="str">
        <f t="shared" si="1"/>
        <v/>
      </c>
      <c r="S345" s="19">
        <f t="shared" si="4"/>
        <v>3.690085579</v>
      </c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123"/>
      <c r="M346" s="9"/>
      <c r="N346" s="9"/>
      <c r="O346" s="10"/>
      <c r="P346" s="11"/>
      <c r="Q346" s="8"/>
      <c r="R346" s="12" t="str">
        <f t="shared" si="1"/>
        <v/>
      </c>
      <c r="S346" s="12">
        <f t="shared" si="4"/>
        <v>3.690085579</v>
      </c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24"/>
      <c r="M347" s="16"/>
      <c r="N347" s="16"/>
      <c r="O347" s="17"/>
      <c r="P347" s="18"/>
      <c r="Q347" s="15"/>
      <c r="R347" s="19" t="str">
        <f t="shared" si="1"/>
        <v/>
      </c>
      <c r="S347" s="19">
        <f t="shared" si="4"/>
        <v>3.690085579</v>
      </c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123"/>
      <c r="M348" s="9"/>
      <c r="N348" s="9"/>
      <c r="O348" s="10"/>
      <c r="P348" s="11"/>
      <c r="Q348" s="8"/>
      <c r="R348" s="12" t="str">
        <f t="shared" si="1"/>
        <v/>
      </c>
      <c r="S348" s="12">
        <f t="shared" si="4"/>
        <v>3.690085579</v>
      </c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24"/>
      <c r="M349" s="16"/>
      <c r="N349" s="16"/>
      <c r="O349" s="17"/>
      <c r="P349" s="18"/>
      <c r="Q349" s="15"/>
      <c r="R349" s="19" t="str">
        <f t="shared" si="1"/>
        <v/>
      </c>
      <c r="S349" s="19">
        <f t="shared" si="4"/>
        <v>3.690085579</v>
      </c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123"/>
      <c r="M350" s="9"/>
      <c r="N350" s="9"/>
      <c r="O350" s="10"/>
      <c r="P350" s="11"/>
      <c r="Q350" s="8"/>
      <c r="R350" s="12" t="str">
        <f t="shared" si="1"/>
        <v/>
      </c>
      <c r="S350" s="12">
        <f t="shared" si="4"/>
        <v>3.690085579</v>
      </c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24"/>
      <c r="M351" s="16"/>
      <c r="N351" s="16"/>
      <c r="O351" s="17"/>
      <c r="P351" s="18"/>
      <c r="Q351" s="15"/>
      <c r="R351" s="19" t="str">
        <f t="shared" si="1"/>
        <v/>
      </c>
      <c r="S351" s="19">
        <f t="shared" si="4"/>
        <v>3.690085579</v>
      </c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123"/>
      <c r="M352" s="9"/>
      <c r="N352" s="9"/>
      <c r="O352" s="10"/>
      <c r="P352" s="11"/>
      <c r="Q352" s="8"/>
      <c r="R352" s="12" t="str">
        <f t="shared" si="1"/>
        <v/>
      </c>
      <c r="S352" s="12">
        <f t="shared" si="4"/>
        <v>3.690085579</v>
      </c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24"/>
      <c r="M353" s="16"/>
      <c r="N353" s="16"/>
      <c r="O353" s="17"/>
      <c r="P353" s="18"/>
      <c r="Q353" s="15"/>
      <c r="R353" s="19" t="str">
        <f t="shared" si="1"/>
        <v/>
      </c>
      <c r="S353" s="19">
        <f t="shared" si="4"/>
        <v>3.690085579</v>
      </c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123"/>
      <c r="M354" s="9"/>
      <c r="N354" s="9"/>
      <c r="O354" s="10"/>
      <c r="P354" s="11"/>
      <c r="Q354" s="8"/>
      <c r="R354" s="12" t="str">
        <f t="shared" si="1"/>
        <v/>
      </c>
      <c r="S354" s="12">
        <f t="shared" si="4"/>
        <v>3.690085579</v>
      </c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24"/>
      <c r="M355" s="16"/>
      <c r="N355" s="16"/>
      <c r="O355" s="17"/>
      <c r="P355" s="18"/>
      <c r="Q355" s="15"/>
      <c r="R355" s="19" t="str">
        <f t="shared" si="1"/>
        <v/>
      </c>
      <c r="S355" s="19">
        <f t="shared" si="4"/>
        <v>3.690085579</v>
      </c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123"/>
      <c r="M356" s="9"/>
      <c r="N356" s="9"/>
      <c r="O356" s="10"/>
      <c r="P356" s="11"/>
      <c r="Q356" s="8"/>
      <c r="R356" s="12" t="str">
        <f t="shared" si="1"/>
        <v/>
      </c>
      <c r="S356" s="12">
        <f t="shared" si="4"/>
        <v>3.690085579</v>
      </c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24"/>
      <c r="M357" s="16"/>
      <c r="N357" s="16"/>
      <c r="O357" s="17"/>
      <c r="P357" s="18"/>
      <c r="Q357" s="15"/>
      <c r="R357" s="19" t="str">
        <f t="shared" si="1"/>
        <v/>
      </c>
      <c r="S357" s="19">
        <f t="shared" si="4"/>
        <v>3.690085579</v>
      </c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123"/>
      <c r="M358" s="9"/>
      <c r="N358" s="9"/>
      <c r="O358" s="10"/>
      <c r="P358" s="11"/>
      <c r="Q358" s="8"/>
      <c r="R358" s="12" t="str">
        <f t="shared" si="1"/>
        <v/>
      </c>
      <c r="S358" s="123"/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24"/>
      <c r="M359" s="16"/>
      <c r="N359" s="16"/>
      <c r="O359" s="17"/>
      <c r="P359" s="18"/>
      <c r="Q359" s="15"/>
      <c r="R359" s="19" t="str">
        <f t="shared" si="1"/>
        <v/>
      </c>
      <c r="S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123"/>
      <c r="M360" s="9"/>
      <c r="N360" s="9"/>
      <c r="O360" s="10"/>
      <c r="P360" s="11"/>
      <c r="Q360" s="8"/>
      <c r="R360" s="12" t="str">
        <f t="shared" si="1"/>
        <v/>
      </c>
      <c r="S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24"/>
      <c r="M361" s="16"/>
      <c r="N361" s="16"/>
      <c r="O361" s="17"/>
      <c r="P361" s="18"/>
      <c r="Q361" s="15"/>
      <c r="R361" s="19" t="str">
        <f t="shared" si="1"/>
        <v/>
      </c>
      <c r="S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123"/>
      <c r="M362" s="9"/>
      <c r="N362" s="9"/>
      <c r="O362" s="10"/>
      <c r="P362" s="11"/>
      <c r="Q362" s="8"/>
      <c r="R362" s="12" t="str">
        <f t="shared" si="1"/>
        <v/>
      </c>
      <c r="S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24"/>
      <c r="M363" s="16"/>
      <c r="N363" s="16"/>
      <c r="O363" s="17"/>
      <c r="P363" s="18"/>
      <c r="Q363" s="15"/>
      <c r="R363" s="19" t="str">
        <f t="shared" si="1"/>
        <v/>
      </c>
      <c r="S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123"/>
      <c r="M364" s="9"/>
      <c r="N364" s="9"/>
      <c r="O364" s="10"/>
      <c r="P364" s="11"/>
      <c r="Q364" s="8"/>
      <c r="R364" s="12" t="str">
        <f t="shared" si="1"/>
        <v/>
      </c>
      <c r="S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24"/>
      <c r="M365" s="16"/>
      <c r="N365" s="16"/>
      <c r="O365" s="17"/>
      <c r="P365" s="18"/>
      <c r="Q365" s="15"/>
      <c r="R365" s="19" t="str">
        <f t="shared" si="1"/>
        <v/>
      </c>
      <c r="S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123"/>
      <c r="M366" s="9"/>
      <c r="N366" s="9"/>
      <c r="O366" s="10"/>
      <c r="P366" s="11"/>
      <c r="Q366" s="8"/>
      <c r="R366" s="12" t="str">
        <f t="shared" si="1"/>
        <v/>
      </c>
      <c r="S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24"/>
      <c r="M367" s="16"/>
      <c r="N367" s="16"/>
      <c r="O367" s="17"/>
      <c r="P367" s="18"/>
      <c r="Q367" s="15"/>
      <c r="R367" s="19" t="str">
        <f t="shared" si="1"/>
        <v/>
      </c>
      <c r="S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123"/>
      <c r="M368" s="9"/>
      <c r="N368" s="9"/>
      <c r="O368" s="10"/>
      <c r="P368" s="11"/>
      <c r="Q368" s="8"/>
      <c r="R368" s="12" t="str">
        <f t="shared" si="1"/>
        <v/>
      </c>
      <c r="S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24"/>
      <c r="M369" s="16"/>
      <c r="N369" s="16"/>
      <c r="O369" s="17"/>
      <c r="P369" s="15"/>
      <c r="Q369" s="15"/>
      <c r="R369" s="19" t="str">
        <f t="shared" si="1"/>
        <v/>
      </c>
      <c r="S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123"/>
      <c r="M370" s="9"/>
      <c r="N370" s="9"/>
      <c r="O370" s="10"/>
      <c r="P370" s="8"/>
      <c r="Q370" s="8"/>
      <c r="R370" s="12" t="str">
        <f t="shared" si="1"/>
        <v/>
      </c>
      <c r="S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24"/>
      <c r="M371" s="16"/>
      <c r="N371" s="16"/>
      <c r="O371" s="17"/>
      <c r="P371" s="15"/>
      <c r="Q371" s="15"/>
      <c r="R371" s="19" t="str">
        <f t="shared" si="1"/>
        <v/>
      </c>
      <c r="S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123"/>
      <c r="M372" s="9"/>
      <c r="N372" s="9"/>
      <c r="O372" s="10"/>
      <c r="P372" s="8"/>
      <c r="Q372" s="8"/>
      <c r="R372" s="12" t="str">
        <f t="shared" si="1"/>
        <v/>
      </c>
      <c r="S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24"/>
      <c r="M373" s="16"/>
      <c r="N373" s="16"/>
      <c r="O373" s="17"/>
      <c r="P373" s="15"/>
      <c r="Q373" s="15"/>
      <c r="R373" s="19" t="str">
        <f t="shared" si="1"/>
        <v/>
      </c>
      <c r="S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123"/>
      <c r="M374" s="9"/>
      <c r="N374" s="9"/>
      <c r="O374" s="10"/>
      <c r="P374" s="8"/>
      <c r="Q374" s="8"/>
      <c r="R374" s="12" t="str">
        <f t="shared" si="1"/>
        <v/>
      </c>
      <c r="S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24"/>
      <c r="M375" s="16"/>
      <c r="N375" s="16"/>
      <c r="O375" s="17"/>
      <c r="P375" s="15"/>
      <c r="Q375" s="15"/>
      <c r="R375" s="19" t="str">
        <f t="shared" si="1"/>
        <v/>
      </c>
      <c r="S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123"/>
      <c r="M376" s="9"/>
      <c r="N376" s="9"/>
      <c r="O376" s="10"/>
      <c r="P376" s="8"/>
      <c r="Q376" s="8"/>
      <c r="R376" s="12" t="str">
        <f t="shared" si="1"/>
        <v/>
      </c>
      <c r="S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24"/>
      <c r="M377" s="16"/>
      <c r="N377" s="16"/>
      <c r="O377" s="17"/>
      <c r="P377" s="15"/>
      <c r="Q377" s="15"/>
      <c r="R377" s="19" t="str">
        <f t="shared" si="1"/>
        <v/>
      </c>
      <c r="S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123"/>
      <c r="M378" s="9"/>
      <c r="N378" s="9"/>
      <c r="O378" s="10"/>
      <c r="P378" s="8"/>
      <c r="Q378" s="8"/>
      <c r="R378" s="12" t="str">
        <f t="shared" si="1"/>
        <v/>
      </c>
      <c r="S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24"/>
      <c r="M379" s="16"/>
      <c r="N379" s="16"/>
      <c r="O379" s="17"/>
      <c r="P379" s="15"/>
      <c r="Q379" s="15"/>
      <c r="R379" s="19" t="str">
        <f t="shared" si="1"/>
        <v/>
      </c>
      <c r="S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123"/>
      <c r="M380" s="9"/>
      <c r="N380" s="9"/>
      <c r="O380" s="10"/>
      <c r="P380" s="8"/>
      <c r="Q380" s="8"/>
      <c r="R380" s="12" t="str">
        <f t="shared" si="1"/>
        <v/>
      </c>
      <c r="S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24"/>
      <c r="M381" s="16"/>
      <c r="N381" s="16"/>
      <c r="O381" s="17"/>
      <c r="P381" s="15"/>
      <c r="Q381" s="15"/>
      <c r="R381" s="19" t="str">
        <f t="shared" si="1"/>
        <v/>
      </c>
      <c r="S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123"/>
      <c r="M382" s="9"/>
      <c r="N382" s="9"/>
      <c r="O382" s="10"/>
      <c r="P382" s="8"/>
      <c r="Q382" s="8"/>
      <c r="R382" s="12" t="str">
        <f t="shared" si="1"/>
        <v/>
      </c>
      <c r="S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24"/>
      <c r="M383" s="16"/>
      <c r="N383" s="16"/>
      <c r="O383" s="17"/>
      <c r="P383" s="15"/>
      <c r="Q383" s="15"/>
      <c r="R383" s="19" t="str">
        <f t="shared" si="1"/>
        <v/>
      </c>
      <c r="S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123"/>
      <c r="M384" s="9"/>
      <c r="N384" s="9"/>
      <c r="O384" s="10"/>
      <c r="P384" s="8"/>
      <c r="Q384" s="8"/>
      <c r="R384" s="12" t="str">
        <f t="shared" si="1"/>
        <v/>
      </c>
      <c r="S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24"/>
      <c r="M385" s="16"/>
      <c r="N385" s="16"/>
      <c r="O385" s="17"/>
      <c r="P385" s="15"/>
      <c r="Q385" s="15"/>
      <c r="R385" s="19" t="str">
        <f t="shared" si="1"/>
        <v/>
      </c>
      <c r="S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123"/>
      <c r="M386" s="9"/>
      <c r="N386" s="9"/>
      <c r="O386" s="10"/>
      <c r="P386" s="8"/>
      <c r="Q386" s="8"/>
      <c r="R386" s="12" t="str">
        <f t="shared" si="1"/>
        <v/>
      </c>
      <c r="S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24"/>
      <c r="M387" s="16"/>
      <c r="N387" s="16"/>
      <c r="O387" s="17"/>
      <c r="P387" s="15"/>
      <c r="Q387" s="15"/>
      <c r="R387" s="19" t="str">
        <f t="shared" si="1"/>
        <v/>
      </c>
      <c r="S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123"/>
      <c r="M388" s="9"/>
      <c r="N388" s="9"/>
      <c r="O388" s="10"/>
      <c r="P388" s="8"/>
      <c r="Q388" s="8"/>
      <c r="R388" s="12" t="str">
        <f t="shared" si="1"/>
        <v/>
      </c>
      <c r="S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24"/>
      <c r="M389" s="16"/>
      <c r="N389" s="16"/>
      <c r="O389" s="17"/>
      <c r="P389" s="15"/>
      <c r="Q389" s="15"/>
      <c r="R389" s="19" t="str">
        <f t="shared" si="1"/>
        <v/>
      </c>
      <c r="S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123"/>
      <c r="M390" s="9"/>
      <c r="N390" s="9"/>
      <c r="O390" s="10"/>
      <c r="P390" s="8"/>
      <c r="Q390" s="8"/>
      <c r="R390" s="12" t="str">
        <f t="shared" si="1"/>
        <v/>
      </c>
      <c r="S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24"/>
      <c r="M391" s="16"/>
      <c r="N391" s="16"/>
      <c r="O391" s="17"/>
      <c r="P391" s="15"/>
      <c r="Q391" s="15"/>
      <c r="R391" s="19" t="str">
        <f t="shared" si="1"/>
        <v/>
      </c>
      <c r="S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123"/>
      <c r="M392" s="9"/>
      <c r="N392" s="9"/>
      <c r="O392" s="10"/>
      <c r="P392" s="8"/>
      <c r="Q392" s="8"/>
      <c r="R392" s="12" t="str">
        <f t="shared" si="1"/>
        <v/>
      </c>
      <c r="S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24"/>
      <c r="M393" s="16"/>
      <c r="N393" s="16"/>
      <c r="O393" s="17"/>
      <c r="P393" s="15"/>
      <c r="Q393" s="15"/>
      <c r="R393" s="19" t="str">
        <f t="shared" si="1"/>
        <v/>
      </c>
      <c r="S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123"/>
      <c r="M394" s="9"/>
      <c r="N394" s="9"/>
      <c r="O394" s="10"/>
      <c r="P394" s="8"/>
      <c r="Q394" s="8"/>
      <c r="R394" s="123"/>
      <c r="S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24"/>
      <c r="M395" s="16"/>
      <c r="N395" s="16"/>
      <c r="O395" s="17"/>
      <c r="P395" s="15"/>
      <c r="Q395" s="15"/>
      <c r="R395" s="124"/>
      <c r="S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123"/>
      <c r="M396" s="9"/>
      <c r="N396" s="9"/>
      <c r="O396" s="10"/>
      <c r="P396" s="8"/>
      <c r="Q396" s="8"/>
      <c r="R396" s="123"/>
      <c r="S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24"/>
      <c r="M397" s="16"/>
      <c r="N397" s="16"/>
      <c r="O397" s="17"/>
      <c r="P397" s="15"/>
      <c r="Q397" s="15"/>
      <c r="R397" s="124"/>
      <c r="S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123"/>
      <c r="M398" s="9"/>
      <c r="N398" s="9"/>
      <c r="O398" s="10"/>
      <c r="P398" s="8"/>
      <c r="Q398" s="8"/>
      <c r="R398" s="123"/>
      <c r="S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24"/>
      <c r="M399" s="16"/>
      <c r="N399" s="16"/>
      <c r="O399" s="17"/>
      <c r="P399" s="15"/>
      <c r="Q399" s="15"/>
      <c r="R399" s="124"/>
      <c r="S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123"/>
      <c r="M400" s="9"/>
      <c r="N400" s="9"/>
      <c r="O400" s="10"/>
      <c r="P400" s="8"/>
      <c r="Q400" s="8"/>
      <c r="R400" s="123"/>
      <c r="S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24"/>
      <c r="M401" s="16"/>
      <c r="N401" s="16"/>
      <c r="O401" s="17"/>
      <c r="P401" s="15"/>
      <c r="Q401" s="15"/>
      <c r="R401" s="124"/>
      <c r="S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123"/>
      <c r="M402" s="9"/>
      <c r="N402" s="9"/>
      <c r="O402" s="10"/>
      <c r="P402" s="8"/>
      <c r="Q402" s="8"/>
      <c r="R402" s="123"/>
      <c r="S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24"/>
      <c r="M403" s="16"/>
      <c r="N403" s="16"/>
      <c r="O403" s="17"/>
      <c r="P403" s="15"/>
      <c r="Q403" s="15"/>
      <c r="R403" s="124"/>
      <c r="S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123"/>
      <c r="M404" s="9"/>
      <c r="N404" s="9"/>
      <c r="O404" s="10"/>
      <c r="P404" s="8"/>
      <c r="Q404" s="8"/>
      <c r="R404" s="123"/>
      <c r="S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24"/>
      <c r="M405" s="16"/>
      <c r="N405" s="16"/>
      <c r="O405" s="17"/>
      <c r="P405" s="15"/>
      <c r="Q405" s="15"/>
      <c r="R405" s="124"/>
      <c r="S405" s="124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29"/>
      <c r="L406" s="130"/>
      <c r="M406" s="131"/>
      <c r="N406" s="131"/>
      <c r="O406" s="132"/>
      <c r="P406" s="129"/>
      <c r="Q406" s="129"/>
      <c r="R406" s="130"/>
      <c r="S406" s="130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6"/>
      <c r="M407" s="127"/>
      <c r="N407" s="127"/>
      <c r="O407" s="128"/>
      <c r="P407" s="125"/>
      <c r="Q407" s="125"/>
      <c r="R407" s="126"/>
      <c r="S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29"/>
      <c r="L408" s="130"/>
      <c r="M408" s="131"/>
      <c r="N408" s="131"/>
      <c r="O408" s="132"/>
      <c r="P408" s="129"/>
      <c r="Q408" s="129"/>
      <c r="R408" s="130"/>
      <c r="S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6"/>
      <c r="M409" s="127"/>
      <c r="N409" s="127"/>
      <c r="O409" s="128"/>
      <c r="P409" s="125"/>
      <c r="Q409" s="125"/>
      <c r="R409" s="126"/>
      <c r="S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29"/>
      <c r="L410" s="130"/>
      <c r="M410" s="131"/>
      <c r="N410" s="131"/>
      <c r="O410" s="132"/>
      <c r="P410" s="129"/>
      <c r="Q410" s="129"/>
      <c r="R410" s="130"/>
      <c r="S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6"/>
      <c r="M411" s="127"/>
      <c r="N411" s="127"/>
      <c r="O411" s="128"/>
      <c r="P411" s="125"/>
      <c r="Q411" s="125"/>
      <c r="R411" s="126"/>
      <c r="S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29"/>
      <c r="L412" s="130"/>
      <c r="M412" s="131"/>
      <c r="N412" s="131"/>
      <c r="O412" s="132"/>
      <c r="P412" s="129"/>
      <c r="Q412" s="129"/>
      <c r="R412" s="130"/>
      <c r="S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6"/>
      <c r="M413" s="127"/>
      <c r="N413" s="127"/>
      <c r="O413" s="128"/>
      <c r="P413" s="125"/>
      <c r="Q413" s="125"/>
      <c r="R413" s="126"/>
      <c r="S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29"/>
      <c r="L414" s="130"/>
      <c r="M414" s="131"/>
      <c r="N414" s="131"/>
      <c r="O414" s="132"/>
      <c r="P414" s="129"/>
      <c r="Q414" s="129"/>
      <c r="R414" s="130"/>
      <c r="S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6"/>
      <c r="M415" s="127"/>
      <c r="N415" s="127"/>
      <c r="O415" s="128"/>
      <c r="P415" s="125"/>
      <c r="Q415" s="125"/>
      <c r="R415" s="126"/>
      <c r="S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29"/>
      <c r="L416" s="130"/>
      <c r="M416" s="131"/>
      <c r="N416" s="131"/>
      <c r="O416" s="132"/>
      <c r="P416" s="129"/>
      <c r="Q416" s="129"/>
      <c r="R416" s="130"/>
      <c r="S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6"/>
      <c r="M417" s="127"/>
      <c r="N417" s="127"/>
      <c r="O417" s="128"/>
      <c r="P417" s="125"/>
      <c r="Q417" s="125"/>
      <c r="R417" s="126"/>
      <c r="S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29"/>
      <c r="L418" s="130"/>
      <c r="M418" s="131"/>
      <c r="N418" s="131"/>
      <c r="O418" s="132"/>
      <c r="P418" s="129"/>
      <c r="Q418" s="129"/>
      <c r="R418" s="130"/>
      <c r="S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6"/>
      <c r="M419" s="127"/>
      <c r="N419" s="127"/>
      <c r="O419" s="128"/>
      <c r="P419" s="125"/>
      <c r="Q419" s="125"/>
      <c r="R419" s="126"/>
      <c r="S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29"/>
      <c r="L420" s="130"/>
      <c r="M420" s="131"/>
      <c r="N420" s="131"/>
      <c r="O420" s="132"/>
      <c r="P420" s="129"/>
      <c r="Q420" s="129"/>
      <c r="R420" s="130"/>
      <c r="S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6"/>
      <c r="M421" s="127"/>
      <c r="N421" s="127"/>
      <c r="O421" s="128"/>
      <c r="P421" s="125"/>
      <c r="Q421" s="125"/>
      <c r="R421" s="126"/>
      <c r="S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29"/>
      <c r="L422" s="130"/>
      <c r="M422" s="131"/>
      <c r="N422" s="131"/>
      <c r="O422" s="132"/>
      <c r="P422" s="129"/>
      <c r="Q422" s="129"/>
      <c r="R422" s="130"/>
      <c r="S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6"/>
      <c r="M423" s="127"/>
      <c r="N423" s="127"/>
      <c r="O423" s="128"/>
      <c r="P423" s="125"/>
      <c r="Q423" s="125"/>
      <c r="R423" s="126"/>
      <c r="S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29"/>
      <c r="L424" s="130"/>
      <c r="M424" s="131"/>
      <c r="N424" s="131"/>
      <c r="O424" s="132"/>
      <c r="P424" s="129"/>
      <c r="Q424" s="129"/>
      <c r="R424" s="130"/>
      <c r="S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6"/>
      <c r="M425" s="127"/>
      <c r="N425" s="127"/>
      <c r="O425" s="128"/>
      <c r="P425" s="125"/>
      <c r="Q425" s="125"/>
      <c r="R425" s="126"/>
      <c r="S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29"/>
      <c r="L426" s="130"/>
      <c r="M426" s="131"/>
      <c r="N426" s="131"/>
      <c r="O426" s="132"/>
      <c r="P426" s="129"/>
      <c r="Q426" s="129"/>
      <c r="R426" s="130"/>
      <c r="S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6"/>
      <c r="M427" s="127"/>
      <c r="N427" s="127"/>
      <c r="O427" s="128"/>
      <c r="P427" s="125"/>
      <c r="Q427" s="125"/>
      <c r="R427" s="126"/>
      <c r="S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29"/>
      <c r="L428" s="130"/>
      <c r="M428" s="131"/>
      <c r="N428" s="131"/>
      <c r="O428" s="132"/>
      <c r="P428" s="129"/>
      <c r="Q428" s="129"/>
      <c r="R428" s="130"/>
      <c r="S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6"/>
      <c r="M429" s="127"/>
      <c r="N429" s="127"/>
      <c r="O429" s="128"/>
      <c r="P429" s="125"/>
      <c r="Q429" s="125"/>
      <c r="R429" s="126"/>
      <c r="S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29"/>
      <c r="L430" s="130"/>
      <c r="M430" s="131"/>
      <c r="N430" s="131"/>
      <c r="O430" s="132"/>
      <c r="P430" s="129"/>
      <c r="Q430" s="129"/>
      <c r="R430" s="130"/>
      <c r="S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6"/>
      <c r="M431" s="127"/>
      <c r="N431" s="127"/>
      <c r="O431" s="128"/>
      <c r="P431" s="125"/>
      <c r="Q431" s="125"/>
      <c r="R431" s="126"/>
      <c r="S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29"/>
      <c r="L432" s="130"/>
      <c r="M432" s="131"/>
      <c r="N432" s="131"/>
      <c r="O432" s="132"/>
      <c r="P432" s="129"/>
      <c r="Q432" s="129"/>
      <c r="R432" s="130"/>
      <c r="S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6"/>
      <c r="M433" s="127"/>
      <c r="N433" s="127"/>
      <c r="O433" s="128"/>
      <c r="P433" s="125"/>
      <c r="Q433" s="125"/>
      <c r="R433" s="126"/>
      <c r="S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29"/>
      <c r="L434" s="130"/>
      <c r="M434" s="131"/>
      <c r="N434" s="131"/>
      <c r="O434" s="132"/>
      <c r="P434" s="129"/>
      <c r="Q434" s="129"/>
      <c r="R434" s="130"/>
      <c r="S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6"/>
      <c r="M435" s="127"/>
      <c r="N435" s="127"/>
      <c r="O435" s="128"/>
      <c r="P435" s="125"/>
      <c r="Q435" s="125"/>
      <c r="R435" s="126"/>
      <c r="S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29"/>
      <c r="L436" s="130"/>
      <c r="M436" s="131"/>
      <c r="N436" s="131"/>
      <c r="O436" s="132"/>
      <c r="P436" s="129"/>
      <c r="Q436" s="129"/>
      <c r="R436" s="130"/>
      <c r="S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6"/>
      <c r="M437" s="127"/>
      <c r="N437" s="127"/>
      <c r="O437" s="128"/>
      <c r="P437" s="125"/>
      <c r="Q437" s="125"/>
      <c r="R437" s="126"/>
      <c r="S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29"/>
      <c r="L438" s="130"/>
      <c r="M438" s="131"/>
      <c r="N438" s="131"/>
      <c r="O438" s="132"/>
      <c r="P438" s="129"/>
      <c r="Q438" s="129"/>
      <c r="R438" s="130"/>
      <c r="S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6"/>
      <c r="M439" s="127"/>
      <c r="N439" s="127"/>
      <c r="O439" s="128"/>
      <c r="P439" s="125"/>
      <c r="Q439" s="125"/>
      <c r="R439" s="126"/>
      <c r="S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29"/>
      <c r="L440" s="130"/>
      <c r="M440" s="131"/>
      <c r="N440" s="131"/>
      <c r="O440" s="132"/>
      <c r="P440" s="129"/>
      <c r="Q440" s="129"/>
      <c r="R440" s="130"/>
      <c r="S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6"/>
      <c r="M441" s="127"/>
      <c r="N441" s="127"/>
      <c r="O441" s="128"/>
      <c r="P441" s="125"/>
      <c r="Q441" s="125"/>
      <c r="R441" s="126"/>
      <c r="S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29"/>
      <c r="L442" s="130"/>
      <c r="M442" s="131"/>
      <c r="N442" s="131"/>
      <c r="O442" s="132"/>
      <c r="P442" s="129"/>
      <c r="Q442" s="129"/>
      <c r="R442" s="130"/>
      <c r="S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6"/>
      <c r="M443" s="127"/>
      <c r="N443" s="127"/>
      <c r="O443" s="128"/>
      <c r="P443" s="125"/>
      <c r="Q443" s="125"/>
      <c r="R443" s="126"/>
      <c r="S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29"/>
      <c r="L444" s="130"/>
      <c r="M444" s="131"/>
      <c r="N444" s="131"/>
      <c r="O444" s="132"/>
      <c r="P444" s="129"/>
      <c r="Q444" s="129"/>
      <c r="R444" s="130"/>
      <c r="S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6"/>
      <c r="M445" s="127"/>
      <c r="N445" s="127"/>
      <c r="O445" s="128"/>
      <c r="P445" s="125"/>
      <c r="Q445" s="125"/>
      <c r="R445" s="126"/>
      <c r="S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29"/>
      <c r="L446" s="130"/>
      <c r="M446" s="131"/>
      <c r="N446" s="131"/>
      <c r="O446" s="132"/>
      <c r="P446" s="129"/>
      <c r="Q446" s="129"/>
      <c r="R446" s="130"/>
      <c r="S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6"/>
      <c r="M447" s="127"/>
      <c r="N447" s="127"/>
      <c r="O447" s="128"/>
      <c r="P447" s="125"/>
      <c r="Q447" s="125"/>
      <c r="R447" s="126"/>
      <c r="S447" s="126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130"/>
      <c r="S448" s="59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126"/>
      <c r="S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130"/>
      <c r="S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126"/>
      <c r="S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130"/>
      <c r="S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126"/>
      <c r="S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130"/>
      <c r="S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126"/>
      <c r="S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130"/>
      <c r="S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</row>
  </sheetData>
  <autoFilter ref="$A$1:$S$405"/>
  <customSheetViews>
    <customSheetView guid="{D9D1A42E-DDFC-4032-8664-60A2E47E0D40}" filter="1" showAutoFilter="1">
      <autoFilter ref="$A$1:$R$283"/>
    </customSheetView>
    <customSheetView guid="{3D13BECD-F97B-4CC8-B9FC-728C2CBFEBF1}" filter="1" showAutoFilter="1">
      <autoFilter ref="$A$1:$S$405">
        <filterColumn colId="7">
          <filters>
            <filter val="Nigéria"/>
            <filter val="Tunísia"/>
            <filter val="Escócia"/>
            <filter val="Azerbaijão"/>
            <filter val="Zimbabué"/>
            <filter val="EAU"/>
            <filter val="Ruanda"/>
            <filter val="Bahrein"/>
            <filter val="Andorra"/>
            <filter val="Grécia"/>
            <filter val="Togo"/>
            <filter val="Uruguay"/>
            <filter val="UEFA"/>
            <filter val="Camarões"/>
          </filters>
        </filterColumn>
      </autoFilter>
    </customSheetView>
    <customSheetView guid="{9BA04A38-02DA-4F02-BBBB-302FC15326E0}" filter="1" showAutoFilter="1">
      <autoFilter ref="$A$1:$S$405">
        <filterColumn colId="9">
          <filters>
            <filter val="AH-"/>
            <filter val="Under HT"/>
            <filter val="Falta+"/>
            <filter val="Under L"/>
            <filter val="NG"/>
          </filters>
        </filterColumn>
      </autoFilter>
    </customSheetView>
    <customSheetView guid="{9B5C888F-E11A-4842-8D0B-62F1614802A4}" filter="1" showAutoFilter="1">
      <autoFilter ref="$A$1:$R$283">
        <filterColumn colId="9">
          <filters>
            <filter val="AH+"/>
            <filter val="AH-"/>
            <filter val="Falta+"/>
            <filter val="Under L"/>
          </filters>
        </filterColumn>
      </autoFilter>
    </customSheetView>
  </customSheetViews>
  <conditionalFormatting sqref="Q2:Q498">
    <cfRule type="cellIs" dxfId="0" priority="1" operator="equal">
      <formula>"Ganha"</formula>
    </cfRule>
  </conditionalFormatting>
  <conditionalFormatting sqref="Q2:Q498">
    <cfRule type="cellIs" dxfId="1" priority="2" operator="equal">
      <formula>"Ganha/devolvida"</formula>
    </cfRule>
  </conditionalFormatting>
  <conditionalFormatting sqref="Q2:Q498">
    <cfRule type="cellIs" dxfId="2" priority="3" operator="equal">
      <formula>"Devolvida"</formula>
    </cfRule>
  </conditionalFormatting>
  <conditionalFormatting sqref="Q2:Q498">
    <cfRule type="cellIs" dxfId="3" priority="4" operator="equal">
      <formula>"Perdida/devolvida"</formula>
    </cfRule>
  </conditionalFormatting>
  <conditionalFormatting sqref="Q2:Q498">
    <cfRule type="cellIs" dxfId="4" priority="5" operator="equal">
      <formula>"Perdida"</formula>
    </cfRule>
  </conditionalFormatting>
  <conditionalFormatting sqref="R2:R456 S2:S997 V2:V34">
    <cfRule type="cellIs" dxfId="0" priority="6" operator="greaterThan">
      <formula>0</formula>
    </cfRule>
  </conditionalFormatting>
  <conditionalFormatting sqref="R2:R456 S2:S997 V2:V34">
    <cfRule type="cellIs" dxfId="4" priority="7" operator="lessThan">
      <formula>0</formula>
    </cfRule>
  </conditionalFormatting>
  <conditionalFormatting sqref="R2:R997 S2:S8 V2:V34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88"/>
    <col customWidth="1" min="3" max="3" width="60.88"/>
    <col customWidth="1" min="4" max="4" width="8.38"/>
    <col customWidth="1" min="5" max="5" width="9.25"/>
    <col customWidth="1" min="6" max="6" width="12.88"/>
    <col customWidth="1" min="7" max="7" width="11.25"/>
    <col customWidth="1" min="8" max="8" width="4.5"/>
    <col customWidth="1" min="9" max="9" width="8.13"/>
    <col customWidth="1" min="10" max="10" width="9.5"/>
    <col customWidth="1" min="11" max="14" width="5.88"/>
    <col customWidth="1" min="15" max="15" width="6.5"/>
    <col customWidth="1" min="16" max="16" width="14.75"/>
    <col customWidth="1" min="17" max="17" width="10.75"/>
    <col customWidth="1" min="18" max="18" width="7.25"/>
    <col customWidth="1" min="19" max="19" width="4.13"/>
    <col customWidth="1" min="20" max="20" width="6.25"/>
    <col customWidth="1" min="21" max="21" width="6.5"/>
    <col customWidth="1" min="22" max="22" width="11.25"/>
  </cols>
  <sheetData>
    <row r="1">
      <c r="A1" s="3" t="s">
        <v>0</v>
      </c>
      <c r="B1" s="2" t="s">
        <v>2</v>
      </c>
      <c r="C1" s="3" t="s">
        <v>3</v>
      </c>
      <c r="D1" s="2" t="s">
        <v>1466</v>
      </c>
      <c r="E1" s="2" t="s">
        <v>1467</v>
      </c>
      <c r="F1" s="2" t="s">
        <v>1468</v>
      </c>
      <c r="G1" s="3" t="s">
        <v>4</v>
      </c>
      <c r="H1" s="3" t="s">
        <v>5</v>
      </c>
      <c r="I1" s="3" t="s">
        <v>6</v>
      </c>
      <c r="J1" s="2" t="s">
        <v>7</v>
      </c>
      <c r="K1" s="4" t="s">
        <v>8</v>
      </c>
      <c r="L1" s="5" t="s">
        <v>9</v>
      </c>
      <c r="M1" s="4" t="s">
        <v>10</v>
      </c>
      <c r="N1" s="6" t="s">
        <v>11</v>
      </c>
      <c r="O1" s="97" t="s">
        <v>12</v>
      </c>
      <c r="P1" s="3" t="s">
        <v>13</v>
      </c>
      <c r="Q1" s="4" t="s">
        <v>2372</v>
      </c>
      <c r="R1" s="4" t="s">
        <v>15</v>
      </c>
      <c r="T1" s="3" t="s">
        <v>16</v>
      </c>
      <c r="U1" s="3" t="s">
        <v>15</v>
      </c>
      <c r="V1" s="3" t="s">
        <v>17</v>
      </c>
    </row>
    <row r="2">
      <c r="A2" s="8">
        <f>1</f>
        <v>1</v>
      </c>
      <c r="B2" s="8" t="s">
        <v>19</v>
      </c>
      <c r="C2" s="8" t="s">
        <v>3444</v>
      </c>
      <c r="D2" s="8"/>
      <c r="E2" s="8"/>
      <c r="F2" s="8"/>
      <c r="G2" s="8" t="s">
        <v>82</v>
      </c>
      <c r="H2" s="8" t="s">
        <v>598</v>
      </c>
      <c r="I2" s="8" t="s">
        <v>23</v>
      </c>
      <c r="J2" s="8" t="s">
        <v>39</v>
      </c>
      <c r="K2" s="9">
        <v>-11.0</v>
      </c>
      <c r="L2" s="9">
        <v>0.5</v>
      </c>
      <c r="M2" s="9">
        <v>0.5</v>
      </c>
      <c r="N2" s="10">
        <v>45200.0</v>
      </c>
      <c r="O2" s="11">
        <v>1.8</v>
      </c>
      <c r="P2" s="8" t="s">
        <v>25</v>
      </c>
      <c r="Q2" s="12">
        <f t="shared" ref="Q2:Q393" si="1">IF(P2="ganha",(M2*(O2-1)),IF(P2="perdida",-M2,IF(P2="devolvida",0,IF(P2="ganha/devolvida",((M2*(O2-1)))/2,IF(P2="perdida/devolvida",-M2/2,IF(P2="Aguardando",0,""))))))</f>
        <v>-0.5</v>
      </c>
      <c r="R2" s="12">
        <f>Q2</f>
        <v>-0.5</v>
      </c>
      <c r="T2" s="66">
        <v>45200.0</v>
      </c>
      <c r="U2" s="13">
        <f t="shared" ref="U2:U32" si="2">SUMIF($N$2:$N$2980,T2,$Q$2:$Q$2980)</f>
        <v>2.45835</v>
      </c>
      <c r="V2" s="14">
        <f>SUMIF($P$2:$P$2980,"Aguardando",$M$2:$M$2980)</f>
        <v>0</v>
      </c>
    </row>
    <row r="3">
      <c r="A3" s="15">
        <f t="shared" ref="A3:A283" si="3">A2+1</f>
        <v>2</v>
      </c>
      <c r="B3" s="15" t="s">
        <v>19</v>
      </c>
      <c r="C3" s="15" t="s">
        <v>3445</v>
      </c>
      <c r="D3" s="15"/>
      <c r="E3" s="15"/>
      <c r="F3" s="15"/>
      <c r="G3" s="15" t="s">
        <v>82</v>
      </c>
      <c r="H3" s="15" t="s">
        <v>598</v>
      </c>
      <c r="I3" s="15" t="s">
        <v>2415</v>
      </c>
      <c r="J3" s="15" t="s">
        <v>39</v>
      </c>
      <c r="K3" s="16">
        <v>10.5</v>
      </c>
      <c r="L3" s="16">
        <v>0.5</v>
      </c>
      <c r="M3" s="16">
        <v>0.5</v>
      </c>
      <c r="N3" s="17">
        <v>45200.0</v>
      </c>
      <c r="O3" s="18">
        <v>1.8</v>
      </c>
      <c r="P3" s="15" t="s">
        <v>33</v>
      </c>
      <c r="Q3" s="19">
        <f t="shared" si="1"/>
        <v>0.4</v>
      </c>
      <c r="R3" s="19">
        <f t="shared" ref="R3:R357" si="4">R2+Q3</f>
        <v>-0.1</v>
      </c>
      <c r="T3" s="66">
        <v>45201.0</v>
      </c>
      <c r="U3" s="13">
        <f t="shared" si="2"/>
        <v>0</v>
      </c>
    </row>
    <row r="4">
      <c r="A4" s="8">
        <f t="shared" si="3"/>
        <v>3</v>
      </c>
      <c r="B4" s="8" t="s">
        <v>19</v>
      </c>
      <c r="C4" s="8" t="s">
        <v>3446</v>
      </c>
      <c r="D4" s="8"/>
      <c r="E4" s="8"/>
      <c r="F4" s="8"/>
      <c r="G4" s="8" t="s">
        <v>768</v>
      </c>
      <c r="H4" s="8" t="s">
        <v>598</v>
      </c>
      <c r="I4" s="8" t="s">
        <v>440</v>
      </c>
      <c r="J4" s="8"/>
      <c r="K4" s="9">
        <v>8.5</v>
      </c>
      <c r="L4" s="9">
        <v>0.25</v>
      </c>
      <c r="M4" s="9">
        <v>0.25</v>
      </c>
      <c r="N4" s="10">
        <v>45200.0</v>
      </c>
      <c r="O4" s="11">
        <v>1.91</v>
      </c>
      <c r="P4" s="8" t="s">
        <v>33</v>
      </c>
      <c r="Q4" s="12">
        <f t="shared" si="1"/>
        <v>0.2275</v>
      </c>
      <c r="R4" s="12">
        <f t="shared" si="4"/>
        <v>0.1275</v>
      </c>
      <c r="T4" s="66">
        <v>45202.0</v>
      </c>
      <c r="U4" s="13">
        <f t="shared" si="2"/>
        <v>-0.686</v>
      </c>
      <c r="V4" s="3" t="s">
        <v>34</v>
      </c>
    </row>
    <row r="5">
      <c r="A5" s="15">
        <f t="shared" si="3"/>
        <v>4</v>
      </c>
      <c r="B5" s="15" t="s">
        <v>19</v>
      </c>
      <c r="C5" s="15" t="s">
        <v>3447</v>
      </c>
      <c r="D5" s="15"/>
      <c r="E5" s="15"/>
      <c r="F5" s="15"/>
      <c r="G5" s="15" t="s">
        <v>768</v>
      </c>
      <c r="H5" s="15" t="s">
        <v>598</v>
      </c>
      <c r="I5" s="15" t="s">
        <v>1272</v>
      </c>
      <c r="J5" s="15"/>
      <c r="K5" s="16"/>
      <c r="L5" s="16">
        <v>0.15</v>
      </c>
      <c r="M5" s="16">
        <v>0.15</v>
      </c>
      <c r="N5" s="17">
        <v>45200.0</v>
      </c>
      <c r="O5" s="18">
        <v>3.5</v>
      </c>
      <c r="P5" s="15" t="s">
        <v>25</v>
      </c>
      <c r="Q5" s="19">
        <f t="shared" si="1"/>
        <v>-0.15</v>
      </c>
      <c r="R5" s="19">
        <f t="shared" si="4"/>
        <v>-0.0225</v>
      </c>
      <c r="T5" s="66">
        <v>45203.0</v>
      </c>
      <c r="U5" s="13">
        <f t="shared" si="2"/>
        <v>-1.731</v>
      </c>
      <c r="V5" s="20">
        <f>sum(M2:M1013)</f>
        <v>154.2735261</v>
      </c>
    </row>
    <row r="6">
      <c r="A6" s="8">
        <f t="shared" si="3"/>
        <v>5</v>
      </c>
      <c r="B6" s="8" t="s">
        <v>19</v>
      </c>
      <c r="C6" s="8" t="s">
        <v>3448</v>
      </c>
      <c r="D6" s="8"/>
      <c r="E6" s="8"/>
      <c r="F6" s="8"/>
      <c r="G6" s="8" t="s">
        <v>768</v>
      </c>
      <c r="H6" s="8" t="s">
        <v>598</v>
      </c>
      <c r="I6" s="8" t="s">
        <v>440</v>
      </c>
      <c r="J6" s="8"/>
      <c r="K6" s="9">
        <v>73.5</v>
      </c>
      <c r="L6" s="9">
        <v>0.25</v>
      </c>
      <c r="M6" s="9">
        <v>0.25</v>
      </c>
      <c r="N6" s="10">
        <v>45200.0</v>
      </c>
      <c r="O6" s="11">
        <v>1.91</v>
      </c>
      <c r="P6" s="8" t="s">
        <v>25</v>
      </c>
      <c r="Q6" s="12">
        <f t="shared" si="1"/>
        <v>-0.25</v>
      </c>
      <c r="R6" s="12">
        <f t="shared" si="4"/>
        <v>-0.2725</v>
      </c>
      <c r="T6" s="66">
        <v>45204.0</v>
      </c>
      <c r="U6" s="13">
        <f t="shared" si="2"/>
        <v>1.197269231</v>
      </c>
    </row>
    <row r="7">
      <c r="A7" s="15">
        <f t="shared" si="3"/>
        <v>6</v>
      </c>
      <c r="B7" s="15" t="s">
        <v>19</v>
      </c>
      <c r="C7" s="15" t="s">
        <v>3449</v>
      </c>
      <c r="D7" s="15"/>
      <c r="E7" s="15"/>
      <c r="F7" s="15"/>
      <c r="G7" s="15" t="s">
        <v>768</v>
      </c>
      <c r="H7" s="15" t="s">
        <v>598</v>
      </c>
      <c r="I7" s="15" t="s">
        <v>440</v>
      </c>
      <c r="J7" s="15"/>
      <c r="K7" s="16">
        <v>66.5</v>
      </c>
      <c r="L7" s="16">
        <v>0.25</v>
      </c>
      <c r="M7" s="16">
        <v>0.25</v>
      </c>
      <c r="N7" s="17">
        <v>45200.0</v>
      </c>
      <c r="O7" s="18">
        <v>1.83</v>
      </c>
      <c r="P7" s="15" t="s">
        <v>25</v>
      </c>
      <c r="Q7" s="19">
        <f t="shared" si="1"/>
        <v>-0.25</v>
      </c>
      <c r="R7" s="19">
        <f t="shared" si="4"/>
        <v>-0.5225</v>
      </c>
      <c r="T7" s="66">
        <v>45205.0</v>
      </c>
      <c r="U7" s="13">
        <f t="shared" si="2"/>
        <v>-0.06025</v>
      </c>
      <c r="V7" s="3" t="s">
        <v>45</v>
      </c>
    </row>
    <row r="8">
      <c r="A8" s="8">
        <f t="shared" si="3"/>
        <v>7</v>
      </c>
      <c r="B8" s="8" t="s">
        <v>19</v>
      </c>
      <c r="C8" s="8" t="s">
        <v>3450</v>
      </c>
      <c r="D8" s="8"/>
      <c r="E8" s="8"/>
      <c r="F8" s="8"/>
      <c r="G8" s="8" t="s">
        <v>768</v>
      </c>
      <c r="H8" s="8" t="s">
        <v>598</v>
      </c>
      <c r="I8" s="8" t="s">
        <v>440</v>
      </c>
      <c r="J8" s="8"/>
      <c r="K8" s="9">
        <v>4.5</v>
      </c>
      <c r="L8" s="9">
        <v>0.25</v>
      </c>
      <c r="M8" s="9">
        <v>0.25</v>
      </c>
      <c r="N8" s="10">
        <v>45200.0</v>
      </c>
      <c r="O8" s="11">
        <v>1.76</v>
      </c>
      <c r="P8" s="8" t="s">
        <v>33</v>
      </c>
      <c r="Q8" s="12">
        <f t="shared" si="1"/>
        <v>0.19</v>
      </c>
      <c r="R8" s="12">
        <f t="shared" si="4"/>
        <v>-0.3325</v>
      </c>
      <c r="T8" s="66">
        <v>45206.0</v>
      </c>
      <c r="U8" s="13">
        <f t="shared" si="2"/>
        <v>0.836397619</v>
      </c>
      <c r="V8" s="21">
        <f>U33/(SUM(M3:M4933)-V2)</f>
        <v>0.09277580384</v>
      </c>
    </row>
    <row r="9">
      <c r="A9" s="15">
        <f t="shared" si="3"/>
        <v>8</v>
      </c>
      <c r="B9" s="15" t="s">
        <v>19</v>
      </c>
      <c r="C9" s="15" t="s">
        <v>3451</v>
      </c>
      <c r="D9" s="15" t="s">
        <v>5564</v>
      </c>
      <c r="E9" s="15" t="s">
        <v>2556</v>
      </c>
      <c r="F9" s="15">
        <f>1</f>
        <v>1</v>
      </c>
      <c r="G9" s="15" t="s">
        <v>93</v>
      </c>
      <c r="H9" s="15" t="s">
        <v>22</v>
      </c>
      <c r="I9" s="15" t="s">
        <v>1847</v>
      </c>
      <c r="J9" s="15" t="s">
        <v>1522</v>
      </c>
      <c r="K9" s="16">
        <v>-0.5</v>
      </c>
      <c r="L9" s="16">
        <v>0.5</v>
      </c>
      <c r="M9" s="16">
        <v>0.5</v>
      </c>
      <c r="N9" s="17">
        <v>45200.0</v>
      </c>
      <c r="O9" s="18">
        <v>2.2</v>
      </c>
      <c r="P9" s="15" t="s">
        <v>33</v>
      </c>
      <c r="Q9" s="19">
        <f t="shared" si="1"/>
        <v>0.6</v>
      </c>
      <c r="R9" s="19">
        <f t="shared" si="4"/>
        <v>0.2675</v>
      </c>
      <c r="T9" s="66">
        <v>45207.0</v>
      </c>
      <c r="U9" s="13">
        <f t="shared" si="2"/>
        <v>2.655915909</v>
      </c>
    </row>
    <row r="10">
      <c r="A10" s="8">
        <f t="shared" si="3"/>
        <v>9</v>
      </c>
      <c r="B10" s="8" t="s">
        <v>19</v>
      </c>
      <c r="C10" s="8" t="s">
        <v>3452</v>
      </c>
      <c r="D10" s="8" t="s">
        <v>5564</v>
      </c>
      <c r="E10" s="8" t="s">
        <v>2556</v>
      </c>
      <c r="F10" s="8">
        <v>0.0</v>
      </c>
      <c r="G10" s="8" t="s">
        <v>93</v>
      </c>
      <c r="H10" s="8" t="s">
        <v>22</v>
      </c>
      <c r="I10" s="8" t="s">
        <v>225</v>
      </c>
      <c r="J10" s="8" t="s">
        <v>1522</v>
      </c>
      <c r="K10" s="9">
        <v>0.25</v>
      </c>
      <c r="L10" s="9">
        <v>0.25</v>
      </c>
      <c r="M10" s="9">
        <v>0.25</v>
      </c>
      <c r="N10" s="10">
        <v>45200.0</v>
      </c>
      <c r="O10" s="11">
        <v>1.85</v>
      </c>
      <c r="P10" s="8" t="s">
        <v>33</v>
      </c>
      <c r="Q10" s="12">
        <f t="shared" si="1"/>
        <v>0.2125</v>
      </c>
      <c r="R10" s="12">
        <f t="shared" si="4"/>
        <v>0.48</v>
      </c>
      <c r="T10" s="66">
        <v>45208.0</v>
      </c>
      <c r="U10" s="13">
        <f t="shared" si="2"/>
        <v>0</v>
      </c>
      <c r="V10" s="2" t="s">
        <v>55</v>
      </c>
    </row>
    <row r="11">
      <c r="A11" s="15">
        <f t="shared" si="3"/>
        <v>10</v>
      </c>
      <c r="B11" s="15" t="s">
        <v>19</v>
      </c>
      <c r="C11" s="15" t="s">
        <v>3453</v>
      </c>
      <c r="D11" s="15" t="s">
        <v>5564</v>
      </c>
      <c r="E11" s="15" t="s">
        <v>2556</v>
      </c>
      <c r="F11" s="15">
        <v>0.0</v>
      </c>
      <c r="G11" s="15" t="s">
        <v>48</v>
      </c>
      <c r="H11" s="15" t="s">
        <v>22</v>
      </c>
      <c r="I11" s="15" t="s">
        <v>225</v>
      </c>
      <c r="J11" s="15" t="s">
        <v>24</v>
      </c>
      <c r="K11" s="16">
        <v>0.25</v>
      </c>
      <c r="L11" s="16">
        <v>0.5</v>
      </c>
      <c r="M11" s="16">
        <v>0.5</v>
      </c>
      <c r="N11" s="17">
        <v>45200.0</v>
      </c>
      <c r="O11" s="18">
        <v>2.1</v>
      </c>
      <c r="P11" s="15" t="s">
        <v>25</v>
      </c>
      <c r="Q11" s="19">
        <f t="shared" si="1"/>
        <v>-0.5</v>
      </c>
      <c r="R11" s="19">
        <f t="shared" si="4"/>
        <v>-0.02</v>
      </c>
      <c r="T11" s="66">
        <v>45209.0</v>
      </c>
      <c r="U11" s="13">
        <f t="shared" si="2"/>
        <v>0.039</v>
      </c>
      <c r="V11" s="21">
        <f>(SUMPRODUCT(--(L2:L999 = M2:M999))-countif(L2:L999,""))/countif(L2:L999,"&gt;0")</f>
        <v>0.9147058824</v>
      </c>
    </row>
    <row r="12">
      <c r="A12" s="8">
        <f t="shared" si="3"/>
        <v>11</v>
      </c>
      <c r="B12" s="8" t="s">
        <v>19</v>
      </c>
      <c r="C12" s="8" t="s">
        <v>3454</v>
      </c>
      <c r="D12" s="8" t="s">
        <v>5564</v>
      </c>
      <c r="E12" s="8" t="s">
        <v>2556</v>
      </c>
      <c r="F12" s="8">
        <v>0.0</v>
      </c>
      <c r="G12" s="8" t="s">
        <v>48</v>
      </c>
      <c r="H12" s="8" t="s">
        <v>22</v>
      </c>
      <c r="I12" s="8" t="s">
        <v>1165</v>
      </c>
      <c r="J12" s="8" t="s">
        <v>24</v>
      </c>
      <c r="K12" s="9"/>
      <c r="L12" s="9">
        <v>0.1</v>
      </c>
      <c r="M12" s="9">
        <v>0.1</v>
      </c>
      <c r="N12" s="10">
        <v>45200.0</v>
      </c>
      <c r="O12" s="11">
        <v>4.5</v>
      </c>
      <c r="P12" s="8" t="s">
        <v>25</v>
      </c>
      <c r="Q12" s="12">
        <f t="shared" si="1"/>
        <v>-0.1</v>
      </c>
      <c r="R12" s="12">
        <f t="shared" si="4"/>
        <v>-0.12</v>
      </c>
      <c r="T12" s="66">
        <v>45210.0</v>
      </c>
      <c r="U12" s="13">
        <f t="shared" si="2"/>
        <v>1.53075</v>
      </c>
    </row>
    <row r="13">
      <c r="A13" s="15">
        <f t="shared" si="3"/>
        <v>12</v>
      </c>
      <c r="B13" s="15" t="s">
        <v>19</v>
      </c>
      <c r="C13" s="15" t="s">
        <v>3455</v>
      </c>
      <c r="D13" s="15" t="s">
        <v>5564</v>
      </c>
      <c r="E13" s="15" t="s">
        <v>2556</v>
      </c>
      <c r="F13" s="15">
        <v>0.0</v>
      </c>
      <c r="G13" s="15" t="s">
        <v>229</v>
      </c>
      <c r="H13" s="15" t="s">
        <v>22</v>
      </c>
      <c r="I13" s="15" t="s">
        <v>941</v>
      </c>
      <c r="J13" s="15" t="s">
        <v>1522</v>
      </c>
      <c r="K13" s="16">
        <v>0.0</v>
      </c>
      <c r="L13" s="16">
        <v>0.5</v>
      </c>
      <c r="M13" s="16">
        <v>0.5</v>
      </c>
      <c r="N13" s="17">
        <v>45200.0</v>
      </c>
      <c r="O13" s="18">
        <v>2.0</v>
      </c>
      <c r="P13" s="15" t="s">
        <v>70</v>
      </c>
      <c r="Q13" s="19">
        <f t="shared" si="1"/>
        <v>0</v>
      </c>
      <c r="R13" s="19">
        <f t="shared" si="4"/>
        <v>-0.12</v>
      </c>
      <c r="T13" s="66">
        <v>45211.0</v>
      </c>
      <c r="U13" s="13">
        <f t="shared" si="2"/>
        <v>-3.25</v>
      </c>
      <c r="V13" s="2" t="s">
        <v>61</v>
      </c>
    </row>
    <row r="14">
      <c r="A14" s="8">
        <f t="shared" si="3"/>
        <v>13</v>
      </c>
      <c r="B14" s="8" t="s">
        <v>19</v>
      </c>
      <c r="C14" s="8" t="s">
        <v>3456</v>
      </c>
      <c r="D14" s="8" t="s">
        <v>5564</v>
      </c>
      <c r="E14" s="8" t="s">
        <v>2556</v>
      </c>
      <c r="F14" s="8">
        <v>0.0</v>
      </c>
      <c r="G14" s="8" t="s">
        <v>207</v>
      </c>
      <c r="H14" s="8" t="s">
        <v>22</v>
      </c>
      <c r="I14" s="8" t="s">
        <v>941</v>
      </c>
      <c r="J14" s="8" t="s">
        <v>1522</v>
      </c>
      <c r="K14" s="9">
        <v>0.0</v>
      </c>
      <c r="L14" s="9">
        <v>0.5</v>
      </c>
      <c r="M14" s="9">
        <v>0.5</v>
      </c>
      <c r="N14" s="10">
        <v>45200.0</v>
      </c>
      <c r="O14" s="11">
        <f>494.46/300</f>
        <v>1.6482</v>
      </c>
      <c r="P14" s="8" t="s">
        <v>33</v>
      </c>
      <c r="Q14" s="12">
        <f t="shared" si="1"/>
        <v>0.3241</v>
      </c>
      <c r="R14" s="12">
        <f t="shared" si="4"/>
        <v>0.2041</v>
      </c>
      <c r="T14" s="66">
        <v>45212.0</v>
      </c>
      <c r="U14" s="13">
        <f t="shared" si="2"/>
        <v>-1.5215</v>
      </c>
      <c r="V14" s="22">
        <f>average(O2:O999)</f>
        <v>2.069421137</v>
      </c>
    </row>
    <row r="15">
      <c r="A15" s="15">
        <f t="shared" si="3"/>
        <v>14</v>
      </c>
      <c r="B15" s="15" t="s">
        <v>19</v>
      </c>
      <c r="C15" s="15" t="s">
        <v>3457</v>
      </c>
      <c r="D15" s="15" t="s">
        <v>5564</v>
      </c>
      <c r="E15" s="15" t="s">
        <v>2556</v>
      </c>
      <c r="F15" s="15">
        <v>0.0</v>
      </c>
      <c r="G15" s="15" t="s">
        <v>193</v>
      </c>
      <c r="H15" s="15" t="s">
        <v>22</v>
      </c>
      <c r="I15" s="15" t="s">
        <v>225</v>
      </c>
      <c r="J15" s="15" t="s">
        <v>24</v>
      </c>
      <c r="K15" s="16">
        <v>0.5</v>
      </c>
      <c r="L15" s="16">
        <v>0.75</v>
      </c>
      <c r="M15" s="16">
        <v>0.75</v>
      </c>
      <c r="N15" s="17">
        <v>45200.0</v>
      </c>
      <c r="O15" s="18">
        <v>1.631</v>
      </c>
      <c r="P15" s="15" t="s">
        <v>33</v>
      </c>
      <c r="Q15" s="19">
        <f t="shared" si="1"/>
        <v>0.47325</v>
      </c>
      <c r="R15" s="19">
        <f t="shared" si="4"/>
        <v>0.67735</v>
      </c>
      <c r="T15" s="66">
        <v>45213.0</v>
      </c>
      <c r="U15" s="13">
        <f t="shared" si="2"/>
        <v>2.62625</v>
      </c>
    </row>
    <row r="16">
      <c r="A16" s="8">
        <f t="shared" si="3"/>
        <v>15</v>
      </c>
      <c r="B16" s="8" t="s">
        <v>19</v>
      </c>
      <c r="C16" s="8" t="s">
        <v>3458</v>
      </c>
      <c r="D16" s="8" t="s">
        <v>5564</v>
      </c>
      <c r="E16" s="8" t="s">
        <v>2556</v>
      </c>
      <c r="F16" s="8">
        <v>0.0</v>
      </c>
      <c r="G16" s="8" t="s">
        <v>193</v>
      </c>
      <c r="H16" s="8" t="s">
        <v>22</v>
      </c>
      <c r="I16" s="8" t="s">
        <v>1165</v>
      </c>
      <c r="J16" s="8" t="s">
        <v>24</v>
      </c>
      <c r="K16" s="9"/>
      <c r="L16" s="9">
        <v>0.1</v>
      </c>
      <c r="M16" s="9">
        <v>0.1</v>
      </c>
      <c r="N16" s="10">
        <v>45200.0</v>
      </c>
      <c r="O16" s="11">
        <v>3.2</v>
      </c>
      <c r="P16" s="8" t="s">
        <v>25</v>
      </c>
      <c r="Q16" s="12">
        <f t="shared" si="1"/>
        <v>-0.1</v>
      </c>
      <c r="R16" s="12">
        <f t="shared" si="4"/>
        <v>0.57735</v>
      </c>
      <c r="T16" s="66">
        <v>45214.0</v>
      </c>
      <c r="U16" s="13">
        <f t="shared" si="2"/>
        <v>-0.2905</v>
      </c>
    </row>
    <row r="17">
      <c r="A17" s="15">
        <f t="shared" si="3"/>
        <v>16</v>
      </c>
      <c r="B17" s="15" t="s">
        <v>19</v>
      </c>
      <c r="C17" s="15" t="s">
        <v>3459</v>
      </c>
      <c r="D17" s="15" t="s">
        <v>5564</v>
      </c>
      <c r="E17" s="15" t="s">
        <v>2556</v>
      </c>
      <c r="F17" s="15">
        <v>0.0</v>
      </c>
      <c r="G17" s="15" t="s">
        <v>229</v>
      </c>
      <c r="H17" s="15" t="s">
        <v>22</v>
      </c>
      <c r="I17" s="15" t="s">
        <v>941</v>
      </c>
      <c r="J17" s="15" t="s">
        <v>3460</v>
      </c>
      <c r="K17" s="16">
        <v>0.0</v>
      </c>
      <c r="L17" s="16">
        <v>0.5</v>
      </c>
      <c r="M17" s="16">
        <v>0.5</v>
      </c>
      <c r="N17" s="17">
        <v>45200.0</v>
      </c>
      <c r="O17" s="18">
        <v>1.725</v>
      </c>
      <c r="P17" s="15" t="s">
        <v>70</v>
      </c>
      <c r="Q17" s="19">
        <f t="shared" si="1"/>
        <v>0</v>
      </c>
      <c r="R17" s="19">
        <f t="shared" si="4"/>
        <v>0.57735</v>
      </c>
      <c r="T17" s="66">
        <v>45215.0</v>
      </c>
      <c r="U17" s="13">
        <f t="shared" si="2"/>
        <v>0</v>
      </c>
    </row>
    <row r="18">
      <c r="A18" s="8">
        <f t="shared" si="3"/>
        <v>17</v>
      </c>
      <c r="B18" s="8" t="s">
        <v>19</v>
      </c>
      <c r="C18" s="8" t="s">
        <v>3461</v>
      </c>
      <c r="D18" s="8" t="s">
        <v>5564</v>
      </c>
      <c r="E18" s="8" t="s">
        <v>2556</v>
      </c>
      <c r="F18" s="8">
        <v>0.0</v>
      </c>
      <c r="G18" s="8" t="s">
        <v>48</v>
      </c>
      <c r="H18" s="8" t="s">
        <v>22</v>
      </c>
      <c r="I18" s="8" t="s">
        <v>941</v>
      </c>
      <c r="J18" s="8" t="s">
        <v>24</v>
      </c>
      <c r="K18" s="9">
        <v>0.0</v>
      </c>
      <c r="L18" s="9">
        <v>1.0</v>
      </c>
      <c r="M18" s="9">
        <v>1.0</v>
      </c>
      <c r="N18" s="10">
        <v>45200.0</v>
      </c>
      <c r="O18" s="11">
        <v>1.907</v>
      </c>
      <c r="P18" s="8" t="s">
        <v>33</v>
      </c>
      <c r="Q18" s="12">
        <f t="shared" si="1"/>
        <v>0.907</v>
      </c>
      <c r="R18" s="12">
        <f t="shared" si="4"/>
        <v>1.48435</v>
      </c>
      <c r="T18" s="66">
        <v>45216.0</v>
      </c>
      <c r="U18" s="13">
        <f t="shared" si="2"/>
        <v>0.86835</v>
      </c>
    </row>
    <row r="19">
      <c r="A19" s="15">
        <f t="shared" si="3"/>
        <v>18</v>
      </c>
      <c r="B19" s="15" t="s">
        <v>19</v>
      </c>
      <c r="C19" s="15" t="s">
        <v>3462</v>
      </c>
      <c r="D19" s="15" t="s">
        <v>5564</v>
      </c>
      <c r="E19" s="15" t="s">
        <v>2556</v>
      </c>
      <c r="F19" s="15" t="s">
        <v>3154</v>
      </c>
      <c r="G19" s="15" t="s">
        <v>115</v>
      </c>
      <c r="H19" s="15" t="s">
        <v>22</v>
      </c>
      <c r="I19" s="15" t="s">
        <v>1165</v>
      </c>
      <c r="J19" s="15" t="s">
        <v>24</v>
      </c>
      <c r="K19" s="16"/>
      <c r="L19" s="16">
        <v>0.15</v>
      </c>
      <c r="M19" s="16">
        <v>0.15</v>
      </c>
      <c r="N19" s="17">
        <v>45200.0</v>
      </c>
      <c r="O19" s="18">
        <v>3.75</v>
      </c>
      <c r="P19" s="15" t="s">
        <v>33</v>
      </c>
      <c r="Q19" s="19">
        <f t="shared" si="1"/>
        <v>0.4125</v>
      </c>
      <c r="R19" s="19">
        <f t="shared" si="4"/>
        <v>1.89685</v>
      </c>
      <c r="T19" s="66">
        <v>45217.0</v>
      </c>
      <c r="U19" s="13">
        <f t="shared" si="2"/>
        <v>0.5715</v>
      </c>
    </row>
    <row r="20">
      <c r="A20" s="8">
        <f t="shared" si="3"/>
        <v>19</v>
      </c>
      <c r="B20" s="8" t="s">
        <v>40</v>
      </c>
      <c r="C20" s="8" t="s">
        <v>3463</v>
      </c>
      <c r="D20" s="8" t="s">
        <v>5564</v>
      </c>
      <c r="E20" s="8" t="s">
        <v>2556</v>
      </c>
      <c r="F20" s="8">
        <v>0.0</v>
      </c>
      <c r="G20" s="8" t="s">
        <v>187</v>
      </c>
      <c r="H20" s="8" t="s">
        <v>22</v>
      </c>
      <c r="I20" s="8" t="s">
        <v>225</v>
      </c>
      <c r="J20" s="8" t="s">
        <v>24</v>
      </c>
      <c r="K20" s="9">
        <v>1.0</v>
      </c>
      <c r="L20" s="9">
        <v>0.5</v>
      </c>
      <c r="M20" s="9">
        <v>0.5</v>
      </c>
      <c r="N20" s="10">
        <v>45200.0</v>
      </c>
      <c r="O20" s="11">
        <v>2.0</v>
      </c>
      <c r="P20" s="8" t="s">
        <v>70</v>
      </c>
      <c r="Q20" s="12">
        <f t="shared" si="1"/>
        <v>0</v>
      </c>
      <c r="R20" s="12">
        <f t="shared" si="4"/>
        <v>1.89685</v>
      </c>
      <c r="T20" s="66">
        <v>45218.0</v>
      </c>
      <c r="U20" s="13">
        <f t="shared" si="2"/>
        <v>0.99673</v>
      </c>
    </row>
    <row r="21">
      <c r="A21" s="15">
        <f t="shared" si="3"/>
        <v>20</v>
      </c>
      <c r="B21" s="15" t="s">
        <v>40</v>
      </c>
      <c r="C21" s="15" t="s">
        <v>3464</v>
      </c>
      <c r="D21" s="15" t="s">
        <v>5564</v>
      </c>
      <c r="E21" s="15" t="s">
        <v>2556</v>
      </c>
      <c r="F21" s="15">
        <v>0.0</v>
      </c>
      <c r="G21" s="15" t="s">
        <v>187</v>
      </c>
      <c r="H21" s="15" t="s">
        <v>22</v>
      </c>
      <c r="I21" s="15" t="s">
        <v>1023</v>
      </c>
      <c r="J21" s="15" t="s">
        <v>24</v>
      </c>
      <c r="K21" s="16"/>
      <c r="L21" s="16">
        <v>0.1</v>
      </c>
      <c r="M21" s="16">
        <v>0.1</v>
      </c>
      <c r="N21" s="17">
        <v>45200.0</v>
      </c>
      <c r="O21" s="18">
        <v>2.5</v>
      </c>
      <c r="P21" s="15" t="s">
        <v>25</v>
      </c>
      <c r="Q21" s="19">
        <f t="shared" si="1"/>
        <v>-0.1</v>
      </c>
      <c r="R21" s="19">
        <f t="shared" si="4"/>
        <v>1.79685</v>
      </c>
      <c r="T21" s="66">
        <v>45219.0</v>
      </c>
      <c r="U21" s="13">
        <f t="shared" si="2"/>
        <v>0.3149</v>
      </c>
    </row>
    <row r="22">
      <c r="A22" s="8">
        <f t="shared" si="3"/>
        <v>21</v>
      </c>
      <c r="B22" s="8" t="s">
        <v>19</v>
      </c>
      <c r="C22" s="8" t="s">
        <v>3465</v>
      </c>
      <c r="D22" s="8" t="s">
        <v>5565</v>
      </c>
      <c r="E22" s="8" t="s">
        <v>2660</v>
      </c>
      <c r="F22" s="8">
        <v>2</v>
      </c>
      <c r="G22" s="8" t="s">
        <v>60</v>
      </c>
      <c r="H22" s="8" t="s">
        <v>22</v>
      </c>
      <c r="I22" s="8" t="s">
        <v>1150</v>
      </c>
      <c r="J22" s="8" t="s">
        <v>1522</v>
      </c>
      <c r="K22" s="9">
        <v>0.0</v>
      </c>
      <c r="L22" s="9">
        <v>0.5</v>
      </c>
      <c r="M22" s="9">
        <v>0.5</v>
      </c>
      <c r="N22" s="10">
        <v>45200.0</v>
      </c>
      <c r="O22" s="11">
        <v>1.8</v>
      </c>
      <c r="P22" s="8" t="s">
        <v>70</v>
      </c>
      <c r="Q22" s="12">
        <f t="shared" si="1"/>
        <v>0</v>
      </c>
      <c r="R22" s="12">
        <f t="shared" si="4"/>
        <v>1.79685</v>
      </c>
      <c r="T22" s="66">
        <v>45220.0</v>
      </c>
      <c r="U22" s="13">
        <f t="shared" si="2"/>
        <v>3.93089587</v>
      </c>
    </row>
    <row r="23">
      <c r="A23" s="15">
        <f t="shared" si="3"/>
        <v>22</v>
      </c>
      <c r="B23" s="15" t="s">
        <v>40</v>
      </c>
      <c r="C23" s="15" t="s">
        <v>3466</v>
      </c>
      <c r="D23" s="15"/>
      <c r="E23" s="15"/>
      <c r="F23" s="15"/>
      <c r="G23" s="15" t="s">
        <v>38</v>
      </c>
      <c r="H23" s="15" t="s">
        <v>22</v>
      </c>
      <c r="I23" s="15" t="s">
        <v>1272</v>
      </c>
      <c r="J23" s="15" t="s">
        <v>1522</v>
      </c>
      <c r="K23" s="16"/>
      <c r="L23" s="16">
        <v>0.25</v>
      </c>
      <c r="M23" s="16">
        <v>0.25</v>
      </c>
      <c r="N23" s="17">
        <v>45200.0</v>
      </c>
      <c r="O23" s="18">
        <f>1.95*1.95</f>
        <v>3.8025</v>
      </c>
      <c r="P23" s="15" t="s">
        <v>25</v>
      </c>
      <c r="Q23" s="19">
        <f t="shared" si="1"/>
        <v>-0.25</v>
      </c>
      <c r="R23" s="19">
        <f t="shared" si="4"/>
        <v>1.54685</v>
      </c>
      <c r="T23" s="66">
        <v>45221.0</v>
      </c>
      <c r="U23" s="13">
        <f t="shared" si="2"/>
        <v>0.135125</v>
      </c>
    </row>
    <row r="24">
      <c r="A24" s="8">
        <f t="shared" si="3"/>
        <v>23</v>
      </c>
      <c r="B24" s="8" t="s">
        <v>19</v>
      </c>
      <c r="C24" s="8" t="s">
        <v>3467</v>
      </c>
      <c r="D24" s="8" t="s">
        <v>5564</v>
      </c>
      <c r="E24" s="8" t="s">
        <v>2660</v>
      </c>
      <c r="F24" s="8">
        <v>-1.0</v>
      </c>
      <c r="G24" s="8" t="s">
        <v>82</v>
      </c>
      <c r="H24" s="8" t="s">
        <v>22</v>
      </c>
      <c r="I24" s="8" t="s">
        <v>892</v>
      </c>
      <c r="J24" s="8" t="s">
        <v>24</v>
      </c>
      <c r="K24" s="9">
        <v>0.0</v>
      </c>
      <c r="L24" s="9">
        <v>0.5</v>
      </c>
      <c r="M24" s="9">
        <v>0.5</v>
      </c>
      <c r="N24" s="10">
        <v>45200.0</v>
      </c>
      <c r="O24" s="11">
        <v>1.873</v>
      </c>
      <c r="P24" s="8" t="s">
        <v>33</v>
      </c>
      <c r="Q24" s="12">
        <f t="shared" si="1"/>
        <v>0.4365</v>
      </c>
      <c r="R24" s="12">
        <f t="shared" si="4"/>
        <v>1.98335</v>
      </c>
      <c r="T24" s="66">
        <v>45222.0</v>
      </c>
      <c r="U24" s="13">
        <f t="shared" si="2"/>
        <v>0.4625</v>
      </c>
    </row>
    <row r="25">
      <c r="A25" s="15">
        <f t="shared" si="3"/>
        <v>24</v>
      </c>
      <c r="B25" s="15" t="s">
        <v>40</v>
      </c>
      <c r="C25" s="15" t="s">
        <v>3468</v>
      </c>
      <c r="D25" s="15" t="s">
        <v>5564</v>
      </c>
      <c r="E25" s="15" t="s">
        <v>2573</v>
      </c>
      <c r="F25" s="15">
        <v>6</v>
      </c>
      <c r="G25" s="15" t="s">
        <v>38</v>
      </c>
      <c r="H25" s="15" t="s">
        <v>22</v>
      </c>
      <c r="I25" s="15" t="s">
        <v>894</v>
      </c>
      <c r="J25" s="15" t="s">
        <v>1522</v>
      </c>
      <c r="K25" s="16">
        <v>-0.25</v>
      </c>
      <c r="L25" s="16">
        <v>0.25</v>
      </c>
      <c r="M25" s="16">
        <v>0.25</v>
      </c>
      <c r="N25" s="17">
        <v>45200.0</v>
      </c>
      <c r="O25" s="18">
        <v>1.9</v>
      </c>
      <c r="P25" s="15" t="s">
        <v>79</v>
      </c>
      <c r="Q25" s="19">
        <f t="shared" si="1"/>
        <v>-0.125</v>
      </c>
      <c r="R25" s="19">
        <f t="shared" si="4"/>
        <v>1.85835</v>
      </c>
      <c r="T25" s="66">
        <v>45223.0</v>
      </c>
      <c r="U25" s="13">
        <f t="shared" si="2"/>
        <v>-1.16475</v>
      </c>
    </row>
    <row r="26">
      <c r="A26" s="8">
        <f t="shared" si="3"/>
        <v>25</v>
      </c>
      <c r="B26" s="8" t="s">
        <v>19</v>
      </c>
      <c r="C26" s="8" t="s">
        <v>3469</v>
      </c>
      <c r="D26" s="8" t="s">
        <v>5565</v>
      </c>
      <c r="E26" s="8" t="s">
        <v>2660</v>
      </c>
      <c r="F26" s="8">
        <v>-1.0</v>
      </c>
      <c r="G26" s="8" t="s">
        <v>229</v>
      </c>
      <c r="H26" s="8" t="s">
        <v>22</v>
      </c>
      <c r="I26" s="8" t="s">
        <v>892</v>
      </c>
      <c r="J26" s="8" t="s">
        <v>24</v>
      </c>
      <c r="K26" s="9">
        <v>0.0</v>
      </c>
      <c r="L26" s="9">
        <v>0.5</v>
      </c>
      <c r="M26" s="9">
        <v>0.5</v>
      </c>
      <c r="N26" s="10">
        <v>45200.0</v>
      </c>
      <c r="O26" s="11">
        <v>1.675</v>
      </c>
      <c r="P26" s="8" t="s">
        <v>33</v>
      </c>
      <c r="Q26" s="12">
        <f t="shared" si="1"/>
        <v>0.3375</v>
      </c>
      <c r="R26" s="12">
        <f t="shared" si="4"/>
        <v>2.19585</v>
      </c>
      <c r="T26" s="66">
        <v>45224.0</v>
      </c>
      <c r="U26" s="13">
        <f t="shared" si="2"/>
        <v>0.5540929487</v>
      </c>
    </row>
    <row r="27">
      <c r="A27" s="15">
        <f t="shared" si="3"/>
        <v>26</v>
      </c>
      <c r="B27" s="15" t="s">
        <v>19</v>
      </c>
      <c r="C27" s="15" t="s">
        <v>3470</v>
      </c>
      <c r="D27" s="15" t="s">
        <v>5565</v>
      </c>
      <c r="E27" s="15" t="s">
        <v>2556</v>
      </c>
      <c r="F27" s="15">
        <v>-1.0</v>
      </c>
      <c r="G27" s="15" t="s">
        <v>229</v>
      </c>
      <c r="H27" s="15" t="s">
        <v>22</v>
      </c>
      <c r="I27" s="15" t="s">
        <v>1165</v>
      </c>
      <c r="J27" s="15" t="s">
        <v>24</v>
      </c>
      <c r="K27" s="16"/>
      <c r="L27" s="16">
        <v>0.15</v>
      </c>
      <c r="M27" s="16">
        <v>0.15</v>
      </c>
      <c r="N27" s="17">
        <v>45200.0</v>
      </c>
      <c r="O27" s="18">
        <v>2.75</v>
      </c>
      <c r="P27" s="15" t="s">
        <v>33</v>
      </c>
      <c r="Q27" s="19">
        <f t="shared" si="1"/>
        <v>0.2625</v>
      </c>
      <c r="R27" s="19">
        <f t="shared" si="4"/>
        <v>2.45835</v>
      </c>
      <c r="T27" s="66">
        <v>45225.0</v>
      </c>
      <c r="U27" s="13">
        <f t="shared" si="2"/>
        <v>-0.00875</v>
      </c>
    </row>
    <row r="28">
      <c r="A28" s="8">
        <f t="shared" si="3"/>
        <v>27</v>
      </c>
      <c r="B28" s="8" t="s">
        <v>19</v>
      </c>
      <c r="C28" s="8" t="s">
        <v>3471</v>
      </c>
      <c r="D28" s="8"/>
      <c r="E28" s="8"/>
      <c r="F28" s="8"/>
      <c r="G28" s="8" t="s">
        <v>82</v>
      </c>
      <c r="H28" s="8" t="s">
        <v>598</v>
      </c>
      <c r="I28" s="8" t="s">
        <v>440</v>
      </c>
      <c r="J28" s="8" t="s">
        <v>39</v>
      </c>
      <c r="K28" s="9">
        <v>2.0</v>
      </c>
      <c r="L28" s="9">
        <v>0.25</v>
      </c>
      <c r="M28" s="9">
        <v>0.25</v>
      </c>
      <c r="N28" s="10">
        <v>45200.0</v>
      </c>
      <c r="O28" s="11">
        <v>1.75</v>
      </c>
      <c r="P28" s="8" t="s">
        <v>70</v>
      </c>
      <c r="Q28" s="12">
        <f t="shared" si="1"/>
        <v>0</v>
      </c>
      <c r="R28" s="12">
        <f t="shared" si="4"/>
        <v>2.45835</v>
      </c>
      <c r="T28" s="66">
        <v>45226.0</v>
      </c>
      <c r="U28" s="13">
        <f t="shared" si="2"/>
        <v>0.82875</v>
      </c>
    </row>
    <row r="29">
      <c r="A29" s="15">
        <f t="shared" si="3"/>
        <v>28</v>
      </c>
      <c r="B29" s="15" t="s">
        <v>19</v>
      </c>
      <c r="C29" s="15" t="s">
        <v>3472</v>
      </c>
      <c r="D29" s="15" t="s">
        <v>5564</v>
      </c>
      <c r="E29" s="15" t="s">
        <v>2556</v>
      </c>
      <c r="F29" s="15">
        <v>0.0</v>
      </c>
      <c r="G29" s="15" t="s">
        <v>635</v>
      </c>
      <c r="H29" s="15" t="s">
        <v>22</v>
      </c>
      <c r="I29" s="15" t="s">
        <v>225</v>
      </c>
      <c r="J29" s="15" t="s">
        <v>24</v>
      </c>
      <c r="K29" s="16">
        <v>0.5</v>
      </c>
      <c r="L29" s="16">
        <v>0.25</v>
      </c>
      <c r="M29" s="16">
        <v>0.25</v>
      </c>
      <c r="N29" s="17">
        <v>45200.0</v>
      </c>
      <c r="O29" s="18">
        <v>1.7</v>
      </c>
      <c r="P29" s="15" t="s">
        <v>70</v>
      </c>
      <c r="Q29" s="19">
        <f t="shared" si="1"/>
        <v>0</v>
      </c>
      <c r="R29" s="19">
        <f t="shared" si="4"/>
        <v>2.45835</v>
      </c>
      <c r="T29" s="66">
        <v>45227.0</v>
      </c>
      <c r="U29" s="13">
        <f t="shared" si="2"/>
        <v>1.117199074</v>
      </c>
    </row>
    <row r="30">
      <c r="A30" s="8">
        <f t="shared" si="3"/>
        <v>29</v>
      </c>
      <c r="B30" s="8" t="s">
        <v>19</v>
      </c>
      <c r="C30" s="8" t="s">
        <v>3473</v>
      </c>
      <c r="D30" s="8" t="s">
        <v>5564</v>
      </c>
      <c r="E30" s="8" t="s">
        <v>2660</v>
      </c>
      <c r="F30" s="8">
        <v>0.0</v>
      </c>
      <c r="G30" s="8" t="s">
        <v>121</v>
      </c>
      <c r="H30" s="8" t="s">
        <v>22</v>
      </c>
      <c r="I30" s="8" t="s">
        <v>892</v>
      </c>
      <c r="J30" s="8" t="s">
        <v>24</v>
      </c>
      <c r="K30" s="9">
        <v>0.0</v>
      </c>
      <c r="L30" s="9">
        <v>0.5</v>
      </c>
      <c r="M30" s="9">
        <v>0.5</v>
      </c>
      <c r="N30" s="10">
        <v>45200.0</v>
      </c>
      <c r="O30" s="11">
        <v>1.925</v>
      </c>
      <c r="P30" s="8" t="s">
        <v>70</v>
      </c>
      <c r="Q30" s="12">
        <f t="shared" si="1"/>
        <v>0</v>
      </c>
      <c r="R30" s="12">
        <f t="shared" si="4"/>
        <v>2.45835</v>
      </c>
      <c r="T30" s="66">
        <v>45228.0</v>
      </c>
      <c r="U30" s="13">
        <f t="shared" si="2"/>
        <v>1.157486842</v>
      </c>
    </row>
    <row r="31">
      <c r="A31" s="15">
        <f t="shared" si="3"/>
        <v>30</v>
      </c>
      <c r="B31" s="15" t="s">
        <v>19</v>
      </c>
      <c r="C31" s="15" t="s">
        <v>3474</v>
      </c>
      <c r="D31" s="15" t="s">
        <v>5564</v>
      </c>
      <c r="E31" s="15"/>
      <c r="F31" s="15"/>
      <c r="G31" s="15" t="s">
        <v>1961</v>
      </c>
      <c r="H31" s="15" t="s">
        <v>598</v>
      </c>
      <c r="I31" s="15" t="s">
        <v>1847</v>
      </c>
      <c r="J31" s="15" t="s">
        <v>39</v>
      </c>
      <c r="K31" s="16">
        <v>-0.5</v>
      </c>
      <c r="L31" s="16">
        <v>0.1</v>
      </c>
      <c r="M31" s="16">
        <v>0.1</v>
      </c>
      <c r="N31" s="17">
        <v>45202.0</v>
      </c>
      <c r="O31" s="18">
        <v>1.7</v>
      </c>
      <c r="P31" s="15" t="s">
        <v>25</v>
      </c>
      <c r="Q31" s="19">
        <f t="shared" si="1"/>
        <v>-0.1</v>
      </c>
      <c r="R31" s="19">
        <f t="shared" si="4"/>
        <v>2.35835</v>
      </c>
      <c r="T31" s="66">
        <v>45229.0</v>
      </c>
      <c r="U31" s="13">
        <f t="shared" si="2"/>
        <v>0</v>
      </c>
    </row>
    <row r="32">
      <c r="A32" s="8">
        <f t="shared" si="3"/>
        <v>31</v>
      </c>
      <c r="B32" s="8" t="s">
        <v>19</v>
      </c>
      <c r="C32" s="8" t="s">
        <v>3475</v>
      </c>
      <c r="D32" s="8" t="s">
        <v>5564</v>
      </c>
      <c r="E32" s="8" t="s">
        <v>2660</v>
      </c>
      <c r="F32" s="8">
        <v>0.0</v>
      </c>
      <c r="G32" s="8" t="s">
        <v>3476</v>
      </c>
      <c r="H32" s="8" t="s">
        <v>22</v>
      </c>
      <c r="I32" s="8" t="s">
        <v>892</v>
      </c>
      <c r="J32" s="8" t="s">
        <v>24</v>
      </c>
      <c r="K32" s="9">
        <v>0.0</v>
      </c>
      <c r="L32" s="9">
        <v>0.75</v>
      </c>
      <c r="M32" s="9">
        <v>0.75</v>
      </c>
      <c r="N32" s="10">
        <v>45202.0</v>
      </c>
      <c r="O32" s="11">
        <v>1.9</v>
      </c>
      <c r="P32" s="8" t="s">
        <v>25</v>
      </c>
      <c r="Q32" s="12">
        <f t="shared" si="1"/>
        <v>-0.75</v>
      </c>
      <c r="R32" s="12">
        <f t="shared" si="4"/>
        <v>1.60835</v>
      </c>
      <c r="T32" s="66">
        <v>45230.0</v>
      </c>
      <c r="U32" s="13">
        <f t="shared" si="2"/>
        <v>0.69775</v>
      </c>
    </row>
    <row r="33">
      <c r="A33" s="15">
        <f t="shared" si="3"/>
        <v>32</v>
      </c>
      <c r="B33" s="15" t="s">
        <v>19</v>
      </c>
      <c r="C33" s="15" t="s">
        <v>3477</v>
      </c>
      <c r="D33" s="15" t="s">
        <v>5564</v>
      </c>
      <c r="E33" s="15" t="s">
        <v>2556</v>
      </c>
      <c r="F33" s="15">
        <f t="shared" ref="F33:F34" si="5">1</f>
        <v>1</v>
      </c>
      <c r="G33" s="15" t="s">
        <v>703</v>
      </c>
      <c r="H33" s="15" t="s">
        <v>22</v>
      </c>
      <c r="I33" s="15" t="s">
        <v>225</v>
      </c>
      <c r="J33" s="15" t="s">
        <v>39</v>
      </c>
      <c r="K33" s="16">
        <v>0.5</v>
      </c>
      <c r="L33" s="16">
        <v>0.5</v>
      </c>
      <c r="M33" s="16">
        <v>0.5</v>
      </c>
      <c r="N33" s="17">
        <v>45202.0</v>
      </c>
      <c r="O33" s="18">
        <v>1.788</v>
      </c>
      <c r="P33" s="15" t="s">
        <v>33</v>
      </c>
      <c r="Q33" s="19">
        <f t="shared" si="1"/>
        <v>0.394</v>
      </c>
      <c r="R33" s="19">
        <f t="shared" si="4"/>
        <v>2.00235</v>
      </c>
      <c r="T33" s="94" t="s">
        <v>89</v>
      </c>
      <c r="U33" s="28">
        <f>SUM(U2:U32)</f>
        <v>14.26646249</v>
      </c>
    </row>
    <row r="34">
      <c r="A34" s="8">
        <f t="shared" si="3"/>
        <v>33</v>
      </c>
      <c r="B34" s="8" t="s">
        <v>19</v>
      </c>
      <c r="C34" s="8" t="s">
        <v>3478</v>
      </c>
      <c r="D34" s="8" t="s">
        <v>5564</v>
      </c>
      <c r="E34" s="8" t="s">
        <v>2556</v>
      </c>
      <c r="F34" s="8">
        <f t="shared" si="5"/>
        <v>1</v>
      </c>
      <c r="G34" s="8" t="s">
        <v>703</v>
      </c>
      <c r="H34" s="8" t="s">
        <v>22</v>
      </c>
      <c r="I34" s="8" t="s">
        <v>225</v>
      </c>
      <c r="J34" s="8" t="s">
        <v>39</v>
      </c>
      <c r="K34" s="9">
        <v>0.25</v>
      </c>
      <c r="L34" s="9">
        <v>0.5</v>
      </c>
      <c r="M34" s="9">
        <v>0.5</v>
      </c>
      <c r="N34" s="10">
        <v>45202.0</v>
      </c>
      <c r="O34" s="11">
        <v>1.85</v>
      </c>
      <c r="P34" s="8" t="s">
        <v>30</v>
      </c>
      <c r="Q34" s="12">
        <f t="shared" si="1"/>
        <v>0.2125</v>
      </c>
      <c r="R34" s="12">
        <f t="shared" si="4"/>
        <v>2.21485</v>
      </c>
      <c r="T34" s="30"/>
    </row>
    <row r="35">
      <c r="A35" s="15">
        <f t="shared" si="3"/>
        <v>34</v>
      </c>
      <c r="B35" s="15" t="s">
        <v>19</v>
      </c>
      <c r="C35" s="15" t="s">
        <v>3479</v>
      </c>
      <c r="D35" s="15" t="s">
        <v>5565</v>
      </c>
      <c r="E35" s="15"/>
      <c r="F35" s="15"/>
      <c r="G35" s="15" t="s">
        <v>1961</v>
      </c>
      <c r="H35" s="15" t="s">
        <v>598</v>
      </c>
      <c r="I35" s="15" t="s">
        <v>23</v>
      </c>
      <c r="J35" s="15" t="s">
        <v>1522</v>
      </c>
      <c r="K35" s="16">
        <v>-1.5</v>
      </c>
      <c r="L35" s="16">
        <v>0.5</v>
      </c>
      <c r="M35" s="16">
        <v>0.5</v>
      </c>
      <c r="N35" s="17">
        <v>45202.0</v>
      </c>
      <c r="O35" s="18">
        <v>2.0</v>
      </c>
      <c r="P35" s="15" t="s">
        <v>25</v>
      </c>
      <c r="Q35" s="19">
        <f t="shared" si="1"/>
        <v>-0.5</v>
      </c>
      <c r="R35" s="19">
        <f t="shared" si="4"/>
        <v>1.71485</v>
      </c>
      <c r="T35" s="30"/>
    </row>
    <row r="36">
      <c r="A36" s="8">
        <f t="shared" si="3"/>
        <v>35</v>
      </c>
      <c r="B36" s="8" t="s">
        <v>19</v>
      </c>
      <c r="C36" s="8" t="s">
        <v>3480</v>
      </c>
      <c r="D36" s="8"/>
      <c r="E36" s="8"/>
      <c r="F36" s="8" t="s">
        <v>2615</v>
      </c>
      <c r="G36" s="8" t="s">
        <v>1961</v>
      </c>
      <c r="H36" s="8" t="s">
        <v>22</v>
      </c>
      <c r="I36" s="8" t="s">
        <v>29</v>
      </c>
      <c r="J36" s="8" t="s">
        <v>1522</v>
      </c>
      <c r="K36" s="9">
        <v>-0.5</v>
      </c>
      <c r="L36" s="9">
        <v>0.25</v>
      </c>
      <c r="M36" s="9">
        <v>0.25</v>
      </c>
      <c r="N36" s="10">
        <v>45202.0</v>
      </c>
      <c r="O36" s="11">
        <v>1.75</v>
      </c>
      <c r="P36" s="8" t="s">
        <v>33</v>
      </c>
      <c r="Q36" s="12">
        <f t="shared" si="1"/>
        <v>0.1875</v>
      </c>
      <c r="R36" s="12">
        <f t="shared" si="4"/>
        <v>1.90235</v>
      </c>
      <c r="T36" s="30"/>
    </row>
    <row r="37">
      <c r="A37" s="15">
        <f t="shared" si="3"/>
        <v>36</v>
      </c>
      <c r="B37" s="15" t="s">
        <v>19</v>
      </c>
      <c r="C37" s="15" t="s">
        <v>3481</v>
      </c>
      <c r="D37" s="15" t="s">
        <v>5564</v>
      </c>
      <c r="E37" s="15" t="s">
        <v>2660</v>
      </c>
      <c r="F37" s="15">
        <v>0.0</v>
      </c>
      <c r="G37" s="15" t="s">
        <v>167</v>
      </c>
      <c r="H37" s="15" t="s">
        <v>22</v>
      </c>
      <c r="I37" s="15" t="s">
        <v>1150</v>
      </c>
      <c r="J37" s="15" t="s">
        <v>1522</v>
      </c>
      <c r="K37" s="16">
        <v>0.0</v>
      </c>
      <c r="L37" s="16">
        <v>0.03</v>
      </c>
      <c r="M37" s="16">
        <v>0.03</v>
      </c>
      <c r="N37" s="17">
        <v>45202.0</v>
      </c>
      <c r="O37" s="18">
        <v>1.725</v>
      </c>
      <c r="P37" s="15" t="s">
        <v>25</v>
      </c>
      <c r="Q37" s="19">
        <f t="shared" si="1"/>
        <v>-0.03</v>
      </c>
      <c r="R37" s="19">
        <f t="shared" si="4"/>
        <v>1.87235</v>
      </c>
      <c r="T37" s="30"/>
    </row>
    <row r="38">
      <c r="A38" s="8">
        <f t="shared" si="3"/>
        <v>37</v>
      </c>
      <c r="B38" s="8" t="s">
        <v>19</v>
      </c>
      <c r="C38" s="8" t="s">
        <v>3482</v>
      </c>
      <c r="D38" s="8" t="s">
        <v>5564</v>
      </c>
      <c r="E38" s="8" t="s">
        <v>2556</v>
      </c>
      <c r="F38" s="8">
        <v>0.0</v>
      </c>
      <c r="G38" s="8" t="s">
        <v>74</v>
      </c>
      <c r="H38" s="8" t="s">
        <v>22</v>
      </c>
      <c r="I38" s="8" t="s">
        <v>892</v>
      </c>
      <c r="J38" s="8" t="s">
        <v>1851</v>
      </c>
      <c r="K38" s="9">
        <v>0.5</v>
      </c>
      <c r="L38" s="9">
        <v>0.5</v>
      </c>
      <c r="M38" s="9">
        <v>0.5</v>
      </c>
      <c r="N38" s="10">
        <v>45202.0</v>
      </c>
      <c r="O38" s="11">
        <v>1.95</v>
      </c>
      <c r="P38" s="8" t="s">
        <v>70</v>
      </c>
      <c r="Q38" s="12">
        <f t="shared" si="1"/>
        <v>0</v>
      </c>
      <c r="R38" s="12">
        <f t="shared" si="4"/>
        <v>1.87235</v>
      </c>
      <c r="T38" s="30"/>
    </row>
    <row r="39">
      <c r="A39" s="15">
        <f t="shared" si="3"/>
        <v>38</v>
      </c>
      <c r="B39" s="15" t="s">
        <v>19</v>
      </c>
      <c r="C39" s="15" t="s">
        <v>3483</v>
      </c>
      <c r="D39" s="15" t="s">
        <v>5564</v>
      </c>
      <c r="E39" s="15"/>
      <c r="F39" s="15">
        <v>0.0</v>
      </c>
      <c r="G39" s="15" t="s">
        <v>121</v>
      </c>
      <c r="H39" s="15" t="s">
        <v>598</v>
      </c>
      <c r="I39" s="15" t="s">
        <v>941</v>
      </c>
      <c r="J39" s="15" t="s">
        <v>1522</v>
      </c>
      <c r="K39" s="16">
        <v>0.0</v>
      </c>
      <c r="L39" s="16">
        <v>0.5</v>
      </c>
      <c r="M39" s="16">
        <v>0.5</v>
      </c>
      <c r="N39" s="17">
        <v>45202.0</v>
      </c>
      <c r="O39" s="18">
        <v>1.8</v>
      </c>
      <c r="P39" s="15" t="s">
        <v>33</v>
      </c>
      <c r="Q39" s="19">
        <f t="shared" si="1"/>
        <v>0.4</v>
      </c>
      <c r="R39" s="19">
        <f t="shared" si="4"/>
        <v>2.27235</v>
      </c>
      <c r="T39" s="30"/>
    </row>
    <row r="40">
      <c r="A40" s="8">
        <f t="shared" si="3"/>
        <v>39</v>
      </c>
      <c r="B40" s="8" t="s">
        <v>19</v>
      </c>
      <c r="C40" s="8" t="s">
        <v>3484</v>
      </c>
      <c r="D40" s="8" t="s">
        <v>5564</v>
      </c>
      <c r="E40" s="8" t="s">
        <v>2556</v>
      </c>
      <c r="F40" s="8">
        <v>0.0</v>
      </c>
      <c r="G40" s="8" t="s">
        <v>74</v>
      </c>
      <c r="H40" s="8" t="s">
        <v>22</v>
      </c>
      <c r="I40" s="8" t="s">
        <v>1165</v>
      </c>
      <c r="J40" s="8" t="s">
        <v>1851</v>
      </c>
      <c r="K40" s="9"/>
      <c r="L40" s="9">
        <v>0.1</v>
      </c>
      <c r="M40" s="9">
        <v>0.1</v>
      </c>
      <c r="N40" s="10">
        <v>45202.0</v>
      </c>
      <c r="O40" s="11">
        <v>3.1</v>
      </c>
      <c r="P40" s="8" t="s">
        <v>70</v>
      </c>
      <c r="Q40" s="12">
        <f t="shared" si="1"/>
        <v>0</v>
      </c>
      <c r="R40" s="12">
        <f t="shared" si="4"/>
        <v>2.27235</v>
      </c>
      <c r="T40" s="30"/>
    </row>
    <row r="41">
      <c r="A41" s="15">
        <f t="shared" si="3"/>
        <v>40</v>
      </c>
      <c r="B41" s="15" t="s">
        <v>19</v>
      </c>
      <c r="C41" s="15" t="s">
        <v>3485</v>
      </c>
      <c r="D41" s="15"/>
      <c r="E41" s="15"/>
      <c r="F41" s="15"/>
      <c r="G41" s="15" t="s">
        <v>82</v>
      </c>
      <c r="H41" s="15" t="s">
        <v>598</v>
      </c>
      <c r="I41" s="15" t="s">
        <v>2415</v>
      </c>
      <c r="J41" s="15" t="s">
        <v>39</v>
      </c>
      <c r="K41" s="16">
        <v>10.5</v>
      </c>
      <c r="L41" s="16">
        <v>0.5</v>
      </c>
      <c r="M41" s="16">
        <v>0.5</v>
      </c>
      <c r="N41" s="17">
        <v>45202.0</v>
      </c>
      <c r="O41" s="18">
        <v>1.875</v>
      </c>
      <c r="P41" s="15" t="s">
        <v>25</v>
      </c>
      <c r="Q41" s="19">
        <f t="shared" si="1"/>
        <v>-0.5</v>
      </c>
      <c r="R41" s="19">
        <f t="shared" si="4"/>
        <v>1.77235</v>
      </c>
      <c r="T41" s="30"/>
    </row>
    <row r="42">
      <c r="A42" s="8">
        <f t="shared" si="3"/>
        <v>41</v>
      </c>
      <c r="B42" s="8" t="s">
        <v>40</v>
      </c>
      <c r="C42" s="8" t="s">
        <v>3486</v>
      </c>
      <c r="D42" s="8" t="s">
        <v>5564</v>
      </c>
      <c r="E42" s="8" t="s">
        <v>2660</v>
      </c>
      <c r="F42" s="8">
        <v>0.0</v>
      </c>
      <c r="G42" s="8" t="s">
        <v>1319</v>
      </c>
      <c r="H42" s="8" t="s">
        <v>22</v>
      </c>
      <c r="I42" s="8" t="s">
        <v>892</v>
      </c>
      <c r="J42" s="8" t="s">
        <v>1522</v>
      </c>
      <c r="K42" s="9">
        <v>0.0</v>
      </c>
      <c r="L42" s="9">
        <v>0.25</v>
      </c>
      <c r="M42" s="9">
        <v>0.25</v>
      </c>
      <c r="N42" s="10">
        <v>45203.0</v>
      </c>
      <c r="O42" s="11">
        <v>1.85</v>
      </c>
      <c r="P42" s="8" t="s">
        <v>33</v>
      </c>
      <c r="Q42" s="12">
        <f t="shared" si="1"/>
        <v>0.2125</v>
      </c>
      <c r="R42" s="12">
        <f t="shared" si="4"/>
        <v>1.98485</v>
      </c>
      <c r="T42" s="30"/>
    </row>
    <row r="43">
      <c r="A43" s="15">
        <f t="shared" si="3"/>
        <v>42</v>
      </c>
      <c r="B43" s="15" t="s">
        <v>19</v>
      </c>
      <c r="C43" s="15" t="s">
        <v>3487</v>
      </c>
      <c r="D43" s="15" t="s">
        <v>5564</v>
      </c>
      <c r="E43" s="15" t="s">
        <v>2556</v>
      </c>
      <c r="F43" s="15">
        <v>0.0</v>
      </c>
      <c r="G43" s="15" t="s">
        <v>48</v>
      </c>
      <c r="H43" s="15" t="s">
        <v>22</v>
      </c>
      <c r="I43" s="15" t="s">
        <v>225</v>
      </c>
      <c r="J43" s="15" t="s">
        <v>24</v>
      </c>
      <c r="K43" s="16">
        <v>0.25</v>
      </c>
      <c r="L43" s="16">
        <v>0.75</v>
      </c>
      <c r="M43" s="16">
        <v>0.51</v>
      </c>
      <c r="N43" s="17">
        <v>45203.0</v>
      </c>
      <c r="O43" s="18">
        <v>2.02</v>
      </c>
      <c r="P43" s="15" t="s">
        <v>25</v>
      </c>
      <c r="Q43" s="19">
        <f t="shared" si="1"/>
        <v>-0.51</v>
      </c>
      <c r="R43" s="19">
        <f t="shared" si="4"/>
        <v>1.47485</v>
      </c>
    </row>
    <row r="44">
      <c r="A44" s="8">
        <f t="shared" si="3"/>
        <v>43</v>
      </c>
      <c r="B44" s="8" t="s">
        <v>19</v>
      </c>
      <c r="C44" s="8" t="s">
        <v>3488</v>
      </c>
      <c r="D44" s="8" t="s">
        <v>5564</v>
      </c>
      <c r="E44" s="8" t="s">
        <v>2556</v>
      </c>
      <c r="F44" s="8">
        <v>-1.0</v>
      </c>
      <c r="G44" s="8" t="s">
        <v>48</v>
      </c>
      <c r="H44" s="8" t="s">
        <v>22</v>
      </c>
      <c r="I44" s="8" t="s">
        <v>225</v>
      </c>
      <c r="J44" s="8" t="s">
        <v>24</v>
      </c>
      <c r="K44" s="9">
        <v>0.5</v>
      </c>
      <c r="L44" s="9">
        <v>0.5</v>
      </c>
      <c r="M44" s="9">
        <v>0.5</v>
      </c>
      <c r="N44" s="10">
        <v>45203.0</v>
      </c>
      <c r="O44" s="11">
        <v>1.215</v>
      </c>
      <c r="P44" s="8" t="s">
        <v>33</v>
      </c>
      <c r="Q44" s="12">
        <f t="shared" si="1"/>
        <v>0.1075</v>
      </c>
      <c r="R44" s="12">
        <f t="shared" si="4"/>
        <v>1.58235</v>
      </c>
    </row>
    <row r="45">
      <c r="A45" s="15">
        <f t="shared" si="3"/>
        <v>44</v>
      </c>
      <c r="B45" s="15" t="s">
        <v>19</v>
      </c>
      <c r="C45" s="15" t="s">
        <v>3489</v>
      </c>
      <c r="D45" s="15" t="s">
        <v>5565</v>
      </c>
      <c r="E45" s="15" t="s">
        <v>2660</v>
      </c>
      <c r="F45" s="15">
        <f>1</f>
        <v>1</v>
      </c>
      <c r="G45" s="15" t="s">
        <v>48</v>
      </c>
      <c r="H45" s="15" t="s">
        <v>22</v>
      </c>
      <c r="I45" s="15" t="s">
        <v>892</v>
      </c>
      <c r="J45" s="15" t="s">
        <v>24</v>
      </c>
      <c r="K45" s="16">
        <v>0.0</v>
      </c>
      <c r="L45" s="16">
        <v>1.0</v>
      </c>
      <c r="M45" s="16">
        <v>0.72</v>
      </c>
      <c r="N45" s="17">
        <v>45203.0</v>
      </c>
      <c r="O45" s="18">
        <v>1.875</v>
      </c>
      <c r="P45" s="15" t="s">
        <v>25</v>
      </c>
      <c r="Q45" s="19">
        <f t="shared" si="1"/>
        <v>-0.72</v>
      </c>
      <c r="R45" s="19">
        <f t="shared" si="4"/>
        <v>0.86235</v>
      </c>
    </row>
    <row r="46">
      <c r="A46" s="8">
        <f t="shared" si="3"/>
        <v>45</v>
      </c>
      <c r="B46" s="8" t="s">
        <v>19</v>
      </c>
      <c r="C46" s="8" t="s">
        <v>3490</v>
      </c>
      <c r="D46" s="8" t="s">
        <v>5565</v>
      </c>
      <c r="E46" s="8" t="s">
        <v>2660</v>
      </c>
      <c r="F46" s="8">
        <v>-1.0</v>
      </c>
      <c r="G46" s="8" t="s">
        <v>1201</v>
      </c>
      <c r="H46" s="8" t="s">
        <v>22</v>
      </c>
      <c r="I46" s="8" t="s">
        <v>892</v>
      </c>
      <c r="J46" s="8" t="s">
        <v>24</v>
      </c>
      <c r="K46" s="9">
        <v>0.0</v>
      </c>
      <c r="L46" s="9">
        <v>0.75</v>
      </c>
      <c r="M46" s="9">
        <v>0.75</v>
      </c>
      <c r="N46" s="10">
        <v>45203.0</v>
      </c>
      <c r="O46" s="11">
        <v>1.9</v>
      </c>
      <c r="P46" s="8" t="s">
        <v>25</v>
      </c>
      <c r="Q46" s="12">
        <f t="shared" si="1"/>
        <v>-0.75</v>
      </c>
      <c r="R46" s="12">
        <f t="shared" si="4"/>
        <v>0.11235</v>
      </c>
    </row>
    <row r="47">
      <c r="A47" s="15">
        <f t="shared" si="3"/>
        <v>46</v>
      </c>
      <c r="B47" s="15" t="s">
        <v>19</v>
      </c>
      <c r="C47" s="15" t="s">
        <v>3491</v>
      </c>
      <c r="D47" s="15" t="s">
        <v>5564</v>
      </c>
      <c r="E47" s="15" t="s">
        <v>2556</v>
      </c>
      <c r="F47" s="15">
        <v>0.0</v>
      </c>
      <c r="G47" s="15" t="s">
        <v>42</v>
      </c>
      <c r="H47" s="15" t="s">
        <v>22</v>
      </c>
      <c r="I47" s="15" t="s">
        <v>225</v>
      </c>
      <c r="J47" s="15" t="s">
        <v>24</v>
      </c>
      <c r="K47" s="16">
        <v>0.5</v>
      </c>
      <c r="L47" s="16">
        <v>0.5</v>
      </c>
      <c r="M47" s="16">
        <v>0.5</v>
      </c>
      <c r="N47" s="17">
        <v>45203.0</v>
      </c>
      <c r="O47" s="18">
        <v>1.658</v>
      </c>
      <c r="P47" s="15" t="s">
        <v>33</v>
      </c>
      <c r="Q47" s="19">
        <f t="shared" si="1"/>
        <v>0.329</v>
      </c>
      <c r="R47" s="19">
        <f t="shared" si="4"/>
        <v>0.44135</v>
      </c>
    </row>
    <row r="48">
      <c r="A48" s="8">
        <f t="shared" si="3"/>
        <v>47</v>
      </c>
      <c r="B48" s="8" t="s">
        <v>19</v>
      </c>
      <c r="C48" s="8" t="s">
        <v>3492</v>
      </c>
      <c r="D48" s="8"/>
      <c r="E48" s="8"/>
      <c r="F48" s="8"/>
      <c r="G48" s="8" t="s">
        <v>82</v>
      </c>
      <c r="H48" s="8" t="s">
        <v>22</v>
      </c>
      <c r="I48" s="8" t="s">
        <v>29</v>
      </c>
      <c r="J48" s="8" t="s">
        <v>39</v>
      </c>
      <c r="K48" s="9">
        <v>-2.75</v>
      </c>
      <c r="L48" s="9">
        <v>0.5</v>
      </c>
      <c r="M48" s="9">
        <v>0.5</v>
      </c>
      <c r="N48" s="10">
        <v>45203.0</v>
      </c>
      <c r="O48" s="11">
        <v>2.0</v>
      </c>
      <c r="P48" s="8" t="s">
        <v>79</v>
      </c>
      <c r="Q48" s="12">
        <f t="shared" si="1"/>
        <v>-0.25</v>
      </c>
      <c r="R48" s="12">
        <f t="shared" si="4"/>
        <v>0.19135</v>
      </c>
    </row>
    <row r="49">
      <c r="A49" s="15">
        <f t="shared" si="3"/>
        <v>48</v>
      </c>
      <c r="B49" s="15" t="s">
        <v>19</v>
      </c>
      <c r="C49" s="15" t="s">
        <v>3493</v>
      </c>
      <c r="D49" s="15" t="s">
        <v>5564</v>
      </c>
      <c r="E49" s="15" t="s">
        <v>2556</v>
      </c>
      <c r="F49" s="15">
        <v>0.0</v>
      </c>
      <c r="G49" s="15" t="s">
        <v>178</v>
      </c>
      <c r="H49" s="15" t="s">
        <v>22</v>
      </c>
      <c r="I49" s="15" t="s">
        <v>225</v>
      </c>
      <c r="J49" s="15" t="s">
        <v>24</v>
      </c>
      <c r="K49" s="16">
        <v>0.5</v>
      </c>
      <c r="L49" s="16">
        <v>0.5</v>
      </c>
      <c r="M49" s="16">
        <v>0.5</v>
      </c>
      <c r="N49" s="17">
        <v>45203.0</v>
      </c>
      <c r="O49" s="18">
        <v>1.4</v>
      </c>
      <c r="P49" s="15" t="s">
        <v>33</v>
      </c>
      <c r="Q49" s="19">
        <f t="shared" si="1"/>
        <v>0.2</v>
      </c>
      <c r="R49" s="19">
        <f t="shared" si="4"/>
        <v>0.39135</v>
      </c>
    </row>
    <row r="50">
      <c r="A50" s="8">
        <f t="shared" si="3"/>
        <v>49</v>
      </c>
      <c r="B50" s="8" t="s">
        <v>19</v>
      </c>
      <c r="C50" s="8" t="s">
        <v>3494</v>
      </c>
      <c r="D50" s="8"/>
      <c r="E50" s="8"/>
      <c r="F50" s="8"/>
      <c r="G50" s="8" t="s">
        <v>1961</v>
      </c>
      <c r="H50" s="8" t="s">
        <v>598</v>
      </c>
      <c r="I50" s="8" t="s">
        <v>23</v>
      </c>
      <c r="J50" s="8" t="s">
        <v>1522</v>
      </c>
      <c r="K50" s="9">
        <v>-9.5</v>
      </c>
      <c r="L50" s="9">
        <v>0.5</v>
      </c>
      <c r="M50" s="9">
        <v>0.5</v>
      </c>
      <c r="N50" s="10">
        <v>45203.0</v>
      </c>
      <c r="O50" s="11">
        <v>1.8</v>
      </c>
      <c r="P50" s="8" t="s">
        <v>33</v>
      </c>
      <c r="Q50" s="12">
        <f t="shared" si="1"/>
        <v>0.4</v>
      </c>
      <c r="R50" s="12">
        <f t="shared" si="4"/>
        <v>0.79135</v>
      </c>
    </row>
    <row r="51">
      <c r="A51" s="15">
        <f t="shared" si="3"/>
        <v>50</v>
      </c>
      <c r="B51" s="15" t="s">
        <v>19</v>
      </c>
      <c r="C51" s="15" t="s">
        <v>3495</v>
      </c>
      <c r="D51" s="15" t="s">
        <v>5564</v>
      </c>
      <c r="E51" s="15" t="s">
        <v>2556</v>
      </c>
      <c r="F51" s="15">
        <v>-1.0</v>
      </c>
      <c r="G51" s="15" t="s">
        <v>93</v>
      </c>
      <c r="H51" s="15" t="s">
        <v>22</v>
      </c>
      <c r="I51" s="15" t="s">
        <v>225</v>
      </c>
      <c r="J51" s="15" t="s">
        <v>24</v>
      </c>
      <c r="K51" s="16">
        <v>0.25</v>
      </c>
      <c r="L51" s="16">
        <v>0.75</v>
      </c>
      <c r="M51" s="16">
        <v>0.75</v>
      </c>
      <c r="N51" s="17">
        <v>45203.0</v>
      </c>
      <c r="O51" s="18">
        <v>1.75</v>
      </c>
      <c r="P51" s="15" t="s">
        <v>25</v>
      </c>
      <c r="Q51" s="19">
        <f t="shared" si="1"/>
        <v>-0.75</v>
      </c>
      <c r="R51" s="19">
        <f t="shared" si="4"/>
        <v>0.04135</v>
      </c>
    </row>
    <row r="52">
      <c r="A52" s="8">
        <f t="shared" si="3"/>
        <v>51</v>
      </c>
      <c r="B52" s="8" t="s">
        <v>19</v>
      </c>
      <c r="C52" s="8" t="s">
        <v>3496</v>
      </c>
      <c r="D52" s="8" t="s">
        <v>5565</v>
      </c>
      <c r="E52" s="8" t="s">
        <v>2660</v>
      </c>
      <c r="F52" s="8"/>
      <c r="G52" s="8" t="s">
        <v>1961</v>
      </c>
      <c r="H52" s="8" t="s">
        <v>598</v>
      </c>
      <c r="I52" s="8" t="s">
        <v>3031</v>
      </c>
      <c r="J52" s="8" t="s">
        <v>1522</v>
      </c>
      <c r="K52" s="9">
        <v>0.0</v>
      </c>
      <c r="L52" s="9">
        <v>0.5</v>
      </c>
      <c r="M52" s="9">
        <v>0.5</v>
      </c>
      <c r="N52" s="10">
        <v>45204.0</v>
      </c>
      <c r="O52" s="11">
        <v>1.8</v>
      </c>
      <c r="P52" s="8" t="s">
        <v>25</v>
      </c>
      <c r="Q52" s="12">
        <f t="shared" si="1"/>
        <v>-0.5</v>
      </c>
      <c r="R52" s="12">
        <f t="shared" si="4"/>
        <v>-0.45865</v>
      </c>
    </row>
    <row r="53">
      <c r="A53" s="15">
        <f t="shared" si="3"/>
        <v>52</v>
      </c>
      <c r="B53" s="15" t="s">
        <v>19</v>
      </c>
      <c r="C53" s="15" t="s">
        <v>3497</v>
      </c>
      <c r="D53" s="15" t="s">
        <v>5565</v>
      </c>
      <c r="E53" s="15" t="s">
        <v>2660</v>
      </c>
      <c r="F53" s="15">
        <v>-1.0</v>
      </c>
      <c r="G53" s="15" t="s">
        <v>853</v>
      </c>
      <c r="H53" s="15" t="s">
        <v>22</v>
      </c>
      <c r="I53" s="15" t="s">
        <v>892</v>
      </c>
      <c r="J53" s="15" t="s">
        <v>24</v>
      </c>
      <c r="K53" s="16">
        <v>0.0</v>
      </c>
      <c r="L53" s="16">
        <v>0.5</v>
      </c>
      <c r="M53" s="16">
        <v>0.5</v>
      </c>
      <c r="N53" s="17">
        <v>45204.0</v>
      </c>
      <c r="O53" s="18">
        <v>2.02</v>
      </c>
      <c r="P53" s="15" t="s">
        <v>70</v>
      </c>
      <c r="Q53" s="19">
        <f t="shared" si="1"/>
        <v>0</v>
      </c>
      <c r="R53" s="19">
        <f t="shared" si="4"/>
        <v>-0.45865</v>
      </c>
    </row>
    <row r="54">
      <c r="A54" s="8">
        <f t="shared" si="3"/>
        <v>53</v>
      </c>
      <c r="B54" s="8" t="s">
        <v>19</v>
      </c>
      <c r="C54" s="8" t="s">
        <v>3498</v>
      </c>
      <c r="D54" s="8" t="s">
        <v>5565</v>
      </c>
      <c r="E54" s="8"/>
      <c r="F54" s="8"/>
      <c r="G54" s="8" t="s">
        <v>820</v>
      </c>
      <c r="H54" s="8" t="s">
        <v>598</v>
      </c>
      <c r="I54" s="8" t="s">
        <v>1023</v>
      </c>
      <c r="J54" s="8" t="s">
        <v>1522</v>
      </c>
      <c r="K54" s="9">
        <v>0.5</v>
      </c>
      <c r="L54" s="9">
        <v>1.0</v>
      </c>
      <c r="M54" s="9">
        <f>0.75+0.25*4/26</f>
        <v>0.7884615385</v>
      </c>
      <c r="N54" s="10">
        <v>45204.0</v>
      </c>
      <c r="O54" s="11">
        <v>1.8</v>
      </c>
      <c r="P54" s="8" t="s">
        <v>33</v>
      </c>
      <c r="Q54" s="12">
        <f t="shared" si="1"/>
        <v>0.6307692308</v>
      </c>
      <c r="R54" s="12">
        <f t="shared" si="4"/>
        <v>0.1721192308</v>
      </c>
    </row>
    <row r="55">
      <c r="A55" s="15">
        <f t="shared" si="3"/>
        <v>54</v>
      </c>
      <c r="B55" s="15" t="s">
        <v>19</v>
      </c>
      <c r="C55" s="15" t="s">
        <v>3499</v>
      </c>
      <c r="D55" s="15" t="s">
        <v>5565</v>
      </c>
      <c r="E55" s="15" t="s">
        <v>2556</v>
      </c>
      <c r="F55" s="15">
        <v>0.0</v>
      </c>
      <c r="G55" s="15" t="s">
        <v>167</v>
      </c>
      <c r="H55" s="15" t="s">
        <v>22</v>
      </c>
      <c r="I55" s="15" t="s">
        <v>225</v>
      </c>
      <c r="J55" s="15" t="s">
        <v>39</v>
      </c>
      <c r="K55" s="16">
        <v>0.25</v>
      </c>
      <c r="L55" s="16">
        <v>0.5</v>
      </c>
      <c r="M55" s="16">
        <v>0.5</v>
      </c>
      <c r="N55" s="17">
        <v>45204.0</v>
      </c>
      <c r="O55" s="18">
        <v>1.318</v>
      </c>
      <c r="P55" s="15" t="s">
        <v>33</v>
      </c>
      <c r="Q55" s="19">
        <f t="shared" si="1"/>
        <v>0.159</v>
      </c>
      <c r="R55" s="19">
        <f t="shared" si="4"/>
        <v>0.3311192308</v>
      </c>
    </row>
    <row r="56">
      <c r="A56" s="8">
        <f t="shared" si="3"/>
        <v>55</v>
      </c>
      <c r="B56" s="8" t="s">
        <v>19</v>
      </c>
      <c r="C56" s="8" t="s">
        <v>3500</v>
      </c>
      <c r="D56" s="8"/>
      <c r="E56" s="8"/>
      <c r="F56" s="8">
        <v>0.0</v>
      </c>
      <c r="G56" s="8" t="s">
        <v>463</v>
      </c>
      <c r="H56" s="8" t="s">
        <v>22</v>
      </c>
      <c r="I56" s="8" t="s">
        <v>29</v>
      </c>
      <c r="J56" s="8" t="s">
        <v>39</v>
      </c>
      <c r="K56" s="9">
        <v>-3.5</v>
      </c>
      <c r="L56" s="9">
        <v>0.75</v>
      </c>
      <c r="M56" s="9">
        <v>0.75</v>
      </c>
      <c r="N56" s="10">
        <v>45204.0</v>
      </c>
      <c r="O56" s="11">
        <v>1.61</v>
      </c>
      <c r="P56" s="8" t="s">
        <v>33</v>
      </c>
      <c r="Q56" s="12">
        <f t="shared" si="1"/>
        <v>0.4575</v>
      </c>
      <c r="R56" s="12">
        <f t="shared" si="4"/>
        <v>0.7886192308</v>
      </c>
    </row>
    <row r="57">
      <c r="A57" s="15">
        <f t="shared" si="3"/>
        <v>56</v>
      </c>
      <c r="B57" s="15" t="s">
        <v>19</v>
      </c>
      <c r="C57" s="15" t="s">
        <v>3501</v>
      </c>
      <c r="D57" s="15" t="s">
        <v>5565</v>
      </c>
      <c r="E57" s="15" t="s">
        <v>2556</v>
      </c>
      <c r="F57" s="15">
        <v>2</v>
      </c>
      <c r="G57" s="15" t="s">
        <v>463</v>
      </c>
      <c r="H57" s="15" t="s">
        <v>22</v>
      </c>
      <c r="I57" s="15" t="s">
        <v>1165</v>
      </c>
      <c r="J57" s="15" t="s">
        <v>1851</v>
      </c>
      <c r="K57" s="16"/>
      <c r="L57" s="16">
        <v>0.25</v>
      </c>
      <c r="M57" s="16">
        <v>0.25</v>
      </c>
      <c r="N57" s="17">
        <v>45204.0</v>
      </c>
      <c r="O57" s="18">
        <v>3.2</v>
      </c>
      <c r="P57" s="15" t="s">
        <v>33</v>
      </c>
      <c r="Q57" s="19">
        <f t="shared" si="1"/>
        <v>0.55</v>
      </c>
      <c r="R57" s="19">
        <f t="shared" si="4"/>
        <v>1.338619231</v>
      </c>
    </row>
    <row r="58">
      <c r="A58" s="8">
        <f t="shared" si="3"/>
        <v>57</v>
      </c>
      <c r="B58" s="8" t="s">
        <v>19</v>
      </c>
      <c r="C58" s="8" t="s">
        <v>3502</v>
      </c>
      <c r="D58" s="8" t="s">
        <v>5565</v>
      </c>
      <c r="E58" s="8"/>
      <c r="F58" s="8"/>
      <c r="G58" s="8" t="s">
        <v>82</v>
      </c>
      <c r="H58" s="8" t="s">
        <v>598</v>
      </c>
      <c r="I58" s="8" t="s">
        <v>1847</v>
      </c>
      <c r="J58" s="8" t="s">
        <v>39</v>
      </c>
      <c r="K58" s="9">
        <v>-0.5</v>
      </c>
      <c r="L58" s="9">
        <v>0.1</v>
      </c>
      <c r="M58" s="9">
        <v>0.1</v>
      </c>
      <c r="N58" s="10">
        <v>45204.0</v>
      </c>
      <c r="O58" s="11">
        <v>1.7</v>
      </c>
      <c r="P58" s="8" t="s">
        <v>25</v>
      </c>
      <c r="Q58" s="12">
        <f t="shared" si="1"/>
        <v>-0.1</v>
      </c>
      <c r="R58" s="12">
        <f t="shared" si="4"/>
        <v>1.238619231</v>
      </c>
    </row>
    <row r="59">
      <c r="A59" s="15">
        <f t="shared" si="3"/>
        <v>58</v>
      </c>
      <c r="B59" s="15" t="s">
        <v>19</v>
      </c>
      <c r="C59" s="15" t="s">
        <v>3503</v>
      </c>
      <c r="D59" s="15" t="s">
        <v>5565</v>
      </c>
      <c r="E59" s="15" t="s">
        <v>2660</v>
      </c>
      <c r="F59" s="15">
        <v>-1.0</v>
      </c>
      <c r="G59" s="15" t="s">
        <v>372</v>
      </c>
      <c r="H59" s="15" t="s">
        <v>22</v>
      </c>
      <c r="I59" s="15" t="s">
        <v>892</v>
      </c>
      <c r="J59" s="15" t="s">
        <v>24</v>
      </c>
      <c r="K59" s="16">
        <v>0.0</v>
      </c>
      <c r="L59" s="16">
        <v>0.25</v>
      </c>
      <c r="M59" s="16">
        <v>0.25</v>
      </c>
      <c r="N59" s="17">
        <v>45205.0</v>
      </c>
      <c r="O59" s="18">
        <v>2.15</v>
      </c>
      <c r="P59" s="15" t="s">
        <v>25</v>
      </c>
      <c r="Q59" s="19">
        <f t="shared" si="1"/>
        <v>-0.25</v>
      </c>
      <c r="R59" s="19">
        <f t="shared" si="4"/>
        <v>0.9886192308</v>
      </c>
    </row>
    <row r="60">
      <c r="A60" s="8">
        <f t="shared" si="3"/>
        <v>59</v>
      </c>
      <c r="B60" s="8" t="s">
        <v>19</v>
      </c>
      <c r="C60" s="8" t="s">
        <v>3504</v>
      </c>
      <c r="D60" s="8" t="s">
        <v>5565</v>
      </c>
      <c r="E60" s="8" t="s">
        <v>2660</v>
      </c>
      <c r="F60" s="8">
        <f>1</f>
        <v>1</v>
      </c>
      <c r="G60" s="8" t="s">
        <v>642</v>
      </c>
      <c r="H60" s="8" t="s">
        <v>22</v>
      </c>
      <c r="I60" s="8" t="s">
        <v>892</v>
      </c>
      <c r="J60" s="8" t="s">
        <v>24</v>
      </c>
      <c r="K60" s="9">
        <v>0.0</v>
      </c>
      <c r="L60" s="9">
        <v>1.0</v>
      </c>
      <c r="M60" s="9">
        <v>1.0</v>
      </c>
      <c r="N60" s="10">
        <v>45205.0</v>
      </c>
      <c r="O60" s="11">
        <v>1.39</v>
      </c>
      <c r="P60" s="8" t="s">
        <v>33</v>
      </c>
      <c r="Q60" s="12">
        <f t="shared" si="1"/>
        <v>0.39</v>
      </c>
      <c r="R60" s="12">
        <f t="shared" si="4"/>
        <v>1.378619231</v>
      </c>
    </row>
    <row r="61">
      <c r="A61" s="15">
        <f t="shared" si="3"/>
        <v>60</v>
      </c>
      <c r="B61" s="15" t="s">
        <v>19</v>
      </c>
      <c r="C61" s="15" t="s">
        <v>3505</v>
      </c>
      <c r="D61" s="15" t="s">
        <v>5564</v>
      </c>
      <c r="E61" s="15" t="s">
        <v>2556</v>
      </c>
      <c r="F61" s="15">
        <v>0.0</v>
      </c>
      <c r="G61" s="15" t="s">
        <v>96</v>
      </c>
      <c r="H61" s="15" t="s">
        <v>22</v>
      </c>
      <c r="I61" s="15" t="s">
        <v>225</v>
      </c>
      <c r="J61" s="15" t="s">
        <v>24</v>
      </c>
      <c r="K61" s="16">
        <v>0.25</v>
      </c>
      <c r="L61" s="16">
        <v>0.25</v>
      </c>
      <c r="M61" s="16">
        <v>0.25</v>
      </c>
      <c r="N61" s="17">
        <v>45205.0</v>
      </c>
      <c r="O61" s="18">
        <v>1.725</v>
      </c>
      <c r="P61" s="15" t="s">
        <v>25</v>
      </c>
      <c r="Q61" s="19">
        <f t="shared" si="1"/>
        <v>-0.25</v>
      </c>
      <c r="R61" s="19">
        <f t="shared" si="4"/>
        <v>1.128619231</v>
      </c>
    </row>
    <row r="62">
      <c r="A62" s="8">
        <f t="shared" si="3"/>
        <v>61</v>
      </c>
      <c r="B62" s="8" t="s">
        <v>19</v>
      </c>
      <c r="C62" s="8" t="s">
        <v>3506</v>
      </c>
      <c r="D62" s="8" t="s">
        <v>5565</v>
      </c>
      <c r="E62" s="8" t="s">
        <v>2660</v>
      </c>
      <c r="F62" s="8">
        <v>0.0</v>
      </c>
      <c r="G62" s="8" t="s">
        <v>121</v>
      </c>
      <c r="H62" s="8" t="s">
        <v>22</v>
      </c>
      <c r="I62" s="8" t="s">
        <v>3031</v>
      </c>
      <c r="J62" s="8" t="s">
        <v>1522</v>
      </c>
      <c r="K62" s="9">
        <v>0.0</v>
      </c>
      <c r="L62" s="9">
        <v>0.5</v>
      </c>
      <c r="M62" s="9">
        <v>0.5</v>
      </c>
      <c r="N62" s="10">
        <v>45205.0</v>
      </c>
      <c r="O62" s="11">
        <v>1.95</v>
      </c>
      <c r="P62" s="8" t="s">
        <v>25</v>
      </c>
      <c r="Q62" s="12">
        <f t="shared" si="1"/>
        <v>-0.5</v>
      </c>
      <c r="R62" s="12">
        <f t="shared" si="4"/>
        <v>0.6286192308</v>
      </c>
    </row>
    <row r="63">
      <c r="A63" s="15">
        <f t="shared" si="3"/>
        <v>62</v>
      </c>
      <c r="B63" s="15" t="s">
        <v>19</v>
      </c>
      <c r="C63" s="15" t="s">
        <v>3507</v>
      </c>
      <c r="D63" s="15" t="s">
        <v>5564</v>
      </c>
      <c r="E63" s="15" t="s">
        <v>2556</v>
      </c>
      <c r="F63" s="15">
        <v>-1.0</v>
      </c>
      <c r="G63" s="15" t="s">
        <v>940</v>
      </c>
      <c r="H63" s="15" t="s">
        <v>22</v>
      </c>
      <c r="I63" s="15" t="s">
        <v>225</v>
      </c>
      <c r="J63" s="15" t="s">
        <v>39</v>
      </c>
      <c r="K63" s="16">
        <v>0.25</v>
      </c>
      <c r="L63" s="16">
        <v>0.5</v>
      </c>
      <c r="M63" s="16">
        <v>0.5</v>
      </c>
      <c r="N63" s="17">
        <v>45205.0</v>
      </c>
      <c r="O63" s="18">
        <v>1.775</v>
      </c>
      <c r="P63" s="15" t="s">
        <v>30</v>
      </c>
      <c r="Q63" s="19">
        <f t="shared" si="1"/>
        <v>0.19375</v>
      </c>
      <c r="R63" s="19">
        <f t="shared" si="4"/>
        <v>0.8223692308</v>
      </c>
    </row>
    <row r="64">
      <c r="A64" s="8">
        <f t="shared" si="3"/>
        <v>63</v>
      </c>
      <c r="B64" s="8" t="s">
        <v>19</v>
      </c>
      <c r="C64" s="8" t="s">
        <v>3508</v>
      </c>
      <c r="D64" s="8" t="s">
        <v>5565</v>
      </c>
      <c r="E64" s="8" t="s">
        <v>2556</v>
      </c>
      <c r="F64" s="8">
        <f t="shared" ref="F64:F66" si="6">1</f>
        <v>1</v>
      </c>
      <c r="G64" s="8" t="s">
        <v>616</v>
      </c>
      <c r="H64" s="8" t="s">
        <v>22</v>
      </c>
      <c r="I64" s="8" t="s">
        <v>225</v>
      </c>
      <c r="J64" s="8" t="s">
        <v>24</v>
      </c>
      <c r="K64" s="9">
        <v>0.5</v>
      </c>
      <c r="L64" s="9">
        <v>0.75</v>
      </c>
      <c r="M64" s="9">
        <v>0.75</v>
      </c>
      <c r="N64" s="10">
        <v>45205.0</v>
      </c>
      <c r="O64" s="11">
        <v>1.503</v>
      </c>
      <c r="P64" s="8" t="s">
        <v>33</v>
      </c>
      <c r="Q64" s="12">
        <f t="shared" si="1"/>
        <v>0.37725</v>
      </c>
      <c r="R64" s="12">
        <f t="shared" si="4"/>
        <v>1.199619231</v>
      </c>
    </row>
    <row r="65">
      <c r="A65" s="15">
        <f t="shared" si="3"/>
        <v>64</v>
      </c>
      <c r="B65" s="15" t="s">
        <v>19</v>
      </c>
      <c r="C65" s="15" t="s">
        <v>3509</v>
      </c>
      <c r="D65" s="15" t="s">
        <v>5565</v>
      </c>
      <c r="E65" s="15" t="s">
        <v>2556</v>
      </c>
      <c r="F65" s="15">
        <f t="shared" si="6"/>
        <v>1</v>
      </c>
      <c r="G65" s="15" t="s">
        <v>616</v>
      </c>
      <c r="H65" s="15" t="s">
        <v>22</v>
      </c>
      <c r="I65" s="15" t="s">
        <v>225</v>
      </c>
      <c r="J65" s="15" t="s">
        <v>24</v>
      </c>
      <c r="K65" s="16">
        <v>0.25</v>
      </c>
      <c r="L65" s="16">
        <v>0.15</v>
      </c>
      <c r="M65" s="16">
        <v>0.15</v>
      </c>
      <c r="N65" s="17">
        <v>45205.0</v>
      </c>
      <c r="O65" s="18">
        <v>2.05</v>
      </c>
      <c r="P65" s="15" t="s">
        <v>30</v>
      </c>
      <c r="Q65" s="19">
        <f t="shared" si="1"/>
        <v>0.07875</v>
      </c>
      <c r="R65" s="19">
        <f t="shared" si="4"/>
        <v>1.278369231</v>
      </c>
    </row>
    <row r="66">
      <c r="A66" s="8">
        <f t="shared" si="3"/>
        <v>65</v>
      </c>
      <c r="B66" s="8" t="s">
        <v>19</v>
      </c>
      <c r="C66" s="8" t="s">
        <v>3510</v>
      </c>
      <c r="D66" s="8" t="s">
        <v>5565</v>
      </c>
      <c r="E66" s="8" t="s">
        <v>2556</v>
      </c>
      <c r="F66" s="8">
        <f t="shared" si="6"/>
        <v>1</v>
      </c>
      <c r="G66" s="8" t="s">
        <v>616</v>
      </c>
      <c r="H66" s="8" t="s">
        <v>22</v>
      </c>
      <c r="I66" s="8" t="s">
        <v>1165</v>
      </c>
      <c r="J66" s="8" t="s">
        <v>24</v>
      </c>
      <c r="K66" s="9"/>
      <c r="L66" s="9">
        <v>0.1</v>
      </c>
      <c r="M66" s="9">
        <v>0.1</v>
      </c>
      <c r="N66" s="10">
        <v>45205.0</v>
      </c>
      <c r="O66" s="11">
        <v>3.0</v>
      </c>
      <c r="P66" s="8" t="s">
        <v>25</v>
      </c>
      <c r="Q66" s="12">
        <f t="shared" si="1"/>
        <v>-0.1</v>
      </c>
      <c r="R66" s="12">
        <f t="shared" si="4"/>
        <v>1.178369231</v>
      </c>
    </row>
    <row r="67">
      <c r="A67" s="15">
        <f t="shared" si="3"/>
        <v>66</v>
      </c>
      <c r="B67" s="15" t="s">
        <v>40</v>
      </c>
      <c r="C67" s="15" t="s">
        <v>3511</v>
      </c>
      <c r="D67" s="15" t="s">
        <v>5564</v>
      </c>
      <c r="E67" s="15"/>
      <c r="F67" s="15"/>
      <c r="G67" s="15" t="s">
        <v>38</v>
      </c>
      <c r="H67" s="15" t="s">
        <v>598</v>
      </c>
      <c r="I67" s="15" t="s">
        <v>941</v>
      </c>
      <c r="J67" s="15" t="s">
        <v>1522</v>
      </c>
      <c r="K67" s="16">
        <v>0.0</v>
      </c>
      <c r="L67" s="16">
        <v>1.0</v>
      </c>
      <c r="M67" s="16">
        <v>1.0</v>
      </c>
      <c r="N67" s="17">
        <v>45205.0</v>
      </c>
      <c r="O67" s="18">
        <v>1.8</v>
      </c>
      <c r="P67" s="15" t="s">
        <v>70</v>
      </c>
      <c r="Q67" s="19">
        <f t="shared" si="1"/>
        <v>0</v>
      </c>
      <c r="R67" s="19">
        <f t="shared" si="4"/>
        <v>1.178369231</v>
      </c>
    </row>
    <row r="68">
      <c r="A68" s="8">
        <f t="shared" si="3"/>
        <v>67</v>
      </c>
      <c r="B68" s="8" t="s">
        <v>19</v>
      </c>
      <c r="C68" s="8" t="s">
        <v>3512</v>
      </c>
      <c r="D68" s="8" t="s">
        <v>5564</v>
      </c>
      <c r="E68" s="8" t="s">
        <v>2556</v>
      </c>
      <c r="F68" s="8">
        <v>0.0</v>
      </c>
      <c r="G68" s="8" t="s">
        <v>99</v>
      </c>
      <c r="H68" s="8" t="s">
        <v>22</v>
      </c>
      <c r="I68" s="8" t="s">
        <v>225</v>
      </c>
      <c r="J68" s="8" t="s">
        <v>24</v>
      </c>
      <c r="K68" s="9">
        <v>0.5</v>
      </c>
      <c r="L68" s="9">
        <v>1.0</v>
      </c>
      <c r="M68" s="9">
        <v>1.0</v>
      </c>
      <c r="N68" s="10">
        <v>45206.0</v>
      </c>
      <c r="O68" s="11">
        <v>2.0</v>
      </c>
      <c r="P68" s="8" t="s">
        <v>25</v>
      </c>
      <c r="Q68" s="12">
        <f t="shared" si="1"/>
        <v>-1</v>
      </c>
      <c r="R68" s="12">
        <f t="shared" si="4"/>
        <v>0.1783692308</v>
      </c>
    </row>
    <row r="69">
      <c r="A69" s="15">
        <f t="shared" si="3"/>
        <v>68</v>
      </c>
      <c r="B69" s="15" t="s">
        <v>19</v>
      </c>
      <c r="C69" s="15" t="s">
        <v>3513</v>
      </c>
      <c r="D69" s="15" t="s">
        <v>5564</v>
      </c>
      <c r="E69" s="15" t="s">
        <v>2556</v>
      </c>
      <c r="F69" s="15">
        <v>0.0</v>
      </c>
      <c r="G69" s="15" t="s">
        <v>99</v>
      </c>
      <c r="H69" s="15" t="s">
        <v>22</v>
      </c>
      <c r="I69" s="15" t="s">
        <v>1165</v>
      </c>
      <c r="J69" s="15" t="s">
        <v>24</v>
      </c>
      <c r="K69" s="16"/>
      <c r="L69" s="16">
        <v>0.1</v>
      </c>
      <c r="M69" s="16">
        <v>0.1</v>
      </c>
      <c r="N69" s="17">
        <v>45206.0</v>
      </c>
      <c r="O69" s="18">
        <v>3.0</v>
      </c>
      <c r="P69" s="15" t="s">
        <v>25</v>
      </c>
      <c r="Q69" s="19">
        <f t="shared" si="1"/>
        <v>-0.1</v>
      </c>
      <c r="R69" s="19">
        <f t="shared" si="4"/>
        <v>0.07836923077</v>
      </c>
    </row>
    <row r="70">
      <c r="A70" s="8">
        <f t="shared" si="3"/>
        <v>69</v>
      </c>
      <c r="B70" s="8" t="s">
        <v>19</v>
      </c>
      <c r="C70" s="8" t="s">
        <v>3514</v>
      </c>
      <c r="D70" s="8"/>
      <c r="E70" s="8"/>
      <c r="F70" s="8"/>
      <c r="G70" s="8" t="s">
        <v>38</v>
      </c>
      <c r="H70" s="8" t="s">
        <v>22</v>
      </c>
      <c r="I70" s="8" t="s">
        <v>3515</v>
      </c>
      <c r="J70" s="8" t="s">
        <v>39</v>
      </c>
      <c r="K70" s="9">
        <v>0.75</v>
      </c>
      <c r="L70" s="9">
        <v>0.1</v>
      </c>
      <c r="M70" s="9">
        <v>0.1</v>
      </c>
      <c r="N70" s="10">
        <v>45206.0</v>
      </c>
      <c r="O70" s="11">
        <v>1.75</v>
      </c>
      <c r="P70" s="8" t="s">
        <v>25</v>
      </c>
      <c r="Q70" s="12">
        <f t="shared" si="1"/>
        <v>-0.1</v>
      </c>
      <c r="R70" s="12">
        <f t="shared" si="4"/>
        <v>-0.02163076923</v>
      </c>
    </row>
    <row r="71">
      <c r="A71" s="15">
        <f t="shared" si="3"/>
        <v>70</v>
      </c>
      <c r="B71" s="15" t="s">
        <v>19</v>
      </c>
      <c r="C71" s="15" t="s">
        <v>3516</v>
      </c>
      <c r="D71" s="15" t="s">
        <v>5564</v>
      </c>
      <c r="E71" s="15" t="s">
        <v>2660</v>
      </c>
      <c r="F71" s="15">
        <v>-1.0</v>
      </c>
      <c r="G71" s="15" t="s">
        <v>93</v>
      </c>
      <c r="H71" s="15" t="s">
        <v>22</v>
      </c>
      <c r="I71" s="15" t="s">
        <v>892</v>
      </c>
      <c r="J71" s="15" t="s">
        <v>24</v>
      </c>
      <c r="K71" s="16">
        <v>0.0</v>
      </c>
      <c r="L71" s="16">
        <v>0.75</v>
      </c>
      <c r="M71" s="16">
        <v>0.75</v>
      </c>
      <c r="N71" s="17">
        <v>45206.0</v>
      </c>
      <c r="O71" s="18">
        <v>2.0</v>
      </c>
      <c r="P71" s="15" t="s">
        <v>70</v>
      </c>
      <c r="Q71" s="19">
        <f t="shared" si="1"/>
        <v>0</v>
      </c>
      <c r="R71" s="19">
        <f t="shared" si="4"/>
        <v>-0.02163076923</v>
      </c>
    </row>
    <row r="72">
      <c r="A72" s="8">
        <f t="shared" si="3"/>
        <v>71</v>
      </c>
      <c r="B72" s="8" t="s">
        <v>19</v>
      </c>
      <c r="C72" s="8" t="s">
        <v>3517</v>
      </c>
      <c r="D72" s="8" t="s">
        <v>5564</v>
      </c>
      <c r="E72" s="8" t="s">
        <v>2556</v>
      </c>
      <c r="F72" s="8">
        <f t="shared" ref="F72:F73" si="7">1</f>
        <v>1</v>
      </c>
      <c r="G72" s="8" t="s">
        <v>48</v>
      </c>
      <c r="H72" s="8" t="s">
        <v>22</v>
      </c>
      <c r="I72" s="8" t="s">
        <v>1165</v>
      </c>
      <c r="J72" s="8" t="s">
        <v>24</v>
      </c>
      <c r="K72" s="9"/>
      <c r="L72" s="9">
        <v>0.1</v>
      </c>
      <c r="M72" s="9">
        <v>0.1</v>
      </c>
      <c r="N72" s="10">
        <v>45206.0</v>
      </c>
      <c r="O72" s="11">
        <v>6.5</v>
      </c>
      <c r="P72" s="8" t="s">
        <v>25</v>
      </c>
      <c r="Q72" s="12">
        <f t="shared" si="1"/>
        <v>-0.1</v>
      </c>
      <c r="R72" s="12">
        <f t="shared" si="4"/>
        <v>-0.1216307692</v>
      </c>
    </row>
    <row r="73">
      <c r="A73" s="15">
        <f t="shared" si="3"/>
        <v>72</v>
      </c>
      <c r="B73" s="15" t="s">
        <v>19</v>
      </c>
      <c r="C73" s="15" t="s">
        <v>3518</v>
      </c>
      <c r="D73" s="15" t="s">
        <v>5564</v>
      </c>
      <c r="E73" s="15" t="s">
        <v>2660</v>
      </c>
      <c r="F73" s="15">
        <f t="shared" si="7"/>
        <v>1</v>
      </c>
      <c r="G73" s="15" t="s">
        <v>48</v>
      </c>
      <c r="H73" s="15" t="s">
        <v>22</v>
      </c>
      <c r="I73" s="15" t="s">
        <v>225</v>
      </c>
      <c r="J73" s="15" t="s">
        <v>24</v>
      </c>
      <c r="K73" s="16">
        <v>1.5</v>
      </c>
      <c r="L73" s="16">
        <v>0.75</v>
      </c>
      <c r="M73" s="16">
        <v>0.75</v>
      </c>
      <c r="N73" s="17">
        <v>45206.0</v>
      </c>
      <c r="O73" s="18">
        <v>1.26</v>
      </c>
      <c r="P73" s="15" t="s">
        <v>33</v>
      </c>
      <c r="Q73" s="19">
        <f t="shared" si="1"/>
        <v>0.195</v>
      </c>
      <c r="R73" s="19">
        <f t="shared" si="4"/>
        <v>0.07336923077</v>
      </c>
    </row>
    <row r="74">
      <c r="A74" s="8">
        <f t="shared" si="3"/>
        <v>73</v>
      </c>
      <c r="B74" s="8" t="s">
        <v>19</v>
      </c>
      <c r="C74" s="8" t="s">
        <v>3519</v>
      </c>
      <c r="D74" s="8"/>
      <c r="E74" s="8"/>
      <c r="F74" s="8"/>
      <c r="G74" s="8" t="s">
        <v>121</v>
      </c>
      <c r="H74" s="8" t="s">
        <v>598</v>
      </c>
      <c r="I74" s="8" t="s">
        <v>2415</v>
      </c>
      <c r="J74" s="8" t="s">
        <v>1522</v>
      </c>
      <c r="K74" s="9">
        <v>9.0</v>
      </c>
      <c r="L74" s="9">
        <v>1.0</v>
      </c>
      <c r="M74" s="9">
        <v>1.0</v>
      </c>
      <c r="N74" s="10">
        <v>45206.0</v>
      </c>
      <c r="O74" s="11">
        <v>1.875</v>
      </c>
      <c r="P74" s="8" t="s">
        <v>33</v>
      </c>
      <c r="Q74" s="12">
        <f t="shared" si="1"/>
        <v>0.875</v>
      </c>
      <c r="R74" s="12">
        <f t="shared" si="4"/>
        <v>0.9483692308</v>
      </c>
    </row>
    <row r="75">
      <c r="A75" s="15">
        <f t="shared" si="3"/>
        <v>74</v>
      </c>
      <c r="B75" s="15" t="s">
        <v>19</v>
      </c>
      <c r="C75" s="15" t="s">
        <v>3520</v>
      </c>
      <c r="D75" s="15"/>
      <c r="E75" s="15"/>
      <c r="F75" s="15"/>
      <c r="G75" s="15" t="s">
        <v>38</v>
      </c>
      <c r="H75" s="15" t="s">
        <v>22</v>
      </c>
      <c r="I75" s="15" t="s">
        <v>440</v>
      </c>
      <c r="J75" s="15" t="s">
        <v>39</v>
      </c>
      <c r="K75" s="16">
        <v>2.0</v>
      </c>
      <c r="L75" s="16">
        <v>0.15</v>
      </c>
      <c r="M75" s="16">
        <v>0.15</v>
      </c>
      <c r="N75" s="17">
        <v>45206.0</v>
      </c>
      <c r="O75" s="18">
        <v>1.85</v>
      </c>
      <c r="P75" s="15" t="s">
        <v>25</v>
      </c>
      <c r="Q75" s="19">
        <f t="shared" si="1"/>
        <v>-0.15</v>
      </c>
      <c r="R75" s="19">
        <f t="shared" si="4"/>
        <v>0.7983692308</v>
      </c>
    </row>
    <row r="76">
      <c r="A76" s="8">
        <f t="shared" si="3"/>
        <v>75</v>
      </c>
      <c r="B76" s="8" t="s">
        <v>19</v>
      </c>
      <c r="C76" s="8" t="s">
        <v>3521</v>
      </c>
      <c r="D76" s="8" t="s">
        <v>5565</v>
      </c>
      <c r="E76" s="8" t="s">
        <v>2660</v>
      </c>
      <c r="F76" s="8">
        <v>-1.0</v>
      </c>
      <c r="G76" s="8" t="s">
        <v>44</v>
      </c>
      <c r="H76" s="8" t="s">
        <v>22</v>
      </c>
      <c r="I76" s="8" t="s">
        <v>892</v>
      </c>
      <c r="J76" s="8" t="s">
        <v>24</v>
      </c>
      <c r="K76" s="9">
        <v>0.0</v>
      </c>
      <c r="L76" s="9">
        <v>1.0</v>
      </c>
      <c r="M76" s="9">
        <v>1.0</v>
      </c>
      <c r="N76" s="10">
        <v>45206.0</v>
      </c>
      <c r="O76" s="11">
        <v>1.775</v>
      </c>
      <c r="P76" s="8" t="s">
        <v>33</v>
      </c>
      <c r="Q76" s="12">
        <f t="shared" si="1"/>
        <v>0.775</v>
      </c>
      <c r="R76" s="12">
        <f t="shared" si="4"/>
        <v>1.573369231</v>
      </c>
    </row>
    <row r="77">
      <c r="A77" s="15">
        <f t="shared" si="3"/>
        <v>76</v>
      </c>
      <c r="B77" s="15" t="s">
        <v>19</v>
      </c>
      <c r="C77" s="15" t="s">
        <v>3522</v>
      </c>
      <c r="D77" s="15" t="s">
        <v>5564</v>
      </c>
      <c r="E77" s="15" t="s">
        <v>2556</v>
      </c>
      <c r="F77" s="15">
        <v>-1.0</v>
      </c>
      <c r="G77" s="15" t="s">
        <v>448</v>
      </c>
      <c r="H77" s="15" t="s">
        <v>22</v>
      </c>
      <c r="I77" s="15" t="s">
        <v>225</v>
      </c>
      <c r="J77" s="15" t="s">
        <v>24</v>
      </c>
      <c r="K77" s="16">
        <v>0.25</v>
      </c>
      <c r="L77" s="16">
        <v>0.5</v>
      </c>
      <c r="M77" s="16">
        <v>0.5</v>
      </c>
      <c r="N77" s="17">
        <v>45206.0</v>
      </c>
      <c r="O77" s="18">
        <v>1.7</v>
      </c>
      <c r="P77" s="15" t="s">
        <v>70</v>
      </c>
      <c r="Q77" s="19">
        <f t="shared" si="1"/>
        <v>0</v>
      </c>
      <c r="R77" s="19">
        <f t="shared" si="4"/>
        <v>1.573369231</v>
      </c>
    </row>
    <row r="78">
      <c r="A78" s="8">
        <f t="shared" si="3"/>
        <v>77</v>
      </c>
      <c r="B78" s="8" t="s">
        <v>19</v>
      </c>
      <c r="C78" s="8" t="s">
        <v>3523</v>
      </c>
      <c r="D78" s="8" t="s">
        <v>5564</v>
      </c>
      <c r="E78" s="8" t="s">
        <v>2556</v>
      </c>
      <c r="F78" s="8">
        <v>0.0</v>
      </c>
      <c r="G78" s="8" t="s">
        <v>50</v>
      </c>
      <c r="H78" s="8" t="s">
        <v>22</v>
      </c>
      <c r="I78" s="8" t="s">
        <v>225</v>
      </c>
      <c r="J78" s="8" t="s">
        <v>24</v>
      </c>
      <c r="K78" s="9">
        <v>0.5</v>
      </c>
      <c r="L78" s="9">
        <v>0.5</v>
      </c>
      <c r="M78" s="9">
        <v>0.5</v>
      </c>
      <c r="N78" s="10">
        <v>45206.0</v>
      </c>
      <c r="O78" s="11">
        <v>1.489</v>
      </c>
      <c r="P78" s="8" t="s">
        <v>33</v>
      </c>
      <c r="Q78" s="12">
        <f t="shared" si="1"/>
        <v>0.2445</v>
      </c>
      <c r="R78" s="12">
        <f t="shared" si="4"/>
        <v>1.817869231</v>
      </c>
    </row>
    <row r="79">
      <c r="A79" s="15">
        <f t="shared" si="3"/>
        <v>78</v>
      </c>
      <c r="B79" s="15" t="s">
        <v>19</v>
      </c>
      <c r="C79" s="15" t="s">
        <v>3524</v>
      </c>
      <c r="D79" s="15" t="s">
        <v>5564</v>
      </c>
      <c r="E79" s="15" t="s">
        <v>2556</v>
      </c>
      <c r="F79" s="15">
        <v>0.0</v>
      </c>
      <c r="G79" s="15" t="s">
        <v>50</v>
      </c>
      <c r="H79" s="15" t="s">
        <v>22</v>
      </c>
      <c r="I79" s="15" t="s">
        <v>1165</v>
      </c>
      <c r="J79" s="15" t="s">
        <v>24</v>
      </c>
      <c r="K79" s="16"/>
      <c r="L79" s="16">
        <v>0.1</v>
      </c>
      <c r="M79" s="16">
        <v>0.1</v>
      </c>
      <c r="N79" s="17">
        <v>45206.0</v>
      </c>
      <c r="O79" s="18">
        <v>3.0</v>
      </c>
      <c r="P79" s="15" t="s">
        <v>25</v>
      </c>
      <c r="Q79" s="19">
        <f t="shared" si="1"/>
        <v>-0.1</v>
      </c>
      <c r="R79" s="19">
        <f t="shared" si="4"/>
        <v>1.717869231</v>
      </c>
    </row>
    <row r="80">
      <c r="A80" s="8">
        <f t="shared" si="3"/>
        <v>79</v>
      </c>
      <c r="B80" s="8" t="s">
        <v>19</v>
      </c>
      <c r="C80" s="8" t="s">
        <v>3525</v>
      </c>
      <c r="D80" s="8" t="s">
        <v>5564</v>
      </c>
      <c r="E80" s="8" t="s">
        <v>2556</v>
      </c>
      <c r="F80" s="8">
        <v>0.0</v>
      </c>
      <c r="G80" s="8" t="s">
        <v>659</v>
      </c>
      <c r="H80" s="8" t="s">
        <v>22</v>
      </c>
      <c r="I80" s="8" t="s">
        <v>225</v>
      </c>
      <c r="J80" s="8" t="s">
        <v>24</v>
      </c>
      <c r="K80" s="9">
        <v>1.5</v>
      </c>
      <c r="L80" s="9">
        <v>0.5</v>
      </c>
      <c r="M80" s="9">
        <v>0.5</v>
      </c>
      <c r="N80" s="54">
        <v>45206.0</v>
      </c>
      <c r="O80" s="11">
        <v>1.5557</v>
      </c>
      <c r="P80" s="8" t="s">
        <v>33</v>
      </c>
      <c r="Q80" s="12">
        <f t="shared" si="1"/>
        <v>0.27785</v>
      </c>
      <c r="R80" s="12">
        <f t="shared" si="4"/>
        <v>1.995719231</v>
      </c>
    </row>
    <row r="81">
      <c r="A81" s="15">
        <f t="shared" si="3"/>
        <v>80</v>
      </c>
      <c r="B81" s="15" t="s">
        <v>19</v>
      </c>
      <c r="C81" s="15" t="s">
        <v>3526</v>
      </c>
      <c r="D81" s="15"/>
      <c r="E81" s="15"/>
      <c r="F81" s="15"/>
      <c r="G81" s="15" t="s">
        <v>82</v>
      </c>
      <c r="H81" s="15" t="s">
        <v>598</v>
      </c>
      <c r="I81" s="15" t="s">
        <v>2415</v>
      </c>
      <c r="J81" s="15" t="s">
        <v>39</v>
      </c>
      <c r="K81" s="16">
        <v>10.0</v>
      </c>
      <c r="L81" s="16">
        <v>0.5</v>
      </c>
      <c r="M81" s="16">
        <v>0.5</v>
      </c>
      <c r="N81" s="55">
        <v>45206.0</v>
      </c>
      <c r="O81" s="18">
        <v>1.8</v>
      </c>
      <c r="P81" s="15" t="s">
        <v>33</v>
      </c>
      <c r="Q81" s="19">
        <f t="shared" si="1"/>
        <v>0.4</v>
      </c>
      <c r="R81" s="19">
        <f t="shared" si="4"/>
        <v>2.395719231</v>
      </c>
    </row>
    <row r="82">
      <c r="A82" s="8">
        <f t="shared" si="3"/>
        <v>81</v>
      </c>
      <c r="B82" s="8" t="s">
        <v>19</v>
      </c>
      <c r="C82" s="8" t="s">
        <v>3527</v>
      </c>
      <c r="D82" s="8"/>
      <c r="E82" s="8"/>
      <c r="F82" s="8"/>
      <c r="G82" s="8" t="s">
        <v>768</v>
      </c>
      <c r="H82" s="8" t="s">
        <v>598</v>
      </c>
      <c r="I82" s="8" t="s">
        <v>440</v>
      </c>
      <c r="J82" s="8" t="s">
        <v>39</v>
      </c>
      <c r="K82" s="8">
        <v>4.5</v>
      </c>
      <c r="L82" s="9">
        <v>0.25</v>
      </c>
      <c r="M82" s="9">
        <v>0.25</v>
      </c>
      <c r="N82" s="54">
        <v>45207.0</v>
      </c>
      <c r="O82" s="11">
        <v>1.71</v>
      </c>
      <c r="P82" s="8" t="s">
        <v>33</v>
      </c>
      <c r="Q82" s="12">
        <f t="shared" si="1"/>
        <v>0.1775</v>
      </c>
      <c r="R82" s="12">
        <f t="shared" si="4"/>
        <v>2.573219231</v>
      </c>
    </row>
    <row r="83">
      <c r="A83" s="15">
        <f t="shared" si="3"/>
        <v>82</v>
      </c>
      <c r="B83" s="15" t="s">
        <v>19</v>
      </c>
      <c r="C83" s="15" t="s">
        <v>3528</v>
      </c>
      <c r="D83" s="15"/>
      <c r="E83" s="15"/>
      <c r="F83" s="15"/>
      <c r="G83" s="15" t="s">
        <v>768</v>
      </c>
      <c r="H83" s="15" t="s">
        <v>598</v>
      </c>
      <c r="I83" s="15" t="s">
        <v>440</v>
      </c>
      <c r="J83" s="15" t="s">
        <v>39</v>
      </c>
      <c r="K83" s="16">
        <v>50.5</v>
      </c>
      <c r="L83" s="16">
        <v>0.25</v>
      </c>
      <c r="M83" s="16">
        <v>0.25</v>
      </c>
      <c r="N83" s="17">
        <v>45207.0</v>
      </c>
      <c r="O83" s="18">
        <v>1.83</v>
      </c>
      <c r="P83" s="15" t="s">
        <v>33</v>
      </c>
      <c r="Q83" s="19">
        <f t="shared" si="1"/>
        <v>0.2075</v>
      </c>
      <c r="R83" s="19">
        <f t="shared" si="4"/>
        <v>2.780719231</v>
      </c>
    </row>
    <row r="84">
      <c r="A84" s="8">
        <f t="shared" si="3"/>
        <v>83</v>
      </c>
      <c r="B84" s="8" t="s">
        <v>19</v>
      </c>
      <c r="C84" s="8" t="s">
        <v>3529</v>
      </c>
      <c r="D84" s="8"/>
      <c r="E84" s="8"/>
      <c r="F84" s="8"/>
      <c r="G84" s="8" t="s">
        <v>82</v>
      </c>
      <c r="H84" s="8" t="s">
        <v>22</v>
      </c>
      <c r="I84" s="8" t="s">
        <v>29</v>
      </c>
      <c r="J84" s="8" t="s">
        <v>39</v>
      </c>
      <c r="K84" s="9">
        <v>-2.5</v>
      </c>
      <c r="L84" s="9">
        <v>0.5</v>
      </c>
      <c r="M84" s="9">
        <v>0.5</v>
      </c>
      <c r="N84" s="10">
        <v>45206.0</v>
      </c>
      <c r="O84" s="11">
        <v>1.85</v>
      </c>
      <c r="P84" s="8" t="s">
        <v>25</v>
      </c>
      <c r="Q84" s="12">
        <f t="shared" si="1"/>
        <v>-0.5</v>
      </c>
      <c r="R84" s="12">
        <f t="shared" si="4"/>
        <v>2.280719231</v>
      </c>
    </row>
    <row r="85">
      <c r="A85" s="15">
        <f t="shared" si="3"/>
        <v>84</v>
      </c>
      <c r="B85" s="15" t="s">
        <v>19</v>
      </c>
      <c r="C85" s="15" t="s">
        <v>3530</v>
      </c>
      <c r="D85" s="15" t="s">
        <v>5564</v>
      </c>
      <c r="E85" s="15"/>
      <c r="F85" s="15">
        <v>0.0</v>
      </c>
      <c r="G85" s="15" t="s">
        <v>121</v>
      </c>
      <c r="H85" s="15" t="s">
        <v>22</v>
      </c>
      <c r="I85" s="15" t="s">
        <v>23</v>
      </c>
      <c r="J85" s="15" t="s">
        <v>1522</v>
      </c>
      <c r="K85" s="16">
        <v>-0.5</v>
      </c>
      <c r="L85" s="16">
        <v>0.5</v>
      </c>
      <c r="M85" s="16">
        <f>0.5*16/21</f>
        <v>0.380952381</v>
      </c>
      <c r="N85" s="17">
        <v>45206.0</v>
      </c>
      <c r="O85" s="18">
        <v>1.9</v>
      </c>
      <c r="P85" s="15" t="s">
        <v>25</v>
      </c>
      <c r="Q85" s="19">
        <f t="shared" si="1"/>
        <v>-0.380952381</v>
      </c>
      <c r="R85" s="19">
        <f t="shared" si="4"/>
        <v>1.89976685</v>
      </c>
    </row>
    <row r="86">
      <c r="A86" s="8">
        <f t="shared" si="3"/>
        <v>85</v>
      </c>
      <c r="B86" s="8" t="s">
        <v>40</v>
      </c>
      <c r="C86" s="8" t="s">
        <v>3531</v>
      </c>
      <c r="D86" s="8" t="s">
        <v>5565</v>
      </c>
      <c r="E86" s="8" t="s">
        <v>2556</v>
      </c>
      <c r="F86" s="8">
        <v>0.0</v>
      </c>
      <c r="G86" s="8" t="s">
        <v>60</v>
      </c>
      <c r="H86" s="8" t="s">
        <v>22</v>
      </c>
      <c r="I86" s="8" t="s">
        <v>225</v>
      </c>
      <c r="J86" s="8" t="s">
        <v>24</v>
      </c>
      <c r="K86" s="9">
        <v>0.5</v>
      </c>
      <c r="L86" s="9">
        <v>1.0</v>
      </c>
      <c r="M86" s="9">
        <v>1.0</v>
      </c>
      <c r="N86" s="10">
        <v>45206.0</v>
      </c>
      <c r="O86" s="11">
        <v>2.0</v>
      </c>
      <c r="P86" s="8" t="s">
        <v>30</v>
      </c>
      <c r="Q86" s="12">
        <f t="shared" si="1"/>
        <v>0.5</v>
      </c>
      <c r="R86" s="12">
        <f t="shared" si="4"/>
        <v>2.39976685</v>
      </c>
    </row>
    <row r="87">
      <c r="A87" s="15">
        <f t="shared" si="3"/>
        <v>86</v>
      </c>
      <c r="B87" s="15" t="s">
        <v>19</v>
      </c>
      <c r="C87" s="15" t="s">
        <v>3532</v>
      </c>
      <c r="D87" s="15"/>
      <c r="E87" s="15"/>
      <c r="F87" s="15"/>
      <c r="G87" s="15" t="s">
        <v>82</v>
      </c>
      <c r="H87" s="15" t="s">
        <v>598</v>
      </c>
      <c r="I87" s="15" t="s">
        <v>2415</v>
      </c>
      <c r="J87" s="15" t="s">
        <v>39</v>
      </c>
      <c r="K87" s="16">
        <v>10.5</v>
      </c>
      <c r="L87" s="16">
        <v>0.5</v>
      </c>
      <c r="M87" s="16">
        <v>0.5</v>
      </c>
      <c r="N87" s="17">
        <v>45207.0</v>
      </c>
      <c r="O87" s="18">
        <v>1.825</v>
      </c>
      <c r="P87" s="15" t="s">
        <v>33</v>
      </c>
      <c r="Q87" s="19">
        <f t="shared" si="1"/>
        <v>0.4125</v>
      </c>
      <c r="R87" s="19">
        <f t="shared" si="4"/>
        <v>2.81226685</v>
      </c>
    </row>
    <row r="88">
      <c r="A88" s="8">
        <f t="shared" si="3"/>
        <v>87</v>
      </c>
      <c r="B88" s="8" t="s">
        <v>40</v>
      </c>
      <c r="C88" s="8" t="s">
        <v>3533</v>
      </c>
      <c r="D88" s="8" t="s">
        <v>5565</v>
      </c>
      <c r="E88" s="8"/>
      <c r="F88" s="8">
        <v>2</v>
      </c>
      <c r="G88" s="8" t="s">
        <v>38</v>
      </c>
      <c r="H88" s="8" t="s">
        <v>22</v>
      </c>
      <c r="I88" s="8" t="s">
        <v>3031</v>
      </c>
      <c r="J88" s="8" t="s">
        <v>1522</v>
      </c>
      <c r="K88" s="9">
        <v>0.0</v>
      </c>
      <c r="L88" s="9">
        <v>0.25</v>
      </c>
      <c r="M88" s="9">
        <v>0.25</v>
      </c>
      <c r="N88" s="10">
        <v>45207.0</v>
      </c>
      <c r="O88" s="11">
        <v>1.85</v>
      </c>
      <c r="P88" s="8" t="s">
        <v>33</v>
      </c>
      <c r="Q88" s="12">
        <f t="shared" si="1"/>
        <v>0.2125</v>
      </c>
      <c r="R88" s="12">
        <f t="shared" si="4"/>
        <v>3.02476685</v>
      </c>
    </row>
    <row r="89">
      <c r="A89" s="15">
        <f t="shared" si="3"/>
        <v>88</v>
      </c>
      <c r="B89" s="15" t="s">
        <v>40</v>
      </c>
      <c r="C89" s="15" t="s">
        <v>3534</v>
      </c>
      <c r="D89" s="15" t="s">
        <v>5564</v>
      </c>
      <c r="E89" s="15" t="s">
        <v>2556</v>
      </c>
      <c r="F89" s="15">
        <v>2</v>
      </c>
      <c r="G89" s="15" t="s">
        <v>93</v>
      </c>
      <c r="H89" s="15" t="s">
        <v>22</v>
      </c>
      <c r="I89" s="15" t="s">
        <v>225</v>
      </c>
      <c r="J89" s="15" t="s">
        <v>24</v>
      </c>
      <c r="K89" s="16">
        <v>0.25</v>
      </c>
      <c r="L89" s="16">
        <v>0.5</v>
      </c>
      <c r="M89" s="16">
        <v>0.5</v>
      </c>
      <c r="N89" s="17">
        <v>45207.0</v>
      </c>
      <c r="O89" s="18">
        <v>1.7</v>
      </c>
      <c r="P89" s="15" t="s">
        <v>25</v>
      </c>
      <c r="Q89" s="19">
        <f t="shared" si="1"/>
        <v>-0.5</v>
      </c>
      <c r="R89" s="19">
        <f t="shared" si="4"/>
        <v>2.52476685</v>
      </c>
    </row>
    <row r="90">
      <c r="A90" s="8">
        <f t="shared" si="3"/>
        <v>89</v>
      </c>
      <c r="B90" s="8" t="s">
        <v>19</v>
      </c>
      <c r="C90" s="8" t="s">
        <v>3535</v>
      </c>
      <c r="D90" s="8" t="s">
        <v>5564</v>
      </c>
      <c r="E90" s="8"/>
      <c r="F90" s="8"/>
      <c r="G90" s="8" t="s">
        <v>121</v>
      </c>
      <c r="H90" s="8" t="s">
        <v>22</v>
      </c>
      <c r="I90" s="8" t="s">
        <v>1847</v>
      </c>
      <c r="J90" s="8" t="s">
        <v>1851</v>
      </c>
      <c r="K90" s="9">
        <v>-0.5</v>
      </c>
      <c r="L90" s="9">
        <v>0.1</v>
      </c>
      <c r="M90" s="9">
        <v>0.1</v>
      </c>
      <c r="N90" s="10">
        <v>45207.0</v>
      </c>
      <c r="O90" s="11">
        <v>1.725</v>
      </c>
      <c r="P90" s="8" t="s">
        <v>33</v>
      </c>
      <c r="Q90" s="12">
        <f t="shared" si="1"/>
        <v>0.0725</v>
      </c>
      <c r="R90" s="12">
        <f t="shared" si="4"/>
        <v>2.59726685</v>
      </c>
    </row>
    <row r="91">
      <c r="A91" s="15">
        <f t="shared" si="3"/>
        <v>90</v>
      </c>
      <c r="B91" s="15" t="s">
        <v>40</v>
      </c>
      <c r="C91" s="15" t="s">
        <v>3536</v>
      </c>
      <c r="D91" s="15" t="s">
        <v>5565</v>
      </c>
      <c r="E91" s="15"/>
      <c r="F91" s="15"/>
      <c r="G91" s="15" t="s">
        <v>101</v>
      </c>
      <c r="H91" s="15" t="s">
        <v>22</v>
      </c>
      <c r="I91" s="15" t="s">
        <v>1847</v>
      </c>
      <c r="J91" s="15" t="s">
        <v>1851</v>
      </c>
      <c r="K91" s="16">
        <v>-0.5</v>
      </c>
      <c r="L91" s="16">
        <v>0.5</v>
      </c>
      <c r="M91" s="16">
        <f>0.5*4/22</f>
        <v>0.09090909091</v>
      </c>
      <c r="N91" s="17">
        <v>45207.0</v>
      </c>
      <c r="O91" s="18">
        <v>1.725</v>
      </c>
      <c r="P91" s="15" t="s">
        <v>25</v>
      </c>
      <c r="Q91" s="19">
        <f t="shared" si="1"/>
        <v>-0.09090909091</v>
      </c>
      <c r="R91" s="19">
        <f t="shared" si="4"/>
        <v>2.506357759</v>
      </c>
    </row>
    <row r="92">
      <c r="A92" s="8">
        <f t="shared" si="3"/>
        <v>91</v>
      </c>
      <c r="B92" s="8" t="s">
        <v>19</v>
      </c>
      <c r="C92" s="8" t="s">
        <v>3537</v>
      </c>
      <c r="D92" s="8" t="s">
        <v>5564</v>
      </c>
      <c r="E92" s="8" t="s">
        <v>2556</v>
      </c>
      <c r="F92" s="8">
        <v>-1.0</v>
      </c>
      <c r="G92" s="8" t="s">
        <v>369</v>
      </c>
      <c r="H92" s="8" t="s">
        <v>22</v>
      </c>
      <c r="I92" s="8" t="s">
        <v>225</v>
      </c>
      <c r="J92" s="8" t="s">
        <v>24</v>
      </c>
      <c r="K92" s="9">
        <v>0.25</v>
      </c>
      <c r="L92" s="9">
        <v>0.75</v>
      </c>
      <c r="M92" s="9">
        <v>0.75</v>
      </c>
      <c r="N92" s="10">
        <v>45207.0</v>
      </c>
      <c r="O92" s="11">
        <v>1.925</v>
      </c>
      <c r="P92" s="8" t="s">
        <v>30</v>
      </c>
      <c r="Q92" s="12">
        <f t="shared" si="1"/>
        <v>0.346875</v>
      </c>
      <c r="R92" s="12">
        <f t="shared" si="4"/>
        <v>2.853232759</v>
      </c>
    </row>
    <row r="93">
      <c r="A93" s="15">
        <f t="shared" si="3"/>
        <v>92</v>
      </c>
      <c r="B93" s="15" t="s">
        <v>19</v>
      </c>
      <c r="C93" s="15" t="s">
        <v>3538</v>
      </c>
      <c r="D93" s="15" t="s">
        <v>5564</v>
      </c>
      <c r="E93" s="15" t="s">
        <v>2556</v>
      </c>
      <c r="F93" s="15">
        <v>-1.0</v>
      </c>
      <c r="G93" s="15" t="s">
        <v>369</v>
      </c>
      <c r="H93" s="15" t="s">
        <v>22</v>
      </c>
      <c r="I93" s="15" t="s">
        <v>1165</v>
      </c>
      <c r="J93" s="15" t="s">
        <v>24</v>
      </c>
      <c r="K93" s="16"/>
      <c r="L93" s="16">
        <v>0.1</v>
      </c>
      <c r="M93" s="16">
        <v>0.1</v>
      </c>
      <c r="N93" s="17">
        <v>45207.0</v>
      </c>
      <c r="O93" s="18">
        <v>5.5</v>
      </c>
      <c r="P93" s="15" t="s">
        <v>25</v>
      </c>
      <c r="Q93" s="19">
        <f t="shared" si="1"/>
        <v>-0.1</v>
      </c>
      <c r="R93" s="19">
        <f t="shared" si="4"/>
        <v>2.753232759</v>
      </c>
    </row>
    <row r="94">
      <c r="A94" s="8">
        <f t="shared" si="3"/>
        <v>93</v>
      </c>
      <c r="B94" s="8" t="s">
        <v>40</v>
      </c>
      <c r="C94" s="8" t="s">
        <v>3539</v>
      </c>
      <c r="D94" s="8" t="s">
        <v>5564</v>
      </c>
      <c r="E94" s="8" t="s">
        <v>2556</v>
      </c>
      <c r="F94" s="8">
        <v>-1.0</v>
      </c>
      <c r="G94" s="8" t="s">
        <v>106</v>
      </c>
      <c r="H94" s="8" t="s">
        <v>22</v>
      </c>
      <c r="I94" s="8" t="s">
        <v>225</v>
      </c>
      <c r="J94" s="8" t="s">
        <v>24</v>
      </c>
      <c r="K94" s="9">
        <v>0.5</v>
      </c>
      <c r="L94" s="9">
        <v>0.5</v>
      </c>
      <c r="M94" s="9">
        <v>0.5</v>
      </c>
      <c r="N94" s="10">
        <v>45207.0</v>
      </c>
      <c r="O94" s="11">
        <v>1.597</v>
      </c>
      <c r="P94" s="8" t="s">
        <v>33</v>
      </c>
      <c r="Q94" s="12">
        <f t="shared" si="1"/>
        <v>0.2985</v>
      </c>
      <c r="R94" s="12">
        <f t="shared" si="4"/>
        <v>3.051732759</v>
      </c>
    </row>
    <row r="95">
      <c r="A95" s="15">
        <f t="shared" si="3"/>
        <v>94</v>
      </c>
      <c r="B95" s="15" t="s">
        <v>19</v>
      </c>
      <c r="C95" s="15" t="s">
        <v>3540</v>
      </c>
      <c r="D95" s="15" t="s">
        <v>5565</v>
      </c>
      <c r="E95" s="15" t="s">
        <v>2660</v>
      </c>
      <c r="F95" s="15">
        <f>1</f>
        <v>1</v>
      </c>
      <c r="G95" s="15" t="s">
        <v>1006</v>
      </c>
      <c r="H95" s="15" t="s">
        <v>22</v>
      </c>
      <c r="I95" s="15" t="s">
        <v>892</v>
      </c>
      <c r="J95" s="15" t="s">
        <v>24</v>
      </c>
      <c r="K95" s="16">
        <v>0.0</v>
      </c>
      <c r="L95" s="16">
        <v>0.75</v>
      </c>
      <c r="M95" s="16">
        <v>0.75</v>
      </c>
      <c r="N95" s="17">
        <v>45207.0</v>
      </c>
      <c r="O95" s="18">
        <v>1.825</v>
      </c>
      <c r="P95" s="15" t="s">
        <v>33</v>
      </c>
      <c r="Q95" s="19">
        <f t="shared" si="1"/>
        <v>0.61875</v>
      </c>
      <c r="R95" s="19">
        <f t="shared" si="4"/>
        <v>3.670482759</v>
      </c>
    </row>
    <row r="96">
      <c r="A96" s="8">
        <f t="shared" si="3"/>
        <v>95</v>
      </c>
      <c r="B96" s="8" t="s">
        <v>19</v>
      </c>
      <c r="C96" s="8" t="s">
        <v>3541</v>
      </c>
      <c r="D96" s="8" t="s">
        <v>5564</v>
      </c>
      <c r="E96" s="8" t="s">
        <v>2556</v>
      </c>
      <c r="F96" s="8">
        <v>-2.0</v>
      </c>
      <c r="G96" s="8" t="s">
        <v>115</v>
      </c>
      <c r="H96" s="8" t="s">
        <v>22</v>
      </c>
      <c r="I96" s="8" t="s">
        <v>225</v>
      </c>
      <c r="J96" s="8" t="s">
        <v>24</v>
      </c>
      <c r="K96" s="9">
        <v>0.25</v>
      </c>
      <c r="L96" s="9">
        <v>0.75</v>
      </c>
      <c r="M96" s="9">
        <v>0.75</v>
      </c>
      <c r="N96" s="54">
        <v>45207.0</v>
      </c>
      <c r="O96" s="11">
        <v>1.75</v>
      </c>
      <c r="P96" s="8" t="s">
        <v>30</v>
      </c>
      <c r="Q96" s="12">
        <f t="shared" si="1"/>
        <v>0.28125</v>
      </c>
      <c r="R96" s="12">
        <f t="shared" si="4"/>
        <v>3.951732759</v>
      </c>
    </row>
    <row r="97">
      <c r="A97" s="15">
        <f t="shared" si="3"/>
        <v>96</v>
      </c>
      <c r="B97" s="15" t="s">
        <v>19</v>
      </c>
      <c r="C97" s="15" t="s">
        <v>3542</v>
      </c>
      <c r="D97" s="15" t="s">
        <v>5564</v>
      </c>
      <c r="E97" s="15" t="s">
        <v>2556</v>
      </c>
      <c r="F97" s="15">
        <v>0.0</v>
      </c>
      <c r="G97" s="15" t="s">
        <v>1031</v>
      </c>
      <c r="H97" s="15" t="s">
        <v>22</v>
      </c>
      <c r="I97" s="15" t="s">
        <v>225</v>
      </c>
      <c r="J97" s="15" t="s">
        <v>24</v>
      </c>
      <c r="K97" s="16">
        <v>0.25</v>
      </c>
      <c r="L97" s="16">
        <v>0.75</v>
      </c>
      <c r="M97" s="16">
        <v>0.75</v>
      </c>
      <c r="N97" s="17">
        <v>45207.0</v>
      </c>
      <c r="O97" s="18">
        <v>1.8</v>
      </c>
      <c r="P97" s="15" t="s">
        <v>33</v>
      </c>
      <c r="Q97" s="19">
        <f t="shared" si="1"/>
        <v>0.6</v>
      </c>
      <c r="R97" s="19">
        <f t="shared" si="4"/>
        <v>4.551732759</v>
      </c>
    </row>
    <row r="98">
      <c r="A98" s="8">
        <f t="shared" si="3"/>
        <v>97</v>
      </c>
      <c r="B98" s="8" t="s">
        <v>19</v>
      </c>
      <c r="C98" s="8" t="s">
        <v>3543</v>
      </c>
      <c r="D98" s="8"/>
      <c r="E98" s="8"/>
      <c r="F98" s="8"/>
      <c r="G98" s="8" t="s">
        <v>38</v>
      </c>
      <c r="H98" s="8" t="s">
        <v>22</v>
      </c>
      <c r="I98" s="8" t="s">
        <v>440</v>
      </c>
      <c r="J98" s="8" t="s">
        <v>39</v>
      </c>
      <c r="K98" s="9">
        <v>4.25</v>
      </c>
      <c r="L98" s="9">
        <v>0.1</v>
      </c>
      <c r="M98" s="9">
        <v>0.1</v>
      </c>
      <c r="N98" s="10">
        <v>45207.0</v>
      </c>
      <c r="O98" s="11">
        <v>1.84</v>
      </c>
      <c r="P98" s="8" t="s">
        <v>79</v>
      </c>
      <c r="Q98" s="12">
        <f t="shared" si="1"/>
        <v>-0.05</v>
      </c>
      <c r="R98" s="12">
        <f t="shared" si="4"/>
        <v>4.501732759</v>
      </c>
    </row>
    <row r="99">
      <c r="A99" s="15">
        <f t="shared" si="3"/>
        <v>98</v>
      </c>
      <c r="B99" s="15" t="s">
        <v>19</v>
      </c>
      <c r="C99" s="15" t="s">
        <v>3544</v>
      </c>
      <c r="D99" s="15" t="s">
        <v>5565</v>
      </c>
      <c r="E99" s="15"/>
      <c r="F99" s="15">
        <v>0.0</v>
      </c>
      <c r="G99" s="15" t="s">
        <v>316</v>
      </c>
      <c r="H99" s="15" t="s">
        <v>22</v>
      </c>
      <c r="I99" s="15" t="s">
        <v>941</v>
      </c>
      <c r="J99" s="15" t="s">
        <v>1522</v>
      </c>
      <c r="K99" s="16">
        <v>0.0</v>
      </c>
      <c r="L99" s="16">
        <v>1.0</v>
      </c>
      <c r="M99" s="16">
        <v>0.931</v>
      </c>
      <c r="N99" s="17">
        <v>45207.0</v>
      </c>
      <c r="O99" s="18">
        <v>1.45</v>
      </c>
      <c r="P99" s="15" t="s">
        <v>33</v>
      </c>
      <c r="Q99" s="19">
        <f t="shared" si="1"/>
        <v>0.41895</v>
      </c>
      <c r="R99" s="19">
        <f t="shared" si="4"/>
        <v>4.920682759</v>
      </c>
    </row>
    <row r="100">
      <c r="A100" s="8">
        <f t="shared" si="3"/>
        <v>99</v>
      </c>
      <c r="B100" s="8" t="s">
        <v>19</v>
      </c>
      <c r="C100" s="8" t="s">
        <v>3545</v>
      </c>
      <c r="D100" s="8" t="s">
        <v>5565</v>
      </c>
      <c r="E100" s="8" t="s">
        <v>2660</v>
      </c>
      <c r="F100" s="8">
        <v>-1.0</v>
      </c>
      <c r="G100" s="8" t="s">
        <v>99</v>
      </c>
      <c r="H100" s="8" t="s">
        <v>22</v>
      </c>
      <c r="I100" s="8" t="s">
        <v>892</v>
      </c>
      <c r="J100" s="8" t="s">
        <v>24</v>
      </c>
      <c r="K100" s="9">
        <v>0.0</v>
      </c>
      <c r="L100" s="9">
        <v>0.25</v>
      </c>
      <c r="M100" s="9">
        <v>0.25</v>
      </c>
      <c r="N100" s="10">
        <v>45207.0</v>
      </c>
      <c r="O100" s="11">
        <v>1.7</v>
      </c>
      <c r="P100" s="8" t="s">
        <v>70</v>
      </c>
      <c r="Q100" s="12">
        <f t="shared" si="1"/>
        <v>0</v>
      </c>
      <c r="R100" s="12">
        <f t="shared" si="4"/>
        <v>4.920682759</v>
      </c>
    </row>
    <row r="101">
      <c r="A101" s="15">
        <f t="shared" si="3"/>
        <v>100</v>
      </c>
      <c r="B101" s="15" t="s">
        <v>19</v>
      </c>
      <c r="C101" s="15" t="s">
        <v>3546</v>
      </c>
      <c r="D101" s="15" t="s">
        <v>5565</v>
      </c>
      <c r="E101" s="15"/>
      <c r="F101" s="15">
        <v>0.0</v>
      </c>
      <c r="G101" s="15" t="s">
        <v>38</v>
      </c>
      <c r="H101" s="15" t="s">
        <v>22</v>
      </c>
      <c r="I101" s="15" t="s">
        <v>440</v>
      </c>
      <c r="J101" s="15" t="s">
        <v>39</v>
      </c>
      <c r="K101" s="16">
        <v>2.5</v>
      </c>
      <c r="L101" s="16">
        <v>0.25</v>
      </c>
      <c r="M101" s="16">
        <v>0.25</v>
      </c>
      <c r="N101" s="17">
        <v>45207.0</v>
      </c>
      <c r="O101" s="18">
        <v>2.0</v>
      </c>
      <c r="P101" s="15" t="s">
        <v>25</v>
      </c>
      <c r="Q101" s="19">
        <f t="shared" si="1"/>
        <v>-0.25</v>
      </c>
      <c r="R101" s="19">
        <f t="shared" si="4"/>
        <v>4.670682759</v>
      </c>
    </row>
    <row r="102">
      <c r="A102" s="8">
        <f t="shared" si="3"/>
        <v>101</v>
      </c>
      <c r="B102" s="8" t="s">
        <v>19</v>
      </c>
      <c r="C102" s="8" t="s">
        <v>3547</v>
      </c>
      <c r="D102" s="8" t="s">
        <v>5564</v>
      </c>
      <c r="E102" s="8" t="s">
        <v>2660</v>
      </c>
      <c r="F102" s="8">
        <v>2</v>
      </c>
      <c r="G102" s="8" t="s">
        <v>96</v>
      </c>
      <c r="H102" s="8" t="s">
        <v>22</v>
      </c>
      <c r="I102" s="8" t="s">
        <v>892</v>
      </c>
      <c r="J102" s="8" t="s">
        <v>24</v>
      </c>
      <c r="K102" s="9">
        <v>0.0</v>
      </c>
      <c r="L102" s="9">
        <v>0.5</v>
      </c>
      <c r="M102" s="9">
        <v>0.5</v>
      </c>
      <c r="N102" s="10">
        <v>45209.0</v>
      </c>
      <c r="O102" s="11">
        <v>2.25</v>
      </c>
      <c r="P102" s="8" t="s">
        <v>70</v>
      </c>
      <c r="Q102" s="12">
        <f t="shared" si="1"/>
        <v>0</v>
      </c>
      <c r="R102" s="12">
        <f t="shared" si="4"/>
        <v>4.670682759</v>
      </c>
    </row>
    <row r="103">
      <c r="A103" s="15">
        <f t="shared" si="3"/>
        <v>102</v>
      </c>
      <c r="B103" s="15" t="s">
        <v>19</v>
      </c>
      <c r="C103" s="15" t="s">
        <v>3548</v>
      </c>
      <c r="D103" s="15" t="s">
        <v>5564</v>
      </c>
      <c r="E103" s="15" t="s">
        <v>2660</v>
      </c>
      <c r="F103" s="15">
        <v>0.0</v>
      </c>
      <c r="G103" s="15" t="s">
        <v>74</v>
      </c>
      <c r="H103" s="15" t="s">
        <v>22</v>
      </c>
      <c r="I103" s="15" t="s">
        <v>1150</v>
      </c>
      <c r="J103" s="15" t="s">
        <v>1851</v>
      </c>
      <c r="K103" s="16">
        <v>0.0</v>
      </c>
      <c r="L103" s="16">
        <v>0.25</v>
      </c>
      <c r="M103" s="16">
        <f>0.208*0.25</f>
        <v>0.052</v>
      </c>
      <c r="N103" s="17">
        <v>45209.0</v>
      </c>
      <c r="O103" s="18">
        <v>1.75</v>
      </c>
      <c r="P103" s="15" t="s">
        <v>33</v>
      </c>
      <c r="Q103" s="19">
        <f t="shared" si="1"/>
        <v>0.039</v>
      </c>
      <c r="R103" s="19">
        <f t="shared" si="4"/>
        <v>4.709682759</v>
      </c>
    </row>
    <row r="104">
      <c r="A104" s="8">
        <f t="shared" si="3"/>
        <v>103</v>
      </c>
      <c r="B104" s="8" t="s">
        <v>19</v>
      </c>
      <c r="C104" s="8" t="s">
        <v>3549</v>
      </c>
      <c r="D104" s="8" t="s">
        <v>5565</v>
      </c>
      <c r="E104" s="8" t="s">
        <v>2660</v>
      </c>
      <c r="F104" s="8">
        <v>0.0</v>
      </c>
      <c r="G104" s="8" t="s">
        <v>397</v>
      </c>
      <c r="H104" s="8" t="s">
        <v>22</v>
      </c>
      <c r="I104" s="8" t="s">
        <v>892</v>
      </c>
      <c r="J104" s="8" t="s">
        <v>24</v>
      </c>
      <c r="K104" s="9">
        <v>0.0</v>
      </c>
      <c r="L104" s="9">
        <v>1.0</v>
      </c>
      <c r="M104" s="9">
        <v>1.0</v>
      </c>
      <c r="N104" s="54">
        <v>45210.0</v>
      </c>
      <c r="O104" s="11">
        <v>1.75</v>
      </c>
      <c r="P104" s="8" t="s">
        <v>70</v>
      </c>
      <c r="Q104" s="12">
        <f t="shared" si="1"/>
        <v>0</v>
      </c>
      <c r="R104" s="12">
        <f t="shared" si="4"/>
        <v>4.709682759</v>
      </c>
    </row>
    <row r="105">
      <c r="A105" s="15">
        <f t="shared" si="3"/>
        <v>104</v>
      </c>
      <c r="B105" s="15" t="s">
        <v>19</v>
      </c>
      <c r="C105" s="15" t="s">
        <v>3550</v>
      </c>
      <c r="D105" s="15"/>
      <c r="E105" s="15"/>
      <c r="F105" s="15"/>
      <c r="G105" s="15" t="s">
        <v>448</v>
      </c>
      <c r="H105" s="15" t="s">
        <v>22</v>
      </c>
      <c r="I105" s="15" t="s">
        <v>29</v>
      </c>
      <c r="J105" s="15" t="s">
        <v>39</v>
      </c>
      <c r="K105" s="16">
        <v>-6.5</v>
      </c>
      <c r="L105" s="16">
        <v>0.25</v>
      </c>
      <c r="M105" s="16">
        <v>0.25</v>
      </c>
      <c r="N105" s="17">
        <v>45210.0</v>
      </c>
      <c r="O105" s="18">
        <v>1.725</v>
      </c>
      <c r="P105" s="15" t="s">
        <v>33</v>
      </c>
      <c r="Q105" s="19">
        <f t="shared" si="1"/>
        <v>0.18125</v>
      </c>
      <c r="R105" s="19">
        <f t="shared" si="4"/>
        <v>4.890932759</v>
      </c>
    </row>
    <row r="106">
      <c r="A106" s="8">
        <f t="shared" si="3"/>
        <v>105</v>
      </c>
      <c r="B106" s="8" t="s">
        <v>19</v>
      </c>
      <c r="C106" s="8" t="s">
        <v>3551</v>
      </c>
      <c r="D106" s="8"/>
      <c r="E106" s="8"/>
      <c r="F106" s="8"/>
      <c r="G106" s="8" t="s">
        <v>448</v>
      </c>
      <c r="H106" s="8" t="s">
        <v>22</v>
      </c>
      <c r="I106" s="8" t="s">
        <v>29</v>
      </c>
      <c r="J106" s="8" t="s">
        <v>39</v>
      </c>
      <c r="K106" s="9">
        <v>-6.25</v>
      </c>
      <c r="L106" s="9">
        <v>0.5</v>
      </c>
      <c r="M106" s="9">
        <v>0.5</v>
      </c>
      <c r="N106" s="10">
        <v>45210.0</v>
      </c>
      <c r="O106" s="11">
        <v>1.8</v>
      </c>
      <c r="P106" s="8" t="s">
        <v>30</v>
      </c>
      <c r="Q106" s="12">
        <f t="shared" si="1"/>
        <v>0.2</v>
      </c>
      <c r="R106" s="12">
        <f t="shared" si="4"/>
        <v>5.090932759</v>
      </c>
    </row>
    <row r="107">
      <c r="A107" s="15">
        <f t="shared" si="3"/>
        <v>106</v>
      </c>
      <c r="B107" s="15" t="s">
        <v>40</v>
      </c>
      <c r="C107" s="15" t="s">
        <v>3552</v>
      </c>
      <c r="D107" s="15" t="s">
        <v>5565</v>
      </c>
      <c r="E107" s="15" t="s">
        <v>2660</v>
      </c>
      <c r="F107" s="15">
        <v>-1.0</v>
      </c>
      <c r="G107" s="15" t="s">
        <v>121</v>
      </c>
      <c r="H107" s="15" t="s">
        <v>22</v>
      </c>
      <c r="I107" s="15" t="s">
        <v>892</v>
      </c>
      <c r="J107" s="15" t="s">
        <v>1851</v>
      </c>
      <c r="K107" s="16">
        <v>0.0</v>
      </c>
      <c r="L107" s="16">
        <v>1.0</v>
      </c>
      <c r="M107" s="16">
        <v>1.0</v>
      </c>
      <c r="N107" s="17">
        <v>45210.0</v>
      </c>
      <c r="O107" s="18">
        <v>2.05</v>
      </c>
      <c r="P107" s="15" t="s">
        <v>70</v>
      </c>
      <c r="Q107" s="19">
        <f t="shared" si="1"/>
        <v>0</v>
      </c>
      <c r="R107" s="19">
        <f t="shared" si="4"/>
        <v>5.090932759</v>
      </c>
    </row>
    <row r="108">
      <c r="A108" s="8">
        <f t="shared" si="3"/>
        <v>107</v>
      </c>
      <c r="B108" s="8" t="s">
        <v>19</v>
      </c>
      <c r="C108" s="8" t="s">
        <v>3553</v>
      </c>
      <c r="D108" s="8"/>
      <c r="E108" s="8"/>
      <c r="F108" s="8" t="s">
        <v>2615</v>
      </c>
      <c r="G108" s="8" t="s">
        <v>448</v>
      </c>
      <c r="H108" s="8" t="s">
        <v>22</v>
      </c>
      <c r="I108" s="8" t="s">
        <v>29</v>
      </c>
      <c r="J108" s="8" t="s">
        <v>39</v>
      </c>
      <c r="K108" s="9">
        <v>-5.5</v>
      </c>
      <c r="L108" s="9">
        <v>0.25</v>
      </c>
      <c r="M108" s="9">
        <v>0.25</v>
      </c>
      <c r="N108" s="10">
        <v>45210.0</v>
      </c>
      <c r="O108" s="11">
        <v>1.775</v>
      </c>
      <c r="P108" s="8" t="s">
        <v>25</v>
      </c>
      <c r="Q108" s="12">
        <f t="shared" si="1"/>
        <v>-0.25</v>
      </c>
      <c r="R108" s="12">
        <f t="shared" si="4"/>
        <v>4.840932759</v>
      </c>
    </row>
    <row r="109">
      <c r="A109" s="15">
        <f t="shared" si="3"/>
        <v>108</v>
      </c>
      <c r="B109" s="15" t="s">
        <v>19</v>
      </c>
      <c r="C109" s="15" t="s">
        <v>3554</v>
      </c>
      <c r="D109" s="15" t="s">
        <v>5564</v>
      </c>
      <c r="E109" s="15" t="s">
        <v>2556</v>
      </c>
      <c r="F109" s="15" t="s">
        <v>2723</v>
      </c>
      <c r="G109" s="15" t="s">
        <v>93</v>
      </c>
      <c r="H109" s="15" t="s">
        <v>22</v>
      </c>
      <c r="I109" s="15" t="s">
        <v>225</v>
      </c>
      <c r="J109" s="15" t="s">
        <v>39</v>
      </c>
      <c r="K109" s="16">
        <v>0.5</v>
      </c>
      <c r="L109" s="16">
        <v>1.0</v>
      </c>
      <c r="M109" s="16">
        <v>1.0</v>
      </c>
      <c r="N109" s="17">
        <v>45210.0</v>
      </c>
      <c r="O109" s="18">
        <v>1.612</v>
      </c>
      <c r="P109" s="15" t="s">
        <v>33</v>
      </c>
      <c r="Q109" s="19">
        <f t="shared" si="1"/>
        <v>0.612</v>
      </c>
      <c r="R109" s="19">
        <f t="shared" si="4"/>
        <v>5.452932759</v>
      </c>
    </row>
    <row r="110">
      <c r="A110" s="8">
        <f t="shared" si="3"/>
        <v>109</v>
      </c>
      <c r="B110" s="8" t="s">
        <v>19</v>
      </c>
      <c r="C110" s="8" t="s">
        <v>3555</v>
      </c>
      <c r="D110" s="8" t="s">
        <v>5564</v>
      </c>
      <c r="E110" s="8" t="s">
        <v>2573</v>
      </c>
      <c r="F110" s="8">
        <v>0.0</v>
      </c>
      <c r="G110" s="8" t="s">
        <v>794</v>
      </c>
      <c r="H110" s="8" t="s">
        <v>22</v>
      </c>
      <c r="I110" s="8" t="s">
        <v>894</v>
      </c>
      <c r="J110" s="8" t="s">
        <v>24</v>
      </c>
      <c r="K110" s="9">
        <v>-0.25</v>
      </c>
      <c r="L110" s="9">
        <v>0.25</v>
      </c>
      <c r="M110" s="9">
        <v>0.25</v>
      </c>
      <c r="N110" s="10">
        <v>45210.0</v>
      </c>
      <c r="O110" s="11">
        <v>1.7</v>
      </c>
      <c r="P110" s="8" t="s">
        <v>25</v>
      </c>
      <c r="Q110" s="12">
        <f t="shared" si="1"/>
        <v>-0.25</v>
      </c>
      <c r="R110" s="12">
        <f t="shared" si="4"/>
        <v>5.202932759</v>
      </c>
    </row>
    <row r="111">
      <c r="A111" s="15">
        <f t="shared" si="3"/>
        <v>110</v>
      </c>
      <c r="B111" s="15" t="s">
        <v>19</v>
      </c>
      <c r="C111" s="15" t="s">
        <v>3556</v>
      </c>
      <c r="D111" s="15" t="s">
        <v>5564</v>
      </c>
      <c r="E111" s="15" t="s">
        <v>2660</v>
      </c>
      <c r="F111" s="15">
        <v>-2.0</v>
      </c>
      <c r="G111" s="15" t="s">
        <v>106</v>
      </c>
      <c r="H111" s="15" t="s">
        <v>22</v>
      </c>
      <c r="I111" s="15" t="s">
        <v>892</v>
      </c>
      <c r="J111" s="15" t="s">
        <v>1522</v>
      </c>
      <c r="K111" s="16">
        <v>0.0</v>
      </c>
      <c r="L111" s="16">
        <v>0.25</v>
      </c>
      <c r="M111" s="16">
        <v>0.25</v>
      </c>
      <c r="N111" s="17">
        <v>45210.0</v>
      </c>
      <c r="O111" s="18">
        <v>1.9</v>
      </c>
      <c r="P111" s="15" t="s">
        <v>33</v>
      </c>
      <c r="Q111" s="19">
        <f t="shared" si="1"/>
        <v>0.225</v>
      </c>
      <c r="R111" s="19">
        <f t="shared" si="4"/>
        <v>5.427932759</v>
      </c>
    </row>
    <row r="112">
      <c r="A112" s="8">
        <f t="shared" si="3"/>
        <v>111</v>
      </c>
      <c r="B112" s="8" t="s">
        <v>40</v>
      </c>
      <c r="C112" s="8" t="s">
        <v>3557</v>
      </c>
      <c r="D112" s="8" t="s">
        <v>5564</v>
      </c>
      <c r="E112" s="8" t="s">
        <v>2660</v>
      </c>
      <c r="F112" s="8">
        <v>0.0</v>
      </c>
      <c r="G112" s="8" t="s">
        <v>1961</v>
      </c>
      <c r="H112" s="8" t="s">
        <v>598</v>
      </c>
      <c r="I112" s="8" t="s">
        <v>892</v>
      </c>
      <c r="J112" s="8" t="s">
        <v>1851</v>
      </c>
      <c r="K112" s="9">
        <v>0.0</v>
      </c>
      <c r="L112" s="9">
        <v>0.5</v>
      </c>
      <c r="M112" s="9">
        <v>0.5</v>
      </c>
      <c r="N112" s="10">
        <v>45210.0</v>
      </c>
      <c r="O112" s="11">
        <v>1.725</v>
      </c>
      <c r="P112" s="8" t="s">
        <v>33</v>
      </c>
      <c r="Q112" s="12">
        <f t="shared" si="1"/>
        <v>0.3625</v>
      </c>
      <c r="R112" s="12">
        <f t="shared" si="4"/>
        <v>5.790432759</v>
      </c>
    </row>
    <row r="113">
      <c r="A113" s="15">
        <f t="shared" si="3"/>
        <v>112</v>
      </c>
      <c r="B113" s="15" t="s">
        <v>40</v>
      </c>
      <c r="C113" s="15" t="s">
        <v>3558</v>
      </c>
      <c r="D113" s="15" t="s">
        <v>5564</v>
      </c>
      <c r="E113" s="15" t="s">
        <v>2556</v>
      </c>
      <c r="F113" s="15">
        <f>1</f>
        <v>1</v>
      </c>
      <c r="G113" s="15" t="s">
        <v>38</v>
      </c>
      <c r="H113" s="15" t="s">
        <v>22</v>
      </c>
      <c r="I113" s="15" t="s">
        <v>225</v>
      </c>
      <c r="J113" s="15" t="s">
        <v>39</v>
      </c>
      <c r="K113" s="16">
        <v>0.25</v>
      </c>
      <c r="L113" s="16">
        <v>0.5</v>
      </c>
      <c r="M113" s="16">
        <v>0.5</v>
      </c>
      <c r="N113" s="17">
        <v>45210.0</v>
      </c>
      <c r="O113" s="18">
        <v>1.9</v>
      </c>
      <c r="P113" s="15" t="s">
        <v>33</v>
      </c>
      <c r="Q113" s="19">
        <f t="shared" si="1"/>
        <v>0.45</v>
      </c>
      <c r="R113" s="19">
        <f t="shared" si="4"/>
        <v>6.240432759</v>
      </c>
    </row>
    <row r="114">
      <c r="A114" s="8">
        <f t="shared" si="3"/>
        <v>113</v>
      </c>
      <c r="B114" s="8" t="s">
        <v>19</v>
      </c>
      <c r="C114" s="8" t="s">
        <v>3559</v>
      </c>
      <c r="D114" s="8" t="s">
        <v>5565</v>
      </c>
      <c r="E114" s="8" t="s">
        <v>2556</v>
      </c>
      <c r="F114" s="8">
        <v>-1.0</v>
      </c>
      <c r="G114" s="8" t="s">
        <v>82</v>
      </c>
      <c r="H114" s="8" t="s">
        <v>22</v>
      </c>
      <c r="I114" s="8" t="s">
        <v>225</v>
      </c>
      <c r="J114" s="8" t="s">
        <v>24</v>
      </c>
      <c r="K114" s="9">
        <v>2.75</v>
      </c>
      <c r="L114" s="9">
        <v>0.5</v>
      </c>
      <c r="M114" s="9">
        <v>0.5</v>
      </c>
      <c r="N114" s="10">
        <v>45211.0</v>
      </c>
      <c r="O114" s="11">
        <v>1.9</v>
      </c>
      <c r="P114" s="8" t="s">
        <v>25</v>
      </c>
      <c r="Q114" s="12">
        <f t="shared" si="1"/>
        <v>-0.5</v>
      </c>
      <c r="R114" s="12">
        <f t="shared" si="4"/>
        <v>5.740432759</v>
      </c>
    </row>
    <row r="115">
      <c r="A115" s="15">
        <f t="shared" si="3"/>
        <v>114</v>
      </c>
      <c r="B115" s="15" t="s">
        <v>19</v>
      </c>
      <c r="C115" s="15" t="s">
        <v>3560</v>
      </c>
      <c r="D115" s="15" t="s">
        <v>5565</v>
      </c>
      <c r="E115" s="15" t="s">
        <v>2556</v>
      </c>
      <c r="F115" s="15">
        <v>-2.0</v>
      </c>
      <c r="G115" s="15" t="s">
        <v>1031</v>
      </c>
      <c r="H115" s="15" t="s">
        <v>22</v>
      </c>
      <c r="I115" s="15" t="s">
        <v>225</v>
      </c>
      <c r="J115" s="15" t="s">
        <v>24</v>
      </c>
      <c r="K115" s="16">
        <v>0.5</v>
      </c>
      <c r="L115" s="16">
        <v>1.0</v>
      </c>
      <c r="M115" s="16">
        <v>1.0</v>
      </c>
      <c r="N115" s="17">
        <v>45211.0</v>
      </c>
      <c r="O115" s="18">
        <v>1.775</v>
      </c>
      <c r="P115" s="15" t="s">
        <v>25</v>
      </c>
      <c r="Q115" s="19">
        <f t="shared" si="1"/>
        <v>-1</v>
      </c>
      <c r="R115" s="19">
        <f t="shared" si="4"/>
        <v>4.740432759</v>
      </c>
    </row>
    <row r="116">
      <c r="A116" s="8">
        <f t="shared" si="3"/>
        <v>115</v>
      </c>
      <c r="B116" s="8" t="s">
        <v>19</v>
      </c>
      <c r="C116" s="8" t="s">
        <v>3561</v>
      </c>
      <c r="D116" s="8" t="s">
        <v>5565</v>
      </c>
      <c r="E116" s="8" t="s">
        <v>2573</v>
      </c>
      <c r="F116" s="8">
        <v>0.0</v>
      </c>
      <c r="G116" s="8" t="s">
        <v>82</v>
      </c>
      <c r="H116" s="8" t="s">
        <v>598</v>
      </c>
      <c r="I116" s="8" t="s">
        <v>894</v>
      </c>
      <c r="J116" s="8" t="s">
        <v>39</v>
      </c>
      <c r="K116" s="9">
        <v>-2.25</v>
      </c>
      <c r="L116" s="9">
        <v>0.25</v>
      </c>
      <c r="M116" s="9">
        <v>0.25</v>
      </c>
      <c r="N116" s="10">
        <v>45211.0</v>
      </c>
      <c r="O116" s="11">
        <v>1.725</v>
      </c>
      <c r="P116" s="8" t="s">
        <v>25</v>
      </c>
      <c r="Q116" s="12">
        <f t="shared" si="1"/>
        <v>-0.25</v>
      </c>
      <c r="R116" s="12">
        <f t="shared" si="4"/>
        <v>4.490432759</v>
      </c>
    </row>
    <row r="117">
      <c r="A117" s="15">
        <f t="shared" si="3"/>
        <v>116</v>
      </c>
      <c r="B117" s="15" t="s">
        <v>19</v>
      </c>
      <c r="C117" s="15" t="s">
        <v>3562</v>
      </c>
      <c r="D117" s="15" t="s">
        <v>5564</v>
      </c>
      <c r="E117" s="15" t="s">
        <v>2660</v>
      </c>
      <c r="F117" s="15">
        <v>0.0</v>
      </c>
      <c r="G117" s="15" t="s">
        <v>1031</v>
      </c>
      <c r="H117" s="15" t="s">
        <v>22</v>
      </c>
      <c r="I117" s="15" t="s">
        <v>892</v>
      </c>
      <c r="J117" s="15" t="s">
        <v>24</v>
      </c>
      <c r="K117" s="16">
        <v>0.0</v>
      </c>
      <c r="L117" s="16">
        <v>1.0</v>
      </c>
      <c r="M117" s="16">
        <v>1.0</v>
      </c>
      <c r="N117" s="17">
        <v>45211.0</v>
      </c>
      <c r="O117" s="18">
        <v>1.85</v>
      </c>
      <c r="P117" s="15" t="s">
        <v>70</v>
      </c>
      <c r="Q117" s="19">
        <f t="shared" si="1"/>
        <v>0</v>
      </c>
      <c r="R117" s="19">
        <f t="shared" si="4"/>
        <v>4.490432759</v>
      </c>
    </row>
    <row r="118">
      <c r="A118" s="8">
        <f t="shared" si="3"/>
        <v>117</v>
      </c>
      <c r="B118" s="8" t="s">
        <v>19</v>
      </c>
      <c r="C118" s="8" t="s">
        <v>3563</v>
      </c>
      <c r="D118" s="8"/>
      <c r="E118" s="8"/>
      <c r="F118" s="8"/>
      <c r="G118" s="8" t="s">
        <v>794</v>
      </c>
      <c r="H118" s="8" t="s">
        <v>598</v>
      </c>
      <c r="I118" s="8" t="s">
        <v>29</v>
      </c>
      <c r="J118" s="8" t="s">
        <v>1522</v>
      </c>
      <c r="K118" s="9">
        <v>-2.75</v>
      </c>
      <c r="L118" s="9">
        <v>1.0</v>
      </c>
      <c r="M118" s="9">
        <v>1.0</v>
      </c>
      <c r="N118" s="10">
        <v>45211.0</v>
      </c>
      <c r="O118" s="11">
        <v>2.0</v>
      </c>
      <c r="P118" s="8" t="s">
        <v>25</v>
      </c>
      <c r="Q118" s="12">
        <f t="shared" si="1"/>
        <v>-1</v>
      </c>
      <c r="R118" s="12">
        <f t="shared" si="4"/>
        <v>3.490432759</v>
      </c>
    </row>
    <row r="119">
      <c r="A119" s="15">
        <f t="shared" si="3"/>
        <v>118</v>
      </c>
      <c r="B119" s="15" t="s">
        <v>19</v>
      </c>
      <c r="C119" s="15" t="s">
        <v>3564</v>
      </c>
      <c r="D119" s="15" t="s">
        <v>5564</v>
      </c>
      <c r="E119" s="15" t="s">
        <v>2556</v>
      </c>
      <c r="F119" s="15">
        <v>0.0</v>
      </c>
      <c r="G119" s="15" t="s">
        <v>794</v>
      </c>
      <c r="H119" s="15" t="s">
        <v>22</v>
      </c>
      <c r="I119" s="15" t="s">
        <v>225</v>
      </c>
      <c r="J119" s="15" t="s">
        <v>39</v>
      </c>
      <c r="K119" s="16">
        <v>0.5</v>
      </c>
      <c r="L119" s="16">
        <v>0.5</v>
      </c>
      <c r="M119" s="16">
        <v>0.5</v>
      </c>
      <c r="N119" s="17">
        <v>45211.0</v>
      </c>
      <c r="O119" s="18">
        <v>1.95</v>
      </c>
      <c r="P119" s="15" t="s">
        <v>25</v>
      </c>
      <c r="Q119" s="19">
        <f t="shared" si="1"/>
        <v>-0.5</v>
      </c>
      <c r="R119" s="19">
        <f t="shared" si="4"/>
        <v>2.990432759</v>
      </c>
    </row>
    <row r="120">
      <c r="A120" s="8">
        <f t="shared" si="3"/>
        <v>119</v>
      </c>
      <c r="B120" s="8" t="s">
        <v>19</v>
      </c>
      <c r="C120" s="8" t="s">
        <v>3565</v>
      </c>
      <c r="D120" s="8" t="s">
        <v>5565</v>
      </c>
      <c r="E120" s="8" t="s">
        <v>2660</v>
      </c>
      <c r="F120" s="8">
        <v>-2.0</v>
      </c>
      <c r="G120" s="8" t="s">
        <v>28</v>
      </c>
      <c r="H120" s="8" t="s">
        <v>22</v>
      </c>
      <c r="I120" s="8" t="s">
        <v>892</v>
      </c>
      <c r="J120" s="8" t="s">
        <v>1851</v>
      </c>
      <c r="K120" s="9">
        <v>0.0</v>
      </c>
      <c r="L120" s="9">
        <v>0.75</v>
      </c>
      <c r="M120" s="9">
        <v>0.75</v>
      </c>
      <c r="N120" s="10">
        <v>45211.0</v>
      </c>
      <c r="O120" s="11">
        <v>2.0</v>
      </c>
      <c r="P120" s="8" t="s">
        <v>70</v>
      </c>
      <c r="Q120" s="12">
        <f t="shared" si="1"/>
        <v>0</v>
      </c>
      <c r="R120" s="12">
        <f t="shared" si="4"/>
        <v>2.990432759</v>
      </c>
    </row>
    <row r="121">
      <c r="A121" s="15">
        <f t="shared" si="3"/>
        <v>120</v>
      </c>
      <c r="B121" s="15" t="s">
        <v>19</v>
      </c>
      <c r="C121" s="15" t="s">
        <v>3566</v>
      </c>
      <c r="D121" s="15" t="s">
        <v>5564</v>
      </c>
      <c r="E121" s="15" t="s">
        <v>2660</v>
      </c>
      <c r="F121" s="15">
        <v>0.0</v>
      </c>
      <c r="G121" s="15" t="s">
        <v>78</v>
      </c>
      <c r="H121" s="15" t="s">
        <v>22</v>
      </c>
      <c r="I121" s="15" t="s">
        <v>1150</v>
      </c>
      <c r="J121" s="15" t="s">
        <v>1522</v>
      </c>
      <c r="K121" s="16">
        <v>0.0</v>
      </c>
      <c r="L121" s="16">
        <v>0.5</v>
      </c>
      <c r="M121" s="16">
        <v>0.5</v>
      </c>
      <c r="N121" s="17">
        <v>45212.0</v>
      </c>
      <c r="O121" s="18">
        <v>2.08</v>
      </c>
      <c r="P121" s="15" t="s">
        <v>25</v>
      </c>
      <c r="Q121" s="19">
        <f t="shared" si="1"/>
        <v>-0.5</v>
      </c>
      <c r="R121" s="19">
        <f t="shared" si="4"/>
        <v>2.490432759</v>
      </c>
    </row>
    <row r="122">
      <c r="A122" s="8">
        <f t="shared" si="3"/>
        <v>121</v>
      </c>
      <c r="B122" s="8" t="s">
        <v>19</v>
      </c>
      <c r="C122" s="8" t="s">
        <v>3567</v>
      </c>
      <c r="D122" s="8" t="s">
        <v>5565</v>
      </c>
      <c r="E122" s="8" t="s">
        <v>2556</v>
      </c>
      <c r="F122" s="8">
        <v>0.0</v>
      </c>
      <c r="G122" s="8" t="s">
        <v>583</v>
      </c>
      <c r="H122" s="8" t="s">
        <v>22</v>
      </c>
      <c r="I122" s="8" t="s">
        <v>225</v>
      </c>
      <c r="J122" s="8" t="s">
        <v>24</v>
      </c>
      <c r="K122" s="9">
        <v>1.25</v>
      </c>
      <c r="L122" s="9">
        <v>0.9</v>
      </c>
      <c r="M122" s="9">
        <v>0.9</v>
      </c>
      <c r="N122" s="54">
        <v>45212.0</v>
      </c>
      <c r="O122" s="11">
        <v>1.85</v>
      </c>
      <c r="P122" s="8" t="s">
        <v>30</v>
      </c>
      <c r="Q122" s="12">
        <f t="shared" si="1"/>
        <v>0.3825</v>
      </c>
      <c r="R122" s="12">
        <f t="shared" si="4"/>
        <v>2.872932759</v>
      </c>
    </row>
    <row r="123">
      <c r="A123" s="15">
        <f t="shared" si="3"/>
        <v>122</v>
      </c>
      <c r="B123" s="15" t="s">
        <v>19</v>
      </c>
      <c r="C123" s="15" t="s">
        <v>3568</v>
      </c>
      <c r="D123" s="15" t="s">
        <v>5565</v>
      </c>
      <c r="E123" s="15"/>
      <c r="F123" s="15">
        <v>0.0</v>
      </c>
      <c r="G123" s="15" t="s">
        <v>583</v>
      </c>
      <c r="H123" s="15" t="s">
        <v>22</v>
      </c>
      <c r="I123" s="15" t="s">
        <v>1165</v>
      </c>
      <c r="J123" s="15" t="s">
        <v>24</v>
      </c>
      <c r="K123" s="16"/>
      <c r="L123" s="16">
        <v>0.1</v>
      </c>
      <c r="M123" s="16">
        <v>0.1</v>
      </c>
      <c r="N123" s="17">
        <v>45212.0</v>
      </c>
      <c r="O123" s="18">
        <v>5.5</v>
      </c>
      <c r="P123" s="15" t="s">
        <v>25</v>
      </c>
      <c r="Q123" s="19">
        <f t="shared" si="1"/>
        <v>-0.1</v>
      </c>
      <c r="R123" s="19">
        <f t="shared" si="4"/>
        <v>2.772932759</v>
      </c>
    </row>
    <row r="124">
      <c r="A124" s="8">
        <f t="shared" si="3"/>
        <v>123</v>
      </c>
      <c r="B124" s="8" t="s">
        <v>19</v>
      </c>
      <c r="C124" s="8" t="s">
        <v>3569</v>
      </c>
      <c r="D124" s="8"/>
      <c r="E124" s="8"/>
      <c r="F124" s="8"/>
      <c r="G124" s="8" t="s">
        <v>182</v>
      </c>
      <c r="H124" s="8" t="s">
        <v>598</v>
      </c>
      <c r="I124" s="8" t="s">
        <v>23</v>
      </c>
      <c r="J124" s="8" t="s">
        <v>1522</v>
      </c>
      <c r="K124" s="9">
        <v>-10.0</v>
      </c>
      <c r="L124" s="9">
        <v>0.5</v>
      </c>
      <c r="M124" s="9">
        <v>0.5</v>
      </c>
      <c r="N124" s="10">
        <v>45212.0</v>
      </c>
      <c r="O124" s="11">
        <v>1.8</v>
      </c>
      <c r="P124" s="8" t="s">
        <v>33</v>
      </c>
      <c r="Q124" s="12">
        <f t="shared" si="1"/>
        <v>0.4</v>
      </c>
      <c r="R124" s="12">
        <f t="shared" si="4"/>
        <v>3.172932759</v>
      </c>
    </row>
    <row r="125">
      <c r="A125" s="15">
        <f t="shared" si="3"/>
        <v>124</v>
      </c>
      <c r="B125" s="15" t="s">
        <v>19</v>
      </c>
      <c r="C125" s="15" t="s">
        <v>3570</v>
      </c>
      <c r="D125" s="15" t="s">
        <v>5564</v>
      </c>
      <c r="E125" s="15" t="s">
        <v>2660</v>
      </c>
      <c r="F125" s="15">
        <v>0.0</v>
      </c>
      <c r="G125" s="15" t="s">
        <v>187</v>
      </c>
      <c r="H125" s="15" t="s">
        <v>22</v>
      </c>
      <c r="I125" s="15" t="s">
        <v>892</v>
      </c>
      <c r="J125" s="15" t="s">
        <v>24</v>
      </c>
      <c r="K125" s="16">
        <v>0.0</v>
      </c>
      <c r="L125" s="16">
        <v>1.0</v>
      </c>
      <c r="M125" s="16">
        <v>1.0</v>
      </c>
      <c r="N125" s="55">
        <v>45212.0</v>
      </c>
      <c r="O125" s="18">
        <v>1.68</v>
      </c>
      <c r="P125" s="15" t="s">
        <v>33</v>
      </c>
      <c r="Q125" s="19">
        <f t="shared" si="1"/>
        <v>0.68</v>
      </c>
      <c r="R125" s="19">
        <f t="shared" si="4"/>
        <v>3.852932759</v>
      </c>
    </row>
    <row r="126">
      <c r="A126" s="8">
        <f t="shared" si="3"/>
        <v>125</v>
      </c>
      <c r="B126" s="8" t="s">
        <v>19</v>
      </c>
      <c r="C126" s="8" t="s">
        <v>3571</v>
      </c>
      <c r="D126" s="8" t="s">
        <v>5564</v>
      </c>
      <c r="E126" s="8" t="s">
        <v>2556</v>
      </c>
      <c r="F126" s="8">
        <v>0.0</v>
      </c>
      <c r="G126" s="8" t="s">
        <v>659</v>
      </c>
      <c r="H126" s="8" t="s">
        <v>22</v>
      </c>
      <c r="I126" s="8" t="s">
        <v>225</v>
      </c>
      <c r="J126" s="8" t="s">
        <v>39</v>
      </c>
      <c r="K126" s="9">
        <v>0.5</v>
      </c>
      <c r="L126" s="9">
        <v>1.0</v>
      </c>
      <c r="M126" s="9">
        <v>1.0</v>
      </c>
      <c r="N126" s="10">
        <v>45212.0</v>
      </c>
      <c r="O126" s="11">
        <v>1.9</v>
      </c>
      <c r="P126" s="8" t="s">
        <v>25</v>
      </c>
      <c r="Q126" s="12">
        <f t="shared" si="1"/>
        <v>-1</v>
      </c>
      <c r="R126" s="12">
        <f t="shared" si="4"/>
        <v>2.852932759</v>
      </c>
    </row>
    <row r="127">
      <c r="A127" s="15">
        <f t="shared" si="3"/>
        <v>126</v>
      </c>
      <c r="B127" s="15" t="s">
        <v>19</v>
      </c>
      <c r="C127" s="15" t="s">
        <v>3572</v>
      </c>
      <c r="D127" s="15" t="s">
        <v>5564</v>
      </c>
      <c r="E127" s="15" t="s">
        <v>2660</v>
      </c>
      <c r="F127" s="15">
        <v>-1.0</v>
      </c>
      <c r="G127" s="15" t="s">
        <v>659</v>
      </c>
      <c r="H127" s="15" t="s">
        <v>22</v>
      </c>
      <c r="I127" s="15" t="s">
        <v>892</v>
      </c>
      <c r="J127" s="15" t="s">
        <v>39</v>
      </c>
      <c r="K127" s="16">
        <v>0.0</v>
      </c>
      <c r="L127" s="16">
        <v>1.0</v>
      </c>
      <c r="M127" s="16">
        <v>1.0</v>
      </c>
      <c r="N127" s="17">
        <v>45212.0</v>
      </c>
      <c r="O127" s="18">
        <v>1.875</v>
      </c>
      <c r="P127" s="15" t="s">
        <v>25</v>
      </c>
      <c r="Q127" s="19">
        <f t="shared" si="1"/>
        <v>-1</v>
      </c>
      <c r="R127" s="19">
        <f t="shared" si="4"/>
        <v>1.852932759</v>
      </c>
    </row>
    <row r="128">
      <c r="A128" s="8">
        <f t="shared" si="3"/>
        <v>127</v>
      </c>
      <c r="B128" s="8" t="s">
        <v>19</v>
      </c>
      <c r="C128" s="8" t="s">
        <v>3573</v>
      </c>
      <c r="D128" s="8" t="s">
        <v>5564</v>
      </c>
      <c r="E128" s="8" t="s">
        <v>2556</v>
      </c>
      <c r="F128" s="8">
        <v>0.0</v>
      </c>
      <c r="G128" s="8" t="s">
        <v>612</v>
      </c>
      <c r="H128" s="8" t="s">
        <v>22</v>
      </c>
      <c r="I128" s="8" t="s">
        <v>225</v>
      </c>
      <c r="J128" s="8" t="s">
        <v>24</v>
      </c>
      <c r="K128" s="9">
        <v>1.0</v>
      </c>
      <c r="L128" s="9">
        <v>1.0</v>
      </c>
      <c r="M128" s="9">
        <v>1.0</v>
      </c>
      <c r="N128" s="10">
        <v>45212.0</v>
      </c>
      <c r="O128" s="11">
        <v>1.116</v>
      </c>
      <c r="P128" s="8" t="s">
        <v>33</v>
      </c>
      <c r="Q128" s="12">
        <f t="shared" si="1"/>
        <v>0.116</v>
      </c>
      <c r="R128" s="12">
        <f t="shared" si="4"/>
        <v>1.968932759</v>
      </c>
    </row>
    <row r="129">
      <c r="A129" s="15">
        <f t="shared" si="3"/>
        <v>128</v>
      </c>
      <c r="B129" s="15" t="s">
        <v>19</v>
      </c>
      <c r="C129" s="15" t="s">
        <v>3574</v>
      </c>
      <c r="D129" s="15"/>
      <c r="E129" s="15"/>
      <c r="F129" s="15"/>
      <c r="G129" s="15" t="s">
        <v>768</v>
      </c>
      <c r="H129" s="15" t="s">
        <v>598</v>
      </c>
      <c r="I129" s="15" t="s">
        <v>440</v>
      </c>
      <c r="J129" s="15" t="s">
        <v>24</v>
      </c>
      <c r="K129" s="16">
        <v>5.5</v>
      </c>
      <c r="L129" s="16">
        <v>0.4</v>
      </c>
      <c r="M129" s="16">
        <v>0.4</v>
      </c>
      <c r="N129" s="17">
        <v>45214.0</v>
      </c>
      <c r="O129" s="18">
        <v>2.1</v>
      </c>
      <c r="P129" s="15" t="s">
        <v>25</v>
      </c>
      <c r="Q129" s="19">
        <f t="shared" si="1"/>
        <v>-0.4</v>
      </c>
      <c r="R129" s="19">
        <f t="shared" si="4"/>
        <v>1.568932759</v>
      </c>
    </row>
    <row r="130">
      <c r="A130" s="8">
        <f t="shared" si="3"/>
        <v>129</v>
      </c>
      <c r="B130" s="8" t="s">
        <v>19</v>
      </c>
      <c r="C130" s="8" t="s">
        <v>3575</v>
      </c>
      <c r="D130" s="8"/>
      <c r="E130" s="8"/>
      <c r="F130" s="8"/>
      <c r="G130" s="8" t="s">
        <v>82</v>
      </c>
      <c r="H130" s="8" t="s">
        <v>598</v>
      </c>
      <c r="I130" s="8" t="s">
        <v>2415</v>
      </c>
      <c r="J130" s="8" t="s">
        <v>39</v>
      </c>
      <c r="K130" s="9">
        <v>10.0</v>
      </c>
      <c r="L130" s="9">
        <v>0.5</v>
      </c>
      <c r="M130" s="9">
        <v>0.5</v>
      </c>
      <c r="N130" s="10">
        <v>45212.0</v>
      </c>
      <c r="O130" s="11">
        <v>1.8</v>
      </c>
      <c r="P130" s="8" t="s">
        <v>25</v>
      </c>
      <c r="Q130" s="12">
        <f t="shared" si="1"/>
        <v>-0.5</v>
      </c>
      <c r="R130" s="12">
        <f t="shared" si="4"/>
        <v>1.068932759</v>
      </c>
    </row>
    <row r="131">
      <c r="A131" s="15">
        <f t="shared" si="3"/>
        <v>130</v>
      </c>
      <c r="B131" s="15" t="s">
        <v>40</v>
      </c>
      <c r="C131" s="15" t="s">
        <v>3576</v>
      </c>
      <c r="D131" s="15" t="s">
        <v>5564</v>
      </c>
      <c r="E131" s="15" t="s">
        <v>2556</v>
      </c>
      <c r="F131" s="15">
        <v>-2.0</v>
      </c>
      <c r="G131" s="15" t="s">
        <v>487</v>
      </c>
      <c r="H131" s="15" t="s">
        <v>22</v>
      </c>
      <c r="I131" s="15" t="s">
        <v>225</v>
      </c>
      <c r="J131" s="15" t="s">
        <v>39</v>
      </c>
      <c r="K131" s="16">
        <v>0.25</v>
      </c>
      <c r="L131" s="16">
        <v>0.5</v>
      </c>
      <c r="M131" s="16">
        <v>0.5</v>
      </c>
      <c r="N131" s="17">
        <v>45213.0</v>
      </c>
      <c r="O131" s="18">
        <v>1.8</v>
      </c>
      <c r="P131" s="15" t="s">
        <v>30</v>
      </c>
      <c r="Q131" s="19">
        <f t="shared" si="1"/>
        <v>0.2</v>
      </c>
      <c r="R131" s="19">
        <f t="shared" si="4"/>
        <v>1.268932759</v>
      </c>
    </row>
    <row r="132">
      <c r="A132" s="8">
        <f t="shared" si="3"/>
        <v>131</v>
      </c>
      <c r="B132" s="8" t="s">
        <v>40</v>
      </c>
      <c r="C132" s="8" t="s">
        <v>3577</v>
      </c>
      <c r="D132" s="8" t="s">
        <v>5565</v>
      </c>
      <c r="E132" s="8" t="s">
        <v>2556</v>
      </c>
      <c r="F132" s="8">
        <v>-3.0</v>
      </c>
      <c r="G132" s="8" t="s">
        <v>48</v>
      </c>
      <c r="H132" s="8" t="s">
        <v>22</v>
      </c>
      <c r="I132" s="8" t="s">
        <v>225</v>
      </c>
      <c r="J132" s="8" t="s">
        <v>24</v>
      </c>
      <c r="K132" s="9">
        <v>0.5</v>
      </c>
      <c r="L132" s="9">
        <v>0.75</v>
      </c>
      <c r="M132" s="9">
        <v>0.75</v>
      </c>
      <c r="N132" s="10">
        <v>45213.0</v>
      </c>
      <c r="O132" s="11">
        <v>1.75</v>
      </c>
      <c r="P132" s="8" t="s">
        <v>33</v>
      </c>
      <c r="Q132" s="12">
        <f t="shared" si="1"/>
        <v>0.5625</v>
      </c>
      <c r="R132" s="12">
        <f t="shared" si="4"/>
        <v>1.831432759</v>
      </c>
    </row>
    <row r="133">
      <c r="A133" s="15">
        <f t="shared" si="3"/>
        <v>132</v>
      </c>
      <c r="B133" s="15" t="s">
        <v>40</v>
      </c>
      <c r="C133" s="15" t="s">
        <v>3578</v>
      </c>
      <c r="D133" s="15" t="s">
        <v>5565</v>
      </c>
      <c r="E133" s="15"/>
      <c r="F133" s="15"/>
      <c r="G133" s="15" t="s">
        <v>908</v>
      </c>
      <c r="H133" s="15" t="s">
        <v>22</v>
      </c>
      <c r="I133" s="15" t="s">
        <v>1165</v>
      </c>
      <c r="J133" s="15" t="s">
        <v>24</v>
      </c>
      <c r="K133" s="16"/>
      <c r="L133" s="16">
        <v>0.1</v>
      </c>
      <c r="M133" s="16">
        <v>0.1</v>
      </c>
      <c r="N133" s="17">
        <v>45213.0</v>
      </c>
      <c r="O133" s="18">
        <v>7.5</v>
      </c>
      <c r="P133" s="15" t="s">
        <v>33</v>
      </c>
      <c r="Q133" s="19">
        <f t="shared" si="1"/>
        <v>0.65</v>
      </c>
      <c r="R133" s="19">
        <f t="shared" si="4"/>
        <v>2.481432759</v>
      </c>
    </row>
    <row r="134">
      <c r="A134" s="8">
        <f t="shared" si="3"/>
        <v>133</v>
      </c>
      <c r="B134" s="8" t="s">
        <v>19</v>
      </c>
      <c r="C134" s="8" t="s">
        <v>3579</v>
      </c>
      <c r="D134" s="8" t="s">
        <v>5564</v>
      </c>
      <c r="E134" s="8" t="s">
        <v>2660</v>
      </c>
      <c r="F134" s="8">
        <v>-2.0</v>
      </c>
      <c r="G134" s="8" t="s">
        <v>28</v>
      </c>
      <c r="H134" s="8" t="s">
        <v>22</v>
      </c>
      <c r="I134" s="8" t="s">
        <v>892</v>
      </c>
      <c r="J134" s="8" t="s">
        <v>1522</v>
      </c>
      <c r="K134" s="9">
        <v>0.0</v>
      </c>
      <c r="L134" s="9">
        <v>1.0</v>
      </c>
      <c r="M134" s="9">
        <v>1.0</v>
      </c>
      <c r="N134" s="10">
        <v>45213.0</v>
      </c>
      <c r="O134" s="11">
        <v>1.7</v>
      </c>
      <c r="P134" s="8" t="s">
        <v>70</v>
      </c>
      <c r="Q134" s="12">
        <f t="shared" si="1"/>
        <v>0</v>
      </c>
      <c r="R134" s="12">
        <f t="shared" si="4"/>
        <v>2.481432759</v>
      </c>
    </row>
    <row r="135">
      <c r="A135" s="15">
        <f t="shared" si="3"/>
        <v>134</v>
      </c>
      <c r="B135" s="15" t="s">
        <v>19</v>
      </c>
      <c r="C135" s="15" t="s">
        <v>3580</v>
      </c>
      <c r="D135" s="15" t="s">
        <v>5565</v>
      </c>
      <c r="E135" s="15" t="s">
        <v>2573</v>
      </c>
      <c r="F135" s="15">
        <v>7</v>
      </c>
      <c r="G135" s="15" t="s">
        <v>583</v>
      </c>
      <c r="H135" s="15" t="s">
        <v>22</v>
      </c>
      <c r="I135" s="15" t="s">
        <v>894</v>
      </c>
      <c r="J135" s="15" t="s">
        <v>24</v>
      </c>
      <c r="K135" s="16">
        <v>-0.25</v>
      </c>
      <c r="L135" s="16">
        <v>0.25</v>
      </c>
      <c r="M135" s="16">
        <f>6/27*0.25</f>
        <v>0.05555555556</v>
      </c>
      <c r="N135" s="17">
        <v>45213.0</v>
      </c>
      <c r="O135" s="18">
        <v>1.775</v>
      </c>
      <c r="P135" s="15" t="s">
        <v>70</v>
      </c>
      <c r="Q135" s="19">
        <f t="shared" si="1"/>
        <v>0</v>
      </c>
      <c r="R135" s="19">
        <f t="shared" si="4"/>
        <v>2.481432759</v>
      </c>
    </row>
    <row r="136">
      <c r="A136" s="8">
        <f t="shared" si="3"/>
        <v>135</v>
      </c>
      <c r="B136" s="8" t="s">
        <v>19</v>
      </c>
      <c r="C136" s="8" t="s">
        <v>3581</v>
      </c>
      <c r="D136" s="8" t="s">
        <v>5565</v>
      </c>
      <c r="E136" s="8" t="s">
        <v>2573</v>
      </c>
      <c r="F136" s="8">
        <v>7</v>
      </c>
      <c r="G136" s="8" t="s">
        <v>583</v>
      </c>
      <c r="H136" s="8" t="s">
        <v>22</v>
      </c>
      <c r="I136" s="8" t="s">
        <v>894</v>
      </c>
      <c r="J136" s="8" t="s">
        <v>24</v>
      </c>
      <c r="K136" s="9">
        <v>-0.5</v>
      </c>
      <c r="L136" s="9">
        <v>0.25</v>
      </c>
      <c r="M136" s="9">
        <v>0.25</v>
      </c>
      <c r="N136" s="54">
        <v>45213.0</v>
      </c>
      <c r="O136" s="11">
        <v>1.85</v>
      </c>
      <c r="P136" s="8" t="s">
        <v>70</v>
      </c>
      <c r="Q136" s="12">
        <f t="shared" si="1"/>
        <v>0</v>
      </c>
      <c r="R136" s="12">
        <f t="shared" si="4"/>
        <v>2.481432759</v>
      </c>
    </row>
    <row r="137">
      <c r="A137" s="15">
        <f t="shared" si="3"/>
        <v>136</v>
      </c>
      <c r="B137" s="15" t="s">
        <v>19</v>
      </c>
      <c r="C137" s="95" t="s">
        <v>3581</v>
      </c>
      <c r="D137" s="15" t="s">
        <v>5565</v>
      </c>
      <c r="E137" s="15" t="s">
        <v>2573</v>
      </c>
      <c r="F137" s="15">
        <v>8</v>
      </c>
      <c r="G137" s="15" t="s">
        <v>583</v>
      </c>
      <c r="H137" s="15" t="s">
        <v>22</v>
      </c>
      <c r="I137" s="15" t="s">
        <v>894</v>
      </c>
      <c r="J137" s="15" t="s">
        <v>24</v>
      </c>
      <c r="K137" s="16">
        <v>-0.5</v>
      </c>
      <c r="L137" s="16">
        <v>0.25</v>
      </c>
      <c r="M137" s="16">
        <v>0.25</v>
      </c>
      <c r="N137" s="17">
        <v>45213.0</v>
      </c>
      <c r="O137" s="18">
        <v>1.9</v>
      </c>
      <c r="P137" s="15" t="s">
        <v>70</v>
      </c>
      <c r="Q137" s="19">
        <f t="shared" si="1"/>
        <v>0</v>
      </c>
      <c r="R137" s="19">
        <f t="shared" si="4"/>
        <v>2.481432759</v>
      </c>
    </row>
    <row r="138">
      <c r="A138" s="8">
        <f t="shared" si="3"/>
        <v>137</v>
      </c>
      <c r="B138" s="8" t="s">
        <v>19</v>
      </c>
      <c r="C138" s="8" t="s">
        <v>3582</v>
      </c>
      <c r="D138" s="8"/>
      <c r="E138" s="8"/>
      <c r="F138" s="8"/>
      <c r="G138" s="8" t="s">
        <v>3583</v>
      </c>
      <c r="H138" s="8" t="s">
        <v>598</v>
      </c>
      <c r="I138" s="8" t="s">
        <v>2415</v>
      </c>
      <c r="J138" s="8" t="s">
        <v>1522</v>
      </c>
      <c r="K138" s="9">
        <v>11.0</v>
      </c>
      <c r="L138" s="9">
        <v>1.0</v>
      </c>
      <c r="M138" s="9">
        <v>1.0</v>
      </c>
      <c r="N138" s="56">
        <v>45213.0</v>
      </c>
      <c r="O138" s="11">
        <v>2.0</v>
      </c>
      <c r="P138" s="8" t="s">
        <v>25</v>
      </c>
      <c r="Q138" s="12">
        <f t="shared" si="1"/>
        <v>-1</v>
      </c>
      <c r="R138" s="12">
        <f t="shared" si="4"/>
        <v>1.481432759</v>
      </c>
    </row>
    <row r="139">
      <c r="A139" s="15">
        <f t="shared" si="3"/>
        <v>138</v>
      </c>
      <c r="B139" s="15" t="s">
        <v>40</v>
      </c>
      <c r="C139" s="15" t="s">
        <v>3584</v>
      </c>
      <c r="D139" s="15"/>
      <c r="E139" s="15"/>
      <c r="F139" s="15"/>
      <c r="G139" s="15" t="s">
        <v>463</v>
      </c>
      <c r="H139" s="15" t="s">
        <v>22</v>
      </c>
      <c r="I139" s="15" t="s">
        <v>2415</v>
      </c>
      <c r="J139" s="15" t="s">
        <v>1522</v>
      </c>
      <c r="K139" s="16">
        <v>8.5</v>
      </c>
      <c r="L139" s="16">
        <v>0.5</v>
      </c>
      <c r="M139" s="16">
        <v>0.5</v>
      </c>
      <c r="N139" s="17">
        <v>45213.0</v>
      </c>
      <c r="O139" s="18">
        <v>2.0</v>
      </c>
      <c r="P139" s="15" t="s">
        <v>33</v>
      </c>
      <c r="Q139" s="19">
        <f t="shared" si="1"/>
        <v>0.5</v>
      </c>
      <c r="R139" s="19">
        <f t="shared" si="4"/>
        <v>1.981432759</v>
      </c>
    </row>
    <row r="140">
      <c r="A140" s="8">
        <f t="shared" si="3"/>
        <v>139</v>
      </c>
      <c r="B140" s="8" t="s">
        <v>19</v>
      </c>
      <c r="C140" s="8" t="s">
        <v>3585</v>
      </c>
      <c r="D140" s="8" t="s">
        <v>5564</v>
      </c>
      <c r="E140" s="8" t="s">
        <v>2660</v>
      </c>
      <c r="F140" s="8"/>
      <c r="G140" s="8" t="s">
        <v>82</v>
      </c>
      <c r="H140" s="8" t="s">
        <v>598</v>
      </c>
      <c r="I140" s="8" t="s">
        <v>892</v>
      </c>
      <c r="J140" s="8" t="s">
        <v>1522</v>
      </c>
      <c r="K140" s="9">
        <v>0.0</v>
      </c>
      <c r="L140" s="9">
        <v>0.5</v>
      </c>
      <c r="M140" s="9">
        <v>0.5</v>
      </c>
      <c r="N140" s="10">
        <v>45213.0</v>
      </c>
      <c r="O140" s="11">
        <v>1.9</v>
      </c>
      <c r="P140" s="8" t="s">
        <v>33</v>
      </c>
      <c r="Q140" s="12">
        <f t="shared" si="1"/>
        <v>0.45</v>
      </c>
      <c r="R140" s="12">
        <f t="shared" si="4"/>
        <v>2.431432759</v>
      </c>
    </row>
    <row r="141">
      <c r="A141" s="15">
        <f t="shared" si="3"/>
        <v>140</v>
      </c>
      <c r="B141" s="15" t="s">
        <v>40</v>
      </c>
      <c r="C141" s="15" t="s">
        <v>3586</v>
      </c>
      <c r="D141" s="15"/>
      <c r="E141" s="15"/>
      <c r="F141" s="15" t="s">
        <v>3242</v>
      </c>
      <c r="G141" s="15" t="s">
        <v>101</v>
      </c>
      <c r="H141" s="15" t="s">
        <v>22</v>
      </c>
      <c r="I141" s="15" t="s">
        <v>29</v>
      </c>
      <c r="J141" s="15" t="s">
        <v>24</v>
      </c>
      <c r="K141" s="16">
        <v>-2.5</v>
      </c>
      <c r="L141" s="16">
        <v>0.5</v>
      </c>
      <c r="M141" s="16">
        <v>0.5</v>
      </c>
      <c r="N141" s="17">
        <v>45213.0</v>
      </c>
      <c r="O141" s="18">
        <v>1.75</v>
      </c>
      <c r="P141" s="15" t="s">
        <v>25</v>
      </c>
      <c r="Q141" s="19">
        <f t="shared" si="1"/>
        <v>-0.5</v>
      </c>
      <c r="R141" s="19">
        <f t="shared" si="4"/>
        <v>1.931432759</v>
      </c>
    </row>
    <row r="142">
      <c r="A142" s="8">
        <f t="shared" si="3"/>
        <v>141</v>
      </c>
      <c r="B142" s="8" t="s">
        <v>19</v>
      </c>
      <c r="C142" s="8" t="s">
        <v>3587</v>
      </c>
      <c r="D142" s="8" t="s">
        <v>5564</v>
      </c>
      <c r="E142" s="8" t="s">
        <v>2556</v>
      </c>
      <c r="F142" s="8">
        <v>0.0</v>
      </c>
      <c r="G142" s="8" t="s">
        <v>121</v>
      </c>
      <c r="H142" s="8" t="s">
        <v>22</v>
      </c>
      <c r="I142" s="8" t="s">
        <v>225</v>
      </c>
      <c r="J142" s="8" t="s">
        <v>24</v>
      </c>
      <c r="K142" s="9">
        <v>1.5</v>
      </c>
      <c r="L142" s="9">
        <v>0.95</v>
      </c>
      <c r="M142" s="9">
        <v>0.95</v>
      </c>
      <c r="N142" s="10">
        <v>45213.0</v>
      </c>
      <c r="O142" s="11">
        <v>1.8</v>
      </c>
      <c r="P142" s="8" t="s">
        <v>33</v>
      </c>
      <c r="Q142" s="12">
        <f t="shared" si="1"/>
        <v>0.76</v>
      </c>
      <c r="R142" s="12">
        <f t="shared" si="4"/>
        <v>2.691432759</v>
      </c>
    </row>
    <row r="143">
      <c r="A143" s="15">
        <f t="shared" si="3"/>
        <v>142</v>
      </c>
      <c r="B143" s="15" t="s">
        <v>19</v>
      </c>
      <c r="C143" s="15" t="s">
        <v>3588</v>
      </c>
      <c r="D143" s="15" t="s">
        <v>5564</v>
      </c>
      <c r="E143" s="15"/>
      <c r="F143" s="15">
        <v>0.0</v>
      </c>
      <c r="G143" s="15" t="s">
        <v>121</v>
      </c>
      <c r="H143" s="15" t="s">
        <v>22</v>
      </c>
      <c r="I143" s="15" t="s">
        <v>1165</v>
      </c>
      <c r="J143" s="15" t="s">
        <v>24</v>
      </c>
      <c r="K143" s="16"/>
      <c r="L143" s="16">
        <v>0.1</v>
      </c>
      <c r="M143" s="16">
        <v>0.1</v>
      </c>
      <c r="N143" s="17">
        <v>45213.0</v>
      </c>
      <c r="O143" s="18">
        <v>4.0</v>
      </c>
      <c r="P143" s="15" t="s">
        <v>33</v>
      </c>
      <c r="Q143" s="19">
        <f t="shared" si="1"/>
        <v>0.3</v>
      </c>
      <c r="R143" s="19">
        <f t="shared" si="4"/>
        <v>2.991432759</v>
      </c>
    </row>
    <row r="144">
      <c r="A144" s="8">
        <f t="shared" si="3"/>
        <v>143</v>
      </c>
      <c r="B144" s="8" t="s">
        <v>19</v>
      </c>
      <c r="C144" s="8" t="s">
        <v>3589</v>
      </c>
      <c r="D144" s="8" t="s">
        <v>5565</v>
      </c>
      <c r="E144" s="8" t="s">
        <v>2660</v>
      </c>
      <c r="F144" s="8">
        <v>-1.0</v>
      </c>
      <c r="G144" s="8" t="s">
        <v>42</v>
      </c>
      <c r="H144" s="8" t="s">
        <v>22</v>
      </c>
      <c r="I144" s="8" t="s">
        <v>892</v>
      </c>
      <c r="J144" s="8" t="s">
        <v>24</v>
      </c>
      <c r="K144" s="9">
        <v>0.0</v>
      </c>
      <c r="L144" s="9">
        <v>0.5</v>
      </c>
      <c r="M144" s="9">
        <v>0.5</v>
      </c>
      <c r="N144" s="10">
        <v>45213.0</v>
      </c>
      <c r="O144" s="11">
        <v>1.85</v>
      </c>
      <c r="P144" s="8" t="s">
        <v>33</v>
      </c>
      <c r="Q144" s="12">
        <f t="shared" si="1"/>
        <v>0.425</v>
      </c>
      <c r="R144" s="12">
        <f t="shared" si="4"/>
        <v>3.416432759</v>
      </c>
    </row>
    <row r="145">
      <c r="A145" s="15">
        <f t="shared" si="3"/>
        <v>144</v>
      </c>
      <c r="B145" s="15" t="s">
        <v>19</v>
      </c>
      <c r="C145" s="15" t="s">
        <v>3590</v>
      </c>
      <c r="D145" s="15" t="s">
        <v>5565</v>
      </c>
      <c r="E145" s="15" t="s">
        <v>2660</v>
      </c>
      <c r="F145" s="15">
        <v>0.0</v>
      </c>
      <c r="G145" s="15" t="s">
        <v>178</v>
      </c>
      <c r="H145" s="15" t="s">
        <v>22</v>
      </c>
      <c r="I145" s="15" t="s">
        <v>1150</v>
      </c>
      <c r="J145" s="15" t="s">
        <v>24</v>
      </c>
      <c r="K145" s="16">
        <v>0.0</v>
      </c>
      <c r="L145" s="16">
        <v>0.5</v>
      </c>
      <c r="M145" s="16">
        <v>0.5</v>
      </c>
      <c r="N145" s="17">
        <v>45213.0</v>
      </c>
      <c r="O145" s="18">
        <v>1.9</v>
      </c>
      <c r="P145" s="15" t="s">
        <v>70</v>
      </c>
      <c r="Q145" s="19">
        <f t="shared" si="1"/>
        <v>0</v>
      </c>
      <c r="R145" s="19">
        <f t="shared" si="4"/>
        <v>3.416432759</v>
      </c>
    </row>
    <row r="146">
      <c r="A146" s="8">
        <f t="shared" si="3"/>
        <v>145</v>
      </c>
      <c r="B146" s="8" t="s">
        <v>19</v>
      </c>
      <c r="C146" s="8" t="s">
        <v>3591</v>
      </c>
      <c r="D146" s="8" t="s">
        <v>5564</v>
      </c>
      <c r="E146" s="8" t="s">
        <v>2556</v>
      </c>
      <c r="F146" s="8">
        <v>0.0</v>
      </c>
      <c r="G146" s="8" t="s">
        <v>182</v>
      </c>
      <c r="H146" s="8" t="s">
        <v>22</v>
      </c>
      <c r="I146" s="8" t="s">
        <v>225</v>
      </c>
      <c r="J146" s="8" t="s">
        <v>24</v>
      </c>
      <c r="K146" s="9">
        <v>0.25</v>
      </c>
      <c r="L146" s="9">
        <v>0.5</v>
      </c>
      <c r="M146" s="9">
        <v>0.5</v>
      </c>
      <c r="N146" s="10">
        <v>45213.0</v>
      </c>
      <c r="O146" s="11">
        <v>1.725</v>
      </c>
      <c r="P146" s="8" t="s">
        <v>25</v>
      </c>
      <c r="Q146" s="12">
        <f t="shared" si="1"/>
        <v>-0.5</v>
      </c>
      <c r="R146" s="12">
        <f t="shared" si="4"/>
        <v>2.916432759</v>
      </c>
    </row>
    <row r="147">
      <c r="A147" s="15">
        <f t="shared" si="3"/>
        <v>146</v>
      </c>
      <c r="B147" s="15" t="s">
        <v>40</v>
      </c>
      <c r="C147" s="15" t="s">
        <v>3592</v>
      </c>
      <c r="D147" s="15" t="s">
        <v>5565</v>
      </c>
      <c r="E147" s="15" t="s">
        <v>2660</v>
      </c>
      <c r="F147" s="15">
        <v>0.0</v>
      </c>
      <c r="G147" s="15" t="s">
        <v>93</v>
      </c>
      <c r="H147" s="15" t="s">
        <v>22</v>
      </c>
      <c r="I147" s="15" t="s">
        <v>892</v>
      </c>
      <c r="J147" s="15" t="s">
        <v>39</v>
      </c>
      <c r="K147" s="16">
        <v>0.0</v>
      </c>
      <c r="L147" s="16">
        <v>0.75</v>
      </c>
      <c r="M147" s="16">
        <v>0.75</v>
      </c>
      <c r="N147" s="17">
        <v>45213.0</v>
      </c>
      <c r="O147" s="18">
        <v>2.05</v>
      </c>
      <c r="P147" s="15" t="s">
        <v>25</v>
      </c>
      <c r="Q147" s="19">
        <f t="shared" si="1"/>
        <v>-0.75</v>
      </c>
      <c r="R147" s="19">
        <f t="shared" si="4"/>
        <v>2.166432759</v>
      </c>
    </row>
    <row r="148">
      <c r="A148" s="8">
        <f t="shared" si="3"/>
        <v>147</v>
      </c>
      <c r="B148" s="8" t="s">
        <v>19</v>
      </c>
      <c r="C148" s="8" t="s">
        <v>3593</v>
      </c>
      <c r="D148" s="8" t="s">
        <v>5564</v>
      </c>
      <c r="E148" s="8" t="s">
        <v>2556</v>
      </c>
      <c r="F148" s="8">
        <v>0.0</v>
      </c>
      <c r="G148" s="8" t="s">
        <v>93</v>
      </c>
      <c r="H148" s="8" t="s">
        <v>22</v>
      </c>
      <c r="I148" s="8" t="s">
        <v>225</v>
      </c>
      <c r="J148" s="8" t="s">
        <v>24</v>
      </c>
      <c r="K148" s="9">
        <v>0.5</v>
      </c>
      <c r="L148" s="9">
        <v>0.75</v>
      </c>
      <c r="M148" s="9">
        <v>0.75</v>
      </c>
      <c r="N148" s="10">
        <v>45213.0</v>
      </c>
      <c r="O148" s="11">
        <v>1.725</v>
      </c>
      <c r="P148" s="8" t="s">
        <v>33</v>
      </c>
      <c r="Q148" s="12">
        <f t="shared" si="1"/>
        <v>0.54375</v>
      </c>
      <c r="R148" s="12">
        <f t="shared" si="4"/>
        <v>2.710182759</v>
      </c>
    </row>
    <row r="149">
      <c r="A149" s="15">
        <f t="shared" si="3"/>
        <v>148</v>
      </c>
      <c r="B149" s="15" t="s">
        <v>19</v>
      </c>
      <c r="C149" s="15" t="s">
        <v>3594</v>
      </c>
      <c r="D149" s="15" t="s">
        <v>5565</v>
      </c>
      <c r="E149" s="15"/>
      <c r="F149" s="15">
        <v>0.0</v>
      </c>
      <c r="G149" s="15" t="s">
        <v>1558</v>
      </c>
      <c r="H149" s="15" t="s">
        <v>22</v>
      </c>
      <c r="I149" s="15" t="s">
        <v>1165</v>
      </c>
      <c r="J149" s="15" t="s">
        <v>24</v>
      </c>
      <c r="K149" s="16"/>
      <c r="L149" s="16">
        <v>0.1</v>
      </c>
      <c r="M149" s="16">
        <v>0.1</v>
      </c>
      <c r="N149" s="17">
        <v>45213.0</v>
      </c>
      <c r="O149" s="18">
        <v>6.0</v>
      </c>
      <c r="P149" s="15" t="s">
        <v>25</v>
      </c>
      <c r="Q149" s="19">
        <f t="shared" si="1"/>
        <v>-0.1</v>
      </c>
      <c r="R149" s="19">
        <f t="shared" si="4"/>
        <v>2.610182759</v>
      </c>
    </row>
    <row r="150">
      <c r="A150" s="8">
        <f t="shared" si="3"/>
        <v>149</v>
      </c>
      <c r="B150" s="8" t="s">
        <v>19</v>
      </c>
      <c r="C150" s="8" t="s">
        <v>3595</v>
      </c>
      <c r="D150" s="8" t="s">
        <v>5564</v>
      </c>
      <c r="E150" s="8" t="s">
        <v>2660</v>
      </c>
      <c r="F150" s="8">
        <f>1</f>
        <v>1</v>
      </c>
      <c r="G150" s="8" t="s">
        <v>229</v>
      </c>
      <c r="H150" s="8" t="s">
        <v>22</v>
      </c>
      <c r="I150" s="8" t="s">
        <v>892</v>
      </c>
      <c r="J150" s="8" t="s">
        <v>24</v>
      </c>
      <c r="K150" s="9">
        <v>0.0</v>
      </c>
      <c r="L150" s="9">
        <v>0.75</v>
      </c>
      <c r="M150" s="9">
        <v>0.75</v>
      </c>
      <c r="N150" s="10">
        <v>45213.0</v>
      </c>
      <c r="O150" s="11">
        <v>1.73</v>
      </c>
      <c r="P150" s="8" t="s">
        <v>33</v>
      </c>
      <c r="Q150" s="12">
        <f t="shared" si="1"/>
        <v>0.5475</v>
      </c>
      <c r="R150" s="12">
        <f t="shared" si="4"/>
        <v>3.157682759</v>
      </c>
    </row>
    <row r="151">
      <c r="A151" s="15">
        <f t="shared" si="3"/>
        <v>150</v>
      </c>
      <c r="B151" s="15" t="s">
        <v>19</v>
      </c>
      <c r="C151" s="15" t="s">
        <v>3596</v>
      </c>
      <c r="D151" s="15" t="s">
        <v>5565</v>
      </c>
      <c r="E151" s="15"/>
      <c r="F151" s="15"/>
      <c r="G151" s="15" t="s">
        <v>768</v>
      </c>
      <c r="H151" s="15" t="s">
        <v>598</v>
      </c>
      <c r="I151" s="15" t="s">
        <v>440</v>
      </c>
      <c r="J151" s="15"/>
      <c r="K151" s="16">
        <v>3.5</v>
      </c>
      <c r="L151" s="16">
        <v>0.4</v>
      </c>
      <c r="M151" s="16">
        <v>0.4</v>
      </c>
      <c r="N151" s="17">
        <v>45214.0</v>
      </c>
      <c r="O151" s="18">
        <v>1.87</v>
      </c>
      <c r="P151" s="15" t="s">
        <v>25</v>
      </c>
      <c r="Q151" s="19">
        <f t="shared" si="1"/>
        <v>-0.4</v>
      </c>
      <c r="R151" s="19">
        <f t="shared" si="4"/>
        <v>2.757682759</v>
      </c>
    </row>
    <row r="152">
      <c r="A152" s="8">
        <f t="shared" si="3"/>
        <v>151</v>
      </c>
      <c r="B152" s="8" t="s">
        <v>19</v>
      </c>
      <c r="C152" s="8" t="s">
        <v>3597</v>
      </c>
      <c r="D152" s="8"/>
      <c r="E152" s="8"/>
      <c r="F152" s="8"/>
      <c r="G152" s="8" t="s">
        <v>82</v>
      </c>
      <c r="H152" s="8" t="s">
        <v>598</v>
      </c>
      <c r="I152" s="8" t="s">
        <v>440</v>
      </c>
      <c r="J152" s="8" t="s">
        <v>39</v>
      </c>
      <c r="K152" s="9">
        <v>1.75</v>
      </c>
      <c r="L152" s="9">
        <v>0.3</v>
      </c>
      <c r="M152" s="9">
        <v>0.3</v>
      </c>
      <c r="N152" s="10">
        <v>45213.0</v>
      </c>
      <c r="O152" s="11">
        <v>1.7</v>
      </c>
      <c r="P152" s="8" t="s">
        <v>25</v>
      </c>
      <c r="Q152" s="12">
        <f t="shared" si="1"/>
        <v>-0.3</v>
      </c>
      <c r="R152" s="12">
        <f t="shared" si="4"/>
        <v>2.457682759</v>
      </c>
    </row>
    <row r="153">
      <c r="A153" s="15">
        <f t="shared" si="3"/>
        <v>152</v>
      </c>
      <c r="B153" s="15" t="s">
        <v>40</v>
      </c>
      <c r="C153" s="15" t="s">
        <v>3598</v>
      </c>
      <c r="D153" s="15" t="s">
        <v>5564</v>
      </c>
      <c r="E153" s="15" t="s">
        <v>2556</v>
      </c>
      <c r="F153" s="15">
        <v>2</v>
      </c>
      <c r="G153" s="15" t="s">
        <v>78</v>
      </c>
      <c r="H153" s="15" t="s">
        <v>22</v>
      </c>
      <c r="I153" s="15" t="s">
        <v>225</v>
      </c>
      <c r="J153" s="15" t="s">
        <v>24</v>
      </c>
      <c r="K153" s="16">
        <v>0.75</v>
      </c>
      <c r="L153" s="16">
        <v>0.5</v>
      </c>
      <c r="M153" s="16">
        <v>0.5</v>
      </c>
      <c r="N153" s="17">
        <v>45213.0</v>
      </c>
      <c r="O153" s="18">
        <v>1.775</v>
      </c>
      <c r="P153" s="15" t="s">
        <v>33</v>
      </c>
      <c r="Q153" s="19">
        <f t="shared" si="1"/>
        <v>0.3875</v>
      </c>
      <c r="R153" s="19">
        <f t="shared" si="4"/>
        <v>2.845182759</v>
      </c>
    </row>
    <row r="154">
      <c r="A154" s="8">
        <f t="shared" si="3"/>
        <v>153</v>
      </c>
      <c r="B154" s="8" t="s">
        <v>40</v>
      </c>
      <c r="C154" s="8" t="s">
        <v>3599</v>
      </c>
      <c r="D154" s="8" t="s">
        <v>5564</v>
      </c>
      <c r="E154" s="8"/>
      <c r="F154" s="8">
        <v>2</v>
      </c>
      <c r="G154" s="8" t="s">
        <v>78</v>
      </c>
      <c r="H154" s="8" t="s">
        <v>22</v>
      </c>
      <c r="I154" s="8" t="s">
        <v>1165</v>
      </c>
      <c r="J154" s="8" t="s">
        <v>24</v>
      </c>
      <c r="K154" s="9"/>
      <c r="L154" s="9">
        <v>0.1</v>
      </c>
      <c r="M154" s="9">
        <v>0.1</v>
      </c>
      <c r="N154" s="54">
        <v>45213.0</v>
      </c>
      <c r="O154" s="11">
        <v>5.5</v>
      </c>
      <c r="P154" s="8" t="s">
        <v>33</v>
      </c>
      <c r="Q154" s="12">
        <f t="shared" si="1"/>
        <v>0.45</v>
      </c>
      <c r="R154" s="12">
        <f t="shared" si="4"/>
        <v>3.295182759</v>
      </c>
    </row>
    <row r="155">
      <c r="A155" s="15">
        <f t="shared" si="3"/>
        <v>154</v>
      </c>
      <c r="B155" s="15" t="s">
        <v>19</v>
      </c>
      <c r="C155" s="15" t="s">
        <v>3600</v>
      </c>
      <c r="D155" s="15" t="s">
        <v>5564</v>
      </c>
      <c r="E155" s="15" t="s">
        <v>2556</v>
      </c>
      <c r="F155" s="15">
        <v>-1.0</v>
      </c>
      <c r="G155" s="15" t="s">
        <v>432</v>
      </c>
      <c r="H155" s="15" t="s">
        <v>22</v>
      </c>
      <c r="I155" s="15" t="s">
        <v>225</v>
      </c>
      <c r="J155" s="15" t="s">
        <v>1803</v>
      </c>
      <c r="K155" s="16">
        <v>0.25</v>
      </c>
      <c r="L155" s="16">
        <v>0.5</v>
      </c>
      <c r="M155" s="16">
        <v>0.5</v>
      </c>
      <c r="N155" s="17">
        <v>45214.0</v>
      </c>
      <c r="O155" s="18">
        <v>1.75</v>
      </c>
      <c r="P155" s="15" t="s">
        <v>33</v>
      </c>
      <c r="Q155" s="19">
        <f t="shared" si="1"/>
        <v>0.375</v>
      </c>
      <c r="R155" s="19">
        <f t="shared" si="4"/>
        <v>3.670182759</v>
      </c>
    </row>
    <row r="156">
      <c r="A156" s="8">
        <f t="shared" si="3"/>
        <v>155</v>
      </c>
      <c r="B156" s="8" t="s">
        <v>19</v>
      </c>
      <c r="C156" s="8" t="s">
        <v>3601</v>
      </c>
      <c r="D156" s="8" t="s">
        <v>5564</v>
      </c>
      <c r="E156" s="8" t="s">
        <v>2660</v>
      </c>
      <c r="F156" s="8">
        <v>-1.0</v>
      </c>
      <c r="G156" s="8" t="s">
        <v>432</v>
      </c>
      <c r="H156" s="8" t="s">
        <v>22</v>
      </c>
      <c r="I156" s="8" t="s">
        <v>892</v>
      </c>
      <c r="J156" s="8" t="s">
        <v>1803</v>
      </c>
      <c r="K156" s="9">
        <v>0.0</v>
      </c>
      <c r="L156" s="9">
        <v>0.25</v>
      </c>
      <c r="M156" s="9">
        <v>0.25</v>
      </c>
      <c r="N156" s="10">
        <v>45214.0</v>
      </c>
      <c r="O156" s="11">
        <v>1.95</v>
      </c>
      <c r="P156" s="8" t="s">
        <v>33</v>
      </c>
      <c r="Q156" s="12">
        <f t="shared" si="1"/>
        <v>0.2375</v>
      </c>
      <c r="R156" s="12">
        <f t="shared" si="4"/>
        <v>3.907682759</v>
      </c>
    </row>
    <row r="157">
      <c r="A157" s="15">
        <f t="shared" si="3"/>
        <v>156</v>
      </c>
      <c r="B157" s="15" t="s">
        <v>19</v>
      </c>
      <c r="C157" s="15" t="s">
        <v>3602</v>
      </c>
      <c r="D157" s="15"/>
      <c r="E157" s="15"/>
      <c r="F157" s="15"/>
      <c r="G157" s="15" t="s">
        <v>99</v>
      </c>
      <c r="H157" s="15" t="s">
        <v>22</v>
      </c>
      <c r="I157" s="15" t="s">
        <v>2634</v>
      </c>
      <c r="J157" s="15" t="s">
        <v>24</v>
      </c>
      <c r="K157" s="16"/>
      <c r="L157" s="16">
        <v>0.25</v>
      </c>
      <c r="M157" s="16">
        <v>0.25</v>
      </c>
      <c r="N157" s="17">
        <v>45214.0</v>
      </c>
      <c r="O157" s="18">
        <v>2.25</v>
      </c>
      <c r="P157" s="15" t="s">
        <v>25</v>
      </c>
      <c r="Q157" s="19">
        <f t="shared" si="1"/>
        <v>-0.25</v>
      </c>
      <c r="R157" s="19">
        <f t="shared" si="4"/>
        <v>3.657682759</v>
      </c>
    </row>
    <row r="158">
      <c r="A158" s="8">
        <f t="shared" si="3"/>
        <v>157</v>
      </c>
      <c r="B158" s="8" t="s">
        <v>19</v>
      </c>
      <c r="C158" s="8" t="s">
        <v>3603</v>
      </c>
      <c r="D158" s="8" t="s">
        <v>5565</v>
      </c>
      <c r="E158" s="8" t="s">
        <v>2660</v>
      </c>
      <c r="F158" s="8">
        <f>1</f>
        <v>1</v>
      </c>
      <c r="G158" s="8" t="s">
        <v>229</v>
      </c>
      <c r="H158" s="8" t="s">
        <v>22</v>
      </c>
      <c r="I158" s="8" t="s">
        <v>892</v>
      </c>
      <c r="J158" s="8" t="s">
        <v>24</v>
      </c>
      <c r="K158" s="9">
        <v>0.0</v>
      </c>
      <c r="L158" s="9">
        <v>0.5</v>
      </c>
      <c r="M158" s="9">
        <v>0.5</v>
      </c>
      <c r="N158" s="10">
        <v>45214.0</v>
      </c>
      <c r="O158" s="11">
        <v>1.75</v>
      </c>
      <c r="P158" s="8" t="s">
        <v>33</v>
      </c>
      <c r="Q158" s="12">
        <f t="shared" si="1"/>
        <v>0.375</v>
      </c>
      <c r="R158" s="12">
        <f t="shared" si="4"/>
        <v>4.032682759</v>
      </c>
    </row>
    <row r="159">
      <c r="A159" s="15">
        <f t="shared" si="3"/>
        <v>158</v>
      </c>
      <c r="B159" s="15" t="s">
        <v>19</v>
      </c>
      <c r="C159" s="15" t="s">
        <v>3604</v>
      </c>
      <c r="D159" s="15"/>
      <c r="E159" s="15"/>
      <c r="F159" s="15"/>
      <c r="G159" s="15" t="s">
        <v>3605</v>
      </c>
      <c r="H159" s="15" t="s">
        <v>22</v>
      </c>
      <c r="I159" s="15" t="s">
        <v>29</v>
      </c>
      <c r="J159" s="15" t="s">
        <v>24</v>
      </c>
      <c r="K159" s="16">
        <v>-1.5</v>
      </c>
      <c r="L159" s="16">
        <v>0.5</v>
      </c>
      <c r="M159" s="16">
        <v>0.5</v>
      </c>
      <c r="N159" s="17">
        <v>45214.0</v>
      </c>
      <c r="O159" s="18">
        <v>1.42</v>
      </c>
      <c r="P159" s="15" t="s">
        <v>33</v>
      </c>
      <c r="Q159" s="19">
        <f t="shared" si="1"/>
        <v>0.21</v>
      </c>
      <c r="R159" s="19">
        <f t="shared" si="4"/>
        <v>4.242682759</v>
      </c>
    </row>
    <row r="160">
      <c r="A160" s="8">
        <f t="shared" si="3"/>
        <v>159</v>
      </c>
      <c r="B160" s="8" t="s">
        <v>19</v>
      </c>
      <c r="C160" s="8" t="s">
        <v>3606</v>
      </c>
      <c r="D160" s="8" t="s">
        <v>5565</v>
      </c>
      <c r="E160" s="8" t="s">
        <v>2556</v>
      </c>
      <c r="F160" s="8">
        <v>0.0</v>
      </c>
      <c r="G160" s="8" t="s">
        <v>703</v>
      </c>
      <c r="H160" s="8" t="s">
        <v>22</v>
      </c>
      <c r="I160" s="8" t="s">
        <v>225</v>
      </c>
      <c r="J160" s="8" t="s">
        <v>24</v>
      </c>
      <c r="K160" s="9">
        <v>0.5</v>
      </c>
      <c r="L160" s="9">
        <v>0.25</v>
      </c>
      <c r="M160" s="9">
        <f>0.56*0.25</f>
        <v>0.14</v>
      </c>
      <c r="N160" s="10">
        <v>45214.0</v>
      </c>
      <c r="O160" s="11">
        <f>0.325/0.25</f>
        <v>1.3</v>
      </c>
      <c r="P160" s="8" t="s">
        <v>33</v>
      </c>
      <c r="Q160" s="12">
        <f t="shared" si="1"/>
        <v>0.042</v>
      </c>
      <c r="R160" s="12">
        <f t="shared" si="4"/>
        <v>4.284682759</v>
      </c>
    </row>
    <row r="161">
      <c r="A161" s="15">
        <f t="shared" si="3"/>
        <v>160</v>
      </c>
      <c r="B161" s="15" t="s">
        <v>19</v>
      </c>
      <c r="C161" s="15" t="s">
        <v>3607</v>
      </c>
      <c r="D161" s="15" t="s">
        <v>5564</v>
      </c>
      <c r="E161" s="15"/>
      <c r="F161" s="15"/>
      <c r="G161" s="15" t="s">
        <v>463</v>
      </c>
      <c r="H161" s="15" t="s">
        <v>22</v>
      </c>
      <c r="I161" s="15" t="s">
        <v>1165</v>
      </c>
      <c r="J161" s="15" t="s">
        <v>39</v>
      </c>
      <c r="K161" s="16"/>
      <c r="L161" s="16">
        <v>0.1</v>
      </c>
      <c r="M161" s="16">
        <v>0.1</v>
      </c>
      <c r="N161" s="17">
        <v>45214.0</v>
      </c>
      <c r="O161" s="18">
        <v>3.4</v>
      </c>
      <c r="P161" s="15" t="s">
        <v>25</v>
      </c>
      <c r="Q161" s="19">
        <f t="shared" si="1"/>
        <v>-0.1</v>
      </c>
      <c r="R161" s="19">
        <f t="shared" si="4"/>
        <v>4.184682759</v>
      </c>
    </row>
    <row r="162">
      <c r="A162" s="8">
        <f t="shared" si="3"/>
        <v>161</v>
      </c>
      <c r="B162" s="8" t="s">
        <v>19</v>
      </c>
      <c r="C162" s="8" t="s">
        <v>3608</v>
      </c>
      <c r="D162" s="8" t="s">
        <v>5564</v>
      </c>
      <c r="E162" s="8" t="s">
        <v>2660</v>
      </c>
      <c r="F162" s="8">
        <v>0.0</v>
      </c>
      <c r="G162" s="8" t="s">
        <v>624</v>
      </c>
      <c r="H162" s="8" t="s">
        <v>22</v>
      </c>
      <c r="I162" s="8" t="s">
        <v>892</v>
      </c>
      <c r="J162" s="8" t="s">
        <v>39</v>
      </c>
      <c r="K162" s="9">
        <v>0.0</v>
      </c>
      <c r="L162" s="9">
        <v>0.5</v>
      </c>
      <c r="M162" s="9">
        <f>0.76*0.5</f>
        <v>0.38</v>
      </c>
      <c r="N162" s="10">
        <v>45214.0</v>
      </c>
      <c r="O162" s="11">
        <v>1.725</v>
      </c>
      <c r="P162" s="8" t="s">
        <v>25</v>
      </c>
      <c r="Q162" s="12">
        <f t="shared" si="1"/>
        <v>-0.38</v>
      </c>
      <c r="R162" s="12">
        <f t="shared" si="4"/>
        <v>3.804682759</v>
      </c>
    </row>
    <row r="163">
      <c r="A163" s="15">
        <f t="shared" si="3"/>
        <v>162</v>
      </c>
      <c r="B163" s="15" t="s">
        <v>19</v>
      </c>
      <c r="C163" s="15" t="s">
        <v>3609</v>
      </c>
      <c r="D163" s="15" t="s">
        <v>5564</v>
      </c>
      <c r="E163" s="15" t="s">
        <v>2660</v>
      </c>
      <c r="F163" s="15">
        <v>0.0</v>
      </c>
      <c r="G163" s="15" t="s">
        <v>1085</v>
      </c>
      <c r="H163" s="15" t="s">
        <v>22</v>
      </c>
      <c r="I163" s="15" t="s">
        <v>892</v>
      </c>
      <c r="J163" s="15" t="s">
        <v>24</v>
      </c>
      <c r="K163" s="16">
        <v>0.0</v>
      </c>
      <c r="L163" s="16">
        <v>0.5</v>
      </c>
      <c r="M163" s="16">
        <v>0.5</v>
      </c>
      <c r="N163" s="17">
        <v>45214.0</v>
      </c>
      <c r="O163" s="18">
        <v>2.02</v>
      </c>
      <c r="P163" s="15" t="s">
        <v>70</v>
      </c>
      <c r="Q163" s="19">
        <f t="shared" si="1"/>
        <v>0</v>
      </c>
      <c r="R163" s="19">
        <f t="shared" si="4"/>
        <v>3.804682759</v>
      </c>
    </row>
    <row r="164">
      <c r="A164" s="8">
        <f t="shared" si="3"/>
        <v>163</v>
      </c>
      <c r="B164" s="8" t="s">
        <v>19</v>
      </c>
      <c r="C164" s="8" t="s">
        <v>3610</v>
      </c>
      <c r="D164" s="8" t="s">
        <v>5565</v>
      </c>
      <c r="E164" s="8" t="s">
        <v>2660</v>
      </c>
      <c r="F164" s="8">
        <v>0.0</v>
      </c>
      <c r="G164" s="8" t="s">
        <v>923</v>
      </c>
      <c r="H164" s="8" t="s">
        <v>22</v>
      </c>
      <c r="I164" s="8" t="s">
        <v>892</v>
      </c>
      <c r="J164" s="8" t="s">
        <v>24</v>
      </c>
      <c r="K164" s="9">
        <v>0.0</v>
      </c>
      <c r="L164" s="9">
        <v>0.5</v>
      </c>
      <c r="M164" s="9">
        <v>0.5</v>
      </c>
      <c r="N164" s="10">
        <v>45216.0</v>
      </c>
      <c r="O164" s="11">
        <v>2.05</v>
      </c>
      <c r="P164" s="8" t="s">
        <v>70</v>
      </c>
      <c r="Q164" s="12">
        <f t="shared" si="1"/>
        <v>0</v>
      </c>
      <c r="R164" s="12">
        <f t="shared" si="4"/>
        <v>3.804682759</v>
      </c>
    </row>
    <row r="165">
      <c r="A165" s="15">
        <f t="shared" si="3"/>
        <v>164</v>
      </c>
      <c r="B165" s="15" t="s">
        <v>19</v>
      </c>
      <c r="C165" s="15" t="s">
        <v>3611</v>
      </c>
      <c r="D165" s="15" t="s">
        <v>5565</v>
      </c>
      <c r="E165" s="15" t="s">
        <v>2556</v>
      </c>
      <c r="F165" s="15">
        <v>2</v>
      </c>
      <c r="G165" s="15" t="s">
        <v>189</v>
      </c>
      <c r="H165" s="15" t="s">
        <v>22</v>
      </c>
      <c r="I165" s="15" t="s">
        <v>225</v>
      </c>
      <c r="J165" s="15" t="s">
        <v>39</v>
      </c>
      <c r="K165" s="16">
        <v>0.5</v>
      </c>
      <c r="L165" s="16">
        <v>0.5</v>
      </c>
      <c r="M165" s="16">
        <v>0.5</v>
      </c>
      <c r="N165" s="17">
        <v>45216.0</v>
      </c>
      <c r="O165" s="18">
        <v>2.025</v>
      </c>
      <c r="P165" s="15" t="s">
        <v>33</v>
      </c>
      <c r="Q165" s="19">
        <f t="shared" si="1"/>
        <v>0.5125</v>
      </c>
      <c r="R165" s="19">
        <f t="shared" si="4"/>
        <v>4.317182759</v>
      </c>
    </row>
    <row r="166">
      <c r="A166" s="8">
        <f t="shared" si="3"/>
        <v>165</v>
      </c>
      <c r="B166" s="8" t="s">
        <v>19</v>
      </c>
      <c r="C166" s="8" t="s">
        <v>3612</v>
      </c>
      <c r="D166" s="8" t="s">
        <v>5565</v>
      </c>
      <c r="E166" s="8"/>
      <c r="F166" s="8">
        <v>2</v>
      </c>
      <c r="G166" s="8" t="s">
        <v>189</v>
      </c>
      <c r="H166" s="8" t="s">
        <v>22</v>
      </c>
      <c r="I166" s="8" t="s">
        <v>1165</v>
      </c>
      <c r="J166" s="8" t="s">
        <v>39</v>
      </c>
      <c r="K166" s="9"/>
      <c r="L166" s="9">
        <v>0.1</v>
      </c>
      <c r="M166" s="9">
        <v>0.1</v>
      </c>
      <c r="N166" s="10">
        <v>45216.0</v>
      </c>
      <c r="O166" s="11">
        <v>6.0</v>
      </c>
      <c r="P166" s="8" t="s">
        <v>25</v>
      </c>
      <c r="Q166" s="12">
        <f t="shared" si="1"/>
        <v>-0.1</v>
      </c>
      <c r="R166" s="12">
        <f t="shared" si="4"/>
        <v>4.217182759</v>
      </c>
    </row>
    <row r="167">
      <c r="A167" s="15">
        <f t="shared" si="3"/>
        <v>166</v>
      </c>
      <c r="B167" s="15" t="s">
        <v>19</v>
      </c>
      <c r="C167" s="15" t="s">
        <v>3613</v>
      </c>
      <c r="D167" s="15" t="s">
        <v>5565</v>
      </c>
      <c r="E167" s="15" t="s">
        <v>2660</v>
      </c>
      <c r="F167" s="15">
        <v>2</v>
      </c>
      <c r="G167" s="15" t="s">
        <v>38</v>
      </c>
      <c r="H167" s="15" t="s">
        <v>22</v>
      </c>
      <c r="I167" s="15" t="s">
        <v>892</v>
      </c>
      <c r="J167" s="15" t="s">
        <v>39</v>
      </c>
      <c r="K167" s="16">
        <v>0.0</v>
      </c>
      <c r="L167" s="16">
        <v>0.25</v>
      </c>
      <c r="M167" s="16">
        <v>0.25</v>
      </c>
      <c r="N167" s="17">
        <v>45216.0</v>
      </c>
      <c r="O167" s="18">
        <v>1.775</v>
      </c>
      <c r="P167" s="15" t="s">
        <v>70</v>
      </c>
      <c r="Q167" s="19">
        <f t="shared" si="1"/>
        <v>0</v>
      </c>
      <c r="R167" s="19">
        <f t="shared" si="4"/>
        <v>4.217182759</v>
      </c>
    </row>
    <row r="168">
      <c r="A168" s="8">
        <f t="shared" si="3"/>
        <v>167</v>
      </c>
      <c r="B168" s="8" t="s">
        <v>19</v>
      </c>
      <c r="C168" s="8" t="s">
        <v>3614</v>
      </c>
      <c r="D168" s="8" t="s">
        <v>5564</v>
      </c>
      <c r="E168" s="8" t="s">
        <v>2556</v>
      </c>
      <c r="F168" s="8">
        <v>0.0</v>
      </c>
      <c r="G168" s="8" t="s">
        <v>182</v>
      </c>
      <c r="H168" s="8" t="s">
        <v>22</v>
      </c>
      <c r="I168" s="8" t="s">
        <v>225</v>
      </c>
      <c r="J168" s="8" t="s">
        <v>1522</v>
      </c>
      <c r="K168" s="9">
        <v>0.75</v>
      </c>
      <c r="L168" s="9">
        <v>1.0</v>
      </c>
      <c r="M168" s="9">
        <v>1.0</v>
      </c>
      <c r="N168" s="10">
        <v>45216.0</v>
      </c>
      <c r="O168" s="11">
        <v>1.18</v>
      </c>
      <c r="P168" s="8" t="s">
        <v>33</v>
      </c>
      <c r="Q168" s="12">
        <f t="shared" si="1"/>
        <v>0.18</v>
      </c>
      <c r="R168" s="12">
        <f t="shared" si="4"/>
        <v>4.397182759</v>
      </c>
    </row>
    <row r="169">
      <c r="A169" s="15">
        <f t="shared" si="3"/>
        <v>168</v>
      </c>
      <c r="B169" s="15" t="s">
        <v>19</v>
      </c>
      <c r="C169" s="15" t="s">
        <v>3615</v>
      </c>
      <c r="D169" s="15"/>
      <c r="E169" s="15"/>
      <c r="F169" s="15"/>
      <c r="G169" s="15" t="s">
        <v>182</v>
      </c>
      <c r="H169" s="15" t="s">
        <v>22</v>
      </c>
      <c r="I169" s="15" t="s">
        <v>29</v>
      </c>
      <c r="J169" s="15" t="s">
        <v>1522</v>
      </c>
      <c r="K169" s="16">
        <v>-5.25</v>
      </c>
      <c r="L169" s="16">
        <v>0.5</v>
      </c>
      <c r="M169" s="16">
        <v>0.05</v>
      </c>
      <c r="N169" s="17">
        <v>45216.0</v>
      </c>
      <c r="O169" s="18">
        <v>1.85</v>
      </c>
      <c r="P169" s="15" t="s">
        <v>25</v>
      </c>
      <c r="Q169" s="19">
        <f t="shared" si="1"/>
        <v>-0.05</v>
      </c>
      <c r="R169" s="19">
        <f t="shared" si="4"/>
        <v>4.347182759</v>
      </c>
    </row>
    <row r="170">
      <c r="A170" s="8">
        <f t="shared" si="3"/>
        <v>169</v>
      </c>
      <c r="B170" s="8" t="s">
        <v>19</v>
      </c>
      <c r="C170" s="8" t="s">
        <v>3616</v>
      </c>
      <c r="D170" s="8" t="s">
        <v>5565</v>
      </c>
      <c r="E170" s="8" t="s">
        <v>2556</v>
      </c>
      <c r="F170" s="8">
        <v>3</v>
      </c>
      <c r="G170" s="8" t="s">
        <v>316</v>
      </c>
      <c r="H170" s="8" t="s">
        <v>22</v>
      </c>
      <c r="I170" s="8" t="s">
        <v>225</v>
      </c>
      <c r="J170" s="8" t="s">
        <v>1522</v>
      </c>
      <c r="K170" s="9">
        <v>0.75</v>
      </c>
      <c r="L170" s="9">
        <v>0.5</v>
      </c>
      <c r="M170" s="9">
        <v>0.343</v>
      </c>
      <c r="N170" s="10">
        <v>45216.0</v>
      </c>
      <c r="O170" s="11">
        <v>1.95</v>
      </c>
      <c r="P170" s="8" t="s">
        <v>33</v>
      </c>
      <c r="Q170" s="12">
        <f t="shared" si="1"/>
        <v>0.32585</v>
      </c>
      <c r="R170" s="12">
        <f t="shared" si="4"/>
        <v>4.673032759</v>
      </c>
    </row>
    <row r="171">
      <c r="A171" s="15">
        <f t="shared" si="3"/>
        <v>170</v>
      </c>
      <c r="B171" s="15" t="s">
        <v>40</v>
      </c>
      <c r="C171" s="15" t="s">
        <v>3617</v>
      </c>
      <c r="D171" s="15"/>
      <c r="E171" s="15"/>
      <c r="F171" s="15"/>
      <c r="G171" s="15" t="s">
        <v>1961</v>
      </c>
      <c r="H171" s="15" t="s">
        <v>22</v>
      </c>
      <c r="I171" s="15" t="s">
        <v>29</v>
      </c>
      <c r="J171" s="15" t="s">
        <v>1522</v>
      </c>
      <c r="K171" s="16">
        <v>-4.5</v>
      </c>
      <c r="L171" s="16">
        <v>0.25</v>
      </c>
      <c r="M171" s="16">
        <f>0.792*0.25</f>
        <v>0.198</v>
      </c>
      <c r="N171" s="17">
        <v>45217.0</v>
      </c>
      <c r="O171" s="18">
        <v>1.8</v>
      </c>
      <c r="P171" s="15" t="s">
        <v>25</v>
      </c>
      <c r="Q171" s="19">
        <f t="shared" si="1"/>
        <v>-0.198</v>
      </c>
      <c r="R171" s="19">
        <f t="shared" si="4"/>
        <v>4.475032759</v>
      </c>
    </row>
    <row r="172">
      <c r="A172" s="8">
        <f t="shared" si="3"/>
        <v>171</v>
      </c>
      <c r="B172" s="8" t="s">
        <v>19</v>
      </c>
      <c r="C172" s="8" t="s">
        <v>3618</v>
      </c>
      <c r="D172" s="8" t="s">
        <v>5564</v>
      </c>
      <c r="E172" s="8" t="s">
        <v>2660</v>
      </c>
      <c r="F172" s="8">
        <f>1</f>
        <v>1</v>
      </c>
      <c r="G172" s="8" t="s">
        <v>121</v>
      </c>
      <c r="H172" s="8" t="s">
        <v>22</v>
      </c>
      <c r="I172" s="8" t="s">
        <v>892</v>
      </c>
      <c r="J172" s="8" t="s">
        <v>1851</v>
      </c>
      <c r="K172" s="9">
        <v>0.0</v>
      </c>
      <c r="L172" s="9">
        <v>0.25</v>
      </c>
      <c r="M172" s="9">
        <f>0.917*0.25</f>
        <v>0.22925</v>
      </c>
      <c r="N172" s="10">
        <v>45217.0</v>
      </c>
      <c r="O172" s="11">
        <v>1.7</v>
      </c>
      <c r="P172" s="8" t="s">
        <v>25</v>
      </c>
      <c r="Q172" s="12">
        <f t="shared" si="1"/>
        <v>-0.22925</v>
      </c>
      <c r="R172" s="12">
        <f t="shared" si="4"/>
        <v>4.245782759</v>
      </c>
    </row>
    <row r="173">
      <c r="A173" s="15">
        <f t="shared" si="3"/>
        <v>172</v>
      </c>
      <c r="B173" s="15" t="s">
        <v>19</v>
      </c>
      <c r="C173" s="15" t="s">
        <v>3619</v>
      </c>
      <c r="D173" s="15" t="s">
        <v>5564</v>
      </c>
      <c r="E173" s="15" t="s">
        <v>2660</v>
      </c>
      <c r="F173" s="15">
        <v>-1.0</v>
      </c>
      <c r="G173" s="15" t="s">
        <v>3476</v>
      </c>
      <c r="H173" s="15" t="s">
        <v>22</v>
      </c>
      <c r="I173" s="15" t="s">
        <v>892</v>
      </c>
      <c r="J173" s="15" t="s">
        <v>24</v>
      </c>
      <c r="K173" s="16">
        <v>0.0</v>
      </c>
      <c r="L173" s="16">
        <v>0.25</v>
      </c>
      <c r="M173" s="16">
        <f>0.958*0.25</f>
        <v>0.2395</v>
      </c>
      <c r="N173" s="17">
        <v>45217.0</v>
      </c>
      <c r="O173" s="18">
        <v>2.1</v>
      </c>
      <c r="P173" s="15" t="s">
        <v>70</v>
      </c>
      <c r="Q173" s="19">
        <f t="shared" si="1"/>
        <v>0</v>
      </c>
      <c r="R173" s="19">
        <f t="shared" si="4"/>
        <v>4.245782759</v>
      </c>
    </row>
    <row r="174">
      <c r="A174" s="8">
        <f t="shared" si="3"/>
        <v>173</v>
      </c>
      <c r="B174" s="8" t="s">
        <v>19</v>
      </c>
      <c r="C174" s="8" t="s">
        <v>3620</v>
      </c>
      <c r="D174" s="8"/>
      <c r="E174" s="8"/>
      <c r="F174" s="8" t="s">
        <v>2615</v>
      </c>
      <c r="G174" s="8" t="s">
        <v>82</v>
      </c>
      <c r="H174" s="8" t="s">
        <v>22</v>
      </c>
      <c r="I174" s="8" t="s">
        <v>2965</v>
      </c>
      <c r="J174" s="8" t="s">
        <v>24</v>
      </c>
      <c r="K174" s="9">
        <v>-14.0</v>
      </c>
      <c r="L174" s="9">
        <v>0.25</v>
      </c>
      <c r="M174" s="9">
        <v>0.25</v>
      </c>
      <c r="N174" s="10">
        <v>45217.0</v>
      </c>
      <c r="O174" s="11">
        <v>1.57</v>
      </c>
      <c r="P174" s="8" t="s">
        <v>33</v>
      </c>
      <c r="Q174" s="12">
        <f t="shared" si="1"/>
        <v>0.1425</v>
      </c>
      <c r="R174" s="12">
        <f t="shared" si="4"/>
        <v>4.388282759</v>
      </c>
    </row>
    <row r="175">
      <c r="A175" s="15">
        <f t="shared" si="3"/>
        <v>174</v>
      </c>
      <c r="B175" s="15" t="s">
        <v>19</v>
      </c>
      <c r="C175" s="15" t="s">
        <v>3621</v>
      </c>
      <c r="D175" s="15"/>
      <c r="E175" s="15"/>
      <c r="F175" s="15"/>
      <c r="G175" s="15" t="s">
        <v>82</v>
      </c>
      <c r="H175" s="15" t="s">
        <v>598</v>
      </c>
      <c r="I175" s="15" t="s">
        <v>2415</v>
      </c>
      <c r="J175" s="15" t="s">
        <v>1522</v>
      </c>
      <c r="K175" s="16">
        <v>2.0</v>
      </c>
      <c r="L175" s="16">
        <v>0.5</v>
      </c>
      <c r="M175" s="16">
        <v>0.5</v>
      </c>
      <c r="N175" s="17">
        <v>45217.0</v>
      </c>
      <c r="O175" s="18">
        <v>1.875</v>
      </c>
      <c r="P175" s="15" t="s">
        <v>70</v>
      </c>
      <c r="Q175" s="19">
        <f t="shared" si="1"/>
        <v>0</v>
      </c>
      <c r="R175" s="19">
        <f t="shared" si="4"/>
        <v>4.388282759</v>
      </c>
    </row>
    <row r="176">
      <c r="A176" s="8">
        <f t="shared" si="3"/>
        <v>175</v>
      </c>
      <c r="B176" s="8" t="s">
        <v>19</v>
      </c>
      <c r="C176" s="8" t="s">
        <v>3622</v>
      </c>
      <c r="D176" s="8" t="s">
        <v>5564</v>
      </c>
      <c r="E176" s="8"/>
      <c r="F176" s="8"/>
      <c r="G176" s="8" t="s">
        <v>82</v>
      </c>
      <c r="H176" s="8" t="s">
        <v>598</v>
      </c>
      <c r="I176" s="8" t="s">
        <v>941</v>
      </c>
      <c r="J176" s="8" t="s">
        <v>39</v>
      </c>
      <c r="K176" s="9">
        <v>0.0</v>
      </c>
      <c r="L176" s="9">
        <v>0.25</v>
      </c>
      <c r="M176" s="9">
        <v>0.25</v>
      </c>
      <c r="N176" s="54">
        <v>45217.0</v>
      </c>
      <c r="O176" s="11">
        <v>1.725</v>
      </c>
      <c r="P176" s="8" t="s">
        <v>33</v>
      </c>
      <c r="Q176" s="12">
        <f t="shared" si="1"/>
        <v>0.18125</v>
      </c>
      <c r="R176" s="12">
        <f t="shared" si="4"/>
        <v>4.569532759</v>
      </c>
    </row>
    <row r="177">
      <c r="A177" s="15">
        <f t="shared" si="3"/>
        <v>176</v>
      </c>
      <c r="B177" s="15" t="s">
        <v>19</v>
      </c>
      <c r="C177" s="15" t="s">
        <v>3623</v>
      </c>
      <c r="D177" s="15" t="s">
        <v>5564</v>
      </c>
      <c r="E177" s="15" t="s">
        <v>2660</v>
      </c>
      <c r="F177" s="15">
        <v>-1.0</v>
      </c>
      <c r="G177" s="15" t="s">
        <v>683</v>
      </c>
      <c r="H177" s="15" t="s">
        <v>22</v>
      </c>
      <c r="I177" s="15" t="s">
        <v>892</v>
      </c>
      <c r="J177" s="15" t="s">
        <v>24</v>
      </c>
      <c r="K177" s="16">
        <v>0.0</v>
      </c>
      <c r="L177" s="16">
        <v>0.5</v>
      </c>
      <c r="M177" s="16">
        <v>0.5</v>
      </c>
      <c r="N177" s="17">
        <v>45217.0</v>
      </c>
      <c r="O177" s="18">
        <v>2.0</v>
      </c>
      <c r="P177" s="15" t="s">
        <v>33</v>
      </c>
      <c r="Q177" s="19">
        <f t="shared" si="1"/>
        <v>0.5</v>
      </c>
      <c r="R177" s="19">
        <f t="shared" si="4"/>
        <v>5.069532759</v>
      </c>
    </row>
    <row r="178">
      <c r="A178" s="8">
        <f t="shared" si="3"/>
        <v>177</v>
      </c>
      <c r="B178" s="8" t="s">
        <v>19</v>
      </c>
      <c r="C178" s="8" t="s">
        <v>3624</v>
      </c>
      <c r="D178" s="8"/>
      <c r="E178" s="8"/>
      <c r="F178" s="8" t="s">
        <v>2615</v>
      </c>
      <c r="G178" s="8" t="s">
        <v>82</v>
      </c>
      <c r="H178" s="8" t="s">
        <v>22</v>
      </c>
      <c r="I178" s="8" t="s">
        <v>2415</v>
      </c>
      <c r="J178" s="8" t="s">
        <v>39</v>
      </c>
      <c r="K178" s="9">
        <v>7.5</v>
      </c>
      <c r="L178" s="9">
        <v>0.25</v>
      </c>
      <c r="M178" s="9">
        <v>0.25</v>
      </c>
      <c r="N178" s="10">
        <v>45217.0</v>
      </c>
      <c r="O178" s="11">
        <v>1.7</v>
      </c>
      <c r="P178" s="8" t="s">
        <v>33</v>
      </c>
      <c r="Q178" s="12">
        <f t="shared" si="1"/>
        <v>0.175</v>
      </c>
      <c r="R178" s="12">
        <f t="shared" si="4"/>
        <v>5.244532759</v>
      </c>
    </row>
    <row r="179">
      <c r="A179" s="15">
        <f t="shared" si="3"/>
        <v>178</v>
      </c>
      <c r="B179" s="15" t="s">
        <v>19</v>
      </c>
      <c r="C179" s="15" t="s">
        <v>3625</v>
      </c>
      <c r="D179" s="15"/>
      <c r="E179" s="15"/>
      <c r="F179" s="15"/>
      <c r="G179" s="15" t="s">
        <v>82</v>
      </c>
      <c r="H179" s="15" t="s">
        <v>598</v>
      </c>
      <c r="I179" s="15" t="s">
        <v>2415</v>
      </c>
      <c r="J179" s="15" t="s">
        <v>39</v>
      </c>
      <c r="K179" s="16">
        <v>11.0</v>
      </c>
      <c r="L179" s="16">
        <v>0.5</v>
      </c>
      <c r="M179" s="16">
        <v>0.5</v>
      </c>
      <c r="N179" s="17">
        <v>45218.0</v>
      </c>
      <c r="O179" s="18">
        <v>1.925</v>
      </c>
      <c r="P179" s="15" t="s">
        <v>33</v>
      </c>
      <c r="Q179" s="19">
        <f t="shared" si="1"/>
        <v>0.4625</v>
      </c>
      <c r="R179" s="19">
        <f t="shared" si="4"/>
        <v>5.707032759</v>
      </c>
    </row>
    <row r="180">
      <c r="A180" s="8">
        <f t="shared" si="3"/>
        <v>179</v>
      </c>
      <c r="B180" s="8" t="s">
        <v>19</v>
      </c>
      <c r="C180" s="8" t="s">
        <v>3626</v>
      </c>
      <c r="D180" s="8"/>
      <c r="E180" s="8"/>
      <c r="F180" s="8"/>
      <c r="G180" s="8" t="s">
        <v>768</v>
      </c>
      <c r="H180" s="8" t="s">
        <v>598</v>
      </c>
      <c r="I180" s="8" t="s">
        <v>29</v>
      </c>
      <c r="J180" s="8" t="s">
        <v>39</v>
      </c>
      <c r="K180" s="9">
        <v>-53.5</v>
      </c>
      <c r="L180" s="9">
        <v>0.3</v>
      </c>
      <c r="M180" s="9">
        <v>0.3</v>
      </c>
      <c r="N180" s="10">
        <v>45218.0</v>
      </c>
      <c r="O180" s="11">
        <v>1.909</v>
      </c>
      <c r="P180" s="8" t="s">
        <v>33</v>
      </c>
      <c r="Q180" s="12">
        <f t="shared" si="1"/>
        <v>0.2727</v>
      </c>
      <c r="R180" s="12">
        <f t="shared" si="4"/>
        <v>5.979732759</v>
      </c>
    </row>
    <row r="181">
      <c r="A181" s="15">
        <f t="shared" si="3"/>
        <v>180</v>
      </c>
      <c r="B181" s="15" t="s">
        <v>19</v>
      </c>
      <c r="C181" s="15" t="s">
        <v>3627</v>
      </c>
      <c r="D181" s="15" t="s">
        <v>5564</v>
      </c>
      <c r="E181" s="15" t="s">
        <v>2660</v>
      </c>
      <c r="F181" s="15">
        <f t="shared" ref="F181:F184" si="8">1</f>
        <v>1</v>
      </c>
      <c r="G181" s="15" t="s">
        <v>3476</v>
      </c>
      <c r="H181" s="15" t="s">
        <v>22</v>
      </c>
      <c r="I181" s="15" t="s">
        <v>892</v>
      </c>
      <c r="J181" s="15" t="s">
        <v>24</v>
      </c>
      <c r="K181" s="16">
        <v>0.0</v>
      </c>
      <c r="L181" s="16">
        <v>0.75</v>
      </c>
      <c r="M181" s="16">
        <v>0.75</v>
      </c>
      <c r="N181" s="17">
        <v>45218.0</v>
      </c>
      <c r="O181" s="18">
        <v>1.7</v>
      </c>
      <c r="P181" s="15" t="s">
        <v>70</v>
      </c>
      <c r="Q181" s="19">
        <f t="shared" si="1"/>
        <v>0</v>
      </c>
      <c r="R181" s="19">
        <f t="shared" si="4"/>
        <v>5.979732759</v>
      </c>
    </row>
    <row r="182">
      <c r="A182" s="8">
        <f t="shared" si="3"/>
        <v>181</v>
      </c>
      <c r="B182" s="8" t="s">
        <v>19</v>
      </c>
      <c r="C182" s="8" t="s">
        <v>3627</v>
      </c>
      <c r="D182" s="8" t="s">
        <v>5564</v>
      </c>
      <c r="E182" s="8" t="s">
        <v>2660</v>
      </c>
      <c r="F182" s="8">
        <f t="shared" si="8"/>
        <v>1</v>
      </c>
      <c r="G182" s="8" t="s">
        <v>3476</v>
      </c>
      <c r="H182" s="8" t="s">
        <v>22</v>
      </c>
      <c r="I182" s="8" t="s">
        <v>892</v>
      </c>
      <c r="J182" s="8" t="s">
        <v>24</v>
      </c>
      <c r="K182" s="9">
        <v>0.0</v>
      </c>
      <c r="L182" s="9">
        <v>0.02</v>
      </c>
      <c r="M182" s="9">
        <v>0.02</v>
      </c>
      <c r="N182" s="10">
        <v>45218.0</v>
      </c>
      <c r="O182" s="11">
        <v>1.8</v>
      </c>
      <c r="P182" s="8" t="s">
        <v>25</v>
      </c>
      <c r="Q182" s="12">
        <f t="shared" si="1"/>
        <v>-0.02</v>
      </c>
      <c r="R182" s="12">
        <f t="shared" si="4"/>
        <v>5.959732759</v>
      </c>
    </row>
    <row r="183">
      <c r="A183" s="15">
        <f t="shared" si="3"/>
        <v>182</v>
      </c>
      <c r="B183" s="15" t="s">
        <v>19</v>
      </c>
      <c r="C183" s="15" t="s">
        <v>3628</v>
      </c>
      <c r="D183" s="15" t="s">
        <v>5565</v>
      </c>
      <c r="E183" s="15" t="s">
        <v>2556</v>
      </c>
      <c r="F183" s="15">
        <f t="shared" si="8"/>
        <v>1</v>
      </c>
      <c r="G183" s="15" t="s">
        <v>316</v>
      </c>
      <c r="H183" s="15" t="s">
        <v>22</v>
      </c>
      <c r="I183" s="15" t="s">
        <v>225</v>
      </c>
      <c r="J183" s="15" t="s">
        <v>24</v>
      </c>
      <c r="K183" s="16">
        <v>0.75</v>
      </c>
      <c r="L183" s="16">
        <v>0.25</v>
      </c>
      <c r="M183" s="16">
        <f>0.412*0.25</f>
        <v>0.103</v>
      </c>
      <c r="N183" s="17">
        <v>45218.0</v>
      </c>
      <c r="O183" s="18">
        <v>1.01</v>
      </c>
      <c r="P183" s="15" t="s">
        <v>33</v>
      </c>
      <c r="Q183" s="19">
        <f t="shared" si="1"/>
        <v>0.00103</v>
      </c>
      <c r="R183" s="19">
        <f t="shared" si="4"/>
        <v>5.960762759</v>
      </c>
    </row>
    <row r="184">
      <c r="A184" s="8">
        <f t="shared" si="3"/>
        <v>183</v>
      </c>
      <c r="B184" s="8" t="s">
        <v>19</v>
      </c>
      <c r="C184" s="8" t="s">
        <v>3629</v>
      </c>
      <c r="D184" s="8" t="s">
        <v>5565</v>
      </c>
      <c r="E184" s="8" t="s">
        <v>2556</v>
      </c>
      <c r="F184" s="8">
        <f t="shared" si="8"/>
        <v>1</v>
      </c>
      <c r="G184" s="8" t="s">
        <v>316</v>
      </c>
      <c r="H184" s="8" t="s">
        <v>22</v>
      </c>
      <c r="I184" s="8" t="s">
        <v>225</v>
      </c>
      <c r="J184" s="8" t="s">
        <v>24</v>
      </c>
      <c r="K184" s="9">
        <v>0.5</v>
      </c>
      <c r="L184" s="9">
        <v>0.75</v>
      </c>
      <c r="M184" s="9">
        <v>0.75</v>
      </c>
      <c r="N184" s="10">
        <v>45218.0</v>
      </c>
      <c r="O184" s="11">
        <v>1.0207</v>
      </c>
      <c r="P184" s="8" t="s">
        <v>33</v>
      </c>
      <c r="Q184" s="12">
        <f t="shared" si="1"/>
        <v>0.015525</v>
      </c>
      <c r="R184" s="12">
        <f t="shared" si="4"/>
        <v>5.976287759</v>
      </c>
    </row>
    <row r="185">
      <c r="A185" s="15">
        <f t="shared" si="3"/>
        <v>184</v>
      </c>
      <c r="B185" s="15" t="s">
        <v>19</v>
      </c>
      <c r="C185" s="15" t="s">
        <v>3630</v>
      </c>
      <c r="D185" s="15" t="s">
        <v>5565</v>
      </c>
      <c r="E185" s="15" t="s">
        <v>2556</v>
      </c>
      <c r="F185" s="15">
        <v>0.0</v>
      </c>
      <c r="G185" s="15" t="s">
        <v>44</v>
      </c>
      <c r="H185" s="15" t="s">
        <v>22</v>
      </c>
      <c r="I185" s="15" t="s">
        <v>225</v>
      </c>
      <c r="J185" s="15" t="s">
        <v>24</v>
      </c>
      <c r="K185" s="16">
        <v>0.5</v>
      </c>
      <c r="L185" s="16">
        <v>0.75</v>
      </c>
      <c r="M185" s="16">
        <v>0.75</v>
      </c>
      <c r="N185" s="17">
        <v>45218.0</v>
      </c>
      <c r="O185" s="18">
        <v>1.0533</v>
      </c>
      <c r="P185" s="15" t="s">
        <v>33</v>
      </c>
      <c r="Q185" s="19">
        <f t="shared" si="1"/>
        <v>0.039975</v>
      </c>
      <c r="R185" s="19">
        <f t="shared" si="4"/>
        <v>6.016262759</v>
      </c>
    </row>
    <row r="186">
      <c r="A186" s="8">
        <f t="shared" si="3"/>
        <v>185</v>
      </c>
      <c r="B186" s="8" t="s">
        <v>19</v>
      </c>
      <c r="C186" s="8" t="s">
        <v>3631</v>
      </c>
      <c r="D186" s="8" t="s">
        <v>5564</v>
      </c>
      <c r="E186" s="8" t="s">
        <v>2660</v>
      </c>
      <c r="F186" s="8">
        <v>0.0</v>
      </c>
      <c r="G186" s="8" t="s">
        <v>463</v>
      </c>
      <c r="H186" s="8" t="s">
        <v>22</v>
      </c>
      <c r="I186" s="8" t="s">
        <v>892</v>
      </c>
      <c r="J186" s="8" t="s">
        <v>39</v>
      </c>
      <c r="K186" s="9">
        <v>0.0</v>
      </c>
      <c r="L186" s="9">
        <v>0.25</v>
      </c>
      <c r="M186" s="9">
        <v>0.25</v>
      </c>
      <c r="N186" s="10">
        <v>45218.0</v>
      </c>
      <c r="O186" s="11">
        <v>1.9</v>
      </c>
      <c r="P186" s="8" t="s">
        <v>33</v>
      </c>
      <c r="Q186" s="12">
        <f t="shared" si="1"/>
        <v>0.225</v>
      </c>
      <c r="R186" s="12">
        <f t="shared" si="4"/>
        <v>6.241262759</v>
      </c>
    </row>
    <row r="187">
      <c r="A187" s="15">
        <f t="shared" si="3"/>
        <v>186</v>
      </c>
      <c r="B187" s="15" t="s">
        <v>19</v>
      </c>
      <c r="C187" s="15" t="s">
        <v>3632</v>
      </c>
      <c r="D187" s="15" t="s">
        <v>5565</v>
      </c>
      <c r="E187" s="15" t="s">
        <v>2660</v>
      </c>
      <c r="F187" s="15">
        <f>1</f>
        <v>1</v>
      </c>
      <c r="G187" s="15" t="s">
        <v>583</v>
      </c>
      <c r="H187" s="15" t="s">
        <v>22</v>
      </c>
      <c r="I187" s="15" t="s">
        <v>892</v>
      </c>
      <c r="J187" s="15" t="s">
        <v>1851</v>
      </c>
      <c r="K187" s="16">
        <v>0.0</v>
      </c>
      <c r="L187" s="16">
        <v>1.0</v>
      </c>
      <c r="M187" s="16">
        <v>1.0</v>
      </c>
      <c r="N187" s="17">
        <v>45219.0</v>
      </c>
      <c r="O187" s="18">
        <v>1.9</v>
      </c>
      <c r="P187" s="15" t="s">
        <v>33</v>
      </c>
      <c r="Q187" s="19">
        <f t="shared" si="1"/>
        <v>0.9</v>
      </c>
      <c r="R187" s="19">
        <f t="shared" si="4"/>
        <v>7.141262759</v>
      </c>
    </row>
    <row r="188">
      <c r="A188" s="8">
        <f t="shared" si="3"/>
        <v>187</v>
      </c>
      <c r="B188" s="8" t="s">
        <v>19</v>
      </c>
      <c r="C188" s="8" t="s">
        <v>3633</v>
      </c>
      <c r="D188" s="8" t="s">
        <v>5564</v>
      </c>
      <c r="E188" s="8" t="s">
        <v>2556</v>
      </c>
      <c r="F188" s="8">
        <v>-2.0</v>
      </c>
      <c r="G188" s="8" t="s">
        <v>583</v>
      </c>
      <c r="H188" s="8" t="s">
        <v>22</v>
      </c>
      <c r="I188" s="8" t="s">
        <v>225</v>
      </c>
      <c r="J188" s="8" t="s">
        <v>39</v>
      </c>
      <c r="K188" s="9">
        <v>0.5</v>
      </c>
      <c r="L188" s="9">
        <v>0.57</v>
      </c>
      <c r="M188" s="9">
        <v>0.57</v>
      </c>
      <c r="N188" s="10">
        <v>45219.0</v>
      </c>
      <c r="O188" s="11">
        <v>1.9</v>
      </c>
      <c r="P188" s="8" t="s">
        <v>25</v>
      </c>
      <c r="Q188" s="12">
        <f t="shared" si="1"/>
        <v>-0.57</v>
      </c>
      <c r="R188" s="12">
        <f t="shared" si="4"/>
        <v>6.571262759</v>
      </c>
    </row>
    <row r="189">
      <c r="A189" s="15">
        <f t="shared" si="3"/>
        <v>188</v>
      </c>
      <c r="B189" s="15" t="s">
        <v>19</v>
      </c>
      <c r="C189" s="15" t="s">
        <v>3634</v>
      </c>
      <c r="D189" s="15"/>
      <c r="E189" s="15"/>
      <c r="F189" s="15"/>
      <c r="G189" s="15" t="s">
        <v>583</v>
      </c>
      <c r="H189" s="15" t="s">
        <v>22</v>
      </c>
      <c r="I189" s="15" t="s">
        <v>2939</v>
      </c>
      <c r="J189" s="15" t="s">
        <v>39</v>
      </c>
      <c r="K189" s="16">
        <v>-5.5</v>
      </c>
      <c r="L189" s="16">
        <v>0.5</v>
      </c>
      <c r="M189" s="16">
        <v>0.5</v>
      </c>
      <c r="N189" s="17">
        <v>45219.0</v>
      </c>
      <c r="O189" s="18">
        <f>341.2/250</f>
        <v>1.3648</v>
      </c>
      <c r="P189" s="15" t="s">
        <v>33</v>
      </c>
      <c r="Q189" s="19">
        <f t="shared" si="1"/>
        <v>0.1824</v>
      </c>
      <c r="R189" s="19">
        <f t="shared" si="4"/>
        <v>6.753662759</v>
      </c>
    </row>
    <row r="190">
      <c r="A190" s="8">
        <f t="shared" si="3"/>
        <v>189</v>
      </c>
      <c r="B190" s="8" t="s">
        <v>19</v>
      </c>
      <c r="C190" s="8" t="s">
        <v>3635</v>
      </c>
      <c r="D190" s="8" t="s">
        <v>5565</v>
      </c>
      <c r="E190" s="8" t="s">
        <v>2556</v>
      </c>
      <c r="F190" s="8">
        <f>1</f>
        <v>1</v>
      </c>
      <c r="G190" s="8" t="s">
        <v>1025</v>
      </c>
      <c r="H190" s="8" t="s">
        <v>22</v>
      </c>
      <c r="I190" s="8" t="s">
        <v>225</v>
      </c>
      <c r="J190" s="8" t="s">
        <v>24</v>
      </c>
      <c r="K190" s="9">
        <v>0.5</v>
      </c>
      <c r="L190" s="9">
        <v>0.5</v>
      </c>
      <c r="M190" s="9">
        <v>0.5</v>
      </c>
      <c r="N190" s="10">
        <v>45219.0</v>
      </c>
      <c r="O190" s="11">
        <v>1.775</v>
      </c>
      <c r="P190" s="8" t="s">
        <v>25</v>
      </c>
      <c r="Q190" s="12">
        <f t="shared" si="1"/>
        <v>-0.5</v>
      </c>
      <c r="R190" s="12">
        <f t="shared" si="4"/>
        <v>6.253662759</v>
      </c>
    </row>
    <row r="191">
      <c r="A191" s="15">
        <f t="shared" si="3"/>
        <v>190</v>
      </c>
      <c r="B191" s="15" t="s">
        <v>19</v>
      </c>
      <c r="C191" s="15" t="s">
        <v>3636</v>
      </c>
      <c r="D191" s="15" t="s">
        <v>5564</v>
      </c>
      <c r="E191" s="15" t="s">
        <v>2660</v>
      </c>
      <c r="F191" s="15">
        <v>-2.0</v>
      </c>
      <c r="G191" s="15" t="s">
        <v>1031</v>
      </c>
      <c r="H191" s="15" t="s">
        <v>22</v>
      </c>
      <c r="I191" s="15" t="s">
        <v>892</v>
      </c>
      <c r="J191" s="15" t="s">
        <v>24</v>
      </c>
      <c r="K191" s="16">
        <v>0.0</v>
      </c>
      <c r="L191" s="16">
        <v>0.25</v>
      </c>
      <c r="M191" s="15">
        <v>0.25</v>
      </c>
      <c r="N191" s="55">
        <v>45219.0</v>
      </c>
      <c r="O191" s="18">
        <v>2.0</v>
      </c>
      <c r="P191" s="15" t="s">
        <v>70</v>
      </c>
      <c r="Q191" s="19">
        <f t="shared" si="1"/>
        <v>0</v>
      </c>
      <c r="R191" s="19">
        <f t="shared" si="4"/>
        <v>6.253662759</v>
      </c>
    </row>
    <row r="192">
      <c r="A192" s="8">
        <f t="shared" si="3"/>
        <v>191</v>
      </c>
      <c r="B192" s="8" t="s">
        <v>19</v>
      </c>
      <c r="C192" s="8" t="s">
        <v>3637</v>
      </c>
      <c r="D192" s="8" t="s">
        <v>5564</v>
      </c>
      <c r="E192" s="8" t="s">
        <v>2556</v>
      </c>
      <c r="F192" s="8">
        <v>2</v>
      </c>
      <c r="G192" s="8" t="s">
        <v>231</v>
      </c>
      <c r="H192" s="8" t="s">
        <v>22</v>
      </c>
      <c r="I192" s="8" t="s">
        <v>225</v>
      </c>
      <c r="J192" s="8" t="s">
        <v>2688</v>
      </c>
      <c r="K192" s="9">
        <v>1.75</v>
      </c>
      <c r="L192" s="9">
        <v>0.5</v>
      </c>
      <c r="M192" s="9">
        <v>0.5</v>
      </c>
      <c r="N192" s="10">
        <v>45219.0</v>
      </c>
      <c r="O192" s="11">
        <v>1.825</v>
      </c>
      <c r="P192" s="8" t="s">
        <v>25</v>
      </c>
      <c r="Q192" s="12">
        <f t="shared" si="1"/>
        <v>-0.5</v>
      </c>
      <c r="R192" s="12">
        <f t="shared" si="4"/>
        <v>5.753662759</v>
      </c>
    </row>
    <row r="193">
      <c r="A193" s="15">
        <f t="shared" si="3"/>
        <v>192</v>
      </c>
      <c r="B193" s="15" t="s">
        <v>19</v>
      </c>
      <c r="C193" s="15" t="s">
        <v>3638</v>
      </c>
      <c r="D193" s="15" t="s">
        <v>5564</v>
      </c>
      <c r="E193" s="15" t="s">
        <v>2660</v>
      </c>
      <c r="F193" s="15">
        <v>0.0</v>
      </c>
      <c r="G193" s="15" t="s">
        <v>703</v>
      </c>
      <c r="H193" s="15" t="s">
        <v>22</v>
      </c>
      <c r="I193" s="15" t="s">
        <v>1150</v>
      </c>
      <c r="J193" s="15" t="s">
        <v>24</v>
      </c>
      <c r="K193" s="16">
        <v>0.0</v>
      </c>
      <c r="L193" s="16">
        <v>0.5</v>
      </c>
      <c r="M193" s="16">
        <v>0.5</v>
      </c>
      <c r="N193" s="17">
        <v>45219.0</v>
      </c>
      <c r="O193" s="18">
        <v>2.0</v>
      </c>
      <c r="P193" s="15" t="s">
        <v>70</v>
      </c>
      <c r="Q193" s="19">
        <f t="shared" si="1"/>
        <v>0</v>
      </c>
      <c r="R193" s="19">
        <f t="shared" si="4"/>
        <v>5.753662759</v>
      </c>
    </row>
    <row r="194">
      <c r="A194" s="8">
        <f t="shared" si="3"/>
        <v>193</v>
      </c>
      <c r="B194" s="8" t="s">
        <v>19</v>
      </c>
      <c r="C194" s="8" t="s">
        <v>3639</v>
      </c>
      <c r="D194" s="8" t="s">
        <v>5564</v>
      </c>
      <c r="E194" s="8" t="s">
        <v>2660</v>
      </c>
      <c r="F194" s="8">
        <v>0.0</v>
      </c>
      <c r="G194" s="8" t="s">
        <v>703</v>
      </c>
      <c r="H194" s="8" t="s">
        <v>22</v>
      </c>
      <c r="I194" s="8" t="s">
        <v>892</v>
      </c>
      <c r="J194" s="8" t="s">
        <v>24</v>
      </c>
      <c r="K194" s="9">
        <v>0.0</v>
      </c>
      <c r="L194" s="9">
        <v>0.5</v>
      </c>
      <c r="M194" s="9">
        <v>0.5</v>
      </c>
      <c r="N194" s="10">
        <v>45219.0</v>
      </c>
      <c r="O194" s="11">
        <v>2.0</v>
      </c>
      <c r="P194" s="8" t="s">
        <v>70</v>
      </c>
      <c r="Q194" s="12">
        <f t="shared" si="1"/>
        <v>0</v>
      </c>
      <c r="R194" s="12">
        <f t="shared" si="4"/>
        <v>5.753662759</v>
      </c>
    </row>
    <row r="195">
      <c r="A195" s="15">
        <f t="shared" si="3"/>
        <v>194</v>
      </c>
      <c r="B195" s="15" t="s">
        <v>19</v>
      </c>
      <c r="C195" s="15" t="s">
        <v>3640</v>
      </c>
      <c r="D195" s="15" t="s">
        <v>5564</v>
      </c>
      <c r="E195" s="15" t="s">
        <v>2660</v>
      </c>
      <c r="F195" s="15">
        <v>0.0</v>
      </c>
      <c r="G195" s="15" t="s">
        <v>273</v>
      </c>
      <c r="H195" s="15" t="s">
        <v>22</v>
      </c>
      <c r="I195" s="15" t="s">
        <v>892</v>
      </c>
      <c r="J195" s="15" t="s">
        <v>2688</v>
      </c>
      <c r="K195" s="16">
        <v>0.0</v>
      </c>
      <c r="L195" s="16">
        <v>0.75</v>
      </c>
      <c r="M195" s="16">
        <v>0.75</v>
      </c>
      <c r="N195" s="17">
        <v>45219.0</v>
      </c>
      <c r="O195" s="18">
        <v>1.75</v>
      </c>
      <c r="P195" s="15" t="s">
        <v>33</v>
      </c>
      <c r="Q195" s="19">
        <f t="shared" si="1"/>
        <v>0.5625</v>
      </c>
      <c r="R195" s="19">
        <f t="shared" si="4"/>
        <v>6.316162759</v>
      </c>
    </row>
    <row r="196">
      <c r="A196" s="8">
        <f t="shared" si="3"/>
        <v>195</v>
      </c>
      <c r="B196" s="8" t="s">
        <v>19</v>
      </c>
      <c r="C196" s="8" t="s">
        <v>3641</v>
      </c>
      <c r="D196" s="8"/>
      <c r="E196" s="8"/>
      <c r="F196" s="8"/>
      <c r="G196" s="8" t="s">
        <v>616</v>
      </c>
      <c r="H196" s="8" t="s">
        <v>22</v>
      </c>
      <c r="I196" s="8" t="s">
        <v>2634</v>
      </c>
      <c r="J196" s="8" t="s">
        <v>24</v>
      </c>
      <c r="K196" s="9"/>
      <c r="L196" s="9">
        <v>0.3</v>
      </c>
      <c r="M196" s="9">
        <v>0.3</v>
      </c>
      <c r="N196" s="10">
        <v>45219.0</v>
      </c>
      <c r="O196" s="11">
        <v>1.8</v>
      </c>
      <c r="P196" s="8" t="s">
        <v>33</v>
      </c>
      <c r="Q196" s="12">
        <f t="shared" si="1"/>
        <v>0.24</v>
      </c>
      <c r="R196" s="12">
        <f t="shared" si="4"/>
        <v>6.556162759</v>
      </c>
    </row>
    <row r="197">
      <c r="A197" s="15">
        <f t="shared" si="3"/>
        <v>196</v>
      </c>
      <c r="B197" s="15" t="s">
        <v>40</v>
      </c>
      <c r="C197" s="15" t="s">
        <v>3642</v>
      </c>
      <c r="D197" s="15" t="s">
        <v>5565</v>
      </c>
      <c r="E197" s="15" t="s">
        <v>2660</v>
      </c>
      <c r="F197" s="15">
        <v>0.0</v>
      </c>
      <c r="G197" s="15" t="s">
        <v>227</v>
      </c>
      <c r="H197" s="15" t="s">
        <v>22</v>
      </c>
      <c r="I197" s="15" t="s">
        <v>892</v>
      </c>
      <c r="J197" s="15" t="s">
        <v>1522</v>
      </c>
      <c r="K197" s="16">
        <v>0.0</v>
      </c>
      <c r="L197" s="16">
        <v>0.75</v>
      </c>
      <c r="M197" s="16">
        <v>0.75</v>
      </c>
      <c r="N197" s="17">
        <v>45219.0</v>
      </c>
      <c r="O197" s="18">
        <v>1.7</v>
      </c>
      <c r="P197" s="15" t="s">
        <v>70</v>
      </c>
      <c r="Q197" s="19">
        <f t="shared" si="1"/>
        <v>0</v>
      </c>
      <c r="R197" s="19">
        <f t="shared" si="4"/>
        <v>6.556162759</v>
      </c>
    </row>
    <row r="198">
      <c r="A198" s="8">
        <f t="shared" si="3"/>
        <v>197</v>
      </c>
      <c r="B198" s="8" t="s">
        <v>19</v>
      </c>
      <c r="C198" s="8" t="s">
        <v>3643</v>
      </c>
      <c r="D198" s="8" t="s">
        <v>5564</v>
      </c>
      <c r="E198" s="8" t="s">
        <v>2660</v>
      </c>
      <c r="F198" s="8">
        <v>0.0</v>
      </c>
      <c r="G198" s="8" t="s">
        <v>44</v>
      </c>
      <c r="H198" s="8" t="s">
        <v>22</v>
      </c>
      <c r="I198" s="8" t="s">
        <v>1150</v>
      </c>
      <c r="J198" s="8" t="s">
        <v>24</v>
      </c>
      <c r="K198" s="9">
        <v>0.0</v>
      </c>
      <c r="L198" s="9">
        <v>1.0</v>
      </c>
      <c r="M198" s="9">
        <v>0.51</v>
      </c>
      <c r="N198" s="10">
        <v>45220.0</v>
      </c>
      <c r="O198" s="11">
        <v>2.1</v>
      </c>
      <c r="P198" s="8" t="s">
        <v>33</v>
      </c>
      <c r="Q198" s="12">
        <f t="shared" si="1"/>
        <v>0.561</v>
      </c>
      <c r="R198" s="12">
        <f t="shared" si="4"/>
        <v>7.117162759</v>
      </c>
    </row>
    <row r="199">
      <c r="A199" s="15">
        <f t="shared" si="3"/>
        <v>198</v>
      </c>
      <c r="B199" s="15" t="s">
        <v>19</v>
      </c>
      <c r="C199" s="15" t="s">
        <v>3644</v>
      </c>
      <c r="D199" s="15" t="s">
        <v>5564</v>
      </c>
      <c r="E199" s="15" t="s">
        <v>2660</v>
      </c>
      <c r="F199" s="15">
        <v>-1.0</v>
      </c>
      <c r="G199" s="15" t="s">
        <v>48</v>
      </c>
      <c r="H199" s="15" t="s">
        <v>22</v>
      </c>
      <c r="I199" s="15" t="s">
        <v>892</v>
      </c>
      <c r="J199" s="15" t="s">
        <v>24</v>
      </c>
      <c r="K199" s="16">
        <v>0.0</v>
      </c>
      <c r="L199" s="16">
        <v>0.75</v>
      </c>
      <c r="M199" s="16">
        <v>0.75</v>
      </c>
      <c r="N199" s="17">
        <v>45220.0</v>
      </c>
      <c r="O199" s="18">
        <v>2.08</v>
      </c>
      <c r="P199" s="15" t="s">
        <v>33</v>
      </c>
      <c r="Q199" s="19">
        <f t="shared" si="1"/>
        <v>0.81</v>
      </c>
      <c r="R199" s="19">
        <f t="shared" si="4"/>
        <v>7.927162759</v>
      </c>
    </row>
    <row r="200">
      <c r="A200" s="8">
        <f t="shared" si="3"/>
        <v>199</v>
      </c>
      <c r="B200" s="8" t="s">
        <v>19</v>
      </c>
      <c r="C200" s="8" t="s">
        <v>3645</v>
      </c>
      <c r="D200" s="8" t="s">
        <v>5564</v>
      </c>
      <c r="E200" s="8" t="s">
        <v>2556</v>
      </c>
      <c r="F200" s="8">
        <v>-1.0</v>
      </c>
      <c r="G200" s="8" t="s">
        <v>806</v>
      </c>
      <c r="H200" s="8" t="s">
        <v>22</v>
      </c>
      <c r="I200" s="8" t="s">
        <v>225</v>
      </c>
      <c r="J200" s="8" t="s">
        <v>24</v>
      </c>
      <c r="K200" s="9">
        <v>0.25</v>
      </c>
      <c r="L200" s="9">
        <v>0.75</v>
      </c>
      <c r="M200" s="9">
        <v>0.75</v>
      </c>
      <c r="N200" s="10">
        <v>45220.0</v>
      </c>
      <c r="O200" s="11">
        <v>1.825</v>
      </c>
      <c r="P200" s="8" t="s">
        <v>25</v>
      </c>
      <c r="Q200" s="12">
        <f t="shared" si="1"/>
        <v>-0.75</v>
      </c>
      <c r="R200" s="12">
        <f t="shared" si="4"/>
        <v>7.177162759</v>
      </c>
    </row>
    <row r="201">
      <c r="A201" s="15">
        <f t="shared" si="3"/>
        <v>200</v>
      </c>
      <c r="B201" s="15" t="s">
        <v>19</v>
      </c>
      <c r="C201" s="15" t="s">
        <v>3646</v>
      </c>
      <c r="D201" s="15" t="s">
        <v>5564</v>
      </c>
      <c r="E201" s="15" t="s">
        <v>2556</v>
      </c>
      <c r="F201" s="15">
        <v>-1.0</v>
      </c>
      <c r="G201" s="15" t="s">
        <v>2667</v>
      </c>
      <c r="H201" s="15" t="s">
        <v>22</v>
      </c>
      <c r="I201" s="15" t="s">
        <v>225</v>
      </c>
      <c r="J201" s="15" t="s">
        <v>24</v>
      </c>
      <c r="K201" s="16">
        <v>0.25</v>
      </c>
      <c r="L201" s="16">
        <v>0.25</v>
      </c>
      <c r="M201" s="16">
        <v>0.25</v>
      </c>
      <c r="N201" s="17">
        <v>45220.0</v>
      </c>
      <c r="O201" s="18">
        <v>1.925</v>
      </c>
      <c r="P201" s="15" t="s">
        <v>25</v>
      </c>
      <c r="Q201" s="19">
        <f t="shared" si="1"/>
        <v>-0.25</v>
      </c>
      <c r="R201" s="19">
        <f t="shared" si="4"/>
        <v>6.927162759</v>
      </c>
    </row>
    <row r="202">
      <c r="A202" s="8">
        <f t="shared" si="3"/>
        <v>201</v>
      </c>
      <c r="B202" s="8" t="s">
        <v>19</v>
      </c>
      <c r="C202" s="8" t="s">
        <v>3647</v>
      </c>
      <c r="D202" s="8" t="s">
        <v>5565</v>
      </c>
      <c r="E202" s="8" t="s">
        <v>2660</v>
      </c>
      <c r="F202" s="8">
        <v>-1.0</v>
      </c>
      <c r="G202" s="8" t="s">
        <v>44</v>
      </c>
      <c r="H202" s="8" t="s">
        <v>22</v>
      </c>
      <c r="I202" s="8" t="s">
        <v>892</v>
      </c>
      <c r="J202" s="8" t="s">
        <v>24</v>
      </c>
      <c r="K202" s="9">
        <v>0.0</v>
      </c>
      <c r="L202" s="9">
        <v>0.5</v>
      </c>
      <c r="M202" s="9">
        <v>0.5</v>
      </c>
      <c r="N202" s="10">
        <v>45220.0</v>
      </c>
      <c r="O202" s="11">
        <v>2.25</v>
      </c>
      <c r="P202" s="8" t="s">
        <v>70</v>
      </c>
      <c r="Q202" s="12">
        <f t="shared" si="1"/>
        <v>0</v>
      </c>
      <c r="R202" s="12">
        <f t="shared" si="4"/>
        <v>6.927162759</v>
      </c>
    </row>
    <row r="203">
      <c r="A203" s="15">
        <f t="shared" si="3"/>
        <v>202</v>
      </c>
      <c r="B203" s="15" t="s">
        <v>19</v>
      </c>
      <c r="C203" s="15" t="s">
        <v>3648</v>
      </c>
      <c r="D203" s="15" t="s">
        <v>5564</v>
      </c>
      <c r="E203" s="15" t="s">
        <v>2660</v>
      </c>
      <c r="F203" s="15">
        <v>-1.0</v>
      </c>
      <c r="G203" s="15" t="s">
        <v>101</v>
      </c>
      <c r="H203" s="15" t="s">
        <v>22</v>
      </c>
      <c r="I203" s="15" t="s">
        <v>892</v>
      </c>
      <c r="J203" s="15" t="s">
        <v>24</v>
      </c>
      <c r="K203" s="16">
        <v>0.0</v>
      </c>
      <c r="L203" s="16">
        <v>0.5</v>
      </c>
      <c r="M203" s="16">
        <v>0.5</v>
      </c>
      <c r="N203" s="17">
        <v>45220.0</v>
      </c>
      <c r="O203" s="18">
        <v>1.85</v>
      </c>
      <c r="P203" s="15" t="s">
        <v>70</v>
      </c>
      <c r="Q203" s="19">
        <f t="shared" si="1"/>
        <v>0</v>
      </c>
      <c r="R203" s="19">
        <f t="shared" si="4"/>
        <v>6.927162759</v>
      </c>
    </row>
    <row r="204">
      <c r="A204" s="8">
        <f t="shared" si="3"/>
        <v>203</v>
      </c>
      <c r="B204" s="8" t="s">
        <v>19</v>
      </c>
      <c r="C204" s="8" t="s">
        <v>3649</v>
      </c>
      <c r="D204" s="8" t="s">
        <v>5564</v>
      </c>
      <c r="E204" s="8" t="s">
        <v>2660</v>
      </c>
      <c r="F204" s="8">
        <v>0.0</v>
      </c>
      <c r="G204" s="8" t="s">
        <v>273</v>
      </c>
      <c r="H204" s="8" t="s">
        <v>22</v>
      </c>
      <c r="I204" s="8" t="s">
        <v>892</v>
      </c>
      <c r="J204" s="8" t="s">
        <v>24</v>
      </c>
      <c r="K204" s="9">
        <v>0.0</v>
      </c>
      <c r="L204" s="9">
        <v>1.0</v>
      </c>
      <c r="M204" s="9">
        <v>1.0</v>
      </c>
      <c r="N204" s="10">
        <v>45220.0</v>
      </c>
      <c r="O204" s="11">
        <v>1.825</v>
      </c>
      <c r="P204" s="8" t="s">
        <v>25</v>
      </c>
      <c r="Q204" s="12">
        <f t="shared" si="1"/>
        <v>-1</v>
      </c>
      <c r="R204" s="12">
        <f t="shared" si="4"/>
        <v>5.927162759</v>
      </c>
    </row>
    <row r="205">
      <c r="A205" s="15">
        <f t="shared" si="3"/>
        <v>204</v>
      </c>
      <c r="B205" s="15" t="s">
        <v>40</v>
      </c>
      <c r="C205" s="15" t="s">
        <v>3650</v>
      </c>
      <c r="D205" s="15" t="s">
        <v>5565</v>
      </c>
      <c r="E205" s="15" t="s">
        <v>2660</v>
      </c>
      <c r="F205" s="15">
        <v>0.0</v>
      </c>
      <c r="G205" s="15" t="s">
        <v>940</v>
      </c>
      <c r="H205" s="15" t="s">
        <v>22</v>
      </c>
      <c r="I205" s="15" t="s">
        <v>1150</v>
      </c>
      <c r="J205" s="15" t="s">
        <v>24</v>
      </c>
      <c r="K205" s="16">
        <v>0.0</v>
      </c>
      <c r="L205" s="16">
        <v>1.0</v>
      </c>
      <c r="M205" s="16">
        <v>1.0</v>
      </c>
      <c r="N205" s="17">
        <v>45220.0</v>
      </c>
      <c r="O205" s="18">
        <v>1.6125</v>
      </c>
      <c r="P205" s="15" t="s">
        <v>33</v>
      </c>
      <c r="Q205" s="19">
        <f t="shared" si="1"/>
        <v>0.6125</v>
      </c>
      <c r="R205" s="19">
        <f t="shared" si="4"/>
        <v>6.539662759</v>
      </c>
    </row>
    <row r="206">
      <c r="A206" s="8">
        <f t="shared" si="3"/>
        <v>205</v>
      </c>
      <c r="B206" s="8" t="s">
        <v>19</v>
      </c>
      <c r="C206" s="8" t="s">
        <v>3651</v>
      </c>
      <c r="D206" s="8" t="s">
        <v>5565</v>
      </c>
      <c r="E206" s="8" t="s">
        <v>2660</v>
      </c>
      <c r="F206" s="8">
        <f>1</f>
        <v>1</v>
      </c>
      <c r="G206" s="8" t="s">
        <v>121</v>
      </c>
      <c r="H206" s="8" t="s">
        <v>22</v>
      </c>
      <c r="I206" s="8" t="s">
        <v>1150</v>
      </c>
      <c r="J206" s="8" t="s">
        <v>24</v>
      </c>
      <c r="K206" s="9">
        <v>0.0</v>
      </c>
      <c r="L206" s="9">
        <v>1.0</v>
      </c>
      <c r="M206" s="9">
        <v>1.0</v>
      </c>
      <c r="N206" s="10">
        <v>45220.0</v>
      </c>
      <c r="O206" s="11">
        <v>1.85</v>
      </c>
      <c r="P206" s="8" t="s">
        <v>70</v>
      </c>
      <c r="Q206" s="12">
        <f t="shared" si="1"/>
        <v>0</v>
      </c>
      <c r="R206" s="12">
        <f t="shared" si="4"/>
        <v>6.539662759</v>
      </c>
    </row>
    <row r="207">
      <c r="A207" s="15">
        <f t="shared" si="3"/>
        <v>206</v>
      </c>
      <c r="B207" s="15" t="s">
        <v>19</v>
      </c>
      <c r="C207" s="15" t="s">
        <v>3652</v>
      </c>
      <c r="D207" s="15" t="s">
        <v>5564</v>
      </c>
      <c r="E207" s="15" t="s">
        <v>2556</v>
      </c>
      <c r="F207" s="15">
        <v>-2.0</v>
      </c>
      <c r="G207" s="15" t="s">
        <v>1201</v>
      </c>
      <c r="H207" s="15" t="s">
        <v>22</v>
      </c>
      <c r="I207" s="15" t="s">
        <v>225</v>
      </c>
      <c r="J207" s="15" t="s">
        <v>24</v>
      </c>
      <c r="K207" s="16">
        <v>0.25</v>
      </c>
      <c r="L207" s="16">
        <v>0.9</v>
      </c>
      <c r="M207" s="16">
        <v>0.9</v>
      </c>
      <c r="N207" s="17">
        <v>45220.0</v>
      </c>
      <c r="O207" s="18">
        <v>1.66</v>
      </c>
      <c r="P207" s="15" t="s">
        <v>30</v>
      </c>
      <c r="Q207" s="19">
        <f t="shared" si="1"/>
        <v>0.297</v>
      </c>
      <c r="R207" s="19">
        <f t="shared" si="4"/>
        <v>6.836662759</v>
      </c>
    </row>
    <row r="208">
      <c r="A208" s="8">
        <f t="shared" si="3"/>
        <v>207</v>
      </c>
      <c r="B208" s="8" t="s">
        <v>19</v>
      </c>
      <c r="C208" s="8" t="s">
        <v>3653</v>
      </c>
      <c r="D208" s="8" t="s">
        <v>5564</v>
      </c>
      <c r="E208" s="8"/>
      <c r="F208" s="8"/>
      <c r="G208" s="8" t="s">
        <v>1201</v>
      </c>
      <c r="H208" s="8" t="s">
        <v>22</v>
      </c>
      <c r="I208" s="8" t="s">
        <v>1165</v>
      </c>
      <c r="J208" s="8" t="s">
        <v>24</v>
      </c>
      <c r="K208" s="9"/>
      <c r="L208" s="9">
        <v>0.1</v>
      </c>
      <c r="M208" s="9">
        <v>0.1</v>
      </c>
      <c r="N208" s="10">
        <v>45220.0</v>
      </c>
      <c r="O208" s="11">
        <v>4.0</v>
      </c>
      <c r="P208" s="8" t="s">
        <v>25</v>
      </c>
      <c r="Q208" s="12">
        <f t="shared" si="1"/>
        <v>-0.1</v>
      </c>
      <c r="R208" s="12">
        <f t="shared" si="4"/>
        <v>6.736662759</v>
      </c>
    </row>
    <row r="209">
      <c r="A209" s="15">
        <f t="shared" si="3"/>
        <v>208</v>
      </c>
      <c r="B209" s="15" t="s">
        <v>19</v>
      </c>
      <c r="C209" s="15" t="s">
        <v>3654</v>
      </c>
      <c r="D209" s="15" t="s">
        <v>5564</v>
      </c>
      <c r="E209" s="15" t="s">
        <v>2660</v>
      </c>
      <c r="F209" s="15">
        <v>0.0</v>
      </c>
      <c r="G209" s="15" t="s">
        <v>273</v>
      </c>
      <c r="H209" s="15" t="s">
        <v>22</v>
      </c>
      <c r="I209" s="15" t="s">
        <v>892</v>
      </c>
      <c r="J209" s="15" t="s">
        <v>24</v>
      </c>
      <c r="K209" s="16">
        <v>0.0</v>
      </c>
      <c r="L209" s="16">
        <v>0.75</v>
      </c>
      <c r="M209" s="16">
        <v>0.75</v>
      </c>
      <c r="N209" s="17">
        <v>45220.0</v>
      </c>
      <c r="O209" s="18">
        <v>1.9</v>
      </c>
      <c r="P209" s="15" t="s">
        <v>70</v>
      </c>
      <c r="Q209" s="19">
        <f t="shared" si="1"/>
        <v>0</v>
      </c>
      <c r="R209" s="19">
        <f t="shared" si="4"/>
        <v>6.736662759</v>
      </c>
    </row>
    <row r="210">
      <c r="A210" s="8">
        <f t="shared" si="3"/>
        <v>209</v>
      </c>
      <c r="B210" s="8" t="s">
        <v>19</v>
      </c>
      <c r="C210" s="8" t="s">
        <v>3655</v>
      </c>
      <c r="D210" s="8" t="s">
        <v>5565</v>
      </c>
      <c r="E210" s="8" t="s">
        <v>2556</v>
      </c>
      <c r="F210" s="8">
        <v>0.0</v>
      </c>
      <c r="G210" s="8" t="s">
        <v>50</v>
      </c>
      <c r="H210" s="8" t="s">
        <v>22</v>
      </c>
      <c r="I210" s="8" t="s">
        <v>941</v>
      </c>
      <c r="J210" s="8" t="s">
        <v>24</v>
      </c>
      <c r="K210" s="9">
        <v>0.0</v>
      </c>
      <c r="L210" s="9">
        <v>1.0</v>
      </c>
      <c r="M210" s="9">
        <f>0.5+0.5*6/23</f>
        <v>0.6304347826</v>
      </c>
      <c r="N210" s="10">
        <v>45220.0</v>
      </c>
      <c r="O210" s="11">
        <v>1.8</v>
      </c>
      <c r="P210" s="8" t="s">
        <v>70</v>
      </c>
      <c r="Q210" s="12">
        <f t="shared" si="1"/>
        <v>0</v>
      </c>
      <c r="R210" s="12">
        <f t="shared" si="4"/>
        <v>6.736662759</v>
      </c>
    </row>
    <row r="211">
      <c r="A211" s="15">
        <f t="shared" si="3"/>
        <v>210</v>
      </c>
      <c r="B211" s="15" t="s">
        <v>19</v>
      </c>
      <c r="C211" s="15" t="s">
        <v>3656</v>
      </c>
      <c r="D211" s="15" t="s">
        <v>5564</v>
      </c>
      <c r="E211" s="15" t="s">
        <v>2660</v>
      </c>
      <c r="F211" s="15">
        <v>0.0</v>
      </c>
      <c r="G211" s="15" t="s">
        <v>703</v>
      </c>
      <c r="H211" s="15" t="s">
        <v>22</v>
      </c>
      <c r="I211" s="15" t="s">
        <v>892</v>
      </c>
      <c r="J211" s="15" t="s">
        <v>24</v>
      </c>
      <c r="K211" s="16">
        <v>0.0</v>
      </c>
      <c r="L211" s="16">
        <v>1.0</v>
      </c>
      <c r="M211" s="16">
        <v>1.0</v>
      </c>
      <c r="N211" s="17">
        <v>45220.0</v>
      </c>
      <c r="O211" s="18">
        <v>1.975</v>
      </c>
      <c r="P211" s="15" t="s">
        <v>33</v>
      </c>
      <c r="Q211" s="19">
        <f t="shared" si="1"/>
        <v>0.975</v>
      </c>
      <c r="R211" s="19">
        <f t="shared" si="4"/>
        <v>7.711662759</v>
      </c>
    </row>
    <row r="212">
      <c r="A212" s="8">
        <f t="shared" si="3"/>
        <v>211</v>
      </c>
      <c r="B212" s="8" t="s">
        <v>19</v>
      </c>
      <c r="C212" s="8" t="s">
        <v>3657</v>
      </c>
      <c r="D212" s="8" t="s">
        <v>5565</v>
      </c>
      <c r="E212" s="8" t="s">
        <v>2556</v>
      </c>
      <c r="F212" s="8">
        <v>0.0</v>
      </c>
      <c r="G212" s="8" t="s">
        <v>66</v>
      </c>
      <c r="H212" s="8" t="s">
        <v>22</v>
      </c>
      <c r="I212" s="8" t="s">
        <v>225</v>
      </c>
      <c r="J212" s="8" t="s">
        <v>24</v>
      </c>
      <c r="K212" s="9">
        <v>0.5</v>
      </c>
      <c r="L212" s="9">
        <v>0.5</v>
      </c>
      <c r="M212" s="9">
        <v>0.5</v>
      </c>
      <c r="N212" s="10">
        <v>45220.0</v>
      </c>
      <c r="O212" s="11">
        <v>1.75752</v>
      </c>
      <c r="P212" s="8" t="s">
        <v>33</v>
      </c>
      <c r="Q212" s="12">
        <f t="shared" si="1"/>
        <v>0.37876</v>
      </c>
      <c r="R212" s="12">
        <f t="shared" si="4"/>
        <v>8.090422759</v>
      </c>
    </row>
    <row r="213">
      <c r="A213" s="15">
        <f t="shared" si="3"/>
        <v>212</v>
      </c>
      <c r="B213" s="15" t="s">
        <v>19</v>
      </c>
      <c r="C213" s="15" t="s">
        <v>3658</v>
      </c>
      <c r="D213" s="15" t="s">
        <v>5564</v>
      </c>
      <c r="E213" s="15" t="s">
        <v>2660</v>
      </c>
      <c r="F213" s="15">
        <v>2</v>
      </c>
      <c r="G213" s="15" t="s">
        <v>38</v>
      </c>
      <c r="H213" s="15" t="s">
        <v>22</v>
      </c>
      <c r="I213" s="15" t="s">
        <v>892</v>
      </c>
      <c r="J213" s="15" t="s">
        <v>24</v>
      </c>
      <c r="K213" s="16">
        <v>0.0</v>
      </c>
      <c r="L213" s="16">
        <v>0.5</v>
      </c>
      <c r="M213" s="16">
        <f>0.25+0.25*12/23</f>
        <v>0.3804347826</v>
      </c>
      <c r="N213" s="17">
        <v>45220.0</v>
      </c>
      <c r="O213" s="18">
        <v>1.6</v>
      </c>
      <c r="P213" s="15" t="s">
        <v>33</v>
      </c>
      <c r="Q213" s="19">
        <f t="shared" si="1"/>
        <v>0.2282608696</v>
      </c>
      <c r="R213" s="19">
        <f t="shared" si="4"/>
        <v>8.318683628</v>
      </c>
    </row>
    <row r="214">
      <c r="A214" s="8">
        <f t="shared" si="3"/>
        <v>213</v>
      </c>
      <c r="B214" s="8" t="s">
        <v>19</v>
      </c>
      <c r="C214" s="8" t="s">
        <v>3659</v>
      </c>
      <c r="D214" s="8" t="s">
        <v>5564</v>
      </c>
      <c r="E214" s="8" t="s">
        <v>2660</v>
      </c>
      <c r="F214" s="8">
        <v>3</v>
      </c>
      <c r="G214" s="8" t="s">
        <v>38</v>
      </c>
      <c r="H214" s="8" t="s">
        <v>22</v>
      </c>
      <c r="I214" s="8" t="s">
        <v>892</v>
      </c>
      <c r="J214" s="8" t="s">
        <v>24</v>
      </c>
      <c r="K214" s="9">
        <v>0.0</v>
      </c>
      <c r="L214" s="9">
        <v>0.5</v>
      </c>
      <c r="M214" s="9">
        <v>0.5</v>
      </c>
      <c r="N214" s="10">
        <v>45220.0</v>
      </c>
      <c r="O214" s="11">
        <v>1.8</v>
      </c>
      <c r="P214" s="8" t="s">
        <v>70</v>
      </c>
      <c r="Q214" s="12">
        <f t="shared" si="1"/>
        <v>0</v>
      </c>
      <c r="R214" s="12">
        <f t="shared" si="4"/>
        <v>8.318683628</v>
      </c>
    </row>
    <row r="215">
      <c r="A215" s="15">
        <f t="shared" si="3"/>
        <v>214</v>
      </c>
      <c r="B215" s="15" t="s">
        <v>19</v>
      </c>
      <c r="C215" s="15" t="s">
        <v>3660</v>
      </c>
      <c r="D215" s="15" t="s">
        <v>5564</v>
      </c>
      <c r="E215" s="15" t="s">
        <v>2556</v>
      </c>
      <c r="F215" s="15">
        <f>1</f>
        <v>1</v>
      </c>
      <c r="G215" s="15" t="s">
        <v>66</v>
      </c>
      <c r="H215" s="15" t="s">
        <v>22</v>
      </c>
      <c r="I215" s="15" t="s">
        <v>225</v>
      </c>
      <c r="J215" s="15" t="s">
        <v>24</v>
      </c>
      <c r="K215" s="16">
        <v>0.0</v>
      </c>
      <c r="L215" s="16">
        <v>0.75</v>
      </c>
      <c r="M215" s="16">
        <v>0.75</v>
      </c>
      <c r="N215" s="17">
        <v>45220.0</v>
      </c>
      <c r="O215" s="18">
        <v>1.7559</v>
      </c>
      <c r="P215" s="15" t="s">
        <v>33</v>
      </c>
      <c r="Q215" s="19">
        <f t="shared" si="1"/>
        <v>0.566925</v>
      </c>
      <c r="R215" s="19">
        <f t="shared" si="4"/>
        <v>8.885608628</v>
      </c>
    </row>
    <row r="216">
      <c r="A216" s="8">
        <f t="shared" si="3"/>
        <v>215</v>
      </c>
      <c r="B216" s="8" t="s">
        <v>19</v>
      </c>
      <c r="C216" s="8" t="s">
        <v>3661</v>
      </c>
      <c r="D216" s="8"/>
      <c r="E216" s="8"/>
      <c r="F216" s="8"/>
      <c r="G216" s="8" t="s">
        <v>66</v>
      </c>
      <c r="H216" s="8" t="s">
        <v>22</v>
      </c>
      <c r="I216" s="8" t="s">
        <v>29</v>
      </c>
      <c r="J216" s="8" t="s">
        <v>24</v>
      </c>
      <c r="K216" s="9">
        <v>-3.5</v>
      </c>
      <c r="L216" s="9">
        <v>0.25</v>
      </c>
      <c r="M216" s="9">
        <v>0.25</v>
      </c>
      <c r="N216" s="10">
        <v>45220.0</v>
      </c>
      <c r="O216" s="11">
        <v>1.8</v>
      </c>
      <c r="P216" s="8" t="s">
        <v>33</v>
      </c>
      <c r="Q216" s="12">
        <f t="shared" si="1"/>
        <v>0.2</v>
      </c>
      <c r="R216" s="12">
        <f t="shared" si="4"/>
        <v>9.085608628</v>
      </c>
    </row>
    <row r="217">
      <c r="A217" s="15">
        <f t="shared" si="3"/>
        <v>216</v>
      </c>
      <c r="B217" s="15" t="s">
        <v>19</v>
      </c>
      <c r="C217" s="15" t="s">
        <v>3662</v>
      </c>
      <c r="D217" s="15" t="s">
        <v>5565</v>
      </c>
      <c r="E217" s="15" t="s">
        <v>2660</v>
      </c>
      <c r="F217" s="15">
        <v>-1.0</v>
      </c>
      <c r="G217" s="15" t="s">
        <v>50</v>
      </c>
      <c r="H217" s="15" t="s">
        <v>22</v>
      </c>
      <c r="I217" s="15" t="s">
        <v>892</v>
      </c>
      <c r="J217" s="15" t="s">
        <v>24</v>
      </c>
      <c r="K217" s="16">
        <v>0.0</v>
      </c>
      <c r="L217" s="16">
        <v>0.5</v>
      </c>
      <c r="M217" s="16">
        <v>0.5</v>
      </c>
      <c r="N217" s="17">
        <v>45220.0</v>
      </c>
      <c r="O217" s="18">
        <v>1.725</v>
      </c>
      <c r="P217" s="15" t="s">
        <v>33</v>
      </c>
      <c r="Q217" s="19">
        <f t="shared" si="1"/>
        <v>0.3625</v>
      </c>
      <c r="R217" s="19">
        <f t="shared" si="4"/>
        <v>9.448108628</v>
      </c>
    </row>
    <row r="218">
      <c r="A218" s="8">
        <f t="shared" si="3"/>
        <v>217</v>
      </c>
      <c r="B218" s="8" t="s">
        <v>19</v>
      </c>
      <c r="C218" s="8" t="s">
        <v>3663</v>
      </c>
      <c r="D218" s="8" t="s">
        <v>5565</v>
      </c>
      <c r="E218" s="8" t="s">
        <v>2556</v>
      </c>
      <c r="F218" s="8">
        <v>0.0</v>
      </c>
      <c r="G218" s="8" t="s">
        <v>50</v>
      </c>
      <c r="H218" s="8" t="s">
        <v>22</v>
      </c>
      <c r="I218" s="8" t="s">
        <v>941</v>
      </c>
      <c r="J218" s="8" t="s">
        <v>1522</v>
      </c>
      <c r="K218" s="9">
        <v>0.0</v>
      </c>
      <c r="L218" s="9">
        <v>0.5</v>
      </c>
      <c r="M218" s="9">
        <v>0.5</v>
      </c>
      <c r="N218" s="10">
        <v>45220.0</v>
      </c>
      <c r="O218" s="11">
        <v>2.0</v>
      </c>
      <c r="P218" s="8" t="s">
        <v>70</v>
      </c>
      <c r="Q218" s="12">
        <f t="shared" si="1"/>
        <v>0</v>
      </c>
      <c r="R218" s="12">
        <f t="shared" si="4"/>
        <v>9.448108628</v>
      </c>
    </row>
    <row r="219">
      <c r="A219" s="15">
        <f t="shared" si="3"/>
        <v>218</v>
      </c>
      <c r="B219" s="15" t="s">
        <v>19</v>
      </c>
      <c r="C219" s="15" t="s">
        <v>3664</v>
      </c>
      <c r="D219" s="15" t="s">
        <v>5564</v>
      </c>
      <c r="E219" s="15" t="s">
        <v>2556</v>
      </c>
      <c r="F219" s="15">
        <v>0.0</v>
      </c>
      <c r="G219" s="15" t="s">
        <v>93</v>
      </c>
      <c r="H219" s="15" t="s">
        <v>22</v>
      </c>
      <c r="I219" s="15" t="s">
        <v>225</v>
      </c>
      <c r="J219" s="15" t="s">
        <v>24</v>
      </c>
      <c r="K219" s="16">
        <v>0.75</v>
      </c>
      <c r="L219" s="16">
        <v>0.5</v>
      </c>
      <c r="M219" s="16">
        <v>0.5</v>
      </c>
      <c r="N219" s="17">
        <v>45220.0</v>
      </c>
      <c r="O219" s="18">
        <v>1.6654</v>
      </c>
      <c r="P219" s="15" t="s">
        <v>33</v>
      </c>
      <c r="Q219" s="19">
        <f t="shared" si="1"/>
        <v>0.3327</v>
      </c>
      <c r="R219" s="19">
        <f t="shared" si="4"/>
        <v>9.780808628</v>
      </c>
    </row>
    <row r="220">
      <c r="A220" s="8">
        <f t="shared" si="3"/>
        <v>219</v>
      </c>
      <c r="B220" s="8" t="s">
        <v>19</v>
      </c>
      <c r="C220" s="8" t="s">
        <v>3665</v>
      </c>
      <c r="D220" s="8" t="s">
        <v>5564</v>
      </c>
      <c r="E220" s="8" t="s">
        <v>2556</v>
      </c>
      <c r="F220" s="8">
        <v>0.0</v>
      </c>
      <c r="G220" s="8" t="s">
        <v>93</v>
      </c>
      <c r="H220" s="8" t="s">
        <v>22</v>
      </c>
      <c r="I220" s="8" t="s">
        <v>941</v>
      </c>
      <c r="J220" s="8" t="s">
        <v>24</v>
      </c>
      <c r="K220" s="9">
        <v>0.0</v>
      </c>
      <c r="L220" s="9">
        <v>0.5</v>
      </c>
      <c r="M220" s="9">
        <v>0.5</v>
      </c>
      <c r="N220" s="10">
        <v>45220.0</v>
      </c>
      <c r="O220" s="11">
        <v>2.38</v>
      </c>
      <c r="P220" s="8" t="s">
        <v>70</v>
      </c>
      <c r="Q220" s="12">
        <f t="shared" si="1"/>
        <v>0</v>
      </c>
      <c r="R220" s="12">
        <f t="shared" si="4"/>
        <v>9.780808628</v>
      </c>
    </row>
    <row r="221">
      <c r="A221" s="15">
        <f t="shared" si="3"/>
        <v>220</v>
      </c>
      <c r="B221" s="15" t="s">
        <v>19</v>
      </c>
      <c r="C221" s="15" t="s">
        <v>3666</v>
      </c>
      <c r="D221" s="15" t="s">
        <v>5564</v>
      </c>
      <c r="E221" s="15" t="s">
        <v>2660</v>
      </c>
      <c r="F221" s="15">
        <v>-1.0</v>
      </c>
      <c r="G221" s="15" t="s">
        <v>229</v>
      </c>
      <c r="H221" s="15" t="s">
        <v>22</v>
      </c>
      <c r="I221" s="15" t="s">
        <v>892</v>
      </c>
      <c r="J221" s="15" t="s">
        <v>24</v>
      </c>
      <c r="K221" s="16">
        <v>0.0</v>
      </c>
      <c r="L221" s="16">
        <v>0.25</v>
      </c>
      <c r="M221" s="16">
        <v>0.25</v>
      </c>
      <c r="N221" s="17">
        <v>45220.0</v>
      </c>
      <c r="O221" s="18">
        <v>1.925</v>
      </c>
      <c r="P221" s="15" t="s">
        <v>33</v>
      </c>
      <c r="Q221" s="19">
        <f t="shared" si="1"/>
        <v>0.23125</v>
      </c>
      <c r="R221" s="19">
        <f t="shared" si="4"/>
        <v>10.01205863</v>
      </c>
    </row>
    <row r="222">
      <c r="A222" s="8">
        <f t="shared" si="3"/>
        <v>221</v>
      </c>
      <c r="B222" s="8" t="s">
        <v>19</v>
      </c>
      <c r="C222" s="8" t="s">
        <v>3667</v>
      </c>
      <c r="D222" s="8"/>
      <c r="E222" s="8"/>
      <c r="F222" s="8"/>
      <c r="G222" s="8" t="s">
        <v>82</v>
      </c>
      <c r="H222" s="8" t="s">
        <v>598</v>
      </c>
      <c r="I222" s="8" t="s">
        <v>2415</v>
      </c>
      <c r="J222" s="8" t="s">
        <v>39</v>
      </c>
      <c r="K222" s="9">
        <v>10.5</v>
      </c>
      <c r="L222" s="9">
        <v>0.5</v>
      </c>
      <c r="M222" s="9">
        <v>0.5</v>
      </c>
      <c r="N222" s="10">
        <v>45220.0</v>
      </c>
      <c r="O222" s="11">
        <v>1.95</v>
      </c>
      <c r="P222" s="8" t="s">
        <v>33</v>
      </c>
      <c r="Q222" s="12">
        <f t="shared" si="1"/>
        <v>0.475</v>
      </c>
      <c r="R222" s="12">
        <f t="shared" si="4"/>
        <v>10.48705863</v>
      </c>
    </row>
    <row r="223">
      <c r="A223" s="15">
        <f t="shared" si="3"/>
        <v>222</v>
      </c>
      <c r="B223" s="15" t="s">
        <v>19</v>
      </c>
      <c r="C223" s="15" t="s">
        <v>3668</v>
      </c>
      <c r="D223" s="15"/>
      <c r="E223" s="15"/>
      <c r="F223" s="15"/>
      <c r="G223" s="15" t="s">
        <v>82</v>
      </c>
      <c r="H223" s="15" t="s">
        <v>598</v>
      </c>
      <c r="I223" s="15" t="s">
        <v>2415</v>
      </c>
      <c r="J223" s="15" t="s">
        <v>39</v>
      </c>
      <c r="K223" s="16">
        <v>11.0</v>
      </c>
      <c r="L223" s="16">
        <v>0.5</v>
      </c>
      <c r="M223" s="16">
        <v>0.5</v>
      </c>
      <c r="N223" s="17">
        <v>45221.0</v>
      </c>
      <c r="O223" s="18">
        <v>1.925</v>
      </c>
      <c r="P223" s="15" t="s">
        <v>25</v>
      </c>
      <c r="Q223" s="19">
        <f t="shared" si="1"/>
        <v>-0.5</v>
      </c>
      <c r="R223" s="19">
        <f t="shared" si="4"/>
        <v>9.987058628</v>
      </c>
    </row>
    <row r="224">
      <c r="A224" s="8">
        <f t="shared" si="3"/>
        <v>223</v>
      </c>
      <c r="B224" s="8" t="s">
        <v>19</v>
      </c>
      <c r="C224" s="8" t="s">
        <v>3669</v>
      </c>
      <c r="D224" s="8" t="s">
        <v>5565</v>
      </c>
      <c r="E224" s="8" t="s">
        <v>2660</v>
      </c>
      <c r="F224" s="8">
        <f>1</f>
        <v>1</v>
      </c>
      <c r="G224" s="8" t="s">
        <v>88</v>
      </c>
      <c r="H224" s="8" t="s">
        <v>22</v>
      </c>
      <c r="I224" s="8" t="s">
        <v>892</v>
      </c>
      <c r="J224" s="8" t="s">
        <v>24</v>
      </c>
      <c r="K224" s="9">
        <v>0.0</v>
      </c>
      <c r="L224" s="9">
        <v>0.25</v>
      </c>
      <c r="M224" s="9">
        <v>0.25</v>
      </c>
      <c r="N224" s="10">
        <v>45221.0</v>
      </c>
      <c r="O224" s="11">
        <v>1.7</v>
      </c>
      <c r="P224" s="8" t="s">
        <v>70</v>
      </c>
      <c r="Q224" s="12">
        <f t="shared" si="1"/>
        <v>0</v>
      </c>
      <c r="R224" s="12">
        <f t="shared" si="4"/>
        <v>9.987058628</v>
      </c>
    </row>
    <row r="225">
      <c r="A225" s="15">
        <f t="shared" si="3"/>
        <v>224</v>
      </c>
      <c r="B225" s="15" t="s">
        <v>19</v>
      </c>
      <c r="C225" s="15" t="s">
        <v>3670</v>
      </c>
      <c r="D225" s="15" t="s">
        <v>5564</v>
      </c>
      <c r="E225" s="15" t="s">
        <v>2556</v>
      </c>
      <c r="F225" s="15">
        <v>0.0</v>
      </c>
      <c r="G225" s="15" t="s">
        <v>593</v>
      </c>
      <c r="H225" s="15" t="s">
        <v>22</v>
      </c>
      <c r="I225" s="15" t="s">
        <v>941</v>
      </c>
      <c r="J225" s="15" t="s">
        <v>39</v>
      </c>
      <c r="K225" s="16">
        <v>0.0</v>
      </c>
      <c r="L225" s="16">
        <v>0.5</v>
      </c>
      <c r="M225" s="16">
        <f>0.25+0.25*19/23</f>
        <v>0.4565217391</v>
      </c>
      <c r="N225" s="17">
        <v>45221.0</v>
      </c>
      <c r="O225" s="18">
        <v>1.825</v>
      </c>
      <c r="P225" s="15" t="s">
        <v>25</v>
      </c>
      <c r="Q225" s="19">
        <f t="shared" si="1"/>
        <v>-0.4565217391</v>
      </c>
      <c r="R225" s="19">
        <f t="shared" si="4"/>
        <v>9.530536889</v>
      </c>
    </row>
    <row r="226">
      <c r="A226" s="8">
        <f t="shared" si="3"/>
        <v>225</v>
      </c>
      <c r="B226" s="8" t="s">
        <v>19</v>
      </c>
      <c r="C226" s="8" t="s">
        <v>3671</v>
      </c>
      <c r="D226" s="8" t="s">
        <v>5565</v>
      </c>
      <c r="E226" s="8" t="s">
        <v>2660</v>
      </c>
      <c r="F226" s="8">
        <v>0.0</v>
      </c>
      <c r="G226" s="8" t="s">
        <v>50</v>
      </c>
      <c r="H226" s="8" t="s">
        <v>22</v>
      </c>
      <c r="I226" s="8" t="s">
        <v>892</v>
      </c>
      <c r="J226" s="8" t="s">
        <v>1522</v>
      </c>
      <c r="K226" s="9">
        <v>0.0</v>
      </c>
      <c r="L226" s="9">
        <v>0.75</v>
      </c>
      <c r="M226" s="9">
        <v>0.57</v>
      </c>
      <c r="N226" s="10">
        <v>45221.0</v>
      </c>
      <c r="O226" s="11">
        <v>1.75</v>
      </c>
      <c r="P226" s="8" t="s">
        <v>25</v>
      </c>
      <c r="Q226" s="12">
        <f t="shared" si="1"/>
        <v>-0.57</v>
      </c>
      <c r="R226" s="12">
        <f t="shared" si="4"/>
        <v>8.960536889</v>
      </c>
    </row>
    <row r="227">
      <c r="A227" s="15">
        <f t="shared" si="3"/>
        <v>226</v>
      </c>
      <c r="B227" s="15" t="s">
        <v>19</v>
      </c>
      <c r="C227" s="15" t="s">
        <v>3672</v>
      </c>
      <c r="D227" s="15" t="s">
        <v>5565</v>
      </c>
      <c r="E227" s="15" t="s">
        <v>2660</v>
      </c>
      <c r="F227" s="15">
        <v>0.0</v>
      </c>
      <c r="G227" s="15" t="s">
        <v>48</v>
      </c>
      <c r="H227" s="15" t="s">
        <v>22</v>
      </c>
      <c r="I227" s="15" t="s">
        <v>892</v>
      </c>
      <c r="J227" s="15" t="s">
        <v>24</v>
      </c>
      <c r="K227" s="16">
        <v>0.0</v>
      </c>
      <c r="L227" s="16">
        <v>0.5</v>
      </c>
      <c r="M227" s="16">
        <v>0.5</v>
      </c>
      <c r="N227" s="17">
        <v>45221.0</v>
      </c>
      <c r="O227" s="18">
        <v>1.072</v>
      </c>
      <c r="P227" s="15" t="s">
        <v>33</v>
      </c>
      <c r="Q227" s="19">
        <f t="shared" si="1"/>
        <v>0.036</v>
      </c>
      <c r="R227" s="19">
        <f t="shared" si="4"/>
        <v>8.996536889</v>
      </c>
    </row>
    <row r="228">
      <c r="A228" s="8">
        <f t="shared" si="3"/>
        <v>227</v>
      </c>
      <c r="B228" s="8" t="s">
        <v>19</v>
      </c>
      <c r="C228" s="8" t="s">
        <v>3673</v>
      </c>
      <c r="D228" s="8" t="s">
        <v>5564</v>
      </c>
      <c r="E228" s="8" t="s">
        <v>2556</v>
      </c>
      <c r="F228" s="8">
        <v>-2.0</v>
      </c>
      <c r="G228" s="8" t="s">
        <v>44</v>
      </c>
      <c r="H228" s="8" t="s">
        <v>22</v>
      </c>
      <c r="I228" s="8" t="s">
        <v>225</v>
      </c>
      <c r="J228" s="8" t="s">
        <v>24</v>
      </c>
      <c r="K228" s="9">
        <v>0.5</v>
      </c>
      <c r="L228" s="9">
        <v>0.5</v>
      </c>
      <c r="M228" s="9">
        <f>0.5*2/23</f>
        <v>0.04347826087</v>
      </c>
      <c r="N228" s="10">
        <v>45221.0</v>
      </c>
      <c r="O228" s="11">
        <v>1.725</v>
      </c>
      <c r="P228" s="8" t="s">
        <v>33</v>
      </c>
      <c r="Q228" s="12">
        <f t="shared" si="1"/>
        <v>0.03152173913</v>
      </c>
      <c r="R228" s="12">
        <f t="shared" si="4"/>
        <v>9.028058628</v>
      </c>
    </row>
    <row r="229">
      <c r="A229" s="15">
        <f t="shared" si="3"/>
        <v>228</v>
      </c>
      <c r="B229" s="15" t="s">
        <v>19</v>
      </c>
      <c r="C229" s="15" t="s">
        <v>3674</v>
      </c>
      <c r="D229" s="15" t="s">
        <v>5565</v>
      </c>
      <c r="E229" s="15" t="s">
        <v>2660</v>
      </c>
      <c r="F229" s="15">
        <v>0.0</v>
      </c>
      <c r="G229" s="15" t="s">
        <v>703</v>
      </c>
      <c r="H229" s="15" t="s">
        <v>22</v>
      </c>
      <c r="I229" s="15" t="s">
        <v>892</v>
      </c>
      <c r="J229" s="15" t="s">
        <v>24</v>
      </c>
      <c r="K229" s="16">
        <v>0.0</v>
      </c>
      <c r="L229" s="16">
        <v>0.5</v>
      </c>
      <c r="M229" s="16">
        <v>0.5</v>
      </c>
      <c r="N229" s="17">
        <v>45221.0</v>
      </c>
      <c r="O229" s="18">
        <v>1.61</v>
      </c>
      <c r="P229" s="15" t="s">
        <v>33</v>
      </c>
      <c r="Q229" s="19">
        <f t="shared" si="1"/>
        <v>0.305</v>
      </c>
      <c r="R229" s="19">
        <f t="shared" si="4"/>
        <v>9.333058628</v>
      </c>
    </row>
    <row r="230">
      <c r="A230" s="8">
        <f t="shared" si="3"/>
        <v>229</v>
      </c>
      <c r="B230" s="8" t="s">
        <v>19</v>
      </c>
      <c r="C230" s="8" t="s">
        <v>3675</v>
      </c>
      <c r="D230" s="8" t="s">
        <v>5564</v>
      </c>
      <c r="E230" s="8" t="s">
        <v>2660</v>
      </c>
      <c r="F230" s="8">
        <v>-1.0</v>
      </c>
      <c r="G230" s="8" t="s">
        <v>229</v>
      </c>
      <c r="H230" s="8" t="s">
        <v>22</v>
      </c>
      <c r="I230" s="8" t="s">
        <v>892</v>
      </c>
      <c r="J230" s="8" t="s">
        <v>24</v>
      </c>
      <c r="K230" s="9">
        <v>0.0</v>
      </c>
      <c r="L230" s="9">
        <v>0.75</v>
      </c>
      <c r="M230" s="9">
        <v>0.75</v>
      </c>
      <c r="N230" s="10">
        <v>45221.0</v>
      </c>
      <c r="O230" s="11">
        <v>1.95</v>
      </c>
      <c r="P230" s="8" t="s">
        <v>70</v>
      </c>
      <c r="Q230" s="12">
        <f t="shared" si="1"/>
        <v>0</v>
      </c>
      <c r="R230" s="12">
        <f t="shared" si="4"/>
        <v>9.333058628</v>
      </c>
    </row>
    <row r="231">
      <c r="A231" s="15">
        <f t="shared" si="3"/>
        <v>230</v>
      </c>
      <c r="B231" s="15" t="s">
        <v>19</v>
      </c>
      <c r="C231" s="15" t="s">
        <v>3676</v>
      </c>
      <c r="D231" s="15" t="s">
        <v>5564</v>
      </c>
      <c r="E231" s="15" t="s">
        <v>2556</v>
      </c>
      <c r="F231" s="15">
        <v>0.0</v>
      </c>
      <c r="G231" s="15" t="s">
        <v>44</v>
      </c>
      <c r="H231" s="15" t="s">
        <v>22</v>
      </c>
      <c r="I231" s="15" t="s">
        <v>225</v>
      </c>
      <c r="J231" s="15" t="s">
        <v>24</v>
      </c>
      <c r="K231" s="16">
        <v>0.25</v>
      </c>
      <c r="L231" s="16">
        <v>0.5</v>
      </c>
      <c r="M231" s="16">
        <v>0.5</v>
      </c>
      <c r="N231" s="17">
        <v>45221.0</v>
      </c>
      <c r="O231" s="18">
        <v>1.825</v>
      </c>
      <c r="P231" s="15" t="s">
        <v>70</v>
      </c>
      <c r="Q231" s="19">
        <f t="shared" si="1"/>
        <v>0</v>
      </c>
      <c r="R231" s="19">
        <f t="shared" si="4"/>
        <v>9.333058628</v>
      </c>
    </row>
    <row r="232">
      <c r="A232" s="8">
        <f t="shared" si="3"/>
        <v>231</v>
      </c>
      <c r="B232" s="8" t="s">
        <v>19</v>
      </c>
      <c r="C232" s="8" t="s">
        <v>3677</v>
      </c>
      <c r="D232" s="8" t="s">
        <v>5564</v>
      </c>
      <c r="E232" s="8" t="s">
        <v>2660</v>
      </c>
      <c r="F232" s="8">
        <f t="shared" ref="F232:F233" si="9">1</f>
        <v>1</v>
      </c>
      <c r="G232" s="8" t="s">
        <v>44</v>
      </c>
      <c r="H232" s="8" t="s">
        <v>22</v>
      </c>
      <c r="I232" s="8" t="s">
        <v>225</v>
      </c>
      <c r="J232" s="8" t="s">
        <v>24</v>
      </c>
      <c r="K232" s="9">
        <v>0.25</v>
      </c>
      <c r="L232" s="9">
        <v>0.75</v>
      </c>
      <c r="M232" s="9">
        <v>0.75</v>
      </c>
      <c r="N232" s="10">
        <v>45221.0</v>
      </c>
      <c r="O232" s="11">
        <v>1.7</v>
      </c>
      <c r="P232" s="8" t="s">
        <v>33</v>
      </c>
      <c r="Q232" s="12">
        <f t="shared" si="1"/>
        <v>0.525</v>
      </c>
      <c r="R232" s="12">
        <f t="shared" si="4"/>
        <v>9.858058628</v>
      </c>
    </row>
    <row r="233">
      <c r="A233" s="15">
        <f t="shared" si="3"/>
        <v>232</v>
      </c>
      <c r="B233" s="15" t="s">
        <v>40</v>
      </c>
      <c r="C233" s="15" t="s">
        <v>3678</v>
      </c>
      <c r="D233" s="15" t="s">
        <v>5564</v>
      </c>
      <c r="E233" s="15" t="s">
        <v>2660</v>
      </c>
      <c r="F233" s="15">
        <f t="shared" si="9"/>
        <v>1</v>
      </c>
      <c r="G233" s="15" t="s">
        <v>58</v>
      </c>
      <c r="H233" s="15" t="s">
        <v>22</v>
      </c>
      <c r="I233" s="15" t="s">
        <v>892</v>
      </c>
      <c r="J233" s="15" t="s">
        <v>3460</v>
      </c>
      <c r="K233" s="16">
        <v>0.0</v>
      </c>
      <c r="L233" s="16">
        <v>0.5</v>
      </c>
      <c r="M233" s="16">
        <v>0.5</v>
      </c>
      <c r="N233" s="17">
        <v>45221.0</v>
      </c>
      <c r="O233" s="18">
        <v>1.825</v>
      </c>
      <c r="P233" s="15" t="s">
        <v>33</v>
      </c>
      <c r="Q233" s="19">
        <f t="shared" si="1"/>
        <v>0.4125</v>
      </c>
      <c r="R233" s="19">
        <f t="shared" si="4"/>
        <v>10.27055863</v>
      </c>
    </row>
    <row r="234">
      <c r="A234" s="8">
        <f t="shared" si="3"/>
        <v>233</v>
      </c>
      <c r="B234" s="8" t="s">
        <v>40</v>
      </c>
      <c r="C234" s="8" t="s">
        <v>3678</v>
      </c>
      <c r="D234" s="8" t="s">
        <v>5564</v>
      </c>
      <c r="E234" s="8" t="s">
        <v>2660</v>
      </c>
      <c r="F234" s="8">
        <v>2</v>
      </c>
      <c r="G234" s="8" t="s">
        <v>58</v>
      </c>
      <c r="H234" s="8" t="s">
        <v>22</v>
      </c>
      <c r="I234" s="8" t="s">
        <v>892</v>
      </c>
      <c r="J234" s="8" t="s">
        <v>3460</v>
      </c>
      <c r="K234" s="9">
        <v>0.0</v>
      </c>
      <c r="L234" s="9">
        <v>0.25</v>
      </c>
      <c r="M234" s="9">
        <v>0.25</v>
      </c>
      <c r="N234" s="10">
        <v>45221.0</v>
      </c>
      <c r="O234" s="11">
        <v>1.75</v>
      </c>
      <c r="P234" s="8" t="s">
        <v>33</v>
      </c>
      <c r="Q234" s="12">
        <f t="shared" si="1"/>
        <v>0.1875</v>
      </c>
      <c r="R234" s="12">
        <f t="shared" si="4"/>
        <v>10.45805863</v>
      </c>
    </row>
    <row r="235">
      <c r="A235" s="15">
        <f t="shared" si="3"/>
        <v>234</v>
      </c>
      <c r="B235" s="15" t="s">
        <v>19</v>
      </c>
      <c r="C235" s="15" t="s">
        <v>3679</v>
      </c>
      <c r="D235" s="15" t="s">
        <v>5565</v>
      </c>
      <c r="E235" s="15"/>
      <c r="F235" s="15"/>
      <c r="G235" s="15" t="s">
        <v>38</v>
      </c>
      <c r="H235" s="15" t="s">
        <v>598</v>
      </c>
      <c r="I235" s="15" t="s">
        <v>3388</v>
      </c>
      <c r="J235" s="15" t="s">
        <v>3460</v>
      </c>
      <c r="K235" s="16">
        <v>-1.5</v>
      </c>
      <c r="L235" s="16">
        <v>0.25</v>
      </c>
      <c r="M235" s="16">
        <v>0.25</v>
      </c>
      <c r="N235" s="17">
        <v>45221.0</v>
      </c>
      <c r="O235" s="18">
        <v>1.925</v>
      </c>
      <c r="P235" s="15" t="s">
        <v>25</v>
      </c>
      <c r="Q235" s="19">
        <f t="shared" si="1"/>
        <v>-0.25</v>
      </c>
      <c r="R235" s="19">
        <f t="shared" si="4"/>
        <v>10.20805863</v>
      </c>
    </row>
    <row r="236">
      <c r="A236" s="8">
        <f t="shared" si="3"/>
        <v>235</v>
      </c>
      <c r="B236" s="8" t="s">
        <v>19</v>
      </c>
      <c r="C236" s="8" t="s">
        <v>3680</v>
      </c>
      <c r="D236" s="8" t="s">
        <v>5564</v>
      </c>
      <c r="E236" s="8" t="s">
        <v>2556</v>
      </c>
      <c r="F236" s="8">
        <v>0.0</v>
      </c>
      <c r="G236" s="8" t="s">
        <v>191</v>
      </c>
      <c r="H236" s="8" t="s">
        <v>22</v>
      </c>
      <c r="I236" s="8" t="s">
        <v>225</v>
      </c>
      <c r="J236" s="8" t="s">
        <v>24</v>
      </c>
      <c r="K236" s="9">
        <v>0.25</v>
      </c>
      <c r="L236" s="9">
        <v>0.25</v>
      </c>
      <c r="M236" s="9">
        <v>0.25</v>
      </c>
      <c r="N236" s="10">
        <v>45221.0</v>
      </c>
      <c r="O236" s="11">
        <v>1.7</v>
      </c>
      <c r="P236" s="8" t="s">
        <v>30</v>
      </c>
      <c r="Q236" s="12">
        <f t="shared" si="1"/>
        <v>0.0875</v>
      </c>
      <c r="R236" s="12">
        <f t="shared" si="4"/>
        <v>10.29555863</v>
      </c>
    </row>
    <row r="237">
      <c r="A237" s="15">
        <f t="shared" si="3"/>
        <v>236</v>
      </c>
      <c r="B237" s="15" t="s">
        <v>19</v>
      </c>
      <c r="C237" s="15" t="s">
        <v>3681</v>
      </c>
      <c r="D237" s="15" t="s">
        <v>5564</v>
      </c>
      <c r="E237" s="15" t="s">
        <v>2556</v>
      </c>
      <c r="F237" s="15">
        <v>0.0</v>
      </c>
      <c r="G237" s="15" t="s">
        <v>121</v>
      </c>
      <c r="H237" s="15" t="s">
        <v>22</v>
      </c>
      <c r="I237" s="15" t="s">
        <v>225</v>
      </c>
      <c r="J237" s="15" t="s">
        <v>24</v>
      </c>
      <c r="K237" s="16">
        <v>0.25</v>
      </c>
      <c r="L237" s="16">
        <v>0.75</v>
      </c>
      <c r="M237" s="16">
        <v>0.75</v>
      </c>
      <c r="N237" s="17">
        <v>45221.0</v>
      </c>
      <c r="O237" s="18">
        <v>1.566</v>
      </c>
      <c r="P237" s="15" t="s">
        <v>30</v>
      </c>
      <c r="Q237" s="19">
        <f t="shared" si="1"/>
        <v>0.21225</v>
      </c>
      <c r="R237" s="19">
        <f t="shared" si="4"/>
        <v>10.50780863</v>
      </c>
    </row>
    <row r="238">
      <c r="A238" s="8">
        <f t="shared" si="3"/>
        <v>237</v>
      </c>
      <c r="B238" s="8" t="s">
        <v>19</v>
      </c>
      <c r="C238" s="8" t="s">
        <v>3682</v>
      </c>
      <c r="D238" s="8" t="s">
        <v>5565</v>
      </c>
      <c r="E238" s="8" t="s">
        <v>2556</v>
      </c>
      <c r="F238" s="8">
        <v>0.0</v>
      </c>
      <c r="G238" s="8" t="s">
        <v>42</v>
      </c>
      <c r="H238" s="8" t="s">
        <v>22</v>
      </c>
      <c r="I238" s="8" t="s">
        <v>225</v>
      </c>
      <c r="J238" s="8" t="s">
        <v>24</v>
      </c>
      <c r="K238" s="9">
        <v>0.25</v>
      </c>
      <c r="L238" s="9">
        <v>0.5</v>
      </c>
      <c r="M238" s="9">
        <v>0.5</v>
      </c>
      <c r="N238" s="10">
        <v>45221.0</v>
      </c>
      <c r="O238" s="11">
        <v>1.75</v>
      </c>
      <c r="P238" s="8" t="s">
        <v>70</v>
      </c>
      <c r="Q238" s="12">
        <f t="shared" si="1"/>
        <v>0</v>
      </c>
      <c r="R238" s="12">
        <f t="shared" si="4"/>
        <v>10.50780863</v>
      </c>
    </row>
    <row r="239">
      <c r="A239" s="15">
        <f t="shared" si="3"/>
        <v>238</v>
      </c>
      <c r="B239" s="15" t="s">
        <v>19</v>
      </c>
      <c r="C239" s="15" t="s">
        <v>3683</v>
      </c>
      <c r="D239" s="15" t="s">
        <v>5565</v>
      </c>
      <c r="E239" s="15" t="s">
        <v>2556</v>
      </c>
      <c r="F239" s="15">
        <v>0.0</v>
      </c>
      <c r="G239" s="15" t="s">
        <v>42</v>
      </c>
      <c r="H239" s="15" t="s">
        <v>22</v>
      </c>
      <c r="I239" s="15" t="s">
        <v>1165</v>
      </c>
      <c r="J239" s="15" t="s">
        <v>24</v>
      </c>
      <c r="K239" s="16"/>
      <c r="L239" s="16">
        <v>0.1</v>
      </c>
      <c r="M239" s="16">
        <v>0.1</v>
      </c>
      <c r="N239" s="17">
        <v>45221.0</v>
      </c>
      <c r="O239" s="18">
        <v>3.5</v>
      </c>
      <c r="P239" s="15" t="s">
        <v>25</v>
      </c>
      <c r="Q239" s="19">
        <f t="shared" si="1"/>
        <v>-0.1</v>
      </c>
      <c r="R239" s="19">
        <f t="shared" si="4"/>
        <v>10.40780863</v>
      </c>
    </row>
    <row r="240">
      <c r="A240" s="8">
        <f t="shared" si="3"/>
        <v>239</v>
      </c>
      <c r="B240" s="8" t="s">
        <v>19</v>
      </c>
      <c r="C240" s="8" t="s">
        <v>3684</v>
      </c>
      <c r="D240" s="8" t="s">
        <v>5564</v>
      </c>
      <c r="E240" s="8" t="s">
        <v>2556</v>
      </c>
      <c r="F240" s="8">
        <v>-1.0</v>
      </c>
      <c r="G240" s="8" t="s">
        <v>432</v>
      </c>
      <c r="H240" s="8" t="s">
        <v>22</v>
      </c>
      <c r="I240" s="8" t="s">
        <v>225</v>
      </c>
      <c r="J240" s="8" t="s">
        <v>24</v>
      </c>
      <c r="K240" s="9">
        <v>0.25</v>
      </c>
      <c r="L240" s="9">
        <v>0.25</v>
      </c>
      <c r="M240" s="9">
        <v>0.25</v>
      </c>
      <c r="N240" s="10">
        <v>45221.0</v>
      </c>
      <c r="O240" s="11">
        <v>1.725</v>
      </c>
      <c r="P240" s="8" t="s">
        <v>30</v>
      </c>
      <c r="Q240" s="12">
        <f t="shared" si="1"/>
        <v>0.090625</v>
      </c>
      <c r="R240" s="12">
        <f t="shared" si="4"/>
        <v>10.49843363</v>
      </c>
    </row>
    <row r="241">
      <c r="A241" s="15">
        <f t="shared" si="3"/>
        <v>240</v>
      </c>
      <c r="B241" s="15" t="s">
        <v>19</v>
      </c>
      <c r="C241" s="15" t="s">
        <v>3685</v>
      </c>
      <c r="D241" s="15"/>
      <c r="E241" s="15"/>
      <c r="F241" s="15"/>
      <c r="G241" s="15" t="s">
        <v>82</v>
      </c>
      <c r="H241" s="15" t="s">
        <v>22</v>
      </c>
      <c r="I241" s="15" t="s">
        <v>440</v>
      </c>
      <c r="J241" s="15" t="s">
        <v>39</v>
      </c>
      <c r="K241" s="16">
        <v>1.75</v>
      </c>
      <c r="L241" s="16">
        <v>0.3</v>
      </c>
      <c r="M241" s="16">
        <v>0.3</v>
      </c>
      <c r="N241" s="17">
        <v>45221.0</v>
      </c>
      <c r="O241" s="18">
        <v>1.825</v>
      </c>
      <c r="P241" s="15" t="s">
        <v>30</v>
      </c>
      <c r="Q241" s="19">
        <f t="shared" si="1"/>
        <v>0.12375</v>
      </c>
      <c r="R241" s="19">
        <f t="shared" si="4"/>
        <v>10.62218363</v>
      </c>
    </row>
    <row r="242">
      <c r="A242" s="8">
        <f t="shared" si="3"/>
        <v>241</v>
      </c>
      <c r="B242" s="8" t="s">
        <v>19</v>
      </c>
      <c r="C242" s="8" t="s">
        <v>3686</v>
      </c>
      <c r="D242" s="8"/>
      <c r="E242" s="8"/>
      <c r="F242" s="8"/>
      <c r="G242" s="8" t="s">
        <v>82</v>
      </c>
      <c r="H242" s="8" t="s">
        <v>598</v>
      </c>
      <c r="I242" s="8" t="s">
        <v>23</v>
      </c>
      <c r="J242" s="8" t="s">
        <v>39</v>
      </c>
      <c r="K242" s="9">
        <v>-10.5</v>
      </c>
      <c r="L242" s="9">
        <v>0.5</v>
      </c>
      <c r="M242" s="9">
        <v>0.5</v>
      </c>
      <c r="N242" s="54">
        <v>45222.0</v>
      </c>
      <c r="O242" s="11">
        <v>1.925</v>
      </c>
      <c r="P242" s="8" t="s">
        <v>33</v>
      </c>
      <c r="Q242" s="12">
        <f t="shared" si="1"/>
        <v>0.4625</v>
      </c>
      <c r="R242" s="12">
        <f t="shared" si="4"/>
        <v>11.08468363</v>
      </c>
    </row>
    <row r="243">
      <c r="A243" s="15">
        <f t="shared" si="3"/>
        <v>242</v>
      </c>
      <c r="B243" s="15" t="s">
        <v>19</v>
      </c>
      <c r="C243" s="15" t="s">
        <v>3687</v>
      </c>
      <c r="D243" s="15" t="s">
        <v>5564</v>
      </c>
      <c r="E243" s="15" t="s">
        <v>2660</v>
      </c>
      <c r="F243" s="15">
        <v>0.0</v>
      </c>
      <c r="G243" s="15" t="s">
        <v>1031</v>
      </c>
      <c r="H243" s="15" t="s">
        <v>22</v>
      </c>
      <c r="I243" s="15" t="s">
        <v>1150</v>
      </c>
      <c r="J243" s="15" t="s">
        <v>24</v>
      </c>
      <c r="K243" s="16">
        <v>0.0</v>
      </c>
      <c r="L243" s="16">
        <v>0.25</v>
      </c>
      <c r="M243" s="16">
        <v>0.25</v>
      </c>
      <c r="N243" s="17">
        <v>45223.0</v>
      </c>
      <c r="O243" s="18">
        <v>1.9</v>
      </c>
      <c r="P243" s="15" t="s">
        <v>33</v>
      </c>
      <c r="Q243" s="19">
        <f t="shared" si="1"/>
        <v>0.225</v>
      </c>
      <c r="R243" s="19">
        <f t="shared" si="4"/>
        <v>11.30968363</v>
      </c>
    </row>
    <row r="244">
      <c r="A244" s="8">
        <f t="shared" si="3"/>
        <v>243</v>
      </c>
      <c r="B244" s="8" t="s">
        <v>19</v>
      </c>
      <c r="C244" s="8" t="s">
        <v>3688</v>
      </c>
      <c r="D244" s="8" t="s">
        <v>5565</v>
      </c>
      <c r="E244" s="8" t="s">
        <v>2660</v>
      </c>
      <c r="F244" s="8" t="s">
        <v>3689</v>
      </c>
      <c r="G244" s="8" t="s">
        <v>96</v>
      </c>
      <c r="H244" s="8" t="s">
        <v>22</v>
      </c>
      <c r="I244" s="8" t="s">
        <v>892</v>
      </c>
      <c r="J244" s="8" t="s">
        <v>24</v>
      </c>
      <c r="K244" s="9">
        <v>0.0</v>
      </c>
      <c r="L244" s="9">
        <v>0.75</v>
      </c>
      <c r="M244" s="9">
        <v>0.75</v>
      </c>
      <c r="N244" s="10">
        <v>45223.0</v>
      </c>
      <c r="O244" s="11">
        <v>1.975</v>
      </c>
      <c r="P244" s="8" t="s">
        <v>70</v>
      </c>
      <c r="Q244" s="12">
        <f t="shared" si="1"/>
        <v>0</v>
      </c>
      <c r="R244" s="12">
        <f t="shared" si="4"/>
        <v>11.30968363</v>
      </c>
    </row>
    <row r="245">
      <c r="A245" s="15">
        <f t="shared" si="3"/>
        <v>244</v>
      </c>
      <c r="B245" s="15" t="s">
        <v>19</v>
      </c>
      <c r="C245" s="15" t="s">
        <v>3690</v>
      </c>
      <c r="D245" s="15" t="s">
        <v>5565</v>
      </c>
      <c r="E245" s="15" t="s">
        <v>2660</v>
      </c>
      <c r="F245" s="15">
        <f>1</f>
        <v>1</v>
      </c>
      <c r="G245" s="15" t="s">
        <v>162</v>
      </c>
      <c r="H245" s="15" t="s">
        <v>22</v>
      </c>
      <c r="I245" s="15" t="s">
        <v>892</v>
      </c>
      <c r="J245" s="15" t="s">
        <v>24</v>
      </c>
      <c r="K245" s="16">
        <v>0.0</v>
      </c>
      <c r="L245" s="16">
        <v>0.5</v>
      </c>
      <c r="M245" s="16">
        <v>0.5</v>
      </c>
      <c r="N245" s="17">
        <v>45223.0</v>
      </c>
      <c r="O245" s="18">
        <v>1.7</v>
      </c>
      <c r="P245" s="15" t="s">
        <v>70</v>
      </c>
      <c r="Q245" s="19">
        <f t="shared" si="1"/>
        <v>0</v>
      </c>
      <c r="R245" s="19">
        <f t="shared" si="4"/>
        <v>11.30968363</v>
      </c>
    </row>
    <row r="246">
      <c r="A246" s="8">
        <f t="shared" si="3"/>
        <v>245</v>
      </c>
      <c r="B246" s="8" t="s">
        <v>19</v>
      </c>
      <c r="C246" s="8" t="s">
        <v>3691</v>
      </c>
      <c r="D246" s="8" t="s">
        <v>5564</v>
      </c>
      <c r="E246" s="8" t="s">
        <v>2660</v>
      </c>
      <c r="F246" s="8">
        <v>0.0</v>
      </c>
      <c r="G246" s="8" t="s">
        <v>196</v>
      </c>
      <c r="H246" s="8" t="s">
        <v>22</v>
      </c>
      <c r="I246" s="8" t="s">
        <v>1150</v>
      </c>
      <c r="J246" s="8" t="s">
        <v>1851</v>
      </c>
      <c r="K246" s="9">
        <v>0.0</v>
      </c>
      <c r="L246" s="9">
        <v>0.5</v>
      </c>
      <c r="M246" s="9">
        <v>0.5</v>
      </c>
      <c r="N246" s="10">
        <v>45223.0</v>
      </c>
      <c r="O246" s="11">
        <v>1.7</v>
      </c>
      <c r="P246" s="8" t="s">
        <v>25</v>
      </c>
      <c r="Q246" s="12">
        <f t="shared" si="1"/>
        <v>-0.5</v>
      </c>
      <c r="R246" s="12">
        <f t="shared" si="4"/>
        <v>10.80968363</v>
      </c>
    </row>
    <row r="247">
      <c r="A247" s="15">
        <f t="shared" si="3"/>
        <v>246</v>
      </c>
      <c r="B247" s="15" t="s">
        <v>19</v>
      </c>
      <c r="C247" s="15" t="s">
        <v>3692</v>
      </c>
      <c r="D247" s="15" t="s">
        <v>5564</v>
      </c>
      <c r="E247" s="15" t="s">
        <v>2660</v>
      </c>
      <c r="F247" s="15">
        <v>0.0</v>
      </c>
      <c r="G247" s="15" t="s">
        <v>196</v>
      </c>
      <c r="H247" s="15" t="s">
        <v>22</v>
      </c>
      <c r="I247" s="15" t="s">
        <v>892</v>
      </c>
      <c r="J247" s="15" t="s">
        <v>1851</v>
      </c>
      <c r="K247" s="16">
        <v>0.0</v>
      </c>
      <c r="L247" s="16">
        <v>0.5</v>
      </c>
      <c r="M247" s="16">
        <v>0.5</v>
      </c>
      <c r="N247" s="17">
        <v>45223.0</v>
      </c>
      <c r="O247" s="18">
        <v>2.0</v>
      </c>
      <c r="P247" s="15" t="s">
        <v>25</v>
      </c>
      <c r="Q247" s="19">
        <f t="shared" si="1"/>
        <v>-0.5</v>
      </c>
      <c r="R247" s="19">
        <f t="shared" si="4"/>
        <v>10.30968363</v>
      </c>
    </row>
    <row r="248">
      <c r="A248" s="8">
        <f t="shared" si="3"/>
        <v>247</v>
      </c>
      <c r="B248" s="8" t="s">
        <v>19</v>
      </c>
      <c r="C248" s="8" t="s">
        <v>3693</v>
      </c>
      <c r="D248" s="8" t="s">
        <v>5565</v>
      </c>
      <c r="E248" s="8" t="s">
        <v>2660</v>
      </c>
      <c r="F248" s="8">
        <v>0.0</v>
      </c>
      <c r="G248" s="8" t="s">
        <v>316</v>
      </c>
      <c r="H248" s="8" t="s">
        <v>22</v>
      </c>
      <c r="I248" s="8" t="s">
        <v>1150</v>
      </c>
      <c r="J248" s="8" t="s">
        <v>24</v>
      </c>
      <c r="K248" s="9">
        <v>0.0</v>
      </c>
      <c r="L248" s="9">
        <v>1.0</v>
      </c>
      <c r="M248" s="9">
        <v>1.0</v>
      </c>
      <c r="N248" s="10">
        <v>45223.0</v>
      </c>
      <c r="O248" s="11">
        <v>1.7</v>
      </c>
      <c r="P248" s="8" t="s">
        <v>70</v>
      </c>
      <c r="Q248" s="12">
        <f t="shared" si="1"/>
        <v>0</v>
      </c>
      <c r="R248" s="12">
        <f t="shared" si="4"/>
        <v>10.30968363</v>
      </c>
    </row>
    <row r="249">
      <c r="A249" s="15">
        <f t="shared" si="3"/>
        <v>248</v>
      </c>
      <c r="B249" s="15" t="s">
        <v>19</v>
      </c>
      <c r="C249" s="15" t="s">
        <v>3694</v>
      </c>
      <c r="D249" s="15" t="s">
        <v>5564</v>
      </c>
      <c r="E249" s="15" t="s">
        <v>2556</v>
      </c>
      <c r="F249" s="15">
        <v>0.0</v>
      </c>
      <c r="G249" s="15" t="s">
        <v>316</v>
      </c>
      <c r="H249" s="15" t="s">
        <v>22</v>
      </c>
      <c r="I249" s="15" t="s">
        <v>2725</v>
      </c>
      <c r="J249" s="15" t="s">
        <v>24</v>
      </c>
      <c r="K249" s="16">
        <v>1.5</v>
      </c>
      <c r="L249" s="16">
        <v>0.25</v>
      </c>
      <c r="M249" s="16">
        <f>0.741*0.25</f>
        <v>0.18525</v>
      </c>
      <c r="N249" s="17">
        <v>45223.0</v>
      </c>
      <c r="O249" s="18">
        <v>1.775</v>
      </c>
      <c r="P249" s="15" t="s">
        <v>25</v>
      </c>
      <c r="Q249" s="19">
        <f t="shared" si="1"/>
        <v>-0.18525</v>
      </c>
      <c r="R249" s="19">
        <f t="shared" si="4"/>
        <v>10.12443363</v>
      </c>
    </row>
    <row r="250">
      <c r="A250" s="8">
        <f t="shared" si="3"/>
        <v>249</v>
      </c>
      <c r="B250" s="8" t="s">
        <v>19</v>
      </c>
      <c r="C250" s="8" t="s">
        <v>3695</v>
      </c>
      <c r="D250" s="8" t="s">
        <v>5564</v>
      </c>
      <c r="E250" s="8" t="s">
        <v>2556</v>
      </c>
      <c r="F250" s="8">
        <v>0.0</v>
      </c>
      <c r="G250" s="8" t="s">
        <v>316</v>
      </c>
      <c r="H250" s="8" t="s">
        <v>22</v>
      </c>
      <c r="I250" s="8" t="s">
        <v>225</v>
      </c>
      <c r="J250" s="8" t="s">
        <v>24</v>
      </c>
      <c r="K250" s="9">
        <v>3.25</v>
      </c>
      <c r="L250" s="9">
        <v>0.5</v>
      </c>
      <c r="M250" s="9">
        <v>0.5</v>
      </c>
      <c r="N250" s="10">
        <v>45223.0</v>
      </c>
      <c r="O250" s="11">
        <v>1.875</v>
      </c>
      <c r="P250" s="8" t="s">
        <v>25</v>
      </c>
      <c r="Q250" s="12">
        <f t="shared" si="1"/>
        <v>-0.5</v>
      </c>
      <c r="R250" s="12">
        <f t="shared" si="4"/>
        <v>9.624433628</v>
      </c>
    </row>
    <row r="251">
      <c r="A251" s="15">
        <f t="shared" si="3"/>
        <v>250</v>
      </c>
      <c r="B251" s="15" t="s">
        <v>19</v>
      </c>
      <c r="C251" s="15" t="s">
        <v>3696</v>
      </c>
      <c r="D251" s="15"/>
      <c r="E251" s="15"/>
      <c r="F251" s="15">
        <v>0.0</v>
      </c>
      <c r="G251" s="15" t="s">
        <v>58</v>
      </c>
      <c r="H251" s="15" t="s">
        <v>598</v>
      </c>
      <c r="I251" s="15" t="s">
        <v>23</v>
      </c>
      <c r="J251" s="15" t="s">
        <v>3697</v>
      </c>
      <c r="K251" s="16">
        <v>-11.0</v>
      </c>
      <c r="L251" s="16">
        <v>0.5</v>
      </c>
      <c r="M251" s="16">
        <v>0.5</v>
      </c>
      <c r="N251" s="17">
        <v>45223.0</v>
      </c>
      <c r="O251" s="18">
        <v>1.825</v>
      </c>
      <c r="P251" s="15" t="s">
        <v>70</v>
      </c>
      <c r="Q251" s="19">
        <f t="shared" si="1"/>
        <v>0</v>
      </c>
      <c r="R251" s="19">
        <f t="shared" si="4"/>
        <v>9.624433628</v>
      </c>
    </row>
    <row r="252">
      <c r="A252" s="8">
        <f t="shared" si="3"/>
        <v>251</v>
      </c>
      <c r="B252" s="8" t="s">
        <v>19</v>
      </c>
      <c r="C252" s="8" t="s">
        <v>3698</v>
      </c>
      <c r="D252" s="8"/>
      <c r="E252" s="8"/>
      <c r="F252" s="8">
        <v>10</v>
      </c>
      <c r="G252" s="8" t="s">
        <v>316</v>
      </c>
      <c r="H252" s="8" t="s">
        <v>22</v>
      </c>
      <c r="I252" s="8" t="s">
        <v>29</v>
      </c>
      <c r="J252" s="8" t="s">
        <v>24</v>
      </c>
      <c r="K252" s="9">
        <v>-10.5</v>
      </c>
      <c r="L252" s="9">
        <v>0.25</v>
      </c>
      <c r="M252" s="9">
        <v>0.25</v>
      </c>
      <c r="N252" s="10">
        <v>45223.0</v>
      </c>
      <c r="O252" s="11">
        <v>1.75</v>
      </c>
      <c r="P252" s="8" t="s">
        <v>25</v>
      </c>
      <c r="Q252" s="12">
        <f t="shared" si="1"/>
        <v>-0.25</v>
      </c>
      <c r="R252" s="12">
        <f t="shared" si="4"/>
        <v>9.374433628</v>
      </c>
    </row>
    <row r="253">
      <c r="A253" s="15">
        <f t="shared" si="3"/>
        <v>252</v>
      </c>
      <c r="B253" s="15" t="s">
        <v>19</v>
      </c>
      <c r="C253" s="15" t="s">
        <v>3699</v>
      </c>
      <c r="D253" s="15"/>
      <c r="E253" s="15"/>
      <c r="F253" s="15">
        <v>10</v>
      </c>
      <c r="G253" s="15" t="s">
        <v>316</v>
      </c>
      <c r="H253" s="15" t="s">
        <v>22</v>
      </c>
      <c r="I253" s="15" t="s">
        <v>23</v>
      </c>
      <c r="J253" s="15" t="s">
        <v>24</v>
      </c>
      <c r="K253" s="16">
        <v>-10.5</v>
      </c>
      <c r="L253" s="16">
        <v>0.5</v>
      </c>
      <c r="M253" s="16">
        <v>0.5</v>
      </c>
      <c r="N253" s="17">
        <v>45223.0</v>
      </c>
      <c r="O253" s="18">
        <v>1.65</v>
      </c>
      <c r="P253" s="15" t="s">
        <v>33</v>
      </c>
      <c r="Q253" s="19">
        <f t="shared" si="1"/>
        <v>0.325</v>
      </c>
      <c r="R253" s="19">
        <f t="shared" si="4"/>
        <v>9.699433628</v>
      </c>
    </row>
    <row r="254">
      <c r="A254" s="8">
        <f t="shared" si="3"/>
        <v>253</v>
      </c>
      <c r="B254" s="8" t="s">
        <v>19</v>
      </c>
      <c r="C254" s="8" t="s">
        <v>3700</v>
      </c>
      <c r="D254" s="8"/>
      <c r="E254" s="8"/>
      <c r="F254" s="8"/>
      <c r="G254" s="8" t="s">
        <v>316</v>
      </c>
      <c r="H254" s="8" t="s">
        <v>22</v>
      </c>
      <c r="I254" s="8" t="s">
        <v>23</v>
      </c>
      <c r="J254" s="8" t="s">
        <v>24</v>
      </c>
      <c r="K254" s="9">
        <v>-10.5</v>
      </c>
      <c r="L254" s="9">
        <v>0.35</v>
      </c>
      <c r="M254" s="9">
        <v>0.35</v>
      </c>
      <c r="N254" s="10">
        <v>45223.0</v>
      </c>
      <c r="O254" s="11">
        <v>1.63</v>
      </c>
      <c r="P254" s="8" t="s">
        <v>33</v>
      </c>
      <c r="Q254" s="12">
        <f t="shared" si="1"/>
        <v>0.2205</v>
      </c>
      <c r="R254" s="12">
        <f t="shared" si="4"/>
        <v>9.919933628</v>
      </c>
    </row>
    <row r="255">
      <c r="A255" s="15">
        <f t="shared" si="3"/>
        <v>254</v>
      </c>
      <c r="B255" s="15" t="s">
        <v>19</v>
      </c>
      <c r="C255" s="15" t="s">
        <v>3701</v>
      </c>
      <c r="D255" s="15" t="s">
        <v>5564</v>
      </c>
      <c r="E255" s="15" t="s">
        <v>2556</v>
      </c>
      <c r="F255" s="15">
        <v>-1.0</v>
      </c>
      <c r="G255" s="15" t="s">
        <v>908</v>
      </c>
      <c r="H255" s="15" t="s">
        <v>22</v>
      </c>
      <c r="I255" s="15" t="s">
        <v>225</v>
      </c>
      <c r="J255" s="15" t="s">
        <v>24</v>
      </c>
      <c r="K255" s="16">
        <v>0.5</v>
      </c>
      <c r="L255" s="16">
        <v>0.5</v>
      </c>
      <c r="M255" s="16">
        <v>0.5</v>
      </c>
      <c r="N255" s="17">
        <v>45224.0</v>
      </c>
      <c r="O255" s="18">
        <v>1.75</v>
      </c>
      <c r="P255" s="15" t="s">
        <v>33</v>
      </c>
      <c r="Q255" s="19">
        <f t="shared" si="1"/>
        <v>0.375</v>
      </c>
      <c r="R255" s="19">
        <f t="shared" si="4"/>
        <v>10.29493363</v>
      </c>
    </row>
    <row r="256">
      <c r="A256" s="8">
        <f t="shared" si="3"/>
        <v>255</v>
      </c>
      <c r="B256" s="8" t="s">
        <v>19</v>
      </c>
      <c r="C256" s="8" t="s">
        <v>3702</v>
      </c>
      <c r="D256" s="8" t="s">
        <v>5564</v>
      </c>
      <c r="E256" s="8" t="s">
        <v>2556</v>
      </c>
      <c r="F256" s="8">
        <v>-1.0</v>
      </c>
      <c r="G256" s="8" t="s">
        <v>908</v>
      </c>
      <c r="H256" s="8" t="s">
        <v>22</v>
      </c>
      <c r="I256" s="8" t="s">
        <v>1165</v>
      </c>
      <c r="J256" s="8" t="s">
        <v>24</v>
      </c>
      <c r="K256" s="9"/>
      <c r="L256" s="9">
        <v>0.1</v>
      </c>
      <c r="M256" s="9">
        <f>0.1*24/26</f>
        <v>0.09230769231</v>
      </c>
      <c r="N256" s="10">
        <v>45224.0</v>
      </c>
      <c r="O256" s="11">
        <v>4.0</v>
      </c>
      <c r="P256" s="8" t="s">
        <v>33</v>
      </c>
      <c r="Q256" s="12">
        <f t="shared" si="1"/>
        <v>0.2769230769</v>
      </c>
      <c r="R256" s="12">
        <f t="shared" si="4"/>
        <v>10.57185671</v>
      </c>
    </row>
    <row r="257">
      <c r="A257" s="15">
        <f t="shared" si="3"/>
        <v>256</v>
      </c>
      <c r="B257" s="15" t="s">
        <v>19</v>
      </c>
      <c r="C257" s="15" t="s">
        <v>3703</v>
      </c>
      <c r="D257" s="15"/>
      <c r="E257" s="15"/>
      <c r="F257" s="15" t="s">
        <v>2615</v>
      </c>
      <c r="G257" s="15" t="s">
        <v>1031</v>
      </c>
      <c r="H257" s="15" t="s">
        <v>22</v>
      </c>
      <c r="I257" s="15" t="s">
        <v>440</v>
      </c>
      <c r="J257" s="15" t="s">
        <v>24</v>
      </c>
      <c r="K257" s="16">
        <v>2.5</v>
      </c>
      <c r="L257" s="16">
        <v>0.1</v>
      </c>
      <c r="M257" s="16">
        <v>0.1</v>
      </c>
      <c r="N257" s="57">
        <v>45224.0</v>
      </c>
      <c r="O257" s="18">
        <v>1.975</v>
      </c>
      <c r="P257" s="15" t="s">
        <v>33</v>
      </c>
      <c r="Q257" s="19">
        <f t="shared" si="1"/>
        <v>0.0975</v>
      </c>
      <c r="R257" s="19">
        <f t="shared" si="4"/>
        <v>10.66935671</v>
      </c>
    </row>
    <row r="258">
      <c r="A258" s="8">
        <f t="shared" si="3"/>
        <v>257</v>
      </c>
      <c r="B258" s="8" t="s">
        <v>19</v>
      </c>
      <c r="C258" s="8" t="s">
        <v>3704</v>
      </c>
      <c r="D258" s="8" t="s">
        <v>5564</v>
      </c>
      <c r="E258" s="8" t="s">
        <v>2556</v>
      </c>
      <c r="F258" s="8">
        <v>0.0</v>
      </c>
      <c r="G258" s="8" t="s">
        <v>714</v>
      </c>
      <c r="H258" s="8" t="s">
        <v>22</v>
      </c>
      <c r="I258" s="8" t="s">
        <v>225</v>
      </c>
      <c r="J258" s="8" t="s">
        <v>24</v>
      </c>
      <c r="K258" s="9">
        <v>0.25</v>
      </c>
      <c r="L258" s="9">
        <v>0.5</v>
      </c>
      <c r="M258" s="9">
        <v>0.5</v>
      </c>
      <c r="N258" s="10">
        <v>45224.0</v>
      </c>
      <c r="O258" s="11">
        <f>329.05/300</f>
        <v>1.096833333</v>
      </c>
      <c r="P258" s="8" t="s">
        <v>33</v>
      </c>
      <c r="Q258" s="12">
        <f t="shared" si="1"/>
        <v>0.04841666667</v>
      </c>
      <c r="R258" s="12">
        <f t="shared" si="4"/>
        <v>10.71777337</v>
      </c>
    </row>
    <row r="259">
      <c r="A259" s="15">
        <f t="shared" si="3"/>
        <v>258</v>
      </c>
      <c r="B259" s="15" t="s">
        <v>19</v>
      </c>
      <c r="C259" s="15" t="s">
        <v>3705</v>
      </c>
      <c r="D259" s="15"/>
      <c r="E259" s="15"/>
      <c r="F259" s="15"/>
      <c r="G259" s="15" t="s">
        <v>82</v>
      </c>
      <c r="H259" s="15" t="s">
        <v>598</v>
      </c>
      <c r="I259" s="15" t="s">
        <v>2415</v>
      </c>
      <c r="J259" s="15" t="s">
        <v>39</v>
      </c>
      <c r="K259" s="16">
        <v>11.0</v>
      </c>
      <c r="L259" s="16">
        <v>0.5</v>
      </c>
      <c r="M259" s="16">
        <v>0.5</v>
      </c>
      <c r="N259" s="17">
        <v>45224.0</v>
      </c>
      <c r="O259" s="18">
        <v>1.825</v>
      </c>
      <c r="P259" s="15" t="s">
        <v>25</v>
      </c>
      <c r="Q259" s="19">
        <f t="shared" si="1"/>
        <v>-0.5</v>
      </c>
      <c r="R259" s="19">
        <f t="shared" si="4"/>
        <v>10.21777337</v>
      </c>
    </row>
    <row r="260">
      <c r="A260" s="8">
        <f t="shared" si="3"/>
        <v>259</v>
      </c>
      <c r="B260" s="8" t="s">
        <v>19</v>
      </c>
      <c r="C260" s="8" t="s">
        <v>3706</v>
      </c>
      <c r="D260" s="8"/>
      <c r="E260" s="8"/>
      <c r="F260" s="8"/>
      <c r="G260" s="8" t="s">
        <v>82</v>
      </c>
      <c r="H260" s="8" t="s">
        <v>598</v>
      </c>
      <c r="I260" s="8" t="s">
        <v>23</v>
      </c>
      <c r="J260" s="8" t="s">
        <v>39</v>
      </c>
      <c r="K260" s="9">
        <v>-1.5</v>
      </c>
      <c r="L260" s="9">
        <v>0.5</v>
      </c>
      <c r="M260" s="9">
        <v>0.5</v>
      </c>
      <c r="N260" s="10">
        <v>45224.0</v>
      </c>
      <c r="O260" s="11">
        <v>2.0</v>
      </c>
      <c r="P260" s="8" t="s">
        <v>33</v>
      </c>
      <c r="Q260" s="12">
        <f t="shared" si="1"/>
        <v>0.5</v>
      </c>
      <c r="R260" s="12">
        <f t="shared" si="4"/>
        <v>10.71777337</v>
      </c>
    </row>
    <row r="261">
      <c r="A261" s="15">
        <f t="shared" si="3"/>
        <v>260</v>
      </c>
      <c r="B261" s="15" t="s">
        <v>19</v>
      </c>
      <c r="C261" s="15" t="s">
        <v>3707</v>
      </c>
      <c r="D261" s="15"/>
      <c r="E261" s="15"/>
      <c r="F261" s="15"/>
      <c r="G261" s="15" t="s">
        <v>82</v>
      </c>
      <c r="H261" s="15" t="s">
        <v>598</v>
      </c>
      <c r="I261" s="15" t="s">
        <v>2415</v>
      </c>
      <c r="J261" s="15" t="s">
        <v>39</v>
      </c>
      <c r="K261" s="16">
        <v>10.5</v>
      </c>
      <c r="L261" s="16">
        <v>0.5</v>
      </c>
      <c r="M261" s="16">
        <v>0.5</v>
      </c>
      <c r="N261" s="17">
        <v>45224.0</v>
      </c>
      <c r="O261" s="18">
        <v>1.9</v>
      </c>
      <c r="P261" s="15" t="s">
        <v>33</v>
      </c>
      <c r="Q261" s="19">
        <f t="shared" si="1"/>
        <v>0.45</v>
      </c>
      <c r="R261" s="19">
        <f t="shared" si="4"/>
        <v>11.16777337</v>
      </c>
    </row>
    <row r="262">
      <c r="A262" s="8">
        <f t="shared" si="3"/>
        <v>261</v>
      </c>
      <c r="B262" s="8" t="s">
        <v>19</v>
      </c>
      <c r="C262" s="8" t="s">
        <v>3708</v>
      </c>
      <c r="D262" s="8" t="s">
        <v>5564</v>
      </c>
      <c r="E262" s="8" t="s">
        <v>2556</v>
      </c>
      <c r="F262" s="8">
        <v>2</v>
      </c>
      <c r="G262" s="8" t="s">
        <v>1961</v>
      </c>
      <c r="H262" s="8" t="s">
        <v>22</v>
      </c>
      <c r="I262" s="8" t="s">
        <v>225</v>
      </c>
      <c r="J262" s="8" t="s">
        <v>39</v>
      </c>
      <c r="K262" s="9">
        <v>0.5</v>
      </c>
      <c r="L262" s="9">
        <v>0.5</v>
      </c>
      <c r="M262" s="9">
        <v>0.5</v>
      </c>
      <c r="N262" s="10">
        <v>45224.0</v>
      </c>
      <c r="O262" s="11">
        <v>1.825</v>
      </c>
      <c r="P262" s="8" t="s">
        <v>25</v>
      </c>
      <c r="Q262" s="12">
        <f t="shared" si="1"/>
        <v>-0.5</v>
      </c>
      <c r="R262" s="12">
        <f t="shared" si="4"/>
        <v>10.66777337</v>
      </c>
    </row>
    <row r="263">
      <c r="A263" s="15">
        <f t="shared" si="3"/>
        <v>262</v>
      </c>
      <c r="B263" s="15" t="s">
        <v>19</v>
      </c>
      <c r="C263" s="15" t="s">
        <v>3709</v>
      </c>
      <c r="D263" s="15" t="s">
        <v>5564</v>
      </c>
      <c r="E263" s="15" t="s">
        <v>2556</v>
      </c>
      <c r="F263" s="15">
        <f>1</f>
        <v>1</v>
      </c>
      <c r="G263" s="15" t="s">
        <v>1961</v>
      </c>
      <c r="H263" s="15" t="s">
        <v>22</v>
      </c>
      <c r="I263" s="15" t="s">
        <v>225</v>
      </c>
      <c r="J263" s="15" t="s">
        <v>39</v>
      </c>
      <c r="K263" s="16">
        <v>1.5</v>
      </c>
      <c r="L263" s="16">
        <v>0.1</v>
      </c>
      <c r="M263" s="16">
        <v>0.1</v>
      </c>
      <c r="N263" s="17">
        <v>45224.0</v>
      </c>
      <c r="O263" s="18">
        <v>1.49</v>
      </c>
      <c r="P263" s="15" t="s">
        <v>33</v>
      </c>
      <c r="Q263" s="19">
        <f t="shared" si="1"/>
        <v>0.049</v>
      </c>
      <c r="R263" s="19">
        <f t="shared" si="4"/>
        <v>10.71677337</v>
      </c>
    </row>
    <row r="264">
      <c r="A264" s="8">
        <f t="shared" si="3"/>
        <v>263</v>
      </c>
      <c r="B264" s="8" t="s">
        <v>19</v>
      </c>
      <c r="C264" s="8" t="s">
        <v>3710</v>
      </c>
      <c r="D264" s="8" t="s">
        <v>5564</v>
      </c>
      <c r="E264" s="8" t="s">
        <v>2556</v>
      </c>
      <c r="F264" s="8">
        <v>-2.0</v>
      </c>
      <c r="G264" s="8" t="s">
        <v>86</v>
      </c>
      <c r="H264" s="8" t="s">
        <v>22</v>
      </c>
      <c r="I264" s="8" t="s">
        <v>225</v>
      </c>
      <c r="J264" s="8" t="s">
        <v>24</v>
      </c>
      <c r="K264" s="9">
        <v>0.5</v>
      </c>
      <c r="L264" s="9">
        <v>0.5</v>
      </c>
      <c r="M264" s="9">
        <v>0.5</v>
      </c>
      <c r="N264" s="10">
        <v>45224.0</v>
      </c>
      <c r="O264" s="11">
        <v>1.725</v>
      </c>
      <c r="P264" s="8" t="s">
        <v>33</v>
      </c>
      <c r="Q264" s="12">
        <f t="shared" si="1"/>
        <v>0.3625</v>
      </c>
      <c r="R264" s="12">
        <f t="shared" si="4"/>
        <v>11.07927337</v>
      </c>
    </row>
    <row r="265">
      <c r="A265" s="15">
        <f t="shared" si="3"/>
        <v>264</v>
      </c>
      <c r="B265" s="15" t="s">
        <v>19</v>
      </c>
      <c r="C265" s="15" t="s">
        <v>3711</v>
      </c>
      <c r="D265" s="15" t="s">
        <v>5564</v>
      </c>
      <c r="E265" s="15" t="s">
        <v>2556</v>
      </c>
      <c r="F265" s="15">
        <v>-2.0</v>
      </c>
      <c r="G265" s="15" t="s">
        <v>86</v>
      </c>
      <c r="H265" s="15" t="s">
        <v>22</v>
      </c>
      <c r="I265" s="15" t="s">
        <v>1165</v>
      </c>
      <c r="J265" s="15" t="s">
        <v>24</v>
      </c>
      <c r="K265" s="16"/>
      <c r="L265" s="16">
        <v>0.1</v>
      </c>
      <c r="M265" s="16">
        <v>0.1</v>
      </c>
      <c r="N265" s="17">
        <v>45224.0</v>
      </c>
      <c r="O265" s="18">
        <v>5.0</v>
      </c>
      <c r="P265" s="15" t="s">
        <v>33</v>
      </c>
      <c r="Q265" s="19">
        <f t="shared" si="1"/>
        <v>0.4</v>
      </c>
      <c r="R265" s="19">
        <f t="shared" si="4"/>
        <v>11.47927337</v>
      </c>
    </row>
    <row r="266">
      <c r="A266" s="8">
        <f t="shared" si="3"/>
        <v>265</v>
      </c>
      <c r="B266" s="8" t="s">
        <v>19</v>
      </c>
      <c r="C266" s="8" t="s">
        <v>3712</v>
      </c>
      <c r="D266" s="8" t="s">
        <v>5564</v>
      </c>
      <c r="E266" s="8" t="s">
        <v>2556</v>
      </c>
      <c r="F266" s="8">
        <v>-2.0</v>
      </c>
      <c r="G266" s="8" t="s">
        <v>86</v>
      </c>
      <c r="H266" s="8" t="s">
        <v>22</v>
      </c>
      <c r="I266" s="8" t="s">
        <v>225</v>
      </c>
      <c r="J266" s="8" t="s">
        <v>24</v>
      </c>
      <c r="K266" s="9">
        <v>0.25</v>
      </c>
      <c r="L266" s="9">
        <v>0.25</v>
      </c>
      <c r="M266" s="9">
        <v>0.25</v>
      </c>
      <c r="N266" s="10">
        <v>45224.0</v>
      </c>
      <c r="O266" s="11">
        <f>272.7/150</f>
        <v>1.818</v>
      </c>
      <c r="P266" s="8" t="s">
        <v>33</v>
      </c>
      <c r="Q266" s="12">
        <f t="shared" si="1"/>
        <v>0.2045</v>
      </c>
      <c r="R266" s="12">
        <f t="shared" si="4"/>
        <v>11.68377337</v>
      </c>
    </row>
    <row r="267">
      <c r="A267" s="15">
        <f t="shared" si="3"/>
        <v>266</v>
      </c>
      <c r="B267" s="15" t="s">
        <v>19</v>
      </c>
      <c r="C267" s="15" t="s">
        <v>3713</v>
      </c>
      <c r="D267" s="15" t="s">
        <v>5564</v>
      </c>
      <c r="E267" s="15" t="s">
        <v>2573</v>
      </c>
      <c r="F267" s="15">
        <v>0.0</v>
      </c>
      <c r="G267" s="15" t="s">
        <v>316</v>
      </c>
      <c r="H267" s="15" t="s">
        <v>22</v>
      </c>
      <c r="I267" s="15" t="s">
        <v>3714</v>
      </c>
      <c r="J267" s="15" t="s">
        <v>24</v>
      </c>
      <c r="K267" s="16">
        <v>-0.25</v>
      </c>
      <c r="L267" s="16">
        <v>0.5</v>
      </c>
      <c r="M267" s="16">
        <v>0.5</v>
      </c>
      <c r="N267" s="17">
        <v>45224.0</v>
      </c>
      <c r="O267" s="18">
        <v>1.85</v>
      </c>
      <c r="P267" s="15" t="s">
        <v>25</v>
      </c>
      <c r="Q267" s="19">
        <f t="shared" si="1"/>
        <v>-0.5</v>
      </c>
      <c r="R267" s="19">
        <f t="shared" si="4"/>
        <v>11.18377337</v>
      </c>
    </row>
    <row r="268">
      <c r="A268" s="8">
        <f t="shared" si="3"/>
        <v>267</v>
      </c>
      <c r="B268" s="8" t="s">
        <v>19</v>
      </c>
      <c r="C268" s="8" t="s">
        <v>3715</v>
      </c>
      <c r="D268" s="8" t="s">
        <v>5565</v>
      </c>
      <c r="E268" s="8" t="s">
        <v>2556</v>
      </c>
      <c r="F268" s="8">
        <f t="shared" ref="F268:F269" si="10">1</f>
        <v>1</v>
      </c>
      <c r="G268" s="8" t="s">
        <v>44</v>
      </c>
      <c r="H268" s="8" t="s">
        <v>22</v>
      </c>
      <c r="I268" s="8" t="s">
        <v>225</v>
      </c>
      <c r="J268" s="8" t="s">
        <v>24</v>
      </c>
      <c r="K268" s="9">
        <v>1.5</v>
      </c>
      <c r="L268" s="9">
        <v>0.5</v>
      </c>
      <c r="M268" s="9">
        <v>0.5</v>
      </c>
      <c r="N268" s="10">
        <v>45224.0</v>
      </c>
      <c r="O268" s="11">
        <v>1.875</v>
      </c>
      <c r="P268" s="8" t="s">
        <v>25</v>
      </c>
      <c r="Q268" s="12">
        <f t="shared" si="1"/>
        <v>-0.5</v>
      </c>
      <c r="R268" s="12">
        <f t="shared" si="4"/>
        <v>10.68377337</v>
      </c>
    </row>
    <row r="269">
      <c r="A269" s="15">
        <f t="shared" si="3"/>
        <v>268</v>
      </c>
      <c r="B269" s="15" t="s">
        <v>19</v>
      </c>
      <c r="C269" s="15" t="s">
        <v>3716</v>
      </c>
      <c r="D269" s="15" t="s">
        <v>5565</v>
      </c>
      <c r="E269" s="15" t="s">
        <v>2556</v>
      </c>
      <c r="F269" s="15">
        <f t="shared" si="10"/>
        <v>1</v>
      </c>
      <c r="G269" s="15" t="s">
        <v>44</v>
      </c>
      <c r="H269" s="15" t="s">
        <v>22</v>
      </c>
      <c r="I269" s="15" t="s">
        <v>225</v>
      </c>
      <c r="J269" s="15" t="s">
        <v>24</v>
      </c>
      <c r="K269" s="16">
        <v>1.5</v>
      </c>
      <c r="L269" s="16">
        <v>0.25</v>
      </c>
      <c r="M269" s="16">
        <f>0.25*19/26</f>
        <v>0.1826923077</v>
      </c>
      <c r="N269" s="17">
        <v>45224.0</v>
      </c>
      <c r="O269" s="18">
        <f>183.05/150</f>
        <v>1.220333333</v>
      </c>
      <c r="P269" s="15" t="s">
        <v>33</v>
      </c>
      <c r="Q269" s="19">
        <f t="shared" si="1"/>
        <v>0.04025320513</v>
      </c>
      <c r="R269" s="19">
        <f t="shared" si="4"/>
        <v>10.72402658</v>
      </c>
    </row>
    <row r="270">
      <c r="A270" s="8">
        <f t="shared" si="3"/>
        <v>269</v>
      </c>
      <c r="B270" s="8" t="s">
        <v>19</v>
      </c>
      <c r="C270" s="8" t="s">
        <v>3717</v>
      </c>
      <c r="D270" s="8" t="s">
        <v>5565</v>
      </c>
      <c r="E270" s="8" t="s">
        <v>2556</v>
      </c>
      <c r="F270" s="8">
        <v>3</v>
      </c>
      <c r="G270" s="8" t="s">
        <v>316</v>
      </c>
      <c r="H270" s="8" t="s">
        <v>22</v>
      </c>
      <c r="I270" s="8" t="s">
        <v>225</v>
      </c>
      <c r="J270" s="8" t="s">
        <v>24</v>
      </c>
      <c r="K270" s="9">
        <v>0.5</v>
      </c>
      <c r="L270" s="9">
        <v>0.25</v>
      </c>
      <c r="M270" s="9">
        <v>0.25</v>
      </c>
      <c r="N270" s="10">
        <v>45224.0</v>
      </c>
      <c r="O270" s="11">
        <v>1.775</v>
      </c>
      <c r="P270" s="8" t="s">
        <v>25</v>
      </c>
      <c r="Q270" s="12">
        <f t="shared" si="1"/>
        <v>-0.25</v>
      </c>
      <c r="R270" s="12">
        <f t="shared" si="4"/>
        <v>10.47402658</v>
      </c>
    </row>
    <row r="271">
      <c r="A271" s="15">
        <f t="shared" si="3"/>
        <v>270</v>
      </c>
      <c r="B271" s="15" t="s">
        <v>40</v>
      </c>
      <c r="C271" s="15" t="s">
        <v>3718</v>
      </c>
      <c r="D271" s="15" t="s">
        <v>5565</v>
      </c>
      <c r="E271" s="15" t="s">
        <v>2556</v>
      </c>
      <c r="F271" s="15">
        <v>0.0</v>
      </c>
      <c r="G271" s="15" t="s">
        <v>2456</v>
      </c>
      <c r="H271" s="15" t="s">
        <v>598</v>
      </c>
      <c r="I271" s="15" t="s">
        <v>225</v>
      </c>
      <c r="J271" s="15" t="s">
        <v>3697</v>
      </c>
      <c r="K271" s="16">
        <v>0.75</v>
      </c>
      <c r="L271" s="16">
        <v>0.25</v>
      </c>
      <c r="M271" s="16">
        <v>0.25</v>
      </c>
      <c r="N271" s="17">
        <v>45225.0</v>
      </c>
      <c r="O271" s="18">
        <v>1.925</v>
      </c>
      <c r="P271" s="15" t="s">
        <v>33</v>
      </c>
      <c r="Q271" s="19">
        <f t="shared" si="1"/>
        <v>0.23125</v>
      </c>
      <c r="R271" s="19">
        <f t="shared" si="4"/>
        <v>10.70527658</v>
      </c>
    </row>
    <row r="272">
      <c r="A272" s="8">
        <f t="shared" si="3"/>
        <v>271</v>
      </c>
      <c r="B272" s="8" t="s">
        <v>40</v>
      </c>
      <c r="C272" s="8" t="s">
        <v>3719</v>
      </c>
      <c r="D272" s="8"/>
      <c r="E272" s="8"/>
      <c r="F272" s="8" t="s">
        <v>2615</v>
      </c>
      <c r="G272" s="8" t="s">
        <v>1182</v>
      </c>
      <c r="H272" s="8" t="s">
        <v>22</v>
      </c>
      <c r="I272" s="8" t="s">
        <v>23</v>
      </c>
      <c r="J272" s="8" t="s">
        <v>24</v>
      </c>
      <c r="K272" s="9">
        <v>-16.0</v>
      </c>
      <c r="L272" s="9">
        <v>0.3</v>
      </c>
      <c r="M272" s="9">
        <v>0.3</v>
      </c>
      <c r="N272" s="10">
        <v>45225.0</v>
      </c>
      <c r="O272" s="11">
        <v>1.8</v>
      </c>
      <c r="P272" s="8" t="s">
        <v>25</v>
      </c>
      <c r="Q272" s="12">
        <f t="shared" si="1"/>
        <v>-0.3</v>
      </c>
      <c r="R272" s="12">
        <f t="shared" si="4"/>
        <v>10.40527658</v>
      </c>
    </row>
    <row r="273">
      <c r="A273" s="15">
        <f t="shared" si="3"/>
        <v>272</v>
      </c>
      <c r="B273" s="15" t="s">
        <v>19</v>
      </c>
      <c r="C273" s="15" t="s">
        <v>3720</v>
      </c>
      <c r="D273" s="15" t="s">
        <v>5565</v>
      </c>
      <c r="E273" s="15" t="s">
        <v>2660</v>
      </c>
      <c r="F273" s="15">
        <v>-1.0</v>
      </c>
      <c r="G273" s="15" t="s">
        <v>174</v>
      </c>
      <c r="H273" s="15" t="s">
        <v>22</v>
      </c>
      <c r="I273" s="15" t="s">
        <v>892</v>
      </c>
      <c r="J273" s="15" t="s">
        <v>24</v>
      </c>
      <c r="K273" s="16">
        <v>0.0</v>
      </c>
      <c r="L273" s="16">
        <v>0.5</v>
      </c>
      <c r="M273" s="16">
        <v>0.5</v>
      </c>
      <c r="N273" s="17">
        <v>45225.0</v>
      </c>
      <c r="O273" s="18">
        <v>1.85</v>
      </c>
      <c r="P273" s="15" t="s">
        <v>70</v>
      </c>
      <c r="Q273" s="19">
        <f t="shared" si="1"/>
        <v>0</v>
      </c>
      <c r="R273" s="19">
        <f t="shared" si="4"/>
        <v>10.40527658</v>
      </c>
    </row>
    <row r="274">
      <c r="A274" s="8">
        <f t="shared" si="3"/>
        <v>273</v>
      </c>
      <c r="B274" s="8" t="s">
        <v>19</v>
      </c>
      <c r="C274" s="8" t="s">
        <v>3721</v>
      </c>
      <c r="D274" s="8" t="s">
        <v>5565</v>
      </c>
      <c r="E274" s="8" t="s">
        <v>2660</v>
      </c>
      <c r="F274" s="8">
        <v>0.0</v>
      </c>
      <c r="G274" s="8" t="s">
        <v>187</v>
      </c>
      <c r="H274" s="8" t="s">
        <v>22</v>
      </c>
      <c r="I274" s="8" t="s">
        <v>892</v>
      </c>
      <c r="J274" s="8" t="s">
        <v>1522</v>
      </c>
      <c r="K274" s="9">
        <v>0.0</v>
      </c>
      <c r="L274" s="9">
        <v>0.5</v>
      </c>
      <c r="M274" s="9">
        <v>0.5</v>
      </c>
      <c r="N274" s="10">
        <v>45225.0</v>
      </c>
      <c r="O274" s="11">
        <v>1.7</v>
      </c>
      <c r="P274" s="8" t="s">
        <v>33</v>
      </c>
      <c r="Q274" s="12">
        <f t="shared" si="1"/>
        <v>0.35</v>
      </c>
      <c r="R274" s="12">
        <f t="shared" si="4"/>
        <v>10.75527658</v>
      </c>
    </row>
    <row r="275">
      <c r="A275" s="15">
        <f t="shared" si="3"/>
        <v>274</v>
      </c>
      <c r="B275" s="15" t="s">
        <v>19</v>
      </c>
      <c r="C275" s="15" t="s">
        <v>3722</v>
      </c>
      <c r="D275" s="15"/>
      <c r="E275" s="15"/>
      <c r="F275" s="15" t="s">
        <v>2615</v>
      </c>
      <c r="G275" s="15" t="s">
        <v>316</v>
      </c>
      <c r="H275" s="15" t="s">
        <v>22</v>
      </c>
      <c r="I275" s="15" t="s">
        <v>2939</v>
      </c>
      <c r="J275" s="15" t="s">
        <v>39</v>
      </c>
      <c r="K275" s="16">
        <v>-3.5</v>
      </c>
      <c r="L275" s="16">
        <v>0.1</v>
      </c>
      <c r="M275" s="16">
        <v>0.1</v>
      </c>
      <c r="N275" s="17">
        <v>45225.0</v>
      </c>
      <c r="O275" s="18">
        <v>1.725</v>
      </c>
      <c r="P275" s="15" t="s">
        <v>33</v>
      </c>
      <c r="Q275" s="19">
        <f t="shared" si="1"/>
        <v>0.0725</v>
      </c>
      <c r="R275" s="19">
        <f t="shared" si="4"/>
        <v>10.82777658</v>
      </c>
    </row>
    <row r="276">
      <c r="A276" s="8">
        <f t="shared" si="3"/>
        <v>275</v>
      </c>
      <c r="B276" s="8" t="s">
        <v>19</v>
      </c>
      <c r="C276" s="8" t="s">
        <v>3723</v>
      </c>
      <c r="D276" s="8" t="s">
        <v>5565</v>
      </c>
      <c r="E276" s="8"/>
      <c r="F276" s="8">
        <v>-1.0</v>
      </c>
      <c r="G276" s="8" t="s">
        <v>316</v>
      </c>
      <c r="H276" s="8" t="s">
        <v>22</v>
      </c>
      <c r="I276" s="8" t="s">
        <v>1165</v>
      </c>
      <c r="J276" s="8" t="s">
        <v>24</v>
      </c>
      <c r="K276" s="9"/>
      <c r="L276" s="9">
        <v>0.05</v>
      </c>
      <c r="M276" s="9">
        <v>0.05</v>
      </c>
      <c r="N276" s="10">
        <v>45225.0</v>
      </c>
      <c r="O276" s="11">
        <v>6.5</v>
      </c>
      <c r="P276" s="8" t="s">
        <v>25</v>
      </c>
      <c r="Q276" s="12">
        <f t="shared" si="1"/>
        <v>-0.05</v>
      </c>
      <c r="R276" s="12">
        <f t="shared" si="4"/>
        <v>10.77777658</v>
      </c>
    </row>
    <row r="277">
      <c r="A277" s="15">
        <f t="shared" si="3"/>
        <v>276</v>
      </c>
      <c r="B277" s="15" t="s">
        <v>19</v>
      </c>
      <c r="C277" s="15" t="s">
        <v>3724</v>
      </c>
      <c r="D277" s="139" t="s">
        <v>5565</v>
      </c>
      <c r="E277" s="139" t="s">
        <v>2556</v>
      </c>
      <c r="F277" s="139">
        <v>-1.0</v>
      </c>
      <c r="G277" s="15" t="s">
        <v>316</v>
      </c>
      <c r="H277" s="15" t="s">
        <v>22</v>
      </c>
      <c r="I277" s="15" t="s">
        <v>225</v>
      </c>
      <c r="J277" s="15" t="s">
        <v>1522</v>
      </c>
      <c r="K277" s="16">
        <v>1.0</v>
      </c>
      <c r="L277" s="16">
        <v>0.5</v>
      </c>
      <c r="M277" s="16">
        <v>0.5</v>
      </c>
      <c r="N277" s="17">
        <v>45225.0</v>
      </c>
      <c r="O277" s="18">
        <v>1.825</v>
      </c>
      <c r="P277" s="15" t="s">
        <v>70</v>
      </c>
      <c r="Q277" s="19">
        <f t="shared" si="1"/>
        <v>0</v>
      </c>
      <c r="R277" s="19">
        <f t="shared" si="4"/>
        <v>10.77777658</v>
      </c>
    </row>
    <row r="278">
      <c r="A278" s="8">
        <f t="shared" si="3"/>
        <v>277</v>
      </c>
      <c r="B278" s="8" t="s">
        <v>19</v>
      </c>
      <c r="C278" s="8" t="s">
        <v>3725</v>
      </c>
      <c r="D278" s="8" t="s">
        <v>5565</v>
      </c>
      <c r="E278" s="8" t="s">
        <v>2660</v>
      </c>
      <c r="F278" s="8">
        <v>0.0</v>
      </c>
      <c r="G278" s="8" t="s">
        <v>1961</v>
      </c>
      <c r="H278" s="8" t="s">
        <v>22</v>
      </c>
      <c r="I278" s="8" t="s">
        <v>892</v>
      </c>
      <c r="J278" s="8" t="s">
        <v>39</v>
      </c>
      <c r="K278" s="9">
        <v>0.0</v>
      </c>
      <c r="L278" s="9">
        <v>0.1</v>
      </c>
      <c r="M278" s="9">
        <f>0.207*0.1</f>
        <v>0.0207</v>
      </c>
      <c r="N278" s="10">
        <v>45225.0</v>
      </c>
      <c r="O278" s="11">
        <v>1.7</v>
      </c>
      <c r="P278" s="8" t="s">
        <v>70</v>
      </c>
      <c r="Q278" s="12">
        <f t="shared" si="1"/>
        <v>0</v>
      </c>
      <c r="R278" s="12">
        <f t="shared" si="4"/>
        <v>10.77777658</v>
      </c>
    </row>
    <row r="279">
      <c r="A279" s="15">
        <f t="shared" si="3"/>
        <v>278</v>
      </c>
      <c r="B279" s="15" t="s">
        <v>19</v>
      </c>
      <c r="C279" s="15" t="s">
        <v>3726</v>
      </c>
      <c r="D279" s="15"/>
      <c r="E279" s="15"/>
      <c r="F279" s="15"/>
      <c r="G279" s="15" t="s">
        <v>82</v>
      </c>
      <c r="H279" s="15" t="s">
        <v>598</v>
      </c>
      <c r="I279" s="15" t="s">
        <v>23</v>
      </c>
      <c r="J279" s="15" t="s">
        <v>39</v>
      </c>
      <c r="K279" s="16">
        <v>-10.5</v>
      </c>
      <c r="L279" s="16">
        <v>0.5</v>
      </c>
      <c r="M279" s="16">
        <v>0.5</v>
      </c>
      <c r="N279" s="17">
        <v>45225.0</v>
      </c>
      <c r="O279" s="18">
        <v>2.0</v>
      </c>
      <c r="P279" s="15" t="s">
        <v>25</v>
      </c>
      <c r="Q279" s="19">
        <f t="shared" si="1"/>
        <v>-0.5</v>
      </c>
      <c r="R279" s="19">
        <f t="shared" si="4"/>
        <v>10.27777658</v>
      </c>
    </row>
    <row r="280">
      <c r="A280" s="8">
        <f t="shared" si="3"/>
        <v>279</v>
      </c>
      <c r="B280" s="8" t="s">
        <v>19</v>
      </c>
      <c r="C280" s="8" t="s">
        <v>3727</v>
      </c>
      <c r="D280" s="8"/>
      <c r="E280" s="8"/>
      <c r="F280" s="8" t="s">
        <v>2615</v>
      </c>
      <c r="G280" s="8" t="s">
        <v>196</v>
      </c>
      <c r="H280" s="8" t="s">
        <v>22</v>
      </c>
      <c r="I280" s="8" t="s">
        <v>2939</v>
      </c>
      <c r="J280" s="8" t="s">
        <v>24</v>
      </c>
      <c r="K280" s="9">
        <v>-3.5</v>
      </c>
      <c r="L280" s="9">
        <v>0.25</v>
      </c>
      <c r="M280" s="9">
        <v>0.25</v>
      </c>
      <c r="N280" s="10">
        <v>45225.0</v>
      </c>
      <c r="O280" s="11">
        <v>1.75</v>
      </c>
      <c r="P280" s="8" t="s">
        <v>33</v>
      </c>
      <c r="Q280" s="12">
        <f t="shared" si="1"/>
        <v>0.1875</v>
      </c>
      <c r="R280" s="12">
        <f t="shared" si="4"/>
        <v>10.46527658</v>
      </c>
    </row>
    <row r="281">
      <c r="A281" s="15">
        <f t="shared" si="3"/>
        <v>280</v>
      </c>
      <c r="B281" s="15" t="s">
        <v>19</v>
      </c>
      <c r="C281" s="15" t="s">
        <v>3728</v>
      </c>
      <c r="D281" s="15"/>
      <c r="E281" s="15"/>
      <c r="F281" s="15"/>
      <c r="G281" s="15" t="s">
        <v>82</v>
      </c>
      <c r="H281" s="15" t="s">
        <v>22</v>
      </c>
      <c r="I281" s="15" t="s">
        <v>440</v>
      </c>
      <c r="J281" s="15" t="s">
        <v>39</v>
      </c>
      <c r="K281" s="16">
        <v>3.0</v>
      </c>
      <c r="L281" s="16">
        <v>0.25</v>
      </c>
      <c r="M281" s="16">
        <v>0.25</v>
      </c>
      <c r="N281" s="17">
        <v>45225.0</v>
      </c>
      <c r="O281" s="18">
        <v>1.925</v>
      </c>
      <c r="P281" s="15" t="s">
        <v>70</v>
      </c>
      <c r="Q281" s="19">
        <f t="shared" si="1"/>
        <v>0</v>
      </c>
      <c r="R281" s="19">
        <f t="shared" si="4"/>
        <v>10.46527658</v>
      </c>
    </row>
    <row r="282">
      <c r="A282" s="8">
        <f t="shared" si="3"/>
        <v>281</v>
      </c>
      <c r="B282" s="8" t="s">
        <v>19</v>
      </c>
      <c r="C282" s="8" t="s">
        <v>3729</v>
      </c>
      <c r="D282" s="8" t="s">
        <v>5564</v>
      </c>
      <c r="E282" s="8" t="s">
        <v>2755</v>
      </c>
      <c r="F282" s="8">
        <f t="shared" ref="F282:F283" si="11">1</f>
        <v>1</v>
      </c>
      <c r="G282" s="8" t="s">
        <v>853</v>
      </c>
      <c r="H282" s="8" t="s">
        <v>22</v>
      </c>
      <c r="I282" s="8" t="s">
        <v>225</v>
      </c>
      <c r="J282" s="8" t="s">
        <v>24</v>
      </c>
      <c r="K282" s="9">
        <v>0.25</v>
      </c>
      <c r="L282" s="9">
        <v>0.5</v>
      </c>
      <c r="M282" s="9">
        <v>0.5</v>
      </c>
      <c r="N282" s="10">
        <v>45226.0</v>
      </c>
      <c r="O282" s="11">
        <v>2.0</v>
      </c>
      <c r="P282" s="8" t="s">
        <v>25</v>
      </c>
      <c r="Q282" s="12">
        <f t="shared" si="1"/>
        <v>-0.5</v>
      </c>
      <c r="R282" s="12">
        <f t="shared" si="4"/>
        <v>9.965276577</v>
      </c>
    </row>
    <row r="283">
      <c r="A283" s="15">
        <f t="shared" si="3"/>
        <v>282</v>
      </c>
      <c r="B283" s="15" t="s">
        <v>19</v>
      </c>
      <c r="C283" s="15" t="s">
        <v>3730</v>
      </c>
      <c r="D283" s="15" t="s">
        <v>5564</v>
      </c>
      <c r="E283" s="15" t="s">
        <v>2755</v>
      </c>
      <c r="F283" s="15">
        <f t="shared" si="11"/>
        <v>1</v>
      </c>
      <c r="G283" s="15" t="s">
        <v>853</v>
      </c>
      <c r="H283" s="15" t="s">
        <v>22</v>
      </c>
      <c r="I283" s="15" t="s">
        <v>1165</v>
      </c>
      <c r="J283" s="15" t="s">
        <v>24</v>
      </c>
      <c r="K283" s="16"/>
      <c r="L283" s="16">
        <v>0.1</v>
      </c>
      <c r="M283" s="16">
        <v>0.1</v>
      </c>
      <c r="N283" s="17">
        <v>45226.0</v>
      </c>
      <c r="O283" s="18">
        <v>2.0</v>
      </c>
      <c r="P283" s="15" t="s">
        <v>25</v>
      </c>
      <c r="Q283" s="19">
        <f t="shared" si="1"/>
        <v>-0.1</v>
      </c>
      <c r="R283" s="19">
        <f t="shared" si="4"/>
        <v>9.865276577</v>
      </c>
    </row>
    <row r="284">
      <c r="A284" s="8"/>
      <c r="B284" s="8" t="s">
        <v>19</v>
      </c>
      <c r="C284" s="31" t="s">
        <v>3731</v>
      </c>
      <c r="D284" s="148"/>
      <c r="E284" s="148"/>
      <c r="F284" s="32"/>
      <c r="G284" s="32" t="s">
        <v>82</v>
      </c>
      <c r="H284" s="32" t="s">
        <v>22</v>
      </c>
      <c r="I284" s="32" t="s">
        <v>3732</v>
      </c>
      <c r="J284" s="32" t="s">
        <v>24</v>
      </c>
      <c r="K284" s="33"/>
      <c r="L284" s="9">
        <v>0.1</v>
      </c>
      <c r="M284" s="9">
        <v>0.1</v>
      </c>
      <c r="N284" s="10">
        <v>45226.0</v>
      </c>
      <c r="O284" s="11">
        <v>7.0</v>
      </c>
      <c r="P284" s="8" t="s">
        <v>25</v>
      </c>
      <c r="Q284" s="12">
        <f t="shared" si="1"/>
        <v>-0.1</v>
      </c>
      <c r="R284" s="12">
        <f t="shared" si="4"/>
        <v>9.765276577</v>
      </c>
    </row>
    <row r="285">
      <c r="A285" s="15">
        <f>A283+1</f>
        <v>283</v>
      </c>
      <c r="B285" s="15" t="s">
        <v>19</v>
      </c>
      <c r="C285" s="149" t="s">
        <v>3733</v>
      </c>
      <c r="D285" s="150" t="s">
        <v>5564</v>
      </c>
      <c r="E285" s="150" t="s">
        <v>2755</v>
      </c>
      <c r="F285" s="37">
        <v>-2.0</v>
      </c>
      <c r="G285" s="150" t="s">
        <v>1493</v>
      </c>
      <c r="H285" s="150" t="s">
        <v>22</v>
      </c>
      <c r="I285" s="150" t="s">
        <v>225</v>
      </c>
      <c r="J285" s="150" t="s">
        <v>24</v>
      </c>
      <c r="K285" s="151">
        <v>0.25</v>
      </c>
      <c r="L285" s="16">
        <v>0.75</v>
      </c>
      <c r="M285" s="16">
        <v>0.75</v>
      </c>
      <c r="N285" s="17">
        <v>45226.0</v>
      </c>
      <c r="O285" s="18">
        <v>1.9</v>
      </c>
      <c r="P285" s="15" t="s">
        <v>33</v>
      </c>
      <c r="Q285" s="19">
        <f t="shared" si="1"/>
        <v>0.675</v>
      </c>
      <c r="R285" s="19">
        <f t="shared" si="4"/>
        <v>10.44027658</v>
      </c>
    </row>
    <row r="286">
      <c r="A286" s="8">
        <f t="shared" ref="A286:A405" si="12">A285+1</f>
        <v>284</v>
      </c>
      <c r="B286" s="8" t="s">
        <v>19</v>
      </c>
      <c r="C286" s="152" t="s">
        <v>3734</v>
      </c>
      <c r="D286" s="153" t="s">
        <v>5564</v>
      </c>
      <c r="E286" s="153" t="s">
        <v>2755</v>
      </c>
      <c r="F286" s="47">
        <v>-2.0</v>
      </c>
      <c r="G286" s="153" t="s">
        <v>1493</v>
      </c>
      <c r="H286" s="153" t="s">
        <v>22</v>
      </c>
      <c r="I286" s="153" t="s">
        <v>1165</v>
      </c>
      <c r="J286" s="153" t="s">
        <v>24</v>
      </c>
      <c r="K286" s="154"/>
      <c r="L286" s="9">
        <v>0.05</v>
      </c>
      <c r="M286" s="9">
        <v>0.05</v>
      </c>
      <c r="N286" s="10">
        <v>45226.0</v>
      </c>
      <c r="O286" s="11">
        <v>5.5</v>
      </c>
      <c r="P286" s="8" t="s">
        <v>33</v>
      </c>
      <c r="Q286" s="12">
        <f t="shared" si="1"/>
        <v>0.225</v>
      </c>
      <c r="R286" s="12">
        <f t="shared" si="4"/>
        <v>10.66527658</v>
      </c>
    </row>
    <row r="287">
      <c r="A287" s="15">
        <f t="shared" si="12"/>
        <v>285</v>
      </c>
      <c r="B287" s="15" t="s">
        <v>40</v>
      </c>
      <c r="C287" s="15" t="s">
        <v>3735</v>
      </c>
      <c r="D287" s="15" t="s">
        <v>5564</v>
      </c>
      <c r="E287" s="15" t="s">
        <v>2660</v>
      </c>
      <c r="F287" s="15">
        <v>0.0</v>
      </c>
      <c r="G287" s="15" t="s">
        <v>1961</v>
      </c>
      <c r="H287" s="15" t="s">
        <v>22</v>
      </c>
      <c r="I287" s="15" t="s">
        <v>1150</v>
      </c>
      <c r="J287" s="15" t="s">
        <v>1851</v>
      </c>
      <c r="K287" s="16">
        <v>0.0</v>
      </c>
      <c r="L287" s="16">
        <v>1.0</v>
      </c>
      <c r="M287" s="16">
        <v>1.0</v>
      </c>
      <c r="N287" s="17">
        <v>45226.0</v>
      </c>
      <c r="O287" s="18">
        <v>1.75</v>
      </c>
      <c r="P287" s="15" t="s">
        <v>70</v>
      </c>
      <c r="Q287" s="19">
        <f t="shared" si="1"/>
        <v>0</v>
      </c>
      <c r="R287" s="19">
        <f t="shared" si="4"/>
        <v>10.66527658</v>
      </c>
    </row>
    <row r="288">
      <c r="A288" s="8">
        <f t="shared" si="12"/>
        <v>286</v>
      </c>
      <c r="B288" s="8" t="s">
        <v>19</v>
      </c>
      <c r="C288" s="8" t="s">
        <v>3736</v>
      </c>
      <c r="D288" s="8" t="s">
        <v>5564</v>
      </c>
      <c r="E288" s="8"/>
      <c r="F288" s="8">
        <f>1</f>
        <v>1</v>
      </c>
      <c r="G288" s="8" t="s">
        <v>374</v>
      </c>
      <c r="H288" s="8" t="s">
        <v>22</v>
      </c>
      <c r="I288" s="8" t="s">
        <v>1847</v>
      </c>
      <c r="J288" s="8" t="s">
        <v>24</v>
      </c>
      <c r="K288" s="9">
        <v>-0.5</v>
      </c>
      <c r="L288" s="9">
        <v>0.5</v>
      </c>
      <c r="M288" s="9">
        <v>0.5</v>
      </c>
      <c r="N288" s="10">
        <v>45226.0</v>
      </c>
      <c r="O288" s="11">
        <v>1.8</v>
      </c>
      <c r="P288" s="8" t="s">
        <v>33</v>
      </c>
      <c r="Q288" s="12">
        <f t="shared" si="1"/>
        <v>0.4</v>
      </c>
      <c r="R288" s="12">
        <f t="shared" si="4"/>
        <v>11.06527658</v>
      </c>
    </row>
    <row r="289">
      <c r="A289" s="15">
        <f t="shared" si="12"/>
        <v>287</v>
      </c>
      <c r="B289" s="15" t="s">
        <v>19</v>
      </c>
      <c r="C289" s="15" t="s">
        <v>3737</v>
      </c>
      <c r="D289" s="15" t="s">
        <v>5564</v>
      </c>
      <c r="E289" s="15" t="s">
        <v>2556</v>
      </c>
      <c r="F289" s="15">
        <v>-1.0</v>
      </c>
      <c r="G289" s="15" t="s">
        <v>101</v>
      </c>
      <c r="H289" s="15" t="s">
        <v>22</v>
      </c>
      <c r="I289" s="15" t="s">
        <v>225</v>
      </c>
      <c r="J289" s="15" t="s">
        <v>24</v>
      </c>
      <c r="K289" s="16">
        <v>0.25</v>
      </c>
      <c r="L289" s="16">
        <v>0.25</v>
      </c>
      <c r="M289" s="16">
        <v>0.25</v>
      </c>
      <c r="N289" s="17">
        <v>45226.0</v>
      </c>
      <c r="O289" s="18">
        <v>1.875</v>
      </c>
      <c r="P289" s="15" t="s">
        <v>33</v>
      </c>
      <c r="Q289" s="19">
        <f t="shared" si="1"/>
        <v>0.21875</v>
      </c>
      <c r="R289" s="19">
        <f t="shared" si="4"/>
        <v>11.28402658</v>
      </c>
    </row>
    <row r="290">
      <c r="A290" s="8">
        <f t="shared" si="12"/>
        <v>288</v>
      </c>
      <c r="B290" s="8" t="s">
        <v>19</v>
      </c>
      <c r="C290" s="8" t="s">
        <v>3738</v>
      </c>
      <c r="D290" s="8" t="s">
        <v>5565</v>
      </c>
      <c r="E290" s="8" t="s">
        <v>2660</v>
      </c>
      <c r="F290" s="8">
        <v>0.0</v>
      </c>
      <c r="G290" s="8" t="s">
        <v>273</v>
      </c>
      <c r="H290" s="8" t="s">
        <v>22</v>
      </c>
      <c r="I290" s="8" t="s">
        <v>892</v>
      </c>
      <c r="J290" s="8" t="s">
        <v>24</v>
      </c>
      <c r="K290" s="9">
        <v>0.0</v>
      </c>
      <c r="L290" s="9">
        <v>0.5</v>
      </c>
      <c r="M290" s="9">
        <v>0.5</v>
      </c>
      <c r="N290" s="10">
        <v>45226.0</v>
      </c>
      <c r="O290" s="11">
        <v>2.2</v>
      </c>
      <c r="P290" s="8" t="s">
        <v>33</v>
      </c>
      <c r="Q290" s="12">
        <f t="shared" si="1"/>
        <v>0.6</v>
      </c>
      <c r="R290" s="12">
        <f t="shared" si="4"/>
        <v>11.88402658</v>
      </c>
    </row>
    <row r="291">
      <c r="A291" s="15">
        <f t="shared" si="12"/>
        <v>289</v>
      </c>
      <c r="B291" s="15" t="s">
        <v>19</v>
      </c>
      <c r="C291" s="15" t="s">
        <v>3739</v>
      </c>
      <c r="D291" s="15"/>
      <c r="E291" s="15"/>
      <c r="F291" s="15"/>
      <c r="G291" s="15" t="s">
        <v>44</v>
      </c>
      <c r="H291" s="15" t="s">
        <v>22</v>
      </c>
      <c r="I291" s="15" t="s">
        <v>23</v>
      </c>
      <c r="J291" s="15" t="s">
        <v>24</v>
      </c>
      <c r="K291" s="16">
        <v>-11.5</v>
      </c>
      <c r="L291" s="16">
        <v>0.1</v>
      </c>
      <c r="M291" s="16">
        <v>0.1</v>
      </c>
      <c r="N291" s="17">
        <v>45226.0</v>
      </c>
      <c r="O291" s="18">
        <v>1.1</v>
      </c>
      <c r="P291" s="15" t="s">
        <v>33</v>
      </c>
      <c r="Q291" s="19">
        <f t="shared" si="1"/>
        <v>0.01</v>
      </c>
      <c r="R291" s="19">
        <f t="shared" si="4"/>
        <v>11.89402658</v>
      </c>
    </row>
    <row r="292">
      <c r="A292" s="8">
        <f t="shared" si="12"/>
        <v>290</v>
      </c>
      <c r="B292" s="8" t="s">
        <v>19</v>
      </c>
      <c r="C292" s="8" t="s">
        <v>3740</v>
      </c>
      <c r="D292" s="8" t="s">
        <v>5564</v>
      </c>
      <c r="E292" s="8" t="s">
        <v>2556</v>
      </c>
      <c r="F292" s="8">
        <v>-1.0</v>
      </c>
      <c r="G292" s="8" t="s">
        <v>316</v>
      </c>
      <c r="H292" s="8" t="s">
        <v>22</v>
      </c>
      <c r="I292" s="8" t="s">
        <v>225</v>
      </c>
      <c r="J292" s="8" t="s">
        <v>3697</v>
      </c>
      <c r="K292" s="9">
        <v>0.25</v>
      </c>
      <c r="L292" s="9">
        <v>0.5</v>
      </c>
      <c r="M292" s="9">
        <v>0.5</v>
      </c>
      <c r="N292" s="10">
        <v>45226.0</v>
      </c>
      <c r="O292" s="11">
        <v>1.95</v>
      </c>
      <c r="P292" s="8" t="s">
        <v>70</v>
      </c>
      <c r="Q292" s="12">
        <f t="shared" si="1"/>
        <v>0</v>
      </c>
      <c r="R292" s="12">
        <f t="shared" si="4"/>
        <v>11.89402658</v>
      </c>
    </row>
    <row r="293">
      <c r="A293" s="15">
        <f t="shared" si="12"/>
        <v>291</v>
      </c>
      <c r="B293" s="15" t="s">
        <v>19</v>
      </c>
      <c r="C293" s="15" t="s">
        <v>3741</v>
      </c>
      <c r="D293" s="15" t="s">
        <v>5564</v>
      </c>
      <c r="E293" s="15" t="s">
        <v>2556</v>
      </c>
      <c r="F293" s="15">
        <v>-1.0</v>
      </c>
      <c r="G293" s="15" t="s">
        <v>316</v>
      </c>
      <c r="H293" s="15" t="s">
        <v>22</v>
      </c>
      <c r="I293" s="15" t="s">
        <v>1165</v>
      </c>
      <c r="J293" s="15" t="s">
        <v>3697</v>
      </c>
      <c r="K293" s="16"/>
      <c r="L293" s="16">
        <v>0.1</v>
      </c>
      <c r="M293" s="16">
        <v>0.1</v>
      </c>
      <c r="N293" s="17">
        <v>45226.0</v>
      </c>
      <c r="O293" s="18">
        <v>4.0</v>
      </c>
      <c r="P293" s="15" t="s">
        <v>25</v>
      </c>
      <c r="Q293" s="19">
        <f t="shared" si="1"/>
        <v>-0.1</v>
      </c>
      <c r="R293" s="19">
        <f t="shared" si="4"/>
        <v>11.79402658</v>
      </c>
    </row>
    <row r="294">
      <c r="A294" s="8">
        <f t="shared" si="12"/>
        <v>292</v>
      </c>
      <c r="B294" s="8" t="s">
        <v>19</v>
      </c>
      <c r="C294" s="8" t="s">
        <v>3742</v>
      </c>
      <c r="D294" s="8"/>
      <c r="E294" s="8"/>
      <c r="F294" s="8"/>
      <c r="G294" s="8" t="s">
        <v>82</v>
      </c>
      <c r="H294" s="8" t="s">
        <v>598</v>
      </c>
      <c r="I294" s="8" t="s">
        <v>2415</v>
      </c>
      <c r="J294" s="8" t="s">
        <v>39</v>
      </c>
      <c r="K294" s="9">
        <v>10.5</v>
      </c>
      <c r="L294" s="9">
        <v>0.5</v>
      </c>
      <c r="M294" s="9">
        <v>0.5</v>
      </c>
      <c r="N294" s="10">
        <v>45226.0</v>
      </c>
      <c r="O294" s="11">
        <v>1.875</v>
      </c>
      <c r="P294" s="8" t="s">
        <v>25</v>
      </c>
      <c r="Q294" s="12">
        <f t="shared" si="1"/>
        <v>-0.5</v>
      </c>
      <c r="R294" s="12">
        <f t="shared" si="4"/>
        <v>11.29402658</v>
      </c>
    </row>
    <row r="295">
      <c r="A295" s="15">
        <f t="shared" si="12"/>
        <v>293</v>
      </c>
      <c r="B295" s="15" t="s">
        <v>40</v>
      </c>
      <c r="C295" s="15" t="s">
        <v>3743</v>
      </c>
      <c r="D295" s="15" t="s">
        <v>5565</v>
      </c>
      <c r="E295" s="15" t="s">
        <v>2556</v>
      </c>
      <c r="F295" s="15">
        <v>-1.0</v>
      </c>
      <c r="G295" s="15" t="s">
        <v>42</v>
      </c>
      <c r="H295" s="15" t="s">
        <v>22</v>
      </c>
      <c r="I295" s="15" t="s">
        <v>225</v>
      </c>
      <c r="J295" s="15" t="s">
        <v>24</v>
      </c>
      <c r="K295" s="16">
        <v>0.5</v>
      </c>
      <c r="L295" s="16">
        <v>0.5</v>
      </c>
      <c r="M295" s="16">
        <v>0.5</v>
      </c>
      <c r="N295" s="17">
        <v>45227.0</v>
      </c>
      <c r="O295" s="18">
        <v>1.58</v>
      </c>
      <c r="P295" s="15" t="s">
        <v>33</v>
      </c>
      <c r="Q295" s="19">
        <f t="shared" si="1"/>
        <v>0.29</v>
      </c>
      <c r="R295" s="19">
        <f t="shared" si="4"/>
        <v>11.58402658</v>
      </c>
    </row>
    <row r="296">
      <c r="A296" s="8">
        <f t="shared" si="12"/>
        <v>294</v>
      </c>
      <c r="B296" s="8" t="s">
        <v>19</v>
      </c>
      <c r="C296" s="8" t="s">
        <v>3744</v>
      </c>
      <c r="D296" s="8" t="s">
        <v>5564</v>
      </c>
      <c r="E296" s="8" t="s">
        <v>2660</v>
      </c>
      <c r="F296" s="8">
        <v>0.0</v>
      </c>
      <c r="G296" s="8" t="s">
        <v>675</v>
      </c>
      <c r="H296" s="8"/>
      <c r="I296" s="8"/>
      <c r="J296" s="8" t="s">
        <v>24</v>
      </c>
      <c r="K296" s="9">
        <v>0.0</v>
      </c>
      <c r="L296" s="9">
        <v>1.0</v>
      </c>
      <c r="M296" s="9">
        <v>1.0</v>
      </c>
      <c r="N296" s="10">
        <v>45227.0</v>
      </c>
      <c r="O296" s="11">
        <v>1.75</v>
      </c>
      <c r="P296" s="8" t="s">
        <v>70</v>
      </c>
      <c r="Q296" s="12">
        <f t="shared" si="1"/>
        <v>0</v>
      </c>
      <c r="R296" s="12">
        <f t="shared" si="4"/>
        <v>11.58402658</v>
      </c>
    </row>
    <row r="297">
      <c r="A297" s="15">
        <f t="shared" si="12"/>
        <v>295</v>
      </c>
      <c r="B297" s="15" t="s">
        <v>40</v>
      </c>
      <c r="C297" s="15" t="s">
        <v>3745</v>
      </c>
      <c r="D297" s="15" t="s">
        <v>5565</v>
      </c>
      <c r="E297" s="15" t="s">
        <v>2556</v>
      </c>
      <c r="F297" s="15">
        <v>-1.0</v>
      </c>
      <c r="G297" s="15" t="s">
        <v>42</v>
      </c>
      <c r="H297" s="15" t="s">
        <v>22</v>
      </c>
      <c r="I297" s="15" t="s">
        <v>225</v>
      </c>
      <c r="J297" s="15" t="s">
        <v>24</v>
      </c>
      <c r="K297" s="16">
        <v>0.25</v>
      </c>
      <c r="L297" s="16">
        <v>0.25</v>
      </c>
      <c r="M297" s="16">
        <v>0.25</v>
      </c>
      <c r="N297" s="17">
        <v>45227.0</v>
      </c>
      <c r="O297" s="18">
        <v>1.825</v>
      </c>
      <c r="P297" s="15" t="s">
        <v>30</v>
      </c>
      <c r="Q297" s="19">
        <f t="shared" si="1"/>
        <v>0.103125</v>
      </c>
      <c r="R297" s="19">
        <f t="shared" si="4"/>
        <v>11.68715158</v>
      </c>
    </row>
    <row r="298">
      <c r="A298" s="8">
        <f t="shared" si="12"/>
        <v>296</v>
      </c>
      <c r="B298" s="8" t="s">
        <v>40</v>
      </c>
      <c r="C298" s="8" t="s">
        <v>3746</v>
      </c>
      <c r="D298" s="8" t="s">
        <v>5565</v>
      </c>
      <c r="E298" s="8" t="s">
        <v>2556</v>
      </c>
      <c r="F298" s="8">
        <v>-1.0</v>
      </c>
      <c r="G298" s="8" t="s">
        <v>42</v>
      </c>
      <c r="H298" s="8" t="s">
        <v>22</v>
      </c>
      <c r="I298" s="8" t="s">
        <v>1165</v>
      </c>
      <c r="J298" s="155" t="s">
        <v>24</v>
      </c>
      <c r="K298" s="9"/>
      <c r="L298" s="9">
        <v>0.1</v>
      </c>
      <c r="M298" s="9">
        <v>0.1</v>
      </c>
      <c r="N298" s="10">
        <v>45227.0</v>
      </c>
      <c r="O298" s="11">
        <v>3.4</v>
      </c>
      <c r="P298" s="8" t="s">
        <v>25</v>
      </c>
      <c r="Q298" s="12">
        <f t="shared" si="1"/>
        <v>-0.1</v>
      </c>
      <c r="R298" s="12">
        <f t="shared" si="4"/>
        <v>11.58715158</v>
      </c>
    </row>
    <row r="299">
      <c r="A299" s="15">
        <f t="shared" si="12"/>
        <v>297</v>
      </c>
      <c r="B299" s="15" t="s">
        <v>19</v>
      </c>
      <c r="C299" s="15" t="s">
        <v>3747</v>
      </c>
      <c r="D299" s="15" t="s">
        <v>5564</v>
      </c>
      <c r="E299" s="15" t="s">
        <v>2660</v>
      </c>
      <c r="F299" s="15">
        <v>-1.0</v>
      </c>
      <c r="G299" s="15" t="s">
        <v>1025</v>
      </c>
      <c r="H299" s="15" t="s">
        <v>22</v>
      </c>
      <c r="I299" s="15"/>
      <c r="J299" s="15" t="s">
        <v>24</v>
      </c>
      <c r="K299" s="16">
        <v>0.0</v>
      </c>
      <c r="L299" s="16">
        <v>1.0</v>
      </c>
      <c r="M299" s="16">
        <v>1.0</v>
      </c>
      <c r="N299" s="17">
        <v>45227.0</v>
      </c>
      <c r="O299" s="18">
        <v>1.95</v>
      </c>
      <c r="P299" s="15" t="s">
        <v>33</v>
      </c>
      <c r="Q299" s="19">
        <f t="shared" si="1"/>
        <v>0.95</v>
      </c>
      <c r="R299" s="19">
        <f t="shared" si="4"/>
        <v>12.53715158</v>
      </c>
    </row>
    <row r="300">
      <c r="A300" s="8">
        <f t="shared" si="12"/>
        <v>298</v>
      </c>
      <c r="B300" s="8" t="s">
        <v>19</v>
      </c>
      <c r="C300" s="8" t="s">
        <v>3748</v>
      </c>
      <c r="D300" s="8" t="s">
        <v>5564</v>
      </c>
      <c r="E300" s="8" t="s">
        <v>2556</v>
      </c>
      <c r="F300" s="8">
        <v>-1.0</v>
      </c>
      <c r="G300" s="8" t="s">
        <v>88</v>
      </c>
      <c r="H300" s="8" t="s">
        <v>22</v>
      </c>
      <c r="I300" s="8" t="s">
        <v>225</v>
      </c>
      <c r="J300" s="8" t="s">
        <v>24</v>
      </c>
      <c r="K300" s="9">
        <v>0.5</v>
      </c>
      <c r="L300" s="9">
        <v>0.5</v>
      </c>
      <c r="M300" s="9">
        <v>0.5</v>
      </c>
      <c r="N300" s="10">
        <v>45227.0</v>
      </c>
      <c r="O300" s="11">
        <v>1.725</v>
      </c>
      <c r="P300" s="8" t="s">
        <v>33</v>
      </c>
      <c r="Q300" s="12">
        <f t="shared" si="1"/>
        <v>0.3625</v>
      </c>
      <c r="R300" s="12">
        <f t="shared" si="4"/>
        <v>12.89965158</v>
      </c>
    </row>
    <row r="301">
      <c r="A301" s="15">
        <f t="shared" si="12"/>
        <v>299</v>
      </c>
      <c r="B301" s="15" t="s">
        <v>19</v>
      </c>
      <c r="C301" s="15" t="s">
        <v>3749</v>
      </c>
      <c r="D301" s="15" t="s">
        <v>5564</v>
      </c>
      <c r="E301" s="15" t="s">
        <v>2556</v>
      </c>
      <c r="F301" s="15">
        <v>-1.0</v>
      </c>
      <c r="G301" s="15" t="s">
        <v>88</v>
      </c>
      <c r="H301" s="15" t="s">
        <v>22</v>
      </c>
      <c r="I301" s="15" t="s">
        <v>1165</v>
      </c>
      <c r="J301" s="15" t="s">
        <v>24</v>
      </c>
      <c r="K301" s="16"/>
      <c r="L301" s="16">
        <v>0.1</v>
      </c>
      <c r="M301" s="16">
        <v>0.1</v>
      </c>
      <c r="N301" s="17">
        <v>45227.0</v>
      </c>
      <c r="O301" s="18">
        <v>4.0</v>
      </c>
      <c r="P301" s="15" t="s">
        <v>25</v>
      </c>
      <c r="Q301" s="19">
        <f t="shared" si="1"/>
        <v>-0.1</v>
      </c>
      <c r="R301" s="19">
        <f t="shared" si="4"/>
        <v>12.79965158</v>
      </c>
    </row>
    <row r="302">
      <c r="A302" s="8">
        <f t="shared" si="12"/>
        <v>300</v>
      </c>
      <c r="B302" s="8" t="s">
        <v>19</v>
      </c>
      <c r="C302" s="8" t="s">
        <v>3750</v>
      </c>
      <c r="D302" s="8" t="s">
        <v>5564</v>
      </c>
      <c r="E302" s="8" t="s">
        <v>2660</v>
      </c>
      <c r="F302" s="8">
        <v>0.0</v>
      </c>
      <c r="G302" s="8" t="s">
        <v>178</v>
      </c>
      <c r="H302" s="8" t="s">
        <v>22</v>
      </c>
      <c r="I302" s="8" t="s">
        <v>941</v>
      </c>
      <c r="J302" s="8" t="s">
        <v>1522</v>
      </c>
      <c r="K302" s="9">
        <v>0.0</v>
      </c>
      <c r="L302" s="9">
        <v>1.0</v>
      </c>
      <c r="M302" s="9">
        <v>1.0</v>
      </c>
      <c r="N302" s="10">
        <v>45227.0</v>
      </c>
      <c r="O302" s="11">
        <v>1.9</v>
      </c>
      <c r="P302" s="8" t="s">
        <v>25</v>
      </c>
      <c r="Q302" s="12">
        <f t="shared" si="1"/>
        <v>-1</v>
      </c>
      <c r="R302" s="12">
        <f t="shared" si="4"/>
        <v>11.79965158</v>
      </c>
    </row>
    <row r="303">
      <c r="A303" s="15">
        <f t="shared" si="12"/>
        <v>301</v>
      </c>
      <c r="B303" s="15" t="s">
        <v>19</v>
      </c>
      <c r="C303" s="15" t="s">
        <v>3751</v>
      </c>
      <c r="D303" s="15" t="s">
        <v>5564</v>
      </c>
      <c r="E303" s="15" t="s">
        <v>2660</v>
      </c>
      <c r="F303" s="15">
        <v>-1.0</v>
      </c>
      <c r="G303" s="15" t="s">
        <v>229</v>
      </c>
      <c r="H303" s="15" t="s">
        <v>22</v>
      </c>
      <c r="I303" s="15" t="s">
        <v>892</v>
      </c>
      <c r="J303" s="15" t="s">
        <v>24</v>
      </c>
      <c r="K303" s="16">
        <v>0.0</v>
      </c>
      <c r="L303" s="16">
        <v>0.5</v>
      </c>
      <c r="M303" s="16">
        <v>0.5</v>
      </c>
      <c r="N303" s="17">
        <v>45227.0</v>
      </c>
      <c r="O303" s="18">
        <v>1.9</v>
      </c>
      <c r="P303" s="15" t="s">
        <v>70</v>
      </c>
      <c r="Q303" s="19">
        <f t="shared" si="1"/>
        <v>0</v>
      </c>
      <c r="R303" s="19">
        <f t="shared" si="4"/>
        <v>11.79965158</v>
      </c>
    </row>
    <row r="304">
      <c r="A304" s="8">
        <f t="shared" si="12"/>
        <v>302</v>
      </c>
      <c r="B304" s="8" t="s">
        <v>19</v>
      </c>
      <c r="C304" s="8" t="s">
        <v>3752</v>
      </c>
      <c r="D304" s="8" t="s">
        <v>5564</v>
      </c>
      <c r="E304" s="8" t="s">
        <v>2556</v>
      </c>
      <c r="F304" s="8">
        <v>0.0</v>
      </c>
      <c r="G304" s="8" t="s">
        <v>101</v>
      </c>
      <c r="H304" s="8" t="s">
        <v>22</v>
      </c>
      <c r="I304" s="8" t="s">
        <v>225</v>
      </c>
      <c r="J304" s="8" t="s">
        <v>24</v>
      </c>
      <c r="K304" s="9">
        <v>0.25</v>
      </c>
      <c r="L304" s="9">
        <v>0.5</v>
      </c>
      <c r="M304" s="9">
        <v>0.5</v>
      </c>
      <c r="N304" s="10">
        <v>45227.0</v>
      </c>
      <c r="O304" s="11">
        <v>1.95</v>
      </c>
      <c r="P304" s="8" t="s">
        <v>30</v>
      </c>
      <c r="Q304" s="12">
        <f t="shared" si="1"/>
        <v>0.2375</v>
      </c>
      <c r="R304" s="12">
        <f t="shared" si="4"/>
        <v>12.03715158</v>
      </c>
    </row>
    <row r="305">
      <c r="A305" s="15">
        <f t="shared" si="12"/>
        <v>303</v>
      </c>
      <c r="B305" s="15" t="s">
        <v>19</v>
      </c>
      <c r="C305" s="15" t="s">
        <v>3753</v>
      </c>
      <c r="D305" s="15" t="s">
        <v>5565</v>
      </c>
      <c r="E305" s="15" t="s">
        <v>2660</v>
      </c>
      <c r="F305" s="15">
        <v>-1.0</v>
      </c>
      <c r="G305" s="15" t="s">
        <v>583</v>
      </c>
      <c r="H305" s="15" t="s">
        <v>22</v>
      </c>
      <c r="I305" s="15" t="s">
        <v>892</v>
      </c>
      <c r="J305" s="15" t="s">
        <v>24</v>
      </c>
      <c r="K305" s="16">
        <v>0.0</v>
      </c>
      <c r="L305" s="16">
        <v>0.5</v>
      </c>
      <c r="M305" s="16">
        <f>0.25+0.25*7/27</f>
        <v>0.3148148148</v>
      </c>
      <c r="N305" s="17">
        <v>45227.0</v>
      </c>
      <c r="O305" s="18">
        <v>1.95</v>
      </c>
      <c r="P305" s="15" t="s">
        <v>33</v>
      </c>
      <c r="Q305" s="19">
        <f t="shared" si="1"/>
        <v>0.2990740741</v>
      </c>
      <c r="R305" s="19">
        <f t="shared" si="4"/>
        <v>12.33622565</v>
      </c>
    </row>
    <row r="306">
      <c r="A306" s="8">
        <f t="shared" si="12"/>
        <v>304</v>
      </c>
      <c r="B306" s="8" t="s">
        <v>19</v>
      </c>
      <c r="C306" s="8" t="s">
        <v>3754</v>
      </c>
      <c r="D306" s="8" t="s">
        <v>5565</v>
      </c>
      <c r="E306" s="8" t="s">
        <v>2660</v>
      </c>
      <c r="F306" s="8">
        <v>0.0</v>
      </c>
      <c r="G306" s="8" t="s">
        <v>44</v>
      </c>
      <c r="H306" s="8" t="s">
        <v>22</v>
      </c>
      <c r="I306" s="8" t="s">
        <v>892</v>
      </c>
      <c r="J306" s="8" t="s">
        <v>24</v>
      </c>
      <c r="K306" s="9">
        <v>0.0</v>
      </c>
      <c r="L306" s="9">
        <v>0.75</v>
      </c>
      <c r="M306" s="9">
        <v>0.75</v>
      </c>
      <c r="N306" s="10">
        <v>45227.0</v>
      </c>
      <c r="O306" s="11">
        <v>1.925</v>
      </c>
      <c r="P306" s="8" t="s">
        <v>70</v>
      </c>
      <c r="Q306" s="12">
        <f t="shared" si="1"/>
        <v>0</v>
      </c>
      <c r="R306" s="12">
        <f t="shared" si="4"/>
        <v>12.33622565</v>
      </c>
    </row>
    <row r="307">
      <c r="A307" s="15">
        <f t="shared" si="12"/>
        <v>305</v>
      </c>
      <c r="B307" s="15" t="s">
        <v>19</v>
      </c>
      <c r="C307" s="15" t="s">
        <v>3755</v>
      </c>
      <c r="D307" s="15" t="s">
        <v>5565</v>
      </c>
      <c r="E307" s="15" t="s">
        <v>2660</v>
      </c>
      <c r="F307" s="15">
        <v>0.0</v>
      </c>
      <c r="G307" s="15" t="s">
        <v>66</v>
      </c>
      <c r="H307" s="15" t="s">
        <v>22</v>
      </c>
      <c r="I307" s="15" t="s">
        <v>892</v>
      </c>
      <c r="J307" s="15" t="s">
        <v>1522</v>
      </c>
      <c r="K307" s="16">
        <v>0.0</v>
      </c>
      <c r="L307" s="16">
        <v>0.5</v>
      </c>
      <c r="M307" s="16">
        <v>0.5</v>
      </c>
      <c r="N307" s="17">
        <v>45227.0</v>
      </c>
      <c r="O307" s="18">
        <v>1.85</v>
      </c>
      <c r="P307" s="15" t="s">
        <v>70</v>
      </c>
      <c r="Q307" s="19">
        <f t="shared" si="1"/>
        <v>0</v>
      </c>
      <c r="R307" s="19">
        <f t="shared" si="4"/>
        <v>12.33622565</v>
      </c>
    </row>
    <row r="308">
      <c r="A308" s="8">
        <f t="shared" si="12"/>
        <v>306</v>
      </c>
      <c r="B308" s="8" t="s">
        <v>19</v>
      </c>
      <c r="C308" s="8" t="s">
        <v>3756</v>
      </c>
      <c r="D308" s="8" t="s">
        <v>5565</v>
      </c>
      <c r="E308" s="8" t="s">
        <v>2660</v>
      </c>
      <c r="F308" s="8">
        <v>-1.0</v>
      </c>
      <c r="G308" s="8" t="s">
        <v>1025</v>
      </c>
      <c r="H308" s="8" t="s">
        <v>22</v>
      </c>
      <c r="I308" s="8" t="s">
        <v>892</v>
      </c>
      <c r="J308" s="8" t="s">
        <v>24</v>
      </c>
      <c r="K308" s="9">
        <v>0.0</v>
      </c>
      <c r="L308" s="9">
        <v>0.75</v>
      </c>
      <c r="M308" s="9">
        <v>0.75</v>
      </c>
      <c r="N308" s="10">
        <v>45227.0</v>
      </c>
      <c r="O308" s="11">
        <v>2.1</v>
      </c>
      <c r="P308" s="8" t="s">
        <v>70</v>
      </c>
      <c r="Q308" s="12">
        <f t="shared" si="1"/>
        <v>0</v>
      </c>
      <c r="R308" s="12">
        <f t="shared" si="4"/>
        <v>12.33622565</v>
      </c>
    </row>
    <row r="309">
      <c r="A309" s="15">
        <f t="shared" si="12"/>
        <v>307</v>
      </c>
      <c r="B309" s="15" t="s">
        <v>19</v>
      </c>
      <c r="C309" s="15" t="s">
        <v>3757</v>
      </c>
      <c r="D309" s="15" t="s">
        <v>5565</v>
      </c>
      <c r="E309" s="15" t="s">
        <v>2660</v>
      </c>
      <c r="F309" s="15">
        <v>0.0</v>
      </c>
      <c r="G309" s="15" t="s">
        <v>44</v>
      </c>
      <c r="H309" s="15" t="s">
        <v>22</v>
      </c>
      <c r="I309" s="15" t="s">
        <v>892</v>
      </c>
      <c r="J309" s="15" t="s">
        <v>24</v>
      </c>
      <c r="K309" s="16">
        <v>0.0</v>
      </c>
      <c r="L309" s="16">
        <v>0.5</v>
      </c>
      <c r="M309" s="16">
        <v>0.5</v>
      </c>
      <c r="N309" s="17">
        <v>45227.0</v>
      </c>
      <c r="O309" s="18">
        <v>1.9</v>
      </c>
      <c r="P309" s="15" t="s">
        <v>70</v>
      </c>
      <c r="Q309" s="19">
        <f t="shared" si="1"/>
        <v>0</v>
      </c>
      <c r="R309" s="19">
        <f t="shared" si="4"/>
        <v>12.33622565</v>
      </c>
    </row>
    <row r="310">
      <c r="A310" s="8">
        <f t="shared" si="12"/>
        <v>308</v>
      </c>
      <c r="B310" s="8" t="s">
        <v>19</v>
      </c>
      <c r="C310" s="8" t="s">
        <v>3758</v>
      </c>
      <c r="D310" s="8" t="s">
        <v>5564</v>
      </c>
      <c r="E310" s="8" t="s">
        <v>2556</v>
      </c>
      <c r="F310" s="8">
        <v>0.0</v>
      </c>
      <c r="G310" s="8" t="s">
        <v>93</v>
      </c>
      <c r="H310" s="8" t="s">
        <v>22</v>
      </c>
      <c r="I310" s="8" t="s">
        <v>225</v>
      </c>
      <c r="J310" s="8" t="s">
        <v>24</v>
      </c>
      <c r="K310" s="9">
        <v>0.5</v>
      </c>
      <c r="L310" s="9">
        <v>0.5</v>
      </c>
      <c r="M310" s="9">
        <v>0.5</v>
      </c>
      <c r="N310" s="10">
        <v>45227.0</v>
      </c>
      <c r="O310" s="11">
        <v>1.85</v>
      </c>
      <c r="P310" s="8" t="s">
        <v>33</v>
      </c>
      <c r="Q310" s="12">
        <f t="shared" si="1"/>
        <v>0.425</v>
      </c>
      <c r="R310" s="12">
        <f t="shared" si="4"/>
        <v>12.76122565</v>
      </c>
    </row>
    <row r="311">
      <c r="A311" s="15">
        <f t="shared" si="12"/>
        <v>309</v>
      </c>
      <c r="B311" s="15" t="s">
        <v>40</v>
      </c>
      <c r="C311" s="15" t="s">
        <v>3759</v>
      </c>
      <c r="D311" s="15" t="s">
        <v>5564</v>
      </c>
      <c r="E311" s="15"/>
      <c r="F311" s="15"/>
      <c r="G311" s="15" t="s">
        <v>2468</v>
      </c>
      <c r="H311" s="15" t="s">
        <v>22</v>
      </c>
      <c r="I311" s="15" t="s">
        <v>1165</v>
      </c>
      <c r="J311" s="15" t="s">
        <v>39</v>
      </c>
      <c r="K311" s="16"/>
      <c r="L311" s="16">
        <v>0.1</v>
      </c>
      <c r="M311" s="16">
        <v>0.1</v>
      </c>
      <c r="N311" s="17">
        <v>45227.0</v>
      </c>
      <c r="O311" s="18">
        <v>4.33</v>
      </c>
      <c r="P311" s="15" t="s">
        <v>25</v>
      </c>
      <c r="Q311" s="19">
        <f t="shared" si="1"/>
        <v>-0.1</v>
      </c>
      <c r="R311" s="19">
        <f t="shared" si="4"/>
        <v>12.66122565</v>
      </c>
    </row>
    <row r="312">
      <c r="A312" s="8">
        <f t="shared" si="12"/>
        <v>310</v>
      </c>
      <c r="B312" s="8" t="s">
        <v>40</v>
      </c>
      <c r="C312" s="8" t="s">
        <v>3760</v>
      </c>
      <c r="D312" s="8"/>
      <c r="E312" s="8"/>
      <c r="F312" s="8"/>
      <c r="G312" s="8" t="s">
        <v>2468</v>
      </c>
      <c r="H312" s="8" t="s">
        <v>22</v>
      </c>
      <c r="I312" s="8" t="s">
        <v>1847</v>
      </c>
      <c r="J312" s="8" t="s">
        <v>39</v>
      </c>
      <c r="K312" s="9">
        <v>0.5</v>
      </c>
      <c r="L312" s="9">
        <v>0.25</v>
      </c>
      <c r="M312" s="9">
        <v>0.25</v>
      </c>
      <c r="N312" s="10">
        <v>45227.0</v>
      </c>
      <c r="O312" s="11">
        <v>2.25</v>
      </c>
      <c r="P312" s="8" t="s">
        <v>25</v>
      </c>
      <c r="Q312" s="12">
        <f t="shared" si="1"/>
        <v>-0.25</v>
      </c>
      <c r="R312" s="12">
        <f t="shared" si="4"/>
        <v>12.41122565</v>
      </c>
    </row>
    <row r="313">
      <c r="A313" s="15">
        <f t="shared" si="12"/>
        <v>311</v>
      </c>
      <c r="B313" s="15" t="s">
        <v>19</v>
      </c>
      <c r="C313" s="15" t="s">
        <v>3761</v>
      </c>
      <c r="D313" s="15" t="s">
        <v>5565</v>
      </c>
      <c r="E313" s="15" t="s">
        <v>2660</v>
      </c>
      <c r="F313" s="15">
        <v>0.0</v>
      </c>
      <c r="G313" s="15" t="s">
        <v>60</v>
      </c>
      <c r="H313" s="15" t="s">
        <v>22</v>
      </c>
      <c r="I313" s="15" t="s">
        <v>1150</v>
      </c>
      <c r="J313" s="15" t="s">
        <v>24</v>
      </c>
      <c r="K313" s="16">
        <v>0.0</v>
      </c>
      <c r="L313" s="16">
        <v>0.75</v>
      </c>
      <c r="M313" s="16">
        <v>0.75</v>
      </c>
      <c r="N313" s="17">
        <v>45227.0</v>
      </c>
      <c r="O313" s="18">
        <v>1.95</v>
      </c>
      <c r="P313" s="15" t="s">
        <v>70</v>
      </c>
      <c r="Q313" s="19">
        <f t="shared" si="1"/>
        <v>0</v>
      </c>
      <c r="R313" s="19">
        <f t="shared" si="4"/>
        <v>12.41122565</v>
      </c>
    </row>
    <row r="314">
      <c r="A314" s="8">
        <f t="shared" si="12"/>
        <v>312</v>
      </c>
      <c r="B314" s="8" t="s">
        <v>19</v>
      </c>
      <c r="C314" s="8" t="s">
        <v>3762</v>
      </c>
      <c r="D314" s="8" t="s">
        <v>5565</v>
      </c>
      <c r="E314" s="8"/>
      <c r="F314" s="8">
        <v>0.0</v>
      </c>
      <c r="G314" s="8" t="s">
        <v>82</v>
      </c>
      <c r="H314" s="8" t="s">
        <v>22</v>
      </c>
      <c r="I314" s="8" t="s">
        <v>941</v>
      </c>
      <c r="J314" s="8" t="s">
        <v>3460</v>
      </c>
      <c r="K314" s="9">
        <v>0.5</v>
      </c>
      <c r="L314" s="9">
        <v>0.5</v>
      </c>
      <c r="M314" s="9">
        <v>0.5</v>
      </c>
      <c r="N314" s="10">
        <v>45227.0</v>
      </c>
      <c r="O314" s="11">
        <v>1.8</v>
      </c>
      <c r="P314" s="8" t="s">
        <v>70</v>
      </c>
      <c r="Q314" s="12">
        <f t="shared" si="1"/>
        <v>0</v>
      </c>
      <c r="R314" s="12">
        <f t="shared" si="4"/>
        <v>12.41122565</v>
      </c>
    </row>
    <row r="315">
      <c r="A315" s="15">
        <f t="shared" si="12"/>
        <v>313</v>
      </c>
      <c r="B315" s="15" t="s">
        <v>19</v>
      </c>
      <c r="C315" s="15" t="s">
        <v>3763</v>
      </c>
      <c r="D315" s="15" t="s">
        <v>5565</v>
      </c>
      <c r="E315" s="15" t="s">
        <v>3764</v>
      </c>
      <c r="F315" s="15">
        <v>0.0</v>
      </c>
      <c r="G315" s="15" t="s">
        <v>82</v>
      </c>
      <c r="H315" s="15" t="s">
        <v>22</v>
      </c>
      <c r="I315" s="15" t="s">
        <v>892</v>
      </c>
      <c r="J315" s="15" t="s">
        <v>1522</v>
      </c>
      <c r="K315" s="16">
        <v>0.0</v>
      </c>
      <c r="L315" s="16">
        <v>0.25</v>
      </c>
      <c r="M315" s="16">
        <v>0.25</v>
      </c>
      <c r="N315" s="17">
        <v>45227.0</v>
      </c>
      <c r="O315" s="18">
        <v>1.875</v>
      </c>
      <c r="P315" s="15" t="s">
        <v>70</v>
      </c>
      <c r="Q315" s="19">
        <f t="shared" si="1"/>
        <v>0</v>
      </c>
      <c r="R315" s="19">
        <f t="shared" si="4"/>
        <v>12.41122565</v>
      </c>
    </row>
    <row r="316">
      <c r="A316" s="8">
        <f t="shared" si="12"/>
        <v>314</v>
      </c>
      <c r="B316" s="8" t="s">
        <v>19</v>
      </c>
      <c r="C316" s="8" t="s">
        <v>3765</v>
      </c>
      <c r="D316" s="8" t="s">
        <v>5564</v>
      </c>
      <c r="E316" s="8" t="s">
        <v>2556</v>
      </c>
      <c r="F316" s="8">
        <v>0.0</v>
      </c>
      <c r="G316" s="8" t="s">
        <v>48</v>
      </c>
      <c r="H316" s="8" t="s">
        <v>22</v>
      </c>
      <c r="I316" s="8" t="s">
        <v>225</v>
      </c>
      <c r="J316" s="8" t="s">
        <v>24</v>
      </c>
      <c r="K316" s="9">
        <v>0.5</v>
      </c>
      <c r="L316" s="9">
        <v>0.5</v>
      </c>
      <c r="M316" s="9">
        <v>0.5</v>
      </c>
      <c r="N316" s="10">
        <v>45228.0</v>
      </c>
      <c r="O316" s="11">
        <v>1.276</v>
      </c>
      <c r="P316" s="8" t="s">
        <v>33</v>
      </c>
      <c r="Q316" s="12">
        <f t="shared" si="1"/>
        <v>0.138</v>
      </c>
      <c r="R316" s="12">
        <f t="shared" si="4"/>
        <v>12.54922565</v>
      </c>
    </row>
    <row r="317">
      <c r="A317" s="15">
        <f t="shared" si="12"/>
        <v>315</v>
      </c>
      <c r="B317" s="15" t="s">
        <v>19</v>
      </c>
      <c r="C317" s="15" t="s">
        <v>3766</v>
      </c>
      <c r="D317" s="15" t="s">
        <v>5564</v>
      </c>
      <c r="E317" s="15" t="s">
        <v>3764</v>
      </c>
      <c r="F317" s="15">
        <v>0.0</v>
      </c>
      <c r="G317" s="15" t="s">
        <v>93</v>
      </c>
      <c r="H317" s="15" t="s">
        <v>22</v>
      </c>
      <c r="I317" s="15" t="s">
        <v>892</v>
      </c>
      <c r="J317" s="15" t="s">
        <v>24</v>
      </c>
      <c r="K317" s="16">
        <v>0.0</v>
      </c>
      <c r="L317" s="16">
        <v>0.25</v>
      </c>
      <c r="M317" s="16">
        <v>0.25</v>
      </c>
      <c r="N317" s="17">
        <v>45228.0</v>
      </c>
      <c r="O317" s="18">
        <v>1.804</v>
      </c>
      <c r="P317" s="15" t="s">
        <v>33</v>
      </c>
      <c r="Q317" s="19">
        <f t="shared" si="1"/>
        <v>0.201</v>
      </c>
      <c r="R317" s="19">
        <f t="shared" si="4"/>
        <v>12.75022565</v>
      </c>
    </row>
    <row r="318">
      <c r="A318" s="8">
        <f t="shared" si="12"/>
        <v>316</v>
      </c>
      <c r="B318" s="8" t="s">
        <v>19</v>
      </c>
      <c r="C318" s="8" t="s">
        <v>3767</v>
      </c>
      <c r="D318" s="8" t="s">
        <v>5564</v>
      </c>
      <c r="E318" s="8"/>
      <c r="F318" s="8">
        <v>0.0</v>
      </c>
      <c r="G318" s="8" t="s">
        <v>93</v>
      </c>
      <c r="H318" s="8" t="s">
        <v>22</v>
      </c>
      <c r="I318" s="8" t="s">
        <v>941</v>
      </c>
      <c r="J318" s="8" t="s">
        <v>24</v>
      </c>
      <c r="K318" s="9">
        <v>0.0</v>
      </c>
      <c r="L318" s="9">
        <v>0.25</v>
      </c>
      <c r="M318" s="9">
        <v>0.25</v>
      </c>
      <c r="N318" s="10">
        <v>45228.0</v>
      </c>
      <c r="O318" s="11">
        <v>2.1</v>
      </c>
      <c r="P318" s="8" t="s">
        <v>33</v>
      </c>
      <c r="Q318" s="12">
        <f t="shared" si="1"/>
        <v>0.275</v>
      </c>
      <c r="R318" s="12">
        <f t="shared" si="4"/>
        <v>13.02522565</v>
      </c>
    </row>
    <row r="319">
      <c r="A319" s="15">
        <f t="shared" si="12"/>
        <v>317</v>
      </c>
      <c r="B319" s="15" t="s">
        <v>19</v>
      </c>
      <c r="C319" s="15" t="s">
        <v>3768</v>
      </c>
      <c r="D319" s="15"/>
      <c r="E319" s="15"/>
      <c r="F319" s="15">
        <v>0.0</v>
      </c>
      <c r="G319" s="15" t="s">
        <v>93</v>
      </c>
      <c r="H319" s="15" t="s">
        <v>22</v>
      </c>
      <c r="I319" s="15"/>
      <c r="J319" s="15" t="s">
        <v>24</v>
      </c>
      <c r="K319" s="124"/>
      <c r="L319" s="16">
        <v>0.1</v>
      </c>
      <c r="M319" s="16">
        <v>0.1</v>
      </c>
      <c r="N319" s="17">
        <v>45228.0</v>
      </c>
      <c r="O319" s="18">
        <v>1.8</v>
      </c>
      <c r="P319" s="15" t="s">
        <v>33</v>
      </c>
      <c r="Q319" s="19">
        <f t="shared" si="1"/>
        <v>0.08</v>
      </c>
      <c r="R319" s="19">
        <f t="shared" si="4"/>
        <v>13.10522565</v>
      </c>
    </row>
    <row r="320">
      <c r="A320" s="8">
        <f t="shared" si="12"/>
        <v>318</v>
      </c>
      <c r="B320" s="8" t="s">
        <v>19</v>
      </c>
      <c r="C320" s="8" t="s">
        <v>3769</v>
      </c>
      <c r="D320" s="8" t="s">
        <v>5564</v>
      </c>
      <c r="E320" s="8" t="s">
        <v>2660</v>
      </c>
      <c r="F320" s="8">
        <v>0.0</v>
      </c>
      <c r="G320" s="8" t="s">
        <v>93</v>
      </c>
      <c r="H320" s="8" t="s">
        <v>22</v>
      </c>
      <c r="I320" s="8" t="s">
        <v>892</v>
      </c>
      <c r="J320" s="8" t="s">
        <v>24</v>
      </c>
      <c r="K320" s="9">
        <v>0.0</v>
      </c>
      <c r="L320" s="9">
        <v>0.75</v>
      </c>
      <c r="M320" s="9">
        <v>0.75</v>
      </c>
      <c r="N320" s="10">
        <v>45228.0</v>
      </c>
      <c r="O320" s="11">
        <v>1.83</v>
      </c>
      <c r="P320" s="8" t="s">
        <v>33</v>
      </c>
      <c r="Q320" s="12">
        <f t="shared" si="1"/>
        <v>0.6225</v>
      </c>
      <c r="R320" s="12">
        <f t="shared" si="4"/>
        <v>13.72772565</v>
      </c>
    </row>
    <row r="321">
      <c r="A321" s="15">
        <f t="shared" si="12"/>
        <v>319</v>
      </c>
      <c r="B321" s="15" t="s">
        <v>19</v>
      </c>
      <c r="C321" s="15" t="s">
        <v>3770</v>
      </c>
      <c r="D321" s="15" t="s">
        <v>5564</v>
      </c>
      <c r="E321" s="15" t="s">
        <v>2556</v>
      </c>
      <c r="F321" s="15"/>
      <c r="G321" s="15" t="s">
        <v>93</v>
      </c>
      <c r="H321" s="15" t="s">
        <v>22</v>
      </c>
      <c r="I321" s="15" t="s">
        <v>941</v>
      </c>
      <c r="J321" s="15" t="s">
        <v>24</v>
      </c>
      <c r="K321" s="16">
        <v>0.0</v>
      </c>
      <c r="L321" s="16">
        <v>0.35</v>
      </c>
      <c r="M321" s="16">
        <f>0.1+0.25*8/19</f>
        <v>0.2052631579</v>
      </c>
      <c r="N321" s="17">
        <v>45228.0</v>
      </c>
      <c r="O321" s="18">
        <v>3.25</v>
      </c>
      <c r="P321" s="15" t="s">
        <v>25</v>
      </c>
      <c r="Q321" s="19">
        <f t="shared" si="1"/>
        <v>-0.2052631579</v>
      </c>
      <c r="R321" s="19">
        <f t="shared" si="4"/>
        <v>13.52246249</v>
      </c>
    </row>
    <row r="322">
      <c r="A322" s="8">
        <f t="shared" si="12"/>
        <v>320</v>
      </c>
      <c r="B322" s="8" t="s">
        <v>19</v>
      </c>
      <c r="C322" s="8" t="s">
        <v>3771</v>
      </c>
      <c r="D322" s="8" t="s">
        <v>5565</v>
      </c>
      <c r="E322" s="8"/>
      <c r="F322" s="8"/>
      <c r="G322" s="8" t="s">
        <v>93</v>
      </c>
      <c r="H322" s="8" t="s">
        <v>22</v>
      </c>
      <c r="I322" s="8"/>
      <c r="J322" s="8" t="s">
        <v>24</v>
      </c>
      <c r="K322" s="123"/>
      <c r="L322" s="9">
        <v>0.1</v>
      </c>
      <c r="M322" s="9">
        <v>0.1</v>
      </c>
      <c r="N322" s="10">
        <v>45228.0</v>
      </c>
      <c r="O322" s="11">
        <v>5.5</v>
      </c>
      <c r="P322" s="8" t="s">
        <v>25</v>
      </c>
      <c r="Q322" s="12">
        <f t="shared" si="1"/>
        <v>-0.1</v>
      </c>
      <c r="R322" s="12">
        <f t="shared" si="4"/>
        <v>13.42246249</v>
      </c>
    </row>
    <row r="323">
      <c r="A323" s="15">
        <f t="shared" si="12"/>
        <v>321</v>
      </c>
      <c r="B323" s="15" t="s">
        <v>19</v>
      </c>
      <c r="C323" s="15" t="s">
        <v>3772</v>
      </c>
      <c r="D323" s="15"/>
      <c r="E323" s="15"/>
      <c r="F323" s="15"/>
      <c r="G323" s="15" t="s">
        <v>115</v>
      </c>
      <c r="H323" s="15" t="s">
        <v>22</v>
      </c>
      <c r="I323" s="15" t="s">
        <v>440</v>
      </c>
      <c r="J323" s="15" t="s">
        <v>24</v>
      </c>
      <c r="K323" s="15">
        <v>2.75</v>
      </c>
      <c r="L323" s="16">
        <v>0.25</v>
      </c>
      <c r="M323" s="16">
        <v>0.25</v>
      </c>
      <c r="N323" s="17">
        <v>45228.0</v>
      </c>
      <c r="O323" s="18">
        <v>1.7</v>
      </c>
      <c r="P323" s="15" t="s">
        <v>25</v>
      </c>
      <c r="Q323" s="19">
        <f t="shared" si="1"/>
        <v>-0.25</v>
      </c>
      <c r="R323" s="19">
        <f t="shared" si="4"/>
        <v>13.17246249</v>
      </c>
    </row>
    <row r="324">
      <c r="A324" s="8">
        <f t="shared" si="12"/>
        <v>322</v>
      </c>
      <c r="B324" s="8" t="s">
        <v>19</v>
      </c>
      <c r="C324" s="8" t="s">
        <v>3773</v>
      </c>
      <c r="D324" s="8" t="s">
        <v>5564</v>
      </c>
      <c r="E324" s="8" t="s">
        <v>2660</v>
      </c>
      <c r="F324" s="8">
        <v>-1.0</v>
      </c>
      <c r="G324" s="8" t="s">
        <v>93</v>
      </c>
      <c r="H324" s="8" t="s">
        <v>22</v>
      </c>
      <c r="I324" s="8" t="s">
        <v>892</v>
      </c>
      <c r="J324" s="8" t="s">
        <v>24</v>
      </c>
      <c r="K324" s="9">
        <v>0.0</v>
      </c>
      <c r="L324" s="9">
        <v>0.5</v>
      </c>
      <c r="M324" s="9">
        <v>0.5</v>
      </c>
      <c r="N324" s="10">
        <v>45228.0</v>
      </c>
      <c r="O324" s="11">
        <v>2.2</v>
      </c>
      <c r="P324" s="8" t="s">
        <v>33</v>
      </c>
      <c r="Q324" s="12">
        <f t="shared" si="1"/>
        <v>0.6</v>
      </c>
      <c r="R324" s="12">
        <f t="shared" si="4"/>
        <v>13.77246249</v>
      </c>
    </row>
    <row r="325">
      <c r="A325" s="15">
        <f t="shared" si="12"/>
        <v>323</v>
      </c>
      <c r="B325" s="15" t="s">
        <v>19</v>
      </c>
      <c r="C325" s="15" t="s">
        <v>3774</v>
      </c>
      <c r="D325" s="15" t="s">
        <v>5564</v>
      </c>
      <c r="E325" s="15" t="s">
        <v>2556</v>
      </c>
      <c r="F325" s="15">
        <v>0.0</v>
      </c>
      <c r="G325" s="15" t="s">
        <v>99</v>
      </c>
      <c r="H325" s="15" t="s">
        <v>22</v>
      </c>
      <c r="I325" s="15" t="s">
        <v>225</v>
      </c>
      <c r="J325" s="15" t="s">
        <v>24</v>
      </c>
      <c r="K325" s="16">
        <v>0.5</v>
      </c>
      <c r="L325" s="16">
        <v>0.75</v>
      </c>
      <c r="M325" s="16">
        <v>0.75</v>
      </c>
      <c r="N325" s="17">
        <v>45228.0</v>
      </c>
      <c r="O325" s="15">
        <v>1.775</v>
      </c>
      <c r="P325" s="15" t="s">
        <v>25</v>
      </c>
      <c r="Q325" s="19">
        <f t="shared" si="1"/>
        <v>-0.75</v>
      </c>
      <c r="R325" s="19">
        <f t="shared" si="4"/>
        <v>13.02246249</v>
      </c>
    </row>
    <row r="326">
      <c r="A326" s="8">
        <f t="shared" si="12"/>
        <v>324</v>
      </c>
      <c r="B326" s="8" t="s">
        <v>19</v>
      </c>
      <c r="C326" s="8" t="s">
        <v>3775</v>
      </c>
      <c r="D326" s="8"/>
      <c r="E326" s="8"/>
      <c r="F326" s="8"/>
      <c r="G326" s="8" t="s">
        <v>93</v>
      </c>
      <c r="H326" s="8" t="s">
        <v>22</v>
      </c>
      <c r="I326" s="8" t="s">
        <v>29</v>
      </c>
      <c r="J326" s="8" t="s">
        <v>24</v>
      </c>
      <c r="K326" s="9">
        <v>-2.5</v>
      </c>
      <c r="L326" s="9">
        <v>0.5</v>
      </c>
      <c r="M326" s="9">
        <v>0.5</v>
      </c>
      <c r="N326" s="10">
        <v>45228.0</v>
      </c>
      <c r="O326" s="8">
        <v>1.775</v>
      </c>
      <c r="P326" s="8" t="s">
        <v>25</v>
      </c>
      <c r="Q326" s="12">
        <f t="shared" si="1"/>
        <v>-0.5</v>
      </c>
      <c r="R326" s="12">
        <f t="shared" si="4"/>
        <v>12.52246249</v>
      </c>
    </row>
    <row r="327">
      <c r="A327" s="15">
        <f t="shared" si="12"/>
        <v>325</v>
      </c>
      <c r="B327" s="15" t="s">
        <v>19</v>
      </c>
      <c r="C327" s="15" t="s">
        <v>3776</v>
      </c>
      <c r="D327" s="15" t="s">
        <v>5565</v>
      </c>
      <c r="E327" s="15" t="s">
        <v>2660</v>
      </c>
      <c r="F327" s="15">
        <v>-2.0</v>
      </c>
      <c r="G327" s="15" t="s">
        <v>99</v>
      </c>
      <c r="H327" s="15" t="s">
        <v>22</v>
      </c>
      <c r="I327" s="15" t="s">
        <v>892</v>
      </c>
      <c r="J327" s="15" t="s">
        <v>24</v>
      </c>
      <c r="K327" s="16">
        <v>0.0</v>
      </c>
      <c r="L327" s="16">
        <v>0.5</v>
      </c>
      <c r="M327" s="16">
        <v>0.5</v>
      </c>
      <c r="N327" s="17">
        <v>45228.0</v>
      </c>
      <c r="O327" s="15">
        <v>1.925</v>
      </c>
      <c r="P327" s="15" t="s">
        <v>70</v>
      </c>
      <c r="Q327" s="19">
        <f t="shared" si="1"/>
        <v>0</v>
      </c>
      <c r="R327" s="19">
        <f t="shared" si="4"/>
        <v>12.52246249</v>
      </c>
    </row>
    <row r="328">
      <c r="A328" s="8">
        <f t="shared" si="12"/>
        <v>326</v>
      </c>
      <c r="B328" s="8" t="s">
        <v>19</v>
      </c>
      <c r="C328" s="8" t="s">
        <v>3777</v>
      </c>
      <c r="D328" s="8" t="s">
        <v>5564</v>
      </c>
      <c r="E328" s="8" t="s">
        <v>2660</v>
      </c>
      <c r="F328" s="8">
        <f>1</f>
        <v>1</v>
      </c>
      <c r="G328" s="8" t="s">
        <v>48</v>
      </c>
      <c r="H328" s="8" t="s">
        <v>22</v>
      </c>
      <c r="I328" s="8" t="s">
        <v>892</v>
      </c>
      <c r="J328" s="8" t="s">
        <v>24</v>
      </c>
      <c r="K328" s="9">
        <v>0.0</v>
      </c>
      <c r="L328" s="9">
        <v>0.5</v>
      </c>
      <c r="M328" s="9">
        <v>0.5</v>
      </c>
      <c r="N328" s="10">
        <v>45228.0</v>
      </c>
      <c r="O328" s="11">
        <v>1.825</v>
      </c>
      <c r="P328" s="8" t="s">
        <v>70</v>
      </c>
      <c r="Q328" s="12">
        <f t="shared" si="1"/>
        <v>0</v>
      </c>
      <c r="R328" s="12">
        <f t="shared" si="4"/>
        <v>12.52246249</v>
      </c>
    </row>
    <row r="329">
      <c r="A329" s="15">
        <f t="shared" si="12"/>
        <v>327</v>
      </c>
      <c r="B329" s="15" t="s">
        <v>19</v>
      </c>
      <c r="C329" s="15" t="s">
        <v>3776</v>
      </c>
      <c r="D329" s="15" t="s">
        <v>5565</v>
      </c>
      <c r="E329" s="15" t="s">
        <v>2660</v>
      </c>
      <c r="F329" s="15">
        <v>-2.0</v>
      </c>
      <c r="G329" s="15" t="s">
        <v>99</v>
      </c>
      <c r="H329" s="15" t="s">
        <v>22</v>
      </c>
      <c r="I329" s="15" t="s">
        <v>892</v>
      </c>
      <c r="J329" s="15" t="s">
        <v>24</v>
      </c>
      <c r="K329" s="16">
        <v>0.0</v>
      </c>
      <c r="L329" s="16">
        <v>0.25</v>
      </c>
      <c r="M329" s="16">
        <v>0.25</v>
      </c>
      <c r="N329" s="17">
        <v>45228.0</v>
      </c>
      <c r="O329" s="18">
        <v>1.925</v>
      </c>
      <c r="P329" s="15" t="s">
        <v>70</v>
      </c>
      <c r="Q329" s="19">
        <f t="shared" si="1"/>
        <v>0</v>
      </c>
      <c r="R329" s="19">
        <f t="shared" si="4"/>
        <v>12.52246249</v>
      </c>
    </row>
    <row r="330">
      <c r="A330" s="8">
        <f t="shared" si="12"/>
        <v>328</v>
      </c>
      <c r="B330" s="8" t="s">
        <v>19</v>
      </c>
      <c r="C330" s="8" t="s">
        <v>3778</v>
      </c>
      <c r="D330" s="8" t="s">
        <v>5565</v>
      </c>
      <c r="E330" s="8" t="s">
        <v>2556</v>
      </c>
      <c r="F330" s="8">
        <v>-2.0</v>
      </c>
      <c r="G330" s="8" t="s">
        <v>1031</v>
      </c>
      <c r="H330" s="8" t="s">
        <v>22</v>
      </c>
      <c r="I330" s="8" t="s">
        <v>225</v>
      </c>
      <c r="J330" s="8" t="s">
        <v>24</v>
      </c>
      <c r="K330" s="9">
        <v>0.5</v>
      </c>
      <c r="L330" s="9">
        <v>0.5</v>
      </c>
      <c r="M330" s="9">
        <v>0.5</v>
      </c>
      <c r="N330" s="10">
        <v>45228.0</v>
      </c>
      <c r="O330" s="11">
        <v>1.725</v>
      </c>
      <c r="P330" s="8" t="s">
        <v>33</v>
      </c>
      <c r="Q330" s="12">
        <f t="shared" si="1"/>
        <v>0.3625</v>
      </c>
      <c r="R330" s="12">
        <f t="shared" si="4"/>
        <v>12.88496249</v>
      </c>
    </row>
    <row r="331">
      <c r="A331" s="15">
        <f t="shared" si="12"/>
        <v>329</v>
      </c>
      <c r="B331" s="15" t="s">
        <v>19</v>
      </c>
      <c r="C331" s="15" t="s">
        <v>3779</v>
      </c>
      <c r="D331" s="15"/>
      <c r="E331" s="15"/>
      <c r="F331" s="15"/>
      <c r="G331" s="15" t="s">
        <v>768</v>
      </c>
      <c r="H331" s="15" t="s">
        <v>598</v>
      </c>
      <c r="I331" s="15"/>
      <c r="J331" s="15" t="s">
        <v>24</v>
      </c>
      <c r="K331" s="16">
        <v>75.0</v>
      </c>
      <c r="L331" s="16">
        <v>0.1</v>
      </c>
      <c r="M331" s="16">
        <v>0.1</v>
      </c>
      <c r="N331" s="17">
        <v>45228.0</v>
      </c>
      <c r="O331" s="18">
        <v>4.1</v>
      </c>
      <c r="P331" s="15" t="s">
        <v>25</v>
      </c>
      <c r="Q331" s="19">
        <f t="shared" si="1"/>
        <v>-0.1</v>
      </c>
      <c r="R331" s="19">
        <f t="shared" si="4"/>
        <v>12.78496249</v>
      </c>
    </row>
    <row r="332">
      <c r="A332" s="8">
        <f t="shared" si="12"/>
        <v>330</v>
      </c>
      <c r="B332" s="8" t="s">
        <v>19</v>
      </c>
      <c r="C332" s="8" t="s">
        <v>3780</v>
      </c>
      <c r="D332" s="8" t="s">
        <v>3781</v>
      </c>
      <c r="E332" s="8" t="s">
        <v>2660</v>
      </c>
      <c r="F332" s="8">
        <v>0.0</v>
      </c>
      <c r="G332" s="8" t="s">
        <v>44</v>
      </c>
      <c r="H332" s="8" t="s">
        <v>22</v>
      </c>
      <c r="I332" s="8" t="s">
        <v>892</v>
      </c>
      <c r="J332" s="8" t="s">
        <v>24</v>
      </c>
      <c r="K332" s="9">
        <v>0.0</v>
      </c>
      <c r="L332" s="9">
        <v>0.3</v>
      </c>
      <c r="M332" s="9">
        <v>0.0</v>
      </c>
      <c r="N332" s="10">
        <v>45228.0</v>
      </c>
      <c r="O332" s="11">
        <v>1.675</v>
      </c>
      <c r="P332" s="8" t="s">
        <v>70</v>
      </c>
      <c r="Q332" s="12">
        <f t="shared" si="1"/>
        <v>0</v>
      </c>
      <c r="R332" s="12">
        <f t="shared" si="4"/>
        <v>12.78496249</v>
      </c>
    </row>
    <row r="333">
      <c r="A333" s="15">
        <f t="shared" si="12"/>
        <v>331</v>
      </c>
      <c r="B333" s="15" t="s">
        <v>19</v>
      </c>
      <c r="C333" s="15" t="s">
        <v>3782</v>
      </c>
      <c r="D333" s="15"/>
      <c r="E333" s="15"/>
      <c r="F333" s="15"/>
      <c r="G333" s="15" t="s">
        <v>82</v>
      </c>
      <c r="H333" s="15" t="s">
        <v>598</v>
      </c>
      <c r="I333" s="15" t="s">
        <v>440</v>
      </c>
      <c r="J333" s="15" t="s">
        <v>39</v>
      </c>
      <c r="K333" s="15">
        <v>2.25</v>
      </c>
      <c r="L333" s="16">
        <v>0.25</v>
      </c>
      <c r="M333" s="16">
        <v>0.25</v>
      </c>
      <c r="N333" s="17">
        <v>45228.0</v>
      </c>
      <c r="O333" s="18">
        <v>1.95</v>
      </c>
      <c r="P333" s="15" t="s">
        <v>79</v>
      </c>
      <c r="Q333" s="19">
        <f t="shared" si="1"/>
        <v>-0.125</v>
      </c>
      <c r="R333" s="19">
        <f t="shared" si="4"/>
        <v>12.65996249</v>
      </c>
    </row>
    <row r="334">
      <c r="A334" s="8">
        <f t="shared" si="12"/>
        <v>332</v>
      </c>
      <c r="B334" s="8" t="s">
        <v>19</v>
      </c>
      <c r="C334" s="8" t="s">
        <v>3783</v>
      </c>
      <c r="D334" s="8" t="s">
        <v>5564</v>
      </c>
      <c r="E334" s="8" t="s">
        <v>2660</v>
      </c>
      <c r="F334" s="8">
        <v>0.0</v>
      </c>
      <c r="G334" s="8" t="s">
        <v>44</v>
      </c>
      <c r="H334" s="8" t="s">
        <v>22</v>
      </c>
      <c r="I334" s="8" t="s">
        <v>892</v>
      </c>
      <c r="J334" s="8" t="s">
        <v>24</v>
      </c>
      <c r="K334" s="9">
        <v>0.0</v>
      </c>
      <c r="L334" s="9">
        <v>0.75</v>
      </c>
      <c r="M334" s="9">
        <v>0.75</v>
      </c>
      <c r="N334" s="10">
        <v>45228.0</v>
      </c>
      <c r="O334" s="11">
        <v>1.69</v>
      </c>
      <c r="P334" s="8" t="s">
        <v>33</v>
      </c>
      <c r="Q334" s="12">
        <f t="shared" si="1"/>
        <v>0.5175</v>
      </c>
      <c r="R334" s="12">
        <f t="shared" si="4"/>
        <v>13.17746249</v>
      </c>
    </row>
    <row r="335">
      <c r="A335" s="15">
        <f t="shared" si="12"/>
        <v>333</v>
      </c>
      <c r="B335" s="15" t="s">
        <v>19</v>
      </c>
      <c r="C335" s="15" t="s">
        <v>3784</v>
      </c>
      <c r="D335" s="15" t="s">
        <v>5564</v>
      </c>
      <c r="E335" s="15" t="s">
        <v>2556</v>
      </c>
      <c r="F335" s="15">
        <v>0.0</v>
      </c>
      <c r="G335" s="15" t="s">
        <v>44</v>
      </c>
      <c r="H335" s="15" t="s">
        <v>22</v>
      </c>
      <c r="I335" s="15" t="s">
        <v>941</v>
      </c>
      <c r="J335" s="15" t="s">
        <v>24</v>
      </c>
      <c r="K335" s="16">
        <v>0.0</v>
      </c>
      <c r="L335" s="16">
        <v>0.25</v>
      </c>
      <c r="M335" s="16">
        <v>0.25</v>
      </c>
      <c r="N335" s="17">
        <v>45228.0</v>
      </c>
      <c r="O335" s="18">
        <v>1.69</v>
      </c>
      <c r="P335" s="15" t="s">
        <v>33</v>
      </c>
      <c r="Q335" s="19">
        <f t="shared" si="1"/>
        <v>0.1725</v>
      </c>
      <c r="R335" s="19">
        <f t="shared" si="4"/>
        <v>13.34996249</v>
      </c>
    </row>
    <row r="336">
      <c r="A336" s="8">
        <f t="shared" si="12"/>
        <v>334</v>
      </c>
      <c r="B336" s="8" t="s">
        <v>19</v>
      </c>
      <c r="C336" s="8" t="s">
        <v>3785</v>
      </c>
      <c r="D336" s="8" t="s">
        <v>5565</v>
      </c>
      <c r="E336" s="8" t="s">
        <v>2660</v>
      </c>
      <c r="F336" s="8">
        <v>-1.0</v>
      </c>
      <c r="G336" s="8" t="s">
        <v>1031</v>
      </c>
      <c r="H336" s="8" t="s">
        <v>22</v>
      </c>
      <c r="I336" s="8" t="s">
        <v>892</v>
      </c>
      <c r="J336" s="8" t="s">
        <v>24</v>
      </c>
      <c r="K336" s="9">
        <v>0.0</v>
      </c>
      <c r="L336" s="9">
        <v>0.25</v>
      </c>
      <c r="M336" s="9">
        <v>0.25</v>
      </c>
      <c r="N336" s="10">
        <v>45228.0</v>
      </c>
      <c r="O336" s="11">
        <v>2.55</v>
      </c>
      <c r="P336" s="8" t="s">
        <v>70</v>
      </c>
      <c r="Q336" s="12">
        <f t="shared" si="1"/>
        <v>0</v>
      </c>
      <c r="R336" s="12">
        <f t="shared" si="4"/>
        <v>13.34996249</v>
      </c>
    </row>
    <row r="337">
      <c r="A337" s="15">
        <f t="shared" si="12"/>
        <v>335</v>
      </c>
      <c r="B337" s="15" t="s">
        <v>19</v>
      </c>
      <c r="C337" s="15" t="s">
        <v>3786</v>
      </c>
      <c r="D337" s="15"/>
      <c r="E337" s="15"/>
      <c r="F337" s="15"/>
      <c r="G337" s="15" t="s">
        <v>82</v>
      </c>
      <c r="H337" s="15" t="s">
        <v>22</v>
      </c>
      <c r="I337" s="15" t="s">
        <v>440</v>
      </c>
      <c r="J337" s="15" t="s">
        <v>39</v>
      </c>
      <c r="K337" s="16">
        <v>4.0</v>
      </c>
      <c r="L337" s="16">
        <v>0.35</v>
      </c>
      <c r="M337" s="16">
        <v>0.35</v>
      </c>
      <c r="N337" s="17">
        <v>45228.0</v>
      </c>
      <c r="O337" s="18">
        <v>1.625</v>
      </c>
      <c r="P337" s="15" t="s">
        <v>33</v>
      </c>
      <c r="Q337" s="19">
        <f t="shared" si="1"/>
        <v>0.21875</v>
      </c>
      <c r="R337" s="19">
        <f t="shared" si="4"/>
        <v>13.56871249</v>
      </c>
    </row>
    <row r="338">
      <c r="A338" s="8">
        <f t="shared" si="12"/>
        <v>336</v>
      </c>
      <c r="B338" s="8" t="s">
        <v>19</v>
      </c>
      <c r="C338" s="8" t="s">
        <v>3787</v>
      </c>
      <c r="D338" s="8"/>
      <c r="E338" s="8"/>
      <c r="F338" s="8"/>
      <c r="G338" s="8" t="s">
        <v>229</v>
      </c>
      <c r="H338" s="8" t="s">
        <v>22</v>
      </c>
      <c r="I338" s="8" t="s">
        <v>29</v>
      </c>
      <c r="J338" s="8" t="s">
        <v>24</v>
      </c>
      <c r="K338" s="9">
        <v>-4.5</v>
      </c>
      <c r="L338" s="9">
        <v>0.15</v>
      </c>
      <c r="M338" s="9">
        <v>0.15</v>
      </c>
      <c r="N338" s="10">
        <v>45230.0</v>
      </c>
      <c r="O338" s="11">
        <v>1.875</v>
      </c>
      <c r="P338" s="8" t="s">
        <v>25</v>
      </c>
      <c r="Q338" s="12">
        <f t="shared" si="1"/>
        <v>-0.15</v>
      </c>
      <c r="R338" s="12">
        <f t="shared" si="4"/>
        <v>13.41871249</v>
      </c>
    </row>
    <row r="339">
      <c r="A339" s="15">
        <f t="shared" si="12"/>
        <v>337</v>
      </c>
      <c r="B339" s="15" t="s">
        <v>19</v>
      </c>
      <c r="C339" s="15" t="s">
        <v>3788</v>
      </c>
      <c r="D339" s="15"/>
      <c r="E339" s="15"/>
      <c r="F339" s="15"/>
      <c r="G339" s="15" t="s">
        <v>229</v>
      </c>
      <c r="H339" s="15" t="s">
        <v>22</v>
      </c>
      <c r="I339" s="15" t="s">
        <v>23</v>
      </c>
      <c r="J339" s="15" t="s">
        <v>24</v>
      </c>
      <c r="K339" s="16">
        <v>-12.0</v>
      </c>
      <c r="L339" s="16">
        <v>0.15</v>
      </c>
      <c r="M339" s="16">
        <v>0.15</v>
      </c>
      <c r="N339" s="17">
        <v>45230.0</v>
      </c>
      <c r="O339" s="18">
        <v>2.01</v>
      </c>
      <c r="P339" s="15" t="s">
        <v>33</v>
      </c>
      <c r="Q339" s="19">
        <f t="shared" si="1"/>
        <v>0.1515</v>
      </c>
      <c r="R339" s="19">
        <f t="shared" si="4"/>
        <v>13.57021249</v>
      </c>
    </row>
    <row r="340">
      <c r="A340" s="8">
        <f t="shared" si="12"/>
        <v>338</v>
      </c>
      <c r="B340" s="8" t="s">
        <v>19</v>
      </c>
      <c r="C340" s="8" t="s">
        <v>3789</v>
      </c>
      <c r="D340" s="8" t="s">
        <v>5565</v>
      </c>
      <c r="E340" s="8" t="s">
        <v>2660</v>
      </c>
      <c r="F340" s="8">
        <v>-1.0</v>
      </c>
      <c r="G340" s="8" t="s">
        <v>1031</v>
      </c>
      <c r="H340" s="8" t="s">
        <v>22</v>
      </c>
      <c r="I340" s="8" t="s">
        <v>892</v>
      </c>
      <c r="J340" s="8" t="s">
        <v>24</v>
      </c>
      <c r="K340" s="9">
        <v>0.0</v>
      </c>
      <c r="L340" s="9">
        <v>0.5</v>
      </c>
      <c r="M340" s="9">
        <v>0.5</v>
      </c>
      <c r="N340" s="10">
        <v>45230.0</v>
      </c>
      <c r="O340" s="11">
        <v>1.7</v>
      </c>
      <c r="P340" s="8" t="s">
        <v>33</v>
      </c>
      <c r="Q340" s="12">
        <f t="shared" si="1"/>
        <v>0.35</v>
      </c>
      <c r="R340" s="12">
        <f t="shared" si="4"/>
        <v>13.92021249</v>
      </c>
    </row>
    <row r="341">
      <c r="A341" s="15">
        <f t="shared" si="12"/>
        <v>339</v>
      </c>
      <c r="B341" s="15" t="s">
        <v>40</v>
      </c>
      <c r="C341" s="15" t="s">
        <v>3790</v>
      </c>
      <c r="D341" s="15" t="s">
        <v>5565</v>
      </c>
      <c r="E341" s="15" t="s">
        <v>2556</v>
      </c>
      <c r="F341" s="15">
        <v>0.0</v>
      </c>
      <c r="G341" s="15" t="s">
        <v>182</v>
      </c>
      <c r="H341" s="15" t="s">
        <v>22</v>
      </c>
      <c r="I341" s="15" t="s">
        <v>225</v>
      </c>
      <c r="J341" s="15" t="s">
        <v>1522</v>
      </c>
      <c r="K341" s="15">
        <v>0.25</v>
      </c>
      <c r="L341" s="16">
        <v>0.5</v>
      </c>
      <c r="M341" s="16">
        <v>0.5</v>
      </c>
      <c r="N341" s="17">
        <v>45230.0</v>
      </c>
      <c r="O341" s="18">
        <f>(1.775+1.61)/2</f>
        <v>1.6925</v>
      </c>
      <c r="P341" s="15" t="s">
        <v>33</v>
      </c>
      <c r="Q341" s="19">
        <f t="shared" si="1"/>
        <v>0.34625</v>
      </c>
      <c r="R341" s="19">
        <f t="shared" si="4"/>
        <v>14.26646249</v>
      </c>
    </row>
    <row r="342">
      <c r="A342" s="8">
        <f t="shared" si="12"/>
        <v>340</v>
      </c>
      <c r="B342" s="8"/>
      <c r="C342" s="8"/>
      <c r="D342" s="8"/>
      <c r="E342" s="8"/>
      <c r="F342" s="8"/>
      <c r="G342" s="8"/>
      <c r="H342" s="8"/>
      <c r="I342" s="8"/>
      <c r="J342" s="8"/>
      <c r="K342" s="123"/>
      <c r="L342" s="9"/>
      <c r="M342" s="9"/>
      <c r="N342" s="10"/>
      <c r="O342" s="11"/>
      <c r="P342" s="8"/>
      <c r="Q342" s="12" t="str">
        <f t="shared" si="1"/>
        <v/>
      </c>
      <c r="R342" s="12">
        <f t="shared" si="4"/>
        <v>14.26646249</v>
      </c>
    </row>
    <row r="343">
      <c r="A343" s="15">
        <f t="shared" si="12"/>
        <v>341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24"/>
      <c r="L343" s="16"/>
      <c r="M343" s="16"/>
      <c r="N343" s="17"/>
      <c r="O343" s="18"/>
      <c r="P343" s="15"/>
      <c r="Q343" s="19" t="str">
        <f t="shared" si="1"/>
        <v/>
      </c>
      <c r="R343" s="19">
        <f t="shared" si="4"/>
        <v>14.26646249</v>
      </c>
    </row>
    <row r="344">
      <c r="A344" s="8">
        <f t="shared" si="12"/>
        <v>342</v>
      </c>
      <c r="B344" s="8"/>
      <c r="C344" s="8"/>
      <c r="D344" s="8"/>
      <c r="E344" s="8"/>
      <c r="F344" s="8"/>
      <c r="G344" s="8"/>
      <c r="H344" s="8"/>
      <c r="I344" s="8"/>
      <c r="J344" s="8"/>
      <c r="K344" s="123"/>
      <c r="L344" s="9"/>
      <c r="M344" s="9"/>
      <c r="N344" s="10"/>
      <c r="O344" s="11"/>
      <c r="P344" s="8"/>
      <c r="Q344" s="12" t="str">
        <f t="shared" si="1"/>
        <v/>
      </c>
      <c r="R344" s="12">
        <f t="shared" si="4"/>
        <v>14.26646249</v>
      </c>
    </row>
    <row r="345">
      <c r="A345" s="15">
        <f t="shared" si="12"/>
        <v>343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24"/>
      <c r="L345" s="16"/>
      <c r="M345" s="16"/>
      <c r="N345" s="17"/>
      <c r="O345" s="18"/>
      <c r="P345" s="15"/>
      <c r="Q345" s="19" t="str">
        <f t="shared" si="1"/>
        <v/>
      </c>
      <c r="R345" s="19">
        <f t="shared" si="4"/>
        <v>14.26646249</v>
      </c>
    </row>
    <row r="346">
      <c r="A346" s="8">
        <f t="shared" si="12"/>
        <v>344</v>
      </c>
      <c r="B346" s="8"/>
      <c r="C346" s="8"/>
      <c r="D346" s="8"/>
      <c r="E346" s="8"/>
      <c r="F346" s="8"/>
      <c r="G346" s="8"/>
      <c r="H346" s="8"/>
      <c r="I346" s="8"/>
      <c r="J346" s="8"/>
      <c r="K346" s="123"/>
      <c r="L346" s="9"/>
      <c r="M346" s="9"/>
      <c r="N346" s="10"/>
      <c r="O346" s="11"/>
      <c r="P346" s="8"/>
      <c r="Q346" s="12" t="str">
        <f t="shared" si="1"/>
        <v/>
      </c>
      <c r="R346" s="12">
        <f t="shared" si="4"/>
        <v>14.26646249</v>
      </c>
    </row>
    <row r="347">
      <c r="A347" s="15">
        <f t="shared" si="12"/>
        <v>345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24"/>
      <c r="L347" s="16"/>
      <c r="M347" s="16"/>
      <c r="N347" s="17"/>
      <c r="O347" s="18"/>
      <c r="P347" s="15"/>
      <c r="Q347" s="19" t="str">
        <f t="shared" si="1"/>
        <v/>
      </c>
      <c r="R347" s="19">
        <f t="shared" si="4"/>
        <v>14.26646249</v>
      </c>
    </row>
    <row r="348">
      <c r="A348" s="8">
        <f t="shared" si="12"/>
        <v>346</v>
      </c>
      <c r="B348" s="8"/>
      <c r="C348" s="8"/>
      <c r="D348" s="8"/>
      <c r="E348" s="8"/>
      <c r="F348" s="8"/>
      <c r="G348" s="8"/>
      <c r="H348" s="8"/>
      <c r="I348" s="8"/>
      <c r="J348" s="8"/>
      <c r="K348" s="123"/>
      <c r="L348" s="9"/>
      <c r="M348" s="9"/>
      <c r="N348" s="10"/>
      <c r="O348" s="11"/>
      <c r="P348" s="8"/>
      <c r="Q348" s="12" t="str">
        <f t="shared" si="1"/>
        <v/>
      </c>
      <c r="R348" s="12">
        <f t="shared" si="4"/>
        <v>14.26646249</v>
      </c>
    </row>
    <row r="349">
      <c r="A349" s="15">
        <f t="shared" si="12"/>
        <v>347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24"/>
      <c r="L349" s="16"/>
      <c r="M349" s="16"/>
      <c r="N349" s="17"/>
      <c r="O349" s="18"/>
      <c r="P349" s="15"/>
      <c r="Q349" s="19" t="str">
        <f t="shared" si="1"/>
        <v/>
      </c>
      <c r="R349" s="19">
        <f t="shared" si="4"/>
        <v>14.26646249</v>
      </c>
    </row>
    <row r="350">
      <c r="A350" s="8">
        <f t="shared" si="12"/>
        <v>348</v>
      </c>
      <c r="B350" s="8"/>
      <c r="C350" s="8"/>
      <c r="D350" s="8"/>
      <c r="E350" s="8"/>
      <c r="F350" s="8"/>
      <c r="G350" s="8"/>
      <c r="H350" s="8"/>
      <c r="I350" s="8"/>
      <c r="J350" s="8"/>
      <c r="K350" s="123"/>
      <c r="L350" s="9"/>
      <c r="M350" s="9"/>
      <c r="N350" s="10"/>
      <c r="O350" s="11"/>
      <c r="P350" s="8"/>
      <c r="Q350" s="12" t="str">
        <f t="shared" si="1"/>
        <v/>
      </c>
      <c r="R350" s="12">
        <f t="shared" si="4"/>
        <v>14.26646249</v>
      </c>
    </row>
    <row r="351">
      <c r="A351" s="15">
        <f t="shared" si="12"/>
        <v>349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24"/>
      <c r="L351" s="16"/>
      <c r="M351" s="16"/>
      <c r="N351" s="17"/>
      <c r="O351" s="18"/>
      <c r="P351" s="15"/>
      <c r="Q351" s="19" t="str">
        <f t="shared" si="1"/>
        <v/>
      </c>
      <c r="R351" s="19">
        <f t="shared" si="4"/>
        <v>14.26646249</v>
      </c>
    </row>
    <row r="352">
      <c r="A352" s="8">
        <f t="shared" si="12"/>
        <v>350</v>
      </c>
      <c r="B352" s="8"/>
      <c r="C352" s="8"/>
      <c r="D352" s="8"/>
      <c r="E352" s="8"/>
      <c r="F352" s="8"/>
      <c r="G352" s="8"/>
      <c r="H352" s="8"/>
      <c r="I352" s="8"/>
      <c r="J352" s="8"/>
      <c r="K352" s="123"/>
      <c r="L352" s="9"/>
      <c r="M352" s="9"/>
      <c r="N352" s="10"/>
      <c r="O352" s="11"/>
      <c r="P352" s="8"/>
      <c r="Q352" s="12" t="str">
        <f t="shared" si="1"/>
        <v/>
      </c>
      <c r="R352" s="12">
        <f t="shared" si="4"/>
        <v>14.26646249</v>
      </c>
    </row>
    <row r="353">
      <c r="A353" s="15">
        <f t="shared" si="12"/>
        <v>351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24"/>
      <c r="L353" s="16"/>
      <c r="M353" s="16"/>
      <c r="N353" s="17"/>
      <c r="O353" s="18"/>
      <c r="P353" s="15"/>
      <c r="Q353" s="19" t="str">
        <f t="shared" si="1"/>
        <v/>
      </c>
      <c r="R353" s="19">
        <f t="shared" si="4"/>
        <v>14.26646249</v>
      </c>
    </row>
    <row r="354">
      <c r="A354" s="8">
        <f t="shared" si="12"/>
        <v>352</v>
      </c>
      <c r="B354" s="8"/>
      <c r="C354" s="8"/>
      <c r="D354" s="8"/>
      <c r="E354" s="8"/>
      <c r="F354" s="8"/>
      <c r="G354" s="8"/>
      <c r="H354" s="8"/>
      <c r="I354" s="8"/>
      <c r="J354" s="8"/>
      <c r="K354" s="123"/>
      <c r="L354" s="9"/>
      <c r="M354" s="9"/>
      <c r="N354" s="10"/>
      <c r="O354" s="11"/>
      <c r="P354" s="8"/>
      <c r="Q354" s="12" t="str">
        <f t="shared" si="1"/>
        <v/>
      </c>
      <c r="R354" s="12">
        <f t="shared" si="4"/>
        <v>14.26646249</v>
      </c>
    </row>
    <row r="355">
      <c r="A355" s="15">
        <f t="shared" si="12"/>
        <v>353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24"/>
      <c r="L355" s="16"/>
      <c r="M355" s="16"/>
      <c r="N355" s="17"/>
      <c r="O355" s="18"/>
      <c r="P355" s="15"/>
      <c r="Q355" s="19" t="str">
        <f t="shared" si="1"/>
        <v/>
      </c>
      <c r="R355" s="19">
        <f t="shared" si="4"/>
        <v>14.26646249</v>
      </c>
    </row>
    <row r="356">
      <c r="A356" s="8">
        <f t="shared" si="12"/>
        <v>354</v>
      </c>
      <c r="B356" s="8"/>
      <c r="C356" s="8"/>
      <c r="D356" s="8"/>
      <c r="E356" s="8"/>
      <c r="F356" s="8"/>
      <c r="G356" s="8"/>
      <c r="H356" s="8"/>
      <c r="I356" s="8"/>
      <c r="J356" s="8"/>
      <c r="K356" s="123"/>
      <c r="L356" s="9"/>
      <c r="M356" s="9"/>
      <c r="N356" s="10"/>
      <c r="O356" s="11"/>
      <c r="P356" s="8"/>
      <c r="Q356" s="12" t="str">
        <f t="shared" si="1"/>
        <v/>
      </c>
      <c r="R356" s="12">
        <f t="shared" si="4"/>
        <v>14.26646249</v>
      </c>
    </row>
    <row r="357">
      <c r="A357" s="15">
        <f t="shared" si="12"/>
        <v>355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24"/>
      <c r="L357" s="16"/>
      <c r="M357" s="16"/>
      <c r="N357" s="17"/>
      <c r="O357" s="18"/>
      <c r="P357" s="15"/>
      <c r="Q357" s="19" t="str">
        <f t="shared" si="1"/>
        <v/>
      </c>
      <c r="R357" s="19">
        <f t="shared" si="4"/>
        <v>14.26646249</v>
      </c>
    </row>
    <row r="358">
      <c r="A358" s="8">
        <f t="shared" si="12"/>
        <v>356</v>
      </c>
      <c r="B358" s="8"/>
      <c r="C358" s="8"/>
      <c r="D358" s="8"/>
      <c r="E358" s="8"/>
      <c r="F358" s="8"/>
      <c r="G358" s="8"/>
      <c r="H358" s="8"/>
      <c r="I358" s="8"/>
      <c r="J358" s="8"/>
      <c r="K358" s="123"/>
      <c r="L358" s="9"/>
      <c r="M358" s="9"/>
      <c r="N358" s="10"/>
      <c r="O358" s="11"/>
      <c r="P358" s="8"/>
      <c r="Q358" s="12" t="str">
        <f t="shared" si="1"/>
        <v/>
      </c>
      <c r="R358" s="123"/>
    </row>
    <row r="359">
      <c r="A359" s="15">
        <f t="shared" si="12"/>
        <v>357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24"/>
      <c r="L359" s="16"/>
      <c r="M359" s="16"/>
      <c r="N359" s="17"/>
      <c r="O359" s="18"/>
      <c r="P359" s="15"/>
      <c r="Q359" s="19" t="str">
        <f t="shared" si="1"/>
        <v/>
      </c>
      <c r="R359" s="124"/>
    </row>
    <row r="360">
      <c r="A360" s="8">
        <f t="shared" si="12"/>
        <v>358</v>
      </c>
      <c r="B360" s="8"/>
      <c r="C360" s="8"/>
      <c r="D360" s="8"/>
      <c r="E360" s="8"/>
      <c r="F360" s="8"/>
      <c r="G360" s="8"/>
      <c r="H360" s="8"/>
      <c r="I360" s="8"/>
      <c r="J360" s="8"/>
      <c r="K360" s="123"/>
      <c r="L360" s="9"/>
      <c r="M360" s="9"/>
      <c r="N360" s="10"/>
      <c r="O360" s="11"/>
      <c r="P360" s="8"/>
      <c r="Q360" s="12" t="str">
        <f t="shared" si="1"/>
        <v/>
      </c>
      <c r="R360" s="123"/>
    </row>
    <row r="361">
      <c r="A361" s="15">
        <f t="shared" si="12"/>
        <v>359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24"/>
      <c r="L361" s="16"/>
      <c r="M361" s="16"/>
      <c r="N361" s="17"/>
      <c r="O361" s="18"/>
      <c r="P361" s="15"/>
      <c r="Q361" s="19" t="str">
        <f t="shared" si="1"/>
        <v/>
      </c>
      <c r="R361" s="124"/>
    </row>
    <row r="362">
      <c r="A362" s="8">
        <f t="shared" si="12"/>
        <v>360</v>
      </c>
      <c r="B362" s="8"/>
      <c r="C362" s="8"/>
      <c r="D362" s="8"/>
      <c r="E362" s="8"/>
      <c r="F362" s="8"/>
      <c r="G362" s="8"/>
      <c r="H362" s="8"/>
      <c r="I362" s="8"/>
      <c r="J362" s="8"/>
      <c r="K362" s="123"/>
      <c r="L362" s="9"/>
      <c r="M362" s="9"/>
      <c r="N362" s="10"/>
      <c r="O362" s="11"/>
      <c r="P362" s="8"/>
      <c r="Q362" s="12" t="str">
        <f t="shared" si="1"/>
        <v/>
      </c>
      <c r="R362" s="123"/>
    </row>
    <row r="363">
      <c r="A363" s="15">
        <f t="shared" si="12"/>
        <v>361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24"/>
      <c r="L363" s="16"/>
      <c r="M363" s="16"/>
      <c r="N363" s="17"/>
      <c r="O363" s="18"/>
      <c r="P363" s="15"/>
      <c r="Q363" s="19" t="str">
        <f t="shared" si="1"/>
        <v/>
      </c>
      <c r="R363" s="124"/>
    </row>
    <row r="364">
      <c r="A364" s="8">
        <f t="shared" si="12"/>
        <v>362</v>
      </c>
      <c r="B364" s="8"/>
      <c r="C364" s="8"/>
      <c r="D364" s="8"/>
      <c r="E364" s="8"/>
      <c r="F364" s="8"/>
      <c r="G364" s="8"/>
      <c r="H364" s="8"/>
      <c r="I364" s="8"/>
      <c r="J364" s="8"/>
      <c r="K364" s="123"/>
      <c r="L364" s="9"/>
      <c r="M364" s="9"/>
      <c r="N364" s="10"/>
      <c r="O364" s="11"/>
      <c r="P364" s="8"/>
      <c r="Q364" s="12" t="str">
        <f t="shared" si="1"/>
        <v/>
      </c>
      <c r="R364" s="123"/>
    </row>
    <row r="365">
      <c r="A365" s="15">
        <f t="shared" si="12"/>
        <v>363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24"/>
      <c r="L365" s="16"/>
      <c r="M365" s="16"/>
      <c r="N365" s="17"/>
      <c r="O365" s="18"/>
      <c r="P365" s="15"/>
      <c r="Q365" s="19" t="str">
        <f t="shared" si="1"/>
        <v/>
      </c>
      <c r="R365" s="124"/>
    </row>
    <row r="366">
      <c r="A366" s="8">
        <f t="shared" si="12"/>
        <v>364</v>
      </c>
      <c r="B366" s="8"/>
      <c r="C366" s="8"/>
      <c r="D366" s="8"/>
      <c r="E366" s="8"/>
      <c r="F366" s="8"/>
      <c r="G366" s="8"/>
      <c r="H366" s="8"/>
      <c r="I366" s="8"/>
      <c r="J366" s="8"/>
      <c r="K366" s="123"/>
      <c r="L366" s="9"/>
      <c r="M366" s="9"/>
      <c r="N366" s="10"/>
      <c r="O366" s="11"/>
      <c r="P366" s="8"/>
      <c r="Q366" s="12" t="str">
        <f t="shared" si="1"/>
        <v/>
      </c>
      <c r="R366" s="123"/>
    </row>
    <row r="367">
      <c r="A367" s="15">
        <f t="shared" si="12"/>
        <v>365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24"/>
      <c r="L367" s="16"/>
      <c r="M367" s="16"/>
      <c r="N367" s="17"/>
      <c r="O367" s="18"/>
      <c r="P367" s="15"/>
      <c r="Q367" s="19" t="str">
        <f t="shared" si="1"/>
        <v/>
      </c>
      <c r="R367" s="124"/>
    </row>
    <row r="368">
      <c r="A368" s="8">
        <f t="shared" si="12"/>
        <v>366</v>
      </c>
      <c r="B368" s="8"/>
      <c r="C368" s="8"/>
      <c r="D368" s="8"/>
      <c r="E368" s="8"/>
      <c r="F368" s="8"/>
      <c r="G368" s="8"/>
      <c r="H368" s="8"/>
      <c r="I368" s="8"/>
      <c r="J368" s="8"/>
      <c r="K368" s="123"/>
      <c r="L368" s="9"/>
      <c r="M368" s="9"/>
      <c r="N368" s="10"/>
      <c r="O368" s="11"/>
      <c r="P368" s="8"/>
      <c r="Q368" s="12" t="str">
        <f t="shared" si="1"/>
        <v/>
      </c>
      <c r="R368" s="123"/>
    </row>
    <row r="369">
      <c r="A369" s="15">
        <f t="shared" si="12"/>
        <v>367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24"/>
      <c r="L369" s="16"/>
      <c r="M369" s="16"/>
      <c r="N369" s="17"/>
      <c r="O369" s="15"/>
      <c r="P369" s="15"/>
      <c r="Q369" s="19" t="str">
        <f t="shared" si="1"/>
        <v/>
      </c>
      <c r="R369" s="124"/>
    </row>
    <row r="370">
      <c r="A370" s="8">
        <f t="shared" si="12"/>
        <v>368</v>
      </c>
      <c r="B370" s="8"/>
      <c r="C370" s="8"/>
      <c r="D370" s="8"/>
      <c r="E370" s="8"/>
      <c r="F370" s="8"/>
      <c r="G370" s="8"/>
      <c r="H370" s="8"/>
      <c r="I370" s="8"/>
      <c r="J370" s="8"/>
      <c r="K370" s="123"/>
      <c r="L370" s="9"/>
      <c r="M370" s="9"/>
      <c r="N370" s="10"/>
      <c r="O370" s="8"/>
      <c r="P370" s="8"/>
      <c r="Q370" s="12" t="str">
        <f t="shared" si="1"/>
        <v/>
      </c>
      <c r="R370" s="123"/>
    </row>
    <row r="371">
      <c r="A371" s="15">
        <f t="shared" si="12"/>
        <v>369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24"/>
      <c r="L371" s="16"/>
      <c r="M371" s="16"/>
      <c r="N371" s="17"/>
      <c r="O371" s="15"/>
      <c r="P371" s="15"/>
      <c r="Q371" s="19" t="str">
        <f t="shared" si="1"/>
        <v/>
      </c>
      <c r="R371" s="124"/>
    </row>
    <row r="372">
      <c r="A372" s="8">
        <f t="shared" si="12"/>
        <v>370</v>
      </c>
      <c r="B372" s="8"/>
      <c r="C372" s="8"/>
      <c r="D372" s="8"/>
      <c r="E372" s="8"/>
      <c r="F372" s="8"/>
      <c r="G372" s="8"/>
      <c r="H372" s="8"/>
      <c r="I372" s="8"/>
      <c r="J372" s="8"/>
      <c r="K372" s="123"/>
      <c r="L372" s="9"/>
      <c r="M372" s="9"/>
      <c r="N372" s="10"/>
      <c r="O372" s="8"/>
      <c r="P372" s="8"/>
      <c r="Q372" s="12" t="str">
        <f t="shared" si="1"/>
        <v/>
      </c>
      <c r="R372" s="123"/>
    </row>
    <row r="373">
      <c r="A373" s="15">
        <f t="shared" si="12"/>
        <v>371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24"/>
      <c r="L373" s="16"/>
      <c r="M373" s="16"/>
      <c r="N373" s="17"/>
      <c r="O373" s="15"/>
      <c r="P373" s="15"/>
      <c r="Q373" s="19" t="str">
        <f t="shared" si="1"/>
        <v/>
      </c>
      <c r="R373" s="124"/>
    </row>
    <row r="374">
      <c r="A374" s="8">
        <f t="shared" si="12"/>
        <v>372</v>
      </c>
      <c r="B374" s="8"/>
      <c r="C374" s="8"/>
      <c r="D374" s="8"/>
      <c r="E374" s="8"/>
      <c r="F374" s="8"/>
      <c r="G374" s="8"/>
      <c r="H374" s="8"/>
      <c r="I374" s="8"/>
      <c r="J374" s="8"/>
      <c r="K374" s="123"/>
      <c r="L374" s="9"/>
      <c r="M374" s="9"/>
      <c r="N374" s="10"/>
      <c r="O374" s="8"/>
      <c r="P374" s="8"/>
      <c r="Q374" s="12" t="str">
        <f t="shared" si="1"/>
        <v/>
      </c>
      <c r="R374" s="123"/>
    </row>
    <row r="375">
      <c r="A375" s="15">
        <f t="shared" si="12"/>
        <v>373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24"/>
      <c r="L375" s="16"/>
      <c r="M375" s="16"/>
      <c r="N375" s="17"/>
      <c r="O375" s="15"/>
      <c r="P375" s="15"/>
      <c r="Q375" s="19" t="str">
        <f t="shared" si="1"/>
        <v/>
      </c>
      <c r="R375" s="124"/>
    </row>
    <row r="376">
      <c r="A376" s="8">
        <f t="shared" si="12"/>
        <v>374</v>
      </c>
      <c r="B376" s="8"/>
      <c r="C376" s="8"/>
      <c r="D376" s="8"/>
      <c r="E376" s="8"/>
      <c r="F376" s="8"/>
      <c r="G376" s="8"/>
      <c r="H376" s="8"/>
      <c r="I376" s="8"/>
      <c r="J376" s="8"/>
      <c r="K376" s="123"/>
      <c r="L376" s="9"/>
      <c r="M376" s="9"/>
      <c r="N376" s="10"/>
      <c r="O376" s="8"/>
      <c r="P376" s="8"/>
      <c r="Q376" s="12" t="str">
        <f t="shared" si="1"/>
        <v/>
      </c>
      <c r="R376" s="123"/>
    </row>
    <row r="377">
      <c r="A377" s="15">
        <f t="shared" si="12"/>
        <v>375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24"/>
      <c r="L377" s="16"/>
      <c r="M377" s="16"/>
      <c r="N377" s="17"/>
      <c r="O377" s="15"/>
      <c r="P377" s="15"/>
      <c r="Q377" s="19" t="str">
        <f t="shared" si="1"/>
        <v/>
      </c>
      <c r="R377" s="124"/>
    </row>
    <row r="378">
      <c r="A378" s="8">
        <f t="shared" si="12"/>
        <v>376</v>
      </c>
      <c r="B378" s="8"/>
      <c r="C378" s="8"/>
      <c r="D378" s="8"/>
      <c r="E378" s="8"/>
      <c r="F378" s="8"/>
      <c r="G378" s="8"/>
      <c r="H378" s="8"/>
      <c r="I378" s="8"/>
      <c r="J378" s="8"/>
      <c r="K378" s="123"/>
      <c r="L378" s="9"/>
      <c r="M378" s="9"/>
      <c r="N378" s="10"/>
      <c r="O378" s="8"/>
      <c r="P378" s="8"/>
      <c r="Q378" s="12" t="str">
        <f t="shared" si="1"/>
        <v/>
      </c>
      <c r="R378" s="123"/>
    </row>
    <row r="379">
      <c r="A379" s="15">
        <f t="shared" si="12"/>
        <v>377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24"/>
      <c r="L379" s="16"/>
      <c r="M379" s="16"/>
      <c r="N379" s="17"/>
      <c r="O379" s="15"/>
      <c r="P379" s="15"/>
      <c r="Q379" s="19" t="str">
        <f t="shared" si="1"/>
        <v/>
      </c>
      <c r="R379" s="124"/>
    </row>
    <row r="380">
      <c r="A380" s="8">
        <f t="shared" si="12"/>
        <v>378</v>
      </c>
      <c r="B380" s="8"/>
      <c r="C380" s="8"/>
      <c r="D380" s="8"/>
      <c r="E380" s="8"/>
      <c r="F380" s="8"/>
      <c r="G380" s="8"/>
      <c r="H380" s="8"/>
      <c r="I380" s="8"/>
      <c r="J380" s="8"/>
      <c r="K380" s="123"/>
      <c r="L380" s="9"/>
      <c r="M380" s="9"/>
      <c r="N380" s="10"/>
      <c r="O380" s="8"/>
      <c r="P380" s="8"/>
      <c r="Q380" s="12" t="str">
        <f t="shared" si="1"/>
        <v/>
      </c>
      <c r="R380" s="123"/>
    </row>
    <row r="381">
      <c r="A381" s="15">
        <f t="shared" si="12"/>
        <v>379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24"/>
      <c r="L381" s="16"/>
      <c r="M381" s="16"/>
      <c r="N381" s="17"/>
      <c r="O381" s="15"/>
      <c r="P381" s="15"/>
      <c r="Q381" s="19" t="str">
        <f t="shared" si="1"/>
        <v/>
      </c>
      <c r="R381" s="124"/>
    </row>
    <row r="382">
      <c r="A382" s="8">
        <f t="shared" si="12"/>
        <v>380</v>
      </c>
      <c r="B382" s="8"/>
      <c r="C382" s="8"/>
      <c r="D382" s="8"/>
      <c r="E382" s="8"/>
      <c r="F382" s="8"/>
      <c r="G382" s="8"/>
      <c r="H382" s="8"/>
      <c r="I382" s="8"/>
      <c r="J382" s="8"/>
      <c r="K382" s="123"/>
      <c r="L382" s="9"/>
      <c r="M382" s="9"/>
      <c r="N382" s="10"/>
      <c r="O382" s="8"/>
      <c r="P382" s="8"/>
      <c r="Q382" s="12" t="str">
        <f t="shared" si="1"/>
        <v/>
      </c>
      <c r="R382" s="123"/>
    </row>
    <row r="383">
      <c r="A383" s="15">
        <f t="shared" si="12"/>
        <v>381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24"/>
      <c r="L383" s="16"/>
      <c r="M383" s="16"/>
      <c r="N383" s="17"/>
      <c r="O383" s="15"/>
      <c r="P383" s="15"/>
      <c r="Q383" s="19" t="str">
        <f t="shared" si="1"/>
        <v/>
      </c>
      <c r="R383" s="124"/>
    </row>
    <row r="384">
      <c r="A384" s="8">
        <f t="shared" si="12"/>
        <v>382</v>
      </c>
      <c r="B384" s="8"/>
      <c r="C384" s="8"/>
      <c r="D384" s="8"/>
      <c r="E384" s="8"/>
      <c r="F384" s="8"/>
      <c r="G384" s="8"/>
      <c r="H384" s="8"/>
      <c r="I384" s="8"/>
      <c r="J384" s="8"/>
      <c r="K384" s="123"/>
      <c r="L384" s="9"/>
      <c r="M384" s="9"/>
      <c r="N384" s="10"/>
      <c r="O384" s="8"/>
      <c r="P384" s="8"/>
      <c r="Q384" s="12" t="str">
        <f t="shared" si="1"/>
        <v/>
      </c>
      <c r="R384" s="123"/>
    </row>
    <row r="385">
      <c r="A385" s="15">
        <f t="shared" si="12"/>
        <v>383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24"/>
      <c r="L385" s="16"/>
      <c r="M385" s="16"/>
      <c r="N385" s="17"/>
      <c r="O385" s="15"/>
      <c r="P385" s="15"/>
      <c r="Q385" s="19" t="str">
        <f t="shared" si="1"/>
        <v/>
      </c>
      <c r="R385" s="124"/>
    </row>
    <row r="386">
      <c r="A386" s="8">
        <f t="shared" si="12"/>
        <v>384</v>
      </c>
      <c r="B386" s="8"/>
      <c r="C386" s="8"/>
      <c r="D386" s="8"/>
      <c r="E386" s="8"/>
      <c r="F386" s="8"/>
      <c r="G386" s="8"/>
      <c r="H386" s="8"/>
      <c r="I386" s="8"/>
      <c r="J386" s="8"/>
      <c r="K386" s="123"/>
      <c r="L386" s="9"/>
      <c r="M386" s="9"/>
      <c r="N386" s="10"/>
      <c r="O386" s="8"/>
      <c r="P386" s="8"/>
      <c r="Q386" s="12" t="str">
        <f t="shared" si="1"/>
        <v/>
      </c>
      <c r="R386" s="123"/>
    </row>
    <row r="387">
      <c r="A387" s="15">
        <f t="shared" si="12"/>
        <v>385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24"/>
      <c r="L387" s="16"/>
      <c r="M387" s="16"/>
      <c r="N387" s="17"/>
      <c r="O387" s="15"/>
      <c r="P387" s="15"/>
      <c r="Q387" s="19" t="str">
        <f t="shared" si="1"/>
        <v/>
      </c>
      <c r="R387" s="124"/>
    </row>
    <row r="388">
      <c r="A388" s="8">
        <f t="shared" si="12"/>
        <v>386</v>
      </c>
      <c r="B388" s="8"/>
      <c r="C388" s="8"/>
      <c r="D388" s="8"/>
      <c r="E388" s="8"/>
      <c r="F388" s="8"/>
      <c r="G388" s="8"/>
      <c r="H388" s="8"/>
      <c r="I388" s="8"/>
      <c r="J388" s="8"/>
      <c r="K388" s="123"/>
      <c r="L388" s="9"/>
      <c r="M388" s="9"/>
      <c r="N388" s="10"/>
      <c r="O388" s="8"/>
      <c r="P388" s="8"/>
      <c r="Q388" s="12" t="str">
        <f t="shared" si="1"/>
        <v/>
      </c>
      <c r="R388" s="123"/>
    </row>
    <row r="389">
      <c r="A389" s="15">
        <f t="shared" si="12"/>
        <v>387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24"/>
      <c r="L389" s="16"/>
      <c r="M389" s="16"/>
      <c r="N389" s="17"/>
      <c r="O389" s="15"/>
      <c r="P389" s="15"/>
      <c r="Q389" s="19" t="str">
        <f t="shared" si="1"/>
        <v/>
      </c>
      <c r="R389" s="124"/>
    </row>
    <row r="390">
      <c r="A390" s="8">
        <f t="shared" si="12"/>
        <v>388</v>
      </c>
      <c r="B390" s="8"/>
      <c r="C390" s="8"/>
      <c r="D390" s="8"/>
      <c r="E390" s="8"/>
      <c r="F390" s="8"/>
      <c r="G390" s="8"/>
      <c r="H390" s="8"/>
      <c r="I390" s="8"/>
      <c r="J390" s="8"/>
      <c r="K390" s="123"/>
      <c r="L390" s="9"/>
      <c r="M390" s="9"/>
      <c r="N390" s="10"/>
      <c r="O390" s="8"/>
      <c r="P390" s="8"/>
      <c r="Q390" s="12" t="str">
        <f t="shared" si="1"/>
        <v/>
      </c>
      <c r="R390" s="123"/>
    </row>
    <row r="391">
      <c r="A391" s="15">
        <f t="shared" si="12"/>
        <v>389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24"/>
      <c r="L391" s="16"/>
      <c r="M391" s="16"/>
      <c r="N391" s="17"/>
      <c r="O391" s="15"/>
      <c r="P391" s="15"/>
      <c r="Q391" s="19" t="str">
        <f t="shared" si="1"/>
        <v/>
      </c>
      <c r="R391" s="124"/>
    </row>
    <row r="392">
      <c r="A392" s="8">
        <f t="shared" si="12"/>
        <v>390</v>
      </c>
      <c r="B392" s="8"/>
      <c r="C392" s="8"/>
      <c r="D392" s="8"/>
      <c r="E392" s="8"/>
      <c r="F392" s="8"/>
      <c r="G392" s="8"/>
      <c r="H392" s="8"/>
      <c r="I392" s="8"/>
      <c r="J392" s="8"/>
      <c r="K392" s="123"/>
      <c r="L392" s="9"/>
      <c r="M392" s="9"/>
      <c r="N392" s="10"/>
      <c r="O392" s="8"/>
      <c r="P392" s="8"/>
      <c r="Q392" s="12" t="str">
        <f t="shared" si="1"/>
        <v/>
      </c>
      <c r="R392" s="123"/>
    </row>
    <row r="393">
      <c r="A393" s="15">
        <f t="shared" si="12"/>
        <v>391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24"/>
      <c r="L393" s="16"/>
      <c r="M393" s="16"/>
      <c r="N393" s="17"/>
      <c r="O393" s="15"/>
      <c r="P393" s="15"/>
      <c r="Q393" s="19" t="str">
        <f t="shared" si="1"/>
        <v/>
      </c>
      <c r="R393" s="124"/>
    </row>
    <row r="394">
      <c r="A394" s="8">
        <f t="shared" si="12"/>
        <v>392</v>
      </c>
      <c r="B394" s="8"/>
      <c r="C394" s="8"/>
      <c r="D394" s="8"/>
      <c r="E394" s="8"/>
      <c r="F394" s="8"/>
      <c r="G394" s="8"/>
      <c r="H394" s="8"/>
      <c r="I394" s="8"/>
      <c r="J394" s="8"/>
      <c r="K394" s="123"/>
      <c r="L394" s="9"/>
      <c r="M394" s="9"/>
      <c r="N394" s="10"/>
      <c r="O394" s="8"/>
      <c r="P394" s="8"/>
      <c r="Q394" s="123"/>
      <c r="R394" s="123"/>
    </row>
    <row r="395">
      <c r="A395" s="15">
        <f t="shared" si="12"/>
        <v>393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24"/>
      <c r="L395" s="16"/>
      <c r="M395" s="16"/>
      <c r="N395" s="17"/>
      <c r="O395" s="15"/>
      <c r="P395" s="15"/>
      <c r="Q395" s="124"/>
      <c r="R395" s="124"/>
    </row>
    <row r="396">
      <c r="A396" s="8">
        <f t="shared" si="12"/>
        <v>394</v>
      </c>
      <c r="B396" s="8"/>
      <c r="C396" s="8"/>
      <c r="D396" s="8"/>
      <c r="E396" s="8"/>
      <c r="F396" s="8"/>
      <c r="G396" s="8"/>
      <c r="H396" s="8"/>
      <c r="I396" s="8"/>
      <c r="J396" s="8"/>
      <c r="K396" s="123"/>
      <c r="L396" s="9"/>
      <c r="M396" s="9"/>
      <c r="N396" s="10"/>
      <c r="O396" s="8"/>
      <c r="P396" s="8"/>
      <c r="Q396" s="123"/>
      <c r="R396" s="123"/>
    </row>
    <row r="397">
      <c r="A397" s="15">
        <f t="shared" si="12"/>
        <v>395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24"/>
      <c r="L397" s="16"/>
      <c r="M397" s="16"/>
      <c r="N397" s="17"/>
      <c r="O397" s="15"/>
      <c r="P397" s="15"/>
      <c r="Q397" s="124"/>
      <c r="R397" s="124"/>
    </row>
    <row r="398">
      <c r="A398" s="8">
        <f t="shared" si="12"/>
        <v>396</v>
      </c>
      <c r="B398" s="8"/>
      <c r="C398" s="8"/>
      <c r="D398" s="8"/>
      <c r="E398" s="8"/>
      <c r="F398" s="8"/>
      <c r="G398" s="8"/>
      <c r="H398" s="8"/>
      <c r="I398" s="8"/>
      <c r="J398" s="8"/>
      <c r="K398" s="123"/>
      <c r="L398" s="9"/>
      <c r="M398" s="9"/>
      <c r="N398" s="10"/>
      <c r="O398" s="8"/>
      <c r="P398" s="8"/>
      <c r="Q398" s="123"/>
      <c r="R398" s="123"/>
    </row>
    <row r="399">
      <c r="A399" s="15">
        <f t="shared" si="12"/>
        <v>397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24"/>
      <c r="L399" s="16"/>
      <c r="M399" s="16"/>
      <c r="N399" s="17"/>
      <c r="O399" s="15"/>
      <c r="P399" s="15"/>
      <c r="Q399" s="124"/>
      <c r="R399" s="124"/>
    </row>
    <row r="400">
      <c r="A400" s="8">
        <f t="shared" si="12"/>
        <v>398</v>
      </c>
      <c r="B400" s="8"/>
      <c r="C400" s="8"/>
      <c r="D400" s="8"/>
      <c r="E400" s="8"/>
      <c r="F400" s="8"/>
      <c r="G400" s="8"/>
      <c r="H400" s="8"/>
      <c r="I400" s="8"/>
      <c r="J400" s="8"/>
      <c r="K400" s="123"/>
      <c r="L400" s="9"/>
      <c r="M400" s="9"/>
      <c r="N400" s="10"/>
      <c r="O400" s="8"/>
      <c r="P400" s="8"/>
      <c r="Q400" s="123"/>
      <c r="R400" s="123"/>
    </row>
    <row r="401">
      <c r="A401" s="15">
        <f t="shared" si="12"/>
        <v>399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24"/>
      <c r="L401" s="16"/>
      <c r="M401" s="16"/>
      <c r="N401" s="17"/>
      <c r="O401" s="15"/>
      <c r="P401" s="15"/>
      <c r="Q401" s="124"/>
      <c r="R401" s="124"/>
    </row>
    <row r="402">
      <c r="A402" s="8">
        <f t="shared" si="12"/>
        <v>400</v>
      </c>
      <c r="B402" s="8"/>
      <c r="C402" s="8"/>
      <c r="D402" s="8"/>
      <c r="E402" s="8"/>
      <c r="F402" s="8"/>
      <c r="G402" s="8"/>
      <c r="H402" s="8"/>
      <c r="I402" s="8"/>
      <c r="J402" s="8"/>
      <c r="K402" s="123"/>
      <c r="L402" s="9"/>
      <c r="M402" s="9"/>
      <c r="N402" s="10"/>
      <c r="O402" s="8"/>
      <c r="P402" s="8"/>
      <c r="Q402" s="123"/>
      <c r="R402" s="123"/>
    </row>
    <row r="403">
      <c r="A403" s="15">
        <f t="shared" si="12"/>
        <v>401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24"/>
      <c r="L403" s="16"/>
      <c r="M403" s="16"/>
      <c r="N403" s="17"/>
      <c r="O403" s="15"/>
      <c r="P403" s="15"/>
      <c r="Q403" s="124"/>
      <c r="R403" s="124"/>
    </row>
    <row r="404">
      <c r="A404" s="8">
        <f t="shared" si="12"/>
        <v>402</v>
      </c>
      <c r="B404" s="8"/>
      <c r="C404" s="8"/>
      <c r="D404" s="8"/>
      <c r="E404" s="8"/>
      <c r="F404" s="8"/>
      <c r="G404" s="8"/>
      <c r="H404" s="8"/>
      <c r="I404" s="8"/>
      <c r="J404" s="8"/>
      <c r="K404" s="123"/>
      <c r="L404" s="9"/>
      <c r="M404" s="9"/>
      <c r="N404" s="10"/>
      <c r="O404" s="8"/>
      <c r="P404" s="8"/>
      <c r="Q404" s="123"/>
      <c r="R404" s="123"/>
    </row>
    <row r="405">
      <c r="A405" s="15">
        <f t="shared" si="12"/>
        <v>403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24"/>
      <c r="L405" s="16"/>
      <c r="M405" s="16"/>
      <c r="N405" s="17"/>
      <c r="O405" s="15"/>
      <c r="P405" s="15"/>
      <c r="Q405" s="124"/>
      <c r="R405" s="124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30"/>
      <c r="L406" s="131"/>
      <c r="M406" s="131"/>
      <c r="N406" s="132"/>
      <c r="O406" s="129"/>
      <c r="P406" s="129"/>
      <c r="Q406" s="130"/>
      <c r="R406" s="130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6"/>
      <c r="L407" s="127"/>
      <c r="M407" s="127"/>
      <c r="N407" s="128"/>
      <c r="O407" s="125"/>
      <c r="P407" s="125"/>
      <c r="Q407" s="126"/>
      <c r="R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30"/>
      <c r="L408" s="131"/>
      <c r="M408" s="131"/>
      <c r="N408" s="132"/>
      <c r="O408" s="129"/>
      <c r="P408" s="129"/>
      <c r="Q408" s="130"/>
      <c r="R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6"/>
      <c r="L409" s="127"/>
      <c r="M409" s="127"/>
      <c r="N409" s="128"/>
      <c r="O409" s="125"/>
      <c r="P409" s="125"/>
      <c r="Q409" s="126"/>
      <c r="R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30"/>
      <c r="L410" s="131"/>
      <c r="M410" s="131"/>
      <c r="N410" s="132"/>
      <c r="O410" s="129"/>
      <c r="P410" s="129"/>
      <c r="Q410" s="130"/>
      <c r="R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6"/>
      <c r="L411" s="127"/>
      <c r="M411" s="127"/>
      <c r="N411" s="128"/>
      <c r="O411" s="125"/>
      <c r="P411" s="125"/>
      <c r="Q411" s="126"/>
      <c r="R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30"/>
      <c r="L412" s="131"/>
      <c r="M412" s="131"/>
      <c r="N412" s="132"/>
      <c r="O412" s="129"/>
      <c r="P412" s="129"/>
      <c r="Q412" s="130"/>
      <c r="R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6"/>
      <c r="L413" s="127"/>
      <c r="M413" s="127"/>
      <c r="N413" s="128"/>
      <c r="O413" s="125"/>
      <c r="P413" s="125"/>
      <c r="Q413" s="126"/>
      <c r="R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30"/>
      <c r="L414" s="131"/>
      <c r="M414" s="131"/>
      <c r="N414" s="132"/>
      <c r="O414" s="129"/>
      <c r="P414" s="129"/>
      <c r="Q414" s="130"/>
      <c r="R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6"/>
      <c r="L415" s="127"/>
      <c r="M415" s="127"/>
      <c r="N415" s="128"/>
      <c r="O415" s="125"/>
      <c r="P415" s="125"/>
      <c r="Q415" s="126"/>
      <c r="R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30"/>
      <c r="L416" s="131"/>
      <c r="M416" s="131"/>
      <c r="N416" s="132"/>
      <c r="O416" s="129"/>
      <c r="P416" s="129"/>
      <c r="Q416" s="130"/>
      <c r="R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6"/>
      <c r="L417" s="127"/>
      <c r="M417" s="127"/>
      <c r="N417" s="128"/>
      <c r="O417" s="125"/>
      <c r="P417" s="125"/>
      <c r="Q417" s="126"/>
      <c r="R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30"/>
      <c r="L418" s="131"/>
      <c r="M418" s="131"/>
      <c r="N418" s="132"/>
      <c r="O418" s="129"/>
      <c r="P418" s="129"/>
      <c r="Q418" s="130"/>
      <c r="R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6"/>
      <c r="L419" s="127"/>
      <c r="M419" s="127"/>
      <c r="N419" s="128"/>
      <c r="O419" s="125"/>
      <c r="P419" s="125"/>
      <c r="Q419" s="126"/>
      <c r="R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30"/>
      <c r="L420" s="131"/>
      <c r="M420" s="131"/>
      <c r="N420" s="132"/>
      <c r="O420" s="129"/>
      <c r="P420" s="129"/>
      <c r="Q420" s="130"/>
      <c r="R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6"/>
      <c r="L421" s="127"/>
      <c r="M421" s="127"/>
      <c r="N421" s="128"/>
      <c r="O421" s="125"/>
      <c r="P421" s="125"/>
      <c r="Q421" s="126"/>
      <c r="R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30"/>
      <c r="L422" s="131"/>
      <c r="M422" s="131"/>
      <c r="N422" s="132"/>
      <c r="O422" s="129"/>
      <c r="P422" s="129"/>
      <c r="Q422" s="130"/>
      <c r="R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6"/>
      <c r="L423" s="127"/>
      <c r="M423" s="127"/>
      <c r="N423" s="128"/>
      <c r="O423" s="125"/>
      <c r="P423" s="125"/>
      <c r="Q423" s="126"/>
      <c r="R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30"/>
      <c r="L424" s="131"/>
      <c r="M424" s="131"/>
      <c r="N424" s="132"/>
      <c r="O424" s="129"/>
      <c r="P424" s="129"/>
      <c r="Q424" s="130"/>
      <c r="R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6"/>
      <c r="L425" s="127"/>
      <c r="M425" s="127"/>
      <c r="N425" s="128"/>
      <c r="O425" s="125"/>
      <c r="P425" s="125"/>
      <c r="Q425" s="126"/>
      <c r="R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30"/>
      <c r="L426" s="131"/>
      <c r="M426" s="131"/>
      <c r="N426" s="132"/>
      <c r="O426" s="129"/>
      <c r="P426" s="129"/>
      <c r="Q426" s="130"/>
      <c r="R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6"/>
      <c r="L427" s="127"/>
      <c r="M427" s="127"/>
      <c r="N427" s="128"/>
      <c r="O427" s="125"/>
      <c r="P427" s="125"/>
      <c r="Q427" s="126"/>
      <c r="R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30"/>
      <c r="L428" s="131"/>
      <c r="M428" s="131"/>
      <c r="N428" s="132"/>
      <c r="O428" s="129"/>
      <c r="P428" s="129"/>
      <c r="Q428" s="130"/>
      <c r="R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6"/>
      <c r="L429" s="127"/>
      <c r="M429" s="127"/>
      <c r="N429" s="128"/>
      <c r="O429" s="125"/>
      <c r="P429" s="125"/>
      <c r="Q429" s="126"/>
      <c r="R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30"/>
      <c r="L430" s="131"/>
      <c r="M430" s="131"/>
      <c r="N430" s="132"/>
      <c r="O430" s="129"/>
      <c r="P430" s="129"/>
      <c r="Q430" s="130"/>
      <c r="R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6"/>
      <c r="L431" s="127"/>
      <c r="M431" s="127"/>
      <c r="N431" s="128"/>
      <c r="O431" s="125"/>
      <c r="P431" s="125"/>
      <c r="Q431" s="126"/>
      <c r="R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30"/>
      <c r="L432" s="131"/>
      <c r="M432" s="131"/>
      <c r="N432" s="132"/>
      <c r="O432" s="129"/>
      <c r="P432" s="129"/>
      <c r="Q432" s="130"/>
      <c r="R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6"/>
      <c r="L433" s="127"/>
      <c r="M433" s="127"/>
      <c r="N433" s="128"/>
      <c r="O433" s="125"/>
      <c r="P433" s="125"/>
      <c r="Q433" s="126"/>
      <c r="R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30"/>
      <c r="L434" s="131"/>
      <c r="M434" s="131"/>
      <c r="N434" s="132"/>
      <c r="O434" s="129"/>
      <c r="P434" s="129"/>
      <c r="Q434" s="130"/>
      <c r="R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6"/>
      <c r="L435" s="127"/>
      <c r="M435" s="127"/>
      <c r="N435" s="128"/>
      <c r="O435" s="125"/>
      <c r="P435" s="125"/>
      <c r="Q435" s="126"/>
      <c r="R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30"/>
      <c r="L436" s="131"/>
      <c r="M436" s="131"/>
      <c r="N436" s="132"/>
      <c r="O436" s="129"/>
      <c r="P436" s="129"/>
      <c r="Q436" s="130"/>
      <c r="R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6"/>
      <c r="L437" s="127"/>
      <c r="M437" s="127"/>
      <c r="N437" s="128"/>
      <c r="O437" s="125"/>
      <c r="P437" s="125"/>
      <c r="Q437" s="126"/>
      <c r="R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30"/>
      <c r="L438" s="131"/>
      <c r="M438" s="131"/>
      <c r="N438" s="132"/>
      <c r="O438" s="129"/>
      <c r="P438" s="129"/>
      <c r="Q438" s="130"/>
      <c r="R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6"/>
      <c r="L439" s="127"/>
      <c r="M439" s="127"/>
      <c r="N439" s="128"/>
      <c r="O439" s="125"/>
      <c r="P439" s="125"/>
      <c r="Q439" s="126"/>
      <c r="R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30"/>
      <c r="L440" s="131"/>
      <c r="M440" s="131"/>
      <c r="N440" s="132"/>
      <c r="O440" s="129"/>
      <c r="P440" s="129"/>
      <c r="Q440" s="130"/>
      <c r="R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6"/>
      <c r="L441" s="127"/>
      <c r="M441" s="127"/>
      <c r="N441" s="128"/>
      <c r="O441" s="125"/>
      <c r="P441" s="125"/>
      <c r="Q441" s="126"/>
      <c r="R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30"/>
      <c r="L442" s="131"/>
      <c r="M442" s="131"/>
      <c r="N442" s="132"/>
      <c r="O442" s="129"/>
      <c r="P442" s="129"/>
      <c r="Q442" s="130"/>
      <c r="R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6"/>
      <c r="L443" s="127"/>
      <c r="M443" s="127"/>
      <c r="N443" s="128"/>
      <c r="O443" s="125"/>
      <c r="P443" s="125"/>
      <c r="Q443" s="126"/>
      <c r="R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30"/>
      <c r="L444" s="131"/>
      <c r="M444" s="131"/>
      <c r="N444" s="132"/>
      <c r="O444" s="129"/>
      <c r="P444" s="129"/>
      <c r="Q444" s="130"/>
      <c r="R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6"/>
      <c r="L445" s="127"/>
      <c r="M445" s="127"/>
      <c r="N445" s="128"/>
      <c r="O445" s="125"/>
      <c r="P445" s="125"/>
      <c r="Q445" s="126"/>
      <c r="R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30"/>
      <c r="L446" s="131"/>
      <c r="M446" s="131"/>
      <c r="N446" s="132"/>
      <c r="O446" s="129"/>
      <c r="P446" s="129"/>
      <c r="Q446" s="130"/>
      <c r="R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6"/>
      <c r="L447" s="127"/>
      <c r="M447" s="127"/>
      <c r="N447" s="128"/>
      <c r="O447" s="125"/>
      <c r="P447" s="125"/>
      <c r="Q447" s="126"/>
      <c r="R447" s="126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130"/>
      <c r="R448" s="59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126"/>
      <c r="R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130"/>
      <c r="R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126"/>
      <c r="R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130"/>
      <c r="R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126"/>
      <c r="R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130"/>
      <c r="R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126"/>
      <c r="R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130"/>
      <c r="R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</row>
  </sheetData>
  <autoFilter ref="$A$1:$R$405"/>
  <conditionalFormatting sqref="P2:P498">
    <cfRule type="cellIs" dxfId="0" priority="1" operator="equal">
      <formula>"Ganha"</formula>
    </cfRule>
  </conditionalFormatting>
  <conditionalFormatting sqref="P2:P498">
    <cfRule type="cellIs" dxfId="1" priority="2" operator="equal">
      <formula>"Ganha/devolvida"</formula>
    </cfRule>
  </conditionalFormatting>
  <conditionalFormatting sqref="P2:P498">
    <cfRule type="cellIs" dxfId="2" priority="3" operator="equal">
      <formula>"Devolvida"</formula>
    </cfRule>
  </conditionalFormatting>
  <conditionalFormatting sqref="P2:P498">
    <cfRule type="cellIs" dxfId="3" priority="4" operator="equal">
      <formula>"Perdida/devolvida"</formula>
    </cfRule>
  </conditionalFormatting>
  <conditionalFormatting sqref="P2:P498">
    <cfRule type="cellIs" dxfId="4" priority="5" operator="equal">
      <formula>"Perdida"</formula>
    </cfRule>
  </conditionalFormatting>
  <conditionalFormatting sqref="Q2:Q456 R2:R997 U2:U33">
    <cfRule type="cellIs" dxfId="0" priority="6" operator="greaterThan">
      <formula>0</formula>
    </cfRule>
  </conditionalFormatting>
  <conditionalFormatting sqref="Q2:Q456 R2:R997 U2:U33">
    <cfRule type="cellIs" dxfId="4" priority="7" operator="lessThan">
      <formula>0</formula>
    </cfRule>
  </conditionalFormatting>
  <conditionalFormatting sqref="Q2:Q997 R2:R8 U2:U33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88"/>
    <col customWidth="1" min="3" max="3" width="60.88"/>
    <col customWidth="1" min="4" max="4" width="8.38"/>
    <col customWidth="1" min="5" max="5" width="9.25"/>
    <col customWidth="1" min="6" max="6" width="12.88"/>
    <col customWidth="1" min="7" max="7" width="11.25"/>
    <col customWidth="1" min="8" max="8" width="4.5"/>
    <col customWidth="1" min="9" max="9" width="8.13"/>
    <col customWidth="1" min="10" max="10" width="9.5"/>
    <col customWidth="1" min="11" max="14" width="5.88"/>
    <col customWidth="1" min="15" max="15" width="6.5"/>
    <col customWidth="1" min="16" max="16" width="14.75"/>
    <col customWidth="1" min="17" max="17" width="10.75"/>
    <col customWidth="1" min="18" max="18" width="7.25"/>
    <col customWidth="1" min="19" max="19" width="4.13"/>
    <col customWidth="1" min="20" max="20" width="6.25"/>
    <col customWidth="1" min="21" max="21" width="6.5"/>
    <col customWidth="1" min="22" max="22" width="11.25"/>
  </cols>
  <sheetData>
    <row r="1">
      <c r="A1" s="3" t="s">
        <v>0</v>
      </c>
      <c r="B1" s="2" t="s">
        <v>2</v>
      </c>
      <c r="C1" s="3" t="s">
        <v>3</v>
      </c>
      <c r="D1" s="2" t="s">
        <v>1466</v>
      </c>
      <c r="E1" s="2" t="s">
        <v>1467</v>
      </c>
      <c r="F1" s="2" t="s">
        <v>1468</v>
      </c>
      <c r="G1" s="3" t="s">
        <v>4</v>
      </c>
      <c r="H1" s="3" t="s">
        <v>5</v>
      </c>
      <c r="I1" s="3" t="s">
        <v>6</v>
      </c>
      <c r="J1" s="2" t="s">
        <v>7</v>
      </c>
      <c r="K1" s="4" t="s">
        <v>8</v>
      </c>
      <c r="L1" s="5" t="s">
        <v>9</v>
      </c>
      <c r="M1" s="4" t="s">
        <v>10</v>
      </c>
      <c r="N1" s="6" t="s">
        <v>11</v>
      </c>
      <c r="O1" s="97" t="s">
        <v>12</v>
      </c>
      <c r="P1" s="3" t="s">
        <v>13</v>
      </c>
      <c r="Q1" s="4" t="s">
        <v>2372</v>
      </c>
      <c r="R1" s="4" t="s">
        <v>15</v>
      </c>
      <c r="T1" s="3" t="s">
        <v>16</v>
      </c>
      <c r="U1" s="3" t="s">
        <v>15</v>
      </c>
      <c r="V1" s="3" t="s">
        <v>17</v>
      </c>
    </row>
    <row r="2">
      <c r="A2" s="8">
        <f>1</f>
        <v>1</v>
      </c>
      <c r="B2" s="8" t="s">
        <v>19</v>
      </c>
      <c r="C2" s="8" t="s">
        <v>3152</v>
      </c>
      <c r="D2" s="8" t="s">
        <v>5565</v>
      </c>
      <c r="E2" s="8" t="s">
        <v>2556</v>
      </c>
      <c r="F2" s="8">
        <f>1</f>
        <v>1</v>
      </c>
      <c r="G2" s="8" t="s">
        <v>167</v>
      </c>
      <c r="H2" s="8" t="s">
        <v>22</v>
      </c>
      <c r="I2" s="8" t="s">
        <v>225</v>
      </c>
      <c r="J2" s="8" t="s">
        <v>24</v>
      </c>
      <c r="K2" s="9">
        <v>0.75</v>
      </c>
      <c r="L2" s="9">
        <v>0.5</v>
      </c>
      <c r="M2" s="9">
        <v>0.5</v>
      </c>
      <c r="N2" s="10">
        <v>45170.0</v>
      </c>
      <c r="O2" s="11">
        <v>1.75</v>
      </c>
      <c r="P2" s="8" t="s">
        <v>79</v>
      </c>
      <c r="Q2" s="12">
        <f t="shared" ref="Q2:Q312" si="1">IF(P2="ganha",(M2*(O2-1)),IF(P2="perdida",-M2,IF(P2="devolvida",0,IF(P2="ganha/devolvida",((M2*(O2-1)))/2,IF(P2="perdida/devolvida",-M2/2,IF(P2="Aguardando",0,""))))))</f>
        <v>-0.25</v>
      </c>
      <c r="R2" s="12">
        <f>Q2</f>
        <v>-0.25</v>
      </c>
      <c r="T2" s="66">
        <v>45170.0</v>
      </c>
      <c r="U2" s="13">
        <f t="shared" ref="U2:U32" si="2">SUMIF($N$2:$N$2978,T2,$Q$2:$Q$2978)</f>
        <v>1.57675</v>
      </c>
      <c r="V2" s="14">
        <f>SUMIF($P$2:$P$2978,"Aguardando",$M$2:$M$2978)</f>
        <v>0</v>
      </c>
    </row>
    <row r="3">
      <c r="A3" s="15">
        <f t="shared" ref="A3:A403" si="3">A2+1</f>
        <v>2</v>
      </c>
      <c r="B3" s="15" t="s">
        <v>19</v>
      </c>
      <c r="C3" s="15" t="s">
        <v>3153</v>
      </c>
      <c r="D3" s="15"/>
      <c r="E3" s="15"/>
      <c r="F3" s="15" t="s">
        <v>3154</v>
      </c>
      <c r="G3" s="15" t="s">
        <v>167</v>
      </c>
      <c r="H3" s="15" t="s">
        <v>22</v>
      </c>
      <c r="I3" s="15" t="s">
        <v>29</v>
      </c>
      <c r="J3" s="15" t="s">
        <v>24</v>
      </c>
      <c r="K3" s="16">
        <v>-2.25</v>
      </c>
      <c r="L3" s="16">
        <v>0.5</v>
      </c>
      <c r="M3" s="16">
        <v>0.5</v>
      </c>
      <c r="N3" s="17">
        <v>45170.0</v>
      </c>
      <c r="O3" s="18">
        <v>1.8</v>
      </c>
      <c r="P3" s="15" t="s">
        <v>30</v>
      </c>
      <c r="Q3" s="19">
        <f t="shared" si="1"/>
        <v>0.2</v>
      </c>
      <c r="R3" s="19">
        <f t="shared" ref="R3:R312" si="4">R2+Q3</f>
        <v>-0.05</v>
      </c>
      <c r="T3" s="66">
        <v>45171.0</v>
      </c>
      <c r="U3" s="13">
        <f t="shared" si="2"/>
        <v>-3.8865</v>
      </c>
    </row>
    <row r="4">
      <c r="A4" s="8">
        <f t="shared" si="3"/>
        <v>3</v>
      </c>
      <c r="B4" s="8" t="s">
        <v>19</v>
      </c>
      <c r="C4" s="8" t="s">
        <v>3155</v>
      </c>
      <c r="D4" s="8" t="s">
        <v>5565</v>
      </c>
      <c r="E4" s="8" t="s">
        <v>2556</v>
      </c>
      <c r="F4" s="8">
        <v>0.0</v>
      </c>
      <c r="G4" s="8" t="s">
        <v>44</v>
      </c>
      <c r="H4" s="8" t="s">
        <v>22</v>
      </c>
      <c r="I4" s="8" t="s">
        <v>225</v>
      </c>
      <c r="J4" s="8" t="s">
        <v>1522</v>
      </c>
      <c r="K4" s="9">
        <v>0.5</v>
      </c>
      <c r="L4" s="9">
        <v>1.0</v>
      </c>
      <c r="M4" s="9">
        <v>1.0</v>
      </c>
      <c r="N4" s="10">
        <v>45170.0</v>
      </c>
      <c r="O4" s="11">
        <v>1.8</v>
      </c>
      <c r="P4" s="8" t="s">
        <v>33</v>
      </c>
      <c r="Q4" s="12">
        <f t="shared" si="1"/>
        <v>0.8</v>
      </c>
      <c r="R4" s="12">
        <f t="shared" si="4"/>
        <v>0.75</v>
      </c>
      <c r="T4" s="66">
        <v>45172.0</v>
      </c>
      <c r="U4" s="13">
        <f t="shared" si="2"/>
        <v>-0.81325</v>
      </c>
      <c r="V4" s="3" t="s">
        <v>34</v>
      </c>
    </row>
    <row r="5">
      <c r="A5" s="15">
        <f t="shared" si="3"/>
        <v>4</v>
      </c>
      <c r="B5" s="15" t="s">
        <v>19</v>
      </c>
      <c r="C5" s="15" t="s">
        <v>3156</v>
      </c>
      <c r="D5" s="15" t="s">
        <v>5565</v>
      </c>
      <c r="E5" s="15" t="s">
        <v>2660</v>
      </c>
      <c r="F5" s="15">
        <v>-2.0</v>
      </c>
      <c r="G5" s="15" t="s">
        <v>316</v>
      </c>
      <c r="H5" s="15" t="s">
        <v>22</v>
      </c>
      <c r="I5" s="15" t="s">
        <v>892</v>
      </c>
      <c r="J5" s="15" t="s">
        <v>24</v>
      </c>
      <c r="K5" s="16">
        <v>0.0</v>
      </c>
      <c r="L5" s="16">
        <v>0.5</v>
      </c>
      <c r="M5" s="16">
        <v>0.5</v>
      </c>
      <c r="N5" s="17">
        <v>45170.0</v>
      </c>
      <c r="O5" s="18">
        <v>1.683</v>
      </c>
      <c r="P5" s="15" t="s">
        <v>33</v>
      </c>
      <c r="Q5" s="19">
        <f t="shared" si="1"/>
        <v>0.3415</v>
      </c>
      <c r="R5" s="19">
        <f t="shared" si="4"/>
        <v>1.0915</v>
      </c>
      <c r="T5" s="66">
        <v>45173.0</v>
      </c>
      <c r="U5" s="13">
        <f t="shared" si="2"/>
        <v>0</v>
      </c>
      <c r="V5" s="20">
        <f>sum(M2:M1011)</f>
        <v>129.91425</v>
      </c>
    </row>
    <row r="6">
      <c r="A6" s="8">
        <f t="shared" si="3"/>
        <v>5</v>
      </c>
      <c r="B6" s="8" t="s">
        <v>19</v>
      </c>
      <c r="C6" s="8" t="s">
        <v>3157</v>
      </c>
      <c r="D6" s="8" t="s">
        <v>5565</v>
      </c>
      <c r="E6" s="8" t="s">
        <v>2660</v>
      </c>
      <c r="F6" s="8">
        <v>0.0</v>
      </c>
      <c r="G6" s="8" t="s">
        <v>50</v>
      </c>
      <c r="H6" s="8" t="s">
        <v>22</v>
      </c>
      <c r="I6" s="8" t="s">
        <v>892</v>
      </c>
      <c r="J6" s="8" t="s">
        <v>1522</v>
      </c>
      <c r="K6" s="9">
        <v>0.0</v>
      </c>
      <c r="L6" s="9">
        <v>0.75</v>
      </c>
      <c r="M6" s="9">
        <v>0.75</v>
      </c>
      <c r="N6" s="10">
        <v>45170.0</v>
      </c>
      <c r="O6" s="11">
        <v>1.557</v>
      </c>
      <c r="P6" s="8" t="s">
        <v>33</v>
      </c>
      <c r="Q6" s="12">
        <f t="shared" si="1"/>
        <v>0.41775</v>
      </c>
      <c r="R6" s="12">
        <f t="shared" si="4"/>
        <v>1.50925</v>
      </c>
      <c r="T6" s="66">
        <v>45174.0</v>
      </c>
      <c r="U6" s="13">
        <f t="shared" si="2"/>
        <v>0.40430625</v>
      </c>
    </row>
    <row r="7">
      <c r="A7" s="15">
        <f t="shared" si="3"/>
        <v>6</v>
      </c>
      <c r="B7" s="15" t="s">
        <v>19</v>
      </c>
      <c r="C7" s="15" t="s">
        <v>3158</v>
      </c>
      <c r="D7" s="15" t="s">
        <v>5565</v>
      </c>
      <c r="E7" s="15" t="s">
        <v>2556</v>
      </c>
      <c r="F7" s="15">
        <v>0.0</v>
      </c>
      <c r="G7" s="15" t="s">
        <v>463</v>
      </c>
      <c r="H7" s="15" t="s">
        <v>22</v>
      </c>
      <c r="I7" s="15" t="s">
        <v>225</v>
      </c>
      <c r="J7" s="15" t="s">
        <v>1522</v>
      </c>
      <c r="K7" s="16">
        <v>0.5</v>
      </c>
      <c r="L7" s="16">
        <v>0.5</v>
      </c>
      <c r="M7" s="16">
        <v>0.46875</v>
      </c>
      <c r="N7" s="17">
        <v>45170.0</v>
      </c>
      <c r="O7" s="18">
        <v>1.144</v>
      </c>
      <c r="P7" s="15" t="s">
        <v>33</v>
      </c>
      <c r="Q7" s="19">
        <f t="shared" si="1"/>
        <v>0.0675</v>
      </c>
      <c r="R7" s="19">
        <f t="shared" si="4"/>
        <v>1.57675</v>
      </c>
      <c r="T7" s="66">
        <v>45175.0</v>
      </c>
      <c r="U7" s="13">
        <f t="shared" si="2"/>
        <v>1.564</v>
      </c>
      <c r="V7" s="3" t="s">
        <v>45</v>
      </c>
    </row>
    <row r="8">
      <c r="A8" s="8">
        <f t="shared" si="3"/>
        <v>7</v>
      </c>
      <c r="B8" s="8" t="s">
        <v>19</v>
      </c>
      <c r="C8" s="8" t="s">
        <v>3159</v>
      </c>
      <c r="D8" s="8" t="s">
        <v>5565</v>
      </c>
      <c r="E8" s="8" t="s">
        <v>2660</v>
      </c>
      <c r="F8" s="8">
        <v>-2.0</v>
      </c>
      <c r="G8" s="8" t="s">
        <v>93</v>
      </c>
      <c r="H8" s="8" t="s">
        <v>22</v>
      </c>
      <c r="I8" s="8" t="s">
        <v>892</v>
      </c>
      <c r="J8" s="8" t="s">
        <v>1522</v>
      </c>
      <c r="K8" s="9">
        <v>0.0</v>
      </c>
      <c r="L8" s="9">
        <v>0.75</v>
      </c>
      <c r="M8" s="9">
        <v>0.75</v>
      </c>
      <c r="N8" s="10">
        <v>45171.0</v>
      </c>
      <c r="O8" s="11">
        <v>2.075</v>
      </c>
      <c r="P8" s="8" t="s">
        <v>70</v>
      </c>
      <c r="Q8" s="12">
        <f t="shared" si="1"/>
        <v>0</v>
      </c>
      <c r="R8" s="12">
        <f t="shared" si="4"/>
        <v>1.57675</v>
      </c>
      <c r="T8" s="66">
        <v>45176.0</v>
      </c>
      <c r="U8" s="13">
        <f t="shared" si="2"/>
        <v>0.05328</v>
      </c>
      <c r="V8" s="21">
        <f>U33/(SUM(M3:M4931)-V2)</f>
        <v>0.1336037956</v>
      </c>
    </row>
    <row r="9">
      <c r="A9" s="15">
        <f t="shared" si="3"/>
        <v>8</v>
      </c>
      <c r="B9" s="15" t="s">
        <v>19</v>
      </c>
      <c r="C9" s="15" t="s">
        <v>3160</v>
      </c>
      <c r="D9" s="15" t="s">
        <v>5564</v>
      </c>
      <c r="E9" s="15" t="s">
        <v>2660</v>
      </c>
      <c r="F9" s="15">
        <v>0.0</v>
      </c>
      <c r="G9" s="15" t="s">
        <v>1025</v>
      </c>
      <c r="H9" s="15" t="s">
        <v>22</v>
      </c>
      <c r="I9" s="15" t="s">
        <v>892</v>
      </c>
      <c r="J9" s="15" t="s">
        <v>24</v>
      </c>
      <c r="K9" s="16">
        <v>0.0</v>
      </c>
      <c r="L9" s="16">
        <v>0.75</v>
      </c>
      <c r="M9" s="16">
        <v>0.75</v>
      </c>
      <c r="N9" s="17">
        <v>45171.0</v>
      </c>
      <c r="O9" s="18">
        <v>2.0</v>
      </c>
      <c r="P9" s="15" t="s">
        <v>25</v>
      </c>
      <c r="Q9" s="19">
        <f t="shared" si="1"/>
        <v>-0.75</v>
      </c>
      <c r="R9" s="19">
        <f t="shared" si="4"/>
        <v>0.82675</v>
      </c>
      <c r="T9" s="66">
        <v>45177.0</v>
      </c>
      <c r="U9" s="13">
        <f t="shared" si="2"/>
        <v>1.025</v>
      </c>
    </row>
    <row r="10">
      <c r="A10" s="8">
        <f t="shared" si="3"/>
        <v>9</v>
      </c>
      <c r="B10" s="8" t="s">
        <v>40</v>
      </c>
      <c r="C10" s="8" t="s">
        <v>3161</v>
      </c>
      <c r="D10" s="8" t="s">
        <v>5564</v>
      </c>
      <c r="E10" s="8" t="s">
        <v>2556</v>
      </c>
      <c r="F10" s="8">
        <v>0.0</v>
      </c>
      <c r="G10" s="8" t="s">
        <v>908</v>
      </c>
      <c r="H10" s="8" t="s">
        <v>22</v>
      </c>
      <c r="I10" s="8" t="s">
        <v>225</v>
      </c>
      <c r="J10" s="8" t="s">
        <v>24</v>
      </c>
      <c r="K10" s="9">
        <v>0.5</v>
      </c>
      <c r="L10" s="9">
        <v>0.75</v>
      </c>
      <c r="M10" s="9">
        <v>0.75</v>
      </c>
      <c r="N10" s="10">
        <v>45171.0</v>
      </c>
      <c r="O10" s="11">
        <v>1.825</v>
      </c>
      <c r="P10" s="8" t="s">
        <v>25</v>
      </c>
      <c r="Q10" s="12">
        <f t="shared" si="1"/>
        <v>-0.75</v>
      </c>
      <c r="R10" s="12">
        <f t="shared" si="4"/>
        <v>0.07675</v>
      </c>
      <c r="T10" s="66">
        <v>45178.0</v>
      </c>
      <c r="U10" s="13">
        <f t="shared" si="2"/>
        <v>1.98686875</v>
      </c>
      <c r="V10" s="2" t="s">
        <v>55</v>
      </c>
    </row>
    <row r="11">
      <c r="A11" s="15">
        <f t="shared" si="3"/>
        <v>10</v>
      </c>
      <c r="B11" s="15" t="s">
        <v>19</v>
      </c>
      <c r="C11" s="15" t="s">
        <v>3162</v>
      </c>
      <c r="D11" s="15" t="s">
        <v>5564</v>
      </c>
      <c r="E11" s="15" t="s">
        <v>2556</v>
      </c>
      <c r="F11" s="15">
        <v>0.0</v>
      </c>
      <c r="G11" s="15" t="s">
        <v>44</v>
      </c>
      <c r="H11" s="15" t="s">
        <v>22</v>
      </c>
      <c r="I11" s="15" t="s">
        <v>225</v>
      </c>
      <c r="J11" s="15" t="s">
        <v>24</v>
      </c>
      <c r="K11" s="16">
        <v>0.25</v>
      </c>
      <c r="L11" s="16">
        <v>0.75</v>
      </c>
      <c r="M11" s="16">
        <v>0.75</v>
      </c>
      <c r="N11" s="17">
        <v>45171.0</v>
      </c>
      <c r="O11" s="18">
        <v>1.9</v>
      </c>
      <c r="P11" s="15" t="s">
        <v>25</v>
      </c>
      <c r="Q11" s="19">
        <f t="shared" si="1"/>
        <v>-0.75</v>
      </c>
      <c r="R11" s="19">
        <f t="shared" si="4"/>
        <v>-0.67325</v>
      </c>
      <c r="T11" s="66">
        <v>45179.0</v>
      </c>
      <c r="U11" s="13">
        <f t="shared" si="2"/>
        <v>1.44625</v>
      </c>
      <c r="V11" s="21">
        <f>(SUMPRODUCT(--(L2:L997 = M2:M997))-countif(L2:L997,""))/countif(L2:L997,"&gt;0")</f>
        <v>0.9381818182</v>
      </c>
    </row>
    <row r="12">
      <c r="A12" s="8">
        <f t="shared" si="3"/>
        <v>11</v>
      </c>
      <c r="B12" s="8" t="s">
        <v>19</v>
      </c>
      <c r="C12" s="8" t="s">
        <v>3163</v>
      </c>
      <c r="D12" s="8" t="s">
        <v>5565</v>
      </c>
      <c r="E12" s="8" t="s">
        <v>2660</v>
      </c>
      <c r="F12" s="8">
        <f>1</f>
        <v>1</v>
      </c>
      <c r="G12" s="8" t="s">
        <v>44</v>
      </c>
      <c r="H12" s="8" t="s">
        <v>22</v>
      </c>
      <c r="I12" s="8" t="s">
        <v>892</v>
      </c>
      <c r="J12" s="8" t="s">
        <v>24</v>
      </c>
      <c r="K12" s="9">
        <v>0.0</v>
      </c>
      <c r="L12" s="9">
        <v>0.75</v>
      </c>
      <c r="M12" s="9">
        <v>0.75</v>
      </c>
      <c r="N12" s="10">
        <v>45171.0</v>
      </c>
      <c r="O12" s="11">
        <v>1.75</v>
      </c>
      <c r="P12" s="8" t="s">
        <v>70</v>
      </c>
      <c r="Q12" s="12">
        <f t="shared" si="1"/>
        <v>0</v>
      </c>
      <c r="R12" s="12">
        <f t="shared" si="4"/>
        <v>-0.67325</v>
      </c>
      <c r="T12" s="66">
        <v>45180.0</v>
      </c>
      <c r="U12" s="13">
        <f t="shared" si="2"/>
        <v>0</v>
      </c>
    </row>
    <row r="13">
      <c r="A13" s="15">
        <f t="shared" si="3"/>
        <v>12</v>
      </c>
      <c r="B13" s="15" t="s">
        <v>19</v>
      </c>
      <c r="C13" s="15" t="s">
        <v>3164</v>
      </c>
      <c r="D13" s="15" t="s">
        <v>5565</v>
      </c>
      <c r="E13" s="15" t="s">
        <v>2556</v>
      </c>
      <c r="F13" s="15">
        <v>0.0</v>
      </c>
      <c r="G13" s="15" t="s">
        <v>432</v>
      </c>
      <c r="H13" s="15" t="s">
        <v>22</v>
      </c>
      <c r="I13" s="15" t="s">
        <v>225</v>
      </c>
      <c r="J13" s="15" t="s">
        <v>24</v>
      </c>
      <c r="K13" s="16">
        <v>0.5</v>
      </c>
      <c r="L13" s="16">
        <v>0.75</v>
      </c>
      <c r="M13" s="16">
        <v>0.75</v>
      </c>
      <c r="N13" s="17">
        <v>45171.0</v>
      </c>
      <c r="O13" s="18">
        <v>1.77</v>
      </c>
      <c r="P13" s="15" t="s">
        <v>25</v>
      </c>
      <c r="Q13" s="19">
        <f t="shared" si="1"/>
        <v>-0.75</v>
      </c>
      <c r="R13" s="19">
        <f t="shared" si="4"/>
        <v>-1.42325</v>
      </c>
      <c r="T13" s="66">
        <v>45181.0</v>
      </c>
      <c r="U13" s="13">
        <f t="shared" si="2"/>
        <v>-0.005</v>
      </c>
      <c r="V13" s="2" t="s">
        <v>61</v>
      </c>
    </row>
    <row r="14">
      <c r="A14" s="8">
        <f t="shared" si="3"/>
        <v>13</v>
      </c>
      <c r="B14" s="8" t="s">
        <v>19</v>
      </c>
      <c r="C14" s="8" t="s">
        <v>3165</v>
      </c>
      <c r="D14" s="8" t="s">
        <v>5564</v>
      </c>
      <c r="E14" s="8" t="s">
        <v>2660</v>
      </c>
      <c r="F14" s="8">
        <v>-1.0</v>
      </c>
      <c r="G14" s="8" t="s">
        <v>121</v>
      </c>
      <c r="H14" s="8" t="s">
        <v>22</v>
      </c>
      <c r="I14" s="8" t="s">
        <v>892</v>
      </c>
      <c r="J14" s="8" t="s">
        <v>1803</v>
      </c>
      <c r="K14" s="9">
        <v>0.0</v>
      </c>
      <c r="L14" s="9">
        <v>0.5</v>
      </c>
      <c r="M14" s="9">
        <v>0.5</v>
      </c>
      <c r="N14" s="10">
        <v>45171.0</v>
      </c>
      <c r="O14" s="11">
        <v>1.925</v>
      </c>
      <c r="P14" s="8" t="s">
        <v>70</v>
      </c>
      <c r="Q14" s="12">
        <f t="shared" si="1"/>
        <v>0</v>
      </c>
      <c r="R14" s="12">
        <f t="shared" si="4"/>
        <v>-1.42325</v>
      </c>
      <c r="T14" s="66">
        <v>45182.0</v>
      </c>
      <c r="U14" s="13">
        <f t="shared" si="2"/>
        <v>-0.167</v>
      </c>
      <c r="V14" s="22">
        <f>average(O2:O997)</f>
        <v>2.034666909</v>
      </c>
    </row>
    <row r="15">
      <c r="A15" s="15">
        <f t="shared" si="3"/>
        <v>14</v>
      </c>
      <c r="B15" s="15" t="s">
        <v>40</v>
      </c>
      <c r="C15" s="15" t="s">
        <v>3166</v>
      </c>
      <c r="D15" s="15" t="s">
        <v>5565</v>
      </c>
      <c r="E15" s="15" t="s">
        <v>2556</v>
      </c>
      <c r="F15" s="15">
        <v>-1.0</v>
      </c>
      <c r="G15" s="15" t="s">
        <v>229</v>
      </c>
      <c r="H15" s="15" t="s">
        <v>22</v>
      </c>
      <c r="I15" s="15" t="s">
        <v>2725</v>
      </c>
      <c r="J15" s="15" t="s">
        <v>24</v>
      </c>
      <c r="K15" s="16">
        <v>0.5</v>
      </c>
      <c r="L15" s="16">
        <v>0.5</v>
      </c>
      <c r="M15" s="16">
        <v>0.5</v>
      </c>
      <c r="N15" s="17">
        <v>45171.0</v>
      </c>
      <c r="O15" s="18">
        <v>1.685</v>
      </c>
      <c r="P15" s="15" t="s">
        <v>33</v>
      </c>
      <c r="Q15" s="19">
        <f t="shared" si="1"/>
        <v>0.3425</v>
      </c>
      <c r="R15" s="19">
        <f t="shared" si="4"/>
        <v>-1.08075</v>
      </c>
      <c r="T15" s="66">
        <v>45183.0</v>
      </c>
      <c r="U15" s="13">
        <f t="shared" si="2"/>
        <v>0.325</v>
      </c>
    </row>
    <row r="16">
      <c r="A16" s="8">
        <f t="shared" si="3"/>
        <v>15</v>
      </c>
      <c r="B16" s="8" t="s">
        <v>19</v>
      </c>
      <c r="C16" s="8" t="s">
        <v>3167</v>
      </c>
      <c r="D16" s="8" t="s">
        <v>5565</v>
      </c>
      <c r="E16" s="8" t="s">
        <v>2556</v>
      </c>
      <c r="F16" s="8">
        <v>-1.0</v>
      </c>
      <c r="G16" s="8" t="s">
        <v>229</v>
      </c>
      <c r="H16" s="8" t="s">
        <v>22</v>
      </c>
      <c r="I16" s="8" t="s">
        <v>225</v>
      </c>
      <c r="J16" s="8" t="s">
        <v>24</v>
      </c>
      <c r="K16" s="9">
        <v>1.75</v>
      </c>
      <c r="L16" s="9">
        <v>0.5</v>
      </c>
      <c r="M16" s="9">
        <v>0.5</v>
      </c>
      <c r="N16" s="10">
        <v>45171.0</v>
      </c>
      <c r="O16" s="11">
        <v>1.925</v>
      </c>
      <c r="P16" s="8" t="s">
        <v>25</v>
      </c>
      <c r="Q16" s="12">
        <f t="shared" si="1"/>
        <v>-0.5</v>
      </c>
      <c r="R16" s="12">
        <f t="shared" si="4"/>
        <v>-1.58075</v>
      </c>
      <c r="T16" s="66">
        <v>45184.0</v>
      </c>
      <c r="U16" s="13">
        <f t="shared" si="2"/>
        <v>1.8187</v>
      </c>
    </row>
    <row r="17">
      <c r="A17" s="15">
        <f t="shared" si="3"/>
        <v>16</v>
      </c>
      <c r="B17" s="15" t="s">
        <v>19</v>
      </c>
      <c r="C17" s="15" t="s">
        <v>3168</v>
      </c>
      <c r="D17" s="15" t="s">
        <v>5565</v>
      </c>
      <c r="E17" s="15" t="s">
        <v>2556</v>
      </c>
      <c r="F17" s="15">
        <v>0.0</v>
      </c>
      <c r="G17" s="15" t="s">
        <v>178</v>
      </c>
      <c r="H17" s="15" t="s">
        <v>22</v>
      </c>
      <c r="I17" s="15" t="s">
        <v>941</v>
      </c>
      <c r="J17" s="15" t="s">
        <v>1522</v>
      </c>
      <c r="K17" s="16">
        <v>0.0</v>
      </c>
      <c r="L17" s="16">
        <v>1.0</v>
      </c>
      <c r="M17" s="16">
        <v>1.0</v>
      </c>
      <c r="N17" s="17">
        <v>45171.0</v>
      </c>
      <c r="O17" s="18">
        <v>1.76</v>
      </c>
      <c r="P17" s="15" t="s">
        <v>33</v>
      </c>
      <c r="Q17" s="19">
        <f t="shared" si="1"/>
        <v>0.76</v>
      </c>
      <c r="R17" s="19">
        <f t="shared" si="4"/>
        <v>-0.82075</v>
      </c>
      <c r="T17" s="66">
        <v>45185.0</v>
      </c>
      <c r="U17" s="13">
        <f t="shared" si="2"/>
        <v>2.6995</v>
      </c>
    </row>
    <row r="18">
      <c r="A18" s="8">
        <f t="shared" si="3"/>
        <v>17</v>
      </c>
      <c r="B18" s="8" t="s">
        <v>19</v>
      </c>
      <c r="C18" s="8" t="s">
        <v>3169</v>
      </c>
      <c r="D18" s="8" t="s">
        <v>5564</v>
      </c>
      <c r="E18" s="8" t="s">
        <v>2556</v>
      </c>
      <c r="F18" s="8">
        <v>0.0</v>
      </c>
      <c r="G18" s="8" t="s">
        <v>583</v>
      </c>
      <c r="H18" s="8" t="s">
        <v>22</v>
      </c>
      <c r="I18" s="8" t="s">
        <v>225</v>
      </c>
      <c r="J18" s="8" t="s">
        <v>24</v>
      </c>
      <c r="K18" s="9">
        <v>0.5</v>
      </c>
      <c r="L18" s="9">
        <v>0.75</v>
      </c>
      <c r="M18" s="9">
        <v>0.75</v>
      </c>
      <c r="N18" s="10">
        <v>45171.0</v>
      </c>
      <c r="O18" s="11">
        <v>1.8</v>
      </c>
      <c r="P18" s="8" t="s">
        <v>25</v>
      </c>
      <c r="Q18" s="12">
        <f t="shared" si="1"/>
        <v>-0.75</v>
      </c>
      <c r="R18" s="12">
        <f t="shared" si="4"/>
        <v>-1.57075</v>
      </c>
      <c r="T18" s="66">
        <v>45186.0</v>
      </c>
      <c r="U18" s="13">
        <f t="shared" si="2"/>
        <v>1.29375</v>
      </c>
    </row>
    <row r="19">
      <c r="A19" s="15">
        <f t="shared" si="3"/>
        <v>18</v>
      </c>
      <c r="B19" s="15" t="s">
        <v>19</v>
      </c>
      <c r="C19" s="15" t="s">
        <v>3170</v>
      </c>
      <c r="D19" s="15" t="s">
        <v>5564</v>
      </c>
      <c r="E19" s="15" t="s">
        <v>2556</v>
      </c>
      <c r="F19" s="15">
        <v>0.0</v>
      </c>
      <c r="G19" s="15" t="s">
        <v>1201</v>
      </c>
      <c r="H19" s="15" t="s">
        <v>22</v>
      </c>
      <c r="I19" s="15" t="s">
        <v>225</v>
      </c>
      <c r="J19" s="15" t="s">
        <v>24</v>
      </c>
      <c r="K19" s="16">
        <v>1.0</v>
      </c>
      <c r="L19" s="16">
        <v>0.75</v>
      </c>
      <c r="M19" s="16">
        <v>0.65</v>
      </c>
      <c r="N19" s="17">
        <v>45171.0</v>
      </c>
      <c r="O19" s="18">
        <v>1.8</v>
      </c>
      <c r="P19" s="15" t="s">
        <v>25</v>
      </c>
      <c r="Q19" s="19">
        <f t="shared" si="1"/>
        <v>-0.65</v>
      </c>
      <c r="R19" s="19">
        <f t="shared" si="4"/>
        <v>-2.22075</v>
      </c>
      <c r="T19" s="66">
        <v>45187.0</v>
      </c>
      <c r="U19" s="13">
        <f t="shared" si="2"/>
        <v>0</v>
      </c>
    </row>
    <row r="20">
      <c r="A20" s="8">
        <f t="shared" si="3"/>
        <v>19</v>
      </c>
      <c r="B20" s="8" t="s">
        <v>19</v>
      </c>
      <c r="C20" s="8" t="s">
        <v>3171</v>
      </c>
      <c r="D20" s="8" t="s">
        <v>5565</v>
      </c>
      <c r="E20" s="8" t="s">
        <v>2660</v>
      </c>
      <c r="F20" s="8">
        <v>0.0</v>
      </c>
      <c r="G20" s="8" t="s">
        <v>245</v>
      </c>
      <c r="H20" s="8" t="s">
        <v>22</v>
      </c>
      <c r="I20" s="8" t="s">
        <v>1150</v>
      </c>
      <c r="J20" s="8" t="s">
        <v>24</v>
      </c>
      <c r="K20" s="9">
        <v>0.0</v>
      </c>
      <c r="L20" s="9">
        <v>0.5</v>
      </c>
      <c r="M20" s="9">
        <v>0.5</v>
      </c>
      <c r="N20" s="10">
        <v>45171.0</v>
      </c>
      <c r="O20" s="11">
        <v>2.0</v>
      </c>
      <c r="P20" s="8" t="s">
        <v>33</v>
      </c>
      <c r="Q20" s="12">
        <f t="shared" si="1"/>
        <v>0.5</v>
      </c>
      <c r="R20" s="12">
        <f t="shared" si="4"/>
        <v>-1.72075</v>
      </c>
      <c r="T20" s="66">
        <v>45188.0</v>
      </c>
      <c r="U20" s="13">
        <f t="shared" si="2"/>
        <v>1.285</v>
      </c>
    </row>
    <row r="21">
      <c r="A21" s="15">
        <f t="shared" si="3"/>
        <v>20</v>
      </c>
      <c r="B21" s="15" t="s">
        <v>19</v>
      </c>
      <c r="C21" s="15" t="s">
        <v>3172</v>
      </c>
      <c r="D21" s="15" t="s">
        <v>5564</v>
      </c>
      <c r="E21" s="15" t="s">
        <v>2556</v>
      </c>
      <c r="F21" s="15">
        <v>0.0</v>
      </c>
      <c r="G21" s="15" t="s">
        <v>101</v>
      </c>
      <c r="H21" s="15" t="s">
        <v>22</v>
      </c>
      <c r="I21" s="15" t="s">
        <v>225</v>
      </c>
      <c r="J21" s="15" t="s">
        <v>24</v>
      </c>
      <c r="K21" s="16">
        <v>0.25</v>
      </c>
      <c r="L21" s="16">
        <v>0.5</v>
      </c>
      <c r="M21" s="16">
        <v>0.5</v>
      </c>
      <c r="N21" s="17">
        <v>45171.0</v>
      </c>
      <c r="O21" s="18">
        <v>1.62</v>
      </c>
      <c r="P21" s="15" t="s">
        <v>33</v>
      </c>
      <c r="Q21" s="19">
        <f t="shared" si="1"/>
        <v>0.31</v>
      </c>
      <c r="R21" s="19">
        <f t="shared" si="4"/>
        <v>-1.41075</v>
      </c>
      <c r="T21" s="66">
        <v>45189.0</v>
      </c>
      <c r="U21" s="13">
        <f t="shared" si="2"/>
        <v>0.79</v>
      </c>
    </row>
    <row r="22">
      <c r="A22" s="8">
        <f t="shared" si="3"/>
        <v>21</v>
      </c>
      <c r="B22" s="8" t="s">
        <v>19</v>
      </c>
      <c r="C22" s="8" t="s">
        <v>3173</v>
      </c>
      <c r="D22" s="8" t="s">
        <v>5564</v>
      </c>
      <c r="E22" s="8" t="s">
        <v>2660</v>
      </c>
      <c r="F22" s="8">
        <v>0.0</v>
      </c>
      <c r="G22" s="8" t="s">
        <v>66</v>
      </c>
      <c r="H22" s="8" t="s">
        <v>22</v>
      </c>
      <c r="I22" s="8" t="s">
        <v>892</v>
      </c>
      <c r="J22" s="8" t="s">
        <v>24</v>
      </c>
      <c r="K22" s="9">
        <v>0.0</v>
      </c>
      <c r="L22" s="9">
        <v>1.0</v>
      </c>
      <c r="M22" s="9">
        <v>1.0</v>
      </c>
      <c r="N22" s="10">
        <v>45171.0</v>
      </c>
      <c r="O22" s="11">
        <v>1.136</v>
      </c>
      <c r="P22" s="8" t="s">
        <v>33</v>
      </c>
      <c r="Q22" s="12">
        <f t="shared" si="1"/>
        <v>0.136</v>
      </c>
      <c r="R22" s="12">
        <f t="shared" si="4"/>
        <v>-1.27475</v>
      </c>
      <c r="T22" s="66">
        <v>45190.0</v>
      </c>
      <c r="U22" s="13">
        <f t="shared" si="2"/>
        <v>0.16914</v>
      </c>
    </row>
    <row r="23">
      <c r="A23" s="15">
        <f t="shared" si="3"/>
        <v>22</v>
      </c>
      <c r="B23" s="15" t="s">
        <v>19</v>
      </c>
      <c r="C23" s="15" t="s">
        <v>3174</v>
      </c>
      <c r="D23" s="15" t="s">
        <v>5564</v>
      </c>
      <c r="E23" s="15" t="s">
        <v>2556</v>
      </c>
      <c r="F23" s="15">
        <v>-1.0</v>
      </c>
      <c r="G23" s="15" t="s">
        <v>50</v>
      </c>
      <c r="H23" s="15" t="s">
        <v>22</v>
      </c>
      <c r="I23" s="15" t="s">
        <v>225</v>
      </c>
      <c r="J23" s="15" t="s">
        <v>1522</v>
      </c>
      <c r="K23" s="16">
        <v>0.5</v>
      </c>
      <c r="L23" s="16">
        <v>0.75</v>
      </c>
      <c r="M23" s="16">
        <v>0.75</v>
      </c>
      <c r="N23" s="17">
        <v>45171.0</v>
      </c>
      <c r="O23" s="18">
        <v>1.875</v>
      </c>
      <c r="P23" s="15" t="s">
        <v>25</v>
      </c>
      <c r="Q23" s="19">
        <f t="shared" si="1"/>
        <v>-0.75</v>
      </c>
      <c r="R23" s="19">
        <f t="shared" si="4"/>
        <v>-2.02475</v>
      </c>
      <c r="T23" s="66">
        <v>45191.0</v>
      </c>
      <c r="U23" s="13">
        <f t="shared" si="2"/>
        <v>0</v>
      </c>
    </row>
    <row r="24">
      <c r="A24" s="8">
        <f t="shared" si="3"/>
        <v>23</v>
      </c>
      <c r="B24" s="8" t="s">
        <v>19</v>
      </c>
      <c r="C24" s="8" t="s">
        <v>3175</v>
      </c>
      <c r="D24" s="8" t="s">
        <v>5565</v>
      </c>
      <c r="E24" s="8" t="s">
        <v>2556</v>
      </c>
      <c r="F24" s="8">
        <v>0.0</v>
      </c>
      <c r="G24" s="8" t="s">
        <v>245</v>
      </c>
      <c r="H24" s="8" t="s">
        <v>22</v>
      </c>
      <c r="I24" s="8" t="s">
        <v>225</v>
      </c>
      <c r="J24" s="8" t="s">
        <v>24</v>
      </c>
      <c r="K24" s="9">
        <v>0.25</v>
      </c>
      <c r="L24" s="9">
        <v>0.25</v>
      </c>
      <c r="M24" s="9">
        <v>0.25</v>
      </c>
      <c r="N24" s="10">
        <v>45171.0</v>
      </c>
      <c r="O24" s="11">
        <v>2.0</v>
      </c>
      <c r="P24" s="8" t="s">
        <v>25</v>
      </c>
      <c r="Q24" s="12">
        <f t="shared" si="1"/>
        <v>-0.25</v>
      </c>
      <c r="R24" s="12">
        <f t="shared" si="4"/>
        <v>-2.27475</v>
      </c>
      <c r="T24" s="66">
        <v>45192.0</v>
      </c>
      <c r="U24" s="13">
        <f t="shared" si="2"/>
        <v>1.891</v>
      </c>
    </row>
    <row r="25">
      <c r="A25" s="15">
        <f t="shared" si="3"/>
        <v>24</v>
      </c>
      <c r="B25" s="15" t="s">
        <v>19</v>
      </c>
      <c r="C25" s="15" t="s">
        <v>3176</v>
      </c>
      <c r="D25" s="15" t="s">
        <v>5564</v>
      </c>
      <c r="E25" s="15" t="s">
        <v>2556</v>
      </c>
      <c r="F25" s="15">
        <v>0.0</v>
      </c>
      <c r="G25" s="15" t="s">
        <v>172</v>
      </c>
      <c r="H25" s="15" t="s">
        <v>22</v>
      </c>
      <c r="I25" s="15" t="s">
        <v>225</v>
      </c>
      <c r="J25" s="15" t="s">
        <v>24</v>
      </c>
      <c r="K25" s="16">
        <v>0.25</v>
      </c>
      <c r="L25" s="16">
        <v>0.51</v>
      </c>
      <c r="M25" s="16">
        <v>0.51</v>
      </c>
      <c r="N25" s="17">
        <v>45171.0</v>
      </c>
      <c r="O25" s="18">
        <v>1.825</v>
      </c>
      <c r="P25" s="15" t="s">
        <v>25</v>
      </c>
      <c r="Q25" s="19">
        <f t="shared" si="1"/>
        <v>-0.51</v>
      </c>
      <c r="R25" s="19">
        <f t="shared" si="4"/>
        <v>-2.78475</v>
      </c>
      <c r="T25" s="66">
        <v>45193.0</v>
      </c>
      <c r="U25" s="13">
        <f t="shared" si="2"/>
        <v>1.1133</v>
      </c>
    </row>
    <row r="26">
      <c r="A26" s="8">
        <f t="shared" si="3"/>
        <v>25</v>
      </c>
      <c r="B26" s="8" t="s">
        <v>19</v>
      </c>
      <c r="C26" s="8" t="s">
        <v>3177</v>
      </c>
      <c r="D26" s="8" t="s">
        <v>5564</v>
      </c>
      <c r="E26" s="8" t="s">
        <v>2556</v>
      </c>
      <c r="F26" s="8">
        <v>-2.0</v>
      </c>
      <c r="G26" s="8" t="s">
        <v>66</v>
      </c>
      <c r="H26" s="8" t="s">
        <v>22</v>
      </c>
      <c r="I26" s="8" t="s">
        <v>225</v>
      </c>
      <c r="J26" s="8" t="s">
        <v>24</v>
      </c>
      <c r="K26" s="9">
        <v>0.5</v>
      </c>
      <c r="L26" s="9">
        <v>1.0</v>
      </c>
      <c r="M26" s="9">
        <v>1.0</v>
      </c>
      <c r="N26" s="10">
        <v>45171.0</v>
      </c>
      <c r="O26" s="11">
        <v>1.725</v>
      </c>
      <c r="P26" s="8" t="s">
        <v>33</v>
      </c>
      <c r="Q26" s="12">
        <f t="shared" si="1"/>
        <v>0.725</v>
      </c>
      <c r="R26" s="12">
        <f t="shared" si="4"/>
        <v>-2.05975</v>
      </c>
      <c r="T26" s="66">
        <v>45194.0</v>
      </c>
      <c r="U26" s="13">
        <f t="shared" si="2"/>
        <v>-0.5</v>
      </c>
    </row>
    <row r="27">
      <c r="A27" s="15">
        <f t="shared" si="3"/>
        <v>26</v>
      </c>
      <c r="B27" s="15" t="s">
        <v>19</v>
      </c>
      <c r="C27" s="15" t="s">
        <v>3178</v>
      </c>
      <c r="D27" s="15" t="s">
        <v>5564</v>
      </c>
      <c r="E27" s="15" t="s">
        <v>2660</v>
      </c>
      <c r="F27" s="15">
        <v>2</v>
      </c>
      <c r="G27" s="15" t="s">
        <v>28</v>
      </c>
      <c r="H27" s="15" t="s">
        <v>22</v>
      </c>
      <c r="I27" s="15" t="s">
        <v>1150</v>
      </c>
      <c r="J27" s="15" t="s">
        <v>24</v>
      </c>
      <c r="K27" s="16">
        <v>0.0</v>
      </c>
      <c r="L27" s="16">
        <v>1.0</v>
      </c>
      <c r="M27" s="16">
        <v>1.0</v>
      </c>
      <c r="N27" s="17">
        <v>45171.0</v>
      </c>
      <c r="O27" s="18">
        <v>1.85</v>
      </c>
      <c r="P27" s="15" t="s">
        <v>70</v>
      </c>
      <c r="Q27" s="19">
        <f t="shared" si="1"/>
        <v>0</v>
      </c>
      <c r="R27" s="19">
        <f t="shared" si="4"/>
        <v>-2.05975</v>
      </c>
      <c r="T27" s="66">
        <v>45195.0</v>
      </c>
      <c r="U27" s="13">
        <f t="shared" si="2"/>
        <v>0.19975</v>
      </c>
    </row>
    <row r="28">
      <c r="A28" s="8">
        <f t="shared" si="3"/>
        <v>27</v>
      </c>
      <c r="B28" s="8" t="s">
        <v>19</v>
      </c>
      <c r="C28" s="8" t="s">
        <v>3179</v>
      </c>
      <c r="D28" s="8" t="s">
        <v>5565</v>
      </c>
      <c r="E28" s="8" t="s">
        <v>2556</v>
      </c>
      <c r="F28" s="8">
        <v>2</v>
      </c>
      <c r="G28" s="8" t="s">
        <v>82</v>
      </c>
      <c r="H28" s="8" t="s">
        <v>22</v>
      </c>
      <c r="I28" s="8" t="s">
        <v>225</v>
      </c>
      <c r="J28" s="8" t="s">
        <v>39</v>
      </c>
      <c r="K28" s="9">
        <v>0.75</v>
      </c>
      <c r="L28" s="9">
        <v>0.25</v>
      </c>
      <c r="M28" s="9">
        <v>0.25</v>
      </c>
      <c r="N28" s="10">
        <v>45171.0</v>
      </c>
      <c r="O28" s="11">
        <v>2.0</v>
      </c>
      <c r="P28" s="8" t="s">
        <v>25</v>
      </c>
      <c r="Q28" s="12">
        <f t="shared" si="1"/>
        <v>-0.25</v>
      </c>
      <c r="R28" s="12">
        <f t="shared" si="4"/>
        <v>-2.30975</v>
      </c>
      <c r="T28" s="66">
        <v>45196.0</v>
      </c>
      <c r="U28" s="13">
        <f t="shared" si="2"/>
        <v>1.4045</v>
      </c>
    </row>
    <row r="29">
      <c r="A29" s="15">
        <f t="shared" si="3"/>
        <v>28</v>
      </c>
      <c r="B29" s="15" t="s">
        <v>19</v>
      </c>
      <c r="C29" s="15" t="s">
        <v>3180</v>
      </c>
      <c r="D29" s="15"/>
      <c r="E29" s="15"/>
      <c r="F29" s="15" t="s">
        <v>3181</v>
      </c>
      <c r="G29" s="15" t="s">
        <v>82</v>
      </c>
      <c r="H29" s="15" t="s">
        <v>22</v>
      </c>
      <c r="I29" s="15" t="s">
        <v>29</v>
      </c>
      <c r="J29" s="15" t="s">
        <v>39</v>
      </c>
      <c r="K29" s="16">
        <v>-4.25</v>
      </c>
      <c r="L29" s="16">
        <v>0.25</v>
      </c>
      <c r="M29" s="16">
        <v>0.25</v>
      </c>
      <c r="N29" s="17">
        <v>45171.0</v>
      </c>
      <c r="O29" s="18">
        <v>1.85</v>
      </c>
      <c r="P29" s="15" t="s">
        <v>70</v>
      </c>
      <c r="Q29" s="19">
        <f t="shared" si="1"/>
        <v>0</v>
      </c>
      <c r="R29" s="19">
        <f t="shared" si="4"/>
        <v>-2.30975</v>
      </c>
      <c r="T29" s="66">
        <v>45197.0</v>
      </c>
      <c r="U29" s="13">
        <f t="shared" si="2"/>
        <v>1.04664</v>
      </c>
    </row>
    <row r="30">
      <c r="A30" s="8">
        <f t="shared" si="3"/>
        <v>29</v>
      </c>
      <c r="B30" s="8" t="s">
        <v>19</v>
      </c>
      <c r="C30" s="8" t="s">
        <v>3182</v>
      </c>
      <c r="D30" s="8" t="s">
        <v>5564</v>
      </c>
      <c r="E30" s="8" t="s">
        <v>2556</v>
      </c>
      <c r="F30" s="8">
        <v>0.0</v>
      </c>
      <c r="G30" s="8" t="s">
        <v>44</v>
      </c>
      <c r="H30" s="8" t="s">
        <v>22</v>
      </c>
      <c r="I30" s="8" t="s">
        <v>225</v>
      </c>
      <c r="J30" s="8" t="s">
        <v>24</v>
      </c>
      <c r="K30" s="9">
        <v>0.25</v>
      </c>
      <c r="L30" s="9">
        <v>0.5</v>
      </c>
      <c r="M30" s="9">
        <v>0.5</v>
      </c>
      <c r="N30" s="10">
        <v>45172.0</v>
      </c>
      <c r="O30" s="11">
        <v>1.725</v>
      </c>
      <c r="P30" s="8" t="s">
        <v>25</v>
      </c>
      <c r="Q30" s="12">
        <f t="shared" si="1"/>
        <v>-0.5</v>
      </c>
      <c r="R30" s="12">
        <f t="shared" si="4"/>
        <v>-2.80975</v>
      </c>
      <c r="T30" s="66">
        <v>45198.0</v>
      </c>
      <c r="U30" s="13">
        <f t="shared" si="2"/>
        <v>-0.2088</v>
      </c>
    </row>
    <row r="31">
      <c r="A31" s="15">
        <f t="shared" si="3"/>
        <v>30</v>
      </c>
      <c r="B31" s="15" t="s">
        <v>19</v>
      </c>
      <c r="C31" s="15" t="s">
        <v>3183</v>
      </c>
      <c r="D31" s="15" t="s">
        <v>5564</v>
      </c>
      <c r="E31" s="15"/>
      <c r="F31" s="15">
        <v>0.0</v>
      </c>
      <c r="G31" s="15" t="s">
        <v>44</v>
      </c>
      <c r="H31" s="15" t="s">
        <v>22</v>
      </c>
      <c r="I31" s="15" t="s">
        <v>941</v>
      </c>
      <c r="J31" s="15" t="s">
        <v>24</v>
      </c>
      <c r="K31" s="16">
        <v>0.0</v>
      </c>
      <c r="L31" s="16">
        <v>0.5</v>
      </c>
      <c r="M31" s="16">
        <v>0.5</v>
      </c>
      <c r="N31" s="17">
        <v>45172.0</v>
      </c>
      <c r="O31" s="18">
        <v>2.1</v>
      </c>
      <c r="P31" s="15" t="s">
        <v>25</v>
      </c>
      <c r="Q31" s="19">
        <f t="shared" si="1"/>
        <v>-0.5</v>
      </c>
      <c r="R31" s="19">
        <f t="shared" si="4"/>
        <v>-3.30975</v>
      </c>
      <c r="T31" s="66">
        <v>45199.0</v>
      </c>
      <c r="U31" s="13">
        <f t="shared" si="2"/>
        <v>0.77805</v>
      </c>
    </row>
    <row r="32">
      <c r="A32" s="8">
        <f t="shared" si="3"/>
        <v>31</v>
      </c>
      <c r="B32" s="8" t="s">
        <v>19</v>
      </c>
      <c r="C32" s="8" t="s">
        <v>3184</v>
      </c>
      <c r="D32" s="8" t="s">
        <v>5564</v>
      </c>
      <c r="E32" s="8" t="s">
        <v>2556</v>
      </c>
      <c r="F32" s="8">
        <v>-1.0</v>
      </c>
      <c r="G32" s="8" t="s">
        <v>93</v>
      </c>
      <c r="H32" s="8" t="s">
        <v>22</v>
      </c>
      <c r="I32" s="8" t="s">
        <v>225</v>
      </c>
      <c r="J32" s="8" t="s">
        <v>24</v>
      </c>
      <c r="K32" s="9">
        <v>0.25</v>
      </c>
      <c r="L32" s="9">
        <v>0.25</v>
      </c>
      <c r="M32" s="9">
        <v>0.25</v>
      </c>
      <c r="N32" s="10">
        <v>45172.0</v>
      </c>
      <c r="O32" s="11">
        <v>1.7</v>
      </c>
      <c r="P32" s="8" t="s">
        <v>25</v>
      </c>
      <c r="Q32" s="12">
        <f t="shared" si="1"/>
        <v>-0.25</v>
      </c>
      <c r="R32" s="12">
        <f t="shared" si="4"/>
        <v>-3.55975</v>
      </c>
      <c r="T32" s="66"/>
      <c r="U32" s="13">
        <f t="shared" si="2"/>
        <v>0</v>
      </c>
    </row>
    <row r="33">
      <c r="A33" s="15">
        <f t="shared" si="3"/>
        <v>32</v>
      </c>
      <c r="B33" s="15" t="s">
        <v>40</v>
      </c>
      <c r="C33" s="15" t="s">
        <v>3185</v>
      </c>
      <c r="D33" s="15" t="s">
        <v>5564</v>
      </c>
      <c r="E33" s="15" t="s">
        <v>2660</v>
      </c>
      <c r="F33" s="15">
        <v>-1.0</v>
      </c>
      <c r="G33" s="15" t="s">
        <v>908</v>
      </c>
      <c r="H33" s="15" t="s">
        <v>22</v>
      </c>
      <c r="I33" s="15" t="s">
        <v>892</v>
      </c>
      <c r="J33" s="15" t="s">
        <v>24</v>
      </c>
      <c r="K33" s="16">
        <v>0.0</v>
      </c>
      <c r="L33" s="16">
        <v>1.0</v>
      </c>
      <c r="M33" s="16">
        <v>1.0</v>
      </c>
      <c r="N33" s="17">
        <v>45172.0</v>
      </c>
      <c r="O33" s="18">
        <v>1.7</v>
      </c>
      <c r="P33" s="15" t="s">
        <v>25</v>
      </c>
      <c r="Q33" s="19">
        <f t="shared" si="1"/>
        <v>-1</v>
      </c>
      <c r="R33" s="19">
        <f t="shared" si="4"/>
        <v>-4.55975</v>
      </c>
      <c r="T33" s="94" t="s">
        <v>89</v>
      </c>
      <c r="U33" s="28">
        <f>SUM(U2:U32)</f>
        <v>17.290235</v>
      </c>
    </row>
    <row r="34">
      <c r="A34" s="8">
        <f t="shared" si="3"/>
        <v>33</v>
      </c>
      <c r="B34" s="8" t="s">
        <v>19</v>
      </c>
      <c r="C34" s="8" t="s">
        <v>3186</v>
      </c>
      <c r="D34" s="8" t="s">
        <v>5565</v>
      </c>
      <c r="E34" s="8" t="s">
        <v>2556</v>
      </c>
      <c r="F34" s="8">
        <v>0.0</v>
      </c>
      <c r="G34" s="8" t="s">
        <v>157</v>
      </c>
      <c r="H34" s="8" t="s">
        <v>22</v>
      </c>
      <c r="I34" s="8" t="s">
        <v>225</v>
      </c>
      <c r="J34" s="8" t="s">
        <v>24</v>
      </c>
      <c r="K34" s="9">
        <v>0.5</v>
      </c>
      <c r="L34" s="9">
        <v>0.5</v>
      </c>
      <c r="M34" s="9">
        <v>0.5</v>
      </c>
      <c r="N34" s="10">
        <v>45172.0</v>
      </c>
      <c r="O34" s="11">
        <v>1.925</v>
      </c>
      <c r="P34" s="8" t="s">
        <v>33</v>
      </c>
      <c r="Q34" s="12">
        <f t="shared" si="1"/>
        <v>0.4625</v>
      </c>
      <c r="R34" s="12">
        <f t="shared" si="4"/>
        <v>-4.09725</v>
      </c>
      <c r="T34" s="30"/>
    </row>
    <row r="35">
      <c r="A35" s="15">
        <f t="shared" si="3"/>
        <v>34</v>
      </c>
      <c r="B35" s="15" t="s">
        <v>19</v>
      </c>
      <c r="C35" s="15" t="s">
        <v>3187</v>
      </c>
      <c r="D35" s="15"/>
      <c r="E35" s="15"/>
      <c r="F35" s="15">
        <v>0.0</v>
      </c>
      <c r="G35" s="15" t="s">
        <v>157</v>
      </c>
      <c r="H35" s="15" t="s">
        <v>22</v>
      </c>
      <c r="I35" s="15" t="s">
        <v>29</v>
      </c>
      <c r="J35" s="15" t="s">
        <v>24</v>
      </c>
      <c r="K35" s="16">
        <v>-1.0</v>
      </c>
      <c r="L35" s="16">
        <v>0.5</v>
      </c>
      <c r="M35" s="16">
        <v>0.5</v>
      </c>
      <c r="N35" s="17">
        <v>45172.0</v>
      </c>
      <c r="O35" s="18">
        <v>1.775</v>
      </c>
      <c r="P35" s="15" t="s">
        <v>70</v>
      </c>
      <c r="Q35" s="19">
        <f t="shared" si="1"/>
        <v>0</v>
      </c>
      <c r="R35" s="19">
        <f t="shared" si="4"/>
        <v>-4.09725</v>
      </c>
      <c r="T35" s="30"/>
    </row>
    <row r="36">
      <c r="A36" s="8">
        <f t="shared" si="3"/>
        <v>35</v>
      </c>
      <c r="B36" s="8" t="s">
        <v>19</v>
      </c>
      <c r="C36" s="8" t="s">
        <v>3188</v>
      </c>
      <c r="D36" s="8" t="s">
        <v>5564</v>
      </c>
      <c r="E36" s="8" t="s">
        <v>2556</v>
      </c>
      <c r="F36" s="8">
        <v>0.0</v>
      </c>
      <c r="G36" s="8" t="s">
        <v>121</v>
      </c>
      <c r="H36" s="8" t="s">
        <v>22</v>
      </c>
      <c r="I36" s="8" t="s">
        <v>941</v>
      </c>
      <c r="J36" s="8" t="s">
        <v>1522</v>
      </c>
      <c r="K36" s="9">
        <v>0.0</v>
      </c>
      <c r="L36" s="9">
        <v>0.75</v>
      </c>
      <c r="M36" s="9">
        <v>0.75</v>
      </c>
      <c r="N36" s="10">
        <v>45172.0</v>
      </c>
      <c r="O36" s="11">
        <v>2.2</v>
      </c>
      <c r="P36" s="8" t="s">
        <v>33</v>
      </c>
      <c r="Q36" s="12">
        <f t="shared" si="1"/>
        <v>0.9</v>
      </c>
      <c r="R36" s="12">
        <f t="shared" si="4"/>
        <v>-3.19725</v>
      </c>
      <c r="T36" s="30"/>
    </row>
    <row r="37">
      <c r="A37" s="15">
        <f t="shared" si="3"/>
        <v>36</v>
      </c>
      <c r="B37" s="15" t="s">
        <v>19</v>
      </c>
      <c r="C37" s="15" t="s">
        <v>3189</v>
      </c>
      <c r="D37" s="15" t="s">
        <v>5564</v>
      </c>
      <c r="E37" s="15" t="s">
        <v>2556</v>
      </c>
      <c r="F37" s="15">
        <v>-1.0</v>
      </c>
      <c r="G37" s="15" t="s">
        <v>121</v>
      </c>
      <c r="H37" s="15" t="s">
        <v>22</v>
      </c>
      <c r="I37" s="15" t="s">
        <v>225</v>
      </c>
      <c r="J37" s="15" t="s">
        <v>1522</v>
      </c>
      <c r="K37" s="16">
        <v>1.0</v>
      </c>
      <c r="L37" s="16">
        <v>1.0</v>
      </c>
      <c r="M37" s="16">
        <v>1.0</v>
      </c>
      <c r="N37" s="17">
        <v>45172.0</v>
      </c>
      <c r="O37" s="18">
        <v>1.75</v>
      </c>
      <c r="P37" s="15" t="s">
        <v>25</v>
      </c>
      <c r="Q37" s="19">
        <f t="shared" si="1"/>
        <v>-1</v>
      </c>
      <c r="R37" s="19">
        <f t="shared" si="4"/>
        <v>-4.19725</v>
      </c>
      <c r="T37" s="30"/>
    </row>
    <row r="38">
      <c r="A38" s="8">
        <f t="shared" si="3"/>
        <v>37</v>
      </c>
      <c r="B38" s="8" t="s">
        <v>19</v>
      </c>
      <c r="C38" s="8" t="s">
        <v>3190</v>
      </c>
      <c r="D38" s="8" t="s">
        <v>5564</v>
      </c>
      <c r="E38" s="8" t="s">
        <v>2556</v>
      </c>
      <c r="F38" s="8">
        <v>0.0</v>
      </c>
      <c r="G38" s="8" t="s">
        <v>121</v>
      </c>
      <c r="H38" s="8" t="s">
        <v>22</v>
      </c>
      <c r="I38" s="8" t="s">
        <v>225</v>
      </c>
      <c r="J38" s="8" t="s">
        <v>1522</v>
      </c>
      <c r="K38" s="9">
        <v>0.25</v>
      </c>
      <c r="L38" s="9">
        <v>0.5</v>
      </c>
      <c r="M38" s="9">
        <v>0.5</v>
      </c>
      <c r="N38" s="10">
        <v>45172.0</v>
      </c>
      <c r="O38" s="11">
        <v>1.75</v>
      </c>
      <c r="P38" s="8" t="s">
        <v>25</v>
      </c>
      <c r="Q38" s="12">
        <f t="shared" si="1"/>
        <v>-0.5</v>
      </c>
      <c r="R38" s="12">
        <f t="shared" si="4"/>
        <v>-4.69725</v>
      </c>
      <c r="T38" s="30"/>
    </row>
    <row r="39">
      <c r="A39" s="15">
        <f t="shared" si="3"/>
        <v>38</v>
      </c>
      <c r="B39" s="15" t="s">
        <v>19</v>
      </c>
      <c r="C39" s="15" t="s">
        <v>3191</v>
      </c>
      <c r="D39" s="15" t="s">
        <v>5564</v>
      </c>
      <c r="E39" s="15" t="s">
        <v>2660</v>
      </c>
      <c r="F39" s="15">
        <v>0.0</v>
      </c>
      <c r="G39" s="15" t="s">
        <v>121</v>
      </c>
      <c r="H39" s="15" t="s">
        <v>22</v>
      </c>
      <c r="I39" s="15" t="s">
        <v>892</v>
      </c>
      <c r="J39" s="15" t="s">
        <v>1522</v>
      </c>
      <c r="K39" s="16">
        <v>0.0</v>
      </c>
      <c r="L39" s="16">
        <v>0.5</v>
      </c>
      <c r="M39" s="16">
        <v>0.5</v>
      </c>
      <c r="N39" s="17">
        <v>45172.0</v>
      </c>
      <c r="O39" s="18">
        <v>2.1</v>
      </c>
      <c r="P39" s="15" t="s">
        <v>25</v>
      </c>
      <c r="Q39" s="19">
        <f t="shared" si="1"/>
        <v>-0.5</v>
      </c>
      <c r="R39" s="19">
        <f t="shared" si="4"/>
        <v>-5.19725</v>
      </c>
      <c r="T39" s="30"/>
    </row>
    <row r="40">
      <c r="A40" s="8">
        <f t="shared" si="3"/>
        <v>39</v>
      </c>
      <c r="B40" s="8" t="s">
        <v>40</v>
      </c>
      <c r="C40" s="8" t="s">
        <v>3192</v>
      </c>
      <c r="D40" s="8" t="s">
        <v>5564</v>
      </c>
      <c r="E40" s="8" t="s">
        <v>2556</v>
      </c>
      <c r="F40" s="8">
        <f>1</f>
        <v>1</v>
      </c>
      <c r="G40" s="8" t="s">
        <v>38</v>
      </c>
      <c r="H40" s="8" t="s">
        <v>22</v>
      </c>
      <c r="I40" s="8" t="s">
        <v>225</v>
      </c>
      <c r="J40" s="8" t="s">
        <v>1522</v>
      </c>
      <c r="K40" s="9">
        <v>0.75</v>
      </c>
      <c r="L40" s="9">
        <v>0.25</v>
      </c>
      <c r="M40" s="9">
        <f>0.214*0.25</f>
        <v>0.0535</v>
      </c>
      <c r="N40" s="10">
        <v>45172.0</v>
      </c>
      <c r="O40" s="11">
        <v>1.875</v>
      </c>
      <c r="P40" s="8" t="s">
        <v>79</v>
      </c>
      <c r="Q40" s="12">
        <f t="shared" si="1"/>
        <v>-0.02675</v>
      </c>
      <c r="R40" s="12">
        <f t="shared" si="4"/>
        <v>-5.224</v>
      </c>
      <c r="T40" s="30"/>
    </row>
    <row r="41">
      <c r="A41" s="15">
        <f t="shared" si="3"/>
        <v>40</v>
      </c>
      <c r="B41" s="15" t="s">
        <v>19</v>
      </c>
      <c r="C41" s="15" t="s">
        <v>3193</v>
      </c>
      <c r="D41" s="15" t="s">
        <v>5565</v>
      </c>
      <c r="E41" s="15" t="s">
        <v>2556</v>
      </c>
      <c r="F41" s="15">
        <v>2</v>
      </c>
      <c r="G41" s="15" t="s">
        <v>50</v>
      </c>
      <c r="H41" s="15" t="s">
        <v>22</v>
      </c>
      <c r="I41" s="15" t="s">
        <v>225</v>
      </c>
      <c r="J41" s="15" t="s">
        <v>24</v>
      </c>
      <c r="K41" s="16">
        <v>0.75</v>
      </c>
      <c r="L41" s="16">
        <v>1.0</v>
      </c>
      <c r="M41" s="16">
        <v>1.0</v>
      </c>
      <c r="N41" s="17">
        <v>45172.0</v>
      </c>
      <c r="O41" s="18">
        <v>1.95</v>
      </c>
      <c r="P41" s="15" t="s">
        <v>79</v>
      </c>
      <c r="Q41" s="19">
        <f t="shared" si="1"/>
        <v>-0.5</v>
      </c>
      <c r="R41" s="19">
        <f t="shared" si="4"/>
        <v>-5.724</v>
      </c>
      <c r="T41" s="30"/>
    </row>
    <row r="42">
      <c r="A42" s="8">
        <f t="shared" si="3"/>
        <v>41</v>
      </c>
      <c r="B42" s="8" t="s">
        <v>19</v>
      </c>
      <c r="C42" s="8" t="s">
        <v>3194</v>
      </c>
      <c r="D42" s="8" t="s">
        <v>5564</v>
      </c>
      <c r="E42" s="8" t="s">
        <v>2556</v>
      </c>
      <c r="F42" s="8">
        <v>-3.0</v>
      </c>
      <c r="G42" s="8" t="s">
        <v>121</v>
      </c>
      <c r="H42" s="8" t="s">
        <v>22</v>
      </c>
      <c r="I42" s="8" t="s">
        <v>225</v>
      </c>
      <c r="J42" s="8" t="s">
        <v>24</v>
      </c>
      <c r="K42" s="9">
        <v>0.5</v>
      </c>
      <c r="L42" s="9">
        <v>0.75</v>
      </c>
      <c r="M42" s="9">
        <v>0.75</v>
      </c>
      <c r="N42" s="10">
        <v>45172.0</v>
      </c>
      <c r="O42" s="11">
        <v>1.75</v>
      </c>
      <c r="P42" s="8" t="s">
        <v>33</v>
      </c>
      <c r="Q42" s="12">
        <f t="shared" si="1"/>
        <v>0.5625</v>
      </c>
      <c r="R42" s="12">
        <f t="shared" si="4"/>
        <v>-5.1615</v>
      </c>
      <c r="T42" s="30"/>
    </row>
    <row r="43">
      <c r="A43" s="15">
        <f t="shared" si="3"/>
        <v>42</v>
      </c>
      <c r="B43" s="15" t="s">
        <v>19</v>
      </c>
      <c r="C43" s="15" t="s">
        <v>3195</v>
      </c>
      <c r="D43" s="15" t="s">
        <v>5564</v>
      </c>
      <c r="E43" s="15" t="s">
        <v>2556</v>
      </c>
      <c r="F43" s="15">
        <v>0.0</v>
      </c>
      <c r="G43" s="15" t="s">
        <v>99</v>
      </c>
      <c r="H43" s="15" t="s">
        <v>22</v>
      </c>
      <c r="I43" s="15" t="s">
        <v>225</v>
      </c>
      <c r="J43" s="15" t="s">
        <v>24</v>
      </c>
      <c r="K43" s="16">
        <v>0.5</v>
      </c>
      <c r="L43" s="16">
        <v>1.0</v>
      </c>
      <c r="M43" s="16">
        <v>1.0</v>
      </c>
      <c r="N43" s="17">
        <v>45172.0</v>
      </c>
      <c r="O43" s="18">
        <v>1.75</v>
      </c>
      <c r="P43" s="15" t="s">
        <v>70</v>
      </c>
      <c r="Q43" s="19">
        <f t="shared" si="1"/>
        <v>0</v>
      </c>
      <c r="R43" s="19">
        <f t="shared" si="4"/>
        <v>-5.1615</v>
      </c>
    </row>
    <row r="44">
      <c r="A44" s="8">
        <f t="shared" si="3"/>
        <v>43</v>
      </c>
      <c r="B44" s="8" t="s">
        <v>19</v>
      </c>
      <c r="C44" s="8" t="s">
        <v>3196</v>
      </c>
      <c r="D44" s="8"/>
      <c r="E44" s="8"/>
      <c r="F44" s="8" t="s">
        <v>3154</v>
      </c>
      <c r="G44" s="8" t="s">
        <v>82</v>
      </c>
      <c r="H44" s="8" t="s">
        <v>22</v>
      </c>
      <c r="I44" s="8" t="s">
        <v>29</v>
      </c>
      <c r="J44" s="8" t="s">
        <v>39</v>
      </c>
      <c r="K44" s="9">
        <v>-3.5</v>
      </c>
      <c r="L44" s="9">
        <v>0.5</v>
      </c>
      <c r="M44" s="9">
        <v>0.5</v>
      </c>
      <c r="N44" s="10">
        <v>45172.0</v>
      </c>
      <c r="O44" s="11">
        <v>1.727</v>
      </c>
      <c r="P44" s="8" t="s">
        <v>33</v>
      </c>
      <c r="Q44" s="12">
        <f t="shared" si="1"/>
        <v>0.3635</v>
      </c>
      <c r="R44" s="12">
        <f t="shared" si="4"/>
        <v>-4.798</v>
      </c>
    </row>
    <row r="45">
      <c r="A45" s="15">
        <f t="shared" si="3"/>
        <v>44</v>
      </c>
      <c r="B45" s="15" t="s">
        <v>19</v>
      </c>
      <c r="C45" s="15" t="s">
        <v>3197</v>
      </c>
      <c r="D45" s="15" t="s">
        <v>5564</v>
      </c>
      <c r="E45" s="15" t="s">
        <v>2556</v>
      </c>
      <c r="F45" s="15">
        <v>-1.0</v>
      </c>
      <c r="G45" s="15" t="s">
        <v>93</v>
      </c>
      <c r="H45" s="15" t="s">
        <v>22</v>
      </c>
      <c r="I45" s="15" t="s">
        <v>225</v>
      </c>
      <c r="J45" s="15" t="s">
        <v>1522</v>
      </c>
      <c r="K45" s="16">
        <v>1.0</v>
      </c>
      <c r="L45" s="16">
        <v>1.0</v>
      </c>
      <c r="M45" s="16">
        <v>1.0</v>
      </c>
      <c r="N45" s="17">
        <v>45172.0</v>
      </c>
      <c r="O45" s="18">
        <v>1.9</v>
      </c>
      <c r="P45" s="15" t="s">
        <v>33</v>
      </c>
      <c r="Q45" s="19">
        <f t="shared" si="1"/>
        <v>0.9</v>
      </c>
      <c r="R45" s="19">
        <f t="shared" si="4"/>
        <v>-3.898</v>
      </c>
    </row>
    <row r="46">
      <c r="A46" s="8">
        <f t="shared" si="3"/>
        <v>45</v>
      </c>
      <c r="B46" s="8" t="s">
        <v>19</v>
      </c>
      <c r="C46" s="8" t="s">
        <v>3198</v>
      </c>
      <c r="D46" s="8" t="s">
        <v>5564</v>
      </c>
      <c r="E46" s="8" t="s">
        <v>2660</v>
      </c>
      <c r="F46" s="8">
        <v>3</v>
      </c>
      <c r="G46" s="8" t="s">
        <v>82</v>
      </c>
      <c r="H46" s="8" t="s">
        <v>22</v>
      </c>
      <c r="I46" s="8" t="s">
        <v>892</v>
      </c>
      <c r="J46" s="8" t="s">
        <v>24</v>
      </c>
      <c r="K46" s="9">
        <v>0.0</v>
      </c>
      <c r="L46" s="9">
        <v>1.0</v>
      </c>
      <c r="M46" s="9">
        <v>1.0</v>
      </c>
      <c r="N46" s="10">
        <v>45172.0</v>
      </c>
      <c r="O46" s="11">
        <v>1.775</v>
      </c>
      <c r="P46" s="8" t="s">
        <v>33</v>
      </c>
      <c r="Q46" s="12">
        <f t="shared" si="1"/>
        <v>0.775</v>
      </c>
      <c r="R46" s="12">
        <f t="shared" si="4"/>
        <v>-3.123</v>
      </c>
    </row>
    <row r="47">
      <c r="A47" s="15">
        <f t="shared" si="3"/>
        <v>46</v>
      </c>
      <c r="B47" s="15" t="s">
        <v>19</v>
      </c>
      <c r="C47" s="15" t="s">
        <v>3199</v>
      </c>
      <c r="D47" s="15" t="s">
        <v>5565</v>
      </c>
      <c r="E47" s="15" t="s">
        <v>2556</v>
      </c>
      <c r="F47" s="15">
        <v>0.0</v>
      </c>
      <c r="G47" s="15" t="s">
        <v>316</v>
      </c>
      <c r="H47" s="15" t="s">
        <v>22</v>
      </c>
      <c r="I47" s="15" t="s">
        <v>225</v>
      </c>
      <c r="J47" s="15" t="s">
        <v>24</v>
      </c>
      <c r="K47" s="16">
        <v>1.5</v>
      </c>
      <c r="L47" s="16">
        <v>0.25</v>
      </c>
      <c r="M47" s="16">
        <f>0.833*0.25</f>
        <v>0.20825</v>
      </c>
      <c r="N47" s="17">
        <v>45174.0</v>
      </c>
      <c r="O47" s="18">
        <v>1.825</v>
      </c>
      <c r="P47" s="15" t="s">
        <v>33</v>
      </c>
      <c r="Q47" s="19">
        <f t="shared" si="1"/>
        <v>0.17180625</v>
      </c>
      <c r="R47" s="19">
        <f t="shared" si="4"/>
        <v>-2.95119375</v>
      </c>
    </row>
    <row r="48">
      <c r="A48" s="8">
        <f t="shared" si="3"/>
        <v>47</v>
      </c>
      <c r="B48" s="8" t="s">
        <v>19</v>
      </c>
      <c r="C48" s="8" t="s">
        <v>3200</v>
      </c>
      <c r="D48" s="8"/>
      <c r="E48" s="8"/>
      <c r="F48" s="8"/>
      <c r="G48" s="8" t="s">
        <v>82</v>
      </c>
      <c r="H48" s="8" t="s">
        <v>598</v>
      </c>
      <c r="I48" s="8" t="s">
        <v>23</v>
      </c>
      <c r="J48" s="8" t="s">
        <v>24</v>
      </c>
      <c r="K48" s="9">
        <v>-10.5</v>
      </c>
      <c r="L48" s="9">
        <v>0.25</v>
      </c>
      <c r="M48" s="9">
        <v>0.25</v>
      </c>
      <c r="N48" s="10">
        <v>45178.0</v>
      </c>
      <c r="O48" s="11">
        <v>1.85</v>
      </c>
      <c r="P48" s="8" t="s">
        <v>33</v>
      </c>
      <c r="Q48" s="12">
        <f t="shared" si="1"/>
        <v>0.2125</v>
      </c>
      <c r="R48" s="12">
        <f t="shared" si="4"/>
        <v>-2.73869375</v>
      </c>
    </row>
    <row r="49">
      <c r="A49" s="15">
        <f t="shared" si="3"/>
        <v>48</v>
      </c>
      <c r="B49" s="15" t="s">
        <v>19</v>
      </c>
      <c r="C49" s="15" t="s">
        <v>3201</v>
      </c>
      <c r="D49" s="15"/>
      <c r="E49" s="15"/>
      <c r="F49" s="15" t="s">
        <v>2868</v>
      </c>
      <c r="G49" s="15" t="s">
        <v>316</v>
      </c>
      <c r="H49" s="15" t="s">
        <v>22</v>
      </c>
      <c r="I49" s="15" t="s">
        <v>2962</v>
      </c>
      <c r="J49" s="15" t="s">
        <v>24</v>
      </c>
      <c r="K49" s="16">
        <v>-4.5</v>
      </c>
      <c r="L49" s="16">
        <v>0.25</v>
      </c>
      <c r="M49" s="16">
        <v>0.25</v>
      </c>
      <c r="N49" s="17">
        <v>45174.0</v>
      </c>
      <c r="O49" s="18">
        <v>1.8</v>
      </c>
      <c r="P49" s="15" t="s">
        <v>33</v>
      </c>
      <c r="Q49" s="19">
        <f t="shared" si="1"/>
        <v>0.2</v>
      </c>
      <c r="R49" s="19">
        <f t="shared" si="4"/>
        <v>-2.53869375</v>
      </c>
    </row>
    <row r="50">
      <c r="A50" s="8">
        <f t="shared" si="3"/>
        <v>49</v>
      </c>
      <c r="B50" s="8" t="s">
        <v>19</v>
      </c>
      <c r="C50" s="8" t="s">
        <v>3202</v>
      </c>
      <c r="D50" s="8" t="s">
        <v>5564</v>
      </c>
      <c r="E50" s="8" t="s">
        <v>2556</v>
      </c>
      <c r="F50" s="8">
        <v>0.0</v>
      </c>
      <c r="G50" s="8" t="s">
        <v>28</v>
      </c>
      <c r="H50" s="8" t="s">
        <v>22</v>
      </c>
      <c r="I50" s="8" t="s">
        <v>225</v>
      </c>
      <c r="J50" s="8" t="s">
        <v>24</v>
      </c>
      <c r="K50" s="9">
        <v>0.5</v>
      </c>
      <c r="L50" s="9">
        <v>0.25</v>
      </c>
      <c r="M50" s="9">
        <v>0.25</v>
      </c>
      <c r="N50" s="10">
        <v>45174.0</v>
      </c>
      <c r="O50" s="11">
        <v>1.13</v>
      </c>
      <c r="P50" s="8" t="s">
        <v>33</v>
      </c>
      <c r="Q50" s="12">
        <f t="shared" si="1"/>
        <v>0.0325</v>
      </c>
      <c r="R50" s="12">
        <f t="shared" si="4"/>
        <v>-2.50619375</v>
      </c>
      <c r="U50" s="186"/>
    </row>
    <row r="51">
      <c r="A51" s="15">
        <f t="shared" si="3"/>
        <v>50</v>
      </c>
      <c r="B51" s="15" t="s">
        <v>40</v>
      </c>
      <c r="C51" s="15" t="s">
        <v>3203</v>
      </c>
      <c r="D51" s="15"/>
      <c r="E51" s="15"/>
      <c r="F51" s="15" t="s">
        <v>3204</v>
      </c>
      <c r="G51" s="15" t="s">
        <v>1961</v>
      </c>
      <c r="H51" s="15" t="s">
        <v>22</v>
      </c>
      <c r="I51" s="15" t="s">
        <v>29</v>
      </c>
      <c r="J51" s="15" t="s">
        <v>39</v>
      </c>
      <c r="K51" s="16">
        <v>-4.75</v>
      </c>
      <c r="L51" s="16">
        <v>0.5</v>
      </c>
      <c r="M51" s="16">
        <v>0.5</v>
      </c>
      <c r="N51" s="17">
        <v>45175.0</v>
      </c>
      <c r="O51" s="18">
        <v>2.0</v>
      </c>
      <c r="P51" s="15" t="s">
        <v>25</v>
      </c>
      <c r="Q51" s="19">
        <f t="shared" si="1"/>
        <v>-0.5</v>
      </c>
      <c r="R51" s="19">
        <f t="shared" si="4"/>
        <v>-3.00619375</v>
      </c>
    </row>
    <row r="52">
      <c r="A52" s="8">
        <f t="shared" si="3"/>
        <v>51</v>
      </c>
      <c r="B52" s="8" t="s">
        <v>40</v>
      </c>
      <c r="C52" s="8" t="s">
        <v>3205</v>
      </c>
      <c r="D52" s="8"/>
      <c r="E52" s="8"/>
      <c r="F52" s="8" t="s">
        <v>3206</v>
      </c>
      <c r="G52" s="8" t="s">
        <v>1961</v>
      </c>
      <c r="H52" s="8" t="s">
        <v>22</v>
      </c>
      <c r="I52" s="8" t="s">
        <v>29</v>
      </c>
      <c r="J52" s="8" t="s">
        <v>39</v>
      </c>
      <c r="K52" s="9">
        <v>-4.5</v>
      </c>
      <c r="L52" s="9">
        <v>0.25</v>
      </c>
      <c r="M52" s="9">
        <v>0.25</v>
      </c>
      <c r="N52" s="10">
        <v>45175.0</v>
      </c>
      <c r="O52" s="11">
        <v>2.0</v>
      </c>
      <c r="P52" s="8" t="s">
        <v>25</v>
      </c>
      <c r="Q52" s="12">
        <f t="shared" si="1"/>
        <v>-0.25</v>
      </c>
      <c r="R52" s="12">
        <f t="shared" si="4"/>
        <v>-3.25619375</v>
      </c>
    </row>
    <row r="53">
      <c r="A53" s="15">
        <f t="shared" si="3"/>
        <v>52</v>
      </c>
      <c r="B53" s="15" t="s">
        <v>19</v>
      </c>
      <c r="C53" s="15" t="s">
        <v>3207</v>
      </c>
      <c r="D53" s="15" t="s">
        <v>5564</v>
      </c>
      <c r="E53" s="15" t="s">
        <v>2556</v>
      </c>
      <c r="F53" s="15">
        <v>-2.0</v>
      </c>
      <c r="G53" s="15" t="s">
        <v>82</v>
      </c>
      <c r="H53" s="15" t="s">
        <v>22</v>
      </c>
      <c r="I53" s="15" t="s">
        <v>225</v>
      </c>
      <c r="J53" s="15" t="s">
        <v>24</v>
      </c>
      <c r="K53" s="16">
        <v>1.5</v>
      </c>
      <c r="L53" s="16">
        <v>0.5</v>
      </c>
      <c r="M53" s="16">
        <v>0.5</v>
      </c>
      <c r="N53" s="17">
        <v>45175.0</v>
      </c>
      <c r="O53" s="18">
        <v>1.8</v>
      </c>
      <c r="P53" s="15" t="s">
        <v>33</v>
      </c>
      <c r="Q53" s="19">
        <f t="shared" si="1"/>
        <v>0.4</v>
      </c>
      <c r="R53" s="19">
        <f t="shared" si="4"/>
        <v>-2.85619375</v>
      </c>
    </row>
    <row r="54">
      <c r="A54" s="8">
        <f t="shared" si="3"/>
        <v>53</v>
      </c>
      <c r="B54" s="8" t="s">
        <v>19</v>
      </c>
      <c r="C54" s="8" t="s">
        <v>3208</v>
      </c>
      <c r="D54" s="8" t="s">
        <v>5564</v>
      </c>
      <c r="E54" s="8" t="s">
        <v>2556</v>
      </c>
      <c r="F54" s="8">
        <v>-2.0</v>
      </c>
      <c r="G54" s="8" t="s">
        <v>82</v>
      </c>
      <c r="H54" s="8" t="s">
        <v>22</v>
      </c>
      <c r="I54" s="8" t="s">
        <v>225</v>
      </c>
      <c r="J54" s="8" t="s">
        <v>24</v>
      </c>
      <c r="K54" s="9">
        <v>1.25</v>
      </c>
      <c r="L54" s="9">
        <v>0.5</v>
      </c>
      <c r="M54" s="9">
        <v>0.5</v>
      </c>
      <c r="N54" s="10">
        <v>45175.0</v>
      </c>
      <c r="O54" s="11">
        <v>1.825</v>
      </c>
      <c r="P54" s="8" t="s">
        <v>33</v>
      </c>
      <c r="Q54" s="12">
        <f t="shared" si="1"/>
        <v>0.4125</v>
      </c>
      <c r="R54" s="12">
        <f t="shared" si="4"/>
        <v>-2.44369375</v>
      </c>
    </row>
    <row r="55">
      <c r="A55" s="15">
        <f t="shared" si="3"/>
        <v>54</v>
      </c>
      <c r="B55" s="15" t="s">
        <v>19</v>
      </c>
      <c r="C55" s="15" t="s">
        <v>3209</v>
      </c>
      <c r="D55" s="15" t="s">
        <v>5565</v>
      </c>
      <c r="E55" s="15" t="s">
        <v>2556</v>
      </c>
      <c r="F55" s="15">
        <f t="shared" ref="F55:F56" si="5">1</f>
        <v>1</v>
      </c>
      <c r="G55" s="15" t="s">
        <v>101</v>
      </c>
      <c r="H55" s="15" t="s">
        <v>22</v>
      </c>
      <c r="I55" s="15" t="s">
        <v>225</v>
      </c>
      <c r="J55" s="15" t="s">
        <v>24</v>
      </c>
      <c r="K55" s="16">
        <v>0.5</v>
      </c>
      <c r="L55" s="16">
        <v>1.0</v>
      </c>
      <c r="M55" s="16">
        <v>1.0</v>
      </c>
      <c r="N55" s="17">
        <v>45175.0</v>
      </c>
      <c r="O55" s="18">
        <v>1.861</v>
      </c>
      <c r="P55" s="15" t="s">
        <v>33</v>
      </c>
      <c r="Q55" s="19">
        <f t="shared" si="1"/>
        <v>0.861</v>
      </c>
      <c r="R55" s="19">
        <f t="shared" si="4"/>
        <v>-1.58269375</v>
      </c>
    </row>
    <row r="56">
      <c r="A56" s="8">
        <f t="shared" si="3"/>
        <v>55</v>
      </c>
      <c r="B56" s="8" t="s">
        <v>40</v>
      </c>
      <c r="C56" s="8" t="s">
        <v>3210</v>
      </c>
      <c r="D56" s="8" t="s">
        <v>5564</v>
      </c>
      <c r="E56" s="8" t="s">
        <v>2556</v>
      </c>
      <c r="F56" s="8">
        <f t="shared" si="5"/>
        <v>1</v>
      </c>
      <c r="G56" s="8" t="s">
        <v>224</v>
      </c>
      <c r="H56" s="8" t="s">
        <v>22</v>
      </c>
      <c r="I56" s="8" t="s">
        <v>225</v>
      </c>
      <c r="J56" s="8" t="s">
        <v>24</v>
      </c>
      <c r="K56" s="9">
        <v>0.5</v>
      </c>
      <c r="L56" s="9">
        <v>0.75</v>
      </c>
      <c r="M56" s="9">
        <v>0.75</v>
      </c>
      <c r="N56" s="10">
        <v>45175.0</v>
      </c>
      <c r="O56" s="11">
        <v>1.2</v>
      </c>
      <c r="P56" s="8" t="s">
        <v>33</v>
      </c>
      <c r="Q56" s="12">
        <f t="shared" si="1"/>
        <v>0.15</v>
      </c>
      <c r="R56" s="12">
        <f t="shared" si="4"/>
        <v>-1.43269375</v>
      </c>
    </row>
    <row r="57">
      <c r="A57" s="15">
        <f t="shared" si="3"/>
        <v>56</v>
      </c>
      <c r="B57" s="15" t="s">
        <v>19</v>
      </c>
      <c r="C57" s="15" t="s">
        <v>3211</v>
      </c>
      <c r="D57" s="15" t="s">
        <v>5564</v>
      </c>
      <c r="E57" s="15" t="s">
        <v>2556</v>
      </c>
      <c r="F57" s="15">
        <v>0.0</v>
      </c>
      <c r="G57" s="15" t="s">
        <v>644</v>
      </c>
      <c r="H57" s="15" t="s">
        <v>22</v>
      </c>
      <c r="I57" s="15" t="s">
        <v>225</v>
      </c>
      <c r="J57" s="15" t="s">
        <v>24</v>
      </c>
      <c r="K57" s="16">
        <v>0.75</v>
      </c>
      <c r="L57" s="16">
        <v>0.75</v>
      </c>
      <c r="M57" s="16">
        <v>0.75</v>
      </c>
      <c r="N57" s="17">
        <v>45175.0</v>
      </c>
      <c r="O57" s="18">
        <v>1.654</v>
      </c>
      <c r="P57" s="15" t="s">
        <v>33</v>
      </c>
      <c r="Q57" s="19">
        <f t="shared" si="1"/>
        <v>0.4905</v>
      </c>
      <c r="R57" s="19">
        <f t="shared" si="4"/>
        <v>-0.94219375</v>
      </c>
    </row>
    <row r="58">
      <c r="A58" s="8">
        <f t="shared" si="3"/>
        <v>57</v>
      </c>
      <c r="B58" s="8" t="s">
        <v>40</v>
      </c>
      <c r="C58" s="8" t="s">
        <v>3212</v>
      </c>
      <c r="D58" s="8" t="s">
        <v>5565</v>
      </c>
      <c r="E58" s="8" t="s">
        <v>2556</v>
      </c>
      <c r="F58" s="8">
        <v>-5.0</v>
      </c>
      <c r="G58" s="8" t="s">
        <v>2108</v>
      </c>
      <c r="H58" s="8" t="s">
        <v>22</v>
      </c>
      <c r="I58" s="8" t="s">
        <v>225</v>
      </c>
      <c r="J58" s="8" t="s">
        <v>24</v>
      </c>
      <c r="K58" s="9">
        <v>0.5</v>
      </c>
      <c r="L58" s="9">
        <v>0.25</v>
      </c>
      <c r="M58" s="9">
        <f>0.333*0.25</f>
        <v>0.08325</v>
      </c>
      <c r="N58" s="10">
        <v>45176.0</v>
      </c>
      <c r="O58" s="11">
        <v>1.64</v>
      </c>
      <c r="P58" s="8" t="s">
        <v>33</v>
      </c>
      <c r="Q58" s="12">
        <f t="shared" si="1"/>
        <v>0.05328</v>
      </c>
      <c r="R58" s="12">
        <f t="shared" si="4"/>
        <v>-0.88891375</v>
      </c>
    </row>
    <row r="59">
      <c r="A59" s="15">
        <f t="shared" si="3"/>
        <v>58</v>
      </c>
      <c r="B59" s="15" t="s">
        <v>40</v>
      </c>
      <c r="C59" s="15" t="s">
        <v>3213</v>
      </c>
      <c r="D59" s="15"/>
      <c r="E59" s="15"/>
      <c r="F59" s="15" t="s">
        <v>3214</v>
      </c>
      <c r="G59" s="15" t="s">
        <v>2108</v>
      </c>
      <c r="H59" s="15" t="s">
        <v>22</v>
      </c>
      <c r="I59" s="15" t="s">
        <v>29</v>
      </c>
      <c r="J59" s="15" t="s">
        <v>24</v>
      </c>
      <c r="K59" s="16">
        <v>-8.25</v>
      </c>
      <c r="L59" s="16">
        <v>0.25</v>
      </c>
      <c r="M59" s="16">
        <v>0.25</v>
      </c>
      <c r="N59" s="17">
        <v>45176.0</v>
      </c>
      <c r="O59" s="18">
        <v>1.8</v>
      </c>
      <c r="P59" s="15" t="s">
        <v>30</v>
      </c>
      <c r="Q59" s="19">
        <f t="shared" si="1"/>
        <v>0.1</v>
      </c>
      <c r="R59" s="19">
        <f t="shared" si="4"/>
        <v>-0.78891375</v>
      </c>
    </row>
    <row r="60">
      <c r="A60" s="8">
        <f t="shared" si="3"/>
        <v>59</v>
      </c>
      <c r="B60" s="8" t="s">
        <v>19</v>
      </c>
      <c r="C60" s="8" t="s">
        <v>3215</v>
      </c>
      <c r="D60" s="8" t="s">
        <v>5564</v>
      </c>
      <c r="E60" s="8"/>
      <c r="F60" s="8" t="s">
        <v>3216</v>
      </c>
      <c r="G60" s="8" t="s">
        <v>82</v>
      </c>
      <c r="H60" s="8" t="s">
        <v>22</v>
      </c>
      <c r="I60" s="8" t="s">
        <v>1165</v>
      </c>
      <c r="J60" s="8" t="s">
        <v>24</v>
      </c>
      <c r="K60" s="9"/>
      <c r="L60" s="9">
        <v>0.1</v>
      </c>
      <c r="M60" s="9">
        <v>0.1</v>
      </c>
      <c r="N60" s="10">
        <v>45176.0</v>
      </c>
      <c r="O60" s="11">
        <v>6.5</v>
      </c>
      <c r="P60" s="8" t="s">
        <v>25</v>
      </c>
      <c r="Q60" s="12">
        <f t="shared" si="1"/>
        <v>-0.1</v>
      </c>
      <c r="R60" s="12">
        <f t="shared" si="4"/>
        <v>-0.88891375</v>
      </c>
    </row>
    <row r="61">
      <c r="A61" s="15">
        <f t="shared" si="3"/>
        <v>60</v>
      </c>
      <c r="B61" s="15" t="s">
        <v>19</v>
      </c>
      <c r="C61" s="15" t="s">
        <v>3217</v>
      </c>
      <c r="D61" s="15" t="s">
        <v>5565</v>
      </c>
      <c r="E61" s="15" t="s">
        <v>2556</v>
      </c>
      <c r="F61" s="15">
        <v>0.0</v>
      </c>
      <c r="G61" s="15" t="s">
        <v>101</v>
      </c>
      <c r="H61" s="15" t="s">
        <v>22</v>
      </c>
      <c r="I61" s="15" t="s">
        <v>225</v>
      </c>
      <c r="J61" s="15" t="s">
        <v>24</v>
      </c>
      <c r="K61" s="16">
        <v>0.25</v>
      </c>
      <c r="L61" s="16">
        <v>0.5</v>
      </c>
      <c r="M61" s="16">
        <v>0.5</v>
      </c>
      <c r="N61" s="17">
        <v>45177.0</v>
      </c>
      <c r="O61" s="18">
        <v>1.775</v>
      </c>
      <c r="P61" s="15" t="s">
        <v>33</v>
      </c>
      <c r="Q61" s="19">
        <f t="shared" si="1"/>
        <v>0.3875</v>
      </c>
      <c r="R61" s="19">
        <f t="shared" si="4"/>
        <v>-0.50141375</v>
      </c>
    </row>
    <row r="62">
      <c r="A62" s="8">
        <f t="shared" si="3"/>
        <v>61</v>
      </c>
      <c r="B62" s="8" t="s">
        <v>19</v>
      </c>
      <c r="C62" s="8" t="s">
        <v>3218</v>
      </c>
      <c r="D62" s="8" t="s">
        <v>5565</v>
      </c>
      <c r="E62" s="8"/>
      <c r="F62" s="8">
        <v>0.0</v>
      </c>
      <c r="G62" s="8" t="s">
        <v>101</v>
      </c>
      <c r="H62" s="8" t="s">
        <v>22</v>
      </c>
      <c r="I62" s="8" t="s">
        <v>941</v>
      </c>
      <c r="J62" s="8" t="s">
        <v>24</v>
      </c>
      <c r="K62" s="9">
        <v>0.0</v>
      </c>
      <c r="L62" s="9">
        <v>0.25</v>
      </c>
      <c r="M62" s="9">
        <v>0.25</v>
      </c>
      <c r="N62" s="10">
        <v>45177.0</v>
      </c>
      <c r="O62" s="11">
        <v>2.2</v>
      </c>
      <c r="P62" s="8" t="s">
        <v>70</v>
      </c>
      <c r="Q62" s="12">
        <f t="shared" si="1"/>
        <v>0</v>
      </c>
      <c r="R62" s="12">
        <f t="shared" si="4"/>
        <v>-0.50141375</v>
      </c>
    </row>
    <row r="63">
      <c r="A63" s="15">
        <f t="shared" si="3"/>
        <v>62</v>
      </c>
      <c r="B63" s="15" t="s">
        <v>19</v>
      </c>
      <c r="C63" s="15" t="s">
        <v>3219</v>
      </c>
      <c r="D63" s="15" t="s">
        <v>5564</v>
      </c>
      <c r="E63" s="15" t="s">
        <v>2556</v>
      </c>
      <c r="F63" s="15">
        <v>0.0</v>
      </c>
      <c r="G63" s="15" t="s">
        <v>316</v>
      </c>
      <c r="H63" s="15" t="s">
        <v>22</v>
      </c>
      <c r="I63" s="15" t="s">
        <v>225</v>
      </c>
      <c r="J63" s="15" t="s">
        <v>24</v>
      </c>
      <c r="K63" s="16">
        <v>0.75</v>
      </c>
      <c r="L63" s="16">
        <v>0.75</v>
      </c>
      <c r="M63" s="16">
        <v>0.75</v>
      </c>
      <c r="N63" s="17">
        <v>45177.0</v>
      </c>
      <c r="O63" s="18">
        <v>1.85</v>
      </c>
      <c r="P63" s="15" t="s">
        <v>33</v>
      </c>
      <c r="Q63" s="19">
        <f t="shared" si="1"/>
        <v>0.6375</v>
      </c>
      <c r="R63" s="19">
        <f t="shared" si="4"/>
        <v>0.13608625</v>
      </c>
    </row>
    <row r="64">
      <c r="A64" s="8">
        <f t="shared" si="3"/>
        <v>63</v>
      </c>
      <c r="B64" s="8" t="s">
        <v>19</v>
      </c>
      <c r="C64" s="8" t="s">
        <v>3220</v>
      </c>
      <c r="D64" s="8" t="s">
        <v>5564</v>
      </c>
      <c r="E64" s="8" t="s">
        <v>2556</v>
      </c>
      <c r="F64" s="8">
        <v>0.0</v>
      </c>
      <c r="G64" s="8" t="s">
        <v>28</v>
      </c>
      <c r="H64" s="8" t="s">
        <v>22</v>
      </c>
      <c r="I64" s="8" t="s">
        <v>225</v>
      </c>
      <c r="J64" s="8" t="s">
        <v>1522</v>
      </c>
      <c r="K64" s="9">
        <v>1.0</v>
      </c>
      <c r="L64" s="9">
        <v>0.25</v>
      </c>
      <c r="M64" s="9">
        <f>0.467*0.25</f>
        <v>0.11675</v>
      </c>
      <c r="N64" s="10">
        <v>45178.0</v>
      </c>
      <c r="O64" s="11">
        <v>2.025</v>
      </c>
      <c r="P64" s="8" t="s">
        <v>33</v>
      </c>
      <c r="Q64" s="12">
        <f t="shared" si="1"/>
        <v>0.11966875</v>
      </c>
      <c r="R64" s="12">
        <f t="shared" si="4"/>
        <v>0.255755</v>
      </c>
    </row>
    <row r="65">
      <c r="A65" s="15">
        <f t="shared" si="3"/>
        <v>64</v>
      </c>
      <c r="B65" s="15" t="s">
        <v>19</v>
      </c>
      <c r="C65" s="15" t="s">
        <v>3221</v>
      </c>
      <c r="D65" s="15" t="s">
        <v>5564</v>
      </c>
      <c r="E65" s="15" t="s">
        <v>2556</v>
      </c>
      <c r="F65" s="15">
        <v>0.0</v>
      </c>
      <c r="G65" s="15" t="s">
        <v>1368</v>
      </c>
      <c r="H65" s="15" t="s">
        <v>22</v>
      </c>
      <c r="I65" s="15" t="s">
        <v>225</v>
      </c>
      <c r="J65" s="15" t="s">
        <v>24</v>
      </c>
      <c r="K65" s="16">
        <v>1.0</v>
      </c>
      <c r="L65" s="16">
        <v>0.5</v>
      </c>
      <c r="M65" s="16">
        <v>0.5</v>
      </c>
      <c r="N65" s="17">
        <v>45178.0</v>
      </c>
      <c r="O65" s="18">
        <v>1.75</v>
      </c>
      <c r="P65" s="15" t="s">
        <v>33</v>
      </c>
      <c r="Q65" s="19">
        <f t="shared" si="1"/>
        <v>0.375</v>
      </c>
      <c r="R65" s="19">
        <f t="shared" si="4"/>
        <v>0.630755</v>
      </c>
    </row>
    <row r="66">
      <c r="A66" s="8">
        <f t="shared" si="3"/>
        <v>65</v>
      </c>
      <c r="B66" s="8" t="s">
        <v>40</v>
      </c>
      <c r="C66" s="8" t="s">
        <v>3222</v>
      </c>
      <c r="D66" s="8" t="s">
        <v>5564</v>
      </c>
      <c r="E66" s="8" t="s">
        <v>2556</v>
      </c>
      <c r="F66" s="8">
        <v>0.0</v>
      </c>
      <c r="G66" s="8" t="s">
        <v>218</v>
      </c>
      <c r="H66" s="8" t="s">
        <v>22</v>
      </c>
      <c r="I66" s="8" t="s">
        <v>941</v>
      </c>
      <c r="J66" s="8" t="s">
        <v>1522</v>
      </c>
      <c r="K66" s="9">
        <v>0.0</v>
      </c>
      <c r="L66" s="9">
        <v>0.5</v>
      </c>
      <c r="M66" s="9">
        <v>0.5</v>
      </c>
      <c r="N66" s="10">
        <v>45178.0</v>
      </c>
      <c r="O66" s="11">
        <v>2.25</v>
      </c>
      <c r="P66" s="8" t="s">
        <v>70</v>
      </c>
      <c r="Q66" s="12">
        <f t="shared" si="1"/>
        <v>0</v>
      </c>
      <c r="R66" s="12">
        <f t="shared" si="4"/>
        <v>0.630755</v>
      </c>
    </row>
    <row r="67">
      <c r="A67" s="15">
        <f t="shared" si="3"/>
        <v>66</v>
      </c>
      <c r="B67" s="15" t="s">
        <v>40</v>
      </c>
      <c r="C67" s="15" t="s">
        <v>3223</v>
      </c>
      <c r="D67" s="15" t="s">
        <v>5564</v>
      </c>
      <c r="E67" s="15" t="s">
        <v>2556</v>
      </c>
      <c r="F67" s="15">
        <v>0.0</v>
      </c>
      <c r="G67" s="15" t="s">
        <v>218</v>
      </c>
      <c r="H67" s="15" t="s">
        <v>22</v>
      </c>
      <c r="I67" s="15" t="s">
        <v>225</v>
      </c>
      <c r="J67" s="15" t="s">
        <v>1522</v>
      </c>
      <c r="K67" s="16">
        <v>0.25</v>
      </c>
      <c r="L67" s="16">
        <v>0.5</v>
      </c>
      <c r="M67" s="16">
        <v>0.5</v>
      </c>
      <c r="N67" s="17">
        <v>45178.0</v>
      </c>
      <c r="O67" s="18">
        <v>1.7</v>
      </c>
      <c r="P67" s="15" t="s">
        <v>30</v>
      </c>
      <c r="Q67" s="19">
        <f t="shared" si="1"/>
        <v>0.175</v>
      </c>
      <c r="R67" s="19">
        <f t="shared" si="4"/>
        <v>0.805755</v>
      </c>
    </row>
    <row r="68">
      <c r="A68" s="8">
        <f t="shared" si="3"/>
        <v>67</v>
      </c>
      <c r="B68" s="8" t="s">
        <v>19</v>
      </c>
      <c r="C68" s="8" t="s">
        <v>3224</v>
      </c>
      <c r="D68" s="8" t="s">
        <v>5564</v>
      </c>
      <c r="E68" s="8" t="s">
        <v>2556</v>
      </c>
      <c r="F68" s="8">
        <v>0.0</v>
      </c>
      <c r="G68" s="8" t="s">
        <v>93</v>
      </c>
      <c r="H68" s="8" t="s">
        <v>22</v>
      </c>
      <c r="I68" s="8" t="s">
        <v>225</v>
      </c>
      <c r="J68" s="8" t="s">
        <v>39</v>
      </c>
      <c r="K68" s="9">
        <v>0.5</v>
      </c>
      <c r="L68" s="9">
        <v>0.5</v>
      </c>
      <c r="M68" s="9">
        <v>0.5</v>
      </c>
      <c r="N68" s="10">
        <v>45178.0</v>
      </c>
      <c r="O68" s="11">
        <v>1.775</v>
      </c>
      <c r="P68" s="8" t="s">
        <v>33</v>
      </c>
      <c r="Q68" s="12">
        <f t="shared" si="1"/>
        <v>0.3875</v>
      </c>
      <c r="R68" s="12">
        <f t="shared" si="4"/>
        <v>1.193255</v>
      </c>
    </row>
    <row r="69">
      <c r="A69" s="15">
        <f t="shared" si="3"/>
        <v>68</v>
      </c>
      <c r="B69" s="15" t="s">
        <v>40</v>
      </c>
      <c r="C69" s="15" t="s">
        <v>3225</v>
      </c>
      <c r="D69" s="15"/>
      <c r="E69" s="15"/>
      <c r="F69" s="15" t="s">
        <v>3154</v>
      </c>
      <c r="G69" s="15" t="s">
        <v>1961</v>
      </c>
      <c r="H69" s="15" t="s">
        <v>22</v>
      </c>
      <c r="I69" s="15" t="s">
        <v>29</v>
      </c>
      <c r="J69" s="15" t="s">
        <v>1522</v>
      </c>
      <c r="K69" s="16">
        <v>-3.25</v>
      </c>
      <c r="L69" s="16">
        <v>0.5</v>
      </c>
      <c r="M69" s="16">
        <f>0.5*3/4</f>
        <v>0.375</v>
      </c>
      <c r="N69" s="17">
        <v>45178.0</v>
      </c>
      <c r="O69" s="18">
        <v>1.8</v>
      </c>
      <c r="P69" s="15" t="s">
        <v>30</v>
      </c>
      <c r="Q69" s="19">
        <f t="shared" si="1"/>
        <v>0.15</v>
      </c>
      <c r="R69" s="19">
        <f t="shared" si="4"/>
        <v>1.343255</v>
      </c>
    </row>
    <row r="70">
      <c r="A70" s="8">
        <f t="shared" si="3"/>
        <v>69</v>
      </c>
      <c r="B70" s="8" t="s">
        <v>40</v>
      </c>
      <c r="C70" s="8" t="s">
        <v>3226</v>
      </c>
      <c r="D70" s="8" t="s">
        <v>5565</v>
      </c>
      <c r="E70" s="8" t="s">
        <v>2660</v>
      </c>
      <c r="F70" s="8">
        <v>3</v>
      </c>
      <c r="G70" s="8" t="s">
        <v>66</v>
      </c>
      <c r="H70" s="8" t="s">
        <v>22</v>
      </c>
      <c r="I70" s="8" t="s">
        <v>892</v>
      </c>
      <c r="J70" s="8" t="s">
        <v>24</v>
      </c>
      <c r="K70" s="9">
        <v>0.0</v>
      </c>
      <c r="L70" s="9">
        <v>0.25</v>
      </c>
      <c r="M70" s="9">
        <v>0.25</v>
      </c>
      <c r="N70" s="10">
        <v>45178.0</v>
      </c>
      <c r="O70" s="11">
        <v>1.5</v>
      </c>
      <c r="P70" s="8" t="s">
        <v>25</v>
      </c>
      <c r="Q70" s="12">
        <f t="shared" si="1"/>
        <v>-0.25</v>
      </c>
      <c r="R70" s="12">
        <f t="shared" si="4"/>
        <v>1.093255</v>
      </c>
    </row>
    <row r="71">
      <c r="A71" s="15">
        <f t="shared" si="3"/>
        <v>70</v>
      </c>
      <c r="B71" s="15" t="s">
        <v>40</v>
      </c>
      <c r="C71" s="15" t="s">
        <v>3227</v>
      </c>
      <c r="D71" s="15" t="s">
        <v>5564</v>
      </c>
      <c r="E71" s="15" t="s">
        <v>2556</v>
      </c>
      <c r="F71" s="15">
        <v>0.0</v>
      </c>
      <c r="G71" s="15" t="s">
        <v>178</v>
      </c>
      <c r="H71" s="15" t="s">
        <v>22</v>
      </c>
      <c r="I71" s="15" t="s">
        <v>225</v>
      </c>
      <c r="J71" s="15" t="s">
        <v>24</v>
      </c>
      <c r="K71" s="16">
        <v>0.5</v>
      </c>
      <c r="L71" s="16">
        <v>0.75</v>
      </c>
      <c r="M71" s="16">
        <v>0.61</v>
      </c>
      <c r="N71" s="17">
        <v>45178.0</v>
      </c>
      <c r="O71" s="18">
        <v>1.52</v>
      </c>
      <c r="P71" s="15" t="s">
        <v>33</v>
      </c>
      <c r="Q71" s="19">
        <f t="shared" si="1"/>
        <v>0.3172</v>
      </c>
      <c r="R71" s="19">
        <f t="shared" si="4"/>
        <v>1.410455</v>
      </c>
    </row>
    <row r="72">
      <c r="A72" s="8">
        <f t="shared" si="3"/>
        <v>71</v>
      </c>
      <c r="B72" s="8" t="s">
        <v>19</v>
      </c>
      <c r="C72" s="8" t="s">
        <v>3228</v>
      </c>
      <c r="D72" s="8" t="s">
        <v>5565</v>
      </c>
      <c r="E72" s="8"/>
      <c r="F72" s="8">
        <v>-1.0</v>
      </c>
      <c r="G72" s="8" t="s">
        <v>82</v>
      </c>
      <c r="H72" s="8" t="s">
        <v>22</v>
      </c>
      <c r="I72" s="8" t="s">
        <v>1165</v>
      </c>
      <c r="J72" s="8" t="s">
        <v>24</v>
      </c>
      <c r="K72" s="9"/>
      <c r="L72" s="9">
        <v>0.1</v>
      </c>
      <c r="M72" s="9">
        <v>0.1</v>
      </c>
      <c r="N72" s="10">
        <v>45178.0</v>
      </c>
      <c r="O72" s="11">
        <v>6.0</v>
      </c>
      <c r="P72" s="8" t="s">
        <v>33</v>
      </c>
      <c r="Q72" s="12">
        <f t="shared" si="1"/>
        <v>0.5</v>
      </c>
      <c r="R72" s="12">
        <f t="shared" si="4"/>
        <v>1.910455</v>
      </c>
    </row>
    <row r="73">
      <c r="A73" s="15">
        <f t="shared" si="3"/>
        <v>72</v>
      </c>
      <c r="B73" s="15" t="s">
        <v>40</v>
      </c>
      <c r="C73" s="15" t="s">
        <v>3229</v>
      </c>
      <c r="D73" s="15"/>
      <c r="E73" s="15"/>
      <c r="F73" s="15" t="s">
        <v>3121</v>
      </c>
      <c r="G73" s="15" t="s">
        <v>316</v>
      </c>
      <c r="H73" s="15" t="s">
        <v>22</v>
      </c>
      <c r="I73" s="15" t="s">
        <v>2962</v>
      </c>
      <c r="J73" s="15" t="s">
        <v>39</v>
      </c>
      <c r="K73" s="16">
        <v>-0.5</v>
      </c>
      <c r="L73" s="16">
        <v>0.5</v>
      </c>
      <c r="M73" s="16">
        <v>0.5</v>
      </c>
      <c r="N73" s="17">
        <v>45179.0</v>
      </c>
      <c r="O73" s="18">
        <v>1.7</v>
      </c>
      <c r="P73" s="15" t="s">
        <v>33</v>
      </c>
      <c r="Q73" s="19">
        <f t="shared" si="1"/>
        <v>0.35</v>
      </c>
      <c r="R73" s="19">
        <f t="shared" si="4"/>
        <v>2.260455</v>
      </c>
    </row>
    <row r="74">
      <c r="A74" s="8">
        <f t="shared" si="3"/>
        <v>73</v>
      </c>
      <c r="B74" s="8" t="s">
        <v>19</v>
      </c>
      <c r="C74" s="8" t="s">
        <v>3230</v>
      </c>
      <c r="D74" s="8" t="s">
        <v>5564</v>
      </c>
      <c r="E74" s="8" t="s">
        <v>2573</v>
      </c>
      <c r="F74" s="8">
        <v>2</v>
      </c>
      <c r="G74" s="8" t="s">
        <v>227</v>
      </c>
      <c r="H74" s="8" t="s">
        <v>22</v>
      </c>
      <c r="I74" s="8" t="s">
        <v>894</v>
      </c>
      <c r="J74" s="8" t="s">
        <v>39</v>
      </c>
      <c r="K74" s="9">
        <v>-0.5</v>
      </c>
      <c r="L74" s="9">
        <v>0.25</v>
      </c>
      <c r="M74" s="9">
        <v>0.25</v>
      </c>
      <c r="N74" s="10">
        <v>45179.0</v>
      </c>
      <c r="O74" s="11">
        <v>1.85</v>
      </c>
      <c r="P74" s="8" t="s">
        <v>25</v>
      </c>
      <c r="Q74" s="12">
        <f t="shared" si="1"/>
        <v>-0.25</v>
      </c>
      <c r="R74" s="12">
        <f t="shared" si="4"/>
        <v>2.010455</v>
      </c>
    </row>
    <row r="75">
      <c r="A75" s="15">
        <f t="shared" si="3"/>
        <v>74</v>
      </c>
      <c r="B75" s="15" t="s">
        <v>40</v>
      </c>
      <c r="C75" s="15" t="s">
        <v>3231</v>
      </c>
      <c r="D75" s="15" t="s">
        <v>5564</v>
      </c>
      <c r="E75" s="15" t="s">
        <v>2556</v>
      </c>
      <c r="F75" s="15">
        <v>0.0</v>
      </c>
      <c r="G75" s="15" t="s">
        <v>229</v>
      </c>
      <c r="H75" s="15" t="s">
        <v>22</v>
      </c>
      <c r="I75" s="15" t="s">
        <v>941</v>
      </c>
      <c r="J75" s="15" t="s">
        <v>24</v>
      </c>
      <c r="K75" s="16">
        <v>0.0</v>
      </c>
      <c r="L75" s="16">
        <v>0.25</v>
      </c>
      <c r="M75" s="16">
        <v>0.25</v>
      </c>
      <c r="N75" s="17">
        <v>45179.0</v>
      </c>
      <c r="O75" s="18">
        <v>1.8</v>
      </c>
      <c r="P75" s="15" t="s">
        <v>33</v>
      </c>
      <c r="Q75" s="19">
        <f t="shared" si="1"/>
        <v>0.2</v>
      </c>
      <c r="R75" s="19">
        <f t="shared" si="4"/>
        <v>2.210455</v>
      </c>
    </row>
    <row r="76">
      <c r="A76" s="8">
        <f t="shared" si="3"/>
        <v>75</v>
      </c>
      <c r="B76" s="8" t="s">
        <v>40</v>
      </c>
      <c r="C76" s="8" t="s">
        <v>3232</v>
      </c>
      <c r="D76" s="8"/>
      <c r="E76" s="8"/>
      <c r="F76" s="8"/>
      <c r="G76" s="8" t="s">
        <v>316</v>
      </c>
      <c r="H76" s="8" t="s">
        <v>22</v>
      </c>
      <c r="I76" s="8" t="s">
        <v>23</v>
      </c>
      <c r="J76" s="8" t="s">
        <v>39</v>
      </c>
      <c r="K76" s="9">
        <v>-12.0</v>
      </c>
      <c r="L76" s="8">
        <v>0.35</v>
      </c>
      <c r="M76" s="8">
        <v>0.35</v>
      </c>
      <c r="N76" s="10">
        <v>45179.0</v>
      </c>
      <c r="O76" s="11">
        <v>2.37</v>
      </c>
      <c r="P76" s="8" t="s">
        <v>33</v>
      </c>
      <c r="Q76" s="12">
        <f t="shared" si="1"/>
        <v>0.4795</v>
      </c>
      <c r="R76" s="12">
        <f t="shared" si="4"/>
        <v>2.689955</v>
      </c>
    </row>
    <row r="77">
      <c r="A77" s="15">
        <f t="shared" si="3"/>
        <v>76</v>
      </c>
      <c r="B77" s="15" t="s">
        <v>40</v>
      </c>
      <c r="C77" s="15" t="s">
        <v>3233</v>
      </c>
      <c r="D77" s="15"/>
      <c r="E77" s="15"/>
      <c r="F77" s="15" t="s">
        <v>3234</v>
      </c>
      <c r="G77" s="15" t="s">
        <v>316</v>
      </c>
      <c r="H77" s="15" t="s">
        <v>22</v>
      </c>
      <c r="I77" s="15" t="s">
        <v>29</v>
      </c>
      <c r="J77" s="15" t="s">
        <v>39</v>
      </c>
      <c r="K77" s="16">
        <v>-6.5</v>
      </c>
      <c r="L77" s="15">
        <v>0.25</v>
      </c>
      <c r="M77" s="15">
        <v>0.25</v>
      </c>
      <c r="N77" s="17">
        <v>45179.0</v>
      </c>
      <c r="O77" s="18">
        <v>1.775</v>
      </c>
      <c r="P77" s="15" t="s">
        <v>33</v>
      </c>
      <c r="Q77" s="19">
        <f t="shared" si="1"/>
        <v>0.19375</v>
      </c>
      <c r="R77" s="19">
        <f t="shared" si="4"/>
        <v>2.883705</v>
      </c>
    </row>
    <row r="78">
      <c r="A78" s="8">
        <f t="shared" si="3"/>
        <v>77</v>
      </c>
      <c r="B78" s="8" t="s">
        <v>19</v>
      </c>
      <c r="C78" s="8" t="s">
        <v>3235</v>
      </c>
      <c r="D78" s="8" t="s">
        <v>5564</v>
      </c>
      <c r="E78" s="8"/>
      <c r="F78" s="8">
        <f>1</f>
        <v>1</v>
      </c>
      <c r="G78" s="8" t="s">
        <v>121</v>
      </c>
      <c r="H78" s="8" t="s">
        <v>22</v>
      </c>
      <c r="I78" s="8" t="s">
        <v>1847</v>
      </c>
      <c r="J78" s="8" t="s">
        <v>24</v>
      </c>
      <c r="K78" s="9">
        <v>-0.5</v>
      </c>
      <c r="L78" s="9">
        <v>0.5</v>
      </c>
      <c r="M78" s="9">
        <v>0.5</v>
      </c>
      <c r="N78" s="10">
        <v>45179.0</v>
      </c>
      <c r="O78" s="11">
        <v>1.22</v>
      </c>
      <c r="P78" s="8" t="s">
        <v>33</v>
      </c>
      <c r="Q78" s="12">
        <f t="shared" si="1"/>
        <v>0.11</v>
      </c>
      <c r="R78" s="12">
        <f t="shared" si="4"/>
        <v>2.993705</v>
      </c>
    </row>
    <row r="79">
      <c r="A79" s="15">
        <f t="shared" si="3"/>
        <v>78</v>
      </c>
      <c r="B79" s="15" t="s">
        <v>19</v>
      </c>
      <c r="C79" s="15" t="s">
        <v>3236</v>
      </c>
      <c r="D79" s="15" t="s">
        <v>5565</v>
      </c>
      <c r="E79" s="15"/>
      <c r="F79" s="15">
        <v>0.0</v>
      </c>
      <c r="G79" s="15" t="s">
        <v>50</v>
      </c>
      <c r="H79" s="15" t="s">
        <v>22</v>
      </c>
      <c r="I79" s="15" t="s">
        <v>29</v>
      </c>
      <c r="J79" s="15" t="s">
        <v>39</v>
      </c>
      <c r="K79" s="16">
        <v>-0.5</v>
      </c>
      <c r="L79" s="15">
        <v>0.15</v>
      </c>
      <c r="M79" s="15">
        <v>0.15</v>
      </c>
      <c r="N79" s="17">
        <v>45179.0</v>
      </c>
      <c r="O79" s="18">
        <v>3.42</v>
      </c>
      <c r="P79" s="15" t="s">
        <v>33</v>
      </c>
      <c r="Q79" s="19">
        <f t="shared" si="1"/>
        <v>0.363</v>
      </c>
      <c r="R79" s="19">
        <f t="shared" si="4"/>
        <v>3.356705</v>
      </c>
    </row>
    <row r="80">
      <c r="A80" s="8">
        <f t="shared" si="3"/>
        <v>79</v>
      </c>
      <c r="B80" s="8" t="s">
        <v>19</v>
      </c>
      <c r="C80" s="8" t="s">
        <v>3237</v>
      </c>
      <c r="D80" s="8"/>
      <c r="E80" s="8"/>
      <c r="F80" s="8"/>
      <c r="G80" s="8" t="s">
        <v>189</v>
      </c>
      <c r="H80" s="8" t="s">
        <v>22</v>
      </c>
      <c r="I80" s="8" t="s">
        <v>29</v>
      </c>
      <c r="J80" s="8" t="s">
        <v>24</v>
      </c>
      <c r="K80" s="9">
        <v>-6.0</v>
      </c>
      <c r="L80" s="9">
        <v>0.75</v>
      </c>
      <c r="M80" s="9">
        <v>0.75</v>
      </c>
      <c r="N80" s="54">
        <v>45181.0</v>
      </c>
      <c r="O80" s="11">
        <v>1.85</v>
      </c>
      <c r="P80" s="8" t="s">
        <v>70</v>
      </c>
      <c r="Q80" s="12">
        <f t="shared" si="1"/>
        <v>0</v>
      </c>
      <c r="R80" s="12">
        <f t="shared" si="4"/>
        <v>3.356705</v>
      </c>
    </row>
    <row r="81">
      <c r="A81" s="15">
        <f t="shared" si="3"/>
        <v>80</v>
      </c>
      <c r="B81" s="15" t="s">
        <v>19</v>
      </c>
      <c r="C81" s="15" t="s">
        <v>3238</v>
      </c>
      <c r="D81" s="15" t="s">
        <v>5565</v>
      </c>
      <c r="E81" s="15"/>
      <c r="F81" s="15">
        <v>0.0</v>
      </c>
      <c r="G81" s="15" t="s">
        <v>44</v>
      </c>
      <c r="H81" s="15" t="s">
        <v>22</v>
      </c>
      <c r="I81" s="15" t="s">
        <v>1847</v>
      </c>
      <c r="J81" s="15" t="s">
        <v>1522</v>
      </c>
      <c r="K81" s="16">
        <v>-0.5</v>
      </c>
      <c r="L81" s="15">
        <v>0.75</v>
      </c>
      <c r="M81" s="15">
        <v>0.75</v>
      </c>
      <c r="N81" s="55">
        <v>45181.0</v>
      </c>
      <c r="O81" s="18">
        <v>1.66</v>
      </c>
      <c r="P81" s="15" t="s">
        <v>33</v>
      </c>
      <c r="Q81" s="19">
        <f t="shared" si="1"/>
        <v>0.495</v>
      </c>
      <c r="R81" s="19">
        <f t="shared" si="4"/>
        <v>3.851705</v>
      </c>
    </row>
    <row r="82">
      <c r="A82" s="8">
        <f t="shared" si="3"/>
        <v>81</v>
      </c>
      <c r="B82" s="8" t="s">
        <v>19</v>
      </c>
      <c r="C82" s="8" t="s">
        <v>3239</v>
      </c>
      <c r="D82" s="8" t="s">
        <v>5564</v>
      </c>
      <c r="E82" s="8" t="s">
        <v>2556</v>
      </c>
      <c r="F82" s="8">
        <v>0.0</v>
      </c>
      <c r="G82" s="8" t="s">
        <v>38</v>
      </c>
      <c r="H82" s="8" t="s">
        <v>22</v>
      </c>
      <c r="I82" s="8" t="s">
        <v>225</v>
      </c>
      <c r="J82" s="8" t="s">
        <v>39</v>
      </c>
      <c r="K82" s="8">
        <v>0.75</v>
      </c>
      <c r="L82" s="9">
        <v>1.0</v>
      </c>
      <c r="M82" s="9">
        <v>1.0</v>
      </c>
      <c r="N82" s="54">
        <v>45181.0</v>
      </c>
      <c r="O82" s="11">
        <v>1.85</v>
      </c>
      <c r="P82" s="8" t="s">
        <v>79</v>
      </c>
      <c r="Q82" s="12">
        <f t="shared" si="1"/>
        <v>-0.5</v>
      </c>
      <c r="R82" s="12">
        <f t="shared" si="4"/>
        <v>3.351705</v>
      </c>
    </row>
    <row r="83">
      <c r="A83" s="15">
        <f t="shared" si="3"/>
        <v>82</v>
      </c>
      <c r="B83" s="15" t="s">
        <v>19</v>
      </c>
      <c r="C83" s="15" t="s">
        <v>3240</v>
      </c>
      <c r="D83" s="15" t="s">
        <v>5564</v>
      </c>
      <c r="E83" s="15" t="s">
        <v>2556</v>
      </c>
      <c r="F83" s="15">
        <v>0.0</v>
      </c>
      <c r="G83" s="15" t="s">
        <v>167</v>
      </c>
      <c r="H83" s="15" t="s">
        <v>22</v>
      </c>
      <c r="I83" s="15" t="s">
        <v>941</v>
      </c>
      <c r="J83" s="15" t="s">
        <v>1522</v>
      </c>
      <c r="K83" s="16">
        <v>0.0</v>
      </c>
      <c r="L83" s="16">
        <v>0.5</v>
      </c>
      <c r="M83" s="16">
        <v>0.5</v>
      </c>
      <c r="N83" s="17">
        <v>45182.0</v>
      </c>
      <c r="O83" s="18">
        <v>1.825</v>
      </c>
      <c r="P83" s="15" t="s">
        <v>70</v>
      </c>
      <c r="Q83" s="19">
        <f t="shared" si="1"/>
        <v>0</v>
      </c>
      <c r="R83" s="19">
        <f t="shared" si="4"/>
        <v>3.351705</v>
      </c>
    </row>
    <row r="84">
      <c r="A84" s="8">
        <f t="shared" si="3"/>
        <v>83</v>
      </c>
      <c r="B84" s="8" t="s">
        <v>19</v>
      </c>
      <c r="C84" s="8" t="s">
        <v>3241</v>
      </c>
      <c r="D84" s="8"/>
      <c r="E84" s="8"/>
      <c r="F84" s="8" t="s">
        <v>3242</v>
      </c>
      <c r="G84" s="8" t="s">
        <v>245</v>
      </c>
      <c r="H84" s="8" t="s">
        <v>22</v>
      </c>
      <c r="I84" s="8" t="s">
        <v>2962</v>
      </c>
      <c r="J84" s="8" t="s">
        <v>24</v>
      </c>
      <c r="K84" s="9">
        <v>-1.5</v>
      </c>
      <c r="L84" s="9">
        <v>0.5</v>
      </c>
      <c r="M84" s="9">
        <v>0.5</v>
      </c>
      <c r="N84" s="10">
        <v>45182.0</v>
      </c>
      <c r="O84" s="11">
        <v>1.725</v>
      </c>
      <c r="P84" s="8" t="s">
        <v>25</v>
      </c>
      <c r="Q84" s="12">
        <f t="shared" si="1"/>
        <v>-0.5</v>
      </c>
      <c r="R84" s="12">
        <f t="shared" si="4"/>
        <v>2.851705</v>
      </c>
    </row>
    <row r="85">
      <c r="A85" s="15">
        <f t="shared" si="3"/>
        <v>84</v>
      </c>
      <c r="B85" s="15" t="s">
        <v>40</v>
      </c>
      <c r="C85" s="15" t="s">
        <v>3243</v>
      </c>
      <c r="D85" s="15" t="s">
        <v>5565</v>
      </c>
      <c r="E85" s="15" t="s">
        <v>2660</v>
      </c>
      <c r="F85" s="15">
        <v>-1.0</v>
      </c>
      <c r="G85" s="15" t="s">
        <v>224</v>
      </c>
      <c r="H85" s="15" t="s">
        <v>22</v>
      </c>
      <c r="I85" s="15" t="s">
        <v>892</v>
      </c>
      <c r="J85" s="15" t="s">
        <v>24</v>
      </c>
      <c r="K85" s="16">
        <v>0.0</v>
      </c>
      <c r="L85" s="16">
        <v>1.0</v>
      </c>
      <c r="M85" s="16">
        <v>1.0</v>
      </c>
      <c r="N85" s="17">
        <v>45182.0</v>
      </c>
      <c r="O85" s="18">
        <v>1.775</v>
      </c>
      <c r="P85" s="15" t="s">
        <v>70</v>
      </c>
      <c r="Q85" s="19">
        <f t="shared" si="1"/>
        <v>0</v>
      </c>
      <c r="R85" s="19">
        <f t="shared" si="4"/>
        <v>2.851705</v>
      </c>
    </row>
    <row r="86">
      <c r="A86" s="8">
        <f t="shared" si="3"/>
        <v>85</v>
      </c>
      <c r="B86" s="8" t="s">
        <v>19</v>
      </c>
      <c r="C86" s="8" t="s">
        <v>3244</v>
      </c>
      <c r="D86" s="8" t="s">
        <v>5564</v>
      </c>
      <c r="E86" s="8" t="s">
        <v>2660</v>
      </c>
      <c r="F86" s="8">
        <v>0.0</v>
      </c>
      <c r="G86" s="8" t="s">
        <v>117</v>
      </c>
      <c r="H86" s="8" t="s">
        <v>22</v>
      </c>
      <c r="I86" s="8" t="s">
        <v>892</v>
      </c>
      <c r="J86" s="8" t="s">
        <v>39</v>
      </c>
      <c r="K86" s="9">
        <v>0.0</v>
      </c>
      <c r="L86" s="9">
        <v>0.5</v>
      </c>
      <c r="M86" s="9">
        <v>0.333</v>
      </c>
      <c r="N86" s="10">
        <v>45182.0</v>
      </c>
      <c r="O86" s="11">
        <v>2.0</v>
      </c>
      <c r="P86" s="8" t="s">
        <v>33</v>
      </c>
      <c r="Q86" s="12">
        <f t="shared" si="1"/>
        <v>0.333</v>
      </c>
      <c r="R86" s="12">
        <f t="shared" si="4"/>
        <v>3.184705</v>
      </c>
    </row>
    <row r="87">
      <c r="A87" s="15">
        <f t="shared" si="3"/>
        <v>86</v>
      </c>
      <c r="B87" s="15" t="s">
        <v>19</v>
      </c>
      <c r="C87" s="15" t="s">
        <v>3245</v>
      </c>
      <c r="D87" s="15"/>
      <c r="E87" s="15"/>
      <c r="F87" s="15"/>
      <c r="G87" s="15" t="s">
        <v>82</v>
      </c>
      <c r="H87" s="15" t="s">
        <v>598</v>
      </c>
      <c r="I87" s="15" t="s">
        <v>2415</v>
      </c>
      <c r="J87" s="15" t="s">
        <v>39</v>
      </c>
      <c r="K87" s="16">
        <v>11.0</v>
      </c>
      <c r="L87" s="16">
        <v>0.5</v>
      </c>
      <c r="M87" s="16">
        <v>0.5</v>
      </c>
      <c r="N87" s="17">
        <v>45183.0</v>
      </c>
      <c r="O87" s="18">
        <v>1.775</v>
      </c>
      <c r="P87" s="15" t="s">
        <v>25</v>
      </c>
      <c r="Q87" s="19">
        <f t="shared" si="1"/>
        <v>-0.5</v>
      </c>
      <c r="R87" s="19">
        <f t="shared" si="4"/>
        <v>2.684705</v>
      </c>
    </row>
    <row r="88">
      <c r="A88" s="8">
        <f t="shared" si="3"/>
        <v>87</v>
      </c>
      <c r="B88" s="8" t="s">
        <v>19</v>
      </c>
      <c r="C88" s="8" t="s">
        <v>3246</v>
      </c>
      <c r="D88" s="8"/>
      <c r="E88" s="8"/>
      <c r="F88" s="8"/>
      <c r="G88" s="8" t="s">
        <v>82</v>
      </c>
      <c r="H88" s="8" t="s">
        <v>598</v>
      </c>
      <c r="I88" s="8" t="s">
        <v>2415</v>
      </c>
      <c r="J88" s="8" t="s">
        <v>39</v>
      </c>
      <c r="K88" s="9">
        <v>11.0</v>
      </c>
      <c r="L88" s="9">
        <v>0.5</v>
      </c>
      <c r="M88" s="9">
        <v>0.5</v>
      </c>
      <c r="N88" s="10">
        <v>45184.0</v>
      </c>
      <c r="O88" s="11">
        <v>1.85</v>
      </c>
      <c r="P88" s="8" t="s">
        <v>25</v>
      </c>
      <c r="Q88" s="12">
        <f t="shared" si="1"/>
        <v>-0.5</v>
      </c>
      <c r="R88" s="12">
        <f t="shared" si="4"/>
        <v>2.184705</v>
      </c>
    </row>
    <row r="89">
      <c r="A89" s="15">
        <f t="shared" si="3"/>
        <v>88</v>
      </c>
      <c r="B89" s="15" t="s">
        <v>19</v>
      </c>
      <c r="C89" s="15" t="s">
        <v>3247</v>
      </c>
      <c r="D89" s="15"/>
      <c r="E89" s="15"/>
      <c r="F89" s="15"/>
      <c r="G89" s="15" t="s">
        <v>82</v>
      </c>
      <c r="H89" s="15" t="s">
        <v>598</v>
      </c>
      <c r="I89" s="15" t="s">
        <v>3248</v>
      </c>
      <c r="J89" s="15" t="s">
        <v>39</v>
      </c>
      <c r="K89" s="16">
        <v>11.0</v>
      </c>
      <c r="L89" s="16">
        <v>0.1</v>
      </c>
      <c r="M89" s="16">
        <v>0.1</v>
      </c>
      <c r="N89" s="17">
        <v>45184.0</v>
      </c>
      <c r="O89" s="18">
        <v>3.28</v>
      </c>
      <c r="P89" s="15" t="s">
        <v>25</v>
      </c>
      <c r="Q89" s="19">
        <f t="shared" si="1"/>
        <v>-0.1</v>
      </c>
      <c r="R89" s="19">
        <f t="shared" si="4"/>
        <v>2.084705</v>
      </c>
    </row>
    <row r="90">
      <c r="A90" s="8">
        <f t="shared" si="3"/>
        <v>89</v>
      </c>
      <c r="B90" s="8" t="s">
        <v>19</v>
      </c>
      <c r="C90" s="8" t="s">
        <v>3249</v>
      </c>
      <c r="D90" s="8" t="s">
        <v>5565</v>
      </c>
      <c r="E90" s="8" t="s">
        <v>2660</v>
      </c>
      <c r="F90" s="8">
        <v>0.0</v>
      </c>
      <c r="G90" s="8" t="s">
        <v>820</v>
      </c>
      <c r="H90" s="8" t="s">
        <v>22</v>
      </c>
      <c r="I90" s="8" t="s">
        <v>892</v>
      </c>
      <c r="J90" s="8" t="s">
        <v>24</v>
      </c>
      <c r="K90" s="9">
        <v>0.0</v>
      </c>
      <c r="L90" s="9">
        <v>1.0</v>
      </c>
      <c r="M90" s="9">
        <v>1.0</v>
      </c>
      <c r="N90" s="10">
        <v>45183.0</v>
      </c>
      <c r="O90" s="11">
        <v>1.825</v>
      </c>
      <c r="P90" s="8" t="s">
        <v>33</v>
      </c>
      <c r="Q90" s="12">
        <f t="shared" si="1"/>
        <v>0.825</v>
      </c>
      <c r="R90" s="12">
        <f t="shared" si="4"/>
        <v>2.909705</v>
      </c>
    </row>
    <row r="91">
      <c r="A91" s="15">
        <f t="shared" si="3"/>
        <v>90</v>
      </c>
      <c r="B91" s="15" t="s">
        <v>19</v>
      </c>
      <c r="C91" s="15" t="s">
        <v>3250</v>
      </c>
      <c r="D91" s="15" t="s">
        <v>5564</v>
      </c>
      <c r="E91" s="15" t="s">
        <v>2556</v>
      </c>
      <c r="F91" s="15">
        <v>-1.0</v>
      </c>
      <c r="G91" s="15" t="s">
        <v>1025</v>
      </c>
      <c r="H91" s="15" t="s">
        <v>22</v>
      </c>
      <c r="I91" s="15" t="s">
        <v>225</v>
      </c>
      <c r="J91" s="15" t="s">
        <v>24</v>
      </c>
      <c r="K91" s="16">
        <v>0.25</v>
      </c>
      <c r="L91" s="16">
        <v>0.5</v>
      </c>
      <c r="M91" s="16">
        <v>0.5</v>
      </c>
      <c r="N91" s="17">
        <v>45184.0</v>
      </c>
      <c r="O91" s="18">
        <v>1.75</v>
      </c>
      <c r="P91" s="15" t="s">
        <v>33</v>
      </c>
      <c r="Q91" s="19">
        <f t="shared" si="1"/>
        <v>0.375</v>
      </c>
      <c r="R91" s="19">
        <f t="shared" si="4"/>
        <v>3.284705</v>
      </c>
    </row>
    <row r="92">
      <c r="A92" s="8">
        <f t="shared" si="3"/>
        <v>91</v>
      </c>
      <c r="B92" s="8" t="s">
        <v>19</v>
      </c>
      <c r="C92" s="8" t="s">
        <v>3251</v>
      </c>
      <c r="D92" s="8" t="s">
        <v>5564</v>
      </c>
      <c r="E92" s="8" t="s">
        <v>2556</v>
      </c>
      <c r="F92" s="8">
        <v>0.0</v>
      </c>
      <c r="G92" s="8" t="s">
        <v>44</v>
      </c>
      <c r="H92" s="8" t="s">
        <v>598</v>
      </c>
      <c r="I92" s="8" t="s">
        <v>225</v>
      </c>
      <c r="J92" s="8" t="s">
        <v>39</v>
      </c>
      <c r="K92" s="9">
        <v>1.0</v>
      </c>
      <c r="L92" s="9">
        <v>0.25</v>
      </c>
      <c r="M92" s="9">
        <v>0.25</v>
      </c>
      <c r="N92" s="10">
        <v>45184.0</v>
      </c>
      <c r="O92" s="11">
        <v>1.39</v>
      </c>
      <c r="P92" s="8" t="s">
        <v>33</v>
      </c>
      <c r="Q92" s="12">
        <f t="shared" si="1"/>
        <v>0.0975</v>
      </c>
      <c r="R92" s="12">
        <f t="shared" si="4"/>
        <v>3.382205</v>
      </c>
    </row>
    <row r="93">
      <c r="A93" s="15">
        <f t="shared" si="3"/>
        <v>92</v>
      </c>
      <c r="B93" s="15" t="s">
        <v>19</v>
      </c>
      <c r="C93" s="15" t="s">
        <v>3252</v>
      </c>
      <c r="D93" s="15" t="s">
        <v>5564</v>
      </c>
      <c r="E93" s="15" t="s">
        <v>2660</v>
      </c>
      <c r="F93" s="15">
        <v>-1.0</v>
      </c>
      <c r="G93" s="15" t="s">
        <v>1025</v>
      </c>
      <c r="H93" s="15" t="s">
        <v>22</v>
      </c>
      <c r="I93" s="15" t="s">
        <v>892</v>
      </c>
      <c r="J93" s="15" t="s">
        <v>24</v>
      </c>
      <c r="K93" s="16">
        <v>0.0</v>
      </c>
      <c r="L93" s="16">
        <v>1.0</v>
      </c>
      <c r="M93" s="16">
        <v>1.0</v>
      </c>
      <c r="N93" s="17">
        <v>45184.0</v>
      </c>
      <c r="O93" s="18">
        <v>1.775</v>
      </c>
      <c r="P93" s="15" t="s">
        <v>70</v>
      </c>
      <c r="Q93" s="19">
        <f t="shared" si="1"/>
        <v>0</v>
      </c>
      <c r="R93" s="19">
        <f t="shared" si="4"/>
        <v>3.382205</v>
      </c>
    </row>
    <row r="94">
      <c r="A94" s="8">
        <f t="shared" si="3"/>
        <v>93</v>
      </c>
      <c r="B94" s="8" t="s">
        <v>19</v>
      </c>
      <c r="C94" s="8" t="s">
        <v>3253</v>
      </c>
      <c r="D94" s="8" t="s">
        <v>5564</v>
      </c>
      <c r="E94" s="8" t="s">
        <v>2660</v>
      </c>
      <c r="F94" s="8">
        <v>0.0</v>
      </c>
      <c r="G94" s="8" t="s">
        <v>372</v>
      </c>
      <c r="H94" s="8" t="s">
        <v>22</v>
      </c>
      <c r="I94" s="8" t="s">
        <v>892</v>
      </c>
      <c r="J94" s="8" t="s">
        <v>24</v>
      </c>
      <c r="K94" s="9">
        <v>0.0</v>
      </c>
      <c r="L94" s="9">
        <v>1.0</v>
      </c>
      <c r="M94" s="9">
        <v>1.0</v>
      </c>
      <c r="N94" s="10">
        <v>45184.0</v>
      </c>
      <c r="O94" s="11">
        <v>1.95</v>
      </c>
      <c r="P94" s="8" t="s">
        <v>33</v>
      </c>
      <c r="Q94" s="12">
        <f t="shared" si="1"/>
        <v>0.95</v>
      </c>
      <c r="R94" s="12">
        <f t="shared" si="4"/>
        <v>4.332205</v>
      </c>
    </row>
    <row r="95">
      <c r="A95" s="15">
        <f t="shared" si="3"/>
        <v>94</v>
      </c>
      <c r="B95" s="15" t="s">
        <v>19</v>
      </c>
      <c r="C95" s="15" t="s">
        <v>3254</v>
      </c>
      <c r="D95" s="15" t="s">
        <v>5564</v>
      </c>
      <c r="E95" s="15" t="s">
        <v>2556</v>
      </c>
      <c r="F95" s="15">
        <v>0.0</v>
      </c>
      <c r="G95" s="15" t="s">
        <v>423</v>
      </c>
      <c r="H95" s="15" t="s">
        <v>22</v>
      </c>
      <c r="I95" s="15" t="s">
        <v>225</v>
      </c>
      <c r="J95" s="15" t="s">
        <v>1851</v>
      </c>
      <c r="K95" s="16">
        <v>0.25</v>
      </c>
      <c r="L95" s="16">
        <v>0.5</v>
      </c>
      <c r="M95" s="16">
        <v>0.5</v>
      </c>
      <c r="N95" s="17">
        <v>45184.0</v>
      </c>
      <c r="O95" s="18">
        <v>1.95</v>
      </c>
      <c r="P95" s="15" t="s">
        <v>30</v>
      </c>
      <c r="Q95" s="19">
        <f t="shared" si="1"/>
        <v>0.2375</v>
      </c>
      <c r="R95" s="19">
        <f t="shared" si="4"/>
        <v>4.569705</v>
      </c>
    </row>
    <row r="96">
      <c r="A96" s="8">
        <f t="shared" si="3"/>
        <v>95</v>
      </c>
      <c r="B96" s="8" t="s">
        <v>19</v>
      </c>
      <c r="C96" s="8" t="s">
        <v>3255</v>
      </c>
      <c r="D96" s="8" t="s">
        <v>5565</v>
      </c>
      <c r="E96" s="8" t="s">
        <v>2556</v>
      </c>
      <c r="F96" s="8">
        <v>0.0</v>
      </c>
      <c r="G96" s="8" t="s">
        <v>703</v>
      </c>
      <c r="H96" s="8" t="s">
        <v>22</v>
      </c>
      <c r="I96" s="8" t="s">
        <v>225</v>
      </c>
      <c r="J96" s="8" t="s">
        <v>24</v>
      </c>
      <c r="K96" s="9">
        <v>1.0</v>
      </c>
      <c r="L96" s="9">
        <v>0.5</v>
      </c>
      <c r="M96" s="9">
        <v>0.5</v>
      </c>
      <c r="N96" s="54">
        <v>45184.0</v>
      </c>
      <c r="O96" s="11">
        <f>0.39/0.25</f>
        <v>1.56</v>
      </c>
      <c r="P96" s="8" t="s">
        <v>33</v>
      </c>
      <c r="Q96" s="12">
        <f t="shared" si="1"/>
        <v>0.28</v>
      </c>
      <c r="R96" s="12">
        <f t="shared" si="4"/>
        <v>4.849705</v>
      </c>
    </row>
    <row r="97">
      <c r="A97" s="15">
        <f t="shared" si="3"/>
        <v>96</v>
      </c>
      <c r="B97" s="15" t="s">
        <v>19</v>
      </c>
      <c r="C97" s="15" t="s">
        <v>3256</v>
      </c>
      <c r="D97" s="15" t="s">
        <v>5564</v>
      </c>
      <c r="E97" s="15" t="s">
        <v>2556</v>
      </c>
      <c r="F97" s="15">
        <v>-1.0</v>
      </c>
      <c r="G97" s="15" t="s">
        <v>583</v>
      </c>
      <c r="H97" s="15" t="s">
        <v>22</v>
      </c>
      <c r="I97" s="15" t="s">
        <v>225</v>
      </c>
      <c r="J97" s="15" t="s">
        <v>24</v>
      </c>
      <c r="K97" s="16">
        <v>0.25</v>
      </c>
      <c r="L97" s="16">
        <v>0.5</v>
      </c>
      <c r="M97" s="16">
        <v>0.5</v>
      </c>
      <c r="N97" s="17">
        <v>45184.0</v>
      </c>
      <c r="O97" s="18">
        <v>2.025</v>
      </c>
      <c r="P97" s="15" t="s">
        <v>33</v>
      </c>
      <c r="Q97" s="19">
        <f t="shared" si="1"/>
        <v>0.5125</v>
      </c>
      <c r="R97" s="19">
        <f t="shared" si="4"/>
        <v>5.362205</v>
      </c>
    </row>
    <row r="98">
      <c r="A98" s="8">
        <f t="shared" si="3"/>
        <v>97</v>
      </c>
      <c r="B98" s="8" t="s">
        <v>19</v>
      </c>
      <c r="C98" s="8" t="s">
        <v>3257</v>
      </c>
      <c r="D98" s="8" t="s">
        <v>5564</v>
      </c>
      <c r="E98" s="8" t="s">
        <v>2556</v>
      </c>
      <c r="F98" s="8">
        <v>-1.0</v>
      </c>
      <c r="G98" s="8" t="s">
        <v>1201</v>
      </c>
      <c r="H98" s="8" t="s">
        <v>22</v>
      </c>
      <c r="I98" s="8" t="s">
        <v>225</v>
      </c>
      <c r="J98" s="8" t="s">
        <v>24</v>
      </c>
      <c r="K98" s="9">
        <v>0.5</v>
      </c>
      <c r="L98" s="9">
        <v>0.75</v>
      </c>
      <c r="M98" s="9">
        <v>0.75</v>
      </c>
      <c r="N98" s="10">
        <v>45184.0</v>
      </c>
      <c r="O98" s="11">
        <v>1.9</v>
      </c>
      <c r="P98" s="8" t="s">
        <v>25</v>
      </c>
      <c r="Q98" s="12">
        <f t="shared" si="1"/>
        <v>-0.75</v>
      </c>
      <c r="R98" s="12">
        <f t="shared" si="4"/>
        <v>4.612205</v>
      </c>
    </row>
    <row r="99">
      <c r="A99" s="15">
        <f t="shared" si="3"/>
        <v>98</v>
      </c>
      <c r="B99" s="15" t="s">
        <v>19</v>
      </c>
      <c r="C99" s="15" t="s">
        <v>3258</v>
      </c>
      <c r="D99" s="15" t="s">
        <v>5564</v>
      </c>
      <c r="E99" s="15"/>
      <c r="F99" s="15"/>
      <c r="G99" s="15" t="s">
        <v>1201</v>
      </c>
      <c r="H99" s="15" t="s">
        <v>22</v>
      </c>
      <c r="I99" s="15" t="s">
        <v>1165</v>
      </c>
      <c r="J99" s="15" t="s">
        <v>24</v>
      </c>
      <c r="K99" s="16"/>
      <c r="L99" s="16">
        <v>0.15</v>
      </c>
      <c r="M99" s="16">
        <v>0.15</v>
      </c>
      <c r="N99" s="17">
        <v>45184.0</v>
      </c>
      <c r="O99" s="18">
        <v>3.0</v>
      </c>
      <c r="P99" s="15" t="s">
        <v>25</v>
      </c>
      <c r="Q99" s="19">
        <f t="shared" si="1"/>
        <v>-0.15</v>
      </c>
      <c r="R99" s="19">
        <f t="shared" si="4"/>
        <v>4.462205</v>
      </c>
    </row>
    <row r="100">
      <c r="A100" s="8">
        <f t="shared" si="3"/>
        <v>99</v>
      </c>
      <c r="B100" s="8" t="s">
        <v>19</v>
      </c>
      <c r="C100" s="8" t="s">
        <v>3259</v>
      </c>
      <c r="D100" s="8" t="s">
        <v>5565</v>
      </c>
      <c r="E100" s="8" t="s">
        <v>2556</v>
      </c>
      <c r="F100" s="8">
        <v>0.0</v>
      </c>
      <c r="G100" s="8" t="s">
        <v>273</v>
      </c>
      <c r="H100" s="8" t="s">
        <v>22</v>
      </c>
      <c r="I100" s="8" t="s">
        <v>941</v>
      </c>
      <c r="J100" s="8" t="s">
        <v>1522</v>
      </c>
      <c r="K100" s="9">
        <v>0.0</v>
      </c>
      <c r="L100" s="9">
        <v>1.0</v>
      </c>
      <c r="M100" s="9">
        <v>1.0</v>
      </c>
      <c r="N100" s="10">
        <v>45184.0</v>
      </c>
      <c r="O100" s="11">
        <v>1.8</v>
      </c>
      <c r="P100" s="8" t="s">
        <v>70</v>
      </c>
      <c r="Q100" s="12">
        <f t="shared" si="1"/>
        <v>0</v>
      </c>
      <c r="R100" s="12">
        <f t="shared" si="4"/>
        <v>4.462205</v>
      </c>
    </row>
    <row r="101">
      <c r="A101" s="15">
        <f t="shared" si="3"/>
        <v>100</v>
      </c>
      <c r="B101" s="15" t="s">
        <v>19</v>
      </c>
      <c r="C101" s="15" t="s">
        <v>3260</v>
      </c>
      <c r="D101" s="15" t="s">
        <v>5565</v>
      </c>
      <c r="E101" s="15" t="s">
        <v>2556</v>
      </c>
      <c r="F101" s="15">
        <v>-1.0</v>
      </c>
      <c r="G101" s="15" t="s">
        <v>644</v>
      </c>
      <c r="H101" s="15" t="s">
        <v>22</v>
      </c>
      <c r="I101" s="15" t="s">
        <v>225</v>
      </c>
      <c r="J101" s="15" t="s">
        <v>24</v>
      </c>
      <c r="K101" s="16">
        <v>0.5</v>
      </c>
      <c r="L101" s="16">
        <v>0.25</v>
      </c>
      <c r="M101" s="16">
        <v>0.25</v>
      </c>
      <c r="N101" s="17">
        <v>45184.0</v>
      </c>
      <c r="O101" s="18">
        <f>1.406/1.25</f>
        <v>1.1248</v>
      </c>
      <c r="P101" s="15" t="s">
        <v>33</v>
      </c>
      <c r="Q101" s="19">
        <f t="shared" si="1"/>
        <v>0.0312</v>
      </c>
      <c r="R101" s="19">
        <f t="shared" si="4"/>
        <v>4.493405</v>
      </c>
    </row>
    <row r="102">
      <c r="A102" s="8">
        <f t="shared" si="3"/>
        <v>101</v>
      </c>
      <c r="B102" s="8" t="s">
        <v>19</v>
      </c>
      <c r="C102" s="8" t="s">
        <v>3261</v>
      </c>
      <c r="D102" s="8" t="s">
        <v>5565</v>
      </c>
      <c r="E102" s="8" t="s">
        <v>2556</v>
      </c>
      <c r="F102" s="8">
        <v>-1.0</v>
      </c>
      <c r="G102" s="8" t="s">
        <v>644</v>
      </c>
      <c r="H102" s="8" t="s">
        <v>22</v>
      </c>
      <c r="I102" s="8" t="s">
        <v>225</v>
      </c>
      <c r="J102" s="8" t="s">
        <v>24</v>
      </c>
      <c r="K102" s="9">
        <v>0.25</v>
      </c>
      <c r="L102" s="9">
        <v>0.5</v>
      </c>
      <c r="M102" s="9">
        <v>0.5</v>
      </c>
      <c r="N102" s="10">
        <v>45184.0</v>
      </c>
      <c r="O102" s="11">
        <v>2.05</v>
      </c>
      <c r="P102" s="8" t="s">
        <v>33</v>
      </c>
      <c r="Q102" s="12">
        <f t="shared" si="1"/>
        <v>0.525</v>
      </c>
      <c r="R102" s="12">
        <f t="shared" si="4"/>
        <v>5.018405</v>
      </c>
    </row>
    <row r="103">
      <c r="A103" s="15">
        <f t="shared" si="3"/>
        <v>102</v>
      </c>
      <c r="B103" s="15" t="s">
        <v>19</v>
      </c>
      <c r="C103" s="15" t="s">
        <v>3262</v>
      </c>
      <c r="D103" s="15" t="s">
        <v>5565</v>
      </c>
      <c r="E103" s="15"/>
      <c r="F103" s="15">
        <v>-1.0</v>
      </c>
      <c r="G103" s="15" t="s">
        <v>644</v>
      </c>
      <c r="H103" s="15" t="s">
        <v>22</v>
      </c>
      <c r="I103" s="15" t="s">
        <v>1165</v>
      </c>
      <c r="J103" s="15" t="s">
        <v>24</v>
      </c>
      <c r="K103" s="16"/>
      <c r="L103" s="16">
        <v>0.1</v>
      </c>
      <c r="M103" s="16">
        <v>0.1</v>
      </c>
      <c r="N103" s="17">
        <v>45184.0</v>
      </c>
      <c r="O103" s="18">
        <v>3.1</v>
      </c>
      <c r="P103" s="15" t="s">
        <v>33</v>
      </c>
      <c r="Q103" s="19">
        <f t="shared" si="1"/>
        <v>0.21</v>
      </c>
      <c r="R103" s="19">
        <f t="shared" si="4"/>
        <v>5.228405</v>
      </c>
    </row>
    <row r="104">
      <c r="A104" s="8">
        <f t="shared" si="3"/>
        <v>103</v>
      </c>
      <c r="B104" s="8" t="s">
        <v>19</v>
      </c>
      <c r="C104" s="8" t="s">
        <v>3263</v>
      </c>
      <c r="D104" s="8" t="s">
        <v>5565</v>
      </c>
      <c r="E104" s="8" t="s">
        <v>2556</v>
      </c>
      <c r="F104" s="8">
        <v>0.0</v>
      </c>
      <c r="G104" s="8" t="s">
        <v>616</v>
      </c>
      <c r="H104" s="8" t="s">
        <v>22</v>
      </c>
      <c r="I104" s="8" t="s">
        <v>225</v>
      </c>
      <c r="J104" s="8" t="s">
        <v>24</v>
      </c>
      <c r="K104" s="9">
        <v>0.25</v>
      </c>
      <c r="L104" s="9">
        <v>0.5</v>
      </c>
      <c r="M104" s="9">
        <v>0.5</v>
      </c>
      <c r="N104" s="54">
        <v>45184.0</v>
      </c>
      <c r="O104" s="11">
        <v>1.825</v>
      </c>
      <c r="P104" s="8" t="s">
        <v>25</v>
      </c>
      <c r="Q104" s="12">
        <f t="shared" si="1"/>
        <v>-0.5</v>
      </c>
      <c r="R104" s="12">
        <f t="shared" si="4"/>
        <v>4.728405</v>
      </c>
    </row>
    <row r="105">
      <c r="A105" s="15">
        <f t="shared" si="3"/>
        <v>104</v>
      </c>
      <c r="B105" s="15" t="s">
        <v>19</v>
      </c>
      <c r="C105" s="15" t="s">
        <v>3264</v>
      </c>
      <c r="D105" s="15" t="s">
        <v>5565</v>
      </c>
      <c r="E105" s="15" t="s">
        <v>2660</v>
      </c>
      <c r="F105" s="15">
        <v>0.0</v>
      </c>
      <c r="G105" s="15" t="s">
        <v>44</v>
      </c>
      <c r="H105" s="15" t="s">
        <v>22</v>
      </c>
      <c r="I105" s="15" t="s">
        <v>892</v>
      </c>
      <c r="J105" s="15" t="s">
        <v>2688</v>
      </c>
      <c r="K105" s="16">
        <v>0.0</v>
      </c>
      <c r="L105" s="16">
        <v>0.75</v>
      </c>
      <c r="M105" s="16">
        <v>0.75</v>
      </c>
      <c r="N105" s="17">
        <v>45184.0</v>
      </c>
      <c r="O105" s="18">
        <f>0.45/0.25</f>
        <v>1.8</v>
      </c>
      <c r="P105" s="15" t="s">
        <v>33</v>
      </c>
      <c r="Q105" s="19">
        <f t="shared" si="1"/>
        <v>0.6</v>
      </c>
      <c r="R105" s="19">
        <f t="shared" si="4"/>
        <v>5.328405</v>
      </c>
    </row>
    <row r="106">
      <c r="A106" s="8">
        <f t="shared" si="3"/>
        <v>105</v>
      </c>
      <c r="B106" s="8" t="s">
        <v>19</v>
      </c>
      <c r="C106" s="8" t="s">
        <v>3265</v>
      </c>
      <c r="D106" s="8" t="s">
        <v>5564</v>
      </c>
      <c r="E106" s="8" t="s">
        <v>2556</v>
      </c>
      <c r="F106" s="8">
        <v>0.0</v>
      </c>
      <c r="G106" s="8" t="s">
        <v>316</v>
      </c>
      <c r="H106" s="8" t="s">
        <v>22</v>
      </c>
      <c r="I106" s="8" t="s">
        <v>941</v>
      </c>
      <c r="J106" s="8" t="s">
        <v>24</v>
      </c>
      <c r="K106" s="9">
        <v>0.0</v>
      </c>
      <c r="L106" s="9">
        <v>0.25</v>
      </c>
      <c r="M106" s="9">
        <v>0.25</v>
      </c>
      <c r="N106" s="10">
        <v>45184.0</v>
      </c>
      <c r="O106" s="11">
        <v>2.2</v>
      </c>
      <c r="P106" s="8" t="s">
        <v>70</v>
      </c>
      <c r="Q106" s="12">
        <f t="shared" si="1"/>
        <v>0</v>
      </c>
      <c r="R106" s="12">
        <f t="shared" si="4"/>
        <v>5.328405</v>
      </c>
    </row>
    <row r="107">
      <c r="A107" s="15">
        <f t="shared" si="3"/>
        <v>106</v>
      </c>
      <c r="B107" s="15" t="s">
        <v>19</v>
      </c>
      <c r="C107" s="147" t="s">
        <v>3266</v>
      </c>
      <c r="D107" s="15" t="s">
        <v>5564</v>
      </c>
      <c r="E107" s="15" t="s">
        <v>2660</v>
      </c>
      <c r="F107" s="15">
        <v>2</v>
      </c>
      <c r="G107" s="15" t="s">
        <v>178</v>
      </c>
      <c r="H107" s="15" t="s">
        <v>22</v>
      </c>
      <c r="I107" s="15" t="s">
        <v>892</v>
      </c>
      <c r="J107" s="15" t="s">
        <v>1522</v>
      </c>
      <c r="K107" s="16">
        <v>0.0</v>
      </c>
      <c r="L107" s="16">
        <v>0.5</v>
      </c>
      <c r="M107" s="16">
        <v>0.5</v>
      </c>
      <c r="N107" s="17">
        <v>45185.0</v>
      </c>
      <c r="O107" s="18">
        <v>1.85</v>
      </c>
      <c r="P107" s="15" t="s">
        <v>70</v>
      </c>
      <c r="Q107" s="19">
        <f t="shared" si="1"/>
        <v>0</v>
      </c>
      <c r="R107" s="19">
        <f t="shared" si="4"/>
        <v>5.328405</v>
      </c>
    </row>
    <row r="108">
      <c r="A108" s="8">
        <f t="shared" si="3"/>
        <v>107</v>
      </c>
      <c r="B108" s="8" t="s">
        <v>40</v>
      </c>
      <c r="C108" s="8" t="s">
        <v>3267</v>
      </c>
      <c r="D108" s="8" t="s">
        <v>5565</v>
      </c>
      <c r="E108" s="8" t="s">
        <v>2556</v>
      </c>
      <c r="F108" s="8">
        <v>-3.0</v>
      </c>
      <c r="G108" s="8" t="s">
        <v>66</v>
      </c>
      <c r="H108" s="8" t="s">
        <v>22</v>
      </c>
      <c r="I108" s="8" t="s">
        <v>225</v>
      </c>
      <c r="J108" s="8" t="s">
        <v>24</v>
      </c>
      <c r="K108" s="9">
        <v>0.5</v>
      </c>
      <c r="L108" s="9">
        <v>0.75</v>
      </c>
      <c r="M108" s="9">
        <v>0.75</v>
      </c>
      <c r="N108" s="10">
        <v>45185.0</v>
      </c>
      <c r="O108" s="11">
        <v>1.57</v>
      </c>
      <c r="P108" s="8" t="s">
        <v>33</v>
      </c>
      <c r="Q108" s="12">
        <f t="shared" si="1"/>
        <v>0.4275</v>
      </c>
      <c r="R108" s="12">
        <f t="shared" si="4"/>
        <v>5.755905</v>
      </c>
    </row>
    <row r="109">
      <c r="A109" s="15">
        <f t="shared" si="3"/>
        <v>108</v>
      </c>
      <c r="B109" s="15" t="s">
        <v>19</v>
      </c>
      <c r="C109" s="15" t="s">
        <v>3268</v>
      </c>
      <c r="D109" s="15" t="s">
        <v>5564</v>
      </c>
      <c r="E109" s="15" t="s">
        <v>2556</v>
      </c>
      <c r="F109" s="15">
        <v>-1.0</v>
      </c>
      <c r="G109" s="15" t="s">
        <v>88</v>
      </c>
      <c r="H109" s="15" t="s">
        <v>22</v>
      </c>
      <c r="I109" s="15" t="s">
        <v>225</v>
      </c>
      <c r="J109" s="15" t="s">
        <v>24</v>
      </c>
      <c r="K109" s="16">
        <v>0.5</v>
      </c>
      <c r="L109" s="16">
        <v>1.0</v>
      </c>
      <c r="M109" s="16">
        <v>1.0</v>
      </c>
      <c r="N109" s="17">
        <v>45185.0</v>
      </c>
      <c r="O109" s="18">
        <v>1.75</v>
      </c>
      <c r="P109" s="15" t="s">
        <v>33</v>
      </c>
      <c r="Q109" s="19">
        <f t="shared" si="1"/>
        <v>0.75</v>
      </c>
      <c r="R109" s="19">
        <f t="shared" si="4"/>
        <v>6.505905</v>
      </c>
    </row>
    <row r="110">
      <c r="A110" s="8">
        <f t="shared" si="3"/>
        <v>109</v>
      </c>
      <c r="B110" s="8" t="s">
        <v>19</v>
      </c>
      <c r="C110" s="8" t="s">
        <v>3269</v>
      </c>
      <c r="D110" s="8" t="s">
        <v>5564</v>
      </c>
      <c r="E110" s="8" t="s">
        <v>2556</v>
      </c>
      <c r="F110" s="8">
        <v>0.0</v>
      </c>
      <c r="G110" s="8" t="s">
        <v>44</v>
      </c>
      <c r="H110" s="8" t="s">
        <v>22</v>
      </c>
      <c r="I110" s="8" t="s">
        <v>225</v>
      </c>
      <c r="J110" s="8" t="s">
        <v>24</v>
      </c>
      <c r="K110" s="9">
        <v>0.25</v>
      </c>
      <c r="L110" s="9">
        <v>0.25</v>
      </c>
      <c r="M110" s="9">
        <v>0.25</v>
      </c>
      <c r="N110" s="10">
        <v>45185.0</v>
      </c>
      <c r="O110" s="11">
        <v>1.775</v>
      </c>
      <c r="P110" s="8" t="s">
        <v>25</v>
      </c>
      <c r="Q110" s="12">
        <f t="shared" si="1"/>
        <v>-0.25</v>
      </c>
      <c r="R110" s="12">
        <f t="shared" si="4"/>
        <v>6.255905</v>
      </c>
    </row>
    <row r="111">
      <c r="A111" s="15">
        <f t="shared" si="3"/>
        <v>110</v>
      </c>
      <c r="B111" s="15" t="s">
        <v>19</v>
      </c>
      <c r="C111" s="15" t="s">
        <v>3270</v>
      </c>
      <c r="D111" s="15"/>
      <c r="E111" s="15"/>
      <c r="F111" s="15" t="s">
        <v>3154</v>
      </c>
      <c r="G111" s="15" t="s">
        <v>101</v>
      </c>
      <c r="H111" s="15" t="s">
        <v>22</v>
      </c>
      <c r="I111" s="15" t="s">
        <v>29</v>
      </c>
      <c r="J111" s="15" t="s">
        <v>24</v>
      </c>
      <c r="K111" s="16">
        <v>-3.5</v>
      </c>
      <c r="L111" s="16">
        <v>0.5</v>
      </c>
      <c r="M111" s="16">
        <v>0.5</v>
      </c>
      <c r="N111" s="17">
        <v>45185.0</v>
      </c>
      <c r="O111" s="18">
        <v>1.725</v>
      </c>
      <c r="P111" s="15" t="s">
        <v>33</v>
      </c>
      <c r="Q111" s="19">
        <f t="shared" si="1"/>
        <v>0.3625</v>
      </c>
      <c r="R111" s="19">
        <f t="shared" si="4"/>
        <v>6.618405</v>
      </c>
    </row>
    <row r="112">
      <c r="A112" s="8">
        <f t="shared" si="3"/>
        <v>111</v>
      </c>
      <c r="B112" s="8" t="s">
        <v>19</v>
      </c>
      <c r="C112" s="8" t="s">
        <v>3271</v>
      </c>
      <c r="D112" s="8"/>
      <c r="E112" s="8"/>
      <c r="F112" s="8"/>
      <c r="G112" s="8" t="s">
        <v>940</v>
      </c>
      <c r="H112" s="8" t="s">
        <v>598</v>
      </c>
      <c r="I112" s="8" t="s">
        <v>23</v>
      </c>
      <c r="J112" s="8" t="s">
        <v>24</v>
      </c>
      <c r="K112" s="9">
        <v>-10.5</v>
      </c>
      <c r="L112" s="9">
        <v>0.5</v>
      </c>
      <c r="M112" s="9">
        <v>0.5</v>
      </c>
      <c r="N112" s="10">
        <v>45185.0</v>
      </c>
      <c r="O112" s="11">
        <v>1.875</v>
      </c>
      <c r="P112" s="8" t="s">
        <v>25</v>
      </c>
      <c r="Q112" s="12">
        <f t="shared" si="1"/>
        <v>-0.5</v>
      </c>
      <c r="R112" s="12">
        <f t="shared" si="4"/>
        <v>6.118405</v>
      </c>
    </row>
    <row r="113">
      <c r="A113" s="15">
        <f t="shared" si="3"/>
        <v>112</v>
      </c>
      <c r="B113" s="15" t="s">
        <v>19</v>
      </c>
      <c r="C113" s="15" t="s">
        <v>3272</v>
      </c>
      <c r="D113" s="15" t="s">
        <v>5565</v>
      </c>
      <c r="E113" s="15" t="s">
        <v>2660</v>
      </c>
      <c r="F113" s="15">
        <v>-1.0</v>
      </c>
      <c r="G113" s="15" t="s">
        <v>229</v>
      </c>
      <c r="H113" s="15" t="s">
        <v>22</v>
      </c>
      <c r="I113" s="15" t="s">
        <v>892</v>
      </c>
      <c r="J113" s="15" t="s">
        <v>24</v>
      </c>
      <c r="K113" s="16">
        <v>0.0</v>
      </c>
      <c r="L113" s="16">
        <v>1.0</v>
      </c>
      <c r="M113" s="16">
        <v>1.0</v>
      </c>
      <c r="N113" s="17">
        <v>45185.0</v>
      </c>
      <c r="O113" s="18">
        <v>1.825</v>
      </c>
      <c r="P113" s="15" t="s">
        <v>33</v>
      </c>
      <c r="Q113" s="19">
        <f t="shared" si="1"/>
        <v>0.825</v>
      </c>
      <c r="R113" s="19">
        <f t="shared" si="4"/>
        <v>6.943405</v>
      </c>
    </row>
    <row r="114">
      <c r="A114" s="8">
        <f t="shared" si="3"/>
        <v>113</v>
      </c>
      <c r="B114" s="8" t="s">
        <v>19</v>
      </c>
      <c r="C114" s="8" t="s">
        <v>3273</v>
      </c>
      <c r="D114" s="8" t="s">
        <v>5564</v>
      </c>
      <c r="E114" s="8" t="s">
        <v>2660</v>
      </c>
      <c r="F114" s="8">
        <v>-1.0</v>
      </c>
      <c r="G114" s="8" t="s">
        <v>115</v>
      </c>
      <c r="H114" s="8" t="s">
        <v>22</v>
      </c>
      <c r="I114" s="8" t="s">
        <v>892</v>
      </c>
      <c r="J114" s="8" t="s">
        <v>1522</v>
      </c>
      <c r="K114" s="9">
        <v>0.0</v>
      </c>
      <c r="L114" s="9">
        <v>1.0</v>
      </c>
      <c r="M114" s="9">
        <v>1.0</v>
      </c>
      <c r="N114" s="10">
        <v>45185.0</v>
      </c>
      <c r="O114" s="11">
        <v>1.85</v>
      </c>
      <c r="P114" s="8" t="s">
        <v>70</v>
      </c>
      <c r="Q114" s="12">
        <f t="shared" si="1"/>
        <v>0</v>
      </c>
      <c r="R114" s="12">
        <f t="shared" si="4"/>
        <v>6.943405</v>
      </c>
    </row>
    <row r="115">
      <c r="A115" s="15">
        <f t="shared" si="3"/>
        <v>114</v>
      </c>
      <c r="B115" s="15" t="s">
        <v>19</v>
      </c>
      <c r="C115" s="15" t="s">
        <v>3274</v>
      </c>
      <c r="D115" s="15" t="s">
        <v>5564</v>
      </c>
      <c r="E115" s="15"/>
      <c r="F115" s="15"/>
      <c r="G115" s="15" t="s">
        <v>44</v>
      </c>
      <c r="H115" s="15" t="s">
        <v>22</v>
      </c>
      <c r="I115" s="15" t="s">
        <v>1165</v>
      </c>
      <c r="J115" s="15" t="s">
        <v>24</v>
      </c>
      <c r="K115" s="16"/>
      <c r="L115" s="16">
        <v>0.15</v>
      </c>
      <c r="M115" s="16">
        <v>0.15</v>
      </c>
      <c r="N115" s="17">
        <v>45185.0</v>
      </c>
      <c r="O115" s="18">
        <v>3.25</v>
      </c>
      <c r="P115" s="15" t="s">
        <v>25</v>
      </c>
      <c r="Q115" s="19">
        <f t="shared" si="1"/>
        <v>-0.15</v>
      </c>
      <c r="R115" s="19">
        <f t="shared" si="4"/>
        <v>6.793405</v>
      </c>
    </row>
    <row r="116">
      <c r="A116" s="8">
        <f t="shared" si="3"/>
        <v>115</v>
      </c>
      <c r="B116" s="8" t="s">
        <v>19</v>
      </c>
      <c r="C116" s="8" t="s">
        <v>3275</v>
      </c>
      <c r="D116" s="8" t="s">
        <v>5564</v>
      </c>
      <c r="E116" s="8" t="s">
        <v>2556</v>
      </c>
      <c r="F116" s="8">
        <v>-1.0</v>
      </c>
      <c r="G116" s="8" t="s">
        <v>66</v>
      </c>
      <c r="H116" s="8" t="s">
        <v>22</v>
      </c>
      <c r="I116" s="8" t="s">
        <v>225</v>
      </c>
      <c r="J116" s="8" t="s">
        <v>24</v>
      </c>
      <c r="K116" s="9">
        <v>0.25</v>
      </c>
      <c r="L116" s="9">
        <v>0.25</v>
      </c>
      <c r="M116" s="9">
        <v>0.25</v>
      </c>
      <c r="N116" s="10">
        <v>45185.0</v>
      </c>
      <c r="O116" s="11">
        <v>1.8</v>
      </c>
      <c r="P116" s="8" t="s">
        <v>33</v>
      </c>
      <c r="Q116" s="12">
        <f t="shared" si="1"/>
        <v>0.2</v>
      </c>
      <c r="R116" s="12">
        <f t="shared" si="4"/>
        <v>6.993405</v>
      </c>
    </row>
    <row r="117">
      <c r="A117" s="15">
        <f t="shared" si="3"/>
        <v>116</v>
      </c>
      <c r="B117" s="15" t="s">
        <v>19</v>
      </c>
      <c r="C117" s="15" t="s">
        <v>3276</v>
      </c>
      <c r="D117" s="15" t="s">
        <v>5564</v>
      </c>
      <c r="E117" s="15" t="s">
        <v>2556</v>
      </c>
      <c r="F117" s="15">
        <v>0.0</v>
      </c>
      <c r="G117" s="15" t="s">
        <v>178</v>
      </c>
      <c r="H117" s="15" t="s">
        <v>22</v>
      </c>
      <c r="I117" s="15" t="s">
        <v>225</v>
      </c>
      <c r="J117" s="15" t="s">
        <v>24</v>
      </c>
      <c r="K117" s="16">
        <v>0.25</v>
      </c>
      <c r="L117" s="16">
        <v>0.75</v>
      </c>
      <c r="M117" s="16">
        <v>0.75</v>
      </c>
      <c r="N117" s="17">
        <v>45185.0</v>
      </c>
      <c r="O117" s="18">
        <v>1.85</v>
      </c>
      <c r="P117" s="15" t="s">
        <v>33</v>
      </c>
      <c r="Q117" s="19">
        <f t="shared" si="1"/>
        <v>0.6375</v>
      </c>
      <c r="R117" s="19">
        <f t="shared" si="4"/>
        <v>7.630905</v>
      </c>
    </row>
    <row r="118">
      <c r="A118" s="8">
        <f t="shared" si="3"/>
        <v>117</v>
      </c>
      <c r="B118" s="8" t="s">
        <v>19</v>
      </c>
      <c r="C118" s="8" t="s">
        <v>3277</v>
      </c>
      <c r="D118" s="8" t="s">
        <v>5564</v>
      </c>
      <c r="E118" s="8"/>
      <c r="F118" s="8"/>
      <c r="G118" s="8" t="s">
        <v>178</v>
      </c>
      <c r="H118" s="8" t="s">
        <v>22</v>
      </c>
      <c r="I118" s="8" t="s">
        <v>1165</v>
      </c>
      <c r="J118" s="8" t="s">
        <v>24</v>
      </c>
      <c r="K118" s="9"/>
      <c r="L118" s="9">
        <v>0.15</v>
      </c>
      <c r="M118" s="9">
        <v>0.15</v>
      </c>
      <c r="N118" s="10">
        <v>45185.0</v>
      </c>
      <c r="O118" s="11">
        <v>2.2</v>
      </c>
      <c r="P118" s="8" t="s">
        <v>33</v>
      </c>
      <c r="Q118" s="12">
        <f t="shared" si="1"/>
        <v>0.18</v>
      </c>
      <c r="R118" s="12">
        <f t="shared" si="4"/>
        <v>7.810905</v>
      </c>
    </row>
    <row r="119">
      <c r="A119" s="15">
        <f t="shared" si="3"/>
        <v>118</v>
      </c>
      <c r="B119" s="15" t="s">
        <v>19</v>
      </c>
      <c r="C119" s="15" t="s">
        <v>3278</v>
      </c>
      <c r="D119" s="15"/>
      <c r="E119" s="15"/>
      <c r="F119" s="15" t="s">
        <v>2615</v>
      </c>
      <c r="G119" s="15" t="s">
        <v>99</v>
      </c>
      <c r="H119" s="15" t="s">
        <v>22</v>
      </c>
      <c r="I119" s="15" t="s">
        <v>2939</v>
      </c>
      <c r="J119" s="15" t="s">
        <v>24</v>
      </c>
      <c r="K119" s="16">
        <v>-1.5</v>
      </c>
      <c r="L119" s="16">
        <v>0.25</v>
      </c>
      <c r="M119" s="16">
        <v>0.25</v>
      </c>
      <c r="N119" s="17">
        <v>45185.0</v>
      </c>
      <c r="O119" s="18">
        <f>0.37/0.25</f>
        <v>1.48</v>
      </c>
      <c r="P119" s="15" t="s">
        <v>33</v>
      </c>
      <c r="Q119" s="19">
        <f t="shared" si="1"/>
        <v>0.12</v>
      </c>
      <c r="R119" s="19">
        <f t="shared" si="4"/>
        <v>7.930905</v>
      </c>
    </row>
    <row r="120">
      <c r="A120" s="8">
        <f t="shared" si="3"/>
        <v>119</v>
      </c>
      <c r="B120" s="8" t="s">
        <v>19</v>
      </c>
      <c r="C120" s="8" t="s">
        <v>3279</v>
      </c>
      <c r="D120" s="8" t="s">
        <v>5565</v>
      </c>
      <c r="E120" s="8" t="s">
        <v>2556</v>
      </c>
      <c r="F120" s="8">
        <v>-1.0</v>
      </c>
      <c r="G120" s="8" t="s">
        <v>1172</v>
      </c>
      <c r="H120" s="8" t="s">
        <v>22</v>
      </c>
      <c r="I120" s="8" t="s">
        <v>225</v>
      </c>
      <c r="J120" s="8" t="s">
        <v>24</v>
      </c>
      <c r="K120" s="9">
        <v>0.5</v>
      </c>
      <c r="L120" s="9">
        <v>0.5</v>
      </c>
      <c r="M120" s="9">
        <v>0.5</v>
      </c>
      <c r="N120" s="10">
        <v>45185.0</v>
      </c>
      <c r="O120" s="11">
        <v>1.775</v>
      </c>
      <c r="P120" s="8" t="s">
        <v>25</v>
      </c>
      <c r="Q120" s="12">
        <f t="shared" si="1"/>
        <v>-0.5</v>
      </c>
      <c r="R120" s="12">
        <f t="shared" si="4"/>
        <v>7.430905</v>
      </c>
    </row>
    <row r="121">
      <c r="A121" s="15">
        <f t="shared" si="3"/>
        <v>120</v>
      </c>
      <c r="B121" s="15" t="s">
        <v>19</v>
      </c>
      <c r="C121" s="15" t="s">
        <v>3280</v>
      </c>
      <c r="D121" s="15" t="s">
        <v>5565</v>
      </c>
      <c r="E121" s="15"/>
      <c r="F121" s="15"/>
      <c r="G121" s="15" t="s">
        <v>1172</v>
      </c>
      <c r="H121" s="15" t="s">
        <v>22</v>
      </c>
      <c r="I121" s="15" t="s">
        <v>1165</v>
      </c>
      <c r="J121" s="15" t="s">
        <v>24</v>
      </c>
      <c r="K121" s="16"/>
      <c r="L121" s="16">
        <v>0.15</v>
      </c>
      <c r="M121" s="16">
        <v>0.15</v>
      </c>
      <c r="N121" s="17">
        <v>45185.0</v>
      </c>
      <c r="O121" s="18">
        <v>3.4</v>
      </c>
      <c r="P121" s="15" t="s">
        <v>25</v>
      </c>
      <c r="Q121" s="19">
        <f t="shared" si="1"/>
        <v>-0.15</v>
      </c>
      <c r="R121" s="19">
        <f t="shared" si="4"/>
        <v>7.280905</v>
      </c>
    </row>
    <row r="122">
      <c r="A122" s="8">
        <f t="shared" si="3"/>
        <v>121</v>
      </c>
      <c r="B122" s="8" t="s">
        <v>19</v>
      </c>
      <c r="C122" s="8" t="s">
        <v>3281</v>
      </c>
      <c r="D122" s="8"/>
      <c r="E122" s="8"/>
      <c r="F122" s="8" t="s">
        <v>3121</v>
      </c>
      <c r="G122" s="8" t="s">
        <v>66</v>
      </c>
      <c r="H122" s="8" t="s">
        <v>22</v>
      </c>
      <c r="I122" s="8" t="s">
        <v>29</v>
      </c>
      <c r="J122" s="8" t="s">
        <v>24</v>
      </c>
      <c r="K122" s="9">
        <v>-2.25</v>
      </c>
      <c r="L122" s="9">
        <v>0.5</v>
      </c>
      <c r="M122" s="9">
        <v>0.5</v>
      </c>
      <c r="N122" s="54">
        <v>45185.0</v>
      </c>
      <c r="O122" s="11">
        <v>1.825</v>
      </c>
      <c r="P122" s="8" t="s">
        <v>33</v>
      </c>
      <c r="Q122" s="12">
        <f t="shared" si="1"/>
        <v>0.4125</v>
      </c>
      <c r="R122" s="12">
        <f t="shared" si="4"/>
        <v>7.693405</v>
      </c>
    </row>
    <row r="123">
      <c r="A123" s="15">
        <f t="shared" si="3"/>
        <v>122</v>
      </c>
      <c r="B123" s="15" t="s">
        <v>19</v>
      </c>
      <c r="C123" s="15" t="s">
        <v>3282</v>
      </c>
      <c r="D123" s="15" t="s">
        <v>5564</v>
      </c>
      <c r="E123" s="15" t="s">
        <v>2556</v>
      </c>
      <c r="F123" s="15">
        <v>0.0</v>
      </c>
      <c r="G123" s="15" t="s">
        <v>66</v>
      </c>
      <c r="H123" s="15" t="s">
        <v>22</v>
      </c>
      <c r="I123" s="15" t="s">
        <v>225</v>
      </c>
      <c r="J123" s="15" t="s">
        <v>24</v>
      </c>
      <c r="K123" s="16">
        <v>0.25</v>
      </c>
      <c r="L123" s="16">
        <v>0.75</v>
      </c>
      <c r="M123" s="16">
        <v>0.75</v>
      </c>
      <c r="N123" s="17">
        <v>45185.0</v>
      </c>
      <c r="O123" s="18">
        <v>1.9</v>
      </c>
      <c r="P123" s="15" t="s">
        <v>25</v>
      </c>
      <c r="Q123" s="19">
        <f t="shared" si="1"/>
        <v>-0.75</v>
      </c>
      <c r="R123" s="19">
        <f t="shared" si="4"/>
        <v>6.943405</v>
      </c>
    </row>
    <row r="124">
      <c r="A124" s="8">
        <f t="shared" si="3"/>
        <v>123</v>
      </c>
      <c r="B124" s="8" t="s">
        <v>19</v>
      </c>
      <c r="C124" s="8" t="s">
        <v>3283</v>
      </c>
      <c r="D124" s="8" t="s">
        <v>5564</v>
      </c>
      <c r="E124" s="8" t="s">
        <v>2556</v>
      </c>
      <c r="F124" s="8">
        <v>-1.0</v>
      </c>
      <c r="G124" s="8" t="s">
        <v>432</v>
      </c>
      <c r="H124" s="8" t="s">
        <v>22</v>
      </c>
      <c r="I124" s="8" t="s">
        <v>225</v>
      </c>
      <c r="J124" s="8" t="s">
        <v>39</v>
      </c>
      <c r="K124" s="9">
        <v>0.25</v>
      </c>
      <c r="L124" s="9">
        <v>0.5</v>
      </c>
      <c r="M124" s="9">
        <v>0.5</v>
      </c>
      <c r="N124" s="10">
        <v>45185.0</v>
      </c>
      <c r="O124" s="11">
        <v>1.25</v>
      </c>
      <c r="P124" s="8" t="s">
        <v>33</v>
      </c>
      <c r="Q124" s="12">
        <f t="shared" si="1"/>
        <v>0.125</v>
      </c>
      <c r="R124" s="12">
        <f t="shared" si="4"/>
        <v>7.068405</v>
      </c>
    </row>
    <row r="125">
      <c r="A125" s="15">
        <f t="shared" si="3"/>
        <v>124</v>
      </c>
      <c r="B125" s="15" t="s">
        <v>19</v>
      </c>
      <c r="C125" s="15" t="s">
        <v>3284</v>
      </c>
      <c r="D125" s="15"/>
      <c r="E125" s="15"/>
      <c r="F125" s="15"/>
      <c r="G125" s="15" t="s">
        <v>940</v>
      </c>
      <c r="H125" s="15" t="s">
        <v>22</v>
      </c>
      <c r="I125" s="15" t="s">
        <v>2415</v>
      </c>
      <c r="J125" s="15" t="s">
        <v>24</v>
      </c>
      <c r="K125" s="16">
        <v>10.0</v>
      </c>
      <c r="L125" s="16">
        <v>0.5</v>
      </c>
      <c r="M125" s="16">
        <v>0.5</v>
      </c>
      <c r="N125" s="55">
        <v>45185.0</v>
      </c>
      <c r="O125" s="18">
        <v>1.825</v>
      </c>
      <c r="P125" s="15" t="s">
        <v>25</v>
      </c>
      <c r="Q125" s="19">
        <f t="shared" si="1"/>
        <v>-0.5</v>
      </c>
      <c r="R125" s="19">
        <f t="shared" si="4"/>
        <v>6.568405</v>
      </c>
    </row>
    <row r="126">
      <c r="A126" s="8">
        <f t="shared" si="3"/>
        <v>125</v>
      </c>
      <c r="B126" s="8" t="s">
        <v>19</v>
      </c>
      <c r="C126" s="8" t="s">
        <v>3285</v>
      </c>
      <c r="D126" s="8" t="s">
        <v>5564</v>
      </c>
      <c r="E126" s="8" t="s">
        <v>2556</v>
      </c>
      <c r="F126" s="8">
        <v>0.0</v>
      </c>
      <c r="G126" s="8" t="s">
        <v>124</v>
      </c>
      <c r="H126" s="8" t="s">
        <v>22</v>
      </c>
      <c r="I126" s="8" t="s">
        <v>225</v>
      </c>
      <c r="J126" s="8" t="s">
        <v>24</v>
      </c>
      <c r="K126" s="9">
        <v>0.5</v>
      </c>
      <c r="L126" s="9">
        <v>0.9</v>
      </c>
      <c r="M126" s="9">
        <v>0.75</v>
      </c>
      <c r="N126" s="10">
        <v>45185.0</v>
      </c>
      <c r="O126" s="11">
        <v>1.4</v>
      </c>
      <c r="P126" s="8" t="s">
        <v>33</v>
      </c>
      <c r="Q126" s="12">
        <f t="shared" si="1"/>
        <v>0.3</v>
      </c>
      <c r="R126" s="12">
        <f t="shared" si="4"/>
        <v>6.868405</v>
      </c>
    </row>
    <row r="127">
      <c r="A127" s="15">
        <f t="shared" si="3"/>
        <v>126</v>
      </c>
      <c r="B127" s="15" t="s">
        <v>19</v>
      </c>
      <c r="C127" s="15" t="s">
        <v>3286</v>
      </c>
      <c r="D127" s="15" t="s">
        <v>5564</v>
      </c>
      <c r="E127" s="15"/>
      <c r="F127" s="15" t="s">
        <v>3121</v>
      </c>
      <c r="G127" s="15" t="s">
        <v>124</v>
      </c>
      <c r="H127" s="15" t="s">
        <v>22</v>
      </c>
      <c r="I127" s="15" t="s">
        <v>1165</v>
      </c>
      <c r="J127" s="15" t="s">
        <v>24</v>
      </c>
      <c r="K127" s="16"/>
      <c r="L127" s="16">
        <v>0.15</v>
      </c>
      <c r="M127" s="16">
        <v>0.15</v>
      </c>
      <c r="N127" s="17">
        <v>45185.0</v>
      </c>
      <c r="O127" s="18">
        <v>4.75</v>
      </c>
      <c r="P127" s="15" t="s">
        <v>25</v>
      </c>
      <c r="Q127" s="19">
        <f t="shared" si="1"/>
        <v>-0.15</v>
      </c>
      <c r="R127" s="19">
        <f t="shared" si="4"/>
        <v>6.718405</v>
      </c>
    </row>
    <row r="128">
      <c r="A128" s="8">
        <f t="shared" si="3"/>
        <v>127</v>
      </c>
      <c r="B128" s="8" t="s">
        <v>19</v>
      </c>
      <c r="C128" s="8" t="s">
        <v>3287</v>
      </c>
      <c r="D128" s="8" t="s">
        <v>5565</v>
      </c>
      <c r="E128" s="8" t="s">
        <v>2556</v>
      </c>
      <c r="F128" s="8">
        <v>0.0</v>
      </c>
      <c r="G128" s="8" t="s">
        <v>93</v>
      </c>
      <c r="H128" s="8" t="s">
        <v>22</v>
      </c>
      <c r="I128" s="8" t="s">
        <v>225</v>
      </c>
      <c r="J128" s="8" t="s">
        <v>1522</v>
      </c>
      <c r="K128" s="9">
        <v>0.75</v>
      </c>
      <c r="L128" s="9">
        <v>0.75</v>
      </c>
      <c r="M128" s="9">
        <v>0.75</v>
      </c>
      <c r="N128" s="10">
        <v>45185.0</v>
      </c>
      <c r="O128" s="11">
        <v>1.07</v>
      </c>
      <c r="P128" s="8" t="s">
        <v>33</v>
      </c>
      <c r="Q128" s="12">
        <f t="shared" si="1"/>
        <v>0.0525</v>
      </c>
      <c r="R128" s="12">
        <f t="shared" si="4"/>
        <v>6.770905</v>
      </c>
    </row>
    <row r="129">
      <c r="A129" s="15">
        <f t="shared" si="3"/>
        <v>128</v>
      </c>
      <c r="B129" s="15" t="s">
        <v>19</v>
      </c>
      <c r="C129" s="15" t="s">
        <v>3288</v>
      </c>
      <c r="D129" s="15" t="s">
        <v>5565</v>
      </c>
      <c r="E129" s="15"/>
      <c r="F129" s="15"/>
      <c r="G129" s="15" t="s">
        <v>93</v>
      </c>
      <c r="H129" s="15" t="s">
        <v>22</v>
      </c>
      <c r="I129" s="15" t="s">
        <v>1165</v>
      </c>
      <c r="J129" s="15" t="s">
        <v>1522</v>
      </c>
      <c r="K129" s="16"/>
      <c r="L129" s="16">
        <v>0.15</v>
      </c>
      <c r="M129" s="16">
        <v>0.15</v>
      </c>
      <c r="N129" s="17">
        <v>45185.0</v>
      </c>
      <c r="O129" s="18">
        <v>2.63</v>
      </c>
      <c r="P129" s="15" t="s">
        <v>33</v>
      </c>
      <c r="Q129" s="19">
        <f t="shared" si="1"/>
        <v>0.2445</v>
      </c>
      <c r="R129" s="19">
        <f t="shared" si="4"/>
        <v>7.015405</v>
      </c>
    </row>
    <row r="130">
      <c r="A130" s="8">
        <f t="shared" si="3"/>
        <v>129</v>
      </c>
      <c r="B130" s="8" t="s">
        <v>40</v>
      </c>
      <c r="C130" s="8" t="s">
        <v>3289</v>
      </c>
      <c r="D130" s="8" t="s">
        <v>5564</v>
      </c>
      <c r="E130" s="8" t="s">
        <v>2556</v>
      </c>
      <c r="F130" s="8">
        <v>0.0</v>
      </c>
      <c r="G130" s="8" t="s">
        <v>93</v>
      </c>
      <c r="H130" s="8" t="s">
        <v>22</v>
      </c>
      <c r="I130" s="8" t="s">
        <v>225</v>
      </c>
      <c r="J130" s="8" t="s">
        <v>1522</v>
      </c>
      <c r="K130" s="9">
        <v>0.25</v>
      </c>
      <c r="L130" s="9">
        <v>0.05</v>
      </c>
      <c r="M130" s="9">
        <v>0.05</v>
      </c>
      <c r="N130" s="10">
        <v>45185.0</v>
      </c>
      <c r="O130" s="11">
        <v>1.825</v>
      </c>
      <c r="P130" s="8" t="s">
        <v>25</v>
      </c>
      <c r="Q130" s="12">
        <f t="shared" si="1"/>
        <v>-0.05</v>
      </c>
      <c r="R130" s="12">
        <f t="shared" si="4"/>
        <v>6.965405</v>
      </c>
    </row>
    <row r="131">
      <c r="A131" s="15">
        <f t="shared" si="3"/>
        <v>130</v>
      </c>
      <c r="B131" s="15" t="s">
        <v>40</v>
      </c>
      <c r="C131" s="15" t="s">
        <v>3290</v>
      </c>
      <c r="D131" s="15"/>
      <c r="E131" s="15"/>
      <c r="F131" s="15"/>
      <c r="G131" s="15" t="s">
        <v>78</v>
      </c>
      <c r="H131" s="15" t="s">
        <v>22</v>
      </c>
      <c r="I131" s="15" t="s">
        <v>440</v>
      </c>
      <c r="J131" s="15" t="s">
        <v>39</v>
      </c>
      <c r="K131" s="16">
        <v>0.75</v>
      </c>
      <c r="L131" s="16">
        <v>0.25</v>
      </c>
      <c r="M131" s="16">
        <v>0.25</v>
      </c>
      <c r="N131" s="17">
        <v>45185.0</v>
      </c>
      <c r="O131" s="18">
        <v>1.85</v>
      </c>
      <c r="P131" s="15" t="s">
        <v>25</v>
      </c>
      <c r="Q131" s="19">
        <f t="shared" si="1"/>
        <v>-0.25</v>
      </c>
      <c r="R131" s="19">
        <f t="shared" si="4"/>
        <v>6.715405</v>
      </c>
    </row>
    <row r="132">
      <c r="A132" s="8">
        <f t="shared" si="3"/>
        <v>131</v>
      </c>
      <c r="B132" s="8" t="s">
        <v>3291</v>
      </c>
      <c r="C132" s="8" t="s">
        <v>3292</v>
      </c>
      <c r="D132" s="8" t="s">
        <v>5564</v>
      </c>
      <c r="E132" s="8" t="s">
        <v>2660</v>
      </c>
      <c r="F132" s="8">
        <v>2</v>
      </c>
      <c r="G132" s="8" t="s">
        <v>66</v>
      </c>
      <c r="H132" s="8" t="s">
        <v>22</v>
      </c>
      <c r="I132" s="8" t="s">
        <v>892</v>
      </c>
      <c r="J132" s="8" t="s">
        <v>24</v>
      </c>
      <c r="K132" s="9">
        <v>0.0</v>
      </c>
      <c r="L132" s="9">
        <v>0.5</v>
      </c>
      <c r="M132" s="9">
        <v>0.5</v>
      </c>
      <c r="N132" s="10">
        <v>45185.0</v>
      </c>
      <c r="O132" s="11">
        <v>1.85</v>
      </c>
      <c r="P132" s="8" t="s">
        <v>33</v>
      </c>
      <c r="Q132" s="12">
        <f t="shared" si="1"/>
        <v>0.425</v>
      </c>
      <c r="R132" s="12">
        <f t="shared" si="4"/>
        <v>7.140405</v>
      </c>
    </row>
    <row r="133">
      <c r="A133" s="15">
        <f t="shared" si="3"/>
        <v>132</v>
      </c>
      <c r="B133" s="15" t="s">
        <v>19</v>
      </c>
      <c r="C133" s="15" t="s">
        <v>3293</v>
      </c>
      <c r="D133" s="15" t="s">
        <v>5565</v>
      </c>
      <c r="E133" s="15" t="s">
        <v>2556</v>
      </c>
      <c r="F133" s="15">
        <v>0.0</v>
      </c>
      <c r="G133" s="15" t="s">
        <v>513</v>
      </c>
      <c r="H133" s="15" t="s">
        <v>22</v>
      </c>
      <c r="I133" s="15" t="s">
        <v>225</v>
      </c>
      <c r="J133" s="15" t="s">
        <v>24</v>
      </c>
      <c r="K133" s="16">
        <v>0.75</v>
      </c>
      <c r="L133" s="16">
        <v>0.75</v>
      </c>
      <c r="M133" s="16">
        <v>0.75</v>
      </c>
      <c r="N133" s="17">
        <v>45185.0</v>
      </c>
      <c r="O133" s="18">
        <v>1.65</v>
      </c>
      <c r="P133" s="15" t="s">
        <v>33</v>
      </c>
      <c r="Q133" s="19">
        <f t="shared" si="1"/>
        <v>0.4875</v>
      </c>
      <c r="R133" s="19">
        <f t="shared" si="4"/>
        <v>7.627905</v>
      </c>
    </row>
    <row r="134">
      <c r="A134" s="8">
        <f t="shared" si="3"/>
        <v>133</v>
      </c>
      <c r="B134" s="8" t="s">
        <v>19</v>
      </c>
      <c r="C134" s="8" t="s">
        <v>3294</v>
      </c>
      <c r="D134" s="8" t="s">
        <v>5565</v>
      </c>
      <c r="E134" s="8"/>
      <c r="F134" s="8" t="s">
        <v>3295</v>
      </c>
      <c r="G134" s="8" t="s">
        <v>513</v>
      </c>
      <c r="H134" s="8" t="s">
        <v>22</v>
      </c>
      <c r="I134" s="8" t="s">
        <v>1165</v>
      </c>
      <c r="J134" s="8" t="s">
        <v>24</v>
      </c>
      <c r="K134" s="9"/>
      <c r="L134" s="9">
        <v>0.1</v>
      </c>
      <c r="M134" s="9">
        <v>0.1</v>
      </c>
      <c r="N134" s="10">
        <v>45185.0</v>
      </c>
      <c r="O134" s="11">
        <v>5.0</v>
      </c>
      <c r="P134" s="8" t="s">
        <v>33</v>
      </c>
      <c r="Q134" s="12">
        <f t="shared" si="1"/>
        <v>0.4</v>
      </c>
      <c r="R134" s="12">
        <f t="shared" si="4"/>
        <v>8.027905</v>
      </c>
    </row>
    <row r="135">
      <c r="A135" s="15">
        <f t="shared" si="3"/>
        <v>134</v>
      </c>
      <c r="B135" s="15" t="s">
        <v>19</v>
      </c>
      <c r="C135" s="15" t="s">
        <v>3296</v>
      </c>
      <c r="D135" s="15" t="s">
        <v>5564</v>
      </c>
      <c r="E135" s="15" t="s">
        <v>2556</v>
      </c>
      <c r="F135" s="15">
        <v>4</v>
      </c>
      <c r="G135" s="15" t="s">
        <v>93</v>
      </c>
      <c r="H135" s="15" t="s">
        <v>22</v>
      </c>
      <c r="I135" s="15" t="s">
        <v>225</v>
      </c>
      <c r="J135" s="15" t="s">
        <v>24</v>
      </c>
      <c r="K135" s="16">
        <v>0.5</v>
      </c>
      <c r="L135" s="16">
        <v>1.0</v>
      </c>
      <c r="M135" s="16">
        <v>1.0</v>
      </c>
      <c r="N135" s="17">
        <v>45186.0</v>
      </c>
      <c r="O135" s="18">
        <v>1.75</v>
      </c>
      <c r="P135" s="15" t="s">
        <v>33</v>
      </c>
      <c r="Q135" s="19">
        <f t="shared" si="1"/>
        <v>0.75</v>
      </c>
      <c r="R135" s="19">
        <f t="shared" si="4"/>
        <v>8.777905</v>
      </c>
    </row>
    <row r="136">
      <c r="A136" s="8">
        <f t="shared" si="3"/>
        <v>135</v>
      </c>
      <c r="B136" s="8" t="s">
        <v>19</v>
      </c>
      <c r="C136" s="8" t="s">
        <v>3297</v>
      </c>
      <c r="D136" s="8" t="s">
        <v>5564</v>
      </c>
      <c r="E136" s="8" t="s">
        <v>2660</v>
      </c>
      <c r="F136" s="8">
        <v>4</v>
      </c>
      <c r="G136" s="8" t="s">
        <v>93</v>
      </c>
      <c r="H136" s="8" t="s">
        <v>22</v>
      </c>
      <c r="I136" s="8" t="s">
        <v>892</v>
      </c>
      <c r="J136" s="8" t="s">
        <v>24</v>
      </c>
      <c r="K136" s="9">
        <v>0.0</v>
      </c>
      <c r="L136" s="9">
        <v>0.2</v>
      </c>
      <c r="M136" s="9">
        <v>0.2</v>
      </c>
      <c r="N136" s="54">
        <v>45186.0</v>
      </c>
      <c r="O136" s="11">
        <f>0.38/0.2</f>
        <v>1.9</v>
      </c>
      <c r="P136" s="8" t="s">
        <v>33</v>
      </c>
      <c r="Q136" s="12">
        <f t="shared" si="1"/>
        <v>0.18</v>
      </c>
      <c r="R136" s="12">
        <f t="shared" si="4"/>
        <v>8.957905</v>
      </c>
    </row>
    <row r="137">
      <c r="A137" s="15">
        <f t="shared" si="3"/>
        <v>136</v>
      </c>
      <c r="B137" s="15" t="s">
        <v>19</v>
      </c>
      <c r="C137" s="95" t="s">
        <v>3298</v>
      </c>
      <c r="D137" s="15" t="s">
        <v>5564</v>
      </c>
      <c r="E137" s="15" t="s">
        <v>2556</v>
      </c>
      <c r="F137" s="15">
        <v>5</v>
      </c>
      <c r="G137" s="15" t="s">
        <v>93</v>
      </c>
      <c r="H137" s="15" t="s">
        <v>22</v>
      </c>
      <c r="I137" s="15" t="s">
        <v>225</v>
      </c>
      <c r="J137" s="15" t="s">
        <v>24</v>
      </c>
      <c r="K137" s="16">
        <v>0.25</v>
      </c>
      <c r="L137" s="16">
        <v>0.5</v>
      </c>
      <c r="M137" s="16">
        <v>0.5</v>
      </c>
      <c r="N137" s="17">
        <v>45186.0</v>
      </c>
      <c r="O137" s="18">
        <f>0.52/0.5</f>
        <v>1.04</v>
      </c>
      <c r="P137" s="15" t="s">
        <v>33</v>
      </c>
      <c r="Q137" s="19">
        <f t="shared" si="1"/>
        <v>0.02</v>
      </c>
      <c r="R137" s="19">
        <f t="shared" si="4"/>
        <v>8.977905</v>
      </c>
    </row>
    <row r="138">
      <c r="A138" s="8">
        <f t="shared" si="3"/>
        <v>137</v>
      </c>
      <c r="B138" s="8" t="s">
        <v>19</v>
      </c>
      <c r="C138" s="8" t="s">
        <v>3299</v>
      </c>
      <c r="D138" s="8" t="s">
        <v>5565</v>
      </c>
      <c r="E138" s="8" t="s">
        <v>2660</v>
      </c>
      <c r="F138" s="8">
        <v>-1.0</v>
      </c>
      <c r="G138" s="8" t="s">
        <v>93</v>
      </c>
      <c r="H138" s="8" t="s">
        <v>22</v>
      </c>
      <c r="I138" s="8" t="s">
        <v>892</v>
      </c>
      <c r="J138" s="8" t="s">
        <v>24</v>
      </c>
      <c r="K138" s="9">
        <v>0.0</v>
      </c>
      <c r="L138" s="9">
        <v>1.0</v>
      </c>
      <c r="M138" s="9">
        <v>1.0</v>
      </c>
      <c r="N138" s="10">
        <v>45186.0</v>
      </c>
      <c r="O138" s="11">
        <v>1.775</v>
      </c>
      <c r="P138" s="8" t="s">
        <v>70</v>
      </c>
      <c r="Q138" s="12">
        <f t="shared" si="1"/>
        <v>0</v>
      </c>
      <c r="R138" s="12">
        <f t="shared" si="4"/>
        <v>8.977905</v>
      </c>
    </row>
    <row r="139">
      <c r="A139" s="15">
        <f t="shared" si="3"/>
        <v>138</v>
      </c>
      <c r="B139" s="15" t="s">
        <v>19</v>
      </c>
      <c r="C139" s="15" t="s">
        <v>3300</v>
      </c>
      <c r="D139" s="15" t="s">
        <v>5564</v>
      </c>
      <c r="E139" s="15" t="s">
        <v>2556</v>
      </c>
      <c r="F139" s="15">
        <v>-1.0</v>
      </c>
      <c r="G139" s="15" t="s">
        <v>88</v>
      </c>
      <c r="H139" s="15" t="s">
        <v>22</v>
      </c>
      <c r="I139" s="15" t="s">
        <v>225</v>
      </c>
      <c r="J139" s="15" t="s">
        <v>24</v>
      </c>
      <c r="K139" s="16">
        <v>0.25</v>
      </c>
      <c r="L139" s="16">
        <v>0.5</v>
      </c>
      <c r="M139" s="16">
        <v>0.5</v>
      </c>
      <c r="N139" s="17">
        <v>45186.0</v>
      </c>
      <c r="O139" s="18">
        <v>1.775</v>
      </c>
      <c r="P139" s="15" t="s">
        <v>30</v>
      </c>
      <c r="Q139" s="19">
        <f t="shared" si="1"/>
        <v>0.19375</v>
      </c>
      <c r="R139" s="19">
        <f t="shared" si="4"/>
        <v>9.171655</v>
      </c>
    </row>
    <row r="140">
      <c r="A140" s="8">
        <f t="shared" si="3"/>
        <v>139</v>
      </c>
      <c r="B140" s="8" t="s">
        <v>19</v>
      </c>
      <c r="C140" s="8" t="s">
        <v>3301</v>
      </c>
      <c r="D140" s="8" t="s">
        <v>5565</v>
      </c>
      <c r="E140" s="8" t="s">
        <v>2556</v>
      </c>
      <c r="F140" s="8">
        <v>0.0</v>
      </c>
      <c r="G140" s="8" t="s">
        <v>44</v>
      </c>
      <c r="H140" s="8" t="s">
        <v>22</v>
      </c>
      <c r="I140" s="8" t="s">
        <v>225</v>
      </c>
      <c r="J140" s="8" t="s">
        <v>24</v>
      </c>
      <c r="K140" s="9">
        <v>0.75</v>
      </c>
      <c r="L140" s="9">
        <v>0.5</v>
      </c>
      <c r="M140" s="9">
        <v>0.5</v>
      </c>
      <c r="N140" s="10">
        <v>45186.0</v>
      </c>
      <c r="O140" s="11">
        <v>1.5</v>
      </c>
      <c r="P140" s="8" t="s">
        <v>33</v>
      </c>
      <c r="Q140" s="12">
        <f t="shared" si="1"/>
        <v>0.25</v>
      </c>
      <c r="R140" s="12">
        <f t="shared" si="4"/>
        <v>9.421655</v>
      </c>
    </row>
    <row r="141">
      <c r="A141" s="15">
        <f t="shared" si="3"/>
        <v>140</v>
      </c>
      <c r="B141" s="15" t="s">
        <v>19</v>
      </c>
      <c r="C141" s="15" t="s">
        <v>3302</v>
      </c>
      <c r="D141" s="15" t="s">
        <v>5564</v>
      </c>
      <c r="E141" s="15" t="s">
        <v>2660</v>
      </c>
      <c r="F141" s="15">
        <v>-1.0</v>
      </c>
      <c r="G141" s="15" t="s">
        <v>50</v>
      </c>
      <c r="H141" s="15" t="s">
        <v>22</v>
      </c>
      <c r="I141" s="15" t="s">
        <v>892</v>
      </c>
      <c r="J141" s="15" t="s">
        <v>1522</v>
      </c>
      <c r="K141" s="16">
        <v>0.0</v>
      </c>
      <c r="L141" s="16">
        <v>0.5</v>
      </c>
      <c r="M141" s="16">
        <v>0.5</v>
      </c>
      <c r="N141" s="17">
        <v>45186.0</v>
      </c>
      <c r="O141" s="18">
        <v>1.725</v>
      </c>
      <c r="P141" s="15" t="s">
        <v>70</v>
      </c>
      <c r="Q141" s="19">
        <f t="shared" si="1"/>
        <v>0</v>
      </c>
      <c r="R141" s="19">
        <f t="shared" si="4"/>
        <v>9.421655</v>
      </c>
    </row>
    <row r="142">
      <c r="A142" s="8">
        <f t="shared" si="3"/>
        <v>141</v>
      </c>
      <c r="B142" s="8" t="s">
        <v>19</v>
      </c>
      <c r="C142" s="8" t="s">
        <v>3303</v>
      </c>
      <c r="D142" s="8" t="s">
        <v>5565</v>
      </c>
      <c r="E142" s="8"/>
      <c r="F142" s="8"/>
      <c r="G142" s="8" t="s">
        <v>82</v>
      </c>
      <c r="H142" s="8" t="s">
        <v>598</v>
      </c>
      <c r="I142" s="8" t="s">
        <v>23</v>
      </c>
      <c r="J142" s="8" t="s">
        <v>39</v>
      </c>
      <c r="K142" s="9">
        <v>-1.5</v>
      </c>
      <c r="L142" s="9">
        <v>0.1</v>
      </c>
      <c r="M142" s="9">
        <v>0.1</v>
      </c>
      <c r="N142" s="10">
        <v>45186.0</v>
      </c>
      <c r="O142" s="11">
        <v>1.8</v>
      </c>
      <c r="P142" s="8" t="s">
        <v>25</v>
      </c>
      <c r="Q142" s="12">
        <f t="shared" si="1"/>
        <v>-0.1</v>
      </c>
      <c r="R142" s="12">
        <f t="shared" si="4"/>
        <v>9.321655</v>
      </c>
    </row>
    <row r="143">
      <c r="A143" s="15">
        <f t="shared" si="3"/>
        <v>142</v>
      </c>
      <c r="B143" s="15" t="s">
        <v>19</v>
      </c>
      <c r="C143" s="15" t="s">
        <v>3304</v>
      </c>
      <c r="D143" s="15" t="s">
        <v>5565</v>
      </c>
      <c r="E143" s="15"/>
      <c r="F143" s="15"/>
      <c r="G143" s="15" t="s">
        <v>768</v>
      </c>
      <c r="H143" s="15" t="s">
        <v>598</v>
      </c>
      <c r="I143" s="15" t="s">
        <v>1847</v>
      </c>
      <c r="J143" s="15" t="s">
        <v>39</v>
      </c>
      <c r="K143" s="16">
        <v>-0.5</v>
      </c>
      <c r="L143" s="16">
        <v>0.5</v>
      </c>
      <c r="M143" s="16">
        <v>0.5</v>
      </c>
      <c r="N143" s="17">
        <v>45194.0</v>
      </c>
      <c r="O143" s="18">
        <v>2.1</v>
      </c>
      <c r="P143" s="15" t="s">
        <v>25</v>
      </c>
      <c r="Q143" s="19">
        <f t="shared" si="1"/>
        <v>-0.5</v>
      </c>
      <c r="R143" s="19">
        <f t="shared" si="4"/>
        <v>8.821655</v>
      </c>
    </row>
    <row r="144">
      <c r="A144" s="8">
        <f t="shared" si="3"/>
        <v>143</v>
      </c>
      <c r="B144" s="8" t="s">
        <v>19</v>
      </c>
      <c r="C144" s="8" t="s">
        <v>3305</v>
      </c>
      <c r="D144" s="8"/>
      <c r="E144" s="8"/>
      <c r="F144" s="8" t="s">
        <v>3306</v>
      </c>
      <c r="G144" s="8" t="s">
        <v>38</v>
      </c>
      <c r="H144" s="8" t="s">
        <v>22</v>
      </c>
      <c r="I144" s="8" t="s">
        <v>29</v>
      </c>
      <c r="J144" s="8" t="s">
        <v>24</v>
      </c>
      <c r="K144" s="9">
        <v>-6.5</v>
      </c>
      <c r="L144" s="9">
        <v>0.5</v>
      </c>
      <c r="M144" s="9">
        <v>0.5</v>
      </c>
      <c r="N144" s="10">
        <v>45188.0</v>
      </c>
      <c r="O144" s="11">
        <v>1.41</v>
      </c>
      <c r="P144" s="8" t="s">
        <v>33</v>
      </c>
      <c r="Q144" s="12">
        <f t="shared" si="1"/>
        <v>0.205</v>
      </c>
      <c r="R144" s="12">
        <f t="shared" si="4"/>
        <v>9.026655</v>
      </c>
    </row>
    <row r="145">
      <c r="A145" s="15">
        <f t="shared" si="3"/>
        <v>144</v>
      </c>
      <c r="B145" s="15" t="s">
        <v>19</v>
      </c>
      <c r="C145" s="15" t="s">
        <v>3307</v>
      </c>
      <c r="D145" s="15" t="s">
        <v>5564</v>
      </c>
      <c r="E145" s="15" t="s">
        <v>2556</v>
      </c>
      <c r="F145" s="15">
        <v>0.0</v>
      </c>
      <c r="G145" s="15" t="s">
        <v>214</v>
      </c>
      <c r="H145" s="15" t="s">
        <v>22</v>
      </c>
      <c r="I145" s="15" t="s">
        <v>2725</v>
      </c>
      <c r="J145" s="15" t="s">
        <v>1522</v>
      </c>
      <c r="K145" s="16">
        <v>1.75</v>
      </c>
      <c r="L145" s="16">
        <v>0.5</v>
      </c>
      <c r="M145" s="16">
        <v>0.5</v>
      </c>
      <c r="N145" s="17">
        <v>45188.0</v>
      </c>
      <c r="O145" s="18">
        <f>0.68/0.5</f>
        <v>1.36</v>
      </c>
      <c r="P145" s="15" t="s">
        <v>33</v>
      </c>
      <c r="Q145" s="19">
        <f t="shared" si="1"/>
        <v>0.18</v>
      </c>
      <c r="R145" s="19">
        <f t="shared" si="4"/>
        <v>9.206655</v>
      </c>
    </row>
    <row r="146">
      <c r="A146" s="8">
        <f t="shared" si="3"/>
        <v>145</v>
      </c>
      <c r="B146" s="8" t="s">
        <v>19</v>
      </c>
      <c r="C146" s="8" t="s">
        <v>3308</v>
      </c>
      <c r="D146" s="8" t="s">
        <v>5565</v>
      </c>
      <c r="E146" s="8" t="s">
        <v>2702</v>
      </c>
      <c r="F146" s="8">
        <v>-1.0</v>
      </c>
      <c r="G146" s="8" t="s">
        <v>38</v>
      </c>
      <c r="H146" s="8" t="s">
        <v>22</v>
      </c>
      <c r="I146" s="8" t="s">
        <v>892</v>
      </c>
      <c r="J146" s="8" t="s">
        <v>1522</v>
      </c>
      <c r="K146" s="9">
        <v>0.0</v>
      </c>
      <c r="L146" s="9">
        <v>1.0</v>
      </c>
      <c r="M146" s="9">
        <v>1.0</v>
      </c>
      <c r="N146" s="10">
        <v>45188.0</v>
      </c>
      <c r="O146" s="11">
        <v>1.9</v>
      </c>
      <c r="P146" s="8" t="s">
        <v>33</v>
      </c>
      <c r="Q146" s="12">
        <f t="shared" si="1"/>
        <v>0.9</v>
      </c>
      <c r="R146" s="12">
        <f t="shared" si="4"/>
        <v>10.106655</v>
      </c>
    </row>
    <row r="147">
      <c r="A147" s="15">
        <f t="shared" si="3"/>
        <v>146</v>
      </c>
      <c r="B147" s="15" t="s">
        <v>19</v>
      </c>
      <c r="C147" s="15" t="s">
        <v>3309</v>
      </c>
      <c r="D147" s="15"/>
      <c r="E147" s="15"/>
      <c r="F147" s="15" t="s">
        <v>3121</v>
      </c>
      <c r="G147" s="15" t="s">
        <v>1961</v>
      </c>
      <c r="H147" s="15" t="s">
        <v>22</v>
      </c>
      <c r="I147" s="15" t="s">
        <v>440</v>
      </c>
      <c r="J147" s="15" t="s">
        <v>39</v>
      </c>
      <c r="K147" s="16">
        <v>1.0</v>
      </c>
      <c r="L147" s="16">
        <v>0.1</v>
      </c>
      <c r="M147" s="16">
        <v>0.1</v>
      </c>
      <c r="N147" s="17">
        <v>45188.0</v>
      </c>
      <c r="O147" s="18">
        <v>1.625</v>
      </c>
      <c r="P147" s="15" t="s">
        <v>70</v>
      </c>
      <c r="Q147" s="19">
        <f t="shared" si="1"/>
        <v>0</v>
      </c>
      <c r="R147" s="19">
        <f t="shared" si="4"/>
        <v>10.106655</v>
      </c>
    </row>
    <row r="148">
      <c r="A148" s="8">
        <f t="shared" si="3"/>
        <v>147</v>
      </c>
      <c r="B148" s="8" t="s">
        <v>19</v>
      </c>
      <c r="C148" s="8" t="s">
        <v>3310</v>
      </c>
      <c r="D148" s="8" t="s">
        <v>5564</v>
      </c>
      <c r="E148" s="8" t="s">
        <v>2556</v>
      </c>
      <c r="F148" s="8"/>
      <c r="G148" s="8" t="s">
        <v>82</v>
      </c>
      <c r="H148" s="8" t="s">
        <v>598</v>
      </c>
      <c r="I148" s="8" t="s">
        <v>225</v>
      </c>
      <c r="J148" s="8" t="s">
        <v>39</v>
      </c>
      <c r="K148" s="9">
        <v>0.25</v>
      </c>
      <c r="L148" s="9">
        <v>0.25</v>
      </c>
      <c r="M148" s="9">
        <v>0.25</v>
      </c>
      <c r="N148" s="10">
        <v>45189.0</v>
      </c>
      <c r="O148" s="11">
        <v>1.78</v>
      </c>
      <c r="P148" s="8" t="s">
        <v>33</v>
      </c>
      <c r="Q148" s="12">
        <f t="shared" si="1"/>
        <v>0.195</v>
      </c>
      <c r="R148" s="12">
        <f t="shared" si="4"/>
        <v>10.301655</v>
      </c>
    </row>
    <row r="149">
      <c r="A149" s="15">
        <f t="shared" si="3"/>
        <v>148</v>
      </c>
      <c r="B149" s="15" t="s">
        <v>19</v>
      </c>
      <c r="C149" s="15" t="s">
        <v>3311</v>
      </c>
      <c r="D149" s="15"/>
      <c r="E149" s="15"/>
      <c r="F149" s="15"/>
      <c r="G149" s="15" t="s">
        <v>583</v>
      </c>
      <c r="H149" s="15" t="s">
        <v>22</v>
      </c>
      <c r="I149" s="15" t="s">
        <v>29</v>
      </c>
      <c r="J149" s="15" t="s">
        <v>24</v>
      </c>
      <c r="K149" s="16">
        <v>-2.5</v>
      </c>
      <c r="L149" s="16">
        <v>0.5</v>
      </c>
      <c r="M149" s="16">
        <v>0.5</v>
      </c>
      <c r="N149" s="17">
        <v>45189.0</v>
      </c>
      <c r="O149" s="18">
        <v>1.3</v>
      </c>
      <c r="P149" s="15" t="s">
        <v>33</v>
      </c>
      <c r="Q149" s="19">
        <f t="shared" si="1"/>
        <v>0.15</v>
      </c>
      <c r="R149" s="19">
        <f t="shared" si="4"/>
        <v>10.451655</v>
      </c>
    </row>
    <row r="150">
      <c r="A150" s="8">
        <f t="shared" si="3"/>
        <v>149</v>
      </c>
      <c r="B150" s="8" t="s">
        <v>19</v>
      </c>
      <c r="C150" s="8" t="s">
        <v>3312</v>
      </c>
      <c r="D150" s="8"/>
      <c r="E150" s="8"/>
      <c r="F150" s="8"/>
      <c r="G150" s="8" t="s">
        <v>121</v>
      </c>
      <c r="H150" s="8" t="s">
        <v>22</v>
      </c>
      <c r="I150" s="8" t="s">
        <v>2634</v>
      </c>
      <c r="J150" s="8" t="s">
        <v>39</v>
      </c>
      <c r="K150" s="9"/>
      <c r="L150" s="9">
        <v>0.25</v>
      </c>
      <c r="M150" s="9">
        <v>0.25</v>
      </c>
      <c r="N150" s="10">
        <v>45189.0</v>
      </c>
      <c r="O150" s="11">
        <v>2.0</v>
      </c>
      <c r="P150" s="8" t="s">
        <v>33</v>
      </c>
      <c r="Q150" s="12">
        <f t="shared" si="1"/>
        <v>0.25</v>
      </c>
      <c r="R150" s="12">
        <f t="shared" si="4"/>
        <v>10.701655</v>
      </c>
    </row>
    <row r="151">
      <c r="A151" s="15">
        <f t="shared" si="3"/>
        <v>150</v>
      </c>
      <c r="B151" s="15" t="s">
        <v>19</v>
      </c>
      <c r="C151" s="15" t="s">
        <v>3313</v>
      </c>
      <c r="D151" s="15" t="s">
        <v>5564</v>
      </c>
      <c r="E151" s="15" t="s">
        <v>2556</v>
      </c>
      <c r="F151" s="15">
        <v>0.0</v>
      </c>
      <c r="G151" s="15" t="s">
        <v>415</v>
      </c>
      <c r="H151" s="15" t="s">
        <v>22</v>
      </c>
      <c r="I151" s="15" t="s">
        <v>225</v>
      </c>
      <c r="J151" s="15" t="s">
        <v>24</v>
      </c>
      <c r="K151" s="16">
        <v>0.5</v>
      </c>
      <c r="L151" s="16">
        <f t="shared" ref="L151:M151" si="6">0.25-0.11</f>
        <v>0.14</v>
      </c>
      <c r="M151" s="16">
        <f t="shared" si="6"/>
        <v>0.14</v>
      </c>
      <c r="N151" s="17">
        <v>45189.0</v>
      </c>
      <c r="O151" s="18">
        <v>1.8</v>
      </c>
      <c r="P151" s="15" t="s">
        <v>25</v>
      </c>
      <c r="Q151" s="19">
        <f t="shared" si="1"/>
        <v>-0.14</v>
      </c>
      <c r="R151" s="19">
        <f t="shared" si="4"/>
        <v>10.561655</v>
      </c>
    </row>
    <row r="152">
      <c r="A152" s="8">
        <f t="shared" si="3"/>
        <v>151</v>
      </c>
      <c r="B152" s="8" t="s">
        <v>19</v>
      </c>
      <c r="C152" s="8" t="s">
        <v>3314</v>
      </c>
      <c r="D152" s="8" t="s">
        <v>5565</v>
      </c>
      <c r="E152" s="8" t="s">
        <v>2660</v>
      </c>
      <c r="F152" s="8">
        <v>-2.0</v>
      </c>
      <c r="G152" s="8" t="s">
        <v>463</v>
      </c>
      <c r="H152" s="8" t="s">
        <v>22</v>
      </c>
      <c r="I152" s="8" t="s">
        <v>892</v>
      </c>
      <c r="J152" s="8" t="s">
        <v>24</v>
      </c>
      <c r="K152" s="9">
        <v>0.0</v>
      </c>
      <c r="L152" s="9">
        <v>0.5</v>
      </c>
      <c r="M152" s="9">
        <v>0.5</v>
      </c>
      <c r="N152" s="10">
        <v>45189.0</v>
      </c>
      <c r="O152" s="11">
        <v>1.67</v>
      </c>
      <c r="P152" s="8" t="s">
        <v>33</v>
      </c>
      <c r="Q152" s="12">
        <f t="shared" si="1"/>
        <v>0.335</v>
      </c>
      <c r="R152" s="12">
        <f t="shared" si="4"/>
        <v>10.896655</v>
      </c>
    </row>
    <row r="153">
      <c r="A153" s="15">
        <f t="shared" si="3"/>
        <v>152</v>
      </c>
      <c r="B153" s="15" t="s">
        <v>40</v>
      </c>
      <c r="C153" s="15" t="s">
        <v>3315</v>
      </c>
      <c r="D153" s="15"/>
      <c r="E153" s="15"/>
      <c r="F153" s="15" t="s">
        <v>2615</v>
      </c>
      <c r="G153" s="15" t="s">
        <v>794</v>
      </c>
      <c r="H153" s="15" t="s">
        <v>22</v>
      </c>
      <c r="I153" s="15" t="s">
        <v>29</v>
      </c>
      <c r="J153" s="15" t="s">
        <v>24</v>
      </c>
      <c r="K153" s="16">
        <v>-4.5</v>
      </c>
      <c r="L153" s="16">
        <v>0.25</v>
      </c>
      <c r="M153" s="16">
        <v>0.25</v>
      </c>
      <c r="N153" s="17">
        <v>45190.0</v>
      </c>
      <c r="O153" s="18">
        <v>1.85</v>
      </c>
      <c r="P153" s="15" t="s">
        <v>25</v>
      </c>
      <c r="Q153" s="19">
        <f t="shared" si="1"/>
        <v>-0.25</v>
      </c>
      <c r="R153" s="19">
        <f t="shared" si="4"/>
        <v>10.646655</v>
      </c>
    </row>
    <row r="154">
      <c r="A154" s="8">
        <f t="shared" si="3"/>
        <v>153</v>
      </c>
      <c r="B154" s="8" t="s">
        <v>40</v>
      </c>
      <c r="C154" s="8" t="s">
        <v>3316</v>
      </c>
      <c r="D154" s="8" t="s">
        <v>5564</v>
      </c>
      <c r="E154" s="8" t="s">
        <v>2660</v>
      </c>
      <c r="F154" s="8">
        <v>0.0</v>
      </c>
      <c r="G154" s="8" t="s">
        <v>794</v>
      </c>
      <c r="H154" s="8" t="s">
        <v>22</v>
      </c>
      <c r="I154" s="8" t="s">
        <v>892</v>
      </c>
      <c r="J154" s="8" t="s">
        <v>24</v>
      </c>
      <c r="K154" s="9">
        <v>0.0</v>
      </c>
      <c r="L154" s="9">
        <v>1.0</v>
      </c>
      <c r="M154" s="9">
        <v>1.0</v>
      </c>
      <c r="N154" s="54">
        <v>45190.0</v>
      </c>
      <c r="O154" s="11">
        <v>1.7</v>
      </c>
      <c r="P154" s="8" t="s">
        <v>70</v>
      </c>
      <c r="Q154" s="12">
        <f t="shared" si="1"/>
        <v>0</v>
      </c>
      <c r="R154" s="12">
        <f t="shared" si="4"/>
        <v>10.646655</v>
      </c>
    </row>
    <row r="155">
      <c r="A155" s="15">
        <f t="shared" si="3"/>
        <v>154</v>
      </c>
      <c r="B155" s="15" t="s">
        <v>19</v>
      </c>
      <c r="C155" s="15" t="s">
        <v>3317</v>
      </c>
      <c r="D155" s="15" t="s">
        <v>5565</v>
      </c>
      <c r="E155" s="15" t="s">
        <v>2573</v>
      </c>
      <c r="F155" s="15"/>
      <c r="G155" s="15" t="s">
        <v>316</v>
      </c>
      <c r="H155" s="15" t="s">
        <v>598</v>
      </c>
      <c r="I155" s="15" t="s">
        <v>894</v>
      </c>
      <c r="J155" s="15" t="s">
        <v>1522</v>
      </c>
      <c r="K155" s="16">
        <v>-0.75</v>
      </c>
      <c r="L155" s="16">
        <v>0.5</v>
      </c>
      <c r="M155" s="16">
        <v>0.5</v>
      </c>
      <c r="N155" s="17">
        <v>45190.0</v>
      </c>
      <c r="O155" s="18">
        <v>1.825</v>
      </c>
      <c r="P155" s="15" t="s">
        <v>25</v>
      </c>
      <c r="Q155" s="19">
        <f t="shared" si="1"/>
        <v>-0.5</v>
      </c>
      <c r="R155" s="19">
        <f t="shared" si="4"/>
        <v>10.146655</v>
      </c>
    </row>
    <row r="156">
      <c r="A156" s="8">
        <f t="shared" si="3"/>
        <v>155</v>
      </c>
      <c r="B156" s="8"/>
      <c r="C156" s="8" t="s">
        <v>3318</v>
      </c>
      <c r="D156" s="8"/>
      <c r="E156" s="8"/>
      <c r="F156" s="8"/>
      <c r="G156" s="8" t="s">
        <v>794</v>
      </c>
      <c r="H156" s="8" t="s">
        <v>598</v>
      </c>
      <c r="I156" s="8" t="s">
        <v>1272</v>
      </c>
      <c r="J156" s="8" t="s">
        <v>24</v>
      </c>
      <c r="K156" s="9"/>
      <c r="L156" s="9">
        <v>0.25</v>
      </c>
      <c r="M156" s="9">
        <v>0.25</v>
      </c>
      <c r="N156" s="10">
        <v>45190.0</v>
      </c>
      <c r="O156" s="11">
        <v>2.65</v>
      </c>
      <c r="P156" s="8" t="s">
        <v>25</v>
      </c>
      <c r="Q156" s="12">
        <f t="shared" si="1"/>
        <v>-0.25</v>
      </c>
      <c r="R156" s="12">
        <f t="shared" si="4"/>
        <v>9.896655</v>
      </c>
    </row>
    <row r="157">
      <c r="A157" s="15">
        <f t="shared" si="3"/>
        <v>156</v>
      </c>
      <c r="B157" s="15" t="s">
        <v>40</v>
      </c>
      <c r="C157" s="15" t="s">
        <v>3319</v>
      </c>
      <c r="D157" s="139" t="s">
        <v>5564</v>
      </c>
      <c r="E157" s="139" t="s">
        <v>2660</v>
      </c>
      <c r="F157" s="139">
        <v>0.0</v>
      </c>
      <c r="G157" s="15" t="s">
        <v>794</v>
      </c>
      <c r="H157" s="15" t="s">
        <v>22</v>
      </c>
      <c r="I157" s="15" t="s">
        <v>892</v>
      </c>
      <c r="J157" s="15" t="s">
        <v>24</v>
      </c>
      <c r="K157" s="16">
        <v>0.0</v>
      </c>
      <c r="L157" s="16">
        <v>0.75</v>
      </c>
      <c r="M157" s="16">
        <v>0.75</v>
      </c>
      <c r="N157" s="17">
        <v>45190.0</v>
      </c>
      <c r="O157" s="18">
        <v>1.725</v>
      </c>
      <c r="P157" s="15" t="s">
        <v>70</v>
      </c>
      <c r="Q157" s="19">
        <f t="shared" si="1"/>
        <v>0</v>
      </c>
      <c r="R157" s="19">
        <f t="shared" si="4"/>
        <v>9.896655</v>
      </c>
    </row>
    <row r="158">
      <c r="A158" s="8">
        <f t="shared" si="3"/>
        <v>157</v>
      </c>
      <c r="B158" s="8" t="s">
        <v>40</v>
      </c>
      <c r="C158" s="8" t="s">
        <v>3320</v>
      </c>
      <c r="D158" s="114" t="s">
        <v>5564</v>
      </c>
      <c r="E158" s="114" t="s">
        <v>2660</v>
      </c>
      <c r="F158" s="114">
        <v>0.0</v>
      </c>
      <c r="G158" s="8" t="s">
        <v>794</v>
      </c>
      <c r="H158" s="8" t="s">
        <v>22</v>
      </c>
      <c r="I158" s="8" t="s">
        <v>1165</v>
      </c>
      <c r="J158" s="8" t="s">
        <v>24</v>
      </c>
      <c r="K158" s="9"/>
      <c r="L158" s="9">
        <v>0.1</v>
      </c>
      <c r="M158" s="9">
        <v>0.1</v>
      </c>
      <c r="N158" s="10">
        <v>45190.0</v>
      </c>
      <c r="O158" s="11">
        <v>2.3</v>
      </c>
      <c r="P158" s="8" t="s">
        <v>33</v>
      </c>
      <c r="Q158" s="12">
        <f t="shared" si="1"/>
        <v>0.13</v>
      </c>
      <c r="R158" s="12">
        <f t="shared" si="4"/>
        <v>10.026655</v>
      </c>
    </row>
    <row r="159">
      <c r="A159" s="15">
        <f t="shared" si="3"/>
        <v>158</v>
      </c>
      <c r="B159" s="15" t="s">
        <v>19</v>
      </c>
      <c r="C159" s="15" t="s">
        <v>3321</v>
      </c>
      <c r="D159" s="15" t="s">
        <v>5565</v>
      </c>
      <c r="E159" s="15" t="s">
        <v>2556</v>
      </c>
      <c r="F159" s="139">
        <v>0.0</v>
      </c>
      <c r="G159" s="15" t="s">
        <v>463</v>
      </c>
      <c r="H159" s="15" t="s">
        <v>22</v>
      </c>
      <c r="I159" s="15" t="s">
        <v>225</v>
      </c>
      <c r="J159" s="15" t="s">
        <v>39</v>
      </c>
      <c r="K159" s="16">
        <v>0.5</v>
      </c>
      <c r="L159" s="16">
        <v>0.5</v>
      </c>
      <c r="M159" s="16">
        <v>0.5</v>
      </c>
      <c r="N159" s="17">
        <v>45190.0</v>
      </c>
      <c r="O159" s="18">
        <v>1.8</v>
      </c>
      <c r="P159" s="15" t="s">
        <v>33</v>
      </c>
      <c r="Q159" s="19">
        <f t="shared" si="1"/>
        <v>0.4</v>
      </c>
      <c r="R159" s="19">
        <f t="shared" si="4"/>
        <v>10.426655</v>
      </c>
    </row>
    <row r="160">
      <c r="A160" s="8">
        <f t="shared" si="3"/>
        <v>159</v>
      </c>
      <c r="B160" s="8" t="s">
        <v>19</v>
      </c>
      <c r="C160" s="8" t="s">
        <v>3322</v>
      </c>
      <c r="D160" s="8" t="s">
        <v>5565</v>
      </c>
      <c r="E160" s="8" t="s">
        <v>2660</v>
      </c>
      <c r="F160" s="114">
        <v>0.0</v>
      </c>
      <c r="G160" s="8" t="s">
        <v>448</v>
      </c>
      <c r="H160" s="8" t="s">
        <v>22</v>
      </c>
      <c r="I160" s="8" t="s">
        <v>892</v>
      </c>
      <c r="J160" s="8" t="s">
        <v>39</v>
      </c>
      <c r="K160" s="9">
        <v>0.0</v>
      </c>
      <c r="L160" s="9">
        <v>0.75</v>
      </c>
      <c r="M160" s="9">
        <v>0.75</v>
      </c>
      <c r="N160" s="10">
        <v>45190.0</v>
      </c>
      <c r="O160" s="11">
        <v>1.45</v>
      </c>
      <c r="P160" s="8" t="s">
        <v>33</v>
      </c>
      <c r="Q160" s="12">
        <f t="shared" si="1"/>
        <v>0.3375</v>
      </c>
      <c r="R160" s="12">
        <f t="shared" si="4"/>
        <v>10.764155</v>
      </c>
    </row>
    <row r="161">
      <c r="A161" s="15">
        <f t="shared" si="3"/>
        <v>160</v>
      </c>
      <c r="B161" s="15" t="s">
        <v>19</v>
      </c>
      <c r="C161" s="15" t="s">
        <v>3323</v>
      </c>
      <c r="D161" s="15"/>
      <c r="E161" s="15"/>
      <c r="F161" s="15"/>
      <c r="G161" s="15" t="s">
        <v>82</v>
      </c>
      <c r="H161" s="15" t="s">
        <v>598</v>
      </c>
      <c r="I161" s="15" t="s">
        <v>440</v>
      </c>
      <c r="J161" s="15" t="s">
        <v>39</v>
      </c>
      <c r="K161" s="16">
        <v>2.25</v>
      </c>
      <c r="L161" s="16">
        <v>0.25</v>
      </c>
      <c r="M161" s="16">
        <v>0.25</v>
      </c>
      <c r="N161" s="17">
        <v>45190.0</v>
      </c>
      <c r="O161" s="18">
        <v>1.94</v>
      </c>
      <c r="P161" s="15" t="s">
        <v>33</v>
      </c>
      <c r="Q161" s="19">
        <f t="shared" si="1"/>
        <v>0.235</v>
      </c>
      <c r="R161" s="19">
        <f t="shared" si="4"/>
        <v>10.999155</v>
      </c>
    </row>
    <row r="162">
      <c r="A162" s="8">
        <f t="shared" si="3"/>
        <v>161</v>
      </c>
      <c r="B162" s="8" t="s">
        <v>19</v>
      </c>
      <c r="C162" s="8" t="s">
        <v>3324</v>
      </c>
      <c r="D162" s="8"/>
      <c r="E162" s="8"/>
      <c r="F162" s="8"/>
      <c r="G162" s="8" t="s">
        <v>82</v>
      </c>
      <c r="H162" s="8" t="s">
        <v>22</v>
      </c>
      <c r="I162" s="8" t="s">
        <v>440</v>
      </c>
      <c r="J162" s="8" t="s">
        <v>39</v>
      </c>
      <c r="K162" s="9">
        <v>0.08</v>
      </c>
      <c r="L162" s="9">
        <v>0.08</v>
      </c>
      <c r="M162" s="9">
        <v>0.08</v>
      </c>
      <c r="N162" s="10">
        <v>45190.0</v>
      </c>
      <c r="O162" s="11">
        <v>1.833</v>
      </c>
      <c r="P162" s="8" t="s">
        <v>33</v>
      </c>
      <c r="Q162" s="12">
        <f t="shared" si="1"/>
        <v>0.06664</v>
      </c>
      <c r="R162" s="12">
        <f t="shared" si="4"/>
        <v>11.065795</v>
      </c>
    </row>
    <row r="163">
      <c r="A163" s="15">
        <f t="shared" si="3"/>
        <v>162</v>
      </c>
      <c r="B163" s="15" t="s">
        <v>19</v>
      </c>
      <c r="C163" s="15" t="s">
        <v>3325</v>
      </c>
      <c r="D163" s="15"/>
      <c r="E163" s="15"/>
      <c r="F163" s="15"/>
      <c r="G163" s="15" t="s">
        <v>82</v>
      </c>
      <c r="H163" s="15" t="s">
        <v>598</v>
      </c>
      <c r="I163" s="15" t="s">
        <v>23</v>
      </c>
      <c r="J163" s="15" t="s">
        <v>39</v>
      </c>
      <c r="K163" s="16">
        <v>-10.5</v>
      </c>
      <c r="L163" s="16">
        <v>0.5</v>
      </c>
      <c r="M163" s="16">
        <v>0.5</v>
      </c>
      <c r="N163" s="17">
        <v>45191.0</v>
      </c>
      <c r="O163" s="18">
        <v>1.8</v>
      </c>
      <c r="P163" s="15" t="s">
        <v>33</v>
      </c>
      <c r="Q163" s="19">
        <f t="shared" si="1"/>
        <v>0.4</v>
      </c>
      <c r="R163" s="19">
        <f t="shared" si="4"/>
        <v>11.465795</v>
      </c>
    </row>
    <row r="164">
      <c r="A164" s="8">
        <f t="shared" si="3"/>
        <v>163</v>
      </c>
      <c r="B164" s="8" t="s">
        <v>19</v>
      </c>
      <c r="C164" s="8" t="s">
        <v>3326</v>
      </c>
      <c r="D164" s="8" t="s">
        <v>5564</v>
      </c>
      <c r="E164" s="8" t="s">
        <v>2556</v>
      </c>
      <c r="F164" s="8">
        <v>0.0</v>
      </c>
      <c r="G164" s="8" t="s">
        <v>1025</v>
      </c>
      <c r="H164" s="8" t="s">
        <v>22</v>
      </c>
      <c r="I164" s="8" t="s">
        <v>225</v>
      </c>
      <c r="J164" s="8" t="s">
        <v>24</v>
      </c>
      <c r="K164" s="9">
        <v>0.25</v>
      </c>
      <c r="L164" s="9">
        <v>0.5</v>
      </c>
      <c r="M164" s="9">
        <v>0.5</v>
      </c>
      <c r="N164" s="10">
        <v>45191.0</v>
      </c>
      <c r="O164" s="11">
        <v>1.16</v>
      </c>
      <c r="P164" s="8" t="s">
        <v>33</v>
      </c>
      <c r="Q164" s="12">
        <f t="shared" si="1"/>
        <v>0.08</v>
      </c>
      <c r="R164" s="12">
        <f t="shared" si="4"/>
        <v>11.545795</v>
      </c>
    </row>
    <row r="165">
      <c r="A165" s="15">
        <f t="shared" si="3"/>
        <v>164</v>
      </c>
      <c r="B165" s="15" t="s">
        <v>19</v>
      </c>
      <c r="C165" s="15" t="s">
        <v>3327</v>
      </c>
      <c r="D165" s="15" t="s">
        <v>5564</v>
      </c>
      <c r="E165" s="15" t="s">
        <v>2556</v>
      </c>
      <c r="F165" s="15">
        <v>0.0</v>
      </c>
      <c r="G165" s="15" t="s">
        <v>354</v>
      </c>
      <c r="H165" s="15" t="s">
        <v>22</v>
      </c>
      <c r="I165" s="15" t="s">
        <v>225</v>
      </c>
      <c r="J165" s="15" t="s">
        <v>24</v>
      </c>
      <c r="K165" s="16">
        <v>0.5</v>
      </c>
      <c r="L165" s="16">
        <v>0.5</v>
      </c>
      <c r="M165" s="16">
        <v>0.5</v>
      </c>
      <c r="N165" s="17">
        <v>45191.0</v>
      </c>
      <c r="O165" s="18">
        <v>1.95</v>
      </c>
      <c r="P165" s="15" t="s">
        <v>25</v>
      </c>
      <c r="Q165" s="19">
        <f t="shared" si="1"/>
        <v>-0.5</v>
      </c>
      <c r="R165" s="19">
        <f t="shared" si="4"/>
        <v>11.045795</v>
      </c>
    </row>
    <row r="166">
      <c r="A166" s="8">
        <f t="shared" si="3"/>
        <v>165</v>
      </c>
      <c r="B166" s="8" t="s">
        <v>19</v>
      </c>
      <c r="C166" s="8" t="s">
        <v>3328</v>
      </c>
      <c r="D166" s="8" t="s">
        <v>5564</v>
      </c>
      <c r="E166" s="8"/>
      <c r="F166" s="8"/>
      <c r="G166" s="8" t="s">
        <v>354</v>
      </c>
      <c r="H166" s="8" t="s">
        <v>22</v>
      </c>
      <c r="I166" s="8" t="s">
        <v>1165</v>
      </c>
      <c r="J166" s="8" t="s">
        <v>24</v>
      </c>
      <c r="K166" s="9"/>
      <c r="L166" s="9">
        <v>0.1</v>
      </c>
      <c r="M166" s="9">
        <v>0.1</v>
      </c>
      <c r="N166" s="10">
        <v>45191.0</v>
      </c>
      <c r="O166" s="11">
        <v>4.0</v>
      </c>
      <c r="P166" s="8" t="s">
        <v>25</v>
      </c>
      <c r="Q166" s="12">
        <f t="shared" si="1"/>
        <v>-0.1</v>
      </c>
      <c r="R166" s="12">
        <f t="shared" si="4"/>
        <v>10.945795</v>
      </c>
    </row>
    <row r="167">
      <c r="A167" s="15">
        <f t="shared" si="3"/>
        <v>166</v>
      </c>
      <c r="B167" s="15" t="s">
        <v>19</v>
      </c>
      <c r="C167" s="15" t="s">
        <v>3329</v>
      </c>
      <c r="D167" s="15" t="s">
        <v>5565</v>
      </c>
      <c r="E167" s="15"/>
      <c r="F167" s="15" t="s">
        <v>3121</v>
      </c>
      <c r="G167" s="15" t="s">
        <v>1025</v>
      </c>
      <c r="H167" s="15" t="s">
        <v>22</v>
      </c>
      <c r="I167" s="15" t="s">
        <v>941</v>
      </c>
      <c r="J167" s="15" t="s">
        <v>2688</v>
      </c>
      <c r="K167" s="16">
        <v>0.0</v>
      </c>
      <c r="L167" s="16">
        <v>1.0</v>
      </c>
      <c r="M167" s="16">
        <v>1.0</v>
      </c>
      <c r="N167" s="17">
        <v>45191.0</v>
      </c>
      <c r="O167" s="18">
        <v>1.725</v>
      </c>
      <c r="P167" s="15" t="s">
        <v>70</v>
      </c>
      <c r="Q167" s="19">
        <f t="shared" si="1"/>
        <v>0</v>
      </c>
      <c r="R167" s="19">
        <f t="shared" si="4"/>
        <v>10.945795</v>
      </c>
    </row>
    <row r="168">
      <c r="A168" s="8">
        <f t="shared" si="3"/>
        <v>167</v>
      </c>
      <c r="B168" s="8" t="s">
        <v>40</v>
      </c>
      <c r="C168" s="8" t="s">
        <v>3330</v>
      </c>
      <c r="D168" s="8" t="s">
        <v>5564</v>
      </c>
      <c r="E168" s="8" t="s">
        <v>2556</v>
      </c>
      <c r="F168" s="8">
        <v>2</v>
      </c>
      <c r="G168" s="8" t="s">
        <v>1961</v>
      </c>
      <c r="H168" s="8" t="s">
        <v>22</v>
      </c>
      <c r="I168" s="8" t="s">
        <v>225</v>
      </c>
      <c r="J168" s="8" t="s">
        <v>39</v>
      </c>
      <c r="K168" s="9">
        <v>0.5</v>
      </c>
      <c r="L168" s="9">
        <v>0.5</v>
      </c>
      <c r="M168" s="9">
        <v>0.5</v>
      </c>
      <c r="N168" s="10">
        <v>45191.0</v>
      </c>
      <c r="O168" s="11">
        <v>1.93</v>
      </c>
      <c r="P168" s="8" t="s">
        <v>33</v>
      </c>
      <c r="Q168" s="12">
        <f t="shared" si="1"/>
        <v>0.465</v>
      </c>
      <c r="R168" s="12">
        <f t="shared" si="4"/>
        <v>11.410795</v>
      </c>
    </row>
    <row r="169">
      <c r="A169" s="15">
        <f t="shared" si="3"/>
        <v>168</v>
      </c>
      <c r="B169" s="15" t="s">
        <v>40</v>
      </c>
      <c r="C169" s="15" t="s">
        <v>3331</v>
      </c>
      <c r="D169" s="15" t="s">
        <v>5564</v>
      </c>
      <c r="E169" s="15"/>
      <c r="F169" s="15"/>
      <c r="G169" s="15" t="s">
        <v>1961</v>
      </c>
      <c r="H169" s="15" t="s">
        <v>22</v>
      </c>
      <c r="I169" s="15" t="s">
        <v>1165</v>
      </c>
      <c r="J169" s="15" t="s">
        <v>39</v>
      </c>
      <c r="K169" s="16"/>
      <c r="L169" s="16">
        <v>0.1</v>
      </c>
      <c r="M169" s="16">
        <v>0.1</v>
      </c>
      <c r="N169" s="17">
        <v>45191.0</v>
      </c>
      <c r="O169" s="18">
        <v>2.5</v>
      </c>
      <c r="P169" s="15" t="s">
        <v>25</v>
      </c>
      <c r="Q169" s="19">
        <f t="shared" si="1"/>
        <v>-0.1</v>
      </c>
      <c r="R169" s="19">
        <f t="shared" si="4"/>
        <v>11.310795</v>
      </c>
    </row>
    <row r="170">
      <c r="A170" s="8">
        <f t="shared" si="3"/>
        <v>169</v>
      </c>
      <c r="B170" s="8" t="s">
        <v>40</v>
      </c>
      <c r="C170" s="8" t="s">
        <v>3330</v>
      </c>
      <c r="D170" s="8" t="s">
        <v>5564</v>
      </c>
      <c r="E170" s="8" t="s">
        <v>2556</v>
      </c>
      <c r="F170" s="8">
        <v>2</v>
      </c>
      <c r="G170" s="8" t="s">
        <v>1961</v>
      </c>
      <c r="H170" s="8" t="s">
        <v>22</v>
      </c>
      <c r="I170" s="8" t="s">
        <v>225</v>
      </c>
      <c r="J170" s="8" t="s">
        <v>39</v>
      </c>
      <c r="K170" s="9">
        <v>0.5</v>
      </c>
      <c r="L170" s="9">
        <v>0.25</v>
      </c>
      <c r="M170" s="9">
        <v>0.25</v>
      </c>
      <c r="N170" s="10">
        <v>45191.0</v>
      </c>
      <c r="O170" s="11">
        <f>0.355/0.25</f>
        <v>1.42</v>
      </c>
      <c r="P170" s="8" t="s">
        <v>33</v>
      </c>
      <c r="Q170" s="12">
        <f t="shared" si="1"/>
        <v>0.105</v>
      </c>
      <c r="R170" s="12">
        <f t="shared" si="4"/>
        <v>11.415795</v>
      </c>
    </row>
    <row r="171">
      <c r="A171" s="15">
        <f t="shared" si="3"/>
        <v>170</v>
      </c>
      <c r="B171" s="15" t="s">
        <v>19</v>
      </c>
      <c r="C171" s="15" t="s">
        <v>3332</v>
      </c>
      <c r="D171" s="15" t="s">
        <v>5565</v>
      </c>
      <c r="E171" s="15" t="s">
        <v>2660</v>
      </c>
      <c r="F171" s="15"/>
      <c r="G171" s="15" t="s">
        <v>172</v>
      </c>
      <c r="H171" s="15" t="s">
        <v>598</v>
      </c>
      <c r="I171" s="15" t="s">
        <v>892</v>
      </c>
      <c r="J171" s="15" t="s">
        <v>1851</v>
      </c>
      <c r="K171" s="16">
        <v>0.0</v>
      </c>
      <c r="L171" s="16">
        <v>0.25</v>
      </c>
      <c r="M171" s="16">
        <v>0.25</v>
      </c>
      <c r="N171" s="17">
        <v>45191.0</v>
      </c>
      <c r="O171" s="18">
        <v>1.875</v>
      </c>
      <c r="P171" s="15" t="s">
        <v>25</v>
      </c>
      <c r="Q171" s="19">
        <f t="shared" si="1"/>
        <v>-0.25</v>
      </c>
      <c r="R171" s="19">
        <f t="shared" si="4"/>
        <v>11.165795</v>
      </c>
    </row>
    <row r="172">
      <c r="A172" s="8">
        <f t="shared" si="3"/>
        <v>171</v>
      </c>
      <c r="B172" s="8" t="s">
        <v>19</v>
      </c>
      <c r="C172" s="8" t="s">
        <v>3333</v>
      </c>
      <c r="D172" s="8" t="s">
        <v>5565</v>
      </c>
      <c r="E172" s="8" t="s">
        <v>2556</v>
      </c>
      <c r="F172" s="8" t="s">
        <v>3121</v>
      </c>
      <c r="G172" s="8" t="s">
        <v>316</v>
      </c>
      <c r="H172" s="8" t="s">
        <v>22</v>
      </c>
      <c r="I172" s="8" t="s">
        <v>941</v>
      </c>
      <c r="J172" s="8" t="s">
        <v>1522</v>
      </c>
      <c r="K172" s="9">
        <v>0.0</v>
      </c>
      <c r="L172" s="9">
        <v>0.5</v>
      </c>
      <c r="M172" s="9">
        <v>0.5</v>
      </c>
      <c r="N172" s="10">
        <v>45191.0</v>
      </c>
      <c r="O172" s="11">
        <v>1.8</v>
      </c>
      <c r="P172" s="8" t="s">
        <v>25</v>
      </c>
      <c r="Q172" s="12">
        <f t="shared" si="1"/>
        <v>-0.5</v>
      </c>
      <c r="R172" s="12">
        <f t="shared" si="4"/>
        <v>10.665795</v>
      </c>
    </row>
    <row r="173">
      <c r="A173" s="15">
        <f t="shared" si="3"/>
        <v>172</v>
      </c>
      <c r="B173" s="15" t="s">
        <v>19</v>
      </c>
      <c r="C173" s="15" t="s">
        <v>3334</v>
      </c>
      <c r="D173" s="15" t="s">
        <v>5565</v>
      </c>
      <c r="E173" s="15" t="s">
        <v>2660</v>
      </c>
      <c r="F173" s="15">
        <v>-1.0</v>
      </c>
      <c r="G173" s="15" t="s">
        <v>60</v>
      </c>
      <c r="H173" s="15" t="s">
        <v>22</v>
      </c>
      <c r="I173" s="15" t="s">
        <v>892</v>
      </c>
      <c r="J173" s="15" t="s">
        <v>1851</v>
      </c>
      <c r="K173" s="16">
        <v>0.0</v>
      </c>
      <c r="L173" s="16">
        <v>0.5</v>
      </c>
      <c r="M173" s="16">
        <v>0.5</v>
      </c>
      <c r="N173" s="17">
        <v>45191.0</v>
      </c>
      <c r="O173" s="18">
        <v>1.8</v>
      </c>
      <c r="P173" s="15" t="s">
        <v>33</v>
      </c>
      <c r="Q173" s="19">
        <f t="shared" si="1"/>
        <v>0.4</v>
      </c>
      <c r="R173" s="19">
        <f t="shared" si="4"/>
        <v>11.065795</v>
      </c>
    </row>
    <row r="174">
      <c r="A174" s="8">
        <f t="shared" si="3"/>
        <v>173</v>
      </c>
      <c r="B174" s="8" t="s">
        <v>19</v>
      </c>
      <c r="C174" s="8" t="s">
        <v>3335</v>
      </c>
      <c r="D174" s="8" t="s">
        <v>5564</v>
      </c>
      <c r="E174" s="8" t="s">
        <v>2556</v>
      </c>
      <c r="F174" s="8">
        <v>-1.0</v>
      </c>
      <c r="G174" s="8" t="s">
        <v>44</v>
      </c>
      <c r="H174" s="8" t="s">
        <v>22</v>
      </c>
      <c r="I174" s="8" t="s">
        <v>225</v>
      </c>
      <c r="J174" s="8" t="s">
        <v>24</v>
      </c>
      <c r="K174" s="9">
        <v>0.75</v>
      </c>
      <c r="L174" s="9">
        <v>1.0</v>
      </c>
      <c r="M174" s="9">
        <v>1.0</v>
      </c>
      <c r="N174" s="10">
        <v>45192.0</v>
      </c>
      <c r="O174" s="11">
        <v>1.875</v>
      </c>
      <c r="P174" s="8" t="s">
        <v>33</v>
      </c>
      <c r="Q174" s="12">
        <f t="shared" si="1"/>
        <v>0.875</v>
      </c>
      <c r="R174" s="12">
        <f t="shared" si="4"/>
        <v>11.940795</v>
      </c>
    </row>
    <row r="175">
      <c r="A175" s="15">
        <f t="shared" si="3"/>
        <v>174</v>
      </c>
      <c r="B175" s="15" t="s">
        <v>19</v>
      </c>
      <c r="C175" s="15" t="s">
        <v>3336</v>
      </c>
      <c r="D175" s="15"/>
      <c r="E175" s="15"/>
      <c r="F175" s="15"/>
      <c r="G175" s="15" t="s">
        <v>82</v>
      </c>
      <c r="H175" s="15" t="s">
        <v>598</v>
      </c>
      <c r="I175" s="15" t="s">
        <v>2415</v>
      </c>
      <c r="J175" s="15" t="s">
        <v>39</v>
      </c>
      <c r="K175" s="16">
        <v>11.0</v>
      </c>
      <c r="L175" s="16">
        <v>0.5</v>
      </c>
      <c r="M175" s="16">
        <v>0.5</v>
      </c>
      <c r="N175" s="17">
        <v>45192.0</v>
      </c>
      <c r="O175" s="18">
        <v>1.925</v>
      </c>
      <c r="P175" s="15" t="s">
        <v>33</v>
      </c>
      <c r="Q175" s="19">
        <f t="shared" si="1"/>
        <v>0.4625</v>
      </c>
      <c r="R175" s="19">
        <f t="shared" si="4"/>
        <v>12.403295</v>
      </c>
    </row>
    <row r="176">
      <c r="A176" s="8">
        <f t="shared" si="3"/>
        <v>175</v>
      </c>
      <c r="B176" s="8" t="s">
        <v>19</v>
      </c>
      <c r="C176" s="8" t="s">
        <v>3337</v>
      </c>
      <c r="D176" s="8" t="s">
        <v>5565</v>
      </c>
      <c r="E176" s="8" t="s">
        <v>2660</v>
      </c>
      <c r="F176" s="8">
        <v>-1.0</v>
      </c>
      <c r="G176" s="8" t="s">
        <v>44</v>
      </c>
      <c r="H176" s="8" t="s">
        <v>22</v>
      </c>
      <c r="I176" s="8" t="s">
        <v>892</v>
      </c>
      <c r="J176" s="8" t="s">
        <v>24</v>
      </c>
      <c r="K176" s="9">
        <v>0.0</v>
      </c>
      <c r="L176" s="9">
        <v>0.25</v>
      </c>
      <c r="M176" s="9">
        <v>0.25</v>
      </c>
      <c r="N176" s="54">
        <v>45192.0</v>
      </c>
      <c r="O176" s="11">
        <v>1.9</v>
      </c>
      <c r="P176" s="8" t="s">
        <v>25</v>
      </c>
      <c r="Q176" s="12">
        <f t="shared" si="1"/>
        <v>-0.25</v>
      </c>
      <c r="R176" s="12">
        <f t="shared" si="4"/>
        <v>12.153295</v>
      </c>
    </row>
    <row r="177">
      <c r="A177" s="15">
        <f t="shared" si="3"/>
        <v>176</v>
      </c>
      <c r="B177" s="15" t="s">
        <v>40</v>
      </c>
      <c r="C177" s="15" t="s">
        <v>3338</v>
      </c>
      <c r="D177" s="15" t="s">
        <v>5565</v>
      </c>
      <c r="E177" s="15"/>
      <c r="F177" s="15" t="s">
        <v>3339</v>
      </c>
      <c r="G177" s="15" t="s">
        <v>794</v>
      </c>
      <c r="H177" s="15" t="s">
        <v>22</v>
      </c>
      <c r="I177" s="15" t="s">
        <v>440</v>
      </c>
      <c r="J177" s="15" t="s">
        <v>24</v>
      </c>
      <c r="K177" s="16">
        <v>1.5</v>
      </c>
      <c r="L177" s="16">
        <v>0.25</v>
      </c>
      <c r="M177" s="16">
        <v>0.25</v>
      </c>
      <c r="N177" s="17">
        <v>45192.0</v>
      </c>
      <c r="O177" s="18">
        <v>3.75</v>
      </c>
      <c r="P177" s="15" t="s">
        <v>25</v>
      </c>
      <c r="Q177" s="19">
        <f t="shared" si="1"/>
        <v>-0.25</v>
      </c>
      <c r="R177" s="19">
        <f t="shared" si="4"/>
        <v>11.903295</v>
      </c>
    </row>
    <row r="178">
      <c r="A178" s="8">
        <f t="shared" si="3"/>
        <v>177</v>
      </c>
      <c r="B178" s="8" t="s">
        <v>19</v>
      </c>
      <c r="C178" s="8" t="s">
        <v>3340</v>
      </c>
      <c r="D178" s="8" t="s">
        <v>5565</v>
      </c>
      <c r="E178" s="8" t="s">
        <v>2556</v>
      </c>
      <c r="F178" s="8">
        <v>0.0</v>
      </c>
      <c r="G178" s="8" t="s">
        <v>229</v>
      </c>
      <c r="H178" s="8" t="s">
        <v>22</v>
      </c>
      <c r="I178" s="8" t="s">
        <v>941</v>
      </c>
      <c r="J178" s="8" t="s">
        <v>1522</v>
      </c>
      <c r="K178" s="9">
        <v>0.0</v>
      </c>
      <c r="L178" s="9">
        <v>0.75</v>
      </c>
      <c r="M178" s="9">
        <v>0.75</v>
      </c>
      <c r="N178" s="10">
        <v>45192.0</v>
      </c>
      <c r="O178" s="11">
        <v>1.753</v>
      </c>
      <c r="P178" s="8" t="s">
        <v>33</v>
      </c>
      <c r="Q178" s="12">
        <f t="shared" si="1"/>
        <v>0.56475</v>
      </c>
      <c r="R178" s="12">
        <f t="shared" si="4"/>
        <v>12.468045</v>
      </c>
    </row>
    <row r="179">
      <c r="A179" s="15">
        <f t="shared" si="3"/>
        <v>178</v>
      </c>
      <c r="B179" s="15" t="s">
        <v>19</v>
      </c>
      <c r="C179" s="15" t="s">
        <v>3341</v>
      </c>
      <c r="D179" s="15" t="s">
        <v>5565</v>
      </c>
      <c r="E179" s="15" t="s">
        <v>2556</v>
      </c>
      <c r="F179" s="15">
        <v>0.0</v>
      </c>
      <c r="G179" s="15" t="s">
        <v>229</v>
      </c>
      <c r="H179" s="15" t="s">
        <v>22</v>
      </c>
      <c r="I179" s="15" t="s">
        <v>225</v>
      </c>
      <c r="J179" s="15" t="s">
        <v>24</v>
      </c>
      <c r="K179" s="16">
        <v>0.5</v>
      </c>
      <c r="L179" s="16">
        <v>0.5</v>
      </c>
      <c r="M179" s="16">
        <v>0.5</v>
      </c>
      <c r="N179" s="17">
        <v>45192.0</v>
      </c>
      <c r="O179" s="18">
        <f>0.615/0.5</f>
        <v>1.23</v>
      </c>
      <c r="P179" s="15" t="s">
        <v>33</v>
      </c>
      <c r="Q179" s="19">
        <f t="shared" si="1"/>
        <v>0.115</v>
      </c>
      <c r="R179" s="19">
        <f t="shared" si="4"/>
        <v>12.583045</v>
      </c>
    </row>
    <row r="180">
      <c r="A180" s="8">
        <f t="shared" si="3"/>
        <v>179</v>
      </c>
      <c r="B180" s="8" t="s">
        <v>19</v>
      </c>
      <c r="C180" s="8" t="s">
        <v>3342</v>
      </c>
      <c r="D180" s="8" t="s">
        <v>5564</v>
      </c>
      <c r="E180" s="8" t="s">
        <v>2556</v>
      </c>
      <c r="F180" s="8">
        <v>0.0</v>
      </c>
      <c r="G180" s="8" t="s">
        <v>525</v>
      </c>
      <c r="H180" s="8" t="s">
        <v>22</v>
      </c>
      <c r="I180" s="8" t="s">
        <v>225</v>
      </c>
      <c r="J180" s="8" t="s">
        <v>24</v>
      </c>
      <c r="K180" s="9">
        <v>0.5</v>
      </c>
      <c r="L180" s="9">
        <v>0.5</v>
      </c>
      <c r="M180" s="9">
        <v>0.5</v>
      </c>
      <c r="N180" s="10">
        <v>45192.0</v>
      </c>
      <c r="O180" s="11">
        <v>1.725</v>
      </c>
      <c r="P180" s="8" t="s">
        <v>33</v>
      </c>
      <c r="Q180" s="12">
        <f t="shared" si="1"/>
        <v>0.3625</v>
      </c>
      <c r="R180" s="12">
        <f t="shared" si="4"/>
        <v>12.945545</v>
      </c>
    </row>
    <row r="181">
      <c r="A181" s="15">
        <f t="shared" si="3"/>
        <v>180</v>
      </c>
      <c r="B181" s="15" t="s">
        <v>19</v>
      </c>
      <c r="C181" s="15" t="s">
        <v>3343</v>
      </c>
      <c r="D181" s="15" t="s">
        <v>5564</v>
      </c>
      <c r="E181" s="15"/>
      <c r="F181" s="15"/>
      <c r="G181" s="15" t="s">
        <v>525</v>
      </c>
      <c r="H181" s="15" t="s">
        <v>22</v>
      </c>
      <c r="I181" s="15" t="s">
        <v>1165</v>
      </c>
      <c r="J181" s="15" t="s">
        <v>24</v>
      </c>
      <c r="K181" s="16"/>
      <c r="L181" s="16">
        <v>0.15</v>
      </c>
      <c r="M181" s="16">
        <v>0.15</v>
      </c>
      <c r="N181" s="17">
        <v>45192.0</v>
      </c>
      <c r="O181" s="18">
        <v>2.6</v>
      </c>
      <c r="P181" s="15" t="s">
        <v>33</v>
      </c>
      <c r="Q181" s="19">
        <f t="shared" si="1"/>
        <v>0.24</v>
      </c>
      <c r="R181" s="19">
        <f t="shared" si="4"/>
        <v>13.185545</v>
      </c>
    </row>
    <row r="182">
      <c r="A182" s="8">
        <f t="shared" si="3"/>
        <v>181</v>
      </c>
      <c r="B182" s="8" t="s">
        <v>19</v>
      </c>
      <c r="C182" s="8" t="s">
        <v>3344</v>
      </c>
      <c r="D182" s="8"/>
      <c r="E182" s="8"/>
      <c r="F182" s="8" t="s">
        <v>3242</v>
      </c>
      <c r="G182" s="8" t="s">
        <v>106</v>
      </c>
      <c r="H182" s="8" t="s">
        <v>22</v>
      </c>
      <c r="I182" s="8" t="s">
        <v>29</v>
      </c>
      <c r="J182" s="8" t="s">
        <v>24</v>
      </c>
      <c r="K182" s="9">
        <v>-2.25</v>
      </c>
      <c r="L182" s="9">
        <v>0.25</v>
      </c>
      <c r="M182" s="9">
        <v>0.25</v>
      </c>
      <c r="N182" s="10">
        <v>45192.0</v>
      </c>
      <c r="O182" s="11">
        <v>1.85</v>
      </c>
      <c r="P182" s="8" t="s">
        <v>25</v>
      </c>
      <c r="Q182" s="12">
        <f t="shared" si="1"/>
        <v>-0.25</v>
      </c>
      <c r="R182" s="12">
        <f t="shared" si="4"/>
        <v>12.935545</v>
      </c>
    </row>
    <row r="183">
      <c r="A183" s="15">
        <f t="shared" si="3"/>
        <v>182</v>
      </c>
      <c r="B183" s="15" t="s">
        <v>19</v>
      </c>
      <c r="C183" s="15" t="s">
        <v>3345</v>
      </c>
      <c r="D183" s="15"/>
      <c r="E183" s="15"/>
      <c r="F183" s="15" t="s">
        <v>2615</v>
      </c>
      <c r="G183" s="15" t="s">
        <v>229</v>
      </c>
      <c r="H183" s="15" t="s">
        <v>22</v>
      </c>
      <c r="I183" s="15" t="s">
        <v>440</v>
      </c>
      <c r="J183" s="15" t="s">
        <v>39</v>
      </c>
      <c r="K183" s="16">
        <v>0.5</v>
      </c>
      <c r="L183" s="16">
        <v>0.25</v>
      </c>
      <c r="M183" s="16">
        <v>0.25</v>
      </c>
      <c r="N183" s="17">
        <v>45192.0</v>
      </c>
      <c r="O183" s="18">
        <v>1.925</v>
      </c>
      <c r="P183" s="15" t="s">
        <v>33</v>
      </c>
      <c r="Q183" s="19">
        <f t="shared" si="1"/>
        <v>0.23125</v>
      </c>
      <c r="R183" s="19">
        <f t="shared" si="4"/>
        <v>13.166795</v>
      </c>
    </row>
    <row r="184">
      <c r="A184" s="8">
        <f t="shared" si="3"/>
        <v>183</v>
      </c>
      <c r="B184" s="8" t="s">
        <v>19</v>
      </c>
      <c r="C184" s="8" t="s">
        <v>3346</v>
      </c>
      <c r="D184" s="8" t="s">
        <v>5565</v>
      </c>
      <c r="E184" s="8" t="s">
        <v>2660</v>
      </c>
      <c r="F184" s="8">
        <v>0.0</v>
      </c>
      <c r="G184" s="8" t="s">
        <v>229</v>
      </c>
      <c r="H184" s="8" t="s">
        <v>22</v>
      </c>
      <c r="I184" s="8" t="s">
        <v>892</v>
      </c>
      <c r="J184" s="8" t="s">
        <v>24</v>
      </c>
      <c r="K184" s="9">
        <v>0.0</v>
      </c>
      <c r="L184" s="9">
        <v>0.5</v>
      </c>
      <c r="M184" s="9">
        <v>0.5</v>
      </c>
      <c r="N184" s="10">
        <v>45192.0</v>
      </c>
      <c r="O184" s="11">
        <v>1.775</v>
      </c>
      <c r="P184" s="8" t="s">
        <v>25</v>
      </c>
      <c r="Q184" s="12">
        <f t="shared" si="1"/>
        <v>-0.5</v>
      </c>
      <c r="R184" s="12">
        <f t="shared" si="4"/>
        <v>12.666795</v>
      </c>
    </row>
    <row r="185">
      <c r="A185" s="15">
        <f t="shared" si="3"/>
        <v>184</v>
      </c>
      <c r="B185" s="15" t="s">
        <v>19</v>
      </c>
      <c r="C185" s="15" t="s">
        <v>3347</v>
      </c>
      <c r="D185" s="15" t="s">
        <v>5564</v>
      </c>
      <c r="E185" s="15" t="s">
        <v>2660</v>
      </c>
      <c r="F185" s="15">
        <v>0.0</v>
      </c>
      <c r="G185" s="15" t="s">
        <v>229</v>
      </c>
      <c r="H185" s="15" t="s">
        <v>22</v>
      </c>
      <c r="I185" s="15" t="s">
        <v>892</v>
      </c>
      <c r="J185" s="15" t="s">
        <v>24</v>
      </c>
      <c r="K185" s="16">
        <v>0.0</v>
      </c>
      <c r="L185" s="16">
        <v>0.5</v>
      </c>
      <c r="M185" s="16">
        <v>0.5</v>
      </c>
      <c r="N185" s="17">
        <v>45192.0</v>
      </c>
      <c r="O185" s="18">
        <f>0.835/0.5</f>
        <v>1.67</v>
      </c>
      <c r="P185" s="15" t="s">
        <v>33</v>
      </c>
      <c r="Q185" s="19">
        <f t="shared" si="1"/>
        <v>0.335</v>
      </c>
      <c r="R185" s="19">
        <f t="shared" si="4"/>
        <v>13.001795</v>
      </c>
    </row>
    <row r="186">
      <c r="A186" s="8">
        <f t="shared" si="3"/>
        <v>185</v>
      </c>
      <c r="B186" s="8" t="s">
        <v>19</v>
      </c>
      <c r="C186" s="8" t="s">
        <v>3348</v>
      </c>
      <c r="D186" s="8" t="s">
        <v>5565</v>
      </c>
      <c r="E186" s="8" t="s">
        <v>2556</v>
      </c>
      <c r="F186" s="8">
        <v>0.0</v>
      </c>
      <c r="G186" s="8" t="s">
        <v>50</v>
      </c>
      <c r="H186" s="8" t="s">
        <v>22</v>
      </c>
      <c r="I186" s="8" t="s">
        <v>941</v>
      </c>
      <c r="J186" s="8" t="s">
        <v>1522</v>
      </c>
      <c r="K186" s="9">
        <v>0.0</v>
      </c>
      <c r="L186" s="9">
        <v>1.0</v>
      </c>
      <c r="M186" s="9">
        <v>1.0</v>
      </c>
      <c r="N186" s="10">
        <v>45192.0</v>
      </c>
      <c r="O186" s="11">
        <v>1.3</v>
      </c>
      <c r="P186" s="8" t="s">
        <v>33</v>
      </c>
      <c r="Q186" s="12">
        <f t="shared" si="1"/>
        <v>0.3</v>
      </c>
      <c r="R186" s="12">
        <f t="shared" si="4"/>
        <v>13.301795</v>
      </c>
    </row>
    <row r="187">
      <c r="A187" s="15">
        <f t="shared" si="3"/>
        <v>186</v>
      </c>
      <c r="B187" s="15" t="s">
        <v>19</v>
      </c>
      <c r="C187" s="15" t="s">
        <v>3349</v>
      </c>
      <c r="D187" s="15"/>
      <c r="E187" s="15"/>
      <c r="F187" s="15"/>
      <c r="G187" s="15" t="s">
        <v>583</v>
      </c>
      <c r="H187" s="15" t="s">
        <v>22</v>
      </c>
      <c r="I187" s="15" t="s">
        <v>1272</v>
      </c>
      <c r="J187" s="15" t="s">
        <v>24</v>
      </c>
      <c r="K187" s="16"/>
      <c r="L187" s="16">
        <v>0.15</v>
      </c>
      <c r="M187" s="16">
        <v>0.15</v>
      </c>
      <c r="N187" s="17">
        <v>45192.0</v>
      </c>
      <c r="O187" s="18">
        <f>1.75*1.75</f>
        <v>3.0625</v>
      </c>
      <c r="P187" s="15" t="s">
        <v>25</v>
      </c>
      <c r="Q187" s="19">
        <f t="shared" si="1"/>
        <v>-0.15</v>
      </c>
      <c r="R187" s="19">
        <f t="shared" si="4"/>
        <v>13.151795</v>
      </c>
    </row>
    <row r="188">
      <c r="A188" s="8">
        <f t="shared" si="3"/>
        <v>187</v>
      </c>
      <c r="B188" s="8" t="s">
        <v>19</v>
      </c>
      <c r="C188" s="8" t="s">
        <v>3350</v>
      </c>
      <c r="D188" s="8" t="s">
        <v>5564</v>
      </c>
      <c r="E188" s="8"/>
      <c r="F188" s="8">
        <v>0.0</v>
      </c>
      <c r="G188" s="8" t="s">
        <v>3351</v>
      </c>
      <c r="H188" s="8" t="s">
        <v>22</v>
      </c>
      <c r="I188" s="8" t="s">
        <v>1023</v>
      </c>
      <c r="J188" s="8" t="s">
        <v>1522</v>
      </c>
      <c r="K188" s="9"/>
      <c r="L188" s="9">
        <v>0.5</v>
      </c>
      <c r="M188" s="9">
        <v>0.5</v>
      </c>
      <c r="N188" s="10">
        <v>45192.0</v>
      </c>
      <c r="O188" s="11">
        <f>0.53/0.5</f>
        <v>1.06</v>
      </c>
      <c r="P188" s="8" t="s">
        <v>33</v>
      </c>
      <c r="Q188" s="12">
        <f t="shared" si="1"/>
        <v>0.03</v>
      </c>
      <c r="R188" s="12">
        <f t="shared" si="4"/>
        <v>13.181795</v>
      </c>
    </row>
    <row r="189">
      <c r="A189" s="15">
        <f t="shared" si="3"/>
        <v>188</v>
      </c>
      <c r="B189" s="15" t="s">
        <v>40</v>
      </c>
      <c r="C189" s="15" t="s">
        <v>3352</v>
      </c>
      <c r="D189" s="15" t="s">
        <v>5564</v>
      </c>
      <c r="E189" s="15" t="s">
        <v>2556</v>
      </c>
      <c r="F189" s="15">
        <v>2</v>
      </c>
      <c r="G189" s="15" t="s">
        <v>93</v>
      </c>
      <c r="H189" s="15" t="s">
        <v>22</v>
      </c>
      <c r="I189" s="15" t="s">
        <v>225</v>
      </c>
      <c r="J189" s="15" t="s">
        <v>24</v>
      </c>
      <c r="K189" s="16">
        <v>0.5</v>
      </c>
      <c r="L189" s="16">
        <v>0.5</v>
      </c>
      <c r="M189" s="16">
        <v>0.5</v>
      </c>
      <c r="N189" s="17">
        <v>45192.0</v>
      </c>
      <c r="O189" s="18">
        <v>1.975</v>
      </c>
      <c r="P189" s="15" t="s">
        <v>25</v>
      </c>
      <c r="Q189" s="19">
        <f t="shared" si="1"/>
        <v>-0.5</v>
      </c>
      <c r="R189" s="19">
        <f t="shared" si="4"/>
        <v>12.681795</v>
      </c>
    </row>
    <row r="190">
      <c r="A190" s="8">
        <f t="shared" si="3"/>
        <v>189</v>
      </c>
      <c r="B190" s="8" t="s">
        <v>40</v>
      </c>
      <c r="C190" s="8" t="s">
        <v>3353</v>
      </c>
      <c r="D190" s="8" t="s">
        <v>5564</v>
      </c>
      <c r="E190" s="8"/>
      <c r="F190" s="8" t="s">
        <v>3216</v>
      </c>
      <c r="G190" s="8" t="s">
        <v>93</v>
      </c>
      <c r="H190" s="8" t="s">
        <v>22</v>
      </c>
      <c r="I190" s="8" t="s">
        <v>1165</v>
      </c>
      <c r="J190" s="8" t="s">
        <v>24</v>
      </c>
      <c r="K190" s="9"/>
      <c r="L190" s="9">
        <v>0.15</v>
      </c>
      <c r="M190" s="8">
        <v>0.15</v>
      </c>
      <c r="N190" s="54">
        <v>45192.0</v>
      </c>
      <c r="O190" s="11">
        <v>2.625</v>
      </c>
      <c r="P190" s="8" t="s">
        <v>25</v>
      </c>
      <c r="Q190" s="12">
        <f t="shared" si="1"/>
        <v>-0.15</v>
      </c>
      <c r="R190" s="12">
        <f t="shared" si="4"/>
        <v>12.531795</v>
      </c>
    </row>
    <row r="191">
      <c r="A191" s="15">
        <f t="shared" si="3"/>
        <v>190</v>
      </c>
      <c r="B191" s="15" t="s">
        <v>40</v>
      </c>
      <c r="C191" s="15" t="s">
        <v>3354</v>
      </c>
      <c r="D191" s="15" t="s">
        <v>5564</v>
      </c>
      <c r="E191" s="15" t="s">
        <v>2556</v>
      </c>
      <c r="F191" s="15">
        <v>0.0</v>
      </c>
      <c r="G191" s="15" t="s">
        <v>93</v>
      </c>
      <c r="H191" s="15" t="s">
        <v>22</v>
      </c>
      <c r="I191" s="15" t="s">
        <v>225</v>
      </c>
      <c r="J191" s="15" t="s">
        <v>24</v>
      </c>
      <c r="K191" s="16">
        <v>0.5</v>
      </c>
      <c r="L191" s="16">
        <v>0.75</v>
      </c>
      <c r="M191" s="16">
        <v>0.75</v>
      </c>
      <c r="N191" s="17">
        <v>45192.0</v>
      </c>
      <c r="O191" s="18">
        <v>1.6</v>
      </c>
      <c r="P191" s="15" t="s">
        <v>33</v>
      </c>
      <c r="Q191" s="19">
        <f t="shared" si="1"/>
        <v>0.45</v>
      </c>
      <c r="R191" s="19">
        <f t="shared" si="4"/>
        <v>12.981795</v>
      </c>
    </row>
    <row r="192">
      <c r="A192" s="8">
        <f t="shared" si="3"/>
        <v>191</v>
      </c>
      <c r="B192" s="8" t="s">
        <v>19</v>
      </c>
      <c r="C192" s="8" t="s">
        <v>3355</v>
      </c>
      <c r="D192" s="8" t="s">
        <v>5565</v>
      </c>
      <c r="E192" s="8" t="s">
        <v>2660</v>
      </c>
      <c r="F192" s="8">
        <v>-1.0</v>
      </c>
      <c r="G192" s="8" t="s">
        <v>316</v>
      </c>
      <c r="H192" s="8" t="s">
        <v>22</v>
      </c>
      <c r="I192" s="8" t="s">
        <v>892</v>
      </c>
      <c r="J192" s="8" t="s">
        <v>1522</v>
      </c>
      <c r="K192" s="9">
        <v>0.0</v>
      </c>
      <c r="L192" s="9">
        <v>0.5</v>
      </c>
      <c r="M192" s="9">
        <v>0.5</v>
      </c>
      <c r="N192" s="10">
        <v>45192.0</v>
      </c>
      <c r="O192" s="11">
        <v>2.05</v>
      </c>
      <c r="P192" s="8" t="s">
        <v>70</v>
      </c>
      <c r="Q192" s="12">
        <f t="shared" si="1"/>
        <v>0</v>
      </c>
      <c r="R192" s="12">
        <f t="shared" si="4"/>
        <v>12.981795</v>
      </c>
    </row>
    <row r="193">
      <c r="A193" s="15">
        <f t="shared" si="3"/>
        <v>192</v>
      </c>
      <c r="B193" s="15" t="s">
        <v>19</v>
      </c>
      <c r="C193" s="15" t="s">
        <v>3356</v>
      </c>
      <c r="D193" s="15" t="s">
        <v>5565</v>
      </c>
      <c r="E193" s="15" t="s">
        <v>2556</v>
      </c>
      <c r="F193" s="15">
        <v>0.0</v>
      </c>
      <c r="G193" s="15" t="s">
        <v>50</v>
      </c>
      <c r="H193" s="15" t="s">
        <v>22</v>
      </c>
      <c r="I193" s="15" t="s">
        <v>941</v>
      </c>
      <c r="J193" s="15" t="s">
        <v>1522</v>
      </c>
      <c r="K193" s="16">
        <v>0.0</v>
      </c>
      <c r="L193" s="16">
        <v>0.5</v>
      </c>
      <c r="M193" s="16">
        <v>0.5</v>
      </c>
      <c r="N193" s="17">
        <v>45192.0</v>
      </c>
      <c r="O193" s="18">
        <v>2.2</v>
      </c>
      <c r="P193" s="15" t="s">
        <v>70</v>
      </c>
      <c r="Q193" s="19">
        <f t="shared" si="1"/>
        <v>0</v>
      </c>
      <c r="R193" s="19">
        <f t="shared" si="4"/>
        <v>12.981795</v>
      </c>
    </row>
    <row r="194">
      <c r="A194" s="8">
        <f t="shared" si="3"/>
        <v>193</v>
      </c>
      <c r="B194" s="8" t="s">
        <v>19</v>
      </c>
      <c r="C194" s="8" t="s">
        <v>3357</v>
      </c>
      <c r="D194" s="8"/>
      <c r="E194" s="8"/>
      <c r="F194" s="8" t="s">
        <v>3154</v>
      </c>
      <c r="G194" s="8" t="s">
        <v>3351</v>
      </c>
      <c r="H194" s="8" t="s">
        <v>22</v>
      </c>
      <c r="I194" s="8" t="s">
        <v>440</v>
      </c>
      <c r="J194" s="8" t="s">
        <v>39</v>
      </c>
      <c r="K194" s="9">
        <v>1.5</v>
      </c>
      <c r="L194" s="9">
        <v>0.1</v>
      </c>
      <c r="M194" s="9">
        <v>0.1</v>
      </c>
      <c r="N194" s="10">
        <v>45192.0</v>
      </c>
      <c r="O194" s="11">
        <v>1.75</v>
      </c>
      <c r="P194" s="8" t="s">
        <v>33</v>
      </c>
      <c r="Q194" s="12">
        <f t="shared" si="1"/>
        <v>0.075</v>
      </c>
      <c r="R194" s="12">
        <f t="shared" si="4"/>
        <v>13.056795</v>
      </c>
    </row>
    <row r="195">
      <c r="A195" s="15">
        <f t="shared" si="3"/>
        <v>194</v>
      </c>
      <c r="B195" s="15" t="s">
        <v>19</v>
      </c>
      <c r="C195" s="15" t="s">
        <v>3358</v>
      </c>
      <c r="D195" s="15"/>
      <c r="E195" s="15"/>
      <c r="F195" s="15"/>
      <c r="G195" s="15" t="s">
        <v>768</v>
      </c>
      <c r="H195" s="15" t="s">
        <v>598</v>
      </c>
      <c r="I195" s="15" t="s">
        <v>440</v>
      </c>
      <c r="J195" s="15"/>
      <c r="K195" s="16">
        <v>11.5</v>
      </c>
      <c r="L195" s="16">
        <v>0.1</v>
      </c>
      <c r="M195" s="16">
        <v>0.1</v>
      </c>
      <c r="N195" s="17">
        <v>45193.0</v>
      </c>
      <c r="O195" s="18">
        <v>1.909</v>
      </c>
      <c r="P195" s="15" t="s">
        <v>33</v>
      </c>
      <c r="Q195" s="19">
        <f t="shared" si="1"/>
        <v>0.0909</v>
      </c>
      <c r="R195" s="19">
        <f t="shared" si="4"/>
        <v>13.147695</v>
      </c>
    </row>
    <row r="196">
      <c r="A196" s="8">
        <f t="shared" si="3"/>
        <v>195</v>
      </c>
      <c r="B196" s="8" t="s">
        <v>19</v>
      </c>
      <c r="C196" s="8" t="s">
        <v>3359</v>
      </c>
      <c r="D196" s="8"/>
      <c r="E196" s="8"/>
      <c r="F196" s="8"/>
      <c r="G196" s="8" t="s">
        <v>768</v>
      </c>
      <c r="H196" s="8" t="s">
        <v>598</v>
      </c>
      <c r="I196" s="8" t="s">
        <v>440</v>
      </c>
      <c r="J196" s="8"/>
      <c r="K196" s="9">
        <v>54.5</v>
      </c>
      <c r="L196" s="9">
        <v>0.1</v>
      </c>
      <c r="M196" s="9">
        <v>0.1</v>
      </c>
      <c r="N196" s="10">
        <v>45193.0</v>
      </c>
      <c r="O196" s="11">
        <v>1.909</v>
      </c>
      <c r="P196" s="8" t="s">
        <v>33</v>
      </c>
      <c r="Q196" s="12">
        <f t="shared" si="1"/>
        <v>0.0909</v>
      </c>
      <c r="R196" s="12">
        <f t="shared" si="4"/>
        <v>13.238595</v>
      </c>
    </row>
    <row r="197">
      <c r="A197" s="15">
        <f t="shared" si="3"/>
        <v>196</v>
      </c>
      <c r="B197" s="15" t="s">
        <v>19</v>
      </c>
      <c r="C197" s="15" t="s">
        <v>3360</v>
      </c>
      <c r="D197" s="15"/>
      <c r="E197" s="15"/>
      <c r="F197" s="15"/>
      <c r="G197" s="15" t="s">
        <v>768</v>
      </c>
      <c r="H197" s="15" t="s">
        <v>598</v>
      </c>
      <c r="I197" s="15" t="s">
        <v>440</v>
      </c>
      <c r="J197" s="15"/>
      <c r="K197" s="16">
        <v>0.5</v>
      </c>
      <c r="L197" s="16">
        <v>0.1</v>
      </c>
      <c r="M197" s="16">
        <v>0.1</v>
      </c>
      <c r="N197" s="17">
        <v>45192.0</v>
      </c>
      <c r="O197" s="18">
        <v>1.8</v>
      </c>
      <c r="P197" s="15" t="s">
        <v>25</v>
      </c>
      <c r="Q197" s="19">
        <f t="shared" si="1"/>
        <v>-0.1</v>
      </c>
      <c r="R197" s="19">
        <f t="shared" si="4"/>
        <v>13.138595</v>
      </c>
    </row>
    <row r="198">
      <c r="A198" s="8">
        <f t="shared" si="3"/>
        <v>197</v>
      </c>
      <c r="B198" s="8" t="s">
        <v>19</v>
      </c>
      <c r="C198" s="8" t="s">
        <v>3361</v>
      </c>
      <c r="D198" s="8"/>
      <c r="E198" s="8"/>
      <c r="F198" s="8"/>
      <c r="G198" s="8" t="s">
        <v>768</v>
      </c>
      <c r="H198" s="8" t="s">
        <v>598</v>
      </c>
      <c r="I198" s="8" t="s">
        <v>2508</v>
      </c>
      <c r="J198" s="8"/>
      <c r="K198" s="9"/>
      <c r="L198" s="9">
        <v>0.1</v>
      </c>
      <c r="M198" s="9">
        <v>0.1</v>
      </c>
      <c r="N198" s="10">
        <v>45193.0</v>
      </c>
      <c r="O198" s="11">
        <v>2.45</v>
      </c>
      <c r="P198" s="8" t="s">
        <v>33</v>
      </c>
      <c r="Q198" s="12">
        <f t="shared" si="1"/>
        <v>0.145</v>
      </c>
      <c r="R198" s="12">
        <f t="shared" si="4"/>
        <v>13.283595</v>
      </c>
    </row>
    <row r="199">
      <c r="A199" s="15">
        <f t="shared" si="3"/>
        <v>198</v>
      </c>
      <c r="B199" s="15" t="s">
        <v>19</v>
      </c>
      <c r="C199" s="15" t="s">
        <v>3362</v>
      </c>
      <c r="D199" s="15"/>
      <c r="E199" s="15"/>
      <c r="F199" s="15" t="s">
        <v>2615</v>
      </c>
      <c r="G199" s="15" t="s">
        <v>172</v>
      </c>
      <c r="H199" s="15" t="s">
        <v>22</v>
      </c>
      <c r="I199" s="15" t="s">
        <v>29</v>
      </c>
      <c r="J199" s="15" t="s">
        <v>24</v>
      </c>
      <c r="K199" s="16">
        <v>-9.5</v>
      </c>
      <c r="L199" s="16">
        <v>0.25</v>
      </c>
      <c r="M199" s="16">
        <v>0.25</v>
      </c>
      <c r="N199" s="17">
        <v>45192.0</v>
      </c>
      <c r="O199" s="18">
        <v>1.725</v>
      </c>
      <c r="P199" s="15" t="s">
        <v>70</v>
      </c>
      <c r="Q199" s="19">
        <f t="shared" si="1"/>
        <v>0</v>
      </c>
      <c r="R199" s="19">
        <f t="shared" si="4"/>
        <v>13.283595</v>
      </c>
    </row>
    <row r="200">
      <c r="A200" s="8">
        <f t="shared" si="3"/>
        <v>199</v>
      </c>
      <c r="B200" s="8" t="s">
        <v>40</v>
      </c>
      <c r="C200" s="8" t="s">
        <v>3363</v>
      </c>
      <c r="D200" s="8" t="s">
        <v>5565</v>
      </c>
      <c r="E200" s="8" t="s">
        <v>2556</v>
      </c>
      <c r="F200" s="8">
        <v>0.0</v>
      </c>
      <c r="G200" s="8" t="s">
        <v>908</v>
      </c>
      <c r="H200" s="8" t="s">
        <v>22</v>
      </c>
      <c r="I200" s="8" t="s">
        <v>225</v>
      </c>
      <c r="J200" s="8" t="s">
        <v>24</v>
      </c>
      <c r="K200" s="9">
        <v>0.25</v>
      </c>
      <c r="L200" s="9">
        <v>0.25</v>
      </c>
      <c r="M200" s="9">
        <v>0.25</v>
      </c>
      <c r="N200" s="10">
        <v>45193.0</v>
      </c>
      <c r="O200" s="11">
        <v>1.9</v>
      </c>
      <c r="P200" s="8" t="s">
        <v>33</v>
      </c>
      <c r="Q200" s="12">
        <f t="shared" si="1"/>
        <v>0.225</v>
      </c>
      <c r="R200" s="12">
        <f t="shared" si="4"/>
        <v>13.508595</v>
      </c>
    </row>
    <row r="201">
      <c r="A201" s="15">
        <f t="shared" si="3"/>
        <v>200</v>
      </c>
      <c r="B201" s="15" t="s">
        <v>19</v>
      </c>
      <c r="C201" s="15" t="s">
        <v>3364</v>
      </c>
      <c r="D201" s="15" t="s">
        <v>5565</v>
      </c>
      <c r="E201" s="15" t="s">
        <v>2556</v>
      </c>
      <c r="F201" s="15">
        <v>0.0</v>
      </c>
      <c r="G201" s="15" t="s">
        <v>82</v>
      </c>
      <c r="H201" s="15" t="s">
        <v>22</v>
      </c>
      <c r="I201" s="15" t="s">
        <v>225</v>
      </c>
      <c r="J201" s="15" t="s">
        <v>39</v>
      </c>
      <c r="K201" s="16">
        <v>0.75</v>
      </c>
      <c r="L201" s="16">
        <v>0.5</v>
      </c>
      <c r="M201" s="16">
        <v>0.5</v>
      </c>
      <c r="N201" s="17">
        <v>45193.0</v>
      </c>
      <c r="O201" s="18">
        <v>1.025</v>
      </c>
      <c r="P201" s="15" t="s">
        <v>33</v>
      </c>
      <c r="Q201" s="19">
        <f t="shared" si="1"/>
        <v>0.0125</v>
      </c>
      <c r="R201" s="19">
        <f t="shared" si="4"/>
        <v>13.521095</v>
      </c>
    </row>
    <row r="202">
      <c r="A202" s="8">
        <f t="shared" si="3"/>
        <v>201</v>
      </c>
      <c r="B202" s="8" t="s">
        <v>19</v>
      </c>
      <c r="C202" s="8" t="s">
        <v>3365</v>
      </c>
      <c r="D202" s="8" t="s">
        <v>5564</v>
      </c>
      <c r="E202" s="8" t="s">
        <v>2556</v>
      </c>
      <c r="F202" s="8">
        <v>0.0</v>
      </c>
      <c r="G202" s="8" t="s">
        <v>189</v>
      </c>
      <c r="H202" s="8" t="s">
        <v>22</v>
      </c>
      <c r="I202" s="8" t="s">
        <v>225</v>
      </c>
      <c r="J202" s="8" t="s">
        <v>2688</v>
      </c>
      <c r="K202" s="9">
        <v>0.5</v>
      </c>
      <c r="L202" s="9">
        <v>0.25</v>
      </c>
      <c r="M202" s="9">
        <v>0.25</v>
      </c>
      <c r="N202" s="10">
        <v>45193.0</v>
      </c>
      <c r="O202" s="11">
        <v>1.75</v>
      </c>
      <c r="P202" s="8" t="s">
        <v>33</v>
      </c>
      <c r="Q202" s="12">
        <f t="shared" si="1"/>
        <v>0.1875</v>
      </c>
      <c r="R202" s="12">
        <f t="shared" si="4"/>
        <v>13.708595</v>
      </c>
    </row>
    <row r="203">
      <c r="A203" s="15">
        <f t="shared" si="3"/>
        <v>202</v>
      </c>
      <c r="B203" s="15" t="s">
        <v>19</v>
      </c>
      <c r="C203" s="15" t="s">
        <v>3366</v>
      </c>
      <c r="D203" s="15" t="s">
        <v>5564</v>
      </c>
      <c r="E203" s="15" t="s">
        <v>2556</v>
      </c>
      <c r="F203" s="15">
        <v>0.0</v>
      </c>
      <c r="G203" s="15" t="s">
        <v>44</v>
      </c>
      <c r="H203" s="15" t="s">
        <v>22</v>
      </c>
      <c r="I203" s="15" t="s">
        <v>225</v>
      </c>
      <c r="J203" s="15" t="s">
        <v>24</v>
      </c>
      <c r="K203" s="16">
        <v>0.25</v>
      </c>
      <c r="L203" s="16">
        <v>0.5</v>
      </c>
      <c r="M203" s="16">
        <v>0.5</v>
      </c>
      <c r="N203" s="17">
        <v>45193.0</v>
      </c>
      <c r="O203" s="18">
        <v>2.02</v>
      </c>
      <c r="P203" s="15" t="s">
        <v>25</v>
      </c>
      <c r="Q203" s="19">
        <f t="shared" si="1"/>
        <v>-0.5</v>
      </c>
      <c r="R203" s="19">
        <f t="shared" si="4"/>
        <v>13.208595</v>
      </c>
    </row>
    <row r="204">
      <c r="A204" s="8">
        <f t="shared" si="3"/>
        <v>203</v>
      </c>
      <c r="B204" s="8" t="s">
        <v>19</v>
      </c>
      <c r="C204" s="8" t="s">
        <v>3367</v>
      </c>
      <c r="D204" s="8" t="s">
        <v>5565</v>
      </c>
      <c r="E204" s="8" t="s">
        <v>2556</v>
      </c>
      <c r="F204" s="8">
        <v>0.0</v>
      </c>
      <c r="G204" s="8" t="s">
        <v>121</v>
      </c>
      <c r="H204" s="8" t="s">
        <v>22</v>
      </c>
      <c r="I204" s="8" t="s">
        <v>225</v>
      </c>
      <c r="J204" s="8" t="s">
        <v>24</v>
      </c>
      <c r="K204" s="9">
        <v>0.75</v>
      </c>
      <c r="L204" s="9">
        <v>0.8</v>
      </c>
      <c r="M204" s="9">
        <v>0.8</v>
      </c>
      <c r="N204" s="10">
        <v>45193.0</v>
      </c>
      <c r="O204" s="11">
        <v>1.3</v>
      </c>
      <c r="P204" s="8" t="s">
        <v>33</v>
      </c>
      <c r="Q204" s="12">
        <f t="shared" si="1"/>
        <v>0.24</v>
      </c>
      <c r="R204" s="12">
        <f t="shared" si="4"/>
        <v>13.448595</v>
      </c>
    </row>
    <row r="205">
      <c r="A205" s="15">
        <f t="shared" si="3"/>
        <v>204</v>
      </c>
      <c r="B205" s="15" t="s">
        <v>19</v>
      </c>
      <c r="C205" s="15" t="s">
        <v>3368</v>
      </c>
      <c r="D205" s="15" t="s">
        <v>5565</v>
      </c>
      <c r="E205" s="15" t="s">
        <v>2556</v>
      </c>
      <c r="F205" s="15">
        <v>0.0</v>
      </c>
      <c r="G205" s="15" t="s">
        <v>121</v>
      </c>
      <c r="H205" s="15" t="s">
        <v>22</v>
      </c>
      <c r="I205" s="15" t="s">
        <v>941</v>
      </c>
      <c r="J205" s="15" t="s">
        <v>24</v>
      </c>
      <c r="K205" s="16">
        <v>0.0</v>
      </c>
      <c r="L205" s="16">
        <v>0.2</v>
      </c>
      <c r="M205" s="16">
        <v>0.2</v>
      </c>
      <c r="N205" s="17">
        <v>45193.0</v>
      </c>
      <c r="O205" s="18">
        <v>3.12</v>
      </c>
      <c r="P205" s="15" t="s">
        <v>33</v>
      </c>
      <c r="Q205" s="19">
        <f t="shared" si="1"/>
        <v>0.424</v>
      </c>
      <c r="R205" s="19">
        <f t="shared" si="4"/>
        <v>13.872595</v>
      </c>
    </row>
    <row r="206">
      <c r="A206" s="8">
        <f t="shared" si="3"/>
        <v>205</v>
      </c>
      <c r="B206" s="8" t="s">
        <v>19</v>
      </c>
      <c r="C206" s="8" t="s">
        <v>3369</v>
      </c>
      <c r="D206" s="8" t="s">
        <v>5564</v>
      </c>
      <c r="E206" s="8" t="s">
        <v>2660</v>
      </c>
      <c r="F206" s="8">
        <f>1</f>
        <v>1</v>
      </c>
      <c r="G206" s="8" t="s">
        <v>44</v>
      </c>
      <c r="H206" s="8" t="s">
        <v>22</v>
      </c>
      <c r="I206" s="8" t="s">
        <v>892</v>
      </c>
      <c r="J206" s="8" t="s">
        <v>1522</v>
      </c>
      <c r="K206" s="9">
        <v>0.0</v>
      </c>
      <c r="L206" s="9">
        <v>1.0</v>
      </c>
      <c r="M206" s="9">
        <v>1.0</v>
      </c>
      <c r="N206" s="10">
        <v>45193.0</v>
      </c>
      <c r="O206" s="11">
        <v>1.95</v>
      </c>
      <c r="P206" s="8" t="s">
        <v>70</v>
      </c>
      <c r="Q206" s="12">
        <f t="shared" si="1"/>
        <v>0</v>
      </c>
      <c r="R206" s="12">
        <f t="shared" si="4"/>
        <v>13.872595</v>
      </c>
    </row>
    <row r="207">
      <c r="A207" s="15">
        <f t="shared" si="3"/>
        <v>206</v>
      </c>
      <c r="B207" s="15" t="s">
        <v>40</v>
      </c>
      <c r="C207" s="15" t="s">
        <v>3370</v>
      </c>
      <c r="D207" s="15" t="s">
        <v>5565</v>
      </c>
      <c r="E207" s="15" t="s">
        <v>2556</v>
      </c>
      <c r="F207" s="15">
        <v>-1.0</v>
      </c>
      <c r="G207" s="15" t="s">
        <v>82</v>
      </c>
      <c r="H207" s="15" t="s">
        <v>22</v>
      </c>
      <c r="I207" s="15" t="s">
        <v>225</v>
      </c>
      <c r="J207" s="15" t="s">
        <v>1522</v>
      </c>
      <c r="K207" s="16">
        <v>2.0</v>
      </c>
      <c r="L207" s="16">
        <v>0.5</v>
      </c>
      <c r="M207" s="16">
        <v>0.5</v>
      </c>
      <c r="N207" s="17">
        <v>45193.0</v>
      </c>
      <c r="O207" s="18">
        <v>1.04</v>
      </c>
      <c r="P207" s="15" t="s">
        <v>33</v>
      </c>
      <c r="Q207" s="19">
        <f t="shared" si="1"/>
        <v>0.02</v>
      </c>
      <c r="R207" s="19">
        <f t="shared" si="4"/>
        <v>13.892595</v>
      </c>
    </row>
    <row r="208">
      <c r="A208" s="8">
        <f t="shared" si="3"/>
        <v>207</v>
      </c>
      <c r="B208" s="8" t="s">
        <v>19</v>
      </c>
      <c r="C208" s="8" t="s">
        <v>3371</v>
      </c>
      <c r="D208" s="8" t="s">
        <v>5564</v>
      </c>
      <c r="E208" s="8" t="s">
        <v>2556</v>
      </c>
      <c r="F208" s="8">
        <v>0.0</v>
      </c>
      <c r="G208" s="8" t="s">
        <v>48</v>
      </c>
      <c r="H208" s="8" t="s">
        <v>22</v>
      </c>
      <c r="I208" s="8" t="s">
        <v>225</v>
      </c>
      <c r="J208" s="8" t="s">
        <v>24</v>
      </c>
      <c r="K208" s="9">
        <v>0.25</v>
      </c>
      <c r="L208" s="9">
        <v>0.5</v>
      </c>
      <c r="M208" s="9">
        <v>0.5</v>
      </c>
      <c r="N208" s="10">
        <v>45193.0</v>
      </c>
      <c r="O208" s="11">
        <f>1.13</f>
        <v>1.13</v>
      </c>
      <c r="P208" s="8" t="s">
        <v>33</v>
      </c>
      <c r="Q208" s="12">
        <f t="shared" si="1"/>
        <v>0.065</v>
      </c>
      <c r="R208" s="12">
        <f t="shared" si="4"/>
        <v>13.957595</v>
      </c>
    </row>
    <row r="209">
      <c r="A209" s="15">
        <f t="shared" si="3"/>
        <v>208</v>
      </c>
      <c r="B209" s="15" t="s">
        <v>19</v>
      </c>
      <c r="C209" s="15" t="s">
        <v>3372</v>
      </c>
      <c r="D209" s="15" t="s">
        <v>5564</v>
      </c>
      <c r="E209" s="15" t="s">
        <v>2556</v>
      </c>
      <c r="F209" s="15">
        <v>0.0</v>
      </c>
      <c r="G209" s="15" t="s">
        <v>121</v>
      </c>
      <c r="H209" s="15" t="s">
        <v>22</v>
      </c>
      <c r="I209" s="15" t="s">
        <v>941</v>
      </c>
      <c r="J209" s="15" t="s">
        <v>24</v>
      </c>
      <c r="K209" s="16">
        <v>0.0</v>
      </c>
      <c r="L209" s="16">
        <v>0.5</v>
      </c>
      <c r="M209" s="16">
        <v>0.5</v>
      </c>
      <c r="N209" s="17">
        <v>45193.0</v>
      </c>
      <c r="O209" s="18">
        <v>2.5</v>
      </c>
      <c r="P209" s="15" t="s">
        <v>70</v>
      </c>
      <c r="Q209" s="19">
        <f t="shared" si="1"/>
        <v>0</v>
      </c>
      <c r="R209" s="19">
        <f t="shared" si="4"/>
        <v>13.957595</v>
      </c>
    </row>
    <row r="210">
      <c r="A210" s="8">
        <f t="shared" si="3"/>
        <v>209</v>
      </c>
      <c r="B210" s="8" t="s">
        <v>19</v>
      </c>
      <c r="C210" s="8" t="s">
        <v>3373</v>
      </c>
      <c r="D210" s="8" t="s">
        <v>5564</v>
      </c>
      <c r="E210" s="8"/>
      <c r="F210" s="8"/>
      <c r="G210" s="8" t="s">
        <v>82</v>
      </c>
      <c r="H210" s="8" t="s">
        <v>598</v>
      </c>
      <c r="I210" s="8" t="s">
        <v>2776</v>
      </c>
      <c r="J210" s="8" t="s">
        <v>39</v>
      </c>
      <c r="K210" s="9">
        <v>0.0</v>
      </c>
      <c r="L210" s="9">
        <v>0.2</v>
      </c>
      <c r="M210" s="9">
        <v>0.2</v>
      </c>
      <c r="N210" s="10">
        <v>45193.0</v>
      </c>
      <c r="O210" s="11">
        <v>2.1</v>
      </c>
      <c r="P210" s="8" t="s">
        <v>25</v>
      </c>
      <c r="Q210" s="12">
        <f t="shared" si="1"/>
        <v>-0.2</v>
      </c>
      <c r="R210" s="12">
        <f t="shared" si="4"/>
        <v>13.757595</v>
      </c>
    </row>
    <row r="211">
      <c r="A211" s="15">
        <f t="shared" si="3"/>
        <v>210</v>
      </c>
      <c r="B211" s="15" t="s">
        <v>19</v>
      </c>
      <c r="C211" s="15" t="s">
        <v>3374</v>
      </c>
      <c r="D211" s="15" t="s">
        <v>5564</v>
      </c>
      <c r="E211" s="15" t="s">
        <v>2556</v>
      </c>
      <c r="F211" s="15">
        <v>0.0</v>
      </c>
      <c r="G211" s="15" t="s">
        <v>93</v>
      </c>
      <c r="H211" s="15" t="s">
        <v>22</v>
      </c>
      <c r="I211" s="15" t="s">
        <v>225</v>
      </c>
      <c r="J211" s="15" t="s">
        <v>24</v>
      </c>
      <c r="K211" s="16">
        <v>0.25</v>
      </c>
      <c r="L211" s="16">
        <v>0.5</v>
      </c>
      <c r="M211" s="16">
        <v>0.5</v>
      </c>
      <c r="N211" s="17">
        <v>45193.0</v>
      </c>
      <c r="O211" s="18">
        <v>1.33</v>
      </c>
      <c r="P211" s="15" t="s">
        <v>33</v>
      </c>
      <c r="Q211" s="19">
        <f t="shared" si="1"/>
        <v>0.165</v>
      </c>
      <c r="R211" s="19">
        <f t="shared" si="4"/>
        <v>13.922595</v>
      </c>
    </row>
    <row r="212">
      <c r="A212" s="8">
        <f t="shared" si="3"/>
        <v>211</v>
      </c>
      <c r="B212" s="8" t="s">
        <v>19</v>
      </c>
      <c r="C212" s="8" t="s">
        <v>3375</v>
      </c>
      <c r="D212" s="8"/>
      <c r="E212" s="8"/>
      <c r="F212" s="8"/>
      <c r="G212" s="8" t="s">
        <v>82</v>
      </c>
      <c r="H212" s="8" t="s">
        <v>598</v>
      </c>
      <c r="I212" s="8" t="s">
        <v>3376</v>
      </c>
      <c r="J212" s="8" t="s">
        <v>24</v>
      </c>
      <c r="K212" s="9">
        <v>-26.5</v>
      </c>
      <c r="L212" s="9">
        <v>0.3</v>
      </c>
      <c r="M212" s="9">
        <v>0.3</v>
      </c>
      <c r="N212" s="10">
        <v>45193.0</v>
      </c>
      <c r="O212" s="11">
        <v>1.825</v>
      </c>
      <c r="P212" s="8" t="s">
        <v>33</v>
      </c>
      <c r="Q212" s="12">
        <f t="shared" si="1"/>
        <v>0.2475</v>
      </c>
      <c r="R212" s="12">
        <f t="shared" si="4"/>
        <v>14.170095</v>
      </c>
    </row>
    <row r="213">
      <c r="A213" s="15">
        <f t="shared" si="3"/>
        <v>212</v>
      </c>
      <c r="B213" s="15" t="s">
        <v>19</v>
      </c>
      <c r="C213" s="15" t="s">
        <v>3377</v>
      </c>
      <c r="D213" s="15" t="s">
        <v>5564</v>
      </c>
      <c r="E213" s="15"/>
      <c r="F213" s="15"/>
      <c r="G213" s="15" t="s">
        <v>93</v>
      </c>
      <c r="H213" s="15" t="s">
        <v>22</v>
      </c>
      <c r="I213" s="15" t="s">
        <v>1165</v>
      </c>
      <c r="J213" s="15" t="s">
        <v>24</v>
      </c>
      <c r="K213" s="16"/>
      <c r="L213" s="16">
        <v>0.1</v>
      </c>
      <c r="M213" s="16">
        <v>0.1</v>
      </c>
      <c r="N213" s="17">
        <v>45193.0</v>
      </c>
      <c r="O213" s="18">
        <v>4.0</v>
      </c>
      <c r="P213" s="15" t="s">
        <v>25</v>
      </c>
      <c r="Q213" s="19">
        <f t="shared" si="1"/>
        <v>-0.1</v>
      </c>
      <c r="R213" s="19">
        <f t="shared" si="4"/>
        <v>14.070095</v>
      </c>
    </row>
    <row r="214">
      <c r="A214" s="8">
        <f t="shared" si="3"/>
        <v>213</v>
      </c>
      <c r="B214" s="8" t="s">
        <v>40</v>
      </c>
      <c r="C214" s="8" t="s">
        <v>3378</v>
      </c>
      <c r="D214" s="8" t="s">
        <v>5564</v>
      </c>
      <c r="E214" s="8" t="s">
        <v>2556</v>
      </c>
      <c r="F214" s="8">
        <v>0.0</v>
      </c>
      <c r="G214" s="8" t="s">
        <v>920</v>
      </c>
      <c r="H214" s="8" t="s">
        <v>22</v>
      </c>
      <c r="I214" s="8" t="s">
        <v>225</v>
      </c>
      <c r="J214" s="8" t="s">
        <v>1851</v>
      </c>
      <c r="K214" s="9">
        <v>0.75</v>
      </c>
      <c r="L214" s="9">
        <v>0.5</v>
      </c>
      <c r="M214" s="9">
        <f>0.889*0.5</f>
        <v>0.4445</v>
      </c>
      <c r="N214" s="10">
        <v>45195.0</v>
      </c>
      <c r="O214" s="11">
        <v>1.825</v>
      </c>
      <c r="P214" s="8" t="s">
        <v>25</v>
      </c>
      <c r="Q214" s="12">
        <f t="shared" si="1"/>
        <v>-0.4445</v>
      </c>
      <c r="R214" s="12">
        <f t="shared" si="4"/>
        <v>13.625595</v>
      </c>
    </row>
    <row r="215">
      <c r="A215" s="15">
        <f t="shared" si="3"/>
        <v>214</v>
      </c>
      <c r="B215" s="15" t="s">
        <v>40</v>
      </c>
      <c r="C215" s="15" t="s">
        <v>3379</v>
      </c>
      <c r="D215" s="15" t="s">
        <v>5564</v>
      </c>
      <c r="E215" s="15"/>
      <c r="F215" s="15">
        <v>0.0</v>
      </c>
      <c r="G215" s="15" t="s">
        <v>920</v>
      </c>
      <c r="H215" s="15" t="s">
        <v>22</v>
      </c>
      <c r="I215" s="15" t="s">
        <v>1165</v>
      </c>
      <c r="J215" s="15" t="s">
        <v>1851</v>
      </c>
      <c r="K215" s="16"/>
      <c r="L215" s="16">
        <v>0.15</v>
      </c>
      <c r="M215" s="16">
        <f>0.944*0.15</f>
        <v>0.1416</v>
      </c>
      <c r="N215" s="17">
        <v>45195.0</v>
      </c>
      <c r="O215" s="18">
        <v>2.75</v>
      </c>
      <c r="P215" s="15" t="s">
        <v>25</v>
      </c>
      <c r="Q215" s="19">
        <f t="shared" si="1"/>
        <v>-0.1416</v>
      </c>
      <c r="R215" s="19">
        <f t="shared" si="4"/>
        <v>13.483995</v>
      </c>
    </row>
    <row r="216">
      <c r="A216" s="8">
        <f t="shared" si="3"/>
        <v>215</v>
      </c>
      <c r="B216" s="8" t="s">
        <v>40</v>
      </c>
      <c r="C216" s="8" t="s">
        <v>3380</v>
      </c>
      <c r="D216" s="8" t="s">
        <v>5564</v>
      </c>
      <c r="E216" s="8" t="s">
        <v>2556</v>
      </c>
      <c r="F216" s="8">
        <v>0.0</v>
      </c>
      <c r="G216" s="8" t="s">
        <v>920</v>
      </c>
      <c r="H216" s="8" t="s">
        <v>22</v>
      </c>
      <c r="I216" s="8" t="s">
        <v>225</v>
      </c>
      <c r="J216" s="8" t="s">
        <v>1851</v>
      </c>
      <c r="K216" s="9">
        <v>0.5</v>
      </c>
      <c r="L216" s="9">
        <v>0.25</v>
      </c>
      <c r="M216" s="9">
        <f>0.944*0.25</f>
        <v>0.236</v>
      </c>
      <c r="N216" s="10">
        <v>45195.0</v>
      </c>
      <c r="O216" s="11">
        <v>1.95</v>
      </c>
      <c r="P216" s="8" t="s">
        <v>25</v>
      </c>
      <c r="Q216" s="12">
        <f t="shared" si="1"/>
        <v>-0.236</v>
      </c>
      <c r="R216" s="12">
        <f t="shared" si="4"/>
        <v>13.247995</v>
      </c>
    </row>
    <row r="217">
      <c r="A217" s="15">
        <f t="shared" si="3"/>
        <v>216</v>
      </c>
      <c r="B217" s="15" t="s">
        <v>40</v>
      </c>
      <c r="C217" s="15" t="s">
        <v>3381</v>
      </c>
      <c r="D217" s="15" t="s">
        <v>5564</v>
      </c>
      <c r="E217" s="15"/>
      <c r="F217" s="15" t="s">
        <v>3382</v>
      </c>
      <c r="G217" s="15" t="s">
        <v>1961</v>
      </c>
      <c r="H217" s="15" t="s">
        <v>22</v>
      </c>
      <c r="I217" s="15" t="s">
        <v>1165</v>
      </c>
      <c r="J217" s="15" t="s">
        <v>24</v>
      </c>
      <c r="K217" s="16"/>
      <c r="L217" s="16">
        <v>0.1</v>
      </c>
      <c r="M217" s="16">
        <f>0.944*0.1</f>
        <v>0.0944</v>
      </c>
      <c r="N217" s="17">
        <v>45195.0</v>
      </c>
      <c r="O217" s="18">
        <v>8.0</v>
      </c>
      <c r="P217" s="15" t="s">
        <v>25</v>
      </c>
      <c r="Q217" s="19">
        <f t="shared" si="1"/>
        <v>-0.0944</v>
      </c>
      <c r="R217" s="19">
        <f t="shared" si="4"/>
        <v>13.153595</v>
      </c>
    </row>
    <row r="218">
      <c r="A218" s="8">
        <f t="shared" si="3"/>
        <v>217</v>
      </c>
      <c r="B218" s="8" t="s">
        <v>19</v>
      </c>
      <c r="C218" s="8" t="s">
        <v>3383</v>
      </c>
      <c r="D218" s="8" t="s">
        <v>5565</v>
      </c>
      <c r="E218" s="8" t="s">
        <v>2556</v>
      </c>
      <c r="F218" s="8">
        <v>0.0</v>
      </c>
      <c r="G218" s="8" t="s">
        <v>44</v>
      </c>
      <c r="H218" s="8" t="s">
        <v>22</v>
      </c>
      <c r="I218" s="8" t="s">
        <v>941</v>
      </c>
      <c r="J218" s="8" t="s">
        <v>1522</v>
      </c>
      <c r="K218" s="9">
        <v>0.0</v>
      </c>
      <c r="L218" s="9">
        <v>0.5</v>
      </c>
      <c r="M218" s="9">
        <v>0.5</v>
      </c>
      <c r="N218" s="10">
        <v>45195.0</v>
      </c>
      <c r="O218" s="11">
        <v>1.9</v>
      </c>
      <c r="P218" s="8" t="s">
        <v>33</v>
      </c>
      <c r="Q218" s="12">
        <f t="shared" si="1"/>
        <v>0.45</v>
      </c>
      <c r="R218" s="12">
        <f t="shared" si="4"/>
        <v>13.603595</v>
      </c>
    </row>
    <row r="219">
      <c r="A219" s="15">
        <f t="shared" si="3"/>
        <v>218</v>
      </c>
      <c r="B219" s="15" t="s">
        <v>19</v>
      </c>
      <c r="C219" s="15" t="s">
        <v>3384</v>
      </c>
      <c r="D219" s="15" t="s">
        <v>5565</v>
      </c>
      <c r="E219" s="15" t="s">
        <v>2556</v>
      </c>
      <c r="F219" s="15">
        <v>0.0</v>
      </c>
      <c r="G219" s="15" t="s">
        <v>44</v>
      </c>
      <c r="H219" s="15" t="s">
        <v>22</v>
      </c>
      <c r="I219" s="15" t="s">
        <v>225</v>
      </c>
      <c r="J219" s="15" t="s">
        <v>1522</v>
      </c>
      <c r="K219" s="16">
        <v>0.25</v>
      </c>
      <c r="L219" s="16">
        <v>0.5</v>
      </c>
      <c r="M219" s="16">
        <v>0.5</v>
      </c>
      <c r="N219" s="17">
        <v>45195.0</v>
      </c>
      <c r="O219" s="18">
        <f>0.605/0.5</f>
        <v>1.21</v>
      </c>
      <c r="P219" s="15" t="s">
        <v>33</v>
      </c>
      <c r="Q219" s="19">
        <f t="shared" si="1"/>
        <v>0.105</v>
      </c>
      <c r="R219" s="19">
        <f t="shared" si="4"/>
        <v>13.708595</v>
      </c>
    </row>
    <row r="220">
      <c r="A220" s="8">
        <f t="shared" si="3"/>
        <v>219</v>
      </c>
      <c r="B220" s="8" t="s">
        <v>40</v>
      </c>
      <c r="C220" s="8" t="s">
        <v>3385</v>
      </c>
      <c r="D220" s="8" t="s">
        <v>5564</v>
      </c>
      <c r="E220" s="8" t="s">
        <v>2556</v>
      </c>
      <c r="F220" s="8">
        <v>-1.0</v>
      </c>
      <c r="G220" s="8" t="s">
        <v>2456</v>
      </c>
      <c r="H220" s="8" t="s">
        <v>22</v>
      </c>
      <c r="I220" s="8" t="s">
        <v>225</v>
      </c>
      <c r="J220" s="8" t="s">
        <v>1522</v>
      </c>
      <c r="K220" s="9">
        <v>1.0</v>
      </c>
      <c r="L220" s="9">
        <v>0.5</v>
      </c>
      <c r="M220" s="9">
        <v>0.5</v>
      </c>
      <c r="N220" s="10">
        <v>45195.0</v>
      </c>
      <c r="O220" s="11">
        <v>1.95</v>
      </c>
      <c r="P220" s="8" t="s">
        <v>33</v>
      </c>
      <c r="Q220" s="12">
        <f t="shared" si="1"/>
        <v>0.475</v>
      </c>
      <c r="R220" s="12">
        <f t="shared" si="4"/>
        <v>14.183595</v>
      </c>
    </row>
    <row r="221">
      <c r="A221" s="15">
        <f t="shared" si="3"/>
        <v>220</v>
      </c>
      <c r="B221" s="15" t="s">
        <v>19</v>
      </c>
      <c r="C221" s="15" t="s">
        <v>3386</v>
      </c>
      <c r="D221" s="15" t="s">
        <v>5565</v>
      </c>
      <c r="E221" s="15" t="s">
        <v>2556</v>
      </c>
      <c r="F221" s="15">
        <v>0.0</v>
      </c>
      <c r="G221" s="15" t="s">
        <v>463</v>
      </c>
      <c r="H221" s="15" t="s">
        <v>22</v>
      </c>
      <c r="I221" s="15" t="s">
        <v>225</v>
      </c>
      <c r="J221" s="15" t="s">
        <v>24</v>
      </c>
      <c r="K221" s="16">
        <v>0.5</v>
      </c>
      <c r="L221" s="16">
        <v>0.5</v>
      </c>
      <c r="M221" s="16">
        <v>0.5</v>
      </c>
      <c r="N221" s="17">
        <v>45195.0</v>
      </c>
      <c r="O221" s="18">
        <f>0.315/0.25</f>
        <v>1.26</v>
      </c>
      <c r="P221" s="15" t="s">
        <v>33</v>
      </c>
      <c r="Q221" s="19">
        <f t="shared" si="1"/>
        <v>0.13</v>
      </c>
      <c r="R221" s="19">
        <f t="shared" si="4"/>
        <v>14.313595</v>
      </c>
    </row>
    <row r="222">
      <c r="A222" s="8">
        <f t="shared" si="3"/>
        <v>221</v>
      </c>
      <c r="B222" s="8" t="s">
        <v>19</v>
      </c>
      <c r="C222" s="8" t="s">
        <v>3387</v>
      </c>
      <c r="D222" s="8" t="s">
        <v>5565</v>
      </c>
      <c r="E222" s="8"/>
      <c r="F222" s="8"/>
      <c r="G222" s="8" t="s">
        <v>82</v>
      </c>
      <c r="H222" s="8" t="s">
        <v>598</v>
      </c>
      <c r="I222" s="8" t="s">
        <v>3388</v>
      </c>
      <c r="J222" s="8" t="s">
        <v>39</v>
      </c>
      <c r="K222" s="9">
        <v>-0.5</v>
      </c>
      <c r="L222" s="9">
        <v>0.25</v>
      </c>
      <c r="M222" s="9">
        <v>0.25</v>
      </c>
      <c r="N222" s="10">
        <v>45195.0</v>
      </c>
      <c r="O222" s="11">
        <v>1.775</v>
      </c>
      <c r="P222" s="8" t="s">
        <v>25</v>
      </c>
      <c r="Q222" s="12">
        <f t="shared" si="1"/>
        <v>-0.25</v>
      </c>
      <c r="R222" s="12">
        <f t="shared" si="4"/>
        <v>14.063595</v>
      </c>
    </row>
    <row r="223">
      <c r="A223" s="15">
        <f t="shared" si="3"/>
        <v>222</v>
      </c>
      <c r="B223" s="15" t="s">
        <v>19</v>
      </c>
      <c r="C223" s="15" t="s">
        <v>3386</v>
      </c>
      <c r="D223" s="15" t="s">
        <v>5565</v>
      </c>
      <c r="E223" s="15" t="s">
        <v>2556</v>
      </c>
      <c r="F223" s="15">
        <v>-1.0</v>
      </c>
      <c r="G223" s="15" t="s">
        <v>463</v>
      </c>
      <c r="H223" s="15" t="s">
        <v>22</v>
      </c>
      <c r="I223" s="15" t="s">
        <v>225</v>
      </c>
      <c r="J223" s="15" t="s">
        <v>24</v>
      </c>
      <c r="K223" s="16">
        <v>0.5</v>
      </c>
      <c r="L223" s="16">
        <v>0.25</v>
      </c>
      <c r="M223" s="16">
        <v>0.25</v>
      </c>
      <c r="N223" s="17">
        <v>45195.0</v>
      </c>
      <c r="O223" s="18">
        <v>1.825</v>
      </c>
      <c r="P223" s="15" t="s">
        <v>33</v>
      </c>
      <c r="Q223" s="19">
        <f t="shared" si="1"/>
        <v>0.20625</v>
      </c>
      <c r="R223" s="19">
        <f t="shared" si="4"/>
        <v>14.269845</v>
      </c>
    </row>
    <row r="224">
      <c r="A224" s="8">
        <f t="shared" si="3"/>
        <v>223</v>
      </c>
      <c r="B224" s="8" t="s">
        <v>19</v>
      </c>
      <c r="C224" s="8" t="s">
        <v>3389</v>
      </c>
      <c r="D224" s="8" t="s">
        <v>5564</v>
      </c>
      <c r="E224" s="8" t="s">
        <v>2660</v>
      </c>
      <c r="F224" s="8">
        <v>0.0</v>
      </c>
      <c r="G224" s="8" t="s">
        <v>96</v>
      </c>
      <c r="H224" s="8" t="s">
        <v>22</v>
      </c>
      <c r="I224" s="8" t="s">
        <v>892</v>
      </c>
      <c r="J224" s="8" t="s">
        <v>24</v>
      </c>
      <c r="K224" s="9">
        <v>0.0</v>
      </c>
      <c r="L224" s="9">
        <v>0.6</v>
      </c>
      <c r="M224" s="9">
        <v>0.6</v>
      </c>
      <c r="N224" s="10">
        <v>45196.0</v>
      </c>
      <c r="O224" s="11">
        <v>1.9</v>
      </c>
      <c r="P224" s="8" t="s">
        <v>25</v>
      </c>
      <c r="Q224" s="12">
        <f t="shared" si="1"/>
        <v>-0.6</v>
      </c>
      <c r="R224" s="12">
        <f t="shared" si="4"/>
        <v>13.669845</v>
      </c>
    </row>
    <row r="225">
      <c r="A225" s="15">
        <f t="shared" si="3"/>
        <v>224</v>
      </c>
      <c r="B225" s="15" t="s">
        <v>19</v>
      </c>
      <c r="C225" s="15" t="s">
        <v>3390</v>
      </c>
      <c r="D225" s="15" t="s">
        <v>5564</v>
      </c>
      <c r="E225" s="15" t="s">
        <v>2556</v>
      </c>
      <c r="F225" s="15"/>
      <c r="G225" s="15" t="s">
        <v>82</v>
      </c>
      <c r="H225" s="15" t="s">
        <v>598</v>
      </c>
      <c r="I225" s="15" t="s">
        <v>3248</v>
      </c>
      <c r="J225" s="15" t="s">
        <v>39</v>
      </c>
      <c r="K225" s="16">
        <v>3.5</v>
      </c>
      <c r="L225" s="16">
        <v>0.5</v>
      </c>
      <c r="M225" s="16">
        <v>0.5</v>
      </c>
      <c r="N225" s="17">
        <v>45196.0</v>
      </c>
      <c r="O225" s="18">
        <v>1.95</v>
      </c>
      <c r="P225" s="15" t="s">
        <v>33</v>
      </c>
      <c r="Q225" s="19">
        <f t="shared" si="1"/>
        <v>0.475</v>
      </c>
      <c r="R225" s="19">
        <f t="shared" si="4"/>
        <v>14.144845</v>
      </c>
    </row>
    <row r="226">
      <c r="A226" s="8">
        <f t="shared" si="3"/>
        <v>225</v>
      </c>
      <c r="B226" s="8" t="s">
        <v>19</v>
      </c>
      <c r="C226" s="8" t="s">
        <v>3391</v>
      </c>
      <c r="D226" s="8" t="s">
        <v>5564</v>
      </c>
      <c r="E226" s="8" t="s">
        <v>2556</v>
      </c>
      <c r="F226" s="8">
        <v>-1.0</v>
      </c>
      <c r="G226" s="8" t="s">
        <v>923</v>
      </c>
      <c r="H226" s="8" t="s">
        <v>22</v>
      </c>
      <c r="I226" s="8" t="s">
        <v>225</v>
      </c>
      <c r="J226" s="8" t="s">
        <v>24</v>
      </c>
      <c r="K226" s="9">
        <v>0.5</v>
      </c>
      <c r="L226" s="9">
        <v>0.9</v>
      </c>
      <c r="M226" s="9">
        <v>0.9</v>
      </c>
      <c r="N226" s="10">
        <v>45196.0</v>
      </c>
      <c r="O226" s="11">
        <f>(1.825+1.825+0.41/0.25+0.41/0.25)/4</f>
        <v>1.7325</v>
      </c>
      <c r="P226" s="8" t="s">
        <v>33</v>
      </c>
      <c r="Q226" s="12">
        <f t="shared" si="1"/>
        <v>0.65925</v>
      </c>
      <c r="R226" s="12">
        <f t="shared" si="4"/>
        <v>14.804095</v>
      </c>
    </row>
    <row r="227">
      <c r="A227" s="15">
        <f t="shared" si="3"/>
        <v>226</v>
      </c>
      <c r="B227" s="15" t="s">
        <v>19</v>
      </c>
      <c r="C227" s="15" t="s">
        <v>3392</v>
      </c>
      <c r="D227" s="15" t="s">
        <v>5564</v>
      </c>
      <c r="E227" s="15" t="s">
        <v>2556</v>
      </c>
      <c r="F227" s="15" t="s">
        <v>3154</v>
      </c>
      <c r="G227" s="15" t="s">
        <v>923</v>
      </c>
      <c r="H227" s="15" t="s">
        <v>22</v>
      </c>
      <c r="I227" s="15" t="s">
        <v>1165</v>
      </c>
      <c r="J227" s="15" t="s">
        <v>24</v>
      </c>
      <c r="K227" s="16"/>
      <c r="L227" s="16">
        <v>0.1</v>
      </c>
      <c r="M227" s="16">
        <v>0.1</v>
      </c>
      <c r="N227" s="17">
        <v>45196.0</v>
      </c>
      <c r="O227" s="18">
        <v>6.0</v>
      </c>
      <c r="P227" s="15" t="s">
        <v>25</v>
      </c>
      <c r="Q227" s="19">
        <f t="shared" si="1"/>
        <v>-0.1</v>
      </c>
      <c r="R227" s="19">
        <f t="shared" si="4"/>
        <v>14.704095</v>
      </c>
    </row>
    <row r="228">
      <c r="A228" s="8">
        <f t="shared" si="3"/>
        <v>227</v>
      </c>
      <c r="B228" s="8" t="s">
        <v>19</v>
      </c>
      <c r="C228" s="8" t="s">
        <v>3393</v>
      </c>
      <c r="D228" s="8" t="s">
        <v>5565</v>
      </c>
      <c r="E228" s="8" t="s">
        <v>2556</v>
      </c>
      <c r="F228" s="8">
        <v>0.0</v>
      </c>
      <c r="G228" s="8" t="s">
        <v>448</v>
      </c>
      <c r="H228" s="8" t="s">
        <v>22</v>
      </c>
      <c r="I228" s="8" t="s">
        <v>225</v>
      </c>
      <c r="J228" s="8" t="s">
        <v>24</v>
      </c>
      <c r="K228" s="9">
        <v>0.25</v>
      </c>
      <c r="L228" s="9">
        <v>0.75</v>
      </c>
      <c r="M228" s="9">
        <v>0.75</v>
      </c>
      <c r="N228" s="10">
        <v>45196.0</v>
      </c>
      <c r="O228" s="11">
        <v>1.975</v>
      </c>
      <c r="P228" s="8" t="s">
        <v>33</v>
      </c>
      <c r="Q228" s="12">
        <f t="shared" si="1"/>
        <v>0.73125</v>
      </c>
      <c r="R228" s="12">
        <f t="shared" si="4"/>
        <v>15.435345</v>
      </c>
    </row>
    <row r="229">
      <c r="A229" s="15">
        <f t="shared" si="3"/>
        <v>228</v>
      </c>
      <c r="B229" s="15" t="s">
        <v>19</v>
      </c>
      <c r="C229" s="15" t="s">
        <v>3394</v>
      </c>
      <c r="D229" s="15" t="s">
        <v>5565</v>
      </c>
      <c r="E229" s="15" t="s">
        <v>2556</v>
      </c>
      <c r="F229" s="15">
        <v>0.0</v>
      </c>
      <c r="G229" s="15" t="s">
        <v>448</v>
      </c>
      <c r="H229" s="15" t="s">
        <v>22</v>
      </c>
      <c r="I229" s="15" t="s">
        <v>941</v>
      </c>
      <c r="J229" s="15" t="s">
        <v>24</v>
      </c>
      <c r="K229" s="16">
        <v>0.0</v>
      </c>
      <c r="L229" s="16">
        <v>0.25</v>
      </c>
      <c r="M229" s="16">
        <v>0.25</v>
      </c>
      <c r="N229" s="17">
        <v>45196.0</v>
      </c>
      <c r="O229" s="18">
        <v>2.625</v>
      </c>
      <c r="P229" s="15" t="s">
        <v>33</v>
      </c>
      <c r="Q229" s="19">
        <f t="shared" si="1"/>
        <v>0.40625</v>
      </c>
      <c r="R229" s="19">
        <f t="shared" si="4"/>
        <v>15.841595</v>
      </c>
    </row>
    <row r="230">
      <c r="A230" s="8">
        <f t="shared" si="3"/>
        <v>229</v>
      </c>
      <c r="B230" s="8" t="s">
        <v>19</v>
      </c>
      <c r="C230" s="8" t="s">
        <v>3395</v>
      </c>
      <c r="D230" s="8" t="s">
        <v>5564</v>
      </c>
      <c r="E230" s="8" t="s">
        <v>2556</v>
      </c>
      <c r="F230" s="8">
        <v>0.0</v>
      </c>
      <c r="G230" s="8" t="s">
        <v>101</v>
      </c>
      <c r="H230" s="8" t="s">
        <v>22</v>
      </c>
      <c r="I230" s="8" t="s">
        <v>225</v>
      </c>
      <c r="J230" s="8" t="s">
        <v>24</v>
      </c>
      <c r="K230" s="9">
        <v>0.25</v>
      </c>
      <c r="L230" s="9">
        <v>0.75</v>
      </c>
      <c r="M230" s="9">
        <v>0.75</v>
      </c>
      <c r="N230" s="10">
        <v>45196.0</v>
      </c>
      <c r="O230" s="11">
        <v>1.925</v>
      </c>
      <c r="P230" s="8" t="s">
        <v>33</v>
      </c>
      <c r="Q230" s="12">
        <f t="shared" si="1"/>
        <v>0.69375</v>
      </c>
      <c r="R230" s="12">
        <f t="shared" si="4"/>
        <v>16.535345</v>
      </c>
    </row>
    <row r="231">
      <c r="A231" s="15">
        <f t="shared" si="3"/>
        <v>230</v>
      </c>
      <c r="B231" s="15" t="s">
        <v>19</v>
      </c>
      <c r="C231" s="15" t="s">
        <v>3396</v>
      </c>
      <c r="D231" s="15" t="s">
        <v>5564</v>
      </c>
      <c r="E231" s="15" t="s">
        <v>2556</v>
      </c>
      <c r="F231" s="15" t="s">
        <v>3397</v>
      </c>
      <c r="G231" s="15" t="s">
        <v>101</v>
      </c>
      <c r="H231" s="15" t="s">
        <v>22</v>
      </c>
      <c r="I231" s="15" t="s">
        <v>1165</v>
      </c>
      <c r="J231" s="15" t="s">
        <v>24</v>
      </c>
      <c r="K231" s="16"/>
      <c r="L231" s="16">
        <v>0.1</v>
      </c>
      <c r="M231" s="16">
        <v>0.1</v>
      </c>
      <c r="N231" s="17">
        <v>45196.0</v>
      </c>
      <c r="O231" s="18">
        <v>3.75</v>
      </c>
      <c r="P231" s="15" t="s">
        <v>33</v>
      </c>
      <c r="Q231" s="19">
        <f t="shared" si="1"/>
        <v>0.275</v>
      </c>
      <c r="R231" s="19">
        <f t="shared" si="4"/>
        <v>16.810345</v>
      </c>
    </row>
    <row r="232">
      <c r="A232" s="8">
        <f t="shared" si="3"/>
        <v>231</v>
      </c>
      <c r="B232" s="8" t="s">
        <v>19</v>
      </c>
      <c r="C232" s="8" t="s">
        <v>3398</v>
      </c>
      <c r="D232" s="8" t="s">
        <v>5565</v>
      </c>
      <c r="E232" s="8" t="s">
        <v>2556</v>
      </c>
      <c r="F232" s="8">
        <v>0.0</v>
      </c>
      <c r="G232" s="8" t="s">
        <v>121</v>
      </c>
      <c r="H232" s="8" t="s">
        <v>22</v>
      </c>
      <c r="I232" s="8" t="s">
        <v>225</v>
      </c>
      <c r="J232" s="8" t="s">
        <v>39</v>
      </c>
      <c r="K232" s="9">
        <v>0.5</v>
      </c>
      <c r="L232" s="9">
        <v>0.25</v>
      </c>
      <c r="M232" s="9">
        <v>0.25</v>
      </c>
      <c r="N232" s="10">
        <v>45196.0</v>
      </c>
      <c r="O232" s="11">
        <v>1.975</v>
      </c>
      <c r="P232" s="8" t="s">
        <v>25</v>
      </c>
      <c r="Q232" s="12">
        <f t="shared" si="1"/>
        <v>-0.25</v>
      </c>
      <c r="R232" s="12">
        <f t="shared" si="4"/>
        <v>16.560345</v>
      </c>
    </row>
    <row r="233">
      <c r="A233" s="15">
        <f t="shared" si="3"/>
        <v>232</v>
      </c>
      <c r="B233" s="15" t="s">
        <v>19</v>
      </c>
      <c r="C233" s="15" t="s">
        <v>3399</v>
      </c>
      <c r="D233" s="15" t="s">
        <v>5565</v>
      </c>
      <c r="E233" s="15" t="s">
        <v>2660</v>
      </c>
      <c r="F233" s="15">
        <v>0.0</v>
      </c>
      <c r="G233" s="15" t="s">
        <v>167</v>
      </c>
      <c r="H233" s="15" t="s">
        <v>22</v>
      </c>
      <c r="I233" s="15" t="s">
        <v>892</v>
      </c>
      <c r="J233" s="15" t="s">
        <v>24</v>
      </c>
      <c r="K233" s="16">
        <v>0.0</v>
      </c>
      <c r="L233" s="16">
        <v>1.0</v>
      </c>
      <c r="M233" s="16">
        <v>1.0</v>
      </c>
      <c r="N233" s="17">
        <v>45196.0</v>
      </c>
      <c r="O233" s="18">
        <v>1.114</v>
      </c>
      <c r="P233" s="15" t="s">
        <v>33</v>
      </c>
      <c r="Q233" s="19">
        <f t="shared" si="1"/>
        <v>0.114</v>
      </c>
      <c r="R233" s="19">
        <f t="shared" si="4"/>
        <v>16.674345</v>
      </c>
    </row>
    <row r="234">
      <c r="A234" s="8">
        <f t="shared" si="3"/>
        <v>233</v>
      </c>
      <c r="B234" s="8" t="s">
        <v>19</v>
      </c>
      <c r="C234" s="8" t="s">
        <v>3400</v>
      </c>
      <c r="D234" s="8" t="s">
        <v>5565</v>
      </c>
      <c r="E234" s="8" t="s">
        <v>2660</v>
      </c>
      <c r="F234" s="8">
        <f>1</f>
        <v>1</v>
      </c>
      <c r="G234" s="8" t="s">
        <v>82</v>
      </c>
      <c r="H234" s="8" t="s">
        <v>22</v>
      </c>
      <c r="I234" s="8" t="s">
        <v>892</v>
      </c>
      <c r="J234" s="8" t="s">
        <v>1851</v>
      </c>
      <c r="K234" s="9">
        <v>0.0</v>
      </c>
      <c r="L234" s="9">
        <v>0.5</v>
      </c>
      <c r="M234" s="9">
        <v>0.5</v>
      </c>
      <c r="N234" s="10">
        <v>45196.0</v>
      </c>
      <c r="O234" s="11">
        <v>1.75</v>
      </c>
      <c r="P234" s="8" t="s">
        <v>25</v>
      </c>
      <c r="Q234" s="12">
        <f t="shared" si="1"/>
        <v>-0.5</v>
      </c>
      <c r="R234" s="12">
        <f t="shared" si="4"/>
        <v>16.174345</v>
      </c>
    </row>
    <row r="235">
      <c r="A235" s="15">
        <f t="shared" si="3"/>
        <v>234</v>
      </c>
      <c r="B235" s="15" t="s">
        <v>19</v>
      </c>
      <c r="C235" s="15" t="s">
        <v>3401</v>
      </c>
      <c r="D235" s="15" t="s">
        <v>5564</v>
      </c>
      <c r="E235" s="15" t="s">
        <v>2660</v>
      </c>
      <c r="F235" s="15">
        <v>-1.0</v>
      </c>
      <c r="G235" s="15" t="s">
        <v>93</v>
      </c>
      <c r="H235" s="15" t="s">
        <v>22</v>
      </c>
      <c r="I235" s="15" t="s">
        <v>892</v>
      </c>
      <c r="J235" s="15" t="s">
        <v>24</v>
      </c>
      <c r="K235" s="16">
        <v>0.0</v>
      </c>
      <c r="L235" s="16">
        <v>0.5</v>
      </c>
      <c r="M235" s="16">
        <v>0.5</v>
      </c>
      <c r="N235" s="17">
        <v>45196.0</v>
      </c>
      <c r="O235" s="18">
        <v>1.9</v>
      </c>
      <c r="P235" s="15" t="s">
        <v>25</v>
      </c>
      <c r="Q235" s="19">
        <f t="shared" si="1"/>
        <v>-0.5</v>
      </c>
      <c r="R235" s="19">
        <f t="shared" si="4"/>
        <v>15.674345</v>
      </c>
    </row>
    <row r="236">
      <c r="A236" s="8">
        <f t="shared" si="3"/>
        <v>235</v>
      </c>
      <c r="B236" s="8" t="s">
        <v>40</v>
      </c>
      <c r="C236" s="8" t="s">
        <v>3402</v>
      </c>
      <c r="D236" s="8"/>
      <c r="E236" s="8"/>
      <c r="F236" s="8" t="s">
        <v>2615</v>
      </c>
      <c r="G236" s="8" t="s">
        <v>3403</v>
      </c>
      <c r="H236" s="8" t="s">
        <v>22</v>
      </c>
      <c r="I236" s="8" t="s">
        <v>29</v>
      </c>
      <c r="J236" s="8" t="s">
        <v>39</v>
      </c>
      <c r="K236" s="9">
        <v>-5.5</v>
      </c>
      <c r="L236" s="9">
        <v>0.25</v>
      </c>
      <c r="M236" s="9">
        <v>0.25</v>
      </c>
      <c r="N236" s="10">
        <v>45197.0</v>
      </c>
      <c r="O236" s="11">
        <v>1.675</v>
      </c>
      <c r="P236" s="8" t="s">
        <v>33</v>
      </c>
      <c r="Q236" s="12">
        <f t="shared" si="1"/>
        <v>0.16875</v>
      </c>
      <c r="R236" s="12">
        <f t="shared" si="4"/>
        <v>15.843095</v>
      </c>
    </row>
    <row r="237">
      <c r="A237" s="15">
        <f t="shared" si="3"/>
        <v>236</v>
      </c>
      <c r="B237" s="15" t="s">
        <v>19</v>
      </c>
      <c r="C237" s="15" t="s">
        <v>3404</v>
      </c>
      <c r="D237" s="15" t="s">
        <v>5565</v>
      </c>
      <c r="E237" s="15" t="s">
        <v>2556</v>
      </c>
      <c r="F237" s="15">
        <v>0.0</v>
      </c>
      <c r="G237" s="15" t="s">
        <v>101</v>
      </c>
      <c r="H237" s="15" t="s">
        <v>22</v>
      </c>
      <c r="I237" s="15" t="s">
        <v>225</v>
      </c>
      <c r="J237" s="15" t="s">
        <v>24</v>
      </c>
      <c r="K237" s="16">
        <v>0.5</v>
      </c>
      <c r="L237" s="16">
        <v>0.5</v>
      </c>
      <c r="M237" s="16">
        <f>0.478*0.5</f>
        <v>0.239</v>
      </c>
      <c r="N237" s="17">
        <v>45197.0</v>
      </c>
      <c r="O237" s="18">
        <f>0.63/0.5</f>
        <v>1.26</v>
      </c>
      <c r="P237" s="15" t="s">
        <v>33</v>
      </c>
      <c r="Q237" s="19">
        <f t="shared" si="1"/>
        <v>0.06214</v>
      </c>
      <c r="R237" s="19">
        <f t="shared" si="4"/>
        <v>15.905235</v>
      </c>
    </row>
    <row r="238">
      <c r="A238" s="8">
        <f t="shared" si="3"/>
        <v>237</v>
      </c>
      <c r="B238" s="8" t="s">
        <v>19</v>
      </c>
      <c r="C238" s="8" t="s">
        <v>3405</v>
      </c>
      <c r="D238" s="8" t="s">
        <v>5565</v>
      </c>
      <c r="E238" s="8" t="s">
        <v>2556</v>
      </c>
      <c r="F238" s="8"/>
      <c r="G238" s="8" t="s">
        <v>101</v>
      </c>
      <c r="H238" s="8" t="s">
        <v>22</v>
      </c>
      <c r="I238" s="8" t="s">
        <v>941</v>
      </c>
      <c r="J238" s="8" t="s">
        <v>24</v>
      </c>
      <c r="K238" s="9">
        <v>0.0</v>
      </c>
      <c r="L238" s="9">
        <v>0.25</v>
      </c>
      <c r="M238" s="9">
        <f>0.913*0.25</f>
        <v>0.22825</v>
      </c>
      <c r="N238" s="10">
        <v>45197.0</v>
      </c>
      <c r="O238" s="11">
        <v>2.0</v>
      </c>
      <c r="P238" s="8" t="s">
        <v>70</v>
      </c>
      <c r="Q238" s="12">
        <f t="shared" si="1"/>
        <v>0</v>
      </c>
      <c r="R238" s="12">
        <f t="shared" si="4"/>
        <v>15.905235</v>
      </c>
    </row>
    <row r="239">
      <c r="A239" s="15">
        <f t="shared" si="3"/>
        <v>238</v>
      </c>
      <c r="B239" s="15" t="s">
        <v>19</v>
      </c>
      <c r="C239" s="15" t="s">
        <v>3406</v>
      </c>
      <c r="D239" s="15" t="s">
        <v>5565</v>
      </c>
      <c r="E239" s="15"/>
      <c r="F239" s="15"/>
      <c r="G239" s="15" t="s">
        <v>920</v>
      </c>
      <c r="H239" s="15" t="s">
        <v>22</v>
      </c>
      <c r="I239" s="15" t="s">
        <v>1847</v>
      </c>
      <c r="J239" s="15" t="s">
        <v>1522</v>
      </c>
      <c r="K239" s="16">
        <v>-0.5</v>
      </c>
      <c r="L239" s="16">
        <v>0.25</v>
      </c>
      <c r="M239" s="16">
        <v>0.25</v>
      </c>
      <c r="N239" s="17">
        <v>45197.0</v>
      </c>
      <c r="O239" s="18">
        <v>1.75</v>
      </c>
      <c r="P239" s="15" t="s">
        <v>25</v>
      </c>
      <c r="Q239" s="19">
        <f t="shared" si="1"/>
        <v>-0.25</v>
      </c>
      <c r="R239" s="19">
        <f t="shared" si="4"/>
        <v>15.655235</v>
      </c>
    </row>
    <row r="240">
      <c r="A240" s="8">
        <f t="shared" si="3"/>
        <v>239</v>
      </c>
      <c r="B240" s="8" t="s">
        <v>19</v>
      </c>
      <c r="C240" s="8" t="s">
        <v>3407</v>
      </c>
      <c r="D240" s="8" t="s">
        <v>5565</v>
      </c>
      <c r="E240" s="8" t="s">
        <v>2556</v>
      </c>
      <c r="F240" s="8">
        <v>0.0</v>
      </c>
      <c r="G240" s="8" t="s">
        <v>93</v>
      </c>
      <c r="H240" s="8" t="s">
        <v>22</v>
      </c>
      <c r="I240" s="8" t="s">
        <v>225</v>
      </c>
      <c r="J240" s="8" t="s">
        <v>24</v>
      </c>
      <c r="K240" s="9">
        <v>0.5</v>
      </c>
      <c r="L240" s="9">
        <v>0.75</v>
      </c>
      <c r="M240" s="9">
        <v>0.75</v>
      </c>
      <c r="N240" s="10">
        <v>45197.0</v>
      </c>
      <c r="O240" s="11">
        <v>1.443</v>
      </c>
      <c r="P240" s="8" t="s">
        <v>33</v>
      </c>
      <c r="Q240" s="12">
        <f t="shared" si="1"/>
        <v>0.33225</v>
      </c>
      <c r="R240" s="12">
        <f t="shared" si="4"/>
        <v>15.987485</v>
      </c>
    </row>
    <row r="241">
      <c r="A241" s="15">
        <f t="shared" si="3"/>
        <v>240</v>
      </c>
      <c r="B241" s="15" t="s">
        <v>19</v>
      </c>
      <c r="C241" s="15" t="s">
        <v>3408</v>
      </c>
      <c r="D241" s="15" t="s">
        <v>5565</v>
      </c>
      <c r="E241" s="15" t="s">
        <v>2556</v>
      </c>
      <c r="F241" s="15" t="s">
        <v>3121</v>
      </c>
      <c r="G241" s="15" t="s">
        <v>93</v>
      </c>
      <c r="H241" s="15" t="s">
        <v>22</v>
      </c>
      <c r="I241" s="15" t="s">
        <v>1165</v>
      </c>
      <c r="J241" s="15" t="s">
        <v>24</v>
      </c>
      <c r="K241" s="16"/>
      <c r="L241" s="16">
        <v>0.15</v>
      </c>
      <c r="M241" s="16">
        <v>0.15</v>
      </c>
      <c r="N241" s="17">
        <v>45197.0</v>
      </c>
      <c r="O241" s="18">
        <v>3.2</v>
      </c>
      <c r="P241" s="15" t="s">
        <v>33</v>
      </c>
      <c r="Q241" s="19">
        <f t="shared" si="1"/>
        <v>0.33</v>
      </c>
      <c r="R241" s="19">
        <f t="shared" si="4"/>
        <v>16.317485</v>
      </c>
    </row>
    <row r="242">
      <c r="A242" s="8">
        <f t="shared" si="3"/>
        <v>241</v>
      </c>
      <c r="B242" s="8" t="s">
        <v>19</v>
      </c>
      <c r="C242" s="8" t="s">
        <v>3409</v>
      </c>
      <c r="D242" s="8"/>
      <c r="E242" s="8"/>
      <c r="F242" s="8"/>
      <c r="G242" s="8" t="s">
        <v>768</v>
      </c>
      <c r="H242" s="8" t="s">
        <v>598</v>
      </c>
      <c r="I242" s="8" t="s">
        <v>29</v>
      </c>
      <c r="J242" s="8" t="s">
        <v>24</v>
      </c>
      <c r="K242" s="9">
        <v>-15.5</v>
      </c>
      <c r="L242" s="9">
        <v>0.25</v>
      </c>
      <c r="M242" s="9">
        <v>0.25</v>
      </c>
      <c r="N242" s="54">
        <v>45197.0</v>
      </c>
      <c r="O242" s="11">
        <v>1.9</v>
      </c>
      <c r="P242" s="8" t="s">
        <v>33</v>
      </c>
      <c r="Q242" s="12">
        <f t="shared" si="1"/>
        <v>0.225</v>
      </c>
      <c r="R242" s="12">
        <f t="shared" si="4"/>
        <v>16.542485</v>
      </c>
    </row>
    <row r="243">
      <c r="A243" s="15">
        <f t="shared" si="3"/>
        <v>242</v>
      </c>
      <c r="B243" s="15" t="s">
        <v>19</v>
      </c>
      <c r="C243" s="15" t="s">
        <v>3410</v>
      </c>
      <c r="D243" s="15"/>
      <c r="E243" s="15"/>
      <c r="F243" s="15"/>
      <c r="G243" s="15" t="s">
        <v>316</v>
      </c>
      <c r="H243" s="15" t="s">
        <v>22</v>
      </c>
      <c r="I243" s="15" t="s">
        <v>29</v>
      </c>
      <c r="J243" s="15" t="s">
        <v>24</v>
      </c>
      <c r="K243" s="16">
        <v>-4.5</v>
      </c>
      <c r="L243" s="16">
        <v>0.25</v>
      </c>
      <c r="M243" s="16">
        <v>0.25</v>
      </c>
      <c r="N243" s="17">
        <v>45197.0</v>
      </c>
      <c r="O243" s="18">
        <v>1.636</v>
      </c>
      <c r="P243" s="15" t="s">
        <v>33</v>
      </c>
      <c r="Q243" s="19">
        <f t="shared" si="1"/>
        <v>0.159</v>
      </c>
      <c r="R243" s="19">
        <f t="shared" si="4"/>
        <v>16.701485</v>
      </c>
    </row>
    <row r="244">
      <c r="A244" s="8">
        <f t="shared" si="3"/>
        <v>243</v>
      </c>
      <c r="B244" s="8" t="s">
        <v>19</v>
      </c>
      <c r="C244" s="8" t="s">
        <v>3411</v>
      </c>
      <c r="D244" s="8" t="s">
        <v>5564</v>
      </c>
      <c r="E244" s="8" t="s">
        <v>2556</v>
      </c>
      <c r="F244" s="8">
        <v>2</v>
      </c>
      <c r="G244" s="8" t="s">
        <v>44</v>
      </c>
      <c r="H244" s="8" t="s">
        <v>22</v>
      </c>
      <c r="I244" s="8" t="s">
        <v>225</v>
      </c>
      <c r="J244" s="8" t="s">
        <v>1522</v>
      </c>
      <c r="K244" s="9">
        <v>1.0</v>
      </c>
      <c r="L244" s="9">
        <v>0.5</v>
      </c>
      <c r="M244" s="9">
        <v>0.5</v>
      </c>
      <c r="N244" s="10">
        <v>45197.0</v>
      </c>
      <c r="O244" s="11">
        <v>1.039</v>
      </c>
      <c r="P244" s="8" t="s">
        <v>33</v>
      </c>
      <c r="Q244" s="12">
        <f t="shared" si="1"/>
        <v>0.0195</v>
      </c>
      <c r="R244" s="12">
        <f t="shared" si="4"/>
        <v>16.720985</v>
      </c>
    </row>
    <row r="245">
      <c r="A245" s="15">
        <f t="shared" si="3"/>
        <v>244</v>
      </c>
      <c r="B245" s="15" t="s">
        <v>19</v>
      </c>
      <c r="C245" s="15" t="s">
        <v>3412</v>
      </c>
      <c r="D245" s="15" t="s">
        <v>5565</v>
      </c>
      <c r="E245" s="15" t="s">
        <v>2556</v>
      </c>
      <c r="F245" s="15">
        <v>0.0</v>
      </c>
      <c r="G245" s="15" t="s">
        <v>48</v>
      </c>
      <c r="H245" s="15" t="s">
        <v>22</v>
      </c>
      <c r="I245" s="15" t="s">
        <v>225</v>
      </c>
      <c r="J245" s="15" t="s">
        <v>24</v>
      </c>
      <c r="K245" s="16">
        <v>0.5</v>
      </c>
      <c r="L245" s="16">
        <v>0.25</v>
      </c>
      <c r="M245" s="16">
        <v>0.25</v>
      </c>
      <c r="N245" s="17">
        <v>45198.0</v>
      </c>
      <c r="O245" s="18">
        <v>1.725</v>
      </c>
      <c r="P245" s="15" t="s">
        <v>25</v>
      </c>
      <c r="Q245" s="19">
        <f t="shared" si="1"/>
        <v>-0.25</v>
      </c>
      <c r="R245" s="19">
        <f t="shared" si="4"/>
        <v>16.470985</v>
      </c>
    </row>
    <row r="246">
      <c r="A246" s="8">
        <f t="shared" si="3"/>
        <v>245</v>
      </c>
      <c r="B246" s="8" t="s">
        <v>19</v>
      </c>
      <c r="C246" s="8" t="s">
        <v>3413</v>
      </c>
      <c r="D246" s="8" t="s">
        <v>5564</v>
      </c>
      <c r="E246" s="8" t="s">
        <v>2556</v>
      </c>
      <c r="F246" s="8">
        <v>-1.0</v>
      </c>
      <c r="G246" s="8" t="s">
        <v>1006</v>
      </c>
      <c r="H246" s="8" t="s">
        <v>22</v>
      </c>
      <c r="I246" s="8" t="s">
        <v>225</v>
      </c>
      <c r="J246" s="8" t="s">
        <v>24</v>
      </c>
      <c r="K246" s="9">
        <v>0.5</v>
      </c>
      <c r="L246" s="9">
        <v>0.5</v>
      </c>
      <c r="M246" s="9">
        <v>0.302</v>
      </c>
      <c r="N246" s="10">
        <v>45198.0</v>
      </c>
      <c r="O246" s="11">
        <v>1.725</v>
      </c>
      <c r="P246" s="8" t="s">
        <v>33</v>
      </c>
      <c r="Q246" s="12">
        <f t="shared" si="1"/>
        <v>0.21895</v>
      </c>
      <c r="R246" s="12">
        <f t="shared" si="4"/>
        <v>16.689935</v>
      </c>
    </row>
    <row r="247">
      <c r="A247" s="15">
        <f t="shared" si="3"/>
        <v>246</v>
      </c>
      <c r="B247" s="15" t="s">
        <v>19</v>
      </c>
      <c r="C247" s="15" t="s">
        <v>3414</v>
      </c>
      <c r="D247" s="15" t="s">
        <v>5564</v>
      </c>
      <c r="E247" s="15" t="s">
        <v>2556</v>
      </c>
      <c r="F247" s="15">
        <v>-1.0</v>
      </c>
      <c r="G247" s="15" t="s">
        <v>1031</v>
      </c>
      <c r="H247" s="15" t="s">
        <v>22</v>
      </c>
      <c r="I247" s="15" t="s">
        <v>225</v>
      </c>
      <c r="J247" s="15" t="s">
        <v>24</v>
      </c>
      <c r="K247" s="16">
        <v>0.5</v>
      </c>
      <c r="L247" s="16">
        <v>0.5</v>
      </c>
      <c r="M247" s="16">
        <v>0.5</v>
      </c>
      <c r="N247" s="17">
        <v>45198.0</v>
      </c>
      <c r="O247" s="18">
        <v>1.75</v>
      </c>
      <c r="P247" s="15" t="s">
        <v>25</v>
      </c>
      <c r="Q247" s="19">
        <f t="shared" si="1"/>
        <v>-0.5</v>
      </c>
      <c r="R247" s="19">
        <f t="shared" si="4"/>
        <v>16.189935</v>
      </c>
    </row>
    <row r="248">
      <c r="A248" s="8">
        <f t="shared" si="3"/>
        <v>247</v>
      </c>
      <c r="B248" s="8" t="s">
        <v>19</v>
      </c>
      <c r="C248" s="8" t="s">
        <v>3415</v>
      </c>
      <c r="D248" s="8" t="s">
        <v>5564</v>
      </c>
      <c r="E248" s="8" t="s">
        <v>2660</v>
      </c>
      <c r="F248" s="8">
        <v>-1.0</v>
      </c>
      <c r="G248" s="8" t="s">
        <v>1006</v>
      </c>
      <c r="H248" s="8" t="s">
        <v>22</v>
      </c>
      <c r="I248" s="8" t="s">
        <v>892</v>
      </c>
      <c r="J248" s="8" t="s">
        <v>24</v>
      </c>
      <c r="K248" s="9">
        <v>0.0</v>
      </c>
      <c r="L248" s="9">
        <v>0.15</v>
      </c>
      <c r="M248" s="9">
        <v>0.15</v>
      </c>
      <c r="N248" s="10">
        <v>45198.0</v>
      </c>
      <c r="O248" s="11">
        <v>2.1</v>
      </c>
      <c r="P248" s="8" t="s">
        <v>33</v>
      </c>
      <c r="Q248" s="12">
        <f t="shared" si="1"/>
        <v>0.165</v>
      </c>
      <c r="R248" s="12">
        <f t="shared" si="4"/>
        <v>16.354935</v>
      </c>
    </row>
    <row r="249">
      <c r="A249" s="15">
        <f t="shared" si="3"/>
        <v>248</v>
      </c>
      <c r="B249" s="15" t="s">
        <v>19</v>
      </c>
      <c r="C249" s="15" t="s">
        <v>3416</v>
      </c>
      <c r="D249" s="15" t="s">
        <v>5564</v>
      </c>
      <c r="E249" s="15" t="s">
        <v>2660</v>
      </c>
      <c r="F249" s="15">
        <v>-2.0</v>
      </c>
      <c r="G249" s="15" t="s">
        <v>101</v>
      </c>
      <c r="H249" s="15" t="s">
        <v>22</v>
      </c>
      <c r="I249" s="15" t="s">
        <v>892</v>
      </c>
      <c r="J249" s="15" t="s">
        <v>24</v>
      </c>
      <c r="K249" s="16">
        <v>0.0</v>
      </c>
      <c r="L249" s="16">
        <v>0.75</v>
      </c>
      <c r="M249" s="16">
        <v>0.75</v>
      </c>
      <c r="N249" s="17">
        <v>45198.0</v>
      </c>
      <c r="O249" s="18">
        <v>2.0</v>
      </c>
      <c r="P249" s="15" t="s">
        <v>25</v>
      </c>
      <c r="Q249" s="19">
        <f t="shared" si="1"/>
        <v>-0.75</v>
      </c>
      <c r="R249" s="19">
        <f t="shared" si="4"/>
        <v>15.604935</v>
      </c>
    </row>
    <row r="250">
      <c r="A250" s="8">
        <f t="shared" si="3"/>
        <v>249</v>
      </c>
      <c r="B250" s="8" t="s">
        <v>19</v>
      </c>
      <c r="C250" s="8" t="s">
        <v>3417</v>
      </c>
      <c r="D250" s="8" t="s">
        <v>5565</v>
      </c>
      <c r="E250" s="8" t="s">
        <v>2660</v>
      </c>
      <c r="F250" s="8">
        <v>-1.0</v>
      </c>
      <c r="G250" s="8" t="s">
        <v>96</v>
      </c>
      <c r="H250" s="8" t="s">
        <v>22</v>
      </c>
      <c r="I250" s="8" t="s">
        <v>892</v>
      </c>
      <c r="J250" s="8" t="s">
        <v>24</v>
      </c>
      <c r="K250" s="9">
        <v>0.0</v>
      </c>
      <c r="L250" s="9">
        <v>0.75</v>
      </c>
      <c r="M250" s="9">
        <v>0.75</v>
      </c>
      <c r="N250" s="10">
        <v>45198.0</v>
      </c>
      <c r="O250" s="11">
        <v>1.806</v>
      </c>
      <c r="P250" s="8" t="s">
        <v>33</v>
      </c>
      <c r="Q250" s="12">
        <f t="shared" si="1"/>
        <v>0.6045</v>
      </c>
      <c r="R250" s="12">
        <f t="shared" si="4"/>
        <v>16.209435</v>
      </c>
    </row>
    <row r="251">
      <c r="A251" s="15">
        <f t="shared" si="3"/>
        <v>250</v>
      </c>
      <c r="B251" s="15" t="s">
        <v>19</v>
      </c>
      <c r="C251" s="15" t="s">
        <v>3418</v>
      </c>
      <c r="D251" s="15" t="s">
        <v>5564</v>
      </c>
      <c r="E251" s="15" t="s">
        <v>2556</v>
      </c>
      <c r="F251" s="15"/>
      <c r="G251" s="15" t="s">
        <v>172</v>
      </c>
      <c r="H251" s="15" t="s">
        <v>598</v>
      </c>
      <c r="I251" s="15" t="s">
        <v>941</v>
      </c>
      <c r="J251" s="15" t="s">
        <v>1522</v>
      </c>
      <c r="K251" s="16">
        <v>0.0</v>
      </c>
      <c r="L251" s="16">
        <v>0.5</v>
      </c>
      <c r="M251" s="16">
        <v>0.5</v>
      </c>
      <c r="N251" s="17">
        <v>45198.0</v>
      </c>
      <c r="O251" s="18">
        <v>1.727</v>
      </c>
      <c r="P251" s="15" t="s">
        <v>70</v>
      </c>
      <c r="Q251" s="19">
        <f t="shared" si="1"/>
        <v>0</v>
      </c>
      <c r="R251" s="19">
        <f t="shared" si="4"/>
        <v>16.209435</v>
      </c>
    </row>
    <row r="252">
      <c r="A252" s="8">
        <f t="shared" si="3"/>
        <v>251</v>
      </c>
      <c r="B252" s="8" t="s">
        <v>19</v>
      </c>
      <c r="C252" s="8" t="s">
        <v>3419</v>
      </c>
      <c r="D252" s="8" t="s">
        <v>5564</v>
      </c>
      <c r="E252" s="8" t="s">
        <v>2556</v>
      </c>
      <c r="F252" s="8">
        <v>0.0</v>
      </c>
      <c r="G252" s="8" t="s">
        <v>44</v>
      </c>
      <c r="H252" s="8" t="s">
        <v>22</v>
      </c>
      <c r="I252" s="8" t="s">
        <v>225</v>
      </c>
      <c r="J252" s="8" t="s">
        <v>24</v>
      </c>
      <c r="K252" s="9">
        <v>0.25</v>
      </c>
      <c r="L252" s="9">
        <v>0.75</v>
      </c>
      <c r="M252" s="9">
        <v>0.75</v>
      </c>
      <c r="N252" s="10">
        <v>45198.0</v>
      </c>
      <c r="O252" s="11">
        <v>1.323</v>
      </c>
      <c r="P252" s="8" t="s">
        <v>33</v>
      </c>
      <c r="Q252" s="12">
        <f t="shared" si="1"/>
        <v>0.24225</v>
      </c>
      <c r="R252" s="12">
        <f t="shared" si="4"/>
        <v>16.451685</v>
      </c>
    </row>
    <row r="253">
      <c r="A253" s="15">
        <f t="shared" si="3"/>
        <v>252</v>
      </c>
      <c r="B253" s="15" t="s">
        <v>19</v>
      </c>
      <c r="C253" s="15" t="s">
        <v>3420</v>
      </c>
      <c r="D253" s="15" t="s">
        <v>5564</v>
      </c>
      <c r="E253" s="15" t="s">
        <v>2556</v>
      </c>
      <c r="F253" s="15" t="s">
        <v>3242</v>
      </c>
      <c r="G253" s="15" t="s">
        <v>44</v>
      </c>
      <c r="H253" s="15" t="s">
        <v>22</v>
      </c>
      <c r="I253" s="15" t="s">
        <v>1165</v>
      </c>
      <c r="J253" s="15" t="s">
        <v>39</v>
      </c>
      <c r="K253" s="16"/>
      <c r="L253" s="16">
        <v>0.1</v>
      </c>
      <c r="M253" s="16">
        <v>0.1</v>
      </c>
      <c r="N253" s="17">
        <v>45198.0</v>
      </c>
      <c r="O253" s="18">
        <v>5.0</v>
      </c>
      <c r="P253" s="15" t="s">
        <v>33</v>
      </c>
      <c r="Q253" s="19">
        <f t="shared" si="1"/>
        <v>0.4</v>
      </c>
      <c r="R253" s="19">
        <f t="shared" si="4"/>
        <v>16.851685</v>
      </c>
    </row>
    <row r="254">
      <c r="A254" s="8">
        <f t="shared" si="3"/>
        <v>253</v>
      </c>
      <c r="B254" s="8" t="s">
        <v>19</v>
      </c>
      <c r="C254" s="8" t="s">
        <v>3421</v>
      </c>
      <c r="D254" s="8" t="s">
        <v>5565</v>
      </c>
      <c r="E254" s="8" t="s">
        <v>2556</v>
      </c>
      <c r="F254" s="8">
        <v>0.0</v>
      </c>
      <c r="G254" s="8" t="s">
        <v>44</v>
      </c>
      <c r="H254" s="8" t="s">
        <v>22</v>
      </c>
      <c r="I254" s="8" t="s">
        <v>225</v>
      </c>
      <c r="J254" s="8" t="s">
        <v>24</v>
      </c>
      <c r="K254" s="9">
        <v>1.75</v>
      </c>
      <c r="L254" s="9">
        <v>0.5</v>
      </c>
      <c r="M254" s="9">
        <v>0.5</v>
      </c>
      <c r="N254" s="10">
        <v>45198.0</v>
      </c>
      <c r="O254" s="11">
        <v>1.875</v>
      </c>
      <c r="P254" s="8" t="s">
        <v>25</v>
      </c>
      <c r="Q254" s="12">
        <f t="shared" si="1"/>
        <v>-0.5</v>
      </c>
      <c r="R254" s="12">
        <f t="shared" si="4"/>
        <v>16.351685</v>
      </c>
    </row>
    <row r="255">
      <c r="A255" s="15">
        <f t="shared" si="3"/>
        <v>254</v>
      </c>
      <c r="B255" s="15" t="s">
        <v>19</v>
      </c>
      <c r="C255" s="15" t="s">
        <v>3422</v>
      </c>
      <c r="D255" s="15" t="s">
        <v>5565</v>
      </c>
      <c r="E255" s="15" t="s">
        <v>2660</v>
      </c>
      <c r="F255" s="15">
        <f>1</f>
        <v>1</v>
      </c>
      <c r="G255" s="15" t="s">
        <v>44</v>
      </c>
      <c r="H255" s="15" t="s">
        <v>22</v>
      </c>
      <c r="I255" s="15" t="s">
        <v>892</v>
      </c>
      <c r="J255" s="15" t="s">
        <v>24</v>
      </c>
      <c r="K255" s="16">
        <v>0.0</v>
      </c>
      <c r="L255" s="16">
        <v>0.5</v>
      </c>
      <c r="M255" s="16">
        <v>0.5</v>
      </c>
      <c r="N255" s="17">
        <v>45198.0</v>
      </c>
      <c r="O255" s="18">
        <v>1.725</v>
      </c>
      <c r="P255" s="15" t="s">
        <v>70</v>
      </c>
      <c r="Q255" s="19">
        <f t="shared" si="1"/>
        <v>0</v>
      </c>
      <c r="R255" s="19">
        <f t="shared" si="4"/>
        <v>16.351685</v>
      </c>
    </row>
    <row r="256">
      <c r="A256" s="8">
        <f t="shared" si="3"/>
        <v>255</v>
      </c>
      <c r="B256" s="8" t="s">
        <v>19</v>
      </c>
      <c r="C256" s="8" t="s">
        <v>3423</v>
      </c>
      <c r="D256" s="8" t="s">
        <v>5564</v>
      </c>
      <c r="E256" s="8" t="s">
        <v>2556</v>
      </c>
      <c r="F256" s="8">
        <v>-1.0</v>
      </c>
      <c r="G256" s="8" t="s">
        <v>644</v>
      </c>
      <c r="H256" s="8" t="s">
        <v>22</v>
      </c>
      <c r="I256" s="8" t="s">
        <v>225</v>
      </c>
      <c r="J256" s="8" t="s">
        <v>24</v>
      </c>
      <c r="K256" s="9">
        <v>0.5</v>
      </c>
      <c r="L256" s="9">
        <v>0.5</v>
      </c>
      <c r="M256" s="9">
        <v>0.5</v>
      </c>
      <c r="N256" s="10">
        <v>45198.0</v>
      </c>
      <c r="O256" s="11">
        <v>1.521</v>
      </c>
      <c r="P256" s="8" t="s">
        <v>33</v>
      </c>
      <c r="Q256" s="12">
        <f t="shared" si="1"/>
        <v>0.2605</v>
      </c>
      <c r="R256" s="12">
        <f t="shared" si="4"/>
        <v>16.612185</v>
      </c>
    </row>
    <row r="257">
      <c r="A257" s="15">
        <f t="shared" si="3"/>
        <v>256</v>
      </c>
      <c r="B257" s="15" t="s">
        <v>19</v>
      </c>
      <c r="C257" s="15" t="s">
        <v>3424</v>
      </c>
      <c r="D257" s="15" t="s">
        <v>5564</v>
      </c>
      <c r="E257" s="15" t="s">
        <v>2556</v>
      </c>
      <c r="F257" s="15" t="s">
        <v>3154</v>
      </c>
      <c r="G257" s="15" t="s">
        <v>644</v>
      </c>
      <c r="H257" s="15" t="s">
        <v>22</v>
      </c>
      <c r="I257" s="15" t="s">
        <v>1165</v>
      </c>
      <c r="J257" s="15" t="s">
        <v>24</v>
      </c>
      <c r="K257" s="16"/>
      <c r="L257" s="16">
        <v>0.1</v>
      </c>
      <c r="M257" s="16">
        <v>0.1</v>
      </c>
      <c r="N257" s="17">
        <v>45198.0</v>
      </c>
      <c r="O257" s="18">
        <v>5.5</v>
      </c>
      <c r="P257" s="15" t="s">
        <v>25</v>
      </c>
      <c r="Q257" s="19">
        <f t="shared" si="1"/>
        <v>-0.1</v>
      </c>
      <c r="R257" s="19">
        <f t="shared" si="4"/>
        <v>16.512185</v>
      </c>
    </row>
    <row r="258">
      <c r="A258" s="8">
        <f t="shared" si="3"/>
        <v>257</v>
      </c>
      <c r="B258" s="8" t="s">
        <v>19</v>
      </c>
      <c r="C258" s="8" t="s">
        <v>3425</v>
      </c>
      <c r="D258" s="8" t="s">
        <v>5565</v>
      </c>
      <c r="E258" s="8" t="s">
        <v>2556</v>
      </c>
      <c r="F258" s="8">
        <v>3</v>
      </c>
      <c r="G258" s="8" t="s">
        <v>583</v>
      </c>
      <c r="H258" s="8" t="s">
        <v>22</v>
      </c>
      <c r="I258" s="8" t="s">
        <v>225</v>
      </c>
      <c r="J258" s="8" t="s">
        <v>24</v>
      </c>
      <c r="K258" s="9">
        <v>0.25</v>
      </c>
      <c r="L258" s="9">
        <v>0.5</v>
      </c>
      <c r="M258" s="9">
        <v>0.5</v>
      </c>
      <c r="N258" s="10">
        <v>45199.0</v>
      </c>
      <c r="O258" s="11">
        <v>1.2156</v>
      </c>
      <c r="P258" s="8" t="s">
        <v>33</v>
      </c>
      <c r="Q258" s="12">
        <f t="shared" si="1"/>
        <v>0.1078</v>
      </c>
      <c r="R258" s="12">
        <f t="shared" si="4"/>
        <v>16.619985</v>
      </c>
    </row>
    <row r="259">
      <c r="A259" s="15">
        <f t="shared" si="3"/>
        <v>258</v>
      </c>
      <c r="B259" s="15" t="s">
        <v>19</v>
      </c>
      <c r="C259" s="15" t="s">
        <v>3426</v>
      </c>
      <c r="D259" s="15" t="s">
        <v>5564</v>
      </c>
      <c r="E259" s="15" t="s">
        <v>2660</v>
      </c>
      <c r="F259" s="15">
        <v>-2.0</v>
      </c>
      <c r="G259" s="15" t="s">
        <v>48</v>
      </c>
      <c r="H259" s="15" t="s">
        <v>22</v>
      </c>
      <c r="I259" s="15" t="s">
        <v>892</v>
      </c>
      <c r="J259" s="15" t="s">
        <v>24</v>
      </c>
      <c r="K259" s="16">
        <v>0.0</v>
      </c>
      <c r="L259" s="16">
        <v>0.5</v>
      </c>
      <c r="M259" s="16">
        <v>0.5</v>
      </c>
      <c r="N259" s="17">
        <v>45199.0</v>
      </c>
      <c r="O259" s="18">
        <v>1.925</v>
      </c>
      <c r="P259" s="15" t="s">
        <v>33</v>
      </c>
      <c r="Q259" s="19">
        <f t="shared" si="1"/>
        <v>0.4625</v>
      </c>
      <c r="R259" s="19">
        <f t="shared" si="4"/>
        <v>17.082485</v>
      </c>
    </row>
    <row r="260">
      <c r="A260" s="8">
        <f t="shared" si="3"/>
        <v>259</v>
      </c>
      <c r="B260" s="8" t="s">
        <v>19</v>
      </c>
      <c r="C260" s="8" t="s">
        <v>3427</v>
      </c>
      <c r="D260" s="8"/>
      <c r="E260" s="8"/>
      <c r="F260" s="8"/>
      <c r="G260" s="8" t="s">
        <v>1043</v>
      </c>
      <c r="H260" s="8" t="s">
        <v>598</v>
      </c>
      <c r="I260" s="8" t="s">
        <v>29</v>
      </c>
      <c r="J260" s="8" t="s">
        <v>24</v>
      </c>
      <c r="K260" s="9">
        <v>-3.25</v>
      </c>
      <c r="L260" s="9">
        <v>0.25</v>
      </c>
      <c r="M260" s="9">
        <v>0.25</v>
      </c>
      <c r="N260" s="10">
        <v>45199.0</v>
      </c>
      <c r="O260" s="11">
        <v>1.95</v>
      </c>
      <c r="P260" s="8" t="s">
        <v>33</v>
      </c>
      <c r="Q260" s="12">
        <f t="shared" si="1"/>
        <v>0.2375</v>
      </c>
      <c r="R260" s="12">
        <f t="shared" si="4"/>
        <v>17.319985</v>
      </c>
    </row>
    <row r="261">
      <c r="A261" s="15">
        <f t="shared" si="3"/>
        <v>260</v>
      </c>
      <c r="B261" s="15" t="s">
        <v>19</v>
      </c>
      <c r="C261" s="15" t="s">
        <v>3428</v>
      </c>
      <c r="D261" s="15"/>
      <c r="E261" s="15"/>
      <c r="F261" s="15"/>
      <c r="G261" s="15" t="s">
        <v>1043</v>
      </c>
      <c r="H261" s="15" t="s">
        <v>598</v>
      </c>
      <c r="I261" s="15" t="s">
        <v>29</v>
      </c>
      <c r="J261" s="15" t="s">
        <v>24</v>
      </c>
      <c r="K261" s="16">
        <v>-2.5</v>
      </c>
      <c r="L261" s="16">
        <v>0.2</v>
      </c>
      <c r="M261" s="16">
        <v>0.2</v>
      </c>
      <c r="N261" s="17">
        <v>45199.0</v>
      </c>
      <c r="O261" s="18">
        <v>2.5</v>
      </c>
      <c r="P261" s="15" t="s">
        <v>33</v>
      </c>
      <c r="Q261" s="19">
        <f t="shared" si="1"/>
        <v>0.3</v>
      </c>
      <c r="R261" s="19">
        <f t="shared" si="4"/>
        <v>17.619985</v>
      </c>
    </row>
    <row r="262">
      <c r="A262" s="8">
        <f t="shared" si="3"/>
        <v>261</v>
      </c>
      <c r="B262" s="8" t="s">
        <v>19</v>
      </c>
      <c r="C262" s="8" t="s">
        <v>3429</v>
      </c>
      <c r="D262" s="8"/>
      <c r="E262" s="8"/>
      <c r="F262" s="8"/>
      <c r="G262" s="8" t="s">
        <v>1043</v>
      </c>
      <c r="H262" s="8" t="s">
        <v>598</v>
      </c>
      <c r="I262" s="8" t="s">
        <v>29</v>
      </c>
      <c r="J262" s="8" t="s">
        <v>24</v>
      </c>
      <c r="K262" s="9">
        <v>-0.5</v>
      </c>
      <c r="L262" s="9">
        <v>0.05</v>
      </c>
      <c r="M262" s="9">
        <v>0.05</v>
      </c>
      <c r="N262" s="10">
        <v>45199.0</v>
      </c>
      <c r="O262" s="11">
        <v>15.0</v>
      </c>
      <c r="P262" s="8" t="s">
        <v>25</v>
      </c>
      <c r="Q262" s="12">
        <f t="shared" si="1"/>
        <v>-0.05</v>
      </c>
      <c r="R262" s="12">
        <f t="shared" si="4"/>
        <v>17.569985</v>
      </c>
    </row>
    <row r="263">
      <c r="A263" s="15">
        <f t="shared" si="3"/>
        <v>262</v>
      </c>
      <c r="B263" s="15" t="s">
        <v>19</v>
      </c>
      <c r="C263" s="15" t="s">
        <v>3430</v>
      </c>
      <c r="D263" s="15" t="s">
        <v>5565</v>
      </c>
      <c r="E263" s="15" t="s">
        <v>2556</v>
      </c>
      <c r="F263" s="15">
        <v>0.0</v>
      </c>
      <c r="G263" s="15" t="s">
        <v>48</v>
      </c>
      <c r="H263" s="15" t="s">
        <v>22</v>
      </c>
      <c r="I263" s="15" t="s">
        <v>225</v>
      </c>
      <c r="J263" s="15" t="s">
        <v>24</v>
      </c>
      <c r="K263" s="16">
        <v>0.25</v>
      </c>
      <c r="L263" s="16">
        <v>0.25</v>
      </c>
      <c r="M263" s="16">
        <v>0.25</v>
      </c>
      <c r="N263" s="17">
        <v>45199.0</v>
      </c>
      <c r="O263" s="18">
        <v>1.8</v>
      </c>
      <c r="P263" s="15" t="s">
        <v>30</v>
      </c>
      <c r="Q263" s="19">
        <f t="shared" si="1"/>
        <v>0.1</v>
      </c>
      <c r="R263" s="19">
        <f t="shared" si="4"/>
        <v>17.669985</v>
      </c>
    </row>
    <row r="264">
      <c r="A264" s="8">
        <f t="shared" si="3"/>
        <v>263</v>
      </c>
      <c r="B264" s="8" t="s">
        <v>19</v>
      </c>
      <c r="C264" s="8" t="s">
        <v>3431</v>
      </c>
      <c r="D264" s="8" t="s">
        <v>5565</v>
      </c>
      <c r="E264" s="8" t="s">
        <v>2556</v>
      </c>
      <c r="F264" s="8">
        <v>0.0</v>
      </c>
      <c r="G264" s="8" t="s">
        <v>48</v>
      </c>
      <c r="H264" s="8" t="s">
        <v>22</v>
      </c>
      <c r="I264" s="8" t="s">
        <v>225</v>
      </c>
      <c r="J264" s="8" t="s">
        <v>24</v>
      </c>
      <c r="K264" s="9">
        <v>0.0</v>
      </c>
      <c r="L264" s="9">
        <v>0.25</v>
      </c>
      <c r="M264" s="9">
        <v>0.25</v>
      </c>
      <c r="N264" s="10">
        <v>45199.0</v>
      </c>
      <c r="O264" s="11">
        <v>2.25</v>
      </c>
      <c r="P264" s="8" t="s">
        <v>70</v>
      </c>
      <c r="Q264" s="12">
        <f t="shared" si="1"/>
        <v>0</v>
      </c>
      <c r="R264" s="12">
        <f t="shared" si="4"/>
        <v>17.669985</v>
      </c>
    </row>
    <row r="265">
      <c r="A265" s="15">
        <f t="shared" si="3"/>
        <v>264</v>
      </c>
      <c r="B265" s="15" t="s">
        <v>19</v>
      </c>
      <c r="C265" s="15" t="s">
        <v>3432</v>
      </c>
      <c r="D265" s="15" t="s">
        <v>5565</v>
      </c>
      <c r="E265" s="15" t="s">
        <v>2556</v>
      </c>
      <c r="F265" s="15">
        <v>0.0</v>
      </c>
      <c r="G265" s="15" t="s">
        <v>48</v>
      </c>
      <c r="H265" s="15" t="s">
        <v>22</v>
      </c>
      <c r="I265" s="15" t="s">
        <v>1165</v>
      </c>
      <c r="J265" s="15" t="s">
        <v>24</v>
      </c>
      <c r="K265" s="16"/>
      <c r="L265" s="16">
        <v>0.1</v>
      </c>
      <c r="M265" s="16">
        <v>0.1</v>
      </c>
      <c r="N265" s="17">
        <v>45199.0</v>
      </c>
      <c r="O265" s="18">
        <v>2.6</v>
      </c>
      <c r="P265" s="15" t="s">
        <v>33</v>
      </c>
      <c r="Q265" s="19">
        <f t="shared" si="1"/>
        <v>0.16</v>
      </c>
      <c r="R265" s="19">
        <f t="shared" si="4"/>
        <v>17.829985</v>
      </c>
    </row>
    <row r="266">
      <c r="A266" s="8">
        <f t="shared" si="3"/>
        <v>265</v>
      </c>
      <c r="B266" s="8" t="s">
        <v>19</v>
      </c>
      <c r="C266" s="8" t="s">
        <v>3433</v>
      </c>
      <c r="D266" s="8" t="s">
        <v>5565</v>
      </c>
      <c r="E266" s="8" t="s">
        <v>2660</v>
      </c>
      <c r="F266" s="8">
        <v>0.0</v>
      </c>
      <c r="G266" s="8" t="s">
        <v>50</v>
      </c>
      <c r="H266" s="8" t="s">
        <v>22</v>
      </c>
      <c r="I266" s="8" t="s">
        <v>892</v>
      </c>
      <c r="J266" s="8" t="s">
        <v>24</v>
      </c>
      <c r="K266" s="9">
        <v>0.0</v>
      </c>
      <c r="L266" s="9">
        <v>0.5</v>
      </c>
      <c r="M266" s="9">
        <v>0.5</v>
      </c>
      <c r="N266" s="10">
        <v>45199.0</v>
      </c>
      <c r="O266" s="11">
        <v>1.8</v>
      </c>
      <c r="P266" s="8" t="s">
        <v>25</v>
      </c>
      <c r="Q266" s="12">
        <f t="shared" si="1"/>
        <v>-0.5</v>
      </c>
      <c r="R266" s="12">
        <f t="shared" si="4"/>
        <v>17.329985</v>
      </c>
    </row>
    <row r="267">
      <c r="A267" s="15">
        <f t="shared" si="3"/>
        <v>266</v>
      </c>
      <c r="B267" s="15" t="s">
        <v>19</v>
      </c>
      <c r="C267" s="15" t="s">
        <v>3434</v>
      </c>
      <c r="D267" s="15" t="s">
        <v>5564</v>
      </c>
      <c r="E267" s="15" t="s">
        <v>2556</v>
      </c>
      <c r="F267" s="15">
        <v>0.0</v>
      </c>
      <c r="G267" s="15" t="s">
        <v>401</v>
      </c>
      <c r="H267" s="15" t="s">
        <v>22</v>
      </c>
      <c r="I267" s="15" t="s">
        <v>941</v>
      </c>
      <c r="J267" s="15" t="s">
        <v>24</v>
      </c>
      <c r="K267" s="16">
        <v>0.0</v>
      </c>
      <c r="L267" s="16">
        <v>0.5</v>
      </c>
      <c r="M267" s="16">
        <v>0.5</v>
      </c>
      <c r="N267" s="17">
        <v>45199.0</v>
      </c>
      <c r="O267" s="18">
        <v>1.833</v>
      </c>
      <c r="P267" s="15" t="s">
        <v>33</v>
      </c>
      <c r="Q267" s="19">
        <f t="shared" si="1"/>
        <v>0.4165</v>
      </c>
      <c r="R267" s="19">
        <f t="shared" si="4"/>
        <v>17.746485</v>
      </c>
    </row>
    <row r="268">
      <c r="A268" s="8">
        <f t="shared" si="3"/>
        <v>267</v>
      </c>
      <c r="B268" s="8" t="s">
        <v>19</v>
      </c>
      <c r="C268" s="8" t="s">
        <v>3435</v>
      </c>
      <c r="D268" s="8" t="s">
        <v>5564</v>
      </c>
      <c r="E268" s="8" t="s">
        <v>2556</v>
      </c>
      <c r="F268" s="8">
        <v>2</v>
      </c>
      <c r="G268" s="8" t="s">
        <v>401</v>
      </c>
      <c r="H268" s="8" t="s">
        <v>22</v>
      </c>
      <c r="I268" s="8" t="s">
        <v>892</v>
      </c>
      <c r="J268" s="8" t="s">
        <v>24</v>
      </c>
      <c r="K268" s="9">
        <v>0.0</v>
      </c>
      <c r="L268" s="9">
        <v>0.25</v>
      </c>
      <c r="M268" s="9">
        <v>0.25</v>
      </c>
      <c r="N268" s="10">
        <v>45199.0</v>
      </c>
      <c r="O268" s="11">
        <v>1.75</v>
      </c>
      <c r="P268" s="8" t="s">
        <v>25</v>
      </c>
      <c r="Q268" s="12">
        <f t="shared" si="1"/>
        <v>-0.25</v>
      </c>
      <c r="R268" s="12">
        <f t="shared" si="4"/>
        <v>17.496485</v>
      </c>
    </row>
    <row r="269">
      <c r="A269" s="15">
        <f t="shared" si="3"/>
        <v>268</v>
      </c>
      <c r="B269" s="15" t="s">
        <v>19</v>
      </c>
      <c r="C269" s="15" t="s">
        <v>3436</v>
      </c>
      <c r="D269" s="15" t="s">
        <v>5564</v>
      </c>
      <c r="E269" s="15" t="s">
        <v>2556</v>
      </c>
      <c r="F269" s="15">
        <v>0.0</v>
      </c>
      <c r="G269" s="15" t="s">
        <v>525</v>
      </c>
      <c r="H269" s="15" t="s">
        <v>22</v>
      </c>
      <c r="I269" s="15" t="s">
        <v>892</v>
      </c>
      <c r="J269" s="15" t="s">
        <v>24</v>
      </c>
      <c r="K269" s="16">
        <v>0.0</v>
      </c>
      <c r="L269" s="16">
        <v>0.5</v>
      </c>
      <c r="M269" s="16">
        <v>0.5</v>
      </c>
      <c r="N269" s="17">
        <v>45199.0</v>
      </c>
      <c r="O269" s="18">
        <v>1.825</v>
      </c>
      <c r="P269" s="15" t="s">
        <v>25</v>
      </c>
      <c r="Q269" s="19">
        <f t="shared" si="1"/>
        <v>-0.5</v>
      </c>
      <c r="R269" s="19">
        <f t="shared" si="4"/>
        <v>16.996485</v>
      </c>
    </row>
    <row r="270">
      <c r="A270" s="8">
        <f t="shared" si="3"/>
        <v>269</v>
      </c>
      <c r="B270" s="8" t="s">
        <v>19</v>
      </c>
      <c r="C270" s="8" t="s">
        <v>3437</v>
      </c>
      <c r="D270" s="8" t="s">
        <v>5565</v>
      </c>
      <c r="E270" s="8" t="s">
        <v>2660</v>
      </c>
      <c r="F270" s="8">
        <v>0.0</v>
      </c>
      <c r="G270" s="8" t="s">
        <v>624</v>
      </c>
      <c r="H270" s="8" t="s">
        <v>22</v>
      </c>
      <c r="I270" s="8" t="s">
        <v>892</v>
      </c>
      <c r="J270" s="8" t="s">
        <v>24</v>
      </c>
      <c r="K270" s="9">
        <v>0.0</v>
      </c>
      <c r="L270" s="9">
        <v>0.5</v>
      </c>
      <c r="M270" s="9">
        <v>0.5</v>
      </c>
      <c r="N270" s="10">
        <v>45199.0</v>
      </c>
      <c r="O270" s="11">
        <v>1.7</v>
      </c>
      <c r="P270" s="8" t="s">
        <v>33</v>
      </c>
      <c r="Q270" s="12">
        <f t="shared" si="1"/>
        <v>0.35</v>
      </c>
      <c r="R270" s="12">
        <f t="shared" si="4"/>
        <v>17.346485</v>
      </c>
    </row>
    <row r="271">
      <c r="A271" s="15">
        <f t="shared" si="3"/>
        <v>270</v>
      </c>
      <c r="B271" s="15" t="s">
        <v>19</v>
      </c>
      <c r="C271" s="15" t="s">
        <v>3438</v>
      </c>
      <c r="D271" s="15" t="s">
        <v>5565</v>
      </c>
      <c r="E271" s="15" t="s">
        <v>2660</v>
      </c>
      <c r="F271" s="15">
        <v>0.0</v>
      </c>
      <c r="G271" s="15" t="s">
        <v>1025</v>
      </c>
      <c r="H271" s="15" t="s">
        <v>22</v>
      </c>
      <c r="I271" s="15" t="s">
        <v>941</v>
      </c>
      <c r="J271" s="15" t="s">
        <v>24</v>
      </c>
      <c r="K271" s="16">
        <v>0.0</v>
      </c>
      <c r="L271" s="16">
        <v>0.5</v>
      </c>
      <c r="M271" s="16">
        <v>0.5</v>
      </c>
      <c r="N271" s="17">
        <v>45199.0</v>
      </c>
      <c r="O271" s="18">
        <v>1.8</v>
      </c>
      <c r="P271" s="15" t="s">
        <v>70</v>
      </c>
      <c r="Q271" s="19">
        <f t="shared" si="1"/>
        <v>0</v>
      </c>
      <c r="R271" s="19">
        <f t="shared" si="4"/>
        <v>17.346485</v>
      </c>
    </row>
    <row r="272">
      <c r="A272" s="8">
        <f t="shared" si="3"/>
        <v>271</v>
      </c>
      <c r="B272" s="8" t="s">
        <v>19</v>
      </c>
      <c r="C272" s="8" t="s">
        <v>3439</v>
      </c>
      <c r="D272" s="8" t="s">
        <v>5564</v>
      </c>
      <c r="E272" s="8" t="s">
        <v>2556</v>
      </c>
      <c r="F272" s="8">
        <v>0.0</v>
      </c>
      <c r="G272" s="8" t="s">
        <v>93</v>
      </c>
      <c r="H272" s="8" t="s">
        <v>22</v>
      </c>
      <c r="I272" s="8" t="s">
        <v>225</v>
      </c>
      <c r="J272" s="8" t="s">
        <v>24</v>
      </c>
      <c r="K272" s="9">
        <v>0.75</v>
      </c>
      <c r="L272" s="9">
        <v>0.5</v>
      </c>
      <c r="M272" s="9">
        <v>0.5</v>
      </c>
      <c r="N272" s="10">
        <v>45199.0</v>
      </c>
      <c r="O272" s="11">
        <v>1.8</v>
      </c>
      <c r="P272" s="8" t="s">
        <v>25</v>
      </c>
      <c r="Q272" s="12">
        <f t="shared" si="1"/>
        <v>-0.5</v>
      </c>
      <c r="R272" s="12">
        <f t="shared" si="4"/>
        <v>16.846485</v>
      </c>
    </row>
    <row r="273">
      <c r="A273" s="15">
        <f t="shared" si="3"/>
        <v>272</v>
      </c>
      <c r="B273" s="15" t="s">
        <v>19</v>
      </c>
      <c r="C273" s="15" t="s">
        <v>3440</v>
      </c>
      <c r="D273" s="15"/>
      <c r="E273" s="15"/>
      <c r="F273" s="15">
        <v>0.0</v>
      </c>
      <c r="G273" s="15" t="s">
        <v>93</v>
      </c>
      <c r="H273" s="15" t="s">
        <v>22</v>
      </c>
      <c r="I273" s="15" t="s">
        <v>440</v>
      </c>
      <c r="J273" s="15" t="s">
        <v>39</v>
      </c>
      <c r="K273" s="16">
        <v>0.5</v>
      </c>
      <c r="L273" s="16">
        <v>0.1</v>
      </c>
      <c r="M273" s="16">
        <v>0.1</v>
      </c>
      <c r="N273" s="17">
        <v>45199.0</v>
      </c>
      <c r="O273" s="18">
        <v>1.75</v>
      </c>
      <c r="P273" s="15" t="s">
        <v>33</v>
      </c>
      <c r="Q273" s="19">
        <f t="shared" si="1"/>
        <v>0.075</v>
      </c>
      <c r="R273" s="19">
        <f t="shared" si="4"/>
        <v>16.921485</v>
      </c>
    </row>
    <row r="274">
      <c r="A274" s="8">
        <f t="shared" si="3"/>
        <v>273</v>
      </c>
      <c r="B274" s="8" t="s">
        <v>40</v>
      </c>
      <c r="C274" s="8" t="s">
        <v>3441</v>
      </c>
      <c r="D274" s="8" t="s">
        <v>5565</v>
      </c>
      <c r="E274" s="8" t="s">
        <v>2660</v>
      </c>
      <c r="F274" s="8">
        <v>0.0</v>
      </c>
      <c r="G274" s="8" t="s">
        <v>93</v>
      </c>
      <c r="H274" s="8" t="s">
        <v>22</v>
      </c>
      <c r="I274" s="8" t="s">
        <v>892</v>
      </c>
      <c r="J274" s="8" t="s">
        <v>24</v>
      </c>
      <c r="K274" s="9">
        <v>0.0</v>
      </c>
      <c r="L274" s="9">
        <v>0.75</v>
      </c>
      <c r="M274" s="9">
        <v>0.75</v>
      </c>
      <c r="N274" s="10">
        <v>45199.0</v>
      </c>
      <c r="O274" s="11">
        <v>1.825</v>
      </c>
      <c r="P274" s="8" t="s">
        <v>33</v>
      </c>
      <c r="Q274" s="12">
        <f t="shared" si="1"/>
        <v>0.61875</v>
      </c>
      <c r="R274" s="12">
        <f t="shared" si="4"/>
        <v>17.540235</v>
      </c>
    </row>
    <row r="275">
      <c r="A275" s="15">
        <f t="shared" si="3"/>
        <v>274</v>
      </c>
      <c r="B275" s="15" t="s">
        <v>19</v>
      </c>
      <c r="C275" s="15" t="s">
        <v>3442</v>
      </c>
      <c r="D275" s="15"/>
      <c r="E275" s="15"/>
      <c r="F275" s="15"/>
      <c r="G275" s="15" t="s">
        <v>1025</v>
      </c>
      <c r="H275" s="15" t="s">
        <v>22</v>
      </c>
      <c r="I275" s="15" t="s">
        <v>440</v>
      </c>
      <c r="J275" s="15" t="s">
        <v>24</v>
      </c>
      <c r="K275" s="16">
        <v>0.5</v>
      </c>
      <c r="L275" s="16">
        <v>0.25</v>
      </c>
      <c r="M275" s="16">
        <v>0.25</v>
      </c>
      <c r="N275" s="17">
        <v>45199.0</v>
      </c>
      <c r="O275" s="18">
        <v>1.8</v>
      </c>
      <c r="P275" s="15" t="s">
        <v>25</v>
      </c>
      <c r="Q275" s="19">
        <f t="shared" si="1"/>
        <v>-0.25</v>
      </c>
      <c r="R275" s="19">
        <f t="shared" si="4"/>
        <v>17.290235</v>
      </c>
    </row>
    <row r="276">
      <c r="A276" s="8">
        <f t="shared" si="3"/>
        <v>275</v>
      </c>
      <c r="B276" s="8" t="s">
        <v>19</v>
      </c>
      <c r="C276" s="96" t="s">
        <v>3443</v>
      </c>
      <c r="D276" s="114" t="s">
        <v>5564</v>
      </c>
      <c r="E276" s="114" t="s">
        <v>2660</v>
      </c>
      <c r="F276" s="114">
        <v>-1.0</v>
      </c>
      <c r="G276" s="8" t="s">
        <v>273</v>
      </c>
      <c r="H276" s="8" t="s">
        <v>22</v>
      </c>
      <c r="I276" s="8" t="s">
        <v>892</v>
      </c>
      <c r="J276" s="8" t="s">
        <v>24</v>
      </c>
      <c r="K276" s="9">
        <v>0.0</v>
      </c>
      <c r="L276" s="9">
        <v>0.25</v>
      </c>
      <c r="M276" s="9">
        <v>0.25</v>
      </c>
      <c r="N276" s="10">
        <v>45199.0</v>
      </c>
      <c r="O276" s="11">
        <v>2.2</v>
      </c>
      <c r="P276" s="8" t="s">
        <v>70</v>
      </c>
      <c r="Q276" s="12">
        <f t="shared" si="1"/>
        <v>0</v>
      </c>
      <c r="R276" s="12">
        <f t="shared" si="4"/>
        <v>17.290235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6"/>
      <c r="L277" s="16"/>
      <c r="M277" s="16"/>
      <c r="N277" s="17"/>
      <c r="O277" s="18"/>
      <c r="P277" s="15"/>
      <c r="Q277" s="19" t="str">
        <f t="shared" si="1"/>
        <v/>
      </c>
      <c r="R277" s="19">
        <f t="shared" si="4"/>
        <v>17.290235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8"/>
      <c r="J278" s="8"/>
      <c r="K278" s="9"/>
      <c r="L278" s="9"/>
      <c r="M278" s="9"/>
      <c r="N278" s="10"/>
      <c r="O278" s="11"/>
      <c r="P278" s="8"/>
      <c r="Q278" s="12" t="str">
        <f t="shared" si="1"/>
        <v/>
      </c>
      <c r="R278" s="12">
        <f t="shared" si="4"/>
        <v>17.290235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6"/>
      <c r="L279" s="16"/>
      <c r="M279" s="16"/>
      <c r="N279" s="17"/>
      <c r="O279" s="18"/>
      <c r="P279" s="15"/>
      <c r="Q279" s="19" t="str">
        <f t="shared" si="1"/>
        <v/>
      </c>
      <c r="R279" s="19">
        <f t="shared" si="4"/>
        <v>17.290235</v>
      </c>
    </row>
    <row r="280">
      <c r="A280" s="8">
        <f t="shared" si="3"/>
        <v>279</v>
      </c>
      <c r="B280" s="8"/>
      <c r="C280" s="8"/>
      <c r="D280" s="8"/>
      <c r="E280" s="8"/>
      <c r="F280" s="8"/>
      <c r="G280" s="8"/>
      <c r="H280" s="8"/>
      <c r="I280" s="8"/>
      <c r="J280" s="8"/>
      <c r="K280" s="9"/>
      <c r="L280" s="9"/>
      <c r="M280" s="9"/>
      <c r="N280" s="10"/>
      <c r="O280" s="11"/>
      <c r="P280" s="8"/>
      <c r="Q280" s="12" t="str">
        <f t="shared" si="1"/>
        <v/>
      </c>
      <c r="R280" s="12">
        <f t="shared" si="4"/>
        <v>17.290235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6"/>
      <c r="L281" s="16"/>
      <c r="M281" s="16"/>
      <c r="N281" s="17"/>
      <c r="O281" s="18"/>
      <c r="P281" s="15"/>
      <c r="Q281" s="19" t="str">
        <f t="shared" si="1"/>
        <v/>
      </c>
      <c r="R281" s="19">
        <f t="shared" si="4"/>
        <v>17.290235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9"/>
      <c r="L282" s="9"/>
      <c r="M282" s="9"/>
      <c r="N282" s="10"/>
      <c r="O282" s="11"/>
      <c r="P282" s="8"/>
      <c r="Q282" s="12" t="str">
        <f t="shared" si="1"/>
        <v/>
      </c>
      <c r="R282" s="12">
        <f t="shared" si="4"/>
        <v>17.290235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6"/>
      <c r="L283" s="16"/>
      <c r="M283" s="16"/>
      <c r="N283" s="17"/>
      <c r="O283" s="18"/>
      <c r="P283" s="15"/>
      <c r="Q283" s="19" t="str">
        <f t="shared" si="1"/>
        <v/>
      </c>
      <c r="R283" s="19">
        <f t="shared" si="4"/>
        <v>17.290235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9"/>
      <c r="L284" s="9"/>
      <c r="M284" s="9"/>
      <c r="N284" s="10"/>
      <c r="O284" s="11"/>
      <c r="P284" s="8"/>
      <c r="Q284" s="12" t="str">
        <f t="shared" si="1"/>
        <v/>
      </c>
      <c r="R284" s="12">
        <f t="shared" si="4"/>
        <v>17.290235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6"/>
      <c r="L285" s="16"/>
      <c r="M285" s="16"/>
      <c r="N285" s="17"/>
      <c r="O285" s="18"/>
      <c r="P285" s="15"/>
      <c r="Q285" s="19" t="str">
        <f t="shared" si="1"/>
        <v/>
      </c>
      <c r="R285" s="19">
        <f t="shared" si="4"/>
        <v>17.290235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8"/>
      <c r="H286" s="8"/>
      <c r="I286" s="8"/>
      <c r="J286" s="8"/>
      <c r="K286" s="9"/>
      <c r="L286" s="9"/>
      <c r="M286" s="9"/>
      <c r="N286" s="10"/>
      <c r="O286" s="11"/>
      <c r="P286" s="8"/>
      <c r="Q286" s="12" t="str">
        <f t="shared" si="1"/>
        <v/>
      </c>
      <c r="R286" s="12">
        <f t="shared" si="4"/>
        <v>17.290235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6"/>
      <c r="L287" s="16"/>
      <c r="M287" s="16"/>
      <c r="N287" s="17"/>
      <c r="O287" s="18"/>
      <c r="P287" s="15"/>
      <c r="Q287" s="19" t="str">
        <f t="shared" si="1"/>
        <v/>
      </c>
      <c r="R287" s="19">
        <f t="shared" si="4"/>
        <v>17.290235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9"/>
      <c r="L288" s="9"/>
      <c r="M288" s="9"/>
      <c r="N288" s="10"/>
      <c r="O288" s="11"/>
      <c r="P288" s="8"/>
      <c r="Q288" s="12" t="str">
        <f t="shared" si="1"/>
        <v/>
      </c>
      <c r="R288" s="12">
        <f t="shared" si="4"/>
        <v>17.290235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6"/>
      <c r="L289" s="16"/>
      <c r="M289" s="16"/>
      <c r="N289" s="17"/>
      <c r="O289" s="18"/>
      <c r="P289" s="15"/>
      <c r="Q289" s="19" t="str">
        <f t="shared" si="1"/>
        <v/>
      </c>
      <c r="R289" s="19">
        <f t="shared" si="4"/>
        <v>17.290235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9"/>
      <c r="L290" s="9"/>
      <c r="M290" s="9"/>
      <c r="N290" s="10"/>
      <c r="O290" s="11"/>
      <c r="P290" s="8"/>
      <c r="Q290" s="12" t="str">
        <f t="shared" si="1"/>
        <v/>
      </c>
      <c r="R290" s="12">
        <f t="shared" si="4"/>
        <v>17.290235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6"/>
      <c r="L291" s="16"/>
      <c r="M291" s="16"/>
      <c r="N291" s="17"/>
      <c r="O291" s="15"/>
      <c r="P291" s="15"/>
      <c r="Q291" s="19" t="str">
        <f t="shared" si="1"/>
        <v/>
      </c>
      <c r="R291" s="19">
        <f t="shared" si="4"/>
        <v>17.290235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9"/>
      <c r="L292" s="9"/>
      <c r="M292" s="9"/>
      <c r="N292" s="10"/>
      <c r="O292" s="8"/>
      <c r="P292" s="8"/>
      <c r="Q292" s="12" t="str">
        <f t="shared" si="1"/>
        <v/>
      </c>
      <c r="R292" s="12">
        <f t="shared" si="4"/>
        <v>17.290235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6"/>
      <c r="L293" s="16"/>
      <c r="M293" s="16"/>
      <c r="N293" s="17"/>
      <c r="O293" s="15"/>
      <c r="P293" s="15"/>
      <c r="Q293" s="19" t="str">
        <f t="shared" si="1"/>
        <v/>
      </c>
      <c r="R293" s="19">
        <f t="shared" si="4"/>
        <v>17.290235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9"/>
      <c r="L294" s="9"/>
      <c r="M294" s="9"/>
      <c r="N294" s="10"/>
      <c r="O294" s="8"/>
      <c r="P294" s="8"/>
      <c r="Q294" s="12" t="str">
        <f t="shared" si="1"/>
        <v/>
      </c>
      <c r="R294" s="12">
        <f t="shared" si="4"/>
        <v>17.290235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6"/>
      <c r="L295" s="16"/>
      <c r="M295" s="16"/>
      <c r="N295" s="17"/>
      <c r="O295" s="15"/>
      <c r="P295" s="15"/>
      <c r="Q295" s="19" t="str">
        <f t="shared" si="1"/>
        <v/>
      </c>
      <c r="R295" s="19">
        <f t="shared" si="4"/>
        <v>17.290235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9"/>
      <c r="L296" s="9"/>
      <c r="M296" s="9"/>
      <c r="N296" s="10"/>
      <c r="O296" s="8"/>
      <c r="P296" s="8"/>
      <c r="Q296" s="12" t="str">
        <f t="shared" si="1"/>
        <v/>
      </c>
      <c r="R296" s="12">
        <f t="shared" si="4"/>
        <v>17.290235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6"/>
      <c r="L297" s="16"/>
      <c r="M297" s="16"/>
      <c r="N297" s="17"/>
      <c r="O297" s="15"/>
      <c r="P297" s="15"/>
      <c r="Q297" s="19" t="str">
        <f t="shared" si="1"/>
        <v/>
      </c>
      <c r="R297" s="19">
        <f t="shared" si="4"/>
        <v>17.290235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9"/>
      <c r="L298" s="9"/>
      <c r="M298" s="9"/>
      <c r="N298" s="10"/>
      <c r="O298" s="8"/>
      <c r="P298" s="8"/>
      <c r="Q298" s="12" t="str">
        <f t="shared" si="1"/>
        <v/>
      </c>
      <c r="R298" s="12">
        <f t="shared" si="4"/>
        <v>17.290235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6"/>
      <c r="L299" s="16"/>
      <c r="M299" s="16"/>
      <c r="N299" s="17"/>
      <c r="O299" s="15"/>
      <c r="P299" s="15"/>
      <c r="Q299" s="19" t="str">
        <f t="shared" si="1"/>
        <v/>
      </c>
      <c r="R299" s="19">
        <f t="shared" si="4"/>
        <v>17.290235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9"/>
      <c r="L300" s="9"/>
      <c r="M300" s="9"/>
      <c r="N300" s="10"/>
      <c r="O300" s="8"/>
      <c r="P300" s="8"/>
      <c r="Q300" s="12" t="str">
        <f t="shared" si="1"/>
        <v/>
      </c>
      <c r="R300" s="12">
        <f t="shared" si="4"/>
        <v>17.290235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6"/>
      <c r="L301" s="16"/>
      <c r="M301" s="16"/>
      <c r="N301" s="17"/>
      <c r="O301" s="15"/>
      <c r="P301" s="15"/>
      <c r="Q301" s="19" t="str">
        <f t="shared" si="1"/>
        <v/>
      </c>
      <c r="R301" s="19">
        <f t="shared" si="4"/>
        <v>17.290235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9"/>
      <c r="L302" s="9"/>
      <c r="M302" s="9"/>
      <c r="N302" s="10"/>
      <c r="O302" s="8"/>
      <c r="P302" s="8"/>
      <c r="Q302" s="12" t="str">
        <f t="shared" si="1"/>
        <v/>
      </c>
      <c r="R302" s="12">
        <f t="shared" si="4"/>
        <v>17.290235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6"/>
      <c r="L303" s="16"/>
      <c r="M303" s="16"/>
      <c r="N303" s="17"/>
      <c r="O303" s="15"/>
      <c r="P303" s="15"/>
      <c r="Q303" s="19" t="str">
        <f t="shared" si="1"/>
        <v/>
      </c>
      <c r="R303" s="19">
        <f t="shared" si="4"/>
        <v>17.290235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9"/>
      <c r="L304" s="9"/>
      <c r="M304" s="9"/>
      <c r="N304" s="10"/>
      <c r="O304" s="8"/>
      <c r="P304" s="8"/>
      <c r="Q304" s="12" t="str">
        <f t="shared" si="1"/>
        <v/>
      </c>
      <c r="R304" s="12">
        <f t="shared" si="4"/>
        <v>17.290235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6"/>
      <c r="L305" s="16"/>
      <c r="M305" s="16"/>
      <c r="N305" s="17"/>
      <c r="O305" s="15"/>
      <c r="P305" s="15"/>
      <c r="Q305" s="19" t="str">
        <f t="shared" si="1"/>
        <v/>
      </c>
      <c r="R305" s="19">
        <f t="shared" si="4"/>
        <v>17.290235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9"/>
      <c r="L306" s="9"/>
      <c r="M306" s="9"/>
      <c r="N306" s="10"/>
      <c r="O306" s="8"/>
      <c r="P306" s="8"/>
      <c r="Q306" s="12" t="str">
        <f t="shared" si="1"/>
        <v/>
      </c>
      <c r="R306" s="12">
        <f t="shared" si="4"/>
        <v>17.290235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6"/>
      <c r="L307" s="16"/>
      <c r="M307" s="16"/>
      <c r="N307" s="17"/>
      <c r="O307" s="15"/>
      <c r="P307" s="15"/>
      <c r="Q307" s="19" t="str">
        <f t="shared" si="1"/>
        <v/>
      </c>
      <c r="R307" s="19">
        <f t="shared" si="4"/>
        <v>17.290235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9"/>
      <c r="L308" s="9"/>
      <c r="M308" s="9"/>
      <c r="N308" s="10"/>
      <c r="O308" s="8"/>
      <c r="P308" s="8"/>
      <c r="Q308" s="12" t="str">
        <f t="shared" si="1"/>
        <v/>
      </c>
      <c r="R308" s="12">
        <f t="shared" si="4"/>
        <v>17.290235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6"/>
      <c r="L309" s="16"/>
      <c r="M309" s="16"/>
      <c r="N309" s="17"/>
      <c r="O309" s="15"/>
      <c r="P309" s="15"/>
      <c r="Q309" s="19" t="str">
        <f t="shared" si="1"/>
        <v/>
      </c>
      <c r="R309" s="19">
        <f t="shared" si="4"/>
        <v>17.290235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9"/>
      <c r="L310" s="9"/>
      <c r="M310" s="9"/>
      <c r="N310" s="10"/>
      <c r="O310" s="8"/>
      <c r="P310" s="8"/>
      <c r="Q310" s="12" t="str">
        <f t="shared" si="1"/>
        <v/>
      </c>
      <c r="R310" s="12">
        <f t="shared" si="4"/>
        <v>17.290235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6"/>
      <c r="L311" s="16"/>
      <c r="M311" s="16"/>
      <c r="N311" s="17"/>
      <c r="O311" s="15"/>
      <c r="P311" s="15"/>
      <c r="Q311" s="19" t="str">
        <f t="shared" si="1"/>
        <v/>
      </c>
      <c r="R311" s="19">
        <f t="shared" si="4"/>
        <v>17.290235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9"/>
      <c r="L312" s="9"/>
      <c r="M312" s="9"/>
      <c r="N312" s="10"/>
      <c r="O312" s="8"/>
      <c r="P312" s="8"/>
      <c r="Q312" s="12" t="str">
        <f t="shared" si="1"/>
        <v/>
      </c>
      <c r="R312" s="12">
        <f t="shared" si="4"/>
        <v>17.290235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6"/>
      <c r="L313" s="16"/>
      <c r="M313" s="16"/>
      <c r="N313" s="17"/>
      <c r="O313" s="15"/>
      <c r="P313" s="15"/>
      <c r="Q313" s="19"/>
      <c r="R313" s="124"/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9"/>
      <c r="L314" s="9"/>
      <c r="M314" s="9"/>
      <c r="N314" s="10"/>
      <c r="O314" s="8"/>
      <c r="P314" s="8"/>
      <c r="Q314" s="12"/>
      <c r="R314" s="123"/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24"/>
      <c r="L315" s="16"/>
      <c r="M315" s="16"/>
      <c r="N315" s="17"/>
      <c r="O315" s="15"/>
      <c r="P315" s="15"/>
      <c r="Q315" s="19"/>
      <c r="R315" s="124"/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123"/>
      <c r="L316" s="9"/>
      <c r="M316" s="9"/>
      <c r="N316" s="10"/>
      <c r="O316" s="8"/>
      <c r="P316" s="8"/>
      <c r="Q316" s="12"/>
      <c r="R316" s="123"/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24"/>
      <c r="L317" s="16"/>
      <c r="M317" s="16"/>
      <c r="N317" s="17"/>
      <c r="O317" s="15"/>
      <c r="P317" s="15"/>
      <c r="Q317" s="19"/>
      <c r="R317" s="124"/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123"/>
      <c r="L318" s="9"/>
      <c r="M318" s="9"/>
      <c r="N318" s="10"/>
      <c r="O318" s="8"/>
      <c r="P318" s="8"/>
      <c r="Q318" s="12"/>
      <c r="R318" s="123"/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24"/>
      <c r="L319" s="16"/>
      <c r="M319" s="16"/>
      <c r="N319" s="17"/>
      <c r="O319" s="15"/>
      <c r="P319" s="15"/>
      <c r="Q319" s="19"/>
      <c r="R319" s="124"/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123"/>
      <c r="L320" s="9"/>
      <c r="M320" s="9"/>
      <c r="N320" s="10"/>
      <c r="O320" s="8"/>
      <c r="P320" s="8"/>
      <c r="Q320" s="12"/>
      <c r="R320" s="123"/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24"/>
      <c r="L321" s="16"/>
      <c r="M321" s="16"/>
      <c r="N321" s="17"/>
      <c r="O321" s="15"/>
      <c r="P321" s="15"/>
      <c r="Q321" s="19"/>
      <c r="R321" s="124"/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123"/>
      <c r="L322" s="9"/>
      <c r="M322" s="9"/>
      <c r="N322" s="10"/>
      <c r="O322" s="8"/>
      <c r="P322" s="8"/>
      <c r="Q322" s="12"/>
      <c r="R322" s="123"/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24"/>
      <c r="L323" s="16"/>
      <c r="M323" s="16"/>
      <c r="N323" s="17"/>
      <c r="O323" s="15"/>
      <c r="P323" s="15"/>
      <c r="Q323" s="19"/>
      <c r="R323" s="124"/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123"/>
      <c r="L324" s="9"/>
      <c r="M324" s="9"/>
      <c r="N324" s="10"/>
      <c r="O324" s="8"/>
      <c r="P324" s="8"/>
      <c r="Q324" s="12"/>
      <c r="R324" s="123"/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24"/>
      <c r="L325" s="16"/>
      <c r="M325" s="16"/>
      <c r="N325" s="17"/>
      <c r="O325" s="15"/>
      <c r="P325" s="15"/>
      <c r="Q325" s="19"/>
      <c r="R325" s="124"/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123"/>
      <c r="L326" s="9"/>
      <c r="M326" s="9"/>
      <c r="N326" s="10"/>
      <c r="O326" s="8"/>
      <c r="P326" s="8"/>
      <c r="Q326" s="12"/>
      <c r="R326" s="123"/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24"/>
      <c r="L327" s="16"/>
      <c r="M327" s="16"/>
      <c r="N327" s="17"/>
      <c r="O327" s="15"/>
      <c r="P327" s="15"/>
      <c r="Q327" s="19"/>
      <c r="R327" s="124"/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123"/>
      <c r="L328" s="9"/>
      <c r="M328" s="9"/>
      <c r="N328" s="10"/>
      <c r="O328" s="8"/>
      <c r="P328" s="8"/>
      <c r="Q328" s="12"/>
      <c r="R328" s="123"/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24"/>
      <c r="L329" s="16"/>
      <c r="M329" s="16"/>
      <c r="N329" s="17"/>
      <c r="O329" s="15"/>
      <c r="P329" s="15"/>
      <c r="Q329" s="19"/>
      <c r="R329" s="124"/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123"/>
      <c r="L330" s="9"/>
      <c r="M330" s="9"/>
      <c r="N330" s="10"/>
      <c r="O330" s="8"/>
      <c r="P330" s="8"/>
      <c r="Q330" s="12"/>
      <c r="R330" s="123"/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24"/>
      <c r="L331" s="16"/>
      <c r="M331" s="16"/>
      <c r="N331" s="17"/>
      <c r="O331" s="15"/>
      <c r="P331" s="15"/>
      <c r="Q331" s="19"/>
      <c r="R331" s="124"/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123"/>
      <c r="L332" s="9"/>
      <c r="M332" s="9"/>
      <c r="N332" s="10"/>
      <c r="O332" s="8"/>
      <c r="P332" s="8"/>
      <c r="Q332" s="12"/>
      <c r="R332" s="123"/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24"/>
      <c r="L333" s="16"/>
      <c r="M333" s="16"/>
      <c r="N333" s="17"/>
      <c r="O333" s="15"/>
      <c r="P333" s="15"/>
      <c r="Q333" s="19"/>
      <c r="R333" s="124"/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123"/>
      <c r="L334" s="9"/>
      <c r="M334" s="9"/>
      <c r="N334" s="10"/>
      <c r="O334" s="8"/>
      <c r="P334" s="8"/>
      <c r="Q334" s="12"/>
      <c r="R334" s="123"/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24"/>
      <c r="L335" s="16"/>
      <c r="M335" s="16"/>
      <c r="N335" s="17"/>
      <c r="O335" s="15"/>
      <c r="P335" s="15"/>
      <c r="Q335" s="19"/>
      <c r="R335" s="124"/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123"/>
      <c r="L336" s="9"/>
      <c r="M336" s="9"/>
      <c r="N336" s="10"/>
      <c r="O336" s="8"/>
      <c r="P336" s="8"/>
      <c r="Q336" s="12"/>
      <c r="R336" s="123"/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24"/>
      <c r="L337" s="16"/>
      <c r="M337" s="16"/>
      <c r="N337" s="17"/>
      <c r="O337" s="15"/>
      <c r="P337" s="15"/>
      <c r="Q337" s="19"/>
      <c r="R337" s="124"/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123"/>
      <c r="L338" s="9"/>
      <c r="M338" s="9"/>
      <c r="N338" s="10"/>
      <c r="O338" s="8"/>
      <c r="P338" s="8"/>
      <c r="Q338" s="12"/>
      <c r="R338" s="123"/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24"/>
      <c r="L339" s="16"/>
      <c r="M339" s="16"/>
      <c r="N339" s="17"/>
      <c r="O339" s="15"/>
      <c r="P339" s="15"/>
      <c r="Q339" s="19"/>
      <c r="R339" s="124"/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123"/>
      <c r="L340" s="9"/>
      <c r="M340" s="9"/>
      <c r="N340" s="10"/>
      <c r="O340" s="8"/>
      <c r="P340" s="8"/>
      <c r="Q340" s="12"/>
      <c r="R340" s="123"/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24"/>
      <c r="L341" s="16"/>
      <c r="M341" s="16"/>
      <c r="N341" s="17"/>
      <c r="O341" s="15"/>
      <c r="P341" s="15"/>
      <c r="Q341" s="124"/>
      <c r="R341" s="124"/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123"/>
      <c r="L342" s="9"/>
      <c r="M342" s="9"/>
      <c r="N342" s="10"/>
      <c r="O342" s="8"/>
      <c r="P342" s="8"/>
      <c r="Q342" s="123"/>
      <c r="R342" s="123"/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24"/>
      <c r="L343" s="16"/>
      <c r="M343" s="16"/>
      <c r="N343" s="17"/>
      <c r="O343" s="15"/>
      <c r="P343" s="15"/>
      <c r="Q343" s="124"/>
      <c r="R343" s="124"/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123"/>
      <c r="L344" s="9"/>
      <c r="M344" s="9"/>
      <c r="N344" s="10"/>
      <c r="O344" s="8"/>
      <c r="P344" s="8"/>
      <c r="Q344" s="123"/>
      <c r="R344" s="123"/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24"/>
      <c r="L345" s="16"/>
      <c r="M345" s="16"/>
      <c r="N345" s="17"/>
      <c r="O345" s="15"/>
      <c r="P345" s="15"/>
      <c r="Q345" s="124"/>
      <c r="R345" s="124"/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123"/>
      <c r="L346" s="9"/>
      <c r="M346" s="9"/>
      <c r="N346" s="10"/>
      <c r="O346" s="8"/>
      <c r="P346" s="8"/>
      <c r="Q346" s="123"/>
      <c r="R346" s="123"/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24"/>
      <c r="L347" s="16"/>
      <c r="M347" s="16"/>
      <c r="N347" s="17"/>
      <c r="O347" s="15"/>
      <c r="P347" s="15"/>
      <c r="Q347" s="124"/>
      <c r="R347" s="124"/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123"/>
      <c r="L348" s="9"/>
      <c r="M348" s="9"/>
      <c r="N348" s="10"/>
      <c r="O348" s="8"/>
      <c r="P348" s="8"/>
      <c r="Q348" s="123"/>
      <c r="R348" s="123"/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24"/>
      <c r="L349" s="16"/>
      <c r="M349" s="16"/>
      <c r="N349" s="17"/>
      <c r="O349" s="15"/>
      <c r="P349" s="15"/>
      <c r="Q349" s="124"/>
      <c r="R349" s="124"/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123"/>
      <c r="L350" s="9"/>
      <c r="M350" s="9"/>
      <c r="N350" s="10"/>
      <c r="O350" s="8"/>
      <c r="P350" s="8"/>
      <c r="Q350" s="123"/>
      <c r="R350" s="123"/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24"/>
      <c r="L351" s="16"/>
      <c r="M351" s="16"/>
      <c r="N351" s="17"/>
      <c r="O351" s="15"/>
      <c r="P351" s="15"/>
      <c r="Q351" s="124"/>
      <c r="R351" s="124"/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123"/>
      <c r="L352" s="9"/>
      <c r="M352" s="9"/>
      <c r="N352" s="10"/>
      <c r="O352" s="8"/>
      <c r="P352" s="8"/>
      <c r="Q352" s="123"/>
      <c r="R352" s="123"/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24"/>
      <c r="L353" s="16"/>
      <c r="M353" s="16"/>
      <c r="N353" s="17"/>
      <c r="O353" s="15"/>
      <c r="P353" s="15"/>
      <c r="Q353" s="124"/>
      <c r="R353" s="124"/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123"/>
      <c r="L354" s="9"/>
      <c r="M354" s="9"/>
      <c r="N354" s="10"/>
      <c r="O354" s="8"/>
      <c r="P354" s="8"/>
      <c r="Q354" s="123"/>
      <c r="R354" s="123"/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24"/>
      <c r="L355" s="16"/>
      <c r="M355" s="16"/>
      <c r="N355" s="17"/>
      <c r="O355" s="15"/>
      <c r="P355" s="15"/>
      <c r="Q355" s="124"/>
      <c r="R355" s="124"/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123"/>
      <c r="L356" s="9"/>
      <c r="M356" s="9"/>
      <c r="N356" s="10"/>
      <c r="O356" s="8"/>
      <c r="P356" s="8"/>
      <c r="Q356" s="123"/>
      <c r="R356" s="123"/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24"/>
      <c r="L357" s="16"/>
      <c r="M357" s="16"/>
      <c r="N357" s="17"/>
      <c r="O357" s="15"/>
      <c r="P357" s="15"/>
      <c r="Q357" s="124"/>
      <c r="R357" s="124"/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123"/>
      <c r="L358" s="9"/>
      <c r="M358" s="9"/>
      <c r="N358" s="10"/>
      <c r="O358" s="8"/>
      <c r="P358" s="8"/>
      <c r="Q358" s="123"/>
      <c r="R358" s="123"/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24"/>
      <c r="L359" s="16"/>
      <c r="M359" s="16"/>
      <c r="N359" s="17"/>
      <c r="O359" s="15"/>
      <c r="P359" s="15"/>
      <c r="Q359" s="124"/>
      <c r="R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123"/>
      <c r="L360" s="9"/>
      <c r="M360" s="9"/>
      <c r="N360" s="10"/>
      <c r="O360" s="8"/>
      <c r="P360" s="8"/>
      <c r="Q360" s="123"/>
      <c r="R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24"/>
      <c r="L361" s="16"/>
      <c r="M361" s="16"/>
      <c r="N361" s="17"/>
      <c r="O361" s="15"/>
      <c r="P361" s="15"/>
      <c r="Q361" s="124"/>
      <c r="R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123"/>
      <c r="L362" s="9"/>
      <c r="M362" s="9"/>
      <c r="N362" s="10"/>
      <c r="O362" s="8"/>
      <c r="P362" s="8"/>
      <c r="Q362" s="123"/>
      <c r="R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24"/>
      <c r="L363" s="16"/>
      <c r="M363" s="16"/>
      <c r="N363" s="17"/>
      <c r="O363" s="15"/>
      <c r="P363" s="15"/>
      <c r="Q363" s="124"/>
      <c r="R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123"/>
      <c r="L364" s="9"/>
      <c r="M364" s="9"/>
      <c r="N364" s="10"/>
      <c r="O364" s="8"/>
      <c r="P364" s="8"/>
      <c r="Q364" s="123"/>
      <c r="R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24"/>
      <c r="L365" s="16"/>
      <c r="M365" s="16"/>
      <c r="N365" s="17"/>
      <c r="O365" s="15"/>
      <c r="P365" s="15"/>
      <c r="Q365" s="124"/>
      <c r="R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123"/>
      <c r="L366" s="9"/>
      <c r="M366" s="9"/>
      <c r="N366" s="10"/>
      <c r="O366" s="8"/>
      <c r="P366" s="8"/>
      <c r="Q366" s="123"/>
      <c r="R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24"/>
      <c r="L367" s="16"/>
      <c r="M367" s="16"/>
      <c r="N367" s="17"/>
      <c r="O367" s="15"/>
      <c r="P367" s="15"/>
      <c r="Q367" s="124"/>
      <c r="R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123"/>
      <c r="L368" s="9"/>
      <c r="M368" s="9"/>
      <c r="N368" s="10"/>
      <c r="O368" s="8"/>
      <c r="P368" s="8"/>
      <c r="Q368" s="123"/>
      <c r="R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24"/>
      <c r="L369" s="16"/>
      <c r="M369" s="16"/>
      <c r="N369" s="17"/>
      <c r="O369" s="15"/>
      <c r="P369" s="15"/>
      <c r="Q369" s="124"/>
      <c r="R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123"/>
      <c r="L370" s="9"/>
      <c r="M370" s="9"/>
      <c r="N370" s="10"/>
      <c r="O370" s="8"/>
      <c r="P370" s="8"/>
      <c r="Q370" s="123"/>
      <c r="R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24"/>
      <c r="L371" s="16"/>
      <c r="M371" s="16"/>
      <c r="N371" s="17"/>
      <c r="O371" s="15"/>
      <c r="P371" s="15"/>
      <c r="Q371" s="124"/>
      <c r="R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123"/>
      <c r="L372" s="9"/>
      <c r="M372" s="9"/>
      <c r="N372" s="10"/>
      <c r="O372" s="8"/>
      <c r="P372" s="8"/>
      <c r="Q372" s="123"/>
      <c r="R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24"/>
      <c r="L373" s="16"/>
      <c r="M373" s="16"/>
      <c r="N373" s="17"/>
      <c r="O373" s="15"/>
      <c r="P373" s="15"/>
      <c r="Q373" s="124"/>
      <c r="R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123"/>
      <c r="L374" s="9"/>
      <c r="M374" s="9"/>
      <c r="N374" s="10"/>
      <c r="O374" s="8"/>
      <c r="P374" s="8"/>
      <c r="Q374" s="123"/>
      <c r="R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24"/>
      <c r="L375" s="16"/>
      <c r="M375" s="16"/>
      <c r="N375" s="17"/>
      <c r="O375" s="15"/>
      <c r="P375" s="15"/>
      <c r="Q375" s="124"/>
      <c r="R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123"/>
      <c r="L376" s="9"/>
      <c r="M376" s="9"/>
      <c r="N376" s="10"/>
      <c r="O376" s="8"/>
      <c r="P376" s="8"/>
      <c r="Q376" s="123"/>
      <c r="R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24"/>
      <c r="L377" s="16"/>
      <c r="M377" s="16"/>
      <c r="N377" s="17"/>
      <c r="O377" s="15"/>
      <c r="P377" s="15"/>
      <c r="Q377" s="124"/>
      <c r="R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123"/>
      <c r="L378" s="9"/>
      <c r="M378" s="9"/>
      <c r="N378" s="10"/>
      <c r="O378" s="8"/>
      <c r="P378" s="8"/>
      <c r="Q378" s="123"/>
      <c r="R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24"/>
      <c r="L379" s="16"/>
      <c r="M379" s="16"/>
      <c r="N379" s="17"/>
      <c r="O379" s="15"/>
      <c r="P379" s="15"/>
      <c r="Q379" s="124"/>
      <c r="R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123"/>
      <c r="L380" s="9"/>
      <c r="M380" s="9"/>
      <c r="N380" s="10"/>
      <c r="O380" s="8"/>
      <c r="P380" s="8"/>
      <c r="Q380" s="123"/>
      <c r="R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24"/>
      <c r="L381" s="16"/>
      <c r="M381" s="16"/>
      <c r="N381" s="17"/>
      <c r="O381" s="15"/>
      <c r="P381" s="15"/>
      <c r="Q381" s="124"/>
      <c r="R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123"/>
      <c r="L382" s="9"/>
      <c r="M382" s="9"/>
      <c r="N382" s="10"/>
      <c r="O382" s="8"/>
      <c r="P382" s="8"/>
      <c r="Q382" s="123"/>
      <c r="R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24"/>
      <c r="L383" s="16"/>
      <c r="M383" s="16"/>
      <c r="N383" s="17"/>
      <c r="O383" s="15"/>
      <c r="P383" s="15"/>
      <c r="Q383" s="124"/>
      <c r="R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123"/>
      <c r="L384" s="9"/>
      <c r="M384" s="9"/>
      <c r="N384" s="10"/>
      <c r="O384" s="8"/>
      <c r="P384" s="8"/>
      <c r="Q384" s="123"/>
      <c r="R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24"/>
      <c r="L385" s="16"/>
      <c r="M385" s="16"/>
      <c r="N385" s="17"/>
      <c r="O385" s="15"/>
      <c r="P385" s="15"/>
      <c r="Q385" s="124"/>
      <c r="R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123"/>
      <c r="L386" s="9"/>
      <c r="M386" s="9"/>
      <c r="N386" s="10"/>
      <c r="O386" s="8"/>
      <c r="P386" s="8"/>
      <c r="Q386" s="123"/>
      <c r="R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24"/>
      <c r="L387" s="16"/>
      <c r="M387" s="16"/>
      <c r="N387" s="17"/>
      <c r="O387" s="15"/>
      <c r="P387" s="15"/>
      <c r="Q387" s="124"/>
      <c r="R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123"/>
      <c r="L388" s="9"/>
      <c r="M388" s="9"/>
      <c r="N388" s="10"/>
      <c r="O388" s="8"/>
      <c r="P388" s="8"/>
      <c r="Q388" s="123"/>
      <c r="R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24"/>
      <c r="L389" s="16"/>
      <c r="M389" s="16"/>
      <c r="N389" s="17"/>
      <c r="O389" s="15"/>
      <c r="P389" s="15"/>
      <c r="Q389" s="124"/>
      <c r="R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123"/>
      <c r="L390" s="9"/>
      <c r="M390" s="9"/>
      <c r="N390" s="10"/>
      <c r="O390" s="8"/>
      <c r="P390" s="8"/>
      <c r="Q390" s="123"/>
      <c r="R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24"/>
      <c r="L391" s="16"/>
      <c r="M391" s="16"/>
      <c r="N391" s="17"/>
      <c r="O391" s="15"/>
      <c r="P391" s="15"/>
      <c r="Q391" s="124"/>
      <c r="R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123"/>
      <c r="L392" s="9"/>
      <c r="M392" s="9"/>
      <c r="N392" s="10"/>
      <c r="O392" s="8"/>
      <c r="P392" s="8"/>
      <c r="Q392" s="123"/>
      <c r="R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24"/>
      <c r="L393" s="16"/>
      <c r="M393" s="16"/>
      <c r="N393" s="17"/>
      <c r="O393" s="15"/>
      <c r="P393" s="15"/>
      <c r="Q393" s="124"/>
      <c r="R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123"/>
      <c r="L394" s="9"/>
      <c r="M394" s="9"/>
      <c r="N394" s="10"/>
      <c r="O394" s="8"/>
      <c r="P394" s="8"/>
      <c r="Q394" s="123"/>
      <c r="R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24"/>
      <c r="L395" s="16"/>
      <c r="M395" s="16"/>
      <c r="N395" s="17"/>
      <c r="O395" s="15"/>
      <c r="P395" s="15"/>
      <c r="Q395" s="124"/>
      <c r="R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123"/>
      <c r="L396" s="9"/>
      <c r="M396" s="9"/>
      <c r="N396" s="10"/>
      <c r="O396" s="8"/>
      <c r="P396" s="8"/>
      <c r="Q396" s="123"/>
      <c r="R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24"/>
      <c r="L397" s="16"/>
      <c r="M397" s="16"/>
      <c r="N397" s="17"/>
      <c r="O397" s="15"/>
      <c r="P397" s="15"/>
      <c r="Q397" s="124"/>
      <c r="R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123"/>
      <c r="L398" s="9"/>
      <c r="M398" s="9"/>
      <c r="N398" s="10"/>
      <c r="O398" s="8"/>
      <c r="P398" s="8"/>
      <c r="Q398" s="123"/>
      <c r="R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24"/>
      <c r="L399" s="16"/>
      <c r="M399" s="16"/>
      <c r="N399" s="17"/>
      <c r="O399" s="15"/>
      <c r="P399" s="15"/>
      <c r="Q399" s="124"/>
      <c r="R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123"/>
      <c r="L400" s="9"/>
      <c r="M400" s="9"/>
      <c r="N400" s="10"/>
      <c r="O400" s="8"/>
      <c r="P400" s="8"/>
      <c r="Q400" s="123"/>
      <c r="R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24"/>
      <c r="L401" s="16"/>
      <c r="M401" s="16"/>
      <c r="N401" s="17"/>
      <c r="O401" s="15"/>
      <c r="P401" s="15"/>
      <c r="Q401" s="124"/>
      <c r="R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123"/>
      <c r="L402" s="9"/>
      <c r="M402" s="9"/>
      <c r="N402" s="10"/>
      <c r="O402" s="8"/>
      <c r="P402" s="8"/>
      <c r="Q402" s="123"/>
      <c r="R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24"/>
      <c r="L403" s="16"/>
      <c r="M403" s="16"/>
      <c r="N403" s="17"/>
      <c r="O403" s="15"/>
      <c r="P403" s="15"/>
      <c r="Q403" s="124"/>
      <c r="R403" s="124"/>
    </row>
    <row r="404">
      <c r="A404" s="129"/>
      <c r="B404" s="129"/>
      <c r="C404" s="129"/>
      <c r="D404" s="129"/>
      <c r="E404" s="129"/>
      <c r="F404" s="129"/>
      <c r="G404" s="129"/>
      <c r="H404" s="129"/>
      <c r="I404" s="129"/>
      <c r="J404" s="129"/>
      <c r="K404" s="130"/>
      <c r="L404" s="131"/>
      <c r="M404" s="131"/>
      <c r="N404" s="132"/>
      <c r="O404" s="129"/>
      <c r="P404" s="129"/>
      <c r="Q404" s="130"/>
      <c r="R404" s="130"/>
    </row>
    <row r="40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6"/>
      <c r="L405" s="127"/>
      <c r="M405" s="127"/>
      <c r="N405" s="128"/>
      <c r="O405" s="125"/>
      <c r="P405" s="125"/>
      <c r="Q405" s="126"/>
      <c r="R405" s="126"/>
    </row>
    <row r="406">
      <c r="A406" s="129"/>
      <c r="B406" s="129"/>
      <c r="C406" s="129"/>
      <c r="D406" s="129"/>
      <c r="E406" s="129"/>
      <c r="F406" s="129"/>
      <c r="G406" s="129"/>
      <c r="H406" s="129"/>
      <c r="I406" s="129"/>
      <c r="J406" s="129"/>
      <c r="K406" s="130"/>
      <c r="L406" s="131"/>
      <c r="M406" s="131"/>
      <c r="N406" s="132"/>
      <c r="O406" s="129"/>
      <c r="P406" s="129"/>
      <c r="Q406" s="130"/>
      <c r="R406" s="130"/>
    </row>
    <row r="407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6"/>
      <c r="L407" s="127"/>
      <c r="M407" s="127"/>
      <c r="N407" s="128"/>
      <c r="O407" s="125"/>
      <c r="P407" s="125"/>
      <c r="Q407" s="126"/>
      <c r="R407" s="126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30"/>
      <c r="L408" s="131"/>
      <c r="M408" s="131"/>
      <c r="N408" s="132"/>
      <c r="O408" s="129"/>
      <c r="P408" s="129"/>
      <c r="Q408" s="130"/>
      <c r="R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6"/>
      <c r="L409" s="127"/>
      <c r="M409" s="127"/>
      <c r="N409" s="128"/>
      <c r="O409" s="125"/>
      <c r="P409" s="125"/>
      <c r="Q409" s="126"/>
      <c r="R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30"/>
      <c r="L410" s="131"/>
      <c r="M410" s="131"/>
      <c r="N410" s="132"/>
      <c r="O410" s="129"/>
      <c r="P410" s="129"/>
      <c r="Q410" s="130"/>
      <c r="R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6"/>
      <c r="L411" s="127"/>
      <c r="M411" s="127"/>
      <c r="N411" s="128"/>
      <c r="O411" s="125"/>
      <c r="P411" s="125"/>
      <c r="Q411" s="126"/>
      <c r="R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30"/>
      <c r="L412" s="131"/>
      <c r="M412" s="131"/>
      <c r="N412" s="132"/>
      <c r="O412" s="129"/>
      <c r="P412" s="129"/>
      <c r="Q412" s="130"/>
      <c r="R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6"/>
      <c r="L413" s="127"/>
      <c r="M413" s="127"/>
      <c r="N413" s="128"/>
      <c r="O413" s="125"/>
      <c r="P413" s="125"/>
      <c r="Q413" s="126"/>
      <c r="R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30"/>
      <c r="L414" s="131"/>
      <c r="M414" s="131"/>
      <c r="N414" s="132"/>
      <c r="O414" s="129"/>
      <c r="P414" s="129"/>
      <c r="Q414" s="130"/>
      <c r="R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6"/>
      <c r="L415" s="127"/>
      <c r="M415" s="127"/>
      <c r="N415" s="128"/>
      <c r="O415" s="125"/>
      <c r="P415" s="125"/>
      <c r="Q415" s="126"/>
      <c r="R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30"/>
      <c r="L416" s="131"/>
      <c r="M416" s="131"/>
      <c r="N416" s="132"/>
      <c r="O416" s="129"/>
      <c r="P416" s="129"/>
      <c r="Q416" s="130"/>
      <c r="R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6"/>
      <c r="L417" s="127"/>
      <c r="M417" s="127"/>
      <c r="N417" s="128"/>
      <c r="O417" s="125"/>
      <c r="P417" s="125"/>
      <c r="Q417" s="126"/>
      <c r="R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30"/>
      <c r="L418" s="131"/>
      <c r="M418" s="131"/>
      <c r="N418" s="132"/>
      <c r="O418" s="129"/>
      <c r="P418" s="129"/>
      <c r="Q418" s="130"/>
      <c r="R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6"/>
      <c r="L419" s="127"/>
      <c r="M419" s="127"/>
      <c r="N419" s="128"/>
      <c r="O419" s="125"/>
      <c r="P419" s="125"/>
      <c r="Q419" s="126"/>
      <c r="R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30"/>
      <c r="L420" s="131"/>
      <c r="M420" s="131"/>
      <c r="N420" s="132"/>
      <c r="O420" s="129"/>
      <c r="P420" s="129"/>
      <c r="Q420" s="130"/>
      <c r="R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6"/>
      <c r="L421" s="127"/>
      <c r="M421" s="127"/>
      <c r="N421" s="128"/>
      <c r="O421" s="125"/>
      <c r="P421" s="125"/>
      <c r="Q421" s="126"/>
      <c r="R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30"/>
      <c r="L422" s="131"/>
      <c r="M422" s="131"/>
      <c r="N422" s="132"/>
      <c r="O422" s="129"/>
      <c r="P422" s="129"/>
      <c r="Q422" s="130"/>
      <c r="R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6"/>
      <c r="L423" s="127"/>
      <c r="M423" s="127"/>
      <c r="N423" s="128"/>
      <c r="O423" s="125"/>
      <c r="P423" s="125"/>
      <c r="Q423" s="126"/>
      <c r="R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30"/>
      <c r="L424" s="131"/>
      <c r="M424" s="131"/>
      <c r="N424" s="132"/>
      <c r="O424" s="129"/>
      <c r="P424" s="129"/>
      <c r="Q424" s="130"/>
      <c r="R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6"/>
      <c r="L425" s="127"/>
      <c r="M425" s="127"/>
      <c r="N425" s="128"/>
      <c r="O425" s="125"/>
      <c r="P425" s="125"/>
      <c r="Q425" s="126"/>
      <c r="R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30"/>
      <c r="L426" s="131"/>
      <c r="M426" s="131"/>
      <c r="N426" s="132"/>
      <c r="O426" s="129"/>
      <c r="P426" s="129"/>
      <c r="Q426" s="130"/>
      <c r="R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6"/>
      <c r="L427" s="127"/>
      <c r="M427" s="127"/>
      <c r="N427" s="128"/>
      <c r="O427" s="125"/>
      <c r="P427" s="125"/>
      <c r="Q427" s="126"/>
      <c r="R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30"/>
      <c r="L428" s="131"/>
      <c r="M428" s="131"/>
      <c r="N428" s="132"/>
      <c r="O428" s="129"/>
      <c r="P428" s="129"/>
      <c r="Q428" s="130"/>
      <c r="R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6"/>
      <c r="L429" s="127"/>
      <c r="M429" s="127"/>
      <c r="N429" s="128"/>
      <c r="O429" s="125"/>
      <c r="P429" s="125"/>
      <c r="Q429" s="126"/>
      <c r="R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30"/>
      <c r="L430" s="131"/>
      <c r="M430" s="131"/>
      <c r="N430" s="132"/>
      <c r="O430" s="129"/>
      <c r="P430" s="129"/>
      <c r="Q430" s="130"/>
      <c r="R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6"/>
      <c r="L431" s="127"/>
      <c r="M431" s="127"/>
      <c r="N431" s="128"/>
      <c r="O431" s="125"/>
      <c r="P431" s="125"/>
      <c r="Q431" s="126"/>
      <c r="R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30"/>
      <c r="L432" s="131"/>
      <c r="M432" s="131"/>
      <c r="N432" s="132"/>
      <c r="O432" s="129"/>
      <c r="P432" s="129"/>
      <c r="Q432" s="130"/>
      <c r="R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6"/>
      <c r="L433" s="127"/>
      <c r="M433" s="127"/>
      <c r="N433" s="128"/>
      <c r="O433" s="125"/>
      <c r="P433" s="125"/>
      <c r="Q433" s="126"/>
      <c r="R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30"/>
      <c r="L434" s="131"/>
      <c r="M434" s="131"/>
      <c r="N434" s="132"/>
      <c r="O434" s="129"/>
      <c r="P434" s="129"/>
      <c r="Q434" s="130"/>
      <c r="R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6"/>
      <c r="L435" s="127"/>
      <c r="M435" s="127"/>
      <c r="N435" s="128"/>
      <c r="O435" s="125"/>
      <c r="P435" s="125"/>
      <c r="Q435" s="126"/>
      <c r="R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30"/>
      <c r="L436" s="131"/>
      <c r="M436" s="131"/>
      <c r="N436" s="132"/>
      <c r="O436" s="129"/>
      <c r="P436" s="129"/>
      <c r="Q436" s="130"/>
      <c r="R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6"/>
      <c r="L437" s="127"/>
      <c r="M437" s="127"/>
      <c r="N437" s="128"/>
      <c r="O437" s="125"/>
      <c r="P437" s="125"/>
      <c r="Q437" s="126"/>
      <c r="R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30"/>
      <c r="L438" s="131"/>
      <c r="M438" s="131"/>
      <c r="N438" s="132"/>
      <c r="O438" s="129"/>
      <c r="P438" s="129"/>
      <c r="Q438" s="130"/>
      <c r="R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6"/>
      <c r="L439" s="127"/>
      <c r="M439" s="127"/>
      <c r="N439" s="128"/>
      <c r="O439" s="125"/>
      <c r="P439" s="125"/>
      <c r="Q439" s="126"/>
      <c r="R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30"/>
      <c r="L440" s="131"/>
      <c r="M440" s="131"/>
      <c r="N440" s="132"/>
      <c r="O440" s="129"/>
      <c r="P440" s="129"/>
      <c r="Q440" s="130"/>
      <c r="R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6"/>
      <c r="L441" s="127"/>
      <c r="M441" s="127"/>
      <c r="N441" s="128"/>
      <c r="O441" s="125"/>
      <c r="P441" s="125"/>
      <c r="Q441" s="126"/>
      <c r="R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30"/>
      <c r="L442" s="131"/>
      <c r="M442" s="131"/>
      <c r="N442" s="132"/>
      <c r="O442" s="129"/>
      <c r="P442" s="129"/>
      <c r="Q442" s="130"/>
      <c r="R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6"/>
      <c r="L443" s="127"/>
      <c r="M443" s="127"/>
      <c r="N443" s="128"/>
      <c r="O443" s="125"/>
      <c r="P443" s="125"/>
      <c r="Q443" s="126"/>
      <c r="R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30"/>
      <c r="L444" s="131"/>
      <c r="M444" s="131"/>
      <c r="N444" s="132"/>
      <c r="O444" s="129"/>
      <c r="P444" s="129"/>
      <c r="Q444" s="130"/>
      <c r="R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6"/>
      <c r="L445" s="127"/>
      <c r="M445" s="127"/>
      <c r="N445" s="128"/>
      <c r="O445" s="125"/>
      <c r="P445" s="125"/>
      <c r="Q445" s="126"/>
      <c r="R445" s="126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130"/>
      <c r="R446" s="59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126"/>
      <c r="R447" s="58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130"/>
      <c r="R448" s="59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126"/>
      <c r="R449" s="58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130"/>
      <c r="R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126"/>
      <c r="R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130"/>
      <c r="R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126"/>
      <c r="R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130"/>
      <c r="R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</row>
  </sheetData>
  <autoFilter ref="$A$1:$R$403"/>
  <conditionalFormatting sqref="P2:P496">
    <cfRule type="cellIs" dxfId="0" priority="1" operator="equal">
      <formula>"Ganha"</formula>
    </cfRule>
  </conditionalFormatting>
  <conditionalFormatting sqref="P2:P496">
    <cfRule type="cellIs" dxfId="1" priority="2" operator="equal">
      <formula>"Ganha/devolvida"</formula>
    </cfRule>
  </conditionalFormatting>
  <conditionalFormatting sqref="P2:P496">
    <cfRule type="cellIs" dxfId="2" priority="3" operator="equal">
      <formula>"Devolvida"</formula>
    </cfRule>
  </conditionalFormatting>
  <conditionalFormatting sqref="P2:P496">
    <cfRule type="cellIs" dxfId="3" priority="4" operator="equal">
      <formula>"Perdida/devolvida"</formula>
    </cfRule>
  </conditionalFormatting>
  <conditionalFormatting sqref="P2:P496">
    <cfRule type="cellIs" dxfId="4" priority="5" operator="equal">
      <formula>"Perdida"</formula>
    </cfRule>
  </conditionalFormatting>
  <conditionalFormatting sqref="Q2:Q454 R2:R995 U2:U33">
    <cfRule type="cellIs" dxfId="0" priority="6" operator="greaterThan">
      <formula>0</formula>
    </cfRule>
  </conditionalFormatting>
  <conditionalFormatting sqref="Q2:Q454 R2:R995 U2:U33">
    <cfRule type="cellIs" dxfId="4" priority="7" operator="lessThan">
      <formula>0</formula>
    </cfRule>
  </conditionalFormatting>
  <conditionalFormatting sqref="Q2:Q995 U2:U33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88"/>
    <col customWidth="1" min="3" max="3" width="60.38"/>
    <col customWidth="1" min="4" max="4" width="8.38"/>
    <col customWidth="1" min="5" max="5" width="9.25"/>
    <col customWidth="1" min="6" max="6" width="14.38"/>
    <col customWidth="1" min="7" max="7" width="11.5"/>
    <col customWidth="1" min="8" max="8" width="4.5"/>
    <col customWidth="1" min="9" max="9" width="9.0"/>
    <col customWidth="1" min="10" max="10" width="9.5"/>
    <col customWidth="1" min="11" max="14" width="5.88"/>
    <col customWidth="1" min="15" max="15" width="6.5"/>
    <col customWidth="1" min="16" max="16" width="14.75"/>
    <col customWidth="1" min="17" max="17" width="10.75"/>
    <col customWidth="1" min="18" max="18" width="7.25"/>
    <col customWidth="1" min="19" max="19" width="4.13"/>
    <col customWidth="1" min="20" max="20" width="6.25"/>
    <col customWidth="1" min="21" max="21" width="6.5"/>
    <col customWidth="1" min="22" max="22" width="11.25"/>
  </cols>
  <sheetData>
    <row r="1">
      <c r="A1" s="3">
        <f>11</f>
        <v>11</v>
      </c>
      <c r="B1" s="2" t="s">
        <v>2</v>
      </c>
      <c r="C1" s="3" t="s">
        <v>3</v>
      </c>
      <c r="D1" s="2" t="s">
        <v>1466</v>
      </c>
      <c r="E1" s="2" t="s">
        <v>1467</v>
      </c>
      <c r="F1" s="2" t="s">
        <v>1468</v>
      </c>
      <c r="G1" s="3" t="s">
        <v>4</v>
      </c>
      <c r="H1" s="3" t="s">
        <v>5</v>
      </c>
      <c r="I1" s="3" t="s">
        <v>6</v>
      </c>
      <c r="J1" s="2" t="s">
        <v>7</v>
      </c>
      <c r="K1" s="4" t="s">
        <v>8</v>
      </c>
      <c r="L1" s="5" t="s">
        <v>9</v>
      </c>
      <c r="M1" s="4" t="s">
        <v>10</v>
      </c>
      <c r="N1" s="6" t="s">
        <v>11</v>
      </c>
      <c r="O1" s="97" t="s">
        <v>12</v>
      </c>
      <c r="P1" s="3" t="s">
        <v>13</v>
      </c>
      <c r="Q1" s="4" t="s">
        <v>2372</v>
      </c>
      <c r="R1" s="4" t="s">
        <v>15</v>
      </c>
      <c r="T1" s="3" t="s">
        <v>16</v>
      </c>
      <c r="U1" s="3" t="s">
        <v>15</v>
      </c>
      <c r="V1" s="3" t="s">
        <v>17</v>
      </c>
    </row>
    <row r="2">
      <c r="A2" s="8">
        <f>1</f>
        <v>1</v>
      </c>
      <c r="B2" s="8" t="s">
        <v>19</v>
      </c>
      <c r="C2" s="8" t="s">
        <v>2916</v>
      </c>
      <c r="D2" s="8" t="s">
        <v>5564</v>
      </c>
      <c r="E2" s="8" t="s">
        <v>2556</v>
      </c>
      <c r="F2" s="8">
        <v>0.0</v>
      </c>
      <c r="G2" s="8" t="s">
        <v>1085</v>
      </c>
      <c r="H2" s="8" t="s">
        <v>22</v>
      </c>
      <c r="I2" s="8" t="s">
        <v>225</v>
      </c>
      <c r="J2" s="8" t="s">
        <v>24</v>
      </c>
      <c r="K2" s="9">
        <v>0.25</v>
      </c>
      <c r="L2" s="9">
        <v>0.5</v>
      </c>
      <c r="M2" s="9">
        <v>0.5</v>
      </c>
      <c r="N2" s="10">
        <v>45139.0</v>
      </c>
      <c r="O2" s="11">
        <v>1.7</v>
      </c>
      <c r="P2" s="8" t="s">
        <v>30</v>
      </c>
      <c r="Q2" s="12">
        <f t="shared" ref="Q2:Q316" si="1">IF(P2="ganha",(M2*(O2-1)),IF(P2="perdida",-M2,IF(P2="devolvida",0,IF(P2="ganha/devolvida",((M2*(O2-1)))/2,IF(P2="perdida/devolvida",-M2/2,IF(P2="Aguardando",0,""))))))</f>
        <v>0.175</v>
      </c>
      <c r="R2" s="12">
        <f>Q2</f>
        <v>0.175</v>
      </c>
      <c r="T2" s="66">
        <v>45139.0</v>
      </c>
      <c r="U2" s="13">
        <f t="shared" ref="U2:U32" si="2">SUMIF($N$2:$N$2982,T2,$Q$2:$Q$2982)</f>
        <v>0.262775</v>
      </c>
      <c r="V2" s="14">
        <f>SUMIF($P$2:$P$2982,"Aguardando",$M$2:$M$2982)</f>
        <v>0</v>
      </c>
    </row>
    <row r="3">
      <c r="A3" s="15">
        <f t="shared" ref="A3:A407" si="3">A2+1</f>
        <v>2</v>
      </c>
      <c r="B3" s="15" t="s">
        <v>19</v>
      </c>
      <c r="C3" s="15" t="s">
        <v>2917</v>
      </c>
      <c r="D3" s="15" t="s">
        <v>5564</v>
      </c>
      <c r="E3" s="15" t="s">
        <v>2556</v>
      </c>
      <c r="F3" s="15">
        <v>-2.0</v>
      </c>
      <c r="G3" s="15" t="s">
        <v>513</v>
      </c>
      <c r="H3" s="15" t="s">
        <v>22</v>
      </c>
      <c r="I3" s="15" t="s">
        <v>225</v>
      </c>
      <c r="J3" s="15" t="s">
        <v>24</v>
      </c>
      <c r="K3" s="16">
        <v>0.75</v>
      </c>
      <c r="L3" s="16">
        <v>0.5</v>
      </c>
      <c r="M3" s="16">
        <f>0.872*0.5</f>
        <v>0.436</v>
      </c>
      <c r="N3" s="17">
        <v>45139.0</v>
      </c>
      <c r="O3" s="18">
        <v>2.0</v>
      </c>
      <c r="P3" s="15" t="s">
        <v>79</v>
      </c>
      <c r="Q3" s="19">
        <f t="shared" si="1"/>
        <v>-0.218</v>
      </c>
      <c r="R3" s="19">
        <f t="shared" ref="R3:R316" si="4">R2+Q3</f>
        <v>-0.043</v>
      </c>
      <c r="T3" s="66">
        <v>45140.0</v>
      </c>
      <c r="U3" s="13">
        <f t="shared" si="2"/>
        <v>0.732</v>
      </c>
    </row>
    <row r="4">
      <c r="A4" s="8">
        <f t="shared" si="3"/>
        <v>3</v>
      </c>
      <c r="B4" s="8" t="s">
        <v>19</v>
      </c>
      <c r="C4" s="8" t="s">
        <v>2918</v>
      </c>
      <c r="D4" s="8" t="s">
        <v>5564</v>
      </c>
      <c r="E4" s="8" t="s">
        <v>2556</v>
      </c>
      <c r="F4" s="8">
        <f>1</f>
        <v>1</v>
      </c>
      <c r="G4" s="8" t="s">
        <v>74</v>
      </c>
      <c r="H4" s="8" t="s">
        <v>22</v>
      </c>
      <c r="I4" s="8" t="s">
        <v>225</v>
      </c>
      <c r="J4" s="8" t="s">
        <v>24</v>
      </c>
      <c r="K4" s="9">
        <v>0.5</v>
      </c>
      <c r="L4" s="9">
        <v>0.5</v>
      </c>
      <c r="M4" s="9">
        <f>0.538*0.5</f>
        <v>0.269</v>
      </c>
      <c r="N4" s="10">
        <v>45139.0</v>
      </c>
      <c r="O4" s="11">
        <v>1.875</v>
      </c>
      <c r="P4" s="8" t="s">
        <v>33</v>
      </c>
      <c r="Q4" s="12">
        <f t="shared" si="1"/>
        <v>0.235375</v>
      </c>
      <c r="R4" s="12">
        <f t="shared" si="4"/>
        <v>0.192375</v>
      </c>
      <c r="T4" s="66">
        <v>45141.0</v>
      </c>
      <c r="U4" s="13">
        <f t="shared" si="2"/>
        <v>-0.15</v>
      </c>
      <c r="V4" s="3" t="s">
        <v>34</v>
      </c>
    </row>
    <row r="5">
      <c r="A5" s="15">
        <f t="shared" si="3"/>
        <v>4</v>
      </c>
      <c r="B5" s="15" t="s">
        <v>19</v>
      </c>
      <c r="C5" s="15" t="s">
        <v>2919</v>
      </c>
      <c r="D5" s="15" t="s">
        <v>5564</v>
      </c>
      <c r="E5" s="15" t="s">
        <v>2660</v>
      </c>
      <c r="F5" s="15">
        <v>0.0</v>
      </c>
      <c r="G5" s="15" t="s">
        <v>28</v>
      </c>
      <c r="H5" s="15" t="s">
        <v>22</v>
      </c>
      <c r="I5" s="15" t="s">
        <v>892</v>
      </c>
      <c r="J5" s="15" t="s">
        <v>1851</v>
      </c>
      <c r="K5" s="16">
        <v>0.0</v>
      </c>
      <c r="L5" s="16">
        <v>0.5</v>
      </c>
      <c r="M5" s="16">
        <v>0.5</v>
      </c>
      <c r="N5" s="17">
        <v>45139.0</v>
      </c>
      <c r="O5" s="18">
        <v>1.9</v>
      </c>
      <c r="P5" s="15" t="s">
        <v>70</v>
      </c>
      <c r="Q5" s="19">
        <f t="shared" si="1"/>
        <v>0</v>
      </c>
      <c r="R5" s="19">
        <f t="shared" si="4"/>
        <v>0.192375</v>
      </c>
      <c r="T5" s="66">
        <v>45142.0</v>
      </c>
      <c r="U5" s="13">
        <f t="shared" si="2"/>
        <v>1.686845238</v>
      </c>
      <c r="V5" s="20">
        <f>sum(M2:M1015)</f>
        <v>104.8298949</v>
      </c>
    </row>
    <row r="6">
      <c r="A6" s="8">
        <f t="shared" si="3"/>
        <v>5</v>
      </c>
      <c r="B6" s="8" t="s">
        <v>19</v>
      </c>
      <c r="C6" s="8" t="s">
        <v>2920</v>
      </c>
      <c r="D6" s="8"/>
      <c r="E6" s="8"/>
      <c r="F6" s="8" t="s">
        <v>2615</v>
      </c>
      <c r="G6" s="8" t="s">
        <v>28</v>
      </c>
      <c r="H6" s="8" t="s">
        <v>22</v>
      </c>
      <c r="I6" s="8" t="s">
        <v>2921</v>
      </c>
      <c r="J6" s="8" t="s">
        <v>24</v>
      </c>
      <c r="K6" s="9">
        <v>-14.0</v>
      </c>
      <c r="L6" s="9">
        <v>0.25</v>
      </c>
      <c r="M6" s="9">
        <f>0.256*0.25</f>
        <v>0.064</v>
      </c>
      <c r="N6" s="10">
        <v>45139.0</v>
      </c>
      <c r="O6" s="11">
        <v>2.1</v>
      </c>
      <c r="P6" s="8" t="s">
        <v>33</v>
      </c>
      <c r="Q6" s="12">
        <f t="shared" si="1"/>
        <v>0.0704</v>
      </c>
      <c r="R6" s="12">
        <f t="shared" si="4"/>
        <v>0.262775</v>
      </c>
      <c r="T6" s="66">
        <v>45143.0</v>
      </c>
      <c r="U6" s="13">
        <f t="shared" si="2"/>
        <v>0.0175</v>
      </c>
    </row>
    <row r="7">
      <c r="A7" s="15">
        <f t="shared" si="3"/>
        <v>6</v>
      </c>
      <c r="B7" s="15" t="s">
        <v>19</v>
      </c>
      <c r="C7" s="15" t="s">
        <v>2922</v>
      </c>
      <c r="D7" s="15" t="s">
        <v>5565</v>
      </c>
      <c r="E7" s="15" t="s">
        <v>2660</v>
      </c>
      <c r="F7" s="15">
        <f>1</f>
        <v>1</v>
      </c>
      <c r="G7" s="15" t="s">
        <v>74</v>
      </c>
      <c r="H7" s="15" t="s">
        <v>22</v>
      </c>
      <c r="I7" s="15" t="s">
        <v>892</v>
      </c>
      <c r="J7" s="15" t="s">
        <v>24</v>
      </c>
      <c r="K7" s="16">
        <v>0.0</v>
      </c>
      <c r="L7" s="16">
        <v>0.5</v>
      </c>
      <c r="M7" s="16">
        <v>0.4</v>
      </c>
      <c r="N7" s="17">
        <v>45140.0</v>
      </c>
      <c r="O7" s="18">
        <v>1.75</v>
      </c>
      <c r="P7" s="15" t="s">
        <v>70</v>
      </c>
      <c r="Q7" s="19">
        <f t="shared" si="1"/>
        <v>0</v>
      </c>
      <c r="R7" s="19">
        <f t="shared" si="4"/>
        <v>0.262775</v>
      </c>
      <c r="T7" s="66">
        <v>45144.0</v>
      </c>
      <c r="U7" s="13">
        <f t="shared" si="2"/>
        <v>-2.529063158</v>
      </c>
      <c r="V7" s="3" t="s">
        <v>45</v>
      </c>
    </row>
    <row r="8">
      <c r="A8" s="8">
        <f t="shared" si="3"/>
        <v>7</v>
      </c>
      <c r="B8" s="8" t="s">
        <v>19</v>
      </c>
      <c r="C8" s="8" t="s">
        <v>2923</v>
      </c>
      <c r="D8" s="8"/>
      <c r="E8" s="8"/>
      <c r="F8" s="8" t="s">
        <v>2615</v>
      </c>
      <c r="G8" s="8" t="s">
        <v>28</v>
      </c>
      <c r="H8" s="8" t="s">
        <v>22</v>
      </c>
      <c r="I8" s="8" t="s">
        <v>2921</v>
      </c>
      <c r="J8" s="8" t="s">
        <v>24</v>
      </c>
      <c r="K8" s="9">
        <v>-5.5</v>
      </c>
      <c r="L8" s="9">
        <v>0.5</v>
      </c>
      <c r="M8" s="9">
        <v>0.4</v>
      </c>
      <c r="N8" s="10">
        <v>45140.0</v>
      </c>
      <c r="O8" s="11">
        <v>1.98</v>
      </c>
      <c r="P8" s="8" t="s">
        <v>33</v>
      </c>
      <c r="Q8" s="12">
        <f t="shared" si="1"/>
        <v>0.392</v>
      </c>
      <c r="R8" s="12">
        <f t="shared" si="4"/>
        <v>0.654775</v>
      </c>
      <c r="T8" s="66">
        <v>45145.0</v>
      </c>
      <c r="U8" s="13">
        <f t="shared" si="2"/>
        <v>0</v>
      </c>
      <c r="V8" s="21">
        <f>U33/(SUM(M3:M4935)-V2)</f>
        <v>0.1055791392</v>
      </c>
    </row>
    <row r="9">
      <c r="A9" s="15">
        <f t="shared" si="3"/>
        <v>8</v>
      </c>
      <c r="B9" s="15" t="s">
        <v>19</v>
      </c>
      <c r="C9" s="15" t="s">
        <v>2924</v>
      </c>
      <c r="D9" s="15" t="s">
        <v>5565</v>
      </c>
      <c r="E9" s="15" t="s">
        <v>2556</v>
      </c>
      <c r="F9" s="15">
        <v>-1.0</v>
      </c>
      <c r="G9" s="15" t="s">
        <v>583</v>
      </c>
      <c r="H9" s="15" t="s">
        <v>22</v>
      </c>
      <c r="I9" s="15" t="s">
        <v>225</v>
      </c>
      <c r="J9" s="15" t="s">
        <v>24</v>
      </c>
      <c r="K9" s="16">
        <v>0.25</v>
      </c>
      <c r="L9" s="16">
        <v>0.5</v>
      </c>
      <c r="M9" s="16">
        <v>0.5</v>
      </c>
      <c r="N9" s="17">
        <v>45140.0</v>
      </c>
      <c r="O9" s="18">
        <v>2.02</v>
      </c>
      <c r="P9" s="15" t="s">
        <v>70</v>
      </c>
      <c r="Q9" s="19">
        <f t="shared" si="1"/>
        <v>0</v>
      </c>
      <c r="R9" s="19">
        <f t="shared" si="4"/>
        <v>0.654775</v>
      </c>
      <c r="T9" s="66">
        <v>45146.0</v>
      </c>
      <c r="U9" s="13">
        <f t="shared" si="2"/>
        <v>1.1745</v>
      </c>
    </row>
    <row r="10">
      <c r="A10" s="8">
        <f t="shared" si="3"/>
        <v>9</v>
      </c>
      <c r="B10" s="8" t="s">
        <v>19</v>
      </c>
      <c r="C10" s="8" t="s">
        <v>2925</v>
      </c>
      <c r="D10" s="8" t="s">
        <v>5564</v>
      </c>
      <c r="E10" s="8" t="s">
        <v>2660</v>
      </c>
      <c r="F10" s="8">
        <f t="shared" ref="F10:F11" si="5">1</f>
        <v>1</v>
      </c>
      <c r="G10" s="8" t="s">
        <v>99</v>
      </c>
      <c r="H10" s="8" t="s">
        <v>22</v>
      </c>
      <c r="I10" s="8" t="s">
        <v>892</v>
      </c>
      <c r="J10" s="8" t="s">
        <v>1851</v>
      </c>
      <c r="K10" s="9">
        <v>0.0</v>
      </c>
      <c r="L10" s="9">
        <v>0.5</v>
      </c>
      <c r="M10" s="9">
        <v>0.5</v>
      </c>
      <c r="N10" s="10">
        <v>45140.0</v>
      </c>
      <c r="O10" s="11">
        <v>2.15</v>
      </c>
      <c r="P10" s="8" t="s">
        <v>25</v>
      </c>
      <c r="Q10" s="12">
        <f t="shared" si="1"/>
        <v>-0.5</v>
      </c>
      <c r="R10" s="12">
        <f t="shared" si="4"/>
        <v>0.154775</v>
      </c>
      <c r="T10" s="66">
        <v>45147.0</v>
      </c>
      <c r="U10" s="13">
        <f t="shared" si="2"/>
        <v>0.69015</v>
      </c>
      <c r="V10" s="2" t="s">
        <v>55</v>
      </c>
    </row>
    <row r="11">
      <c r="A11" s="15">
        <f t="shared" si="3"/>
        <v>10</v>
      </c>
      <c r="B11" s="15" t="s">
        <v>19</v>
      </c>
      <c r="C11" s="15" t="s">
        <v>2926</v>
      </c>
      <c r="D11" s="15" t="s">
        <v>5564</v>
      </c>
      <c r="E11" s="15" t="s">
        <v>2660</v>
      </c>
      <c r="F11" s="15">
        <f t="shared" si="5"/>
        <v>1</v>
      </c>
      <c r="G11" s="15" t="s">
        <v>28</v>
      </c>
      <c r="H11" s="15" t="s">
        <v>22</v>
      </c>
      <c r="I11" s="15" t="s">
        <v>892</v>
      </c>
      <c r="J11" s="15" t="s">
        <v>1851</v>
      </c>
      <c r="K11" s="16">
        <v>0.0</v>
      </c>
      <c r="L11" s="16">
        <v>0.5</v>
      </c>
      <c r="M11" s="16">
        <v>0.01</v>
      </c>
      <c r="N11" s="17">
        <v>45140.0</v>
      </c>
      <c r="O11" s="18">
        <v>1.9</v>
      </c>
      <c r="P11" s="15" t="s">
        <v>25</v>
      </c>
      <c r="Q11" s="19">
        <f t="shared" si="1"/>
        <v>-0.01</v>
      </c>
      <c r="R11" s="19">
        <f t="shared" si="4"/>
        <v>0.144775</v>
      </c>
      <c r="T11" s="66">
        <v>45148.0</v>
      </c>
      <c r="U11" s="13">
        <f t="shared" si="2"/>
        <v>0.79</v>
      </c>
      <c r="V11" s="21">
        <f>(SUMPRODUCT(--(L2:L1001 = M2:M1001))-countif(L2:L1001,""))/countif(L2:L1001,"&gt;0")</f>
        <v>0.8488888889</v>
      </c>
    </row>
    <row r="12">
      <c r="A12" s="8">
        <f t="shared" si="3"/>
        <v>11</v>
      </c>
      <c r="B12" s="8" t="s">
        <v>19</v>
      </c>
      <c r="C12" s="8" t="s">
        <v>2927</v>
      </c>
      <c r="D12" s="8" t="s">
        <v>5565</v>
      </c>
      <c r="E12" s="8" t="s">
        <v>2660</v>
      </c>
      <c r="F12" s="8">
        <v>-1.0</v>
      </c>
      <c r="G12" s="8" t="s">
        <v>28</v>
      </c>
      <c r="H12" s="8" t="s">
        <v>22</v>
      </c>
      <c r="I12" s="8" t="s">
        <v>892</v>
      </c>
      <c r="J12" s="8" t="s">
        <v>1522</v>
      </c>
      <c r="K12" s="9">
        <v>0.0</v>
      </c>
      <c r="L12" s="9">
        <v>0.5</v>
      </c>
      <c r="M12" s="9">
        <v>0.5</v>
      </c>
      <c r="N12" s="10">
        <v>45140.0</v>
      </c>
      <c r="O12" s="11">
        <v>1.9</v>
      </c>
      <c r="P12" s="8" t="s">
        <v>70</v>
      </c>
      <c r="Q12" s="12">
        <f t="shared" si="1"/>
        <v>0</v>
      </c>
      <c r="R12" s="12">
        <f t="shared" si="4"/>
        <v>0.144775</v>
      </c>
      <c r="T12" s="66">
        <v>45149.0</v>
      </c>
      <c r="U12" s="13">
        <f t="shared" si="2"/>
        <v>1.184991667</v>
      </c>
    </row>
    <row r="13">
      <c r="A13" s="15">
        <f t="shared" si="3"/>
        <v>12</v>
      </c>
      <c r="B13" s="15" t="s">
        <v>19</v>
      </c>
      <c r="C13" s="15" t="s">
        <v>2928</v>
      </c>
      <c r="D13" s="15" t="s">
        <v>5564</v>
      </c>
      <c r="E13" s="15" t="s">
        <v>2556</v>
      </c>
      <c r="F13" s="15"/>
      <c r="G13" s="15" t="s">
        <v>82</v>
      </c>
      <c r="H13" s="15" t="s">
        <v>598</v>
      </c>
      <c r="I13" s="15" t="s">
        <v>225</v>
      </c>
      <c r="J13" s="15" t="s">
        <v>1522</v>
      </c>
      <c r="K13" s="16">
        <v>0.25</v>
      </c>
      <c r="L13" s="16">
        <v>0.5</v>
      </c>
      <c r="M13" s="16">
        <v>0.5</v>
      </c>
      <c r="N13" s="17">
        <v>45140.0</v>
      </c>
      <c r="O13" s="18">
        <v>1.8</v>
      </c>
      <c r="P13" s="15" t="s">
        <v>70</v>
      </c>
      <c r="Q13" s="19">
        <f t="shared" si="1"/>
        <v>0</v>
      </c>
      <c r="R13" s="19">
        <f t="shared" si="4"/>
        <v>0.144775</v>
      </c>
      <c r="T13" s="66">
        <v>45150.0</v>
      </c>
      <c r="U13" s="13">
        <f t="shared" si="2"/>
        <v>1.118277083</v>
      </c>
      <c r="V13" s="2" t="s">
        <v>61</v>
      </c>
    </row>
    <row r="14">
      <c r="A14" s="8">
        <f t="shared" si="3"/>
        <v>13</v>
      </c>
      <c r="B14" s="8" t="s">
        <v>19</v>
      </c>
      <c r="C14" s="8" t="s">
        <v>2929</v>
      </c>
      <c r="D14" s="8" t="s">
        <v>5565</v>
      </c>
      <c r="E14" s="8" t="s">
        <v>2556</v>
      </c>
      <c r="F14" s="8">
        <v>0.0</v>
      </c>
      <c r="G14" s="8" t="s">
        <v>44</v>
      </c>
      <c r="H14" s="8" t="s">
        <v>22</v>
      </c>
      <c r="I14" s="8" t="s">
        <v>225</v>
      </c>
      <c r="J14" s="8" t="s">
        <v>24</v>
      </c>
      <c r="K14" s="9">
        <v>0.5</v>
      </c>
      <c r="L14" s="9">
        <v>1.0</v>
      </c>
      <c r="M14" s="9">
        <v>1.0</v>
      </c>
      <c r="N14" s="10">
        <v>45140.0</v>
      </c>
      <c r="O14" s="11">
        <v>1.65</v>
      </c>
      <c r="P14" s="8" t="s">
        <v>33</v>
      </c>
      <c r="Q14" s="12">
        <f t="shared" si="1"/>
        <v>0.65</v>
      </c>
      <c r="R14" s="12">
        <f t="shared" si="4"/>
        <v>0.794775</v>
      </c>
      <c r="T14" s="66">
        <v>45151.0</v>
      </c>
      <c r="U14" s="13">
        <f t="shared" si="2"/>
        <v>0.1673</v>
      </c>
      <c r="V14" s="22">
        <f>average(O2:O1001)</f>
        <v>1.715084301</v>
      </c>
    </row>
    <row r="15">
      <c r="A15" s="15">
        <f t="shared" si="3"/>
        <v>14</v>
      </c>
      <c r="B15" s="15" t="s">
        <v>19</v>
      </c>
      <c r="C15" s="15" t="s">
        <v>2930</v>
      </c>
      <c r="D15" s="15" t="s">
        <v>5565</v>
      </c>
      <c r="E15" s="15" t="s">
        <v>2556</v>
      </c>
      <c r="F15" s="15">
        <v>0.0</v>
      </c>
      <c r="G15" s="15" t="s">
        <v>44</v>
      </c>
      <c r="H15" s="15" t="s">
        <v>22</v>
      </c>
      <c r="I15" s="15" t="s">
        <v>892</v>
      </c>
      <c r="J15" s="15" t="s">
        <v>24</v>
      </c>
      <c r="K15" s="16">
        <v>1.0</v>
      </c>
      <c r="L15" s="16">
        <v>1.0</v>
      </c>
      <c r="M15" s="16">
        <v>1.0</v>
      </c>
      <c r="N15" s="17">
        <v>45140.0</v>
      </c>
      <c r="O15" s="18">
        <f>1.2</f>
        <v>1.2</v>
      </c>
      <c r="P15" s="15" t="s">
        <v>33</v>
      </c>
      <c r="Q15" s="19">
        <f t="shared" si="1"/>
        <v>0.2</v>
      </c>
      <c r="R15" s="19">
        <f t="shared" si="4"/>
        <v>0.994775</v>
      </c>
      <c r="T15" s="66">
        <v>45152.0</v>
      </c>
      <c r="U15" s="13">
        <f t="shared" si="2"/>
        <v>0</v>
      </c>
    </row>
    <row r="16">
      <c r="A16" s="8">
        <f t="shared" si="3"/>
        <v>15</v>
      </c>
      <c r="B16" s="8" t="s">
        <v>19</v>
      </c>
      <c r="C16" s="8" t="s">
        <v>2931</v>
      </c>
      <c r="D16" s="8" t="s">
        <v>5564</v>
      </c>
      <c r="E16" s="8" t="s">
        <v>2660</v>
      </c>
      <c r="F16" s="8">
        <v>-1.0</v>
      </c>
      <c r="G16" s="8" t="s">
        <v>2932</v>
      </c>
      <c r="H16" s="8" t="s">
        <v>22</v>
      </c>
      <c r="I16" s="8" t="s">
        <v>892</v>
      </c>
      <c r="J16" s="8" t="s">
        <v>24</v>
      </c>
      <c r="K16" s="9">
        <v>0.0</v>
      </c>
      <c r="L16" s="9">
        <v>0.5</v>
      </c>
      <c r="M16" s="9">
        <v>0.5</v>
      </c>
      <c r="N16" s="10">
        <v>45141.0</v>
      </c>
      <c r="O16" s="11">
        <v>1.88</v>
      </c>
      <c r="P16" s="8" t="s">
        <v>70</v>
      </c>
      <c r="Q16" s="12">
        <f t="shared" si="1"/>
        <v>0</v>
      </c>
      <c r="R16" s="12">
        <f t="shared" si="4"/>
        <v>0.994775</v>
      </c>
      <c r="T16" s="66">
        <v>45153.0</v>
      </c>
      <c r="U16" s="13">
        <f t="shared" si="2"/>
        <v>0.20575</v>
      </c>
    </row>
    <row r="17">
      <c r="A17" s="15">
        <f t="shared" si="3"/>
        <v>16</v>
      </c>
      <c r="B17" s="15" t="s">
        <v>19</v>
      </c>
      <c r="C17" s="15" t="s">
        <v>2933</v>
      </c>
      <c r="D17" s="15" t="s">
        <v>5565</v>
      </c>
      <c r="E17" s="15" t="s">
        <v>2556</v>
      </c>
      <c r="F17" s="15">
        <v>-3.0</v>
      </c>
      <c r="G17" s="15" t="s">
        <v>642</v>
      </c>
      <c r="H17" s="15" t="s">
        <v>22</v>
      </c>
      <c r="I17" s="15" t="s">
        <v>225</v>
      </c>
      <c r="J17" s="15" t="s">
        <v>1851</v>
      </c>
      <c r="K17" s="16">
        <v>0.25</v>
      </c>
      <c r="L17" s="16">
        <v>0.5</v>
      </c>
      <c r="M17" s="16">
        <v>0.5</v>
      </c>
      <c r="N17" s="17">
        <v>45141.0</v>
      </c>
      <c r="O17" s="18">
        <v>1.11</v>
      </c>
      <c r="P17" s="15" t="s">
        <v>33</v>
      </c>
      <c r="Q17" s="19">
        <f t="shared" si="1"/>
        <v>0.055</v>
      </c>
      <c r="R17" s="19">
        <f t="shared" si="4"/>
        <v>1.049775</v>
      </c>
      <c r="T17" s="66">
        <v>45154.0</v>
      </c>
      <c r="U17" s="13">
        <f t="shared" si="2"/>
        <v>0.3989475</v>
      </c>
    </row>
    <row r="18">
      <c r="A18" s="8">
        <f t="shared" si="3"/>
        <v>17</v>
      </c>
      <c r="B18" s="8" t="s">
        <v>19</v>
      </c>
      <c r="C18" s="8" t="s">
        <v>2934</v>
      </c>
      <c r="D18" s="8" t="s">
        <v>5564</v>
      </c>
      <c r="E18" s="8" t="s">
        <v>2660</v>
      </c>
      <c r="F18" s="8"/>
      <c r="G18" s="8" t="s">
        <v>2935</v>
      </c>
      <c r="H18" s="8" t="s">
        <v>598</v>
      </c>
      <c r="I18" s="8" t="s">
        <v>892</v>
      </c>
      <c r="J18" s="8" t="s">
        <v>1851</v>
      </c>
      <c r="K18" s="9">
        <v>0.0</v>
      </c>
      <c r="L18" s="9">
        <v>0.25</v>
      </c>
      <c r="M18" s="9">
        <v>0.25</v>
      </c>
      <c r="N18" s="10">
        <v>45141.0</v>
      </c>
      <c r="O18" s="11">
        <v>1.9</v>
      </c>
      <c r="P18" s="8" t="s">
        <v>25</v>
      </c>
      <c r="Q18" s="12">
        <f t="shared" si="1"/>
        <v>-0.25</v>
      </c>
      <c r="R18" s="12">
        <f t="shared" si="4"/>
        <v>0.799775</v>
      </c>
      <c r="T18" s="66">
        <v>45155.0</v>
      </c>
      <c r="U18" s="13">
        <f t="shared" si="2"/>
        <v>0.0905</v>
      </c>
    </row>
    <row r="19">
      <c r="A19" s="15">
        <f t="shared" si="3"/>
        <v>18</v>
      </c>
      <c r="B19" s="15" t="s">
        <v>19</v>
      </c>
      <c r="C19" s="15" t="s">
        <v>2936</v>
      </c>
      <c r="D19" s="15" t="s">
        <v>5565</v>
      </c>
      <c r="E19" s="15" t="s">
        <v>2660</v>
      </c>
      <c r="F19" s="15">
        <f>1</f>
        <v>1</v>
      </c>
      <c r="G19" s="15" t="s">
        <v>1961</v>
      </c>
      <c r="H19" s="15" t="s">
        <v>22</v>
      </c>
      <c r="I19" s="15" t="s">
        <v>1150</v>
      </c>
      <c r="J19" s="15" t="s">
        <v>1851</v>
      </c>
      <c r="K19" s="16">
        <v>0.0</v>
      </c>
      <c r="L19" s="16">
        <v>0.5</v>
      </c>
      <c r="M19" s="16">
        <v>0.5</v>
      </c>
      <c r="N19" s="17">
        <v>45141.0</v>
      </c>
      <c r="O19" s="18">
        <v>1.77</v>
      </c>
      <c r="P19" s="15" t="s">
        <v>70</v>
      </c>
      <c r="Q19" s="19">
        <f t="shared" si="1"/>
        <v>0</v>
      </c>
      <c r="R19" s="19">
        <f t="shared" si="4"/>
        <v>0.799775</v>
      </c>
      <c r="T19" s="66">
        <v>45156.0</v>
      </c>
      <c r="U19" s="13">
        <f t="shared" si="2"/>
        <v>0.15975</v>
      </c>
    </row>
    <row r="20">
      <c r="A20" s="8">
        <f t="shared" si="3"/>
        <v>19</v>
      </c>
      <c r="B20" s="8" t="s">
        <v>19</v>
      </c>
      <c r="C20" s="8" t="s">
        <v>2937</v>
      </c>
      <c r="D20" s="8" t="s">
        <v>5564</v>
      </c>
      <c r="E20" s="8" t="s">
        <v>2556</v>
      </c>
      <c r="F20" s="8"/>
      <c r="G20" s="8" t="s">
        <v>82</v>
      </c>
      <c r="H20" s="8" t="s">
        <v>598</v>
      </c>
      <c r="I20" s="8" t="s">
        <v>225</v>
      </c>
      <c r="J20" s="8" t="s">
        <v>1851</v>
      </c>
      <c r="K20" s="9">
        <v>0.25</v>
      </c>
      <c r="L20" s="9">
        <v>0.5</v>
      </c>
      <c r="M20" s="9">
        <v>0.5</v>
      </c>
      <c r="N20" s="10">
        <v>45144.0</v>
      </c>
      <c r="O20" s="11">
        <v>1.8</v>
      </c>
      <c r="P20" s="8" t="s">
        <v>30</v>
      </c>
      <c r="Q20" s="12">
        <f t="shared" si="1"/>
        <v>0.2</v>
      </c>
      <c r="R20" s="12">
        <f t="shared" si="4"/>
        <v>0.999775</v>
      </c>
      <c r="T20" s="66">
        <v>45157.0</v>
      </c>
      <c r="U20" s="13">
        <f t="shared" si="2"/>
        <v>1.0203875</v>
      </c>
    </row>
    <row r="21">
      <c r="A21" s="15">
        <f t="shared" si="3"/>
        <v>20</v>
      </c>
      <c r="B21" s="15" t="s">
        <v>19</v>
      </c>
      <c r="C21" s="15" t="s">
        <v>2938</v>
      </c>
      <c r="D21" s="15"/>
      <c r="E21" s="15"/>
      <c r="F21" s="15" t="s">
        <v>2615</v>
      </c>
      <c r="G21" s="15" t="s">
        <v>82</v>
      </c>
      <c r="H21" s="15" t="s">
        <v>22</v>
      </c>
      <c r="I21" s="15" t="s">
        <v>2939</v>
      </c>
      <c r="J21" s="15" t="s">
        <v>24</v>
      </c>
      <c r="K21" s="16">
        <v>-2.5</v>
      </c>
      <c r="L21" s="16">
        <v>0.25</v>
      </c>
      <c r="M21" s="16">
        <v>0.25</v>
      </c>
      <c r="N21" s="17">
        <v>45141.0</v>
      </c>
      <c r="O21" s="18">
        <v>1.18</v>
      </c>
      <c r="P21" s="15" t="s">
        <v>33</v>
      </c>
      <c r="Q21" s="19">
        <f t="shared" si="1"/>
        <v>0.045</v>
      </c>
      <c r="R21" s="19">
        <f t="shared" si="4"/>
        <v>1.044775</v>
      </c>
      <c r="T21" s="66">
        <v>45158.0</v>
      </c>
      <c r="U21" s="13">
        <f t="shared" si="2"/>
        <v>1.5486</v>
      </c>
    </row>
    <row r="22">
      <c r="A22" s="8">
        <f t="shared" si="3"/>
        <v>21</v>
      </c>
      <c r="B22" s="8" t="s">
        <v>19</v>
      </c>
      <c r="C22" s="8" t="s">
        <v>2940</v>
      </c>
      <c r="D22" s="8" t="s">
        <v>5564</v>
      </c>
      <c r="E22" s="8" t="s">
        <v>2556</v>
      </c>
      <c r="F22" s="8">
        <v>0.0</v>
      </c>
      <c r="G22" s="8" t="s">
        <v>2889</v>
      </c>
      <c r="H22" s="8" t="s">
        <v>22</v>
      </c>
      <c r="I22" s="8" t="s">
        <v>2725</v>
      </c>
      <c r="J22" s="8" t="s">
        <v>39</v>
      </c>
      <c r="K22" s="9">
        <v>0.5</v>
      </c>
      <c r="L22" s="9">
        <v>0.5</v>
      </c>
      <c r="M22" s="9">
        <v>0.5</v>
      </c>
      <c r="N22" s="10">
        <v>45142.0</v>
      </c>
      <c r="O22" s="11">
        <v>1.9</v>
      </c>
      <c r="P22" s="8" t="s">
        <v>33</v>
      </c>
      <c r="Q22" s="12">
        <f t="shared" si="1"/>
        <v>0.45</v>
      </c>
      <c r="R22" s="12">
        <f t="shared" si="4"/>
        <v>1.494775</v>
      </c>
      <c r="T22" s="66">
        <v>45159.0</v>
      </c>
      <c r="U22" s="13">
        <f t="shared" si="2"/>
        <v>0</v>
      </c>
    </row>
    <row r="23">
      <c r="A23" s="15">
        <f t="shared" si="3"/>
        <v>22</v>
      </c>
      <c r="B23" s="15" t="s">
        <v>19</v>
      </c>
      <c r="C23" s="15" t="s">
        <v>2941</v>
      </c>
      <c r="D23" s="15" t="s">
        <v>5564</v>
      </c>
      <c r="E23" s="15" t="s">
        <v>2556</v>
      </c>
      <c r="F23" s="15">
        <v>-2.0</v>
      </c>
      <c r="G23" s="15" t="s">
        <v>157</v>
      </c>
      <c r="H23" s="15" t="s">
        <v>22</v>
      </c>
      <c r="I23" s="15" t="s">
        <v>225</v>
      </c>
      <c r="J23" s="15" t="s">
        <v>24</v>
      </c>
      <c r="K23" s="16">
        <v>1.0</v>
      </c>
      <c r="L23" s="16">
        <v>0.5</v>
      </c>
      <c r="M23" s="16">
        <v>0.5</v>
      </c>
      <c r="N23" s="17">
        <v>45142.0</v>
      </c>
      <c r="O23" s="18">
        <v>1.105</v>
      </c>
      <c r="P23" s="15" t="s">
        <v>33</v>
      </c>
      <c r="Q23" s="19">
        <f t="shared" si="1"/>
        <v>0.0525</v>
      </c>
      <c r="R23" s="19">
        <f t="shared" si="4"/>
        <v>1.547275</v>
      </c>
      <c r="T23" s="66">
        <v>45160.0</v>
      </c>
      <c r="U23" s="13">
        <f t="shared" si="2"/>
        <v>-0.578</v>
      </c>
    </row>
    <row r="24">
      <c r="A24" s="8">
        <f t="shared" si="3"/>
        <v>23</v>
      </c>
      <c r="B24" s="8" t="s">
        <v>19</v>
      </c>
      <c r="C24" s="8" t="s">
        <v>2942</v>
      </c>
      <c r="D24" s="8" t="s">
        <v>5564</v>
      </c>
      <c r="E24" s="8" t="s">
        <v>2660</v>
      </c>
      <c r="F24" s="8">
        <f>1</f>
        <v>1</v>
      </c>
      <c r="G24" s="8" t="s">
        <v>101</v>
      </c>
      <c r="H24" s="8" t="s">
        <v>22</v>
      </c>
      <c r="I24" s="8" t="s">
        <v>892</v>
      </c>
      <c r="J24" s="8" t="s">
        <v>1522</v>
      </c>
      <c r="K24" s="9">
        <v>0.0</v>
      </c>
      <c r="L24" s="9">
        <v>0.5</v>
      </c>
      <c r="M24" s="9">
        <v>0.5</v>
      </c>
      <c r="N24" s="10">
        <v>45142.0</v>
      </c>
      <c r="O24" s="11">
        <v>1.6</v>
      </c>
      <c r="P24" s="8" t="s">
        <v>33</v>
      </c>
      <c r="Q24" s="12">
        <f t="shared" si="1"/>
        <v>0.3</v>
      </c>
      <c r="R24" s="12">
        <f t="shared" si="4"/>
        <v>1.847275</v>
      </c>
      <c r="T24" s="66">
        <v>45161.0</v>
      </c>
      <c r="U24" s="13">
        <f t="shared" si="2"/>
        <v>-4.5375</v>
      </c>
    </row>
    <row r="25">
      <c r="A25" s="15">
        <f t="shared" si="3"/>
        <v>24</v>
      </c>
      <c r="B25" s="15" t="s">
        <v>19</v>
      </c>
      <c r="C25" s="15" t="s">
        <v>2943</v>
      </c>
      <c r="D25" s="15" t="s">
        <v>5564</v>
      </c>
      <c r="E25" s="15" t="s">
        <v>2660</v>
      </c>
      <c r="F25" s="15"/>
      <c r="G25" s="15" t="s">
        <v>82</v>
      </c>
      <c r="H25" s="15" t="s">
        <v>598</v>
      </c>
      <c r="I25" s="15" t="s">
        <v>892</v>
      </c>
      <c r="J25" s="15" t="s">
        <v>39</v>
      </c>
      <c r="K25" s="16">
        <v>0.0</v>
      </c>
      <c r="L25" s="16">
        <v>0.5</v>
      </c>
      <c r="M25" s="16">
        <v>0.5</v>
      </c>
      <c r="N25" s="17">
        <v>45144.0</v>
      </c>
      <c r="O25" s="18">
        <v>1.925</v>
      </c>
      <c r="P25" s="15" t="s">
        <v>25</v>
      </c>
      <c r="Q25" s="19">
        <f t="shared" si="1"/>
        <v>-0.5</v>
      </c>
      <c r="R25" s="19">
        <f t="shared" si="4"/>
        <v>1.347275</v>
      </c>
      <c r="T25" s="66">
        <v>45162.0</v>
      </c>
      <c r="U25" s="13">
        <f t="shared" si="2"/>
        <v>1.365</v>
      </c>
    </row>
    <row r="26">
      <c r="A26" s="8">
        <f t="shared" si="3"/>
        <v>25</v>
      </c>
      <c r="B26" s="8" t="s">
        <v>19</v>
      </c>
      <c r="C26" s="8" t="s">
        <v>2944</v>
      </c>
      <c r="D26" s="8" t="s">
        <v>5564</v>
      </c>
      <c r="E26" s="8" t="s">
        <v>2556</v>
      </c>
      <c r="F26" s="8">
        <v>0.0</v>
      </c>
      <c r="G26" s="8" t="s">
        <v>44</v>
      </c>
      <c r="H26" s="8" t="s">
        <v>22</v>
      </c>
      <c r="I26" s="8" t="s">
        <v>225</v>
      </c>
      <c r="J26" s="8" t="s">
        <v>1522</v>
      </c>
      <c r="K26" s="9">
        <v>1.0</v>
      </c>
      <c r="L26" s="9">
        <v>0.25</v>
      </c>
      <c r="M26" s="9">
        <v>0.25</v>
      </c>
      <c r="N26" s="10">
        <v>45142.0</v>
      </c>
      <c r="O26" s="11">
        <v>1.7</v>
      </c>
      <c r="P26" s="8" t="s">
        <v>33</v>
      </c>
      <c r="Q26" s="12">
        <f t="shared" si="1"/>
        <v>0.175</v>
      </c>
      <c r="R26" s="12">
        <f t="shared" si="4"/>
        <v>1.522275</v>
      </c>
      <c r="T26" s="66">
        <v>45163.0</v>
      </c>
      <c r="U26" s="13">
        <f t="shared" si="2"/>
        <v>-0.788875</v>
      </c>
    </row>
    <row r="27">
      <c r="A27" s="15">
        <f t="shared" si="3"/>
        <v>26</v>
      </c>
      <c r="B27" s="15" t="s">
        <v>19</v>
      </c>
      <c r="C27" s="15" t="s">
        <v>2945</v>
      </c>
      <c r="D27" s="15" t="s">
        <v>5565</v>
      </c>
      <c r="E27" s="15" t="s">
        <v>2556</v>
      </c>
      <c r="F27" s="15">
        <v>-2.0</v>
      </c>
      <c r="G27" s="15" t="s">
        <v>513</v>
      </c>
      <c r="H27" s="15" t="s">
        <v>22</v>
      </c>
      <c r="I27" s="15" t="s">
        <v>225</v>
      </c>
      <c r="J27" s="15" t="s">
        <v>39</v>
      </c>
      <c r="K27" s="16">
        <v>0.5</v>
      </c>
      <c r="L27" s="16">
        <v>0.5</v>
      </c>
      <c r="M27" s="16">
        <v>0.5</v>
      </c>
      <c r="N27" s="17">
        <v>45142.0</v>
      </c>
      <c r="O27" s="18">
        <f>218.58/150</f>
        <v>1.4572</v>
      </c>
      <c r="P27" s="15" t="s">
        <v>33</v>
      </c>
      <c r="Q27" s="19">
        <f t="shared" si="1"/>
        <v>0.2286</v>
      </c>
      <c r="R27" s="19">
        <f t="shared" si="4"/>
        <v>1.750875</v>
      </c>
      <c r="T27" s="66">
        <v>45164.0</v>
      </c>
      <c r="U27" s="13">
        <f t="shared" si="2"/>
        <v>3.388994676</v>
      </c>
    </row>
    <row r="28">
      <c r="A28" s="8">
        <f t="shared" si="3"/>
        <v>27</v>
      </c>
      <c r="B28" s="8" t="s">
        <v>19</v>
      </c>
      <c r="C28" s="8" t="s">
        <v>2946</v>
      </c>
      <c r="D28" s="8" t="s">
        <v>5565</v>
      </c>
      <c r="E28" s="8"/>
      <c r="F28" s="8"/>
      <c r="G28" s="8" t="s">
        <v>82</v>
      </c>
      <c r="H28" s="8" t="s">
        <v>598</v>
      </c>
      <c r="I28" s="8" t="s">
        <v>2415</v>
      </c>
      <c r="J28" s="8" t="s">
        <v>39</v>
      </c>
      <c r="K28" s="9">
        <v>5.5</v>
      </c>
      <c r="L28" s="9">
        <v>0.25</v>
      </c>
      <c r="M28" s="9">
        <v>0.25</v>
      </c>
      <c r="N28" s="10">
        <v>45144.0</v>
      </c>
      <c r="O28" s="11">
        <v>1.9</v>
      </c>
      <c r="P28" s="8" t="s">
        <v>25</v>
      </c>
      <c r="Q28" s="12">
        <f t="shared" si="1"/>
        <v>-0.25</v>
      </c>
      <c r="R28" s="12">
        <f t="shared" si="4"/>
        <v>1.500875</v>
      </c>
      <c r="T28" s="66">
        <v>45165.0</v>
      </c>
      <c r="U28" s="13">
        <f t="shared" si="2"/>
        <v>1.8353</v>
      </c>
    </row>
    <row r="29">
      <c r="A29" s="15">
        <f t="shared" si="3"/>
        <v>28</v>
      </c>
      <c r="B29" s="15" t="s">
        <v>19</v>
      </c>
      <c r="C29" s="15" t="s">
        <v>2947</v>
      </c>
      <c r="D29" s="15" t="s">
        <v>5564</v>
      </c>
      <c r="E29" s="15" t="s">
        <v>2556</v>
      </c>
      <c r="F29" s="15">
        <v>-4.0</v>
      </c>
      <c r="G29" s="15" t="s">
        <v>513</v>
      </c>
      <c r="H29" s="15" t="s">
        <v>22</v>
      </c>
      <c r="I29" s="15" t="s">
        <v>225</v>
      </c>
      <c r="J29" s="15" t="s">
        <v>1851</v>
      </c>
      <c r="K29" s="16">
        <v>0.25</v>
      </c>
      <c r="L29" s="16">
        <v>0.5</v>
      </c>
      <c r="M29" s="16">
        <f>0.103*0.5</f>
        <v>0.0515</v>
      </c>
      <c r="N29" s="17">
        <v>45142.0</v>
      </c>
      <c r="O29" s="18">
        <v>1.1</v>
      </c>
      <c r="P29" s="15" t="s">
        <v>33</v>
      </c>
      <c r="Q29" s="19">
        <f t="shared" si="1"/>
        <v>0.00515</v>
      </c>
      <c r="R29" s="19">
        <f t="shared" si="4"/>
        <v>1.506025</v>
      </c>
      <c r="T29" s="66">
        <v>45166.0</v>
      </c>
      <c r="U29" s="13">
        <f t="shared" si="2"/>
        <v>0</v>
      </c>
    </row>
    <row r="30">
      <c r="A30" s="8">
        <f t="shared" si="3"/>
        <v>29</v>
      </c>
      <c r="B30" s="8" t="s">
        <v>19</v>
      </c>
      <c r="C30" s="8" t="s">
        <v>2948</v>
      </c>
      <c r="D30" s="8" t="s">
        <v>5564</v>
      </c>
      <c r="E30" s="8" t="s">
        <v>2556</v>
      </c>
      <c r="F30" s="8">
        <v>0.0</v>
      </c>
      <c r="G30" s="8" t="s">
        <v>101</v>
      </c>
      <c r="H30" s="8" t="s">
        <v>22</v>
      </c>
      <c r="I30" s="8" t="s">
        <v>225</v>
      </c>
      <c r="J30" s="8" t="s">
        <v>24</v>
      </c>
      <c r="K30" s="9">
        <v>0.25</v>
      </c>
      <c r="L30" s="9">
        <v>0.75</v>
      </c>
      <c r="M30" s="9">
        <v>0.75</v>
      </c>
      <c r="N30" s="10">
        <v>45142.0</v>
      </c>
      <c r="O30" s="11">
        <v>1.5</v>
      </c>
      <c r="P30" s="8" t="s">
        <v>33</v>
      </c>
      <c r="Q30" s="12">
        <f t="shared" si="1"/>
        <v>0.375</v>
      </c>
      <c r="R30" s="12">
        <f t="shared" si="4"/>
        <v>1.881025</v>
      </c>
      <c r="T30" s="66">
        <v>45167.0</v>
      </c>
      <c r="U30" s="13">
        <f t="shared" si="2"/>
        <v>0.2</v>
      </c>
    </row>
    <row r="31">
      <c r="A31" s="15">
        <f t="shared" si="3"/>
        <v>30</v>
      </c>
      <c r="B31" s="15" t="s">
        <v>19</v>
      </c>
      <c r="C31" s="15" t="s">
        <v>2949</v>
      </c>
      <c r="D31" s="15" t="s">
        <v>5564</v>
      </c>
      <c r="E31" s="15" t="s">
        <v>2660</v>
      </c>
      <c r="F31" s="15">
        <f>1</f>
        <v>1</v>
      </c>
      <c r="G31" s="15" t="s">
        <v>178</v>
      </c>
      <c r="H31" s="15" t="s">
        <v>22</v>
      </c>
      <c r="I31" s="15" t="s">
        <v>892</v>
      </c>
      <c r="J31" s="15" t="s">
        <v>1851</v>
      </c>
      <c r="K31" s="16">
        <v>0.0</v>
      </c>
      <c r="L31" s="16">
        <v>0.25</v>
      </c>
      <c r="M31" s="16">
        <f>13/21*0.25</f>
        <v>0.1547619048</v>
      </c>
      <c r="N31" s="17">
        <v>45142.0</v>
      </c>
      <c r="O31" s="18">
        <v>1.65</v>
      </c>
      <c r="P31" s="15" t="s">
        <v>33</v>
      </c>
      <c r="Q31" s="19">
        <f t="shared" si="1"/>
        <v>0.1005952381</v>
      </c>
      <c r="R31" s="19">
        <f t="shared" si="4"/>
        <v>1.981620238</v>
      </c>
      <c r="T31" s="66">
        <v>45168.0</v>
      </c>
      <c r="U31" s="13">
        <f t="shared" si="2"/>
        <v>1.18593</v>
      </c>
    </row>
    <row r="32">
      <c r="A32" s="8">
        <f t="shared" si="3"/>
        <v>31</v>
      </c>
      <c r="B32" s="8" t="s">
        <v>19</v>
      </c>
      <c r="C32" s="8" t="s">
        <v>2950</v>
      </c>
      <c r="D32" s="8" t="s">
        <v>5564</v>
      </c>
      <c r="E32" s="8" t="s">
        <v>2660</v>
      </c>
      <c r="F32" s="8">
        <v>0.0</v>
      </c>
      <c r="G32" s="8" t="s">
        <v>44</v>
      </c>
      <c r="H32" s="8" t="s">
        <v>22</v>
      </c>
      <c r="I32" s="8" t="s">
        <v>1150</v>
      </c>
      <c r="J32" s="8" t="s">
        <v>1851</v>
      </c>
      <c r="K32" s="9">
        <v>0.0</v>
      </c>
      <c r="L32" s="9">
        <v>0.25</v>
      </c>
      <c r="M32" s="9">
        <v>0.25</v>
      </c>
      <c r="N32" s="10">
        <v>45143.0</v>
      </c>
      <c r="O32" s="11">
        <v>1.75</v>
      </c>
      <c r="P32" s="8" t="s">
        <v>70</v>
      </c>
      <c r="Q32" s="12">
        <f t="shared" si="1"/>
        <v>0</v>
      </c>
      <c r="R32" s="12">
        <f t="shared" si="4"/>
        <v>1.981620238</v>
      </c>
      <c r="T32" s="66">
        <v>45169.0</v>
      </c>
      <c r="U32" s="13">
        <f t="shared" si="2"/>
        <v>0.375</v>
      </c>
    </row>
    <row r="33">
      <c r="A33" s="15">
        <f t="shared" si="3"/>
        <v>32</v>
      </c>
      <c r="B33" s="15" t="s">
        <v>19</v>
      </c>
      <c r="C33" s="15" t="s">
        <v>2951</v>
      </c>
      <c r="D33" s="15" t="s">
        <v>5564</v>
      </c>
      <c r="E33" s="15" t="s">
        <v>2556</v>
      </c>
      <c r="F33" s="15">
        <v>-1.0</v>
      </c>
      <c r="G33" s="15" t="s">
        <v>593</v>
      </c>
      <c r="H33" s="15" t="s">
        <v>22</v>
      </c>
      <c r="I33" s="15" t="s">
        <v>225</v>
      </c>
      <c r="J33" s="15" t="s">
        <v>24</v>
      </c>
      <c r="K33" s="16">
        <v>0.25</v>
      </c>
      <c r="L33" s="16">
        <v>0.5</v>
      </c>
      <c r="M33" s="16">
        <v>0.5</v>
      </c>
      <c r="N33" s="17">
        <v>45143.0</v>
      </c>
      <c r="O33" s="18">
        <v>1.825</v>
      </c>
      <c r="P33" s="15" t="s">
        <v>25</v>
      </c>
      <c r="Q33" s="19">
        <f t="shared" si="1"/>
        <v>-0.5</v>
      </c>
      <c r="R33" s="19">
        <f t="shared" si="4"/>
        <v>1.481620238</v>
      </c>
      <c r="T33" s="94" t="s">
        <v>89</v>
      </c>
      <c r="U33" s="28">
        <f>SUM(U2:U32)</f>
        <v>11.01506051</v>
      </c>
    </row>
    <row r="34">
      <c r="A34" s="8">
        <f t="shared" si="3"/>
        <v>33</v>
      </c>
      <c r="B34" s="8" t="s">
        <v>19</v>
      </c>
      <c r="C34" s="8" t="s">
        <v>2952</v>
      </c>
      <c r="D34" s="8" t="s">
        <v>5564</v>
      </c>
      <c r="E34" s="8" t="s">
        <v>2556</v>
      </c>
      <c r="F34" s="8">
        <v>0.0</v>
      </c>
      <c r="G34" s="8" t="s">
        <v>44</v>
      </c>
      <c r="H34" s="8" t="s">
        <v>22</v>
      </c>
      <c r="I34" s="8" t="s">
        <v>225</v>
      </c>
      <c r="J34" s="8" t="s">
        <v>1851</v>
      </c>
      <c r="K34" s="9">
        <v>0.25</v>
      </c>
      <c r="L34" s="9">
        <v>0.5</v>
      </c>
      <c r="M34" s="9">
        <v>0.5</v>
      </c>
      <c r="N34" s="10">
        <v>45143.0</v>
      </c>
      <c r="O34" s="11">
        <v>1.85</v>
      </c>
      <c r="P34" s="8" t="s">
        <v>30</v>
      </c>
      <c r="Q34" s="12">
        <f t="shared" si="1"/>
        <v>0.2125</v>
      </c>
      <c r="R34" s="12">
        <f t="shared" si="4"/>
        <v>1.694120238</v>
      </c>
      <c r="T34" s="30"/>
    </row>
    <row r="35">
      <c r="A35" s="15">
        <f t="shared" si="3"/>
        <v>34</v>
      </c>
      <c r="B35" s="15" t="s">
        <v>19</v>
      </c>
      <c r="C35" s="15" t="s">
        <v>2953</v>
      </c>
      <c r="D35" s="15" t="s">
        <v>5565</v>
      </c>
      <c r="E35" s="15" t="s">
        <v>2556</v>
      </c>
      <c r="F35" s="15">
        <v>0.0</v>
      </c>
      <c r="G35" s="15" t="s">
        <v>44</v>
      </c>
      <c r="H35" s="15" t="s">
        <v>22</v>
      </c>
      <c r="I35" s="15" t="s">
        <v>225</v>
      </c>
      <c r="J35" s="15" t="s">
        <v>24</v>
      </c>
      <c r="K35" s="16">
        <v>0.5</v>
      </c>
      <c r="L35" s="16">
        <v>0.5</v>
      </c>
      <c r="M35" s="16">
        <v>0.5</v>
      </c>
      <c r="N35" s="17">
        <v>45143.0</v>
      </c>
      <c r="O35" s="18">
        <v>1.635</v>
      </c>
      <c r="P35" s="15" t="s">
        <v>33</v>
      </c>
      <c r="Q35" s="19">
        <f t="shared" si="1"/>
        <v>0.3175</v>
      </c>
      <c r="R35" s="19">
        <f t="shared" si="4"/>
        <v>2.011620238</v>
      </c>
      <c r="T35" s="30"/>
    </row>
    <row r="36">
      <c r="A36" s="8">
        <f t="shared" si="3"/>
        <v>35</v>
      </c>
      <c r="B36" s="8" t="s">
        <v>19</v>
      </c>
      <c r="C36" s="8" t="s">
        <v>2954</v>
      </c>
      <c r="D36" s="8" t="s">
        <v>5564</v>
      </c>
      <c r="E36" s="8" t="s">
        <v>2556</v>
      </c>
      <c r="F36" s="8">
        <v>0.0</v>
      </c>
      <c r="G36" s="8" t="s">
        <v>44</v>
      </c>
      <c r="H36" s="8" t="s">
        <v>22</v>
      </c>
      <c r="I36" s="8" t="s">
        <v>225</v>
      </c>
      <c r="J36" s="8" t="s">
        <v>24</v>
      </c>
      <c r="K36" s="9">
        <v>1.0</v>
      </c>
      <c r="L36" s="9">
        <v>0.5</v>
      </c>
      <c r="M36" s="9">
        <v>0.5</v>
      </c>
      <c r="N36" s="10">
        <v>45143.0</v>
      </c>
      <c r="O36" s="11">
        <v>1.735</v>
      </c>
      <c r="P36" s="8" t="s">
        <v>33</v>
      </c>
      <c r="Q36" s="12">
        <f t="shared" si="1"/>
        <v>0.3675</v>
      </c>
      <c r="R36" s="12">
        <f t="shared" si="4"/>
        <v>2.379120238</v>
      </c>
      <c r="T36" s="30"/>
    </row>
    <row r="37">
      <c r="A37" s="15">
        <f t="shared" si="3"/>
        <v>36</v>
      </c>
      <c r="B37" s="15" t="s">
        <v>19</v>
      </c>
      <c r="C37" s="15" t="s">
        <v>2955</v>
      </c>
      <c r="D37" s="15" t="s">
        <v>5564</v>
      </c>
      <c r="E37" s="15" t="s">
        <v>2556</v>
      </c>
      <c r="F37" s="15">
        <v>-1.0</v>
      </c>
      <c r="G37" s="15" t="s">
        <v>920</v>
      </c>
      <c r="H37" s="15" t="s">
        <v>22</v>
      </c>
      <c r="I37" s="15" t="s">
        <v>225</v>
      </c>
      <c r="J37" s="15" t="s">
        <v>24</v>
      </c>
      <c r="K37" s="16">
        <v>0.5</v>
      </c>
      <c r="L37" s="16">
        <v>0.5</v>
      </c>
      <c r="M37" s="16">
        <v>0.5</v>
      </c>
      <c r="N37" s="17">
        <v>45143.0</v>
      </c>
      <c r="O37" s="18">
        <v>1.85</v>
      </c>
      <c r="P37" s="15" t="s">
        <v>25</v>
      </c>
      <c r="Q37" s="19">
        <f t="shared" si="1"/>
        <v>-0.5</v>
      </c>
      <c r="R37" s="19">
        <f t="shared" si="4"/>
        <v>1.879120238</v>
      </c>
      <c r="T37" s="30"/>
    </row>
    <row r="38">
      <c r="A38" s="8">
        <f t="shared" si="3"/>
        <v>37</v>
      </c>
      <c r="B38" s="8" t="s">
        <v>19</v>
      </c>
      <c r="C38" s="8" t="s">
        <v>2956</v>
      </c>
      <c r="D38" s="8" t="s">
        <v>5564</v>
      </c>
      <c r="E38" s="8" t="s">
        <v>2556</v>
      </c>
      <c r="F38" s="8">
        <v>-2.0</v>
      </c>
      <c r="G38" s="8" t="s">
        <v>432</v>
      </c>
      <c r="H38" s="8" t="s">
        <v>22</v>
      </c>
      <c r="I38" s="8" t="s">
        <v>225</v>
      </c>
      <c r="J38" s="8" t="s">
        <v>24</v>
      </c>
      <c r="K38" s="9">
        <v>0.25</v>
      </c>
      <c r="L38" s="9">
        <v>0.5</v>
      </c>
      <c r="M38" s="9">
        <v>0.5</v>
      </c>
      <c r="N38" s="54">
        <v>45143.0</v>
      </c>
      <c r="O38" s="11">
        <v>2.075</v>
      </c>
      <c r="P38" s="8" t="s">
        <v>33</v>
      </c>
      <c r="Q38" s="12">
        <f t="shared" si="1"/>
        <v>0.5375</v>
      </c>
      <c r="R38" s="12">
        <f t="shared" si="4"/>
        <v>2.416620238</v>
      </c>
      <c r="T38" s="30"/>
    </row>
    <row r="39">
      <c r="A39" s="15">
        <f t="shared" si="3"/>
        <v>38</v>
      </c>
      <c r="B39" s="15" t="s">
        <v>19</v>
      </c>
      <c r="C39" s="15" t="s">
        <v>2957</v>
      </c>
      <c r="D39" s="15" t="s">
        <v>5565</v>
      </c>
      <c r="E39" s="15" t="s">
        <v>2556</v>
      </c>
      <c r="F39" s="15">
        <f>1</f>
        <v>1</v>
      </c>
      <c r="G39" s="15" t="s">
        <v>38</v>
      </c>
      <c r="H39" s="15" t="s">
        <v>22</v>
      </c>
      <c r="I39" s="15" t="s">
        <v>225</v>
      </c>
      <c r="J39" s="15" t="s">
        <v>1851</v>
      </c>
      <c r="K39" s="16">
        <v>0.25</v>
      </c>
      <c r="L39" s="16">
        <v>0.5</v>
      </c>
      <c r="M39" s="16">
        <v>0.5</v>
      </c>
      <c r="N39" s="17">
        <v>45143.0</v>
      </c>
      <c r="O39" s="18">
        <f>1.275</f>
        <v>1.275</v>
      </c>
      <c r="P39" s="15" t="s">
        <v>33</v>
      </c>
      <c r="Q39" s="19">
        <f t="shared" si="1"/>
        <v>0.1375</v>
      </c>
      <c r="R39" s="19">
        <f t="shared" si="4"/>
        <v>2.554120238</v>
      </c>
      <c r="T39" s="30"/>
    </row>
    <row r="40">
      <c r="A40" s="8">
        <f t="shared" si="3"/>
        <v>39</v>
      </c>
      <c r="B40" s="8" t="s">
        <v>19</v>
      </c>
      <c r="C40" s="8" t="s">
        <v>2958</v>
      </c>
      <c r="D40" s="8" t="s">
        <v>5565</v>
      </c>
      <c r="E40" s="8" t="s">
        <v>2660</v>
      </c>
      <c r="F40" s="8">
        <v>0.0</v>
      </c>
      <c r="G40" s="8" t="s">
        <v>28</v>
      </c>
      <c r="H40" s="8" t="s">
        <v>22</v>
      </c>
      <c r="I40" s="8" t="s">
        <v>892</v>
      </c>
      <c r="J40" s="8" t="s">
        <v>39</v>
      </c>
      <c r="K40" s="9">
        <v>0.0</v>
      </c>
      <c r="L40" s="9">
        <v>0.5</v>
      </c>
      <c r="M40" s="9">
        <v>0.5</v>
      </c>
      <c r="N40" s="10">
        <v>45143.0</v>
      </c>
      <c r="O40" s="11">
        <v>1.8</v>
      </c>
      <c r="P40" s="8" t="s">
        <v>25</v>
      </c>
      <c r="Q40" s="12">
        <f t="shared" si="1"/>
        <v>-0.5</v>
      </c>
      <c r="R40" s="12">
        <f t="shared" si="4"/>
        <v>2.054120238</v>
      </c>
      <c r="T40" s="30"/>
    </row>
    <row r="41">
      <c r="A41" s="15">
        <f t="shared" si="3"/>
        <v>40</v>
      </c>
      <c r="B41" s="15" t="s">
        <v>19</v>
      </c>
      <c r="C41" s="15" t="s">
        <v>2959</v>
      </c>
      <c r="D41" s="15"/>
      <c r="E41" s="15"/>
      <c r="F41" s="15" t="s">
        <v>2960</v>
      </c>
      <c r="G41" s="15" t="s">
        <v>432</v>
      </c>
      <c r="H41" s="15" t="s">
        <v>22</v>
      </c>
      <c r="I41" s="15" t="s">
        <v>23</v>
      </c>
      <c r="J41" s="15" t="s">
        <v>24</v>
      </c>
      <c r="K41" s="16">
        <v>-11.0</v>
      </c>
      <c r="L41" s="16">
        <v>0.25</v>
      </c>
      <c r="M41" s="16">
        <v>0.25</v>
      </c>
      <c r="N41" s="17">
        <v>45143.0</v>
      </c>
      <c r="O41" s="18">
        <v>1.72</v>
      </c>
      <c r="P41" s="15" t="s">
        <v>33</v>
      </c>
      <c r="Q41" s="19">
        <f t="shared" si="1"/>
        <v>0.18</v>
      </c>
      <c r="R41" s="19">
        <f t="shared" si="4"/>
        <v>2.234120238</v>
      </c>
      <c r="T41" s="30"/>
    </row>
    <row r="42">
      <c r="A42" s="8">
        <f t="shared" si="3"/>
        <v>41</v>
      </c>
      <c r="B42" s="8" t="s">
        <v>40</v>
      </c>
      <c r="C42" s="8" t="s">
        <v>2961</v>
      </c>
      <c r="D42" s="8"/>
      <c r="E42" s="8" t="s">
        <v>2939</v>
      </c>
      <c r="F42" s="8" t="s">
        <v>2615</v>
      </c>
      <c r="G42" s="8" t="s">
        <v>82</v>
      </c>
      <c r="H42" s="8" t="s">
        <v>22</v>
      </c>
      <c r="I42" s="8" t="s">
        <v>2962</v>
      </c>
      <c r="J42" s="8" t="s">
        <v>24</v>
      </c>
      <c r="K42" s="9">
        <v>-0.5</v>
      </c>
      <c r="L42" s="9">
        <v>0.25</v>
      </c>
      <c r="M42" s="9">
        <v>0.25</v>
      </c>
      <c r="N42" s="10">
        <v>45143.0</v>
      </c>
      <c r="O42" s="11">
        <v>1.06</v>
      </c>
      <c r="P42" s="8" t="s">
        <v>33</v>
      </c>
      <c r="Q42" s="12">
        <f t="shared" si="1"/>
        <v>0.015</v>
      </c>
      <c r="R42" s="12">
        <f t="shared" si="4"/>
        <v>2.249120238</v>
      </c>
      <c r="T42" s="30"/>
    </row>
    <row r="43">
      <c r="A43" s="15">
        <f t="shared" si="3"/>
        <v>42</v>
      </c>
      <c r="B43" s="15" t="s">
        <v>19</v>
      </c>
      <c r="C43" s="15" t="s">
        <v>2963</v>
      </c>
      <c r="D43" s="15"/>
      <c r="E43" s="15"/>
      <c r="F43" s="15" t="s">
        <v>2964</v>
      </c>
      <c r="G43" s="15" t="s">
        <v>82</v>
      </c>
      <c r="H43" s="15" t="s">
        <v>22</v>
      </c>
      <c r="I43" s="15" t="s">
        <v>2965</v>
      </c>
      <c r="J43" s="15" t="s">
        <v>24</v>
      </c>
      <c r="K43" s="16">
        <v>-3.5</v>
      </c>
      <c r="L43" s="16">
        <v>0.25</v>
      </c>
      <c r="M43" s="16">
        <v>0.25</v>
      </c>
      <c r="N43" s="17">
        <v>45143.0</v>
      </c>
      <c r="O43" s="18">
        <v>2.0</v>
      </c>
      <c r="P43" s="15" t="s">
        <v>25</v>
      </c>
      <c r="Q43" s="19">
        <f t="shared" si="1"/>
        <v>-0.25</v>
      </c>
      <c r="R43" s="19">
        <f t="shared" si="4"/>
        <v>1.999120238</v>
      </c>
    </row>
    <row r="44">
      <c r="A44" s="8">
        <f t="shared" si="3"/>
        <v>43</v>
      </c>
      <c r="B44" s="8" t="s">
        <v>19</v>
      </c>
      <c r="C44" s="8" t="s">
        <v>2966</v>
      </c>
      <c r="D44" s="8" t="s">
        <v>5564</v>
      </c>
      <c r="E44" s="8" t="s">
        <v>2556</v>
      </c>
      <c r="F44" s="8">
        <v>-1.0</v>
      </c>
      <c r="G44" s="8" t="s">
        <v>513</v>
      </c>
      <c r="H44" s="8" t="s">
        <v>22</v>
      </c>
      <c r="I44" s="8" t="s">
        <v>225</v>
      </c>
      <c r="J44" s="8" t="s">
        <v>24</v>
      </c>
      <c r="K44" s="9">
        <v>1.0</v>
      </c>
      <c r="L44" s="9">
        <v>0.5</v>
      </c>
      <c r="M44" s="9">
        <v>0.5</v>
      </c>
      <c r="N44" s="10">
        <v>45144.0</v>
      </c>
      <c r="O44" s="11">
        <f>161/150</f>
        <v>1.073333333</v>
      </c>
      <c r="P44" s="8" t="s">
        <v>33</v>
      </c>
      <c r="Q44" s="12">
        <f t="shared" si="1"/>
        <v>0.03666666667</v>
      </c>
      <c r="R44" s="12">
        <f t="shared" si="4"/>
        <v>2.035786905</v>
      </c>
    </row>
    <row r="45">
      <c r="A45" s="15">
        <f t="shared" si="3"/>
        <v>44</v>
      </c>
      <c r="B45" s="15" t="s">
        <v>19</v>
      </c>
      <c r="C45" s="15" t="s">
        <v>2967</v>
      </c>
      <c r="D45" s="15" t="s">
        <v>5565</v>
      </c>
      <c r="E45" s="15" t="s">
        <v>2556</v>
      </c>
      <c r="F45" s="15"/>
      <c r="G45" s="15" t="s">
        <v>82</v>
      </c>
      <c r="H45" s="15" t="s">
        <v>598</v>
      </c>
      <c r="I45" s="15" t="s">
        <v>225</v>
      </c>
      <c r="J45" s="15" t="s">
        <v>39</v>
      </c>
      <c r="K45" s="16">
        <v>0.25</v>
      </c>
      <c r="L45" s="16">
        <v>0.25</v>
      </c>
      <c r="M45" s="16">
        <v>0.25</v>
      </c>
      <c r="N45" s="17">
        <v>45144.0</v>
      </c>
      <c r="O45" s="18">
        <v>1.79</v>
      </c>
      <c r="P45" s="15" t="s">
        <v>25</v>
      </c>
      <c r="Q45" s="19">
        <f t="shared" si="1"/>
        <v>-0.25</v>
      </c>
      <c r="R45" s="19">
        <f t="shared" si="4"/>
        <v>1.785786905</v>
      </c>
    </row>
    <row r="46">
      <c r="A46" s="8">
        <f t="shared" si="3"/>
        <v>45</v>
      </c>
      <c r="B46" s="8" t="s">
        <v>19</v>
      </c>
      <c r="C46" s="8" t="s">
        <v>2968</v>
      </c>
      <c r="D46" s="8"/>
      <c r="E46" s="8"/>
      <c r="F46" s="8" t="s">
        <v>2615</v>
      </c>
      <c r="G46" s="8" t="s">
        <v>82</v>
      </c>
      <c r="H46" s="8" t="s">
        <v>22</v>
      </c>
      <c r="I46" s="8" t="s">
        <v>29</v>
      </c>
      <c r="J46" s="8" t="s">
        <v>24</v>
      </c>
      <c r="K46" s="9">
        <v>-8.5</v>
      </c>
      <c r="L46" s="9">
        <v>0.5</v>
      </c>
      <c r="M46" s="9">
        <f>13/19*0.5</f>
        <v>0.3421052632</v>
      </c>
      <c r="N46" s="10">
        <v>45144.0</v>
      </c>
      <c r="O46" s="11">
        <v>1.825</v>
      </c>
      <c r="P46" s="8" t="s">
        <v>33</v>
      </c>
      <c r="Q46" s="12">
        <f t="shared" si="1"/>
        <v>0.2822368421</v>
      </c>
      <c r="R46" s="12">
        <f t="shared" si="4"/>
        <v>2.068023747</v>
      </c>
    </row>
    <row r="47">
      <c r="A47" s="15">
        <f t="shared" si="3"/>
        <v>46</v>
      </c>
      <c r="B47" s="15" t="s">
        <v>19</v>
      </c>
      <c r="C47" s="15" t="s">
        <v>2969</v>
      </c>
      <c r="D47" s="15" t="s">
        <v>5564</v>
      </c>
      <c r="E47" s="15" t="s">
        <v>2556</v>
      </c>
      <c r="F47" s="15">
        <v>-1.0</v>
      </c>
      <c r="G47" s="15" t="s">
        <v>44</v>
      </c>
      <c r="H47" s="15" t="s">
        <v>22</v>
      </c>
      <c r="I47" s="15" t="s">
        <v>225</v>
      </c>
      <c r="J47" s="15" t="s">
        <v>1522</v>
      </c>
      <c r="K47" s="16">
        <v>1.0</v>
      </c>
      <c r="L47" s="16">
        <v>0.75</v>
      </c>
      <c r="M47" s="16">
        <v>0.75</v>
      </c>
      <c r="N47" s="17">
        <v>45144.0</v>
      </c>
      <c r="O47" s="18">
        <v>1.9</v>
      </c>
      <c r="P47" s="15" t="s">
        <v>25</v>
      </c>
      <c r="Q47" s="19">
        <f t="shared" si="1"/>
        <v>-0.75</v>
      </c>
      <c r="R47" s="19">
        <f t="shared" si="4"/>
        <v>1.318023747</v>
      </c>
    </row>
    <row r="48">
      <c r="A48" s="8">
        <f t="shared" si="3"/>
        <v>47</v>
      </c>
      <c r="B48" s="8" t="s">
        <v>19</v>
      </c>
      <c r="C48" s="8" t="s">
        <v>2970</v>
      </c>
      <c r="D48" s="8" t="s">
        <v>5564</v>
      </c>
      <c r="E48" s="8" t="s">
        <v>2556</v>
      </c>
      <c r="F48" s="8">
        <v>-1.0</v>
      </c>
      <c r="G48" s="8" t="s">
        <v>78</v>
      </c>
      <c r="H48" s="8" t="s">
        <v>22</v>
      </c>
      <c r="I48" s="8" t="s">
        <v>225</v>
      </c>
      <c r="J48" s="8" t="s">
        <v>1522</v>
      </c>
      <c r="K48" s="9">
        <v>0.25</v>
      </c>
      <c r="L48" s="9">
        <v>0.75</v>
      </c>
      <c r="M48" s="9">
        <v>0.75</v>
      </c>
      <c r="N48" s="10">
        <v>45144.0</v>
      </c>
      <c r="O48" s="11">
        <v>1.775</v>
      </c>
      <c r="P48" s="8" t="s">
        <v>25</v>
      </c>
      <c r="Q48" s="12">
        <f t="shared" si="1"/>
        <v>-0.75</v>
      </c>
      <c r="R48" s="12">
        <f t="shared" si="4"/>
        <v>0.5680237469</v>
      </c>
    </row>
    <row r="49">
      <c r="A49" s="15">
        <f t="shared" si="3"/>
        <v>48</v>
      </c>
      <c r="B49" s="15" t="s">
        <v>19</v>
      </c>
      <c r="C49" s="15" t="s">
        <v>2971</v>
      </c>
      <c r="D49" s="15" t="s">
        <v>5564</v>
      </c>
      <c r="E49" s="15" t="s">
        <v>2556</v>
      </c>
      <c r="F49" s="15">
        <v>-1.0</v>
      </c>
      <c r="G49" s="15" t="s">
        <v>2873</v>
      </c>
      <c r="H49" s="15" t="s">
        <v>22</v>
      </c>
      <c r="I49" s="15" t="s">
        <v>225</v>
      </c>
      <c r="J49" s="15" t="s">
        <v>39</v>
      </c>
      <c r="K49" s="16">
        <v>0.75</v>
      </c>
      <c r="L49" s="16">
        <v>0.5</v>
      </c>
      <c r="M49" s="16">
        <v>0.5</v>
      </c>
      <c r="N49" s="17">
        <v>45144.0</v>
      </c>
      <c r="O49" s="18">
        <v>1.9</v>
      </c>
      <c r="P49" s="15" t="s">
        <v>79</v>
      </c>
      <c r="Q49" s="19">
        <f t="shared" si="1"/>
        <v>-0.25</v>
      </c>
      <c r="R49" s="19">
        <f t="shared" si="4"/>
        <v>0.3180237469</v>
      </c>
    </row>
    <row r="50">
      <c r="A50" s="8">
        <f t="shared" si="3"/>
        <v>49</v>
      </c>
      <c r="B50" s="8" t="s">
        <v>19</v>
      </c>
      <c r="C50" s="8" t="s">
        <v>2972</v>
      </c>
      <c r="D50" s="8" t="s">
        <v>5565</v>
      </c>
      <c r="E50" s="8" t="s">
        <v>2556</v>
      </c>
      <c r="F50" s="8">
        <v>-2.0</v>
      </c>
      <c r="G50" s="8" t="s">
        <v>2898</v>
      </c>
      <c r="H50" s="8" t="s">
        <v>22</v>
      </c>
      <c r="I50" s="8" t="s">
        <v>225</v>
      </c>
      <c r="J50" s="8" t="s">
        <v>39</v>
      </c>
      <c r="K50" s="9">
        <v>0.5</v>
      </c>
      <c r="L50" s="9">
        <v>0.5</v>
      </c>
      <c r="M50" s="9">
        <v>0.5</v>
      </c>
      <c r="N50" s="10">
        <v>45144.0</v>
      </c>
      <c r="O50" s="11">
        <v>1.775</v>
      </c>
      <c r="P50" s="8" t="s">
        <v>25</v>
      </c>
      <c r="Q50" s="12">
        <f t="shared" si="1"/>
        <v>-0.5</v>
      </c>
      <c r="R50" s="12">
        <f t="shared" si="4"/>
        <v>-0.1819762531</v>
      </c>
    </row>
    <row r="51">
      <c r="A51" s="15">
        <f t="shared" si="3"/>
        <v>50</v>
      </c>
      <c r="B51" s="15" t="s">
        <v>19</v>
      </c>
      <c r="C51" s="15" t="s">
        <v>2973</v>
      </c>
      <c r="D51" s="15" t="s">
        <v>5564</v>
      </c>
      <c r="E51" s="15" t="s">
        <v>2556</v>
      </c>
      <c r="F51" s="15">
        <v>-2.0</v>
      </c>
      <c r="G51" s="15" t="s">
        <v>44</v>
      </c>
      <c r="H51" s="15" t="s">
        <v>22</v>
      </c>
      <c r="I51" s="15" t="s">
        <v>225</v>
      </c>
      <c r="J51" s="15" t="s">
        <v>39</v>
      </c>
      <c r="K51" s="16">
        <v>0.5</v>
      </c>
      <c r="L51" s="16">
        <v>0.25</v>
      </c>
      <c r="M51" s="16">
        <v>0.25</v>
      </c>
      <c r="N51" s="17">
        <v>45144.0</v>
      </c>
      <c r="O51" s="18">
        <v>1.725</v>
      </c>
      <c r="P51" s="15" t="s">
        <v>25</v>
      </c>
      <c r="Q51" s="19">
        <f t="shared" si="1"/>
        <v>-0.25</v>
      </c>
      <c r="R51" s="19">
        <f t="shared" si="4"/>
        <v>-0.4319762531</v>
      </c>
    </row>
    <row r="52">
      <c r="A52" s="8">
        <f t="shared" si="3"/>
        <v>51</v>
      </c>
      <c r="B52" s="8" t="s">
        <v>19</v>
      </c>
      <c r="C52" s="8" t="s">
        <v>2974</v>
      </c>
      <c r="D52" s="8" t="s">
        <v>5565</v>
      </c>
      <c r="E52" s="8" t="s">
        <v>2556</v>
      </c>
      <c r="F52" s="8"/>
      <c r="G52" s="8" t="s">
        <v>38</v>
      </c>
      <c r="H52" s="8" t="s">
        <v>598</v>
      </c>
      <c r="I52" s="8" t="s">
        <v>225</v>
      </c>
      <c r="J52" s="8" t="s">
        <v>1522</v>
      </c>
      <c r="K52" s="9">
        <v>0.75</v>
      </c>
      <c r="L52" s="9">
        <v>0.25</v>
      </c>
      <c r="M52" s="9">
        <v>0.25</v>
      </c>
      <c r="N52" s="10">
        <v>45144.0</v>
      </c>
      <c r="O52" s="11">
        <f>103.77/75</f>
        <v>1.3836</v>
      </c>
      <c r="P52" s="8" t="s">
        <v>33</v>
      </c>
      <c r="Q52" s="12">
        <f t="shared" si="1"/>
        <v>0.0959</v>
      </c>
      <c r="R52" s="12">
        <f t="shared" si="4"/>
        <v>-0.3360762531</v>
      </c>
    </row>
    <row r="53">
      <c r="A53" s="15">
        <f t="shared" si="3"/>
        <v>52</v>
      </c>
      <c r="B53" s="15" t="s">
        <v>19</v>
      </c>
      <c r="C53" s="15" t="s">
        <v>2974</v>
      </c>
      <c r="D53" s="15" t="s">
        <v>5565</v>
      </c>
      <c r="E53" s="15"/>
      <c r="F53" s="15"/>
      <c r="G53" s="15" t="s">
        <v>38</v>
      </c>
      <c r="H53" s="15" t="s">
        <v>598</v>
      </c>
      <c r="I53" s="15" t="s">
        <v>225</v>
      </c>
      <c r="J53" s="15" t="s">
        <v>1522</v>
      </c>
      <c r="K53" s="16">
        <v>0.75</v>
      </c>
      <c r="L53" s="16">
        <v>0.25</v>
      </c>
      <c r="M53" s="16">
        <v>0.25</v>
      </c>
      <c r="N53" s="17">
        <v>45144.0</v>
      </c>
      <c r="O53" s="18">
        <v>1.86</v>
      </c>
      <c r="P53" s="15" t="s">
        <v>33</v>
      </c>
      <c r="Q53" s="19">
        <f t="shared" si="1"/>
        <v>0.215</v>
      </c>
      <c r="R53" s="19">
        <f t="shared" si="4"/>
        <v>-0.1210762531</v>
      </c>
    </row>
    <row r="54">
      <c r="A54" s="8">
        <f t="shared" si="3"/>
        <v>53</v>
      </c>
      <c r="B54" s="8" t="s">
        <v>19</v>
      </c>
      <c r="C54" s="8" t="s">
        <v>2975</v>
      </c>
      <c r="D54" s="8" t="s">
        <v>5565</v>
      </c>
      <c r="E54" s="8" t="s">
        <v>2556</v>
      </c>
      <c r="F54" s="8">
        <v>-1.0</v>
      </c>
      <c r="G54" s="8" t="s">
        <v>525</v>
      </c>
      <c r="H54" s="8" t="s">
        <v>22</v>
      </c>
      <c r="I54" s="8" t="s">
        <v>225</v>
      </c>
      <c r="J54" s="8" t="s">
        <v>24</v>
      </c>
      <c r="K54" s="9">
        <v>0.75</v>
      </c>
      <c r="L54" s="9">
        <v>0.5</v>
      </c>
      <c r="M54" s="9">
        <v>0.5</v>
      </c>
      <c r="N54" s="10">
        <v>45144.0</v>
      </c>
      <c r="O54" s="11">
        <f>153.34/150</f>
        <v>1.022266667</v>
      </c>
      <c r="P54" s="8" t="s">
        <v>33</v>
      </c>
      <c r="Q54" s="12">
        <f t="shared" si="1"/>
        <v>0.01113333333</v>
      </c>
      <c r="R54" s="12">
        <f t="shared" si="4"/>
        <v>-0.1099429198</v>
      </c>
    </row>
    <row r="55">
      <c r="A55" s="15">
        <f t="shared" si="3"/>
        <v>54</v>
      </c>
      <c r="B55" s="15" t="s">
        <v>19</v>
      </c>
      <c r="C55" s="15" t="s">
        <v>2976</v>
      </c>
      <c r="D55" s="15" t="s">
        <v>5565</v>
      </c>
      <c r="E55" s="15" t="s">
        <v>2556</v>
      </c>
      <c r="F55" s="15">
        <v>-1.0</v>
      </c>
      <c r="G55" s="15" t="s">
        <v>525</v>
      </c>
      <c r="H55" s="15" t="s">
        <v>22</v>
      </c>
      <c r="I55" s="15" t="s">
        <v>225</v>
      </c>
      <c r="J55" s="15" t="s">
        <v>24</v>
      </c>
      <c r="K55" s="16">
        <v>0.5</v>
      </c>
      <c r="L55" s="16">
        <v>0.25</v>
      </c>
      <c r="M55" s="16">
        <v>0.25</v>
      </c>
      <c r="N55" s="17">
        <v>45144.0</v>
      </c>
      <c r="O55" s="18">
        <v>2.05</v>
      </c>
      <c r="P55" s="15" t="s">
        <v>70</v>
      </c>
      <c r="Q55" s="19">
        <f t="shared" si="1"/>
        <v>0</v>
      </c>
      <c r="R55" s="19">
        <f t="shared" si="4"/>
        <v>-0.1099429198</v>
      </c>
    </row>
    <row r="56">
      <c r="A56" s="8">
        <f t="shared" si="3"/>
        <v>55</v>
      </c>
      <c r="B56" s="8" t="s">
        <v>19</v>
      </c>
      <c r="C56" s="8" t="s">
        <v>2977</v>
      </c>
      <c r="D56" s="8" t="s">
        <v>5564</v>
      </c>
      <c r="E56" s="8" t="s">
        <v>2556</v>
      </c>
      <c r="F56" s="8">
        <v>2</v>
      </c>
      <c r="G56" s="8" t="s">
        <v>101</v>
      </c>
      <c r="H56" s="8" t="s">
        <v>22</v>
      </c>
      <c r="I56" s="8" t="s">
        <v>225</v>
      </c>
      <c r="J56" s="8" t="s">
        <v>24</v>
      </c>
      <c r="K56" s="9">
        <v>0.5</v>
      </c>
      <c r="L56" s="9">
        <v>0.5</v>
      </c>
      <c r="M56" s="9">
        <v>0.5</v>
      </c>
      <c r="N56" s="10">
        <v>45144.0</v>
      </c>
      <c r="O56" s="11">
        <f>165/150</f>
        <v>1.1</v>
      </c>
      <c r="P56" s="8" t="s">
        <v>33</v>
      </c>
      <c r="Q56" s="12">
        <f t="shared" si="1"/>
        <v>0.05</v>
      </c>
      <c r="R56" s="12">
        <f t="shared" si="4"/>
        <v>-0.0599429198</v>
      </c>
    </row>
    <row r="57">
      <c r="A57" s="15">
        <f t="shared" si="3"/>
        <v>56</v>
      </c>
      <c r="B57" s="15" t="s">
        <v>40</v>
      </c>
      <c r="C57" s="15" t="s">
        <v>2978</v>
      </c>
      <c r="D57" s="15" t="s">
        <v>5564</v>
      </c>
      <c r="E57" s="15" t="s">
        <v>2660</v>
      </c>
      <c r="F57" s="15">
        <v>-1.0</v>
      </c>
      <c r="G57" s="15" t="s">
        <v>1085</v>
      </c>
      <c r="H57" s="15" t="s">
        <v>22</v>
      </c>
      <c r="I57" s="15" t="s">
        <v>892</v>
      </c>
      <c r="J57" s="15" t="s">
        <v>24</v>
      </c>
      <c r="K57" s="16">
        <v>0.0</v>
      </c>
      <c r="L57" s="16">
        <v>0.5</v>
      </c>
      <c r="M57" s="16">
        <v>0.5</v>
      </c>
      <c r="N57" s="55">
        <v>45144.0</v>
      </c>
      <c r="O57" s="18">
        <v>1.77</v>
      </c>
      <c r="P57" s="15" t="s">
        <v>70</v>
      </c>
      <c r="Q57" s="19">
        <f t="shared" si="1"/>
        <v>0</v>
      </c>
      <c r="R57" s="19">
        <f t="shared" si="4"/>
        <v>-0.0599429198</v>
      </c>
    </row>
    <row r="58">
      <c r="A58" s="8">
        <f t="shared" si="3"/>
        <v>57</v>
      </c>
      <c r="B58" s="8" t="s">
        <v>19</v>
      </c>
      <c r="C58" s="8" t="s">
        <v>2979</v>
      </c>
      <c r="D58" s="8" t="s">
        <v>5564</v>
      </c>
      <c r="E58" s="8" t="s">
        <v>2556</v>
      </c>
      <c r="F58" s="8">
        <v>0.0</v>
      </c>
      <c r="G58" s="8" t="s">
        <v>82</v>
      </c>
      <c r="H58" s="8" t="s">
        <v>22</v>
      </c>
      <c r="I58" s="8" t="s">
        <v>225</v>
      </c>
      <c r="J58" s="8" t="s">
        <v>1522</v>
      </c>
      <c r="K58" s="9">
        <v>0.5</v>
      </c>
      <c r="L58" s="9">
        <v>0.5</v>
      </c>
      <c r="M58" s="9">
        <v>0.5</v>
      </c>
      <c r="N58" s="10">
        <v>45144.0</v>
      </c>
      <c r="O58" s="11">
        <v>1.16</v>
      </c>
      <c r="P58" s="8" t="s">
        <v>33</v>
      </c>
      <c r="Q58" s="12">
        <f t="shared" si="1"/>
        <v>0.08</v>
      </c>
      <c r="R58" s="12">
        <f t="shared" si="4"/>
        <v>0.0200570802</v>
      </c>
    </row>
    <row r="59">
      <c r="A59" s="15">
        <f t="shared" si="3"/>
        <v>58</v>
      </c>
      <c r="B59" s="15" t="s">
        <v>19</v>
      </c>
      <c r="C59" s="15" t="s">
        <v>2980</v>
      </c>
      <c r="D59" s="15" t="s">
        <v>5564</v>
      </c>
      <c r="E59" s="15" t="s">
        <v>2660</v>
      </c>
      <c r="F59" s="15">
        <v>0.0</v>
      </c>
      <c r="G59" s="15" t="s">
        <v>1470</v>
      </c>
      <c r="H59" s="15" t="s">
        <v>22</v>
      </c>
      <c r="I59" s="15" t="s">
        <v>892</v>
      </c>
      <c r="J59" s="15" t="s">
        <v>24</v>
      </c>
      <c r="K59" s="16">
        <v>0.0</v>
      </c>
      <c r="L59" s="16">
        <v>1.0</v>
      </c>
      <c r="M59" s="16">
        <v>1.0</v>
      </c>
      <c r="N59" s="17">
        <v>45146.0</v>
      </c>
      <c r="O59" s="18">
        <v>1.866</v>
      </c>
      <c r="P59" s="15" t="s">
        <v>33</v>
      </c>
      <c r="Q59" s="19">
        <f t="shared" si="1"/>
        <v>0.866</v>
      </c>
      <c r="R59" s="19">
        <f t="shared" si="4"/>
        <v>0.8860570802</v>
      </c>
    </row>
    <row r="60">
      <c r="A60" s="8">
        <f t="shared" si="3"/>
        <v>59</v>
      </c>
      <c r="B60" s="8" t="s">
        <v>19</v>
      </c>
      <c r="C60" s="8" t="s">
        <v>2981</v>
      </c>
      <c r="D60" s="8" t="s">
        <v>5564</v>
      </c>
      <c r="E60" s="8" t="s">
        <v>2660</v>
      </c>
      <c r="F60" s="8">
        <f t="shared" ref="F60:F61" si="6">1</f>
        <v>1</v>
      </c>
      <c r="G60" s="8" t="s">
        <v>28</v>
      </c>
      <c r="H60" s="8" t="s">
        <v>22</v>
      </c>
      <c r="I60" s="8" t="s">
        <v>1150</v>
      </c>
      <c r="J60" s="8" t="s">
        <v>39</v>
      </c>
      <c r="K60" s="9">
        <v>0.0</v>
      </c>
      <c r="L60" s="9">
        <v>0.25</v>
      </c>
      <c r="M60" s="9">
        <v>0.25</v>
      </c>
      <c r="N60" s="10">
        <v>45146.0</v>
      </c>
      <c r="O60" s="11">
        <v>1.7</v>
      </c>
      <c r="P60" s="8" t="s">
        <v>70</v>
      </c>
      <c r="Q60" s="12">
        <f t="shared" si="1"/>
        <v>0</v>
      </c>
      <c r="R60" s="12">
        <f t="shared" si="4"/>
        <v>0.8860570802</v>
      </c>
    </row>
    <row r="61">
      <c r="A61" s="15">
        <f t="shared" si="3"/>
        <v>60</v>
      </c>
      <c r="B61" s="15" t="s">
        <v>19</v>
      </c>
      <c r="C61" s="15" t="s">
        <v>2982</v>
      </c>
      <c r="D61" s="15" t="s">
        <v>5564</v>
      </c>
      <c r="E61" s="15" t="s">
        <v>2556</v>
      </c>
      <c r="F61" s="15">
        <f t="shared" si="6"/>
        <v>1</v>
      </c>
      <c r="G61" s="15" t="s">
        <v>44</v>
      </c>
      <c r="H61" s="15" t="s">
        <v>22</v>
      </c>
      <c r="I61" s="15" t="s">
        <v>225</v>
      </c>
      <c r="J61" s="15" t="s">
        <v>24</v>
      </c>
      <c r="K61" s="16">
        <v>0.5</v>
      </c>
      <c r="L61" s="16">
        <v>0.5</v>
      </c>
      <c r="M61" s="16">
        <v>0.5</v>
      </c>
      <c r="N61" s="17">
        <v>45146.0</v>
      </c>
      <c r="O61" s="18">
        <v>1.461</v>
      </c>
      <c r="P61" s="15" t="s">
        <v>33</v>
      </c>
      <c r="Q61" s="19">
        <f t="shared" si="1"/>
        <v>0.2305</v>
      </c>
      <c r="R61" s="19">
        <f t="shared" si="4"/>
        <v>1.11655708</v>
      </c>
    </row>
    <row r="62">
      <c r="A62" s="8">
        <f t="shared" si="3"/>
        <v>61</v>
      </c>
      <c r="B62" s="8" t="s">
        <v>40</v>
      </c>
      <c r="C62" s="8" t="s">
        <v>2983</v>
      </c>
      <c r="D62" s="8" t="s">
        <v>5565</v>
      </c>
      <c r="E62" s="8" t="s">
        <v>2660</v>
      </c>
      <c r="F62" s="8">
        <v>0.0</v>
      </c>
      <c r="G62" s="8" t="s">
        <v>319</v>
      </c>
      <c r="H62" s="8" t="s">
        <v>22</v>
      </c>
      <c r="I62" s="8" t="s">
        <v>892</v>
      </c>
      <c r="J62" s="8" t="s">
        <v>1851</v>
      </c>
      <c r="K62" s="9">
        <v>0.0</v>
      </c>
      <c r="L62" s="9">
        <v>0.5</v>
      </c>
      <c r="M62" s="9">
        <v>0.5</v>
      </c>
      <c r="N62" s="10">
        <v>45146.0</v>
      </c>
      <c r="O62" s="11">
        <v>1.7</v>
      </c>
      <c r="P62" s="8" t="s">
        <v>70</v>
      </c>
      <c r="Q62" s="12">
        <f t="shared" si="1"/>
        <v>0</v>
      </c>
      <c r="R62" s="12">
        <f t="shared" si="4"/>
        <v>1.11655708</v>
      </c>
    </row>
    <row r="63">
      <c r="A63" s="15">
        <f t="shared" si="3"/>
        <v>62</v>
      </c>
      <c r="B63" s="15" t="s">
        <v>19</v>
      </c>
      <c r="C63" s="15" t="s">
        <v>2984</v>
      </c>
      <c r="D63" s="15" t="s">
        <v>5565</v>
      </c>
      <c r="E63" s="15" t="s">
        <v>2556</v>
      </c>
      <c r="F63" s="15">
        <f>1</f>
        <v>1</v>
      </c>
      <c r="G63" s="15" t="s">
        <v>319</v>
      </c>
      <c r="H63" s="15" t="s">
        <v>22</v>
      </c>
      <c r="I63" s="15" t="s">
        <v>225</v>
      </c>
      <c r="J63" s="15" t="s">
        <v>24</v>
      </c>
      <c r="K63" s="16">
        <v>0.75</v>
      </c>
      <c r="L63" s="16">
        <v>0.39</v>
      </c>
      <c r="M63" s="16">
        <v>0.39</v>
      </c>
      <c r="N63" s="17">
        <v>45146.0</v>
      </c>
      <c r="O63" s="18">
        <v>1.2</v>
      </c>
      <c r="P63" s="15" t="s">
        <v>33</v>
      </c>
      <c r="Q63" s="19">
        <f t="shared" si="1"/>
        <v>0.078</v>
      </c>
      <c r="R63" s="19">
        <f t="shared" si="4"/>
        <v>1.19455708</v>
      </c>
    </row>
    <row r="64">
      <c r="A64" s="8">
        <f t="shared" si="3"/>
        <v>63</v>
      </c>
      <c r="B64" s="8" t="s">
        <v>40</v>
      </c>
      <c r="C64" s="8" t="s">
        <v>2985</v>
      </c>
      <c r="D64" s="8" t="s">
        <v>5564</v>
      </c>
      <c r="E64" s="8" t="s">
        <v>2556</v>
      </c>
      <c r="F64" s="8">
        <v>-1.0</v>
      </c>
      <c r="G64" s="8" t="s">
        <v>683</v>
      </c>
      <c r="H64" s="8" t="s">
        <v>22</v>
      </c>
      <c r="I64" s="8" t="s">
        <v>225</v>
      </c>
      <c r="J64" s="8" t="s">
        <v>24</v>
      </c>
      <c r="K64" s="9">
        <v>0.25</v>
      </c>
      <c r="L64" s="9">
        <v>0.5</v>
      </c>
      <c r="M64" s="9">
        <f>0.941*0.5</f>
        <v>0.4705</v>
      </c>
      <c r="N64" s="10">
        <v>45147.0</v>
      </c>
      <c r="O64" s="11">
        <v>1.7</v>
      </c>
      <c r="P64" s="8" t="s">
        <v>33</v>
      </c>
      <c r="Q64" s="12">
        <f t="shared" si="1"/>
        <v>0.32935</v>
      </c>
      <c r="R64" s="12">
        <f t="shared" si="4"/>
        <v>1.52390708</v>
      </c>
    </row>
    <row r="65">
      <c r="A65" s="15">
        <f t="shared" si="3"/>
        <v>64</v>
      </c>
      <c r="B65" s="15" t="s">
        <v>19</v>
      </c>
      <c r="C65" s="15" t="s">
        <v>2986</v>
      </c>
      <c r="D65" s="15" t="s">
        <v>5565</v>
      </c>
      <c r="E65" s="15" t="s">
        <v>2556</v>
      </c>
      <c r="F65" s="15">
        <f>1</f>
        <v>1</v>
      </c>
      <c r="G65" s="15" t="s">
        <v>432</v>
      </c>
      <c r="H65" s="15" t="s">
        <v>22</v>
      </c>
      <c r="I65" s="15" t="s">
        <v>225</v>
      </c>
      <c r="J65" s="15" t="s">
        <v>1803</v>
      </c>
      <c r="K65" s="16">
        <v>0.5</v>
      </c>
      <c r="L65" s="16">
        <v>0.5</v>
      </c>
      <c r="M65" s="16">
        <v>0.5</v>
      </c>
      <c r="N65" s="17">
        <v>45147.0</v>
      </c>
      <c r="O65" s="18">
        <v>1.625</v>
      </c>
      <c r="P65" s="15" t="s">
        <v>33</v>
      </c>
      <c r="Q65" s="19">
        <f t="shared" si="1"/>
        <v>0.3125</v>
      </c>
      <c r="R65" s="19">
        <f t="shared" si="4"/>
        <v>1.83640708</v>
      </c>
    </row>
    <row r="66">
      <c r="A66" s="8">
        <f t="shared" si="3"/>
        <v>65</v>
      </c>
      <c r="B66" s="8" t="s">
        <v>19</v>
      </c>
      <c r="C66" s="8" t="s">
        <v>2987</v>
      </c>
      <c r="D66" s="8"/>
      <c r="E66" s="8"/>
      <c r="F66" s="8" t="s">
        <v>2615</v>
      </c>
      <c r="G66" s="8" t="s">
        <v>583</v>
      </c>
      <c r="H66" s="8" t="s">
        <v>22</v>
      </c>
      <c r="I66" s="8" t="s">
        <v>29</v>
      </c>
      <c r="J66" s="8" t="s">
        <v>24</v>
      </c>
      <c r="K66" s="9">
        <v>-5.0</v>
      </c>
      <c r="L66" s="9">
        <v>0.5</v>
      </c>
      <c r="M66" s="9">
        <v>0.5</v>
      </c>
      <c r="N66" s="10">
        <v>45147.0</v>
      </c>
      <c r="O66" s="11">
        <v>1.95</v>
      </c>
      <c r="P66" s="8" t="s">
        <v>70</v>
      </c>
      <c r="Q66" s="12">
        <f t="shared" si="1"/>
        <v>0</v>
      </c>
      <c r="R66" s="12">
        <f t="shared" si="4"/>
        <v>1.83640708</v>
      </c>
    </row>
    <row r="67">
      <c r="A67" s="15">
        <f t="shared" si="3"/>
        <v>66</v>
      </c>
      <c r="B67" s="15" t="s">
        <v>19</v>
      </c>
      <c r="C67" s="15" t="s">
        <v>2988</v>
      </c>
      <c r="D67" s="15" t="s">
        <v>5565</v>
      </c>
      <c r="E67" s="15" t="s">
        <v>2556</v>
      </c>
      <c r="F67" s="15">
        <f>1</f>
        <v>1</v>
      </c>
      <c r="G67" s="15" t="s">
        <v>432</v>
      </c>
      <c r="H67" s="15" t="s">
        <v>22</v>
      </c>
      <c r="I67" s="15" t="s">
        <v>225</v>
      </c>
      <c r="J67" s="15" t="s">
        <v>24</v>
      </c>
      <c r="K67" s="16">
        <v>0.75</v>
      </c>
      <c r="L67" s="16">
        <v>0.5</v>
      </c>
      <c r="M67" s="16">
        <v>0.5</v>
      </c>
      <c r="N67" s="17">
        <v>45147.0</v>
      </c>
      <c r="O67" s="18">
        <v>2.02</v>
      </c>
      <c r="P67" s="15" t="s">
        <v>25</v>
      </c>
      <c r="Q67" s="19">
        <f t="shared" si="1"/>
        <v>-0.5</v>
      </c>
      <c r="R67" s="19">
        <f t="shared" si="4"/>
        <v>1.33640708</v>
      </c>
    </row>
    <row r="68">
      <c r="A68" s="8">
        <f t="shared" si="3"/>
        <v>67</v>
      </c>
      <c r="B68" s="8" t="s">
        <v>19</v>
      </c>
      <c r="C68" s="8" t="s">
        <v>2989</v>
      </c>
      <c r="D68" s="8" t="s">
        <v>5564</v>
      </c>
      <c r="E68" s="8" t="s">
        <v>2556</v>
      </c>
      <c r="F68" s="8">
        <v>2</v>
      </c>
      <c r="G68" s="8" t="s">
        <v>101</v>
      </c>
      <c r="H68" s="8" t="s">
        <v>22</v>
      </c>
      <c r="I68" s="8" t="s">
        <v>225</v>
      </c>
      <c r="J68" s="8" t="s">
        <v>1522</v>
      </c>
      <c r="K68" s="9">
        <v>0.25</v>
      </c>
      <c r="L68" s="9">
        <v>0.75</v>
      </c>
      <c r="M68" s="9">
        <v>0.75</v>
      </c>
      <c r="N68" s="10">
        <v>45147.0</v>
      </c>
      <c r="O68" s="11">
        <v>1.77</v>
      </c>
      <c r="P68" s="8" t="s">
        <v>70</v>
      </c>
      <c r="Q68" s="12">
        <f t="shared" si="1"/>
        <v>0</v>
      </c>
      <c r="R68" s="12">
        <f t="shared" si="4"/>
        <v>1.33640708</v>
      </c>
    </row>
    <row r="69">
      <c r="A69" s="15">
        <f t="shared" si="3"/>
        <v>68</v>
      </c>
      <c r="B69" s="15" t="s">
        <v>19</v>
      </c>
      <c r="C69" s="15" t="s">
        <v>2990</v>
      </c>
      <c r="D69" s="15" t="s">
        <v>5565</v>
      </c>
      <c r="E69" s="15" t="s">
        <v>2556</v>
      </c>
      <c r="F69" s="15">
        <v>0.0</v>
      </c>
      <c r="G69" s="15" t="s">
        <v>432</v>
      </c>
      <c r="H69" s="15" t="s">
        <v>22</v>
      </c>
      <c r="I69" s="15" t="s">
        <v>225</v>
      </c>
      <c r="J69" s="15" t="s">
        <v>24</v>
      </c>
      <c r="K69" s="16">
        <v>0.5</v>
      </c>
      <c r="L69" s="16">
        <v>0.25</v>
      </c>
      <c r="M69" s="16">
        <f>0.941*0.25</f>
        <v>0.23525</v>
      </c>
      <c r="N69" s="17">
        <v>45147.0</v>
      </c>
      <c r="O69" s="18">
        <v>1.75</v>
      </c>
      <c r="P69" s="15" t="s">
        <v>25</v>
      </c>
      <c r="Q69" s="19">
        <f t="shared" si="1"/>
        <v>-0.23525</v>
      </c>
      <c r="R69" s="19">
        <f t="shared" si="4"/>
        <v>1.10115708</v>
      </c>
    </row>
    <row r="70">
      <c r="A70" s="8">
        <f t="shared" si="3"/>
        <v>69</v>
      </c>
      <c r="B70" s="8" t="s">
        <v>19</v>
      </c>
      <c r="C70" s="8" t="s">
        <v>2991</v>
      </c>
      <c r="D70" s="8"/>
      <c r="E70" s="8"/>
      <c r="F70" s="8" t="s">
        <v>2615</v>
      </c>
      <c r="G70" s="8" t="s">
        <v>101</v>
      </c>
      <c r="H70" s="8" t="s">
        <v>22</v>
      </c>
      <c r="I70" s="8" t="s">
        <v>29</v>
      </c>
      <c r="J70" s="8" t="s">
        <v>39</v>
      </c>
      <c r="K70" s="9">
        <v>-7.5</v>
      </c>
      <c r="L70" s="9">
        <v>0.5</v>
      </c>
      <c r="M70" s="9">
        <f>0.882*0.5</f>
        <v>0.441</v>
      </c>
      <c r="N70" s="10">
        <v>45147.0</v>
      </c>
      <c r="O70" s="11">
        <v>1.75</v>
      </c>
      <c r="P70" s="8" t="s">
        <v>33</v>
      </c>
      <c r="Q70" s="12">
        <f t="shared" si="1"/>
        <v>0.33075</v>
      </c>
      <c r="R70" s="12">
        <f t="shared" si="4"/>
        <v>1.43190708</v>
      </c>
    </row>
    <row r="71">
      <c r="A71" s="15">
        <f t="shared" si="3"/>
        <v>70</v>
      </c>
      <c r="B71" s="15" t="s">
        <v>19</v>
      </c>
      <c r="C71" s="15" t="s">
        <v>2992</v>
      </c>
      <c r="D71" s="15" t="s">
        <v>5564</v>
      </c>
      <c r="E71" s="15" t="s">
        <v>2556</v>
      </c>
      <c r="F71" s="15">
        <v>0.0</v>
      </c>
      <c r="G71" s="15" t="s">
        <v>28</v>
      </c>
      <c r="H71" s="15" t="s">
        <v>22</v>
      </c>
      <c r="I71" s="15" t="s">
        <v>225</v>
      </c>
      <c r="J71" s="15" t="s">
        <v>1522</v>
      </c>
      <c r="K71" s="16">
        <v>0.75</v>
      </c>
      <c r="L71" s="16">
        <v>0.75</v>
      </c>
      <c r="M71" s="16">
        <v>0.75</v>
      </c>
      <c r="N71" s="17">
        <v>45147.0</v>
      </c>
      <c r="O71" s="18">
        <v>1.925</v>
      </c>
      <c r="P71" s="15" t="s">
        <v>79</v>
      </c>
      <c r="Q71" s="19">
        <f t="shared" si="1"/>
        <v>-0.375</v>
      </c>
      <c r="R71" s="19">
        <f t="shared" si="4"/>
        <v>1.05690708</v>
      </c>
    </row>
    <row r="72">
      <c r="A72" s="8">
        <f t="shared" si="3"/>
        <v>71</v>
      </c>
      <c r="B72" s="8" t="s">
        <v>19</v>
      </c>
      <c r="C72" s="8" t="s">
        <v>2993</v>
      </c>
      <c r="D72" s="8" t="s">
        <v>5564</v>
      </c>
      <c r="E72" s="8" t="s">
        <v>2556</v>
      </c>
      <c r="F72" s="8">
        <v>0.0</v>
      </c>
      <c r="G72" s="8" t="s">
        <v>82</v>
      </c>
      <c r="H72" s="8" t="s">
        <v>22</v>
      </c>
      <c r="I72" s="8" t="s">
        <v>225</v>
      </c>
      <c r="J72" s="8" t="s">
        <v>1851</v>
      </c>
      <c r="K72" s="9">
        <v>0.25</v>
      </c>
      <c r="L72" s="9">
        <v>0.5</v>
      </c>
      <c r="M72" s="9">
        <f>0.941*0.5</f>
        <v>0.4705</v>
      </c>
      <c r="N72" s="10">
        <v>45147.0</v>
      </c>
      <c r="O72" s="11">
        <v>1.9</v>
      </c>
      <c r="P72" s="8" t="s">
        <v>33</v>
      </c>
      <c r="Q72" s="12">
        <f t="shared" si="1"/>
        <v>0.42345</v>
      </c>
      <c r="R72" s="12">
        <f t="shared" si="4"/>
        <v>1.48035708</v>
      </c>
    </row>
    <row r="73">
      <c r="A73" s="15">
        <f t="shared" si="3"/>
        <v>72</v>
      </c>
      <c r="B73" s="15" t="s">
        <v>19</v>
      </c>
      <c r="C73" s="15" t="s">
        <v>2994</v>
      </c>
      <c r="D73" s="15" t="s">
        <v>5564</v>
      </c>
      <c r="E73" s="15" t="s">
        <v>2660</v>
      </c>
      <c r="F73" s="15">
        <f>1</f>
        <v>1</v>
      </c>
      <c r="G73" s="15" t="s">
        <v>44</v>
      </c>
      <c r="H73" s="15" t="s">
        <v>22</v>
      </c>
      <c r="I73" s="15" t="s">
        <v>892</v>
      </c>
      <c r="J73" s="15" t="s">
        <v>1851</v>
      </c>
      <c r="K73" s="16">
        <v>0.0</v>
      </c>
      <c r="L73" s="16">
        <v>0.5</v>
      </c>
      <c r="M73" s="16">
        <v>0.5</v>
      </c>
      <c r="N73" s="17">
        <v>45147.0</v>
      </c>
      <c r="O73" s="18">
        <f>(118.76+121.55)/150</f>
        <v>1.602066667</v>
      </c>
      <c r="P73" s="15" t="s">
        <v>33</v>
      </c>
      <c r="Q73" s="19">
        <f t="shared" si="1"/>
        <v>0.3010333333</v>
      </c>
      <c r="R73" s="19">
        <f t="shared" si="4"/>
        <v>1.781390414</v>
      </c>
    </row>
    <row r="74">
      <c r="A74" s="8">
        <f t="shared" si="3"/>
        <v>73</v>
      </c>
      <c r="B74" s="8" t="s">
        <v>40</v>
      </c>
      <c r="C74" s="8" t="s">
        <v>2995</v>
      </c>
      <c r="D74" s="8" t="s">
        <v>5564</v>
      </c>
      <c r="E74" s="8" t="s">
        <v>2556</v>
      </c>
      <c r="F74" s="8">
        <v>0.0</v>
      </c>
      <c r="G74" s="8" t="s">
        <v>2667</v>
      </c>
      <c r="H74" s="8" t="s">
        <v>22</v>
      </c>
      <c r="I74" s="8" t="s">
        <v>225</v>
      </c>
      <c r="J74" s="8" t="s">
        <v>1522</v>
      </c>
      <c r="K74" s="9">
        <v>3.25</v>
      </c>
      <c r="L74" s="9">
        <v>0.25</v>
      </c>
      <c r="M74" s="9">
        <v>0.25</v>
      </c>
      <c r="N74" s="10">
        <v>45147.0</v>
      </c>
      <c r="O74" s="11">
        <f>98.12/75</f>
        <v>1.308266667</v>
      </c>
      <c r="P74" s="8" t="s">
        <v>33</v>
      </c>
      <c r="Q74" s="12">
        <f t="shared" si="1"/>
        <v>0.07706666667</v>
      </c>
      <c r="R74" s="12">
        <f t="shared" si="4"/>
        <v>1.85845708</v>
      </c>
    </row>
    <row r="75">
      <c r="A75" s="15">
        <f t="shared" si="3"/>
        <v>74</v>
      </c>
      <c r="B75" s="15" t="s">
        <v>19</v>
      </c>
      <c r="C75" s="15" t="s">
        <v>2996</v>
      </c>
      <c r="D75" s="15" t="s">
        <v>5565</v>
      </c>
      <c r="E75" s="15" t="s">
        <v>2556</v>
      </c>
      <c r="F75" s="15">
        <v>-1.0</v>
      </c>
      <c r="G75" s="15" t="s">
        <v>169</v>
      </c>
      <c r="H75" s="15" t="s">
        <v>22</v>
      </c>
      <c r="I75" s="15" t="s">
        <v>225</v>
      </c>
      <c r="J75" s="15" t="s">
        <v>24</v>
      </c>
      <c r="K75" s="16">
        <v>0.5</v>
      </c>
      <c r="L75" s="16">
        <v>0.75</v>
      </c>
      <c r="M75" s="16">
        <v>0.75</v>
      </c>
      <c r="N75" s="17">
        <v>45147.0</v>
      </c>
      <c r="O75" s="18">
        <f>(21+75*3)/(75*3)</f>
        <v>1.093333333</v>
      </c>
      <c r="P75" s="15" t="s">
        <v>33</v>
      </c>
      <c r="Q75" s="19">
        <f t="shared" si="1"/>
        <v>0.07</v>
      </c>
      <c r="R75" s="19">
        <f t="shared" si="4"/>
        <v>1.92845708</v>
      </c>
    </row>
    <row r="76">
      <c r="A76" s="8">
        <f t="shared" si="3"/>
        <v>75</v>
      </c>
      <c r="B76" s="8" t="s">
        <v>19</v>
      </c>
      <c r="C76" s="8" t="s">
        <v>2994</v>
      </c>
      <c r="D76" s="8" t="s">
        <v>5564</v>
      </c>
      <c r="E76" s="8" t="s">
        <v>2660</v>
      </c>
      <c r="F76" s="8">
        <f>1</f>
        <v>1</v>
      </c>
      <c r="G76" s="8" t="s">
        <v>44</v>
      </c>
      <c r="H76" s="8" t="s">
        <v>22</v>
      </c>
      <c r="I76" s="8" t="s">
        <v>892</v>
      </c>
      <c r="J76" s="8" t="s">
        <v>1851</v>
      </c>
      <c r="K76" s="9">
        <v>0.0</v>
      </c>
      <c r="L76" s="9">
        <v>0.25</v>
      </c>
      <c r="M76" s="9">
        <v>0.25</v>
      </c>
      <c r="N76" s="10">
        <v>45147.0</v>
      </c>
      <c r="O76" s="11">
        <v>1.825</v>
      </c>
      <c r="P76" s="8" t="s">
        <v>33</v>
      </c>
      <c r="Q76" s="12">
        <f t="shared" si="1"/>
        <v>0.20625</v>
      </c>
      <c r="R76" s="12">
        <f t="shared" si="4"/>
        <v>2.13470708</v>
      </c>
    </row>
    <row r="77">
      <c r="A77" s="15">
        <f t="shared" si="3"/>
        <v>76</v>
      </c>
      <c r="B77" s="15" t="s">
        <v>19</v>
      </c>
      <c r="C77" s="15" t="s">
        <v>2997</v>
      </c>
      <c r="D77" s="15" t="s">
        <v>5564</v>
      </c>
      <c r="E77" s="15" t="s">
        <v>2556</v>
      </c>
      <c r="F77" s="15">
        <v>-4.0</v>
      </c>
      <c r="G77" s="15" t="s">
        <v>1961</v>
      </c>
      <c r="H77" s="15" t="s">
        <v>22</v>
      </c>
      <c r="I77" s="15" t="s">
        <v>225</v>
      </c>
      <c r="J77" s="15" t="s">
        <v>39</v>
      </c>
      <c r="K77" s="16">
        <v>0.5</v>
      </c>
      <c r="L77" s="16">
        <v>0.25</v>
      </c>
      <c r="M77" s="16">
        <v>0.25</v>
      </c>
      <c r="N77" s="17">
        <v>45147.0</v>
      </c>
      <c r="O77" s="18">
        <v>1.825</v>
      </c>
      <c r="P77" s="15" t="s">
        <v>25</v>
      </c>
      <c r="Q77" s="19">
        <f t="shared" si="1"/>
        <v>-0.25</v>
      </c>
      <c r="R77" s="19">
        <f t="shared" si="4"/>
        <v>1.88470708</v>
      </c>
    </row>
    <row r="78">
      <c r="A78" s="8">
        <f t="shared" si="3"/>
        <v>77</v>
      </c>
      <c r="B78" s="8" t="s">
        <v>19</v>
      </c>
      <c r="C78" s="8" t="s">
        <v>2998</v>
      </c>
      <c r="D78" s="8" t="s">
        <v>5565</v>
      </c>
      <c r="E78" s="8"/>
      <c r="F78" s="8"/>
      <c r="G78" s="8" t="s">
        <v>82</v>
      </c>
      <c r="H78" s="8" t="s">
        <v>598</v>
      </c>
      <c r="I78" s="8" t="s">
        <v>23</v>
      </c>
      <c r="J78" s="8" t="s">
        <v>1522</v>
      </c>
      <c r="K78" s="9">
        <v>-2.5</v>
      </c>
      <c r="L78" s="9">
        <v>0.25</v>
      </c>
      <c r="M78" s="9">
        <v>0.25</v>
      </c>
      <c r="N78" s="10">
        <v>45148.0</v>
      </c>
      <c r="O78" s="11">
        <v>1.8</v>
      </c>
      <c r="P78" s="8" t="s">
        <v>33</v>
      </c>
      <c r="Q78" s="12">
        <f t="shared" si="1"/>
        <v>0.2</v>
      </c>
      <c r="R78" s="12">
        <f t="shared" si="4"/>
        <v>2.08470708</v>
      </c>
    </row>
    <row r="79">
      <c r="A79" s="15">
        <f t="shared" si="3"/>
        <v>78</v>
      </c>
      <c r="B79" s="15" t="s">
        <v>19</v>
      </c>
      <c r="C79" s="15" t="s">
        <v>2999</v>
      </c>
      <c r="D79" s="15"/>
      <c r="E79" s="15"/>
      <c r="F79" s="15" t="s">
        <v>2615</v>
      </c>
      <c r="G79" s="15" t="s">
        <v>513</v>
      </c>
      <c r="H79" s="15" t="s">
        <v>22</v>
      </c>
      <c r="I79" s="15" t="s">
        <v>29</v>
      </c>
      <c r="J79" s="15" t="s">
        <v>24</v>
      </c>
      <c r="K79" s="16">
        <v>-2.5</v>
      </c>
      <c r="L79" s="16">
        <v>0.5</v>
      </c>
      <c r="M79" s="16">
        <v>0.5</v>
      </c>
      <c r="N79" s="17">
        <v>45148.0</v>
      </c>
      <c r="O79" s="18">
        <v>1.58</v>
      </c>
      <c r="P79" s="15" t="s">
        <v>33</v>
      </c>
      <c r="Q79" s="19">
        <f t="shared" si="1"/>
        <v>0.29</v>
      </c>
      <c r="R79" s="19">
        <f t="shared" si="4"/>
        <v>2.37470708</v>
      </c>
    </row>
    <row r="80">
      <c r="A80" s="8">
        <f t="shared" si="3"/>
        <v>79</v>
      </c>
      <c r="B80" s="8" t="s">
        <v>40</v>
      </c>
      <c r="C80" s="8" t="s">
        <v>3000</v>
      </c>
      <c r="D80" s="8" t="s">
        <v>5565</v>
      </c>
      <c r="E80" s="8" t="s">
        <v>2660</v>
      </c>
      <c r="F80" s="8">
        <v>0.0</v>
      </c>
      <c r="G80" s="8" t="s">
        <v>525</v>
      </c>
      <c r="H80" s="8" t="s">
        <v>22</v>
      </c>
      <c r="I80" s="8" t="s">
        <v>892</v>
      </c>
      <c r="J80" s="8" t="s">
        <v>24</v>
      </c>
      <c r="K80" s="9">
        <v>0.0</v>
      </c>
      <c r="L80" s="9">
        <v>0.75</v>
      </c>
      <c r="M80" s="9">
        <v>0.0375</v>
      </c>
      <c r="N80" s="10">
        <v>45148.0</v>
      </c>
      <c r="O80" s="11">
        <v>1.77</v>
      </c>
      <c r="P80" s="8" t="s">
        <v>25</v>
      </c>
      <c r="Q80" s="12">
        <f t="shared" si="1"/>
        <v>-0.0375</v>
      </c>
      <c r="R80" s="12">
        <f t="shared" si="4"/>
        <v>2.33720708</v>
      </c>
    </row>
    <row r="81">
      <c r="A81" s="15">
        <f t="shared" si="3"/>
        <v>80</v>
      </c>
      <c r="B81" s="15" t="s">
        <v>19</v>
      </c>
      <c r="C81" s="15" t="s">
        <v>3001</v>
      </c>
      <c r="D81" s="15" t="s">
        <v>5565</v>
      </c>
      <c r="E81" s="15" t="s">
        <v>2660</v>
      </c>
      <c r="F81" s="15">
        <f>1</f>
        <v>1</v>
      </c>
      <c r="G81" s="15" t="s">
        <v>463</v>
      </c>
      <c r="H81" s="15" t="s">
        <v>22</v>
      </c>
      <c r="I81" s="15" t="s">
        <v>892</v>
      </c>
      <c r="J81" s="15" t="s">
        <v>1522</v>
      </c>
      <c r="K81" s="16">
        <v>0.0</v>
      </c>
      <c r="L81" s="16">
        <v>0.5</v>
      </c>
      <c r="M81" s="16">
        <v>0.5</v>
      </c>
      <c r="N81" s="17">
        <v>45148.0</v>
      </c>
      <c r="O81" s="18">
        <v>1.675</v>
      </c>
      <c r="P81" s="15" t="s">
        <v>33</v>
      </c>
      <c r="Q81" s="19">
        <f t="shared" si="1"/>
        <v>0.3375</v>
      </c>
      <c r="R81" s="19">
        <f t="shared" si="4"/>
        <v>2.67470708</v>
      </c>
    </row>
    <row r="82">
      <c r="A82" s="8">
        <f t="shared" si="3"/>
        <v>81</v>
      </c>
      <c r="B82" s="8" t="s">
        <v>19</v>
      </c>
      <c r="C82" s="8" t="s">
        <v>3002</v>
      </c>
      <c r="D82" s="8" t="s">
        <v>5564</v>
      </c>
      <c r="E82" s="8" t="s">
        <v>2556</v>
      </c>
      <c r="F82" s="8">
        <v>-1.0</v>
      </c>
      <c r="G82" s="8" t="s">
        <v>117</v>
      </c>
      <c r="H82" s="8" t="s">
        <v>22</v>
      </c>
      <c r="I82" s="8" t="s">
        <v>225</v>
      </c>
      <c r="J82" s="8" t="s">
        <v>1522</v>
      </c>
      <c r="K82" s="9">
        <v>1.25</v>
      </c>
      <c r="L82" s="9">
        <v>0.75</v>
      </c>
      <c r="M82" s="9">
        <v>0.75</v>
      </c>
      <c r="N82" s="10">
        <v>45149.0</v>
      </c>
      <c r="O82" s="11">
        <v>1.82</v>
      </c>
      <c r="P82" s="8" t="s">
        <v>70</v>
      </c>
      <c r="Q82" s="12">
        <f t="shared" si="1"/>
        <v>0</v>
      </c>
      <c r="R82" s="12">
        <f t="shared" si="4"/>
        <v>2.67470708</v>
      </c>
    </row>
    <row r="83">
      <c r="A83" s="15">
        <f t="shared" si="3"/>
        <v>82</v>
      </c>
      <c r="B83" s="15" t="s">
        <v>19</v>
      </c>
      <c r="C83" s="15" t="s">
        <v>3003</v>
      </c>
      <c r="D83" s="15" t="s">
        <v>5564</v>
      </c>
      <c r="E83" s="15" t="s">
        <v>2660</v>
      </c>
      <c r="F83" s="15">
        <v>-1.0</v>
      </c>
      <c r="G83" s="15" t="s">
        <v>82</v>
      </c>
      <c r="H83" s="15" t="s">
        <v>22</v>
      </c>
      <c r="I83" s="15" t="s">
        <v>892</v>
      </c>
      <c r="J83" s="15" t="s">
        <v>1851</v>
      </c>
      <c r="K83" s="16">
        <v>0.0</v>
      </c>
      <c r="L83" s="16">
        <v>0.25</v>
      </c>
      <c r="M83" s="16">
        <v>0.25</v>
      </c>
      <c r="N83" s="17">
        <v>45149.0</v>
      </c>
      <c r="O83" s="18">
        <v>1.75</v>
      </c>
      <c r="P83" s="15" t="s">
        <v>33</v>
      </c>
      <c r="Q83" s="19">
        <f t="shared" si="1"/>
        <v>0.1875</v>
      </c>
      <c r="R83" s="19">
        <f t="shared" si="4"/>
        <v>2.86220708</v>
      </c>
    </row>
    <row r="84">
      <c r="A84" s="8">
        <f t="shared" si="3"/>
        <v>83</v>
      </c>
      <c r="B84" s="8" t="s">
        <v>40</v>
      </c>
      <c r="C84" s="8" t="s">
        <v>3004</v>
      </c>
      <c r="D84" s="8" t="s">
        <v>5564</v>
      </c>
      <c r="E84" s="8" t="s">
        <v>2556</v>
      </c>
      <c r="F84" s="8">
        <v>0.0</v>
      </c>
      <c r="G84" s="8" t="s">
        <v>28</v>
      </c>
      <c r="H84" s="8" t="s">
        <v>22</v>
      </c>
      <c r="I84" s="8" t="s">
        <v>225</v>
      </c>
      <c r="J84" s="8" t="s">
        <v>1522</v>
      </c>
      <c r="K84" s="9">
        <v>0.5</v>
      </c>
      <c r="L84" s="9">
        <v>0.25</v>
      </c>
      <c r="M84" s="9">
        <f>0.35*0.25</f>
        <v>0.0875</v>
      </c>
      <c r="N84" s="10">
        <v>45149.0</v>
      </c>
      <c r="O84" s="11">
        <v>1.75</v>
      </c>
      <c r="P84" s="8" t="s">
        <v>33</v>
      </c>
      <c r="Q84" s="12">
        <f t="shared" si="1"/>
        <v>0.065625</v>
      </c>
      <c r="R84" s="12">
        <f t="shared" si="4"/>
        <v>2.92783208</v>
      </c>
    </row>
    <row r="85">
      <c r="A85" s="15">
        <f t="shared" si="3"/>
        <v>84</v>
      </c>
      <c r="B85" s="15" t="s">
        <v>40</v>
      </c>
      <c r="C85" s="15" t="s">
        <v>3005</v>
      </c>
      <c r="D85" s="15" t="s">
        <v>5564</v>
      </c>
      <c r="E85" s="15" t="s">
        <v>2556</v>
      </c>
      <c r="F85" s="15">
        <v>0.0</v>
      </c>
      <c r="G85" s="15" t="s">
        <v>28</v>
      </c>
      <c r="H85" s="15" t="s">
        <v>22</v>
      </c>
      <c r="I85" s="15" t="s">
        <v>941</v>
      </c>
      <c r="J85" s="15" t="s">
        <v>1522</v>
      </c>
      <c r="K85" s="16">
        <v>0.0</v>
      </c>
      <c r="L85" s="16">
        <v>0.25</v>
      </c>
      <c r="M85" s="16">
        <v>0.25</v>
      </c>
      <c r="N85" s="17">
        <v>45149.0</v>
      </c>
      <c r="O85" s="18">
        <v>2.1</v>
      </c>
      <c r="P85" s="15" t="s">
        <v>33</v>
      </c>
      <c r="Q85" s="19">
        <f t="shared" si="1"/>
        <v>0.275</v>
      </c>
      <c r="R85" s="19">
        <f t="shared" si="4"/>
        <v>3.20283208</v>
      </c>
    </row>
    <row r="86">
      <c r="A86" s="8">
        <f t="shared" si="3"/>
        <v>85</v>
      </c>
      <c r="B86" s="8" t="s">
        <v>40</v>
      </c>
      <c r="C86" s="8" t="s">
        <v>3006</v>
      </c>
      <c r="D86" s="8" t="s">
        <v>5564</v>
      </c>
      <c r="E86" s="8" t="s">
        <v>2556</v>
      </c>
      <c r="F86" s="8">
        <v>0.0</v>
      </c>
      <c r="G86" s="8" t="s">
        <v>28</v>
      </c>
      <c r="H86" s="8" t="s">
        <v>22</v>
      </c>
      <c r="I86" s="8" t="s">
        <v>225</v>
      </c>
      <c r="J86" s="8" t="s">
        <v>1522</v>
      </c>
      <c r="K86" s="9">
        <v>0.25</v>
      </c>
      <c r="L86" s="9">
        <v>0.25</v>
      </c>
      <c r="M86" s="9">
        <v>0.25</v>
      </c>
      <c r="N86" s="10">
        <v>45149.0</v>
      </c>
      <c r="O86" s="11">
        <v>1.975</v>
      </c>
      <c r="P86" s="8" t="s">
        <v>33</v>
      </c>
      <c r="Q86" s="12">
        <f t="shared" si="1"/>
        <v>0.24375</v>
      </c>
      <c r="R86" s="12">
        <f t="shared" si="4"/>
        <v>3.44658208</v>
      </c>
    </row>
    <row r="87">
      <c r="A87" s="15">
        <f t="shared" si="3"/>
        <v>86</v>
      </c>
      <c r="B87" s="15" t="s">
        <v>40</v>
      </c>
      <c r="C87" s="15" t="s">
        <v>3007</v>
      </c>
      <c r="D87" s="15" t="s">
        <v>5564</v>
      </c>
      <c r="E87" s="15" t="s">
        <v>2660</v>
      </c>
      <c r="F87" s="15">
        <v>0.0</v>
      </c>
      <c r="G87" s="15" t="s">
        <v>28</v>
      </c>
      <c r="H87" s="15" t="s">
        <v>22</v>
      </c>
      <c r="I87" s="15" t="s">
        <v>1150</v>
      </c>
      <c r="J87" s="15" t="s">
        <v>1522</v>
      </c>
      <c r="K87" s="16">
        <v>0.0</v>
      </c>
      <c r="L87" s="16">
        <v>0.25</v>
      </c>
      <c r="M87" s="16">
        <v>0.25</v>
      </c>
      <c r="N87" s="17">
        <v>45149.0</v>
      </c>
      <c r="O87" s="18">
        <v>2.3</v>
      </c>
      <c r="P87" s="15" t="s">
        <v>70</v>
      </c>
      <c r="Q87" s="19">
        <f t="shared" si="1"/>
        <v>0</v>
      </c>
      <c r="R87" s="19">
        <f t="shared" si="4"/>
        <v>3.44658208</v>
      </c>
    </row>
    <row r="88">
      <c r="A88" s="8">
        <f t="shared" si="3"/>
        <v>87</v>
      </c>
      <c r="B88" s="8" t="s">
        <v>19</v>
      </c>
      <c r="C88" s="8" t="s">
        <v>3008</v>
      </c>
      <c r="D88" s="8" t="s">
        <v>5564</v>
      </c>
      <c r="E88" s="8" t="s">
        <v>2556</v>
      </c>
      <c r="F88" s="8">
        <v>2</v>
      </c>
      <c r="G88" s="8" t="s">
        <v>28</v>
      </c>
      <c r="H88" s="8" t="s">
        <v>22</v>
      </c>
      <c r="I88" s="8" t="s">
        <v>225</v>
      </c>
      <c r="J88" s="8" t="s">
        <v>24</v>
      </c>
      <c r="K88" s="9">
        <v>0.5</v>
      </c>
      <c r="L88" s="9">
        <v>0.5</v>
      </c>
      <c r="M88" s="9">
        <v>0.5</v>
      </c>
      <c r="N88" s="10">
        <v>45149.0</v>
      </c>
      <c r="O88" s="11">
        <v>1.084</v>
      </c>
      <c r="P88" s="8" t="s">
        <v>33</v>
      </c>
      <c r="Q88" s="12">
        <f t="shared" si="1"/>
        <v>0.042</v>
      </c>
      <c r="R88" s="12">
        <f t="shared" si="4"/>
        <v>3.48858208</v>
      </c>
    </row>
    <row r="89">
      <c r="A89" s="15">
        <f t="shared" si="3"/>
        <v>88</v>
      </c>
      <c r="B89" s="15" t="s">
        <v>19</v>
      </c>
      <c r="C89" s="15" t="s">
        <v>3009</v>
      </c>
      <c r="D89" s="15"/>
      <c r="E89" s="15"/>
      <c r="F89" s="15" t="s">
        <v>2615</v>
      </c>
      <c r="G89" s="15" t="s">
        <v>513</v>
      </c>
      <c r="H89" s="15" t="s">
        <v>22</v>
      </c>
      <c r="I89" s="15" t="s">
        <v>29</v>
      </c>
      <c r="J89" s="15" t="s">
        <v>24</v>
      </c>
      <c r="K89" s="16">
        <v>-3.5</v>
      </c>
      <c r="L89" s="16">
        <v>0.25</v>
      </c>
      <c r="M89" s="16">
        <v>0.25</v>
      </c>
      <c r="N89" s="17">
        <v>45149.0</v>
      </c>
      <c r="O89" s="18">
        <v>1.625</v>
      </c>
      <c r="P89" s="15" t="s">
        <v>33</v>
      </c>
      <c r="Q89" s="19">
        <f t="shared" si="1"/>
        <v>0.15625</v>
      </c>
      <c r="R89" s="19">
        <f t="shared" si="4"/>
        <v>3.64483208</v>
      </c>
    </row>
    <row r="90">
      <c r="A90" s="8">
        <f t="shared" si="3"/>
        <v>89</v>
      </c>
      <c r="B90" s="8" t="s">
        <v>19</v>
      </c>
      <c r="C90" s="8" t="s">
        <v>3010</v>
      </c>
      <c r="D90" s="8" t="s">
        <v>5564</v>
      </c>
      <c r="E90" s="8" t="s">
        <v>2660</v>
      </c>
      <c r="F90" s="8">
        <v>-1.0</v>
      </c>
      <c r="G90" s="8" t="s">
        <v>28</v>
      </c>
      <c r="H90" s="8" t="s">
        <v>22</v>
      </c>
      <c r="I90" s="8" t="s">
        <v>892</v>
      </c>
      <c r="J90" s="8" t="s">
        <v>1851</v>
      </c>
      <c r="K90" s="9">
        <v>0.0</v>
      </c>
      <c r="L90" s="9">
        <v>0.25</v>
      </c>
      <c r="M90" s="9">
        <v>0.25</v>
      </c>
      <c r="N90" s="10">
        <v>45149.0</v>
      </c>
      <c r="O90" s="11">
        <f>139.46/75</f>
        <v>1.859466667</v>
      </c>
      <c r="P90" s="8" t="s">
        <v>33</v>
      </c>
      <c r="Q90" s="12">
        <f t="shared" si="1"/>
        <v>0.2148666667</v>
      </c>
      <c r="R90" s="12">
        <f t="shared" si="4"/>
        <v>3.859698747</v>
      </c>
    </row>
    <row r="91">
      <c r="A91" s="15">
        <f t="shared" si="3"/>
        <v>90</v>
      </c>
      <c r="B91" s="15" t="s">
        <v>19</v>
      </c>
      <c r="C91" s="15" t="s">
        <v>3011</v>
      </c>
      <c r="D91" s="15" t="s">
        <v>5565</v>
      </c>
      <c r="E91" s="15" t="s">
        <v>2556</v>
      </c>
      <c r="F91" s="15">
        <v>-1.0</v>
      </c>
      <c r="G91" s="15" t="s">
        <v>44</v>
      </c>
      <c r="H91" s="15" t="s">
        <v>22</v>
      </c>
      <c r="I91" s="15" t="s">
        <v>225</v>
      </c>
      <c r="J91" s="15" t="s">
        <v>1522</v>
      </c>
      <c r="K91" s="16">
        <v>0.75</v>
      </c>
      <c r="L91" s="16">
        <v>0.25</v>
      </c>
      <c r="M91" s="16">
        <f>0.455*0.25</f>
        <v>0.11375</v>
      </c>
      <c r="N91" s="17">
        <v>45150.0</v>
      </c>
      <c r="O91" s="18">
        <v>1.825</v>
      </c>
      <c r="P91" s="15" t="s">
        <v>33</v>
      </c>
      <c r="Q91" s="19">
        <f t="shared" si="1"/>
        <v>0.09384375</v>
      </c>
      <c r="R91" s="19">
        <f t="shared" si="4"/>
        <v>3.953542497</v>
      </c>
    </row>
    <row r="92">
      <c r="A92" s="8">
        <f t="shared" si="3"/>
        <v>91</v>
      </c>
      <c r="B92" s="8" t="s">
        <v>19</v>
      </c>
      <c r="C92" s="8" t="s">
        <v>3012</v>
      </c>
      <c r="D92" s="8" t="s">
        <v>5564</v>
      </c>
      <c r="E92" s="8" t="s">
        <v>2660</v>
      </c>
      <c r="F92" s="8">
        <v>0.0</v>
      </c>
      <c r="G92" s="8" t="s">
        <v>2108</v>
      </c>
      <c r="H92" s="8" t="s">
        <v>22</v>
      </c>
      <c r="I92" s="8" t="s">
        <v>892</v>
      </c>
      <c r="J92" s="8" t="s">
        <v>24</v>
      </c>
      <c r="K92" s="9">
        <v>0.0</v>
      </c>
      <c r="L92" s="9">
        <v>0.5</v>
      </c>
      <c r="M92" s="9">
        <v>0.5</v>
      </c>
      <c r="N92" s="10">
        <v>45150.0</v>
      </c>
      <c r="O92" s="11">
        <v>1.16</v>
      </c>
      <c r="P92" s="8" t="s">
        <v>33</v>
      </c>
      <c r="Q92" s="12">
        <f t="shared" si="1"/>
        <v>0.08</v>
      </c>
      <c r="R92" s="12">
        <f t="shared" si="4"/>
        <v>4.033542497</v>
      </c>
    </row>
    <row r="93">
      <c r="A93" s="15">
        <f t="shared" si="3"/>
        <v>92</v>
      </c>
      <c r="B93" s="15" t="s">
        <v>40</v>
      </c>
      <c r="C93" s="15" t="s">
        <v>3013</v>
      </c>
      <c r="D93" s="15" t="s">
        <v>5564</v>
      </c>
      <c r="E93" s="15" t="s">
        <v>2556</v>
      </c>
      <c r="F93" s="15">
        <f>1</f>
        <v>1</v>
      </c>
      <c r="G93" s="15" t="s">
        <v>28</v>
      </c>
      <c r="H93" s="15" t="s">
        <v>22</v>
      </c>
      <c r="I93" s="15" t="s">
        <v>225</v>
      </c>
      <c r="J93" s="15" t="s">
        <v>1522</v>
      </c>
      <c r="K93" s="16">
        <v>0.5</v>
      </c>
      <c r="L93" s="16">
        <v>0.75</v>
      </c>
      <c r="M93" s="16">
        <v>0.75</v>
      </c>
      <c r="N93" s="17">
        <v>45150.0</v>
      </c>
      <c r="O93" s="18">
        <v>1.678</v>
      </c>
      <c r="P93" s="15" t="s">
        <v>33</v>
      </c>
      <c r="Q93" s="19">
        <f t="shared" si="1"/>
        <v>0.5085</v>
      </c>
      <c r="R93" s="19">
        <f t="shared" si="4"/>
        <v>4.542042497</v>
      </c>
    </row>
    <row r="94">
      <c r="A94" s="8">
        <f t="shared" si="3"/>
        <v>93</v>
      </c>
      <c r="B94" s="8" t="s">
        <v>19</v>
      </c>
      <c r="C94" s="8" t="s">
        <v>3014</v>
      </c>
      <c r="D94" s="8" t="s">
        <v>5565</v>
      </c>
      <c r="E94" s="8" t="s">
        <v>2556</v>
      </c>
      <c r="F94" s="8">
        <v>-1.0</v>
      </c>
      <c r="G94" s="8" t="s">
        <v>44</v>
      </c>
      <c r="H94" s="8" t="s">
        <v>22</v>
      </c>
      <c r="I94" s="8" t="s">
        <v>225</v>
      </c>
      <c r="J94" s="8" t="s">
        <v>24</v>
      </c>
      <c r="K94" s="9">
        <v>0.25</v>
      </c>
      <c r="L94" s="9">
        <v>0.25</v>
      </c>
      <c r="M94" s="9">
        <v>0.25</v>
      </c>
      <c r="N94" s="10">
        <v>45150.0</v>
      </c>
      <c r="O94" s="11">
        <v>1.775</v>
      </c>
      <c r="P94" s="8" t="s">
        <v>25</v>
      </c>
      <c r="Q94" s="12">
        <f t="shared" si="1"/>
        <v>-0.25</v>
      </c>
      <c r="R94" s="12">
        <f t="shared" si="4"/>
        <v>4.292042497</v>
      </c>
    </row>
    <row r="95">
      <c r="A95" s="15">
        <f t="shared" si="3"/>
        <v>94</v>
      </c>
      <c r="B95" s="15" t="s">
        <v>19</v>
      </c>
      <c r="C95" s="15" t="s">
        <v>3015</v>
      </c>
      <c r="D95" s="15" t="s">
        <v>5564</v>
      </c>
      <c r="E95" s="15" t="s">
        <v>2556</v>
      </c>
      <c r="F95" s="15">
        <f>1</f>
        <v>1</v>
      </c>
      <c r="G95" s="15" t="s">
        <v>463</v>
      </c>
      <c r="H95" s="15" t="s">
        <v>22</v>
      </c>
      <c r="I95" s="15" t="s">
        <v>225</v>
      </c>
      <c r="J95" s="15" t="s">
        <v>24</v>
      </c>
      <c r="K95" s="16">
        <v>0.25</v>
      </c>
      <c r="L95" s="16">
        <v>0.75</v>
      </c>
      <c r="M95" s="16">
        <v>0.75</v>
      </c>
      <c r="N95" s="17">
        <v>45150.0</v>
      </c>
      <c r="O95" s="18">
        <f>(121.99/75+1.825+1.825)/3</f>
        <v>1.758844444</v>
      </c>
      <c r="P95" s="15" t="s">
        <v>33</v>
      </c>
      <c r="Q95" s="19">
        <f t="shared" si="1"/>
        <v>0.5691333333</v>
      </c>
      <c r="R95" s="19">
        <f t="shared" si="4"/>
        <v>4.86117583</v>
      </c>
    </row>
    <row r="96">
      <c r="A96" s="8">
        <f t="shared" si="3"/>
        <v>95</v>
      </c>
      <c r="B96" s="8" t="s">
        <v>19</v>
      </c>
      <c r="C96" s="8" t="s">
        <v>3016</v>
      </c>
      <c r="D96" s="8" t="s">
        <v>5565</v>
      </c>
      <c r="E96" s="8" t="s">
        <v>2556</v>
      </c>
      <c r="F96" s="8">
        <v>0.0</v>
      </c>
      <c r="G96" s="8" t="s">
        <v>3017</v>
      </c>
      <c r="H96" s="8" t="s">
        <v>22</v>
      </c>
      <c r="I96" s="8" t="s">
        <v>941</v>
      </c>
      <c r="J96" s="8" t="s">
        <v>24</v>
      </c>
      <c r="K96" s="9">
        <v>0.0</v>
      </c>
      <c r="L96" s="9">
        <v>0.5</v>
      </c>
      <c r="M96" s="9">
        <v>0.5</v>
      </c>
      <c r="N96" s="54">
        <v>45150.0</v>
      </c>
      <c r="O96" s="11">
        <v>2.0</v>
      </c>
      <c r="P96" s="8" t="s">
        <v>33</v>
      </c>
      <c r="Q96" s="12">
        <f t="shared" si="1"/>
        <v>0.5</v>
      </c>
      <c r="R96" s="12">
        <f t="shared" si="4"/>
        <v>5.36117583</v>
      </c>
    </row>
    <row r="97">
      <c r="A97" s="15">
        <f t="shared" si="3"/>
        <v>96</v>
      </c>
      <c r="B97" s="15" t="s">
        <v>19</v>
      </c>
      <c r="C97" s="15" t="s">
        <v>3018</v>
      </c>
      <c r="D97" s="15" t="s">
        <v>5564</v>
      </c>
      <c r="E97" s="15" t="s">
        <v>2556</v>
      </c>
      <c r="F97" s="15">
        <f>1</f>
        <v>1</v>
      </c>
      <c r="G97" s="15" t="s">
        <v>28</v>
      </c>
      <c r="H97" s="15" t="s">
        <v>22</v>
      </c>
      <c r="I97" s="15" t="s">
        <v>225</v>
      </c>
      <c r="J97" s="15" t="s">
        <v>1851</v>
      </c>
      <c r="K97" s="16">
        <v>0.25</v>
      </c>
      <c r="L97" s="16">
        <v>0.5</v>
      </c>
      <c r="M97" s="16">
        <v>0.5</v>
      </c>
      <c r="N97" s="17">
        <v>45150.0</v>
      </c>
      <c r="O97" s="18">
        <v>1.063</v>
      </c>
      <c r="P97" s="15" t="s">
        <v>33</v>
      </c>
      <c r="Q97" s="19">
        <f t="shared" si="1"/>
        <v>0.0315</v>
      </c>
      <c r="R97" s="19">
        <f t="shared" si="4"/>
        <v>5.39267583</v>
      </c>
    </row>
    <row r="98">
      <c r="A98" s="8">
        <f t="shared" si="3"/>
        <v>97</v>
      </c>
      <c r="B98" s="8" t="s">
        <v>19</v>
      </c>
      <c r="C98" s="8" t="s">
        <v>3019</v>
      </c>
      <c r="D98" s="8" t="s">
        <v>5564</v>
      </c>
      <c r="E98" s="8" t="s">
        <v>2556</v>
      </c>
      <c r="F98" s="8">
        <v>0.0</v>
      </c>
      <c r="G98" s="8" t="s">
        <v>82</v>
      </c>
      <c r="H98" s="8" t="s">
        <v>22</v>
      </c>
      <c r="I98" s="8" t="s">
        <v>225</v>
      </c>
      <c r="J98" s="8" t="s">
        <v>24</v>
      </c>
      <c r="K98" s="9">
        <v>0.5</v>
      </c>
      <c r="L98" s="9">
        <v>0.25</v>
      </c>
      <c r="M98" s="9">
        <v>0.25</v>
      </c>
      <c r="N98" s="10">
        <v>45150.0</v>
      </c>
      <c r="O98" s="11">
        <v>1.3412</v>
      </c>
      <c r="P98" s="8" t="s">
        <v>33</v>
      </c>
      <c r="Q98" s="12">
        <f t="shared" si="1"/>
        <v>0.0853</v>
      </c>
      <c r="R98" s="12">
        <f t="shared" si="4"/>
        <v>5.47797583</v>
      </c>
    </row>
    <row r="99">
      <c r="A99" s="15">
        <f t="shared" si="3"/>
        <v>98</v>
      </c>
      <c r="B99" s="15" t="s">
        <v>19</v>
      </c>
      <c r="C99" s="15" t="s">
        <v>3020</v>
      </c>
      <c r="D99" s="15" t="s">
        <v>5564</v>
      </c>
      <c r="E99" s="15" t="s">
        <v>2660</v>
      </c>
      <c r="F99" s="15">
        <v>-2.0</v>
      </c>
      <c r="G99" s="15" t="s">
        <v>82</v>
      </c>
      <c r="H99" s="15" t="s">
        <v>22</v>
      </c>
      <c r="I99" s="15" t="s">
        <v>892</v>
      </c>
      <c r="J99" s="15" t="s">
        <v>24</v>
      </c>
      <c r="K99" s="16">
        <v>0.0</v>
      </c>
      <c r="L99" s="16">
        <v>0.5</v>
      </c>
      <c r="M99" s="16">
        <v>0.5</v>
      </c>
      <c r="N99" s="17">
        <v>45150.0</v>
      </c>
      <c r="O99" s="18">
        <v>2.05</v>
      </c>
      <c r="P99" s="15" t="s">
        <v>25</v>
      </c>
      <c r="Q99" s="19">
        <f t="shared" si="1"/>
        <v>-0.5</v>
      </c>
      <c r="R99" s="19">
        <f t="shared" si="4"/>
        <v>4.97797583</v>
      </c>
    </row>
    <row r="100">
      <c r="A100" s="8">
        <f t="shared" si="3"/>
        <v>99</v>
      </c>
      <c r="B100" s="8" t="s">
        <v>40</v>
      </c>
      <c r="C100" s="8" t="s">
        <v>3021</v>
      </c>
      <c r="D100" s="8" t="s">
        <v>5565</v>
      </c>
      <c r="E100" s="8" t="s">
        <v>2556</v>
      </c>
      <c r="F100" s="8">
        <v>-1.0</v>
      </c>
      <c r="G100" s="8" t="s">
        <v>908</v>
      </c>
      <c r="H100" s="8" t="s">
        <v>22</v>
      </c>
      <c r="I100" s="8" t="s">
        <v>225</v>
      </c>
      <c r="J100" s="8" t="s">
        <v>1522</v>
      </c>
      <c r="K100" s="9">
        <v>0.25</v>
      </c>
      <c r="L100" s="9">
        <v>0.25</v>
      </c>
      <c r="M100" s="9">
        <f t="shared" ref="M100:M101" si="7">0.609*0.25</f>
        <v>0.15225</v>
      </c>
      <c r="N100" s="10">
        <v>45151.0</v>
      </c>
      <c r="O100" s="11">
        <v>1.93</v>
      </c>
      <c r="P100" s="8" t="s">
        <v>25</v>
      </c>
      <c r="Q100" s="12">
        <f t="shared" si="1"/>
        <v>-0.15225</v>
      </c>
      <c r="R100" s="12">
        <f t="shared" si="4"/>
        <v>4.82572583</v>
      </c>
    </row>
    <row r="101">
      <c r="A101" s="15">
        <f t="shared" si="3"/>
        <v>100</v>
      </c>
      <c r="B101" s="15" t="s">
        <v>40</v>
      </c>
      <c r="C101" s="15" t="s">
        <v>3022</v>
      </c>
      <c r="D101" s="15" t="s">
        <v>5565</v>
      </c>
      <c r="E101" s="15"/>
      <c r="F101" s="15" t="s">
        <v>2615</v>
      </c>
      <c r="G101" s="15" t="s">
        <v>908</v>
      </c>
      <c r="H101" s="15" t="s">
        <v>22</v>
      </c>
      <c r="I101" s="15" t="s">
        <v>29</v>
      </c>
      <c r="J101" s="15" t="s">
        <v>1522</v>
      </c>
      <c r="K101" s="16">
        <v>-4.25</v>
      </c>
      <c r="L101" s="16">
        <v>0.25</v>
      </c>
      <c r="M101" s="16">
        <f t="shared" si="7"/>
        <v>0.15225</v>
      </c>
      <c r="N101" s="17">
        <v>45151.0</v>
      </c>
      <c r="O101" s="18">
        <v>1.82</v>
      </c>
      <c r="P101" s="15" t="s">
        <v>25</v>
      </c>
      <c r="Q101" s="19">
        <f t="shared" si="1"/>
        <v>-0.15225</v>
      </c>
      <c r="R101" s="19">
        <f t="shared" si="4"/>
        <v>4.67347583</v>
      </c>
    </row>
    <row r="102">
      <c r="A102" s="8">
        <f t="shared" si="3"/>
        <v>101</v>
      </c>
      <c r="B102" s="8" t="s">
        <v>40</v>
      </c>
      <c r="C102" s="8" t="s">
        <v>3023</v>
      </c>
      <c r="D102" s="8"/>
      <c r="E102" s="8"/>
      <c r="F102" s="8" t="s">
        <v>2615</v>
      </c>
      <c r="G102" s="8" t="s">
        <v>44</v>
      </c>
      <c r="H102" s="8" t="s">
        <v>22</v>
      </c>
      <c r="I102" s="8" t="s">
        <v>29</v>
      </c>
      <c r="J102" s="8" t="s">
        <v>24</v>
      </c>
      <c r="K102" s="9">
        <v>-2.25</v>
      </c>
      <c r="L102" s="9">
        <v>0.5</v>
      </c>
      <c r="M102" s="9">
        <f>0.696*0.5</f>
        <v>0.348</v>
      </c>
      <c r="N102" s="10">
        <v>45151.0</v>
      </c>
      <c r="O102" s="11">
        <v>1.7</v>
      </c>
      <c r="P102" s="8" t="s">
        <v>30</v>
      </c>
      <c r="Q102" s="12">
        <f t="shared" si="1"/>
        <v>0.1218</v>
      </c>
      <c r="R102" s="12">
        <f t="shared" si="4"/>
        <v>4.79527583</v>
      </c>
    </row>
    <row r="103">
      <c r="A103" s="15">
        <f t="shared" si="3"/>
        <v>102</v>
      </c>
      <c r="B103" s="15" t="s">
        <v>19</v>
      </c>
      <c r="C103" s="15" t="s">
        <v>3024</v>
      </c>
      <c r="D103" s="15" t="s">
        <v>5564</v>
      </c>
      <c r="E103" s="15" t="s">
        <v>2660</v>
      </c>
      <c r="F103" s="15">
        <v>4</v>
      </c>
      <c r="G103" s="15" t="s">
        <v>101</v>
      </c>
      <c r="H103" s="15" t="s">
        <v>22</v>
      </c>
      <c r="I103" s="15" t="s">
        <v>892</v>
      </c>
      <c r="J103" s="15" t="s">
        <v>24</v>
      </c>
      <c r="K103" s="16">
        <v>0.0</v>
      </c>
      <c r="L103" s="16">
        <v>0.5</v>
      </c>
      <c r="M103" s="16">
        <v>0.5</v>
      </c>
      <c r="N103" s="17">
        <v>45151.0</v>
      </c>
      <c r="O103" s="18">
        <v>1.7</v>
      </c>
      <c r="P103" s="15" t="s">
        <v>33</v>
      </c>
      <c r="Q103" s="19">
        <f t="shared" si="1"/>
        <v>0.35</v>
      </c>
      <c r="R103" s="19">
        <f t="shared" si="4"/>
        <v>5.14527583</v>
      </c>
    </row>
    <row r="104">
      <c r="A104" s="8">
        <f t="shared" si="3"/>
        <v>103</v>
      </c>
      <c r="B104" s="8" t="s">
        <v>19</v>
      </c>
      <c r="C104" s="8" t="s">
        <v>3025</v>
      </c>
      <c r="D104" s="8" t="s">
        <v>5565</v>
      </c>
      <c r="E104" s="8" t="s">
        <v>2556</v>
      </c>
      <c r="F104" s="8">
        <v>-1.0</v>
      </c>
      <c r="G104" s="8" t="s">
        <v>316</v>
      </c>
      <c r="H104" s="8" t="s">
        <v>22</v>
      </c>
      <c r="I104" s="8" t="s">
        <v>225</v>
      </c>
      <c r="J104" s="8" t="s">
        <v>24</v>
      </c>
      <c r="K104" s="9">
        <v>0.25</v>
      </c>
      <c r="L104" s="9">
        <v>0.25</v>
      </c>
      <c r="M104" s="9">
        <v>0.25</v>
      </c>
      <c r="N104" s="54">
        <v>45153.0</v>
      </c>
      <c r="O104" s="11">
        <v>1.95</v>
      </c>
      <c r="P104" s="8" t="s">
        <v>33</v>
      </c>
      <c r="Q104" s="12">
        <f t="shared" si="1"/>
        <v>0.2375</v>
      </c>
      <c r="R104" s="12">
        <f t="shared" si="4"/>
        <v>5.38277583</v>
      </c>
    </row>
    <row r="105">
      <c r="A105" s="15">
        <f t="shared" si="3"/>
        <v>104</v>
      </c>
      <c r="B105" s="15" t="s">
        <v>40</v>
      </c>
      <c r="C105" s="15" t="s">
        <v>3026</v>
      </c>
      <c r="D105" s="15" t="s">
        <v>5564</v>
      </c>
      <c r="E105" s="15" t="s">
        <v>2556</v>
      </c>
      <c r="F105" s="15">
        <v>0.0</v>
      </c>
      <c r="G105" s="15" t="s">
        <v>28</v>
      </c>
      <c r="H105" s="15" t="s">
        <v>22</v>
      </c>
      <c r="I105" s="15" t="s">
        <v>225</v>
      </c>
      <c r="J105" s="15" t="s">
        <v>1522</v>
      </c>
      <c r="K105" s="16">
        <v>0.75</v>
      </c>
      <c r="L105" s="16">
        <v>0.5</v>
      </c>
      <c r="M105" s="16">
        <v>0.5</v>
      </c>
      <c r="N105" s="17">
        <v>45154.0</v>
      </c>
      <c r="O105" s="18">
        <v>1.825</v>
      </c>
      <c r="P105" s="15" t="s">
        <v>70</v>
      </c>
      <c r="Q105" s="19">
        <f t="shared" si="1"/>
        <v>0</v>
      </c>
      <c r="R105" s="19">
        <f t="shared" si="4"/>
        <v>5.38277583</v>
      </c>
    </row>
    <row r="106">
      <c r="A106" s="8">
        <f t="shared" si="3"/>
        <v>105</v>
      </c>
      <c r="B106" s="8" t="s">
        <v>19</v>
      </c>
      <c r="C106" s="8" t="s">
        <v>3027</v>
      </c>
      <c r="D106" s="8" t="s">
        <v>5564</v>
      </c>
      <c r="E106" s="8" t="s">
        <v>2556</v>
      </c>
      <c r="F106" s="8">
        <v>2</v>
      </c>
      <c r="G106" s="8" t="s">
        <v>316</v>
      </c>
      <c r="H106" s="8" t="s">
        <v>22</v>
      </c>
      <c r="I106" s="8" t="s">
        <v>225</v>
      </c>
      <c r="J106" s="8" t="s">
        <v>24</v>
      </c>
      <c r="K106" s="9">
        <v>0.5</v>
      </c>
      <c r="L106" s="9">
        <v>0.75</v>
      </c>
      <c r="M106" s="9">
        <v>0.75</v>
      </c>
      <c r="N106" s="10">
        <v>45153.0</v>
      </c>
      <c r="O106" s="11">
        <v>1.691</v>
      </c>
      <c r="P106" s="8" t="s">
        <v>33</v>
      </c>
      <c r="Q106" s="12">
        <f t="shared" si="1"/>
        <v>0.51825</v>
      </c>
      <c r="R106" s="12">
        <f t="shared" si="4"/>
        <v>5.90102583</v>
      </c>
    </row>
    <row r="107">
      <c r="A107" s="15">
        <f t="shared" si="3"/>
        <v>106</v>
      </c>
      <c r="B107" s="15" t="s">
        <v>19</v>
      </c>
      <c r="C107" s="15" t="s">
        <v>3028</v>
      </c>
      <c r="D107" s="15"/>
      <c r="E107" s="15"/>
      <c r="F107" s="15" t="s">
        <v>2615</v>
      </c>
      <c r="G107" s="15" t="s">
        <v>513</v>
      </c>
      <c r="H107" s="15" t="s">
        <v>22</v>
      </c>
      <c r="I107" s="15" t="s">
        <v>2939</v>
      </c>
      <c r="J107" s="15" t="s">
        <v>39</v>
      </c>
      <c r="K107" s="16">
        <v>-8.5</v>
      </c>
      <c r="L107" s="16">
        <v>0.25</v>
      </c>
      <c r="M107" s="16">
        <v>0.25</v>
      </c>
      <c r="N107" s="17">
        <v>45153.0</v>
      </c>
      <c r="O107" s="18">
        <v>1.775</v>
      </c>
      <c r="P107" s="15" t="s">
        <v>25</v>
      </c>
      <c r="Q107" s="19">
        <f t="shared" si="1"/>
        <v>-0.25</v>
      </c>
      <c r="R107" s="19">
        <f t="shared" si="4"/>
        <v>5.65102583</v>
      </c>
    </row>
    <row r="108">
      <c r="A108" s="8">
        <f t="shared" si="3"/>
        <v>107</v>
      </c>
      <c r="B108" s="8" t="s">
        <v>19</v>
      </c>
      <c r="C108" s="8" t="s">
        <v>3029</v>
      </c>
      <c r="D108" s="8"/>
      <c r="E108" s="8"/>
      <c r="F108" s="8" t="s">
        <v>2615</v>
      </c>
      <c r="G108" s="8" t="s">
        <v>44</v>
      </c>
      <c r="H108" s="8" t="s">
        <v>22</v>
      </c>
      <c r="I108" s="8" t="s">
        <v>2939</v>
      </c>
      <c r="J108" s="8" t="s">
        <v>24</v>
      </c>
      <c r="K108" s="9">
        <v>-12.5</v>
      </c>
      <c r="L108" s="9">
        <v>0.3</v>
      </c>
      <c r="M108" s="9">
        <v>0.3</v>
      </c>
      <c r="N108" s="10">
        <v>45153.0</v>
      </c>
      <c r="O108" s="11">
        <v>1.85</v>
      </c>
      <c r="P108" s="8" t="s">
        <v>25</v>
      </c>
      <c r="Q108" s="12">
        <f t="shared" si="1"/>
        <v>-0.3</v>
      </c>
      <c r="R108" s="12">
        <f t="shared" si="4"/>
        <v>5.35102583</v>
      </c>
    </row>
    <row r="109">
      <c r="A109" s="15">
        <f t="shared" si="3"/>
        <v>108</v>
      </c>
      <c r="B109" s="15" t="s">
        <v>19</v>
      </c>
      <c r="C109" s="15" t="s">
        <v>3030</v>
      </c>
      <c r="D109" s="15"/>
      <c r="E109" s="15"/>
      <c r="F109" s="15"/>
      <c r="G109" s="15" t="s">
        <v>82</v>
      </c>
      <c r="H109" s="15" t="s">
        <v>598</v>
      </c>
      <c r="I109" s="15" t="s">
        <v>3031</v>
      </c>
      <c r="J109" s="15" t="s">
        <v>24</v>
      </c>
      <c r="K109" s="16">
        <v>-7.0</v>
      </c>
      <c r="L109" s="16">
        <v>0.2</v>
      </c>
      <c r="M109" s="16">
        <v>0.2</v>
      </c>
      <c r="N109" s="17">
        <v>45154.0</v>
      </c>
      <c r="O109" s="18">
        <v>2.4</v>
      </c>
      <c r="P109" s="15" t="s">
        <v>25</v>
      </c>
      <c r="Q109" s="19">
        <f t="shared" si="1"/>
        <v>-0.2</v>
      </c>
      <c r="R109" s="19">
        <f t="shared" si="4"/>
        <v>5.15102583</v>
      </c>
    </row>
    <row r="110">
      <c r="A110" s="8">
        <f t="shared" si="3"/>
        <v>109</v>
      </c>
      <c r="B110" s="8" t="s">
        <v>19</v>
      </c>
      <c r="C110" s="8" t="s">
        <v>3032</v>
      </c>
      <c r="D110" s="8"/>
      <c r="E110" s="8"/>
      <c r="F110" s="8"/>
      <c r="G110" s="8" t="s">
        <v>1961</v>
      </c>
      <c r="H110" s="8" t="s">
        <v>598</v>
      </c>
      <c r="I110" s="8" t="s">
        <v>29</v>
      </c>
      <c r="J110" s="8" t="s">
        <v>39</v>
      </c>
      <c r="K110" s="9">
        <v>-2.75</v>
      </c>
      <c r="L110" s="9">
        <v>0.25</v>
      </c>
      <c r="M110" s="9">
        <v>0.25</v>
      </c>
      <c r="N110" s="10">
        <v>45154.0</v>
      </c>
      <c r="O110" s="11">
        <v>1.88</v>
      </c>
      <c r="P110" s="8" t="s">
        <v>70</v>
      </c>
      <c r="Q110" s="12">
        <f t="shared" si="1"/>
        <v>0</v>
      </c>
      <c r="R110" s="12">
        <f t="shared" si="4"/>
        <v>5.15102583</v>
      </c>
    </row>
    <row r="111">
      <c r="A111" s="15">
        <f t="shared" si="3"/>
        <v>110</v>
      </c>
      <c r="B111" s="15" t="s">
        <v>19</v>
      </c>
      <c r="C111" s="15" t="s">
        <v>3033</v>
      </c>
      <c r="D111" s="15"/>
      <c r="E111" s="15"/>
      <c r="F111" s="15" t="s">
        <v>3034</v>
      </c>
      <c r="G111" s="15" t="s">
        <v>82</v>
      </c>
      <c r="H111" s="15" t="s">
        <v>22</v>
      </c>
      <c r="I111" s="15" t="s">
        <v>2545</v>
      </c>
      <c r="J111" s="15" t="s">
        <v>24</v>
      </c>
      <c r="K111" s="16">
        <v>3.0</v>
      </c>
      <c r="L111" s="16">
        <v>0.5</v>
      </c>
      <c r="M111" s="16">
        <v>0.5</v>
      </c>
      <c r="N111" s="17">
        <v>45154.0</v>
      </c>
      <c r="O111" s="18">
        <v>1.725</v>
      </c>
      <c r="P111" s="15" t="s">
        <v>25</v>
      </c>
      <c r="Q111" s="19">
        <f t="shared" si="1"/>
        <v>-0.5</v>
      </c>
      <c r="R111" s="19">
        <f t="shared" si="4"/>
        <v>4.65102583</v>
      </c>
    </row>
    <row r="112">
      <c r="A112" s="8">
        <f t="shared" si="3"/>
        <v>111</v>
      </c>
      <c r="B112" s="8" t="s">
        <v>19</v>
      </c>
      <c r="C112" s="8" t="s">
        <v>3035</v>
      </c>
      <c r="D112" s="8"/>
      <c r="E112" s="8"/>
      <c r="F112" s="8" t="s">
        <v>2615</v>
      </c>
      <c r="G112" s="8" t="s">
        <v>82</v>
      </c>
      <c r="H112" s="8" t="s">
        <v>22</v>
      </c>
      <c r="I112" s="8" t="s">
        <v>23</v>
      </c>
      <c r="J112" s="8" t="s">
        <v>24</v>
      </c>
      <c r="K112" s="9">
        <v>-6.0</v>
      </c>
      <c r="L112" s="9">
        <v>0.25</v>
      </c>
      <c r="M112" s="9">
        <f>0.478*0.25</f>
        <v>0.1195</v>
      </c>
      <c r="N112" s="10">
        <v>45154.0</v>
      </c>
      <c r="O112" s="11">
        <v>1.83</v>
      </c>
      <c r="P112" s="8" t="s">
        <v>33</v>
      </c>
      <c r="Q112" s="12">
        <f t="shared" si="1"/>
        <v>0.099185</v>
      </c>
      <c r="R112" s="12">
        <f t="shared" si="4"/>
        <v>4.75021083</v>
      </c>
    </row>
    <row r="113">
      <c r="A113" s="15">
        <f t="shared" si="3"/>
        <v>112</v>
      </c>
      <c r="B113" s="15" t="s">
        <v>19</v>
      </c>
      <c r="C113" s="15" t="s">
        <v>3036</v>
      </c>
      <c r="D113" s="15" t="s">
        <v>5565</v>
      </c>
      <c r="E113" s="15" t="s">
        <v>2556</v>
      </c>
      <c r="F113" s="15">
        <f>1</f>
        <v>1</v>
      </c>
      <c r="G113" s="15" t="s">
        <v>583</v>
      </c>
      <c r="H113" s="15" t="s">
        <v>22</v>
      </c>
      <c r="I113" s="15" t="s">
        <v>225</v>
      </c>
      <c r="J113" s="15" t="s">
        <v>24</v>
      </c>
      <c r="K113" s="16">
        <v>0.25</v>
      </c>
      <c r="L113" s="16">
        <v>0.75</v>
      </c>
      <c r="M113" s="16">
        <v>0.75</v>
      </c>
      <c r="N113" s="17">
        <v>45154.0</v>
      </c>
      <c r="O113" s="18">
        <v>1.7</v>
      </c>
      <c r="P113" s="15" t="s">
        <v>33</v>
      </c>
      <c r="Q113" s="19">
        <f t="shared" si="1"/>
        <v>0.525</v>
      </c>
      <c r="R113" s="19">
        <f t="shared" si="4"/>
        <v>5.27521083</v>
      </c>
    </row>
    <row r="114">
      <c r="A114" s="8">
        <f t="shared" si="3"/>
        <v>113</v>
      </c>
      <c r="B114" s="8" t="s">
        <v>19</v>
      </c>
      <c r="C114" s="8" t="s">
        <v>3037</v>
      </c>
      <c r="D114" s="8" t="s">
        <v>5565</v>
      </c>
      <c r="E114" s="8" t="s">
        <v>2556</v>
      </c>
      <c r="F114" s="8">
        <v>-1.0</v>
      </c>
      <c r="G114" s="8" t="s">
        <v>583</v>
      </c>
      <c r="H114" s="8" t="s">
        <v>22</v>
      </c>
      <c r="I114" s="8" t="s">
        <v>225</v>
      </c>
      <c r="J114" s="8" t="s">
        <v>24</v>
      </c>
      <c r="K114" s="9">
        <v>2.0</v>
      </c>
      <c r="L114" s="9">
        <v>0.25</v>
      </c>
      <c r="M114" s="9">
        <f>0.522*0.25</f>
        <v>0.1305</v>
      </c>
      <c r="N114" s="10">
        <v>45154.0</v>
      </c>
      <c r="O114" s="11">
        <v>2.025</v>
      </c>
      <c r="P114" s="8" t="s">
        <v>33</v>
      </c>
      <c r="Q114" s="12">
        <f t="shared" si="1"/>
        <v>0.1337625</v>
      </c>
      <c r="R114" s="12">
        <f t="shared" si="4"/>
        <v>5.40897333</v>
      </c>
    </row>
    <row r="115">
      <c r="A115" s="15">
        <f t="shared" si="3"/>
        <v>114</v>
      </c>
      <c r="B115" s="15" t="s">
        <v>19</v>
      </c>
      <c r="C115" s="15" t="s">
        <v>3038</v>
      </c>
      <c r="D115" s="15" t="s">
        <v>5565</v>
      </c>
      <c r="E115" s="15" t="s">
        <v>2556</v>
      </c>
      <c r="F115" s="15">
        <v>-1.0</v>
      </c>
      <c r="G115" s="15" t="s">
        <v>101</v>
      </c>
      <c r="H115" s="15" t="s">
        <v>22</v>
      </c>
      <c r="I115" s="15" t="s">
        <v>225</v>
      </c>
      <c r="J115" s="15" t="s">
        <v>1522</v>
      </c>
      <c r="K115" s="16">
        <v>1.5</v>
      </c>
      <c r="L115" s="16">
        <v>0.5</v>
      </c>
      <c r="M115" s="16">
        <v>0.5</v>
      </c>
      <c r="N115" s="17">
        <v>45154.0</v>
      </c>
      <c r="O115" s="18">
        <v>1.127</v>
      </c>
      <c r="P115" s="15" t="s">
        <v>33</v>
      </c>
      <c r="Q115" s="19">
        <f t="shared" si="1"/>
        <v>0.0635</v>
      </c>
      <c r="R115" s="19">
        <f t="shared" si="4"/>
        <v>5.47247333</v>
      </c>
    </row>
    <row r="116">
      <c r="A116" s="8">
        <f t="shared" si="3"/>
        <v>115</v>
      </c>
      <c r="B116" s="8" t="s">
        <v>19</v>
      </c>
      <c r="C116" s="8" t="s">
        <v>3039</v>
      </c>
      <c r="D116" s="8" t="s">
        <v>5564</v>
      </c>
      <c r="E116" s="8" t="s">
        <v>2660</v>
      </c>
      <c r="F116" s="8">
        <f>1</f>
        <v>1</v>
      </c>
      <c r="G116" s="8" t="s">
        <v>703</v>
      </c>
      <c r="H116" s="8" t="s">
        <v>22</v>
      </c>
      <c r="I116" s="8" t="s">
        <v>892</v>
      </c>
      <c r="J116" s="8" t="s">
        <v>24</v>
      </c>
      <c r="K116" s="9">
        <v>0.0</v>
      </c>
      <c r="L116" s="9">
        <v>0.5</v>
      </c>
      <c r="M116" s="9">
        <v>0.5</v>
      </c>
      <c r="N116" s="10">
        <v>45154.0</v>
      </c>
      <c r="O116" s="11">
        <v>1.975</v>
      </c>
      <c r="P116" s="8" t="s">
        <v>33</v>
      </c>
      <c r="Q116" s="12">
        <f t="shared" si="1"/>
        <v>0.4875</v>
      </c>
      <c r="R116" s="12">
        <f t="shared" si="4"/>
        <v>5.95997333</v>
      </c>
    </row>
    <row r="117">
      <c r="A117" s="15">
        <f t="shared" si="3"/>
        <v>116</v>
      </c>
      <c r="B117" s="15" t="s">
        <v>19</v>
      </c>
      <c r="C117" s="15" t="s">
        <v>3040</v>
      </c>
      <c r="D117" s="15" t="s">
        <v>5565</v>
      </c>
      <c r="E117" s="15" t="s">
        <v>2660</v>
      </c>
      <c r="F117" s="15">
        <v>0.0</v>
      </c>
      <c r="G117" s="15" t="s">
        <v>82</v>
      </c>
      <c r="H117" s="15" t="s">
        <v>22</v>
      </c>
      <c r="I117" s="15" t="s">
        <v>892</v>
      </c>
      <c r="J117" s="15" t="s">
        <v>39</v>
      </c>
      <c r="K117" s="16">
        <v>0.0</v>
      </c>
      <c r="L117" s="16">
        <v>0.25</v>
      </c>
      <c r="M117" s="16">
        <v>0.25</v>
      </c>
      <c r="N117" s="17">
        <v>45154.0</v>
      </c>
      <c r="O117" s="18">
        <v>1.9</v>
      </c>
      <c r="P117" s="15" t="s">
        <v>25</v>
      </c>
      <c r="Q117" s="19">
        <f t="shared" si="1"/>
        <v>-0.25</v>
      </c>
      <c r="R117" s="19">
        <f t="shared" si="4"/>
        <v>5.70997333</v>
      </c>
    </row>
    <row r="118">
      <c r="A118" s="8">
        <f t="shared" si="3"/>
        <v>117</v>
      </c>
      <c r="B118" s="8" t="s">
        <v>40</v>
      </c>
      <c r="C118" s="8" t="s">
        <v>3041</v>
      </c>
      <c r="D118" s="8" t="s">
        <v>5565</v>
      </c>
      <c r="E118" s="8" t="s">
        <v>2660</v>
      </c>
      <c r="F118" s="8">
        <v>-1.0</v>
      </c>
      <c r="G118" s="8" t="s">
        <v>169</v>
      </c>
      <c r="H118" s="8" t="s">
        <v>22</v>
      </c>
      <c r="I118" s="8" t="s">
        <v>892</v>
      </c>
      <c r="J118" s="8" t="s">
        <v>24</v>
      </c>
      <c r="K118" s="9">
        <v>0.0</v>
      </c>
      <c r="L118" s="9">
        <v>0.5</v>
      </c>
      <c r="M118" s="9">
        <v>0.5</v>
      </c>
      <c r="N118" s="10">
        <v>45154.0</v>
      </c>
      <c r="O118" s="11">
        <v>1.08</v>
      </c>
      <c r="P118" s="8" t="s">
        <v>33</v>
      </c>
      <c r="Q118" s="12">
        <f t="shared" si="1"/>
        <v>0.04</v>
      </c>
      <c r="R118" s="12">
        <f t="shared" si="4"/>
        <v>5.74997333</v>
      </c>
    </row>
    <row r="119">
      <c r="A119" s="15">
        <f t="shared" si="3"/>
        <v>118</v>
      </c>
      <c r="B119" s="15" t="s">
        <v>19</v>
      </c>
      <c r="C119" s="15" t="s">
        <v>3042</v>
      </c>
      <c r="D119" s="15" t="s">
        <v>5565</v>
      </c>
      <c r="E119" s="15"/>
      <c r="F119" s="15"/>
      <c r="G119" s="15" t="s">
        <v>82</v>
      </c>
      <c r="H119" s="15" t="s">
        <v>598</v>
      </c>
      <c r="I119" s="15" t="s">
        <v>1847</v>
      </c>
      <c r="J119" s="15" t="s">
        <v>24</v>
      </c>
      <c r="K119" s="16">
        <v>-0.5</v>
      </c>
      <c r="L119" s="16">
        <v>0.5</v>
      </c>
      <c r="M119" s="16">
        <v>0.5</v>
      </c>
      <c r="N119" s="17">
        <v>45165.0</v>
      </c>
      <c r="O119" s="18">
        <v>1.8</v>
      </c>
      <c r="P119" s="15" t="s">
        <v>33</v>
      </c>
      <c r="Q119" s="19">
        <f t="shared" si="1"/>
        <v>0.4</v>
      </c>
      <c r="R119" s="19">
        <f t="shared" si="4"/>
        <v>6.14997333</v>
      </c>
    </row>
    <row r="120">
      <c r="A120" s="8">
        <f t="shared" si="3"/>
        <v>119</v>
      </c>
      <c r="B120" s="8" t="s">
        <v>19</v>
      </c>
      <c r="C120" s="8" t="s">
        <v>3044</v>
      </c>
      <c r="D120" s="8"/>
      <c r="E120" s="8"/>
      <c r="F120" s="8"/>
      <c r="G120" s="8" t="s">
        <v>853</v>
      </c>
      <c r="H120" s="8" t="s">
        <v>22</v>
      </c>
      <c r="I120" s="8" t="s">
        <v>29</v>
      </c>
      <c r="J120" s="8" t="s">
        <v>24</v>
      </c>
      <c r="K120" s="9">
        <v>-7.0</v>
      </c>
      <c r="L120" s="9">
        <v>0.3</v>
      </c>
      <c r="M120" s="9">
        <v>0.3</v>
      </c>
      <c r="N120" s="10">
        <v>45155.0</v>
      </c>
      <c r="O120" s="11">
        <v>1.1</v>
      </c>
      <c r="P120" s="8" t="s">
        <v>33</v>
      </c>
      <c r="Q120" s="12">
        <f t="shared" si="1"/>
        <v>0.03</v>
      </c>
      <c r="R120" s="12">
        <f t="shared" si="4"/>
        <v>6.17997333</v>
      </c>
    </row>
    <row r="121">
      <c r="A121" s="15">
        <f t="shared" si="3"/>
        <v>120</v>
      </c>
      <c r="B121" s="15" t="s">
        <v>19</v>
      </c>
      <c r="C121" s="15" t="s">
        <v>3045</v>
      </c>
      <c r="D121" s="15" t="s">
        <v>5565</v>
      </c>
      <c r="E121" s="15" t="s">
        <v>2556</v>
      </c>
      <c r="F121" s="15">
        <v>0.0</v>
      </c>
      <c r="G121" s="15" t="s">
        <v>853</v>
      </c>
      <c r="H121" s="15" t="s">
        <v>22</v>
      </c>
      <c r="I121" s="15" t="s">
        <v>225</v>
      </c>
      <c r="J121" s="15" t="s">
        <v>24</v>
      </c>
      <c r="K121" s="16">
        <v>1.25</v>
      </c>
      <c r="L121" s="16">
        <v>0.3</v>
      </c>
      <c r="M121" s="16">
        <v>0.3</v>
      </c>
      <c r="N121" s="17">
        <v>45155.0</v>
      </c>
      <c r="O121" s="18">
        <v>1.725</v>
      </c>
      <c r="P121" s="15" t="s">
        <v>25</v>
      </c>
      <c r="Q121" s="19">
        <f t="shared" si="1"/>
        <v>-0.3</v>
      </c>
      <c r="R121" s="19">
        <f t="shared" si="4"/>
        <v>5.87997333</v>
      </c>
    </row>
    <row r="122">
      <c r="A122" s="8">
        <f t="shared" si="3"/>
        <v>121</v>
      </c>
      <c r="B122" s="8" t="s">
        <v>19</v>
      </c>
      <c r="C122" s="8" t="s">
        <v>3046</v>
      </c>
      <c r="D122" s="8" t="s">
        <v>5565</v>
      </c>
      <c r="E122" s="8" t="s">
        <v>2556</v>
      </c>
      <c r="F122" s="8">
        <v>0.0</v>
      </c>
      <c r="G122" s="8" t="s">
        <v>82</v>
      </c>
      <c r="H122" s="8" t="s">
        <v>22</v>
      </c>
      <c r="I122" s="8" t="s">
        <v>225</v>
      </c>
      <c r="J122" s="8" t="s">
        <v>39</v>
      </c>
      <c r="K122" s="9">
        <v>0.25</v>
      </c>
      <c r="L122" s="9">
        <v>0.5</v>
      </c>
      <c r="M122" s="9">
        <v>0.5</v>
      </c>
      <c r="N122" s="54">
        <v>45155.0</v>
      </c>
      <c r="O122" s="11">
        <v>1.725</v>
      </c>
      <c r="P122" s="8" t="s">
        <v>33</v>
      </c>
      <c r="Q122" s="12">
        <f t="shared" si="1"/>
        <v>0.3625</v>
      </c>
      <c r="R122" s="12">
        <f t="shared" si="4"/>
        <v>6.24247333</v>
      </c>
    </row>
    <row r="123">
      <c r="A123" s="15">
        <f t="shared" si="3"/>
        <v>122</v>
      </c>
      <c r="B123" s="15" t="s">
        <v>40</v>
      </c>
      <c r="C123" s="15" t="s">
        <v>3047</v>
      </c>
      <c r="D123" s="15"/>
      <c r="E123" s="15"/>
      <c r="F123" s="15"/>
      <c r="G123" s="15" t="s">
        <v>877</v>
      </c>
      <c r="H123" s="15" t="s">
        <v>22</v>
      </c>
      <c r="I123" s="15" t="s">
        <v>2939</v>
      </c>
      <c r="J123" s="15" t="s">
        <v>39</v>
      </c>
      <c r="K123" s="16">
        <v>-0.5</v>
      </c>
      <c r="L123" s="16">
        <v>0.25</v>
      </c>
      <c r="M123" s="16">
        <v>0.25</v>
      </c>
      <c r="N123" s="17">
        <v>45155.0</v>
      </c>
      <c r="O123" s="18">
        <v>1.216</v>
      </c>
      <c r="P123" s="15" t="s">
        <v>33</v>
      </c>
      <c r="Q123" s="19">
        <f t="shared" si="1"/>
        <v>0.054</v>
      </c>
      <c r="R123" s="19">
        <f t="shared" si="4"/>
        <v>6.29647333</v>
      </c>
    </row>
    <row r="124">
      <c r="A124" s="8">
        <f t="shared" si="3"/>
        <v>123</v>
      </c>
      <c r="B124" s="8" t="s">
        <v>19</v>
      </c>
      <c r="C124" s="8" t="s">
        <v>3048</v>
      </c>
      <c r="D124" s="8"/>
      <c r="E124" s="8"/>
      <c r="F124" s="8" t="s">
        <v>2615</v>
      </c>
      <c r="G124" s="8" t="s">
        <v>513</v>
      </c>
      <c r="H124" s="8" t="s">
        <v>22</v>
      </c>
      <c r="I124" s="8" t="s">
        <v>2939</v>
      </c>
      <c r="J124" s="8" t="s">
        <v>39</v>
      </c>
      <c r="K124" s="9">
        <v>-9.5</v>
      </c>
      <c r="L124" s="9">
        <v>0.25</v>
      </c>
      <c r="M124" s="9">
        <v>0.25</v>
      </c>
      <c r="N124" s="10">
        <v>45155.0</v>
      </c>
      <c r="O124" s="11">
        <v>1.725</v>
      </c>
      <c r="P124" s="8" t="s">
        <v>25</v>
      </c>
      <c r="Q124" s="12">
        <f t="shared" si="1"/>
        <v>-0.25</v>
      </c>
      <c r="R124" s="12">
        <f t="shared" si="4"/>
        <v>6.04647333</v>
      </c>
    </row>
    <row r="125">
      <c r="A125" s="15">
        <f t="shared" si="3"/>
        <v>124</v>
      </c>
      <c r="B125" s="15" t="s">
        <v>40</v>
      </c>
      <c r="C125" s="15" t="s">
        <v>3049</v>
      </c>
      <c r="D125" s="15" t="s">
        <v>5564</v>
      </c>
      <c r="E125" s="15" t="s">
        <v>2556</v>
      </c>
      <c r="F125" s="15">
        <v>0.0</v>
      </c>
      <c r="G125" s="15" t="s">
        <v>877</v>
      </c>
      <c r="H125" s="15" t="s">
        <v>22</v>
      </c>
      <c r="I125" s="15" t="s">
        <v>225</v>
      </c>
      <c r="J125" s="15" t="s">
        <v>39</v>
      </c>
      <c r="K125" s="16">
        <v>1.25</v>
      </c>
      <c r="L125" s="16">
        <v>0.25</v>
      </c>
      <c r="M125" s="16">
        <v>0.25</v>
      </c>
      <c r="N125" s="55">
        <v>45155.0</v>
      </c>
      <c r="O125" s="18">
        <v>1.75</v>
      </c>
      <c r="P125" s="15" t="s">
        <v>25</v>
      </c>
      <c r="Q125" s="19">
        <f t="shared" si="1"/>
        <v>-0.25</v>
      </c>
      <c r="R125" s="19">
        <f t="shared" si="4"/>
        <v>5.79647333</v>
      </c>
    </row>
    <row r="126">
      <c r="A126" s="8">
        <f t="shared" si="3"/>
        <v>125</v>
      </c>
      <c r="B126" s="8" t="s">
        <v>19</v>
      </c>
      <c r="C126" s="8" t="s">
        <v>3050</v>
      </c>
      <c r="D126" s="8" t="s">
        <v>5564</v>
      </c>
      <c r="E126" s="8" t="s">
        <v>2556</v>
      </c>
      <c r="F126" s="8">
        <f>1</f>
        <v>1</v>
      </c>
      <c r="G126" s="8" t="s">
        <v>82</v>
      </c>
      <c r="H126" s="8" t="s">
        <v>22</v>
      </c>
      <c r="I126" s="8" t="s">
        <v>225</v>
      </c>
      <c r="J126" s="8" t="s">
        <v>1851</v>
      </c>
      <c r="K126" s="9">
        <v>2.75</v>
      </c>
      <c r="L126" s="9">
        <v>0.75</v>
      </c>
      <c r="M126" s="9">
        <v>0.75</v>
      </c>
      <c r="N126" s="10">
        <v>45155.0</v>
      </c>
      <c r="O126" s="11">
        <v>1.925</v>
      </c>
      <c r="P126" s="8" t="s">
        <v>25</v>
      </c>
      <c r="Q126" s="12">
        <f t="shared" si="1"/>
        <v>-0.75</v>
      </c>
      <c r="R126" s="12">
        <f t="shared" si="4"/>
        <v>5.04647333</v>
      </c>
    </row>
    <row r="127">
      <c r="A127" s="15">
        <f t="shared" si="3"/>
        <v>126</v>
      </c>
      <c r="B127" s="15" t="s">
        <v>19</v>
      </c>
      <c r="C127" s="15" t="s">
        <v>3051</v>
      </c>
      <c r="D127" s="15" t="s">
        <v>5564</v>
      </c>
      <c r="E127" s="15" t="s">
        <v>2556</v>
      </c>
      <c r="F127" s="15">
        <v>0.0</v>
      </c>
      <c r="G127" s="15" t="s">
        <v>463</v>
      </c>
      <c r="H127" s="15" t="s">
        <v>22</v>
      </c>
      <c r="I127" s="15" t="s">
        <v>225</v>
      </c>
      <c r="J127" s="15" t="s">
        <v>1522</v>
      </c>
      <c r="K127" s="16">
        <v>0.5</v>
      </c>
      <c r="L127" s="16">
        <v>0.5</v>
      </c>
      <c r="M127" s="16">
        <f>0.32*0.5</f>
        <v>0.16</v>
      </c>
      <c r="N127" s="17">
        <v>45155.0</v>
      </c>
      <c r="O127" s="18">
        <v>1.9</v>
      </c>
      <c r="P127" s="15" t="s">
        <v>33</v>
      </c>
      <c r="Q127" s="19">
        <f t="shared" si="1"/>
        <v>0.144</v>
      </c>
      <c r="R127" s="19">
        <f t="shared" si="4"/>
        <v>5.19047333</v>
      </c>
    </row>
    <row r="128">
      <c r="A128" s="8">
        <f t="shared" si="3"/>
        <v>127</v>
      </c>
      <c r="B128" s="8" t="s">
        <v>19</v>
      </c>
      <c r="C128" s="8" t="s">
        <v>3052</v>
      </c>
      <c r="D128" s="8" t="s">
        <v>5564</v>
      </c>
      <c r="E128" s="8" t="s">
        <v>2556</v>
      </c>
      <c r="F128" s="8">
        <f t="shared" ref="F128:F129" si="8">1</f>
        <v>1</v>
      </c>
      <c r="G128" s="8" t="s">
        <v>463</v>
      </c>
      <c r="H128" s="8" t="s">
        <v>22</v>
      </c>
      <c r="I128" s="8" t="s">
        <v>225</v>
      </c>
      <c r="J128" s="8" t="s">
        <v>1522</v>
      </c>
      <c r="K128" s="9">
        <v>1.75</v>
      </c>
      <c r="L128" s="9">
        <v>0.75</v>
      </c>
      <c r="M128" s="9">
        <v>0.75</v>
      </c>
      <c r="N128" s="10">
        <v>45155.0</v>
      </c>
      <c r="O128" s="11">
        <v>1.8</v>
      </c>
      <c r="P128" s="8" t="s">
        <v>33</v>
      </c>
      <c r="Q128" s="12">
        <f t="shared" si="1"/>
        <v>0.6</v>
      </c>
      <c r="R128" s="12">
        <f t="shared" si="4"/>
        <v>5.79047333</v>
      </c>
    </row>
    <row r="129">
      <c r="A129" s="15">
        <f t="shared" si="3"/>
        <v>128</v>
      </c>
      <c r="B129" s="15" t="s">
        <v>19</v>
      </c>
      <c r="C129" s="95" t="s">
        <v>3053</v>
      </c>
      <c r="D129" s="15" t="s">
        <v>5564</v>
      </c>
      <c r="E129" s="15" t="s">
        <v>2660</v>
      </c>
      <c r="F129" s="15">
        <f t="shared" si="8"/>
        <v>1</v>
      </c>
      <c r="G129" s="15" t="s">
        <v>463</v>
      </c>
      <c r="H129" s="15" t="s">
        <v>22</v>
      </c>
      <c r="I129" s="15" t="s">
        <v>1150</v>
      </c>
      <c r="J129" s="15" t="s">
        <v>1522</v>
      </c>
      <c r="K129" s="16">
        <v>0.0</v>
      </c>
      <c r="L129" s="16">
        <v>0.5</v>
      </c>
      <c r="M129" s="16">
        <v>0.5</v>
      </c>
      <c r="N129" s="17">
        <v>45155.0</v>
      </c>
      <c r="O129" s="18">
        <v>1.9</v>
      </c>
      <c r="P129" s="15" t="s">
        <v>33</v>
      </c>
      <c r="Q129" s="19">
        <f t="shared" si="1"/>
        <v>0.45</v>
      </c>
      <c r="R129" s="19">
        <f t="shared" si="4"/>
        <v>6.24047333</v>
      </c>
    </row>
    <row r="130">
      <c r="A130" s="8">
        <f t="shared" si="3"/>
        <v>129</v>
      </c>
      <c r="B130" s="8" t="s">
        <v>19</v>
      </c>
      <c r="C130" s="8" t="s">
        <v>3054</v>
      </c>
      <c r="D130" s="8" t="s">
        <v>5565</v>
      </c>
      <c r="E130" s="8"/>
      <c r="F130" s="8"/>
      <c r="G130" s="8" t="s">
        <v>82</v>
      </c>
      <c r="H130" s="8" t="s">
        <v>598</v>
      </c>
      <c r="I130" s="8" t="s">
        <v>3055</v>
      </c>
      <c r="J130" s="8" t="s">
        <v>39</v>
      </c>
      <c r="K130" s="9">
        <v>-0.5</v>
      </c>
      <c r="L130" s="9">
        <v>0.5</v>
      </c>
      <c r="M130" s="9">
        <v>0.5</v>
      </c>
      <c r="N130" s="10">
        <v>45158.0</v>
      </c>
      <c r="O130" s="11">
        <v>2.05</v>
      </c>
      <c r="P130" s="8" t="s">
        <v>25</v>
      </c>
      <c r="Q130" s="12">
        <f t="shared" si="1"/>
        <v>-0.5</v>
      </c>
      <c r="R130" s="12">
        <f t="shared" si="4"/>
        <v>5.74047333</v>
      </c>
    </row>
    <row r="131">
      <c r="A131" s="15">
        <f t="shared" si="3"/>
        <v>130</v>
      </c>
      <c r="B131" s="15" t="s">
        <v>19</v>
      </c>
      <c r="C131" s="15" t="s">
        <v>3056</v>
      </c>
      <c r="D131" s="15" t="s">
        <v>5565</v>
      </c>
      <c r="E131" s="15" t="s">
        <v>2556</v>
      </c>
      <c r="F131" s="15">
        <v>0.0</v>
      </c>
      <c r="G131" s="15" t="s">
        <v>44</v>
      </c>
      <c r="H131" s="15" t="s">
        <v>598</v>
      </c>
      <c r="I131" s="15" t="s">
        <v>225</v>
      </c>
      <c r="J131" s="15" t="s">
        <v>1522</v>
      </c>
      <c r="K131" s="16">
        <v>0.5</v>
      </c>
      <c r="L131" s="16">
        <v>0.25</v>
      </c>
      <c r="M131" s="16">
        <v>0.25</v>
      </c>
      <c r="N131" s="17">
        <v>45156.0</v>
      </c>
      <c r="O131" s="18">
        <v>1.975</v>
      </c>
      <c r="P131" s="15" t="s">
        <v>25</v>
      </c>
      <c r="Q131" s="19">
        <f t="shared" si="1"/>
        <v>-0.25</v>
      </c>
      <c r="R131" s="19">
        <f t="shared" si="4"/>
        <v>5.49047333</v>
      </c>
    </row>
    <row r="132">
      <c r="A132" s="8">
        <f t="shared" si="3"/>
        <v>131</v>
      </c>
      <c r="B132" s="8" t="s">
        <v>19</v>
      </c>
      <c r="C132" s="8" t="s">
        <v>3057</v>
      </c>
      <c r="D132" s="8" t="s">
        <v>5564</v>
      </c>
      <c r="E132" s="8" t="s">
        <v>2556</v>
      </c>
      <c r="F132" s="8">
        <v>0.0</v>
      </c>
      <c r="G132" s="8" t="s">
        <v>101</v>
      </c>
      <c r="H132" s="8" t="s">
        <v>22</v>
      </c>
      <c r="I132" s="8" t="s">
        <v>225</v>
      </c>
      <c r="J132" s="8" t="s">
        <v>24</v>
      </c>
      <c r="K132" s="9">
        <v>0.25</v>
      </c>
      <c r="L132" s="9">
        <v>1.0</v>
      </c>
      <c r="M132" s="9">
        <v>1.0</v>
      </c>
      <c r="N132" s="10">
        <v>45156.0</v>
      </c>
      <c r="O132" s="11">
        <v>1.8</v>
      </c>
      <c r="P132" s="8" t="s">
        <v>25</v>
      </c>
      <c r="Q132" s="12">
        <f t="shared" si="1"/>
        <v>-1</v>
      </c>
      <c r="R132" s="12">
        <f t="shared" si="4"/>
        <v>4.49047333</v>
      </c>
    </row>
    <row r="133">
      <c r="A133" s="15">
        <f t="shared" si="3"/>
        <v>132</v>
      </c>
      <c r="B133" s="15" t="s">
        <v>19</v>
      </c>
      <c r="C133" s="15" t="s">
        <v>3058</v>
      </c>
      <c r="D133" s="15" t="s">
        <v>5565</v>
      </c>
      <c r="E133" s="15" t="s">
        <v>2660</v>
      </c>
      <c r="F133" s="15">
        <v>-3.0</v>
      </c>
      <c r="G133" s="15" t="s">
        <v>172</v>
      </c>
      <c r="H133" s="15" t="s">
        <v>22</v>
      </c>
      <c r="I133" s="15" t="s">
        <v>892</v>
      </c>
      <c r="J133" s="15" t="s">
        <v>24</v>
      </c>
      <c r="K133" s="16">
        <v>0.0</v>
      </c>
      <c r="L133" s="16">
        <v>1.0</v>
      </c>
      <c r="M133" s="16">
        <v>1.0</v>
      </c>
      <c r="N133" s="17">
        <v>45156.0</v>
      </c>
      <c r="O133" s="18">
        <v>1.7</v>
      </c>
      <c r="P133" s="15" t="s">
        <v>33</v>
      </c>
      <c r="Q133" s="19">
        <f t="shared" si="1"/>
        <v>0.7</v>
      </c>
      <c r="R133" s="19">
        <f t="shared" si="4"/>
        <v>5.19047333</v>
      </c>
    </row>
    <row r="134">
      <c r="A134" s="8">
        <f t="shared" si="3"/>
        <v>133</v>
      </c>
      <c r="B134" s="8" t="s">
        <v>19</v>
      </c>
      <c r="C134" s="8" t="s">
        <v>3059</v>
      </c>
      <c r="D134" s="8" t="s">
        <v>5565</v>
      </c>
      <c r="E134" s="8" t="s">
        <v>2660</v>
      </c>
      <c r="F134" s="8">
        <v>-1.0</v>
      </c>
      <c r="G134" s="8" t="s">
        <v>316</v>
      </c>
      <c r="H134" s="8" t="s">
        <v>22</v>
      </c>
      <c r="I134" s="8" t="s">
        <v>892</v>
      </c>
      <c r="J134" s="8" t="s">
        <v>24</v>
      </c>
      <c r="K134" s="9">
        <v>0.0</v>
      </c>
      <c r="L134" s="9">
        <v>0.5</v>
      </c>
      <c r="M134" s="9">
        <v>0.5</v>
      </c>
      <c r="N134" s="10">
        <v>45156.0</v>
      </c>
      <c r="O134" s="11">
        <v>1.82</v>
      </c>
      <c r="P134" s="8" t="s">
        <v>70</v>
      </c>
      <c r="Q134" s="12">
        <f t="shared" si="1"/>
        <v>0</v>
      </c>
      <c r="R134" s="12">
        <f t="shared" si="4"/>
        <v>5.19047333</v>
      </c>
    </row>
    <row r="135">
      <c r="A135" s="15">
        <f t="shared" si="3"/>
        <v>134</v>
      </c>
      <c r="B135" s="15" t="s">
        <v>19</v>
      </c>
      <c r="C135" s="15" t="s">
        <v>3060</v>
      </c>
      <c r="D135" s="15" t="s">
        <v>5564</v>
      </c>
      <c r="E135" s="15" t="s">
        <v>2660</v>
      </c>
      <c r="F135" s="15">
        <f>1</f>
        <v>1</v>
      </c>
      <c r="G135" s="15" t="s">
        <v>44</v>
      </c>
      <c r="H135" s="15" t="s">
        <v>22</v>
      </c>
      <c r="I135" s="15" t="s">
        <v>892</v>
      </c>
      <c r="J135" s="15" t="s">
        <v>24</v>
      </c>
      <c r="K135" s="16">
        <v>0.0</v>
      </c>
      <c r="L135" s="16">
        <v>0.75</v>
      </c>
      <c r="M135" s="16">
        <v>0.75</v>
      </c>
      <c r="N135" s="17">
        <v>45156.0</v>
      </c>
      <c r="O135" s="18">
        <v>1.95</v>
      </c>
      <c r="P135" s="15" t="s">
        <v>33</v>
      </c>
      <c r="Q135" s="19">
        <f t="shared" si="1"/>
        <v>0.7125</v>
      </c>
      <c r="R135" s="19">
        <f t="shared" si="4"/>
        <v>5.90297333</v>
      </c>
    </row>
    <row r="136">
      <c r="A136" s="8">
        <f t="shared" si="3"/>
        <v>135</v>
      </c>
      <c r="B136" s="8" t="s">
        <v>19</v>
      </c>
      <c r="C136" s="8" t="s">
        <v>3061</v>
      </c>
      <c r="D136" s="8" t="s">
        <v>5565</v>
      </c>
      <c r="E136" s="8" t="s">
        <v>2556</v>
      </c>
      <c r="F136" s="8">
        <v>3</v>
      </c>
      <c r="G136" s="8" t="s">
        <v>44</v>
      </c>
      <c r="H136" s="8" t="s">
        <v>22</v>
      </c>
      <c r="I136" s="8" t="s">
        <v>225</v>
      </c>
      <c r="J136" s="8" t="s">
        <v>24</v>
      </c>
      <c r="K136" s="9">
        <v>0.5</v>
      </c>
      <c r="L136" s="9">
        <v>0.5</v>
      </c>
      <c r="M136" s="9">
        <v>0.5</v>
      </c>
      <c r="N136" s="10">
        <v>45156.0</v>
      </c>
      <c r="O136" s="11">
        <v>1.9625</v>
      </c>
      <c r="P136" s="8" t="s">
        <v>25</v>
      </c>
      <c r="Q136" s="12">
        <f t="shared" si="1"/>
        <v>-0.5</v>
      </c>
      <c r="R136" s="12">
        <f t="shared" si="4"/>
        <v>5.40297333</v>
      </c>
    </row>
    <row r="137">
      <c r="A137" s="15">
        <f t="shared" si="3"/>
        <v>136</v>
      </c>
      <c r="B137" s="15" t="s">
        <v>19</v>
      </c>
      <c r="C137" s="15" t="s">
        <v>3062</v>
      </c>
      <c r="D137" s="15" t="s">
        <v>5564</v>
      </c>
      <c r="E137" s="15" t="s">
        <v>2556</v>
      </c>
      <c r="F137" s="15">
        <v>-1.0</v>
      </c>
      <c r="G137" s="15" t="s">
        <v>923</v>
      </c>
      <c r="H137" s="15" t="s">
        <v>22</v>
      </c>
      <c r="I137" s="15" t="s">
        <v>225</v>
      </c>
      <c r="J137" s="15" t="s">
        <v>24</v>
      </c>
      <c r="K137" s="16">
        <v>0.75</v>
      </c>
      <c r="L137" s="16">
        <v>0.75</v>
      </c>
      <c r="M137" s="16">
        <v>0.75</v>
      </c>
      <c r="N137" s="17">
        <v>45156.0</v>
      </c>
      <c r="O137" s="18">
        <v>1.663</v>
      </c>
      <c r="P137" s="15" t="s">
        <v>33</v>
      </c>
      <c r="Q137" s="19">
        <f t="shared" si="1"/>
        <v>0.49725</v>
      </c>
      <c r="R137" s="19">
        <f t="shared" si="4"/>
        <v>5.90022333</v>
      </c>
    </row>
    <row r="138">
      <c r="A138" s="8">
        <f t="shared" si="3"/>
        <v>137</v>
      </c>
      <c r="B138" s="8" t="s">
        <v>19</v>
      </c>
      <c r="C138" s="8" t="s">
        <v>3063</v>
      </c>
      <c r="D138" s="8" t="s">
        <v>5565</v>
      </c>
      <c r="E138" s="8" t="s">
        <v>2660</v>
      </c>
      <c r="F138" s="8">
        <v>5</v>
      </c>
      <c r="G138" s="8" t="s">
        <v>463</v>
      </c>
      <c r="H138" s="8" t="s">
        <v>22</v>
      </c>
      <c r="I138" s="8" t="s">
        <v>892</v>
      </c>
      <c r="J138" s="8" t="s">
        <v>39</v>
      </c>
      <c r="K138" s="9">
        <v>0.0</v>
      </c>
      <c r="L138" s="9">
        <v>0.25</v>
      </c>
      <c r="M138" s="9">
        <v>0.25</v>
      </c>
      <c r="N138" s="54">
        <v>45156.0</v>
      </c>
      <c r="O138" s="11">
        <v>1.725</v>
      </c>
      <c r="P138" s="8" t="s">
        <v>70</v>
      </c>
      <c r="Q138" s="12">
        <f t="shared" si="1"/>
        <v>0</v>
      </c>
      <c r="R138" s="12">
        <f t="shared" si="4"/>
        <v>5.90022333</v>
      </c>
    </row>
    <row r="139">
      <c r="A139" s="15">
        <f t="shared" si="3"/>
        <v>138</v>
      </c>
      <c r="B139" s="15" t="s">
        <v>19</v>
      </c>
      <c r="C139" s="15" t="s">
        <v>3064</v>
      </c>
      <c r="D139" s="15" t="s">
        <v>5564</v>
      </c>
      <c r="E139" s="15" t="s">
        <v>2556</v>
      </c>
      <c r="F139" s="15">
        <v>-2.0</v>
      </c>
      <c r="G139" s="15" t="s">
        <v>66</v>
      </c>
      <c r="H139" s="15" t="s">
        <v>22</v>
      </c>
      <c r="I139" s="15" t="s">
        <v>225</v>
      </c>
      <c r="J139" s="15" t="s">
        <v>24</v>
      </c>
      <c r="K139" s="16">
        <v>0.25</v>
      </c>
      <c r="L139" s="16">
        <v>0.5</v>
      </c>
      <c r="M139" s="16">
        <v>0.5</v>
      </c>
      <c r="N139" s="17">
        <v>45157.0</v>
      </c>
      <c r="O139" s="18">
        <v>1.9</v>
      </c>
      <c r="P139" s="15" t="s">
        <v>25</v>
      </c>
      <c r="Q139" s="19">
        <f t="shared" si="1"/>
        <v>-0.5</v>
      </c>
      <c r="R139" s="19">
        <f t="shared" si="4"/>
        <v>5.40022333</v>
      </c>
    </row>
    <row r="140">
      <c r="A140" s="8">
        <f t="shared" si="3"/>
        <v>139</v>
      </c>
      <c r="B140" s="8" t="s">
        <v>19</v>
      </c>
      <c r="C140" s="8" t="s">
        <v>3065</v>
      </c>
      <c r="D140" s="8" t="s">
        <v>5565</v>
      </c>
      <c r="E140" s="8" t="s">
        <v>2556</v>
      </c>
      <c r="F140" s="8">
        <v>-1.0</v>
      </c>
      <c r="G140" s="8" t="s">
        <v>940</v>
      </c>
      <c r="H140" s="8" t="s">
        <v>22</v>
      </c>
      <c r="I140" s="8" t="s">
        <v>225</v>
      </c>
      <c r="J140" s="8" t="s">
        <v>24</v>
      </c>
      <c r="K140" s="9">
        <v>0.5</v>
      </c>
      <c r="L140" s="9">
        <v>0.5</v>
      </c>
      <c r="M140" s="9">
        <v>0.5</v>
      </c>
      <c r="N140" s="10">
        <v>45157.0</v>
      </c>
      <c r="O140" s="11">
        <v>1.775</v>
      </c>
      <c r="P140" s="8" t="s">
        <v>25</v>
      </c>
      <c r="Q140" s="12">
        <f t="shared" si="1"/>
        <v>-0.5</v>
      </c>
      <c r="R140" s="12">
        <f t="shared" si="4"/>
        <v>4.90022333</v>
      </c>
    </row>
    <row r="141">
      <c r="A141" s="15">
        <f t="shared" si="3"/>
        <v>140</v>
      </c>
      <c r="B141" s="15" t="s">
        <v>19</v>
      </c>
      <c r="C141" s="15" t="s">
        <v>3066</v>
      </c>
      <c r="D141" s="15" t="s">
        <v>5565</v>
      </c>
      <c r="E141" s="15" t="s">
        <v>2556</v>
      </c>
      <c r="F141" s="15">
        <v>0.0</v>
      </c>
      <c r="G141" s="15" t="s">
        <v>1006</v>
      </c>
      <c r="H141" s="15" t="s">
        <v>22</v>
      </c>
      <c r="I141" s="15" t="s">
        <v>225</v>
      </c>
      <c r="J141" s="15" t="s">
        <v>24</v>
      </c>
      <c r="K141" s="16">
        <v>0.75</v>
      </c>
      <c r="L141" s="16">
        <v>0.25</v>
      </c>
      <c r="M141" s="16">
        <v>0.25</v>
      </c>
      <c r="N141" s="17">
        <v>45157.0</v>
      </c>
      <c r="O141" s="18">
        <v>1.98</v>
      </c>
      <c r="P141" s="15" t="s">
        <v>33</v>
      </c>
      <c r="Q141" s="19">
        <f t="shared" si="1"/>
        <v>0.245</v>
      </c>
      <c r="R141" s="19">
        <f t="shared" si="4"/>
        <v>5.14522333</v>
      </c>
    </row>
    <row r="142">
      <c r="A142" s="8">
        <f t="shared" si="3"/>
        <v>141</v>
      </c>
      <c r="B142" s="8" t="s">
        <v>19</v>
      </c>
      <c r="C142" s="8" t="s">
        <v>3067</v>
      </c>
      <c r="D142" s="8" t="s">
        <v>5565</v>
      </c>
      <c r="E142" s="8" t="s">
        <v>2556</v>
      </c>
      <c r="F142" s="8">
        <v>0.0</v>
      </c>
      <c r="G142" s="8" t="s">
        <v>1006</v>
      </c>
      <c r="H142" s="8" t="s">
        <v>22</v>
      </c>
      <c r="I142" s="8" t="s">
        <v>225</v>
      </c>
      <c r="J142" s="8" t="s">
        <v>24</v>
      </c>
      <c r="K142" s="9">
        <v>0.5</v>
      </c>
      <c r="L142" s="9">
        <v>0.25</v>
      </c>
      <c r="M142" s="9">
        <v>0.25</v>
      </c>
      <c r="N142" s="10">
        <v>45157.0</v>
      </c>
      <c r="O142" s="11">
        <v>1.9</v>
      </c>
      <c r="P142" s="8" t="s">
        <v>33</v>
      </c>
      <c r="Q142" s="12">
        <f t="shared" si="1"/>
        <v>0.225</v>
      </c>
      <c r="R142" s="12">
        <f t="shared" si="4"/>
        <v>5.37022333</v>
      </c>
    </row>
    <row r="143">
      <c r="A143" s="15">
        <f t="shared" si="3"/>
        <v>142</v>
      </c>
      <c r="B143" s="15" t="s">
        <v>19</v>
      </c>
      <c r="C143" s="15" t="s">
        <v>3068</v>
      </c>
      <c r="D143" s="15" t="s">
        <v>5564</v>
      </c>
      <c r="E143" s="15" t="s">
        <v>2556</v>
      </c>
      <c r="F143" s="15">
        <f>1</f>
        <v>1</v>
      </c>
      <c r="G143" s="15" t="s">
        <v>463</v>
      </c>
      <c r="H143" s="15" t="s">
        <v>22</v>
      </c>
      <c r="I143" s="15" t="s">
        <v>225</v>
      </c>
      <c r="J143" s="15" t="s">
        <v>24</v>
      </c>
      <c r="K143" s="16">
        <v>0.75</v>
      </c>
      <c r="L143" s="16">
        <v>1.0</v>
      </c>
      <c r="M143" s="16">
        <v>1.0</v>
      </c>
      <c r="N143" s="17">
        <v>45157.0</v>
      </c>
      <c r="O143" s="18">
        <v>1.2</v>
      </c>
      <c r="P143" s="15" t="s">
        <v>33</v>
      </c>
      <c r="Q143" s="19">
        <f t="shared" si="1"/>
        <v>0.2</v>
      </c>
      <c r="R143" s="19">
        <f t="shared" si="4"/>
        <v>5.57022333</v>
      </c>
    </row>
    <row r="144">
      <c r="A144" s="8">
        <f t="shared" si="3"/>
        <v>143</v>
      </c>
      <c r="B144" s="8" t="s">
        <v>19</v>
      </c>
      <c r="C144" s="8" t="s">
        <v>3069</v>
      </c>
      <c r="D144" s="8" t="s">
        <v>5564</v>
      </c>
      <c r="E144" s="8" t="s">
        <v>2660</v>
      </c>
      <c r="F144" s="8">
        <v>-2.0</v>
      </c>
      <c r="G144" s="8" t="s">
        <v>44</v>
      </c>
      <c r="H144" s="8" t="s">
        <v>22</v>
      </c>
      <c r="I144" s="8" t="s">
        <v>892</v>
      </c>
      <c r="J144" s="8" t="s">
        <v>24</v>
      </c>
      <c r="K144" s="9">
        <v>0.0</v>
      </c>
      <c r="L144" s="9">
        <v>0.75</v>
      </c>
      <c r="M144" s="9">
        <v>0.75</v>
      </c>
      <c r="N144" s="10">
        <v>45157.0</v>
      </c>
      <c r="O144" s="11">
        <v>1.947</v>
      </c>
      <c r="P144" s="8" t="s">
        <v>33</v>
      </c>
      <c r="Q144" s="12">
        <f t="shared" si="1"/>
        <v>0.71025</v>
      </c>
      <c r="R144" s="12">
        <f t="shared" si="4"/>
        <v>6.28047333</v>
      </c>
    </row>
    <row r="145">
      <c r="A145" s="15">
        <f t="shared" si="3"/>
        <v>144</v>
      </c>
      <c r="B145" s="15" t="s">
        <v>19</v>
      </c>
      <c r="C145" s="15" t="s">
        <v>3070</v>
      </c>
      <c r="D145" s="15" t="s">
        <v>5564</v>
      </c>
      <c r="E145" s="15"/>
      <c r="F145" s="15">
        <v>0.0</v>
      </c>
      <c r="G145" s="15" t="s">
        <v>448</v>
      </c>
      <c r="H145" s="15" t="s">
        <v>22</v>
      </c>
      <c r="I145" s="15" t="s">
        <v>1023</v>
      </c>
      <c r="J145" s="15" t="s">
        <v>24</v>
      </c>
      <c r="K145" s="16">
        <v>0.5</v>
      </c>
      <c r="L145" s="16">
        <v>0.25</v>
      </c>
      <c r="M145" s="16">
        <v>0.25</v>
      </c>
      <c r="N145" s="17">
        <v>45157.0</v>
      </c>
      <c r="O145" s="18">
        <v>1.1</v>
      </c>
      <c r="P145" s="15" t="s">
        <v>33</v>
      </c>
      <c r="Q145" s="19">
        <f t="shared" si="1"/>
        <v>0.025</v>
      </c>
      <c r="R145" s="19">
        <f t="shared" si="4"/>
        <v>6.30547333</v>
      </c>
    </row>
    <row r="146">
      <c r="A146" s="8">
        <f t="shared" si="3"/>
        <v>145</v>
      </c>
      <c r="B146" s="8" t="s">
        <v>19</v>
      </c>
      <c r="C146" s="8" t="s">
        <v>3071</v>
      </c>
      <c r="D146" s="8" t="s">
        <v>5564</v>
      </c>
      <c r="E146" s="8" t="s">
        <v>2556</v>
      </c>
      <c r="F146" s="8">
        <v>0.0</v>
      </c>
      <c r="G146" s="8" t="s">
        <v>448</v>
      </c>
      <c r="H146" s="8" t="s">
        <v>22</v>
      </c>
      <c r="I146" s="8" t="s">
        <v>225</v>
      </c>
      <c r="J146" s="8" t="s">
        <v>24</v>
      </c>
      <c r="K146" s="9">
        <v>0.5</v>
      </c>
      <c r="L146" s="9">
        <v>0.25</v>
      </c>
      <c r="M146" s="9">
        <f>0.955*0.25</f>
        <v>0.23875</v>
      </c>
      <c r="N146" s="10">
        <v>45157.0</v>
      </c>
      <c r="O146" s="11">
        <v>1.1</v>
      </c>
      <c r="P146" s="8" t="s">
        <v>33</v>
      </c>
      <c r="Q146" s="12">
        <f t="shared" si="1"/>
        <v>0.023875</v>
      </c>
      <c r="R146" s="12">
        <f t="shared" si="4"/>
        <v>6.32934833</v>
      </c>
    </row>
    <row r="147">
      <c r="A147" s="15">
        <f t="shared" si="3"/>
        <v>146</v>
      </c>
      <c r="B147" s="15" t="s">
        <v>19</v>
      </c>
      <c r="C147" s="15" t="s">
        <v>3072</v>
      </c>
      <c r="D147" s="15" t="s">
        <v>5565</v>
      </c>
      <c r="E147" s="15" t="s">
        <v>2556</v>
      </c>
      <c r="F147" s="15">
        <f t="shared" ref="F147:F148" si="9">1</f>
        <v>1</v>
      </c>
      <c r="G147" s="15" t="s">
        <v>28</v>
      </c>
      <c r="H147" s="15" t="s">
        <v>22</v>
      </c>
      <c r="I147" s="15" t="s">
        <v>225</v>
      </c>
      <c r="J147" s="15" t="s">
        <v>1522</v>
      </c>
      <c r="K147" s="16">
        <v>0.5</v>
      </c>
      <c r="L147" s="16">
        <v>0.75</v>
      </c>
      <c r="M147" s="16">
        <v>0.75</v>
      </c>
      <c r="N147" s="17">
        <v>45157.0</v>
      </c>
      <c r="O147" s="18">
        <v>1.01875</v>
      </c>
      <c r="P147" s="15" t="s">
        <v>33</v>
      </c>
      <c r="Q147" s="19">
        <f t="shared" si="1"/>
        <v>0.0140625</v>
      </c>
      <c r="R147" s="19">
        <f t="shared" si="4"/>
        <v>6.34341083</v>
      </c>
    </row>
    <row r="148">
      <c r="A148" s="8">
        <f t="shared" si="3"/>
        <v>147</v>
      </c>
      <c r="B148" s="8" t="s">
        <v>40</v>
      </c>
      <c r="C148" s="8" t="s">
        <v>3073</v>
      </c>
      <c r="D148" s="8" t="s">
        <v>5565</v>
      </c>
      <c r="E148" s="8"/>
      <c r="F148" s="8">
        <f t="shared" si="9"/>
        <v>1</v>
      </c>
      <c r="G148" s="8" t="s">
        <v>185</v>
      </c>
      <c r="H148" s="8" t="s">
        <v>22</v>
      </c>
      <c r="I148" s="8" t="s">
        <v>1847</v>
      </c>
      <c r="J148" s="8" t="s">
        <v>24</v>
      </c>
      <c r="K148" s="9">
        <v>-0.5</v>
      </c>
      <c r="L148" s="9">
        <v>0.75</v>
      </c>
      <c r="M148" s="9">
        <v>0.75</v>
      </c>
      <c r="N148" s="10">
        <v>45157.0</v>
      </c>
      <c r="O148" s="11">
        <v>1.682</v>
      </c>
      <c r="P148" s="8" t="s">
        <v>33</v>
      </c>
      <c r="Q148" s="12">
        <f t="shared" si="1"/>
        <v>0.5115</v>
      </c>
      <c r="R148" s="12">
        <f t="shared" si="4"/>
        <v>6.85491083</v>
      </c>
    </row>
    <row r="149">
      <c r="A149" s="15">
        <f t="shared" si="3"/>
        <v>148</v>
      </c>
      <c r="B149" s="15" t="s">
        <v>19</v>
      </c>
      <c r="C149" s="15" t="s">
        <v>3074</v>
      </c>
      <c r="D149" s="15" t="s">
        <v>5564</v>
      </c>
      <c r="E149" s="15" t="s">
        <v>2556</v>
      </c>
      <c r="F149" s="15">
        <v>0.0</v>
      </c>
      <c r="G149" s="15" t="s">
        <v>82</v>
      </c>
      <c r="H149" s="15" t="s">
        <v>22</v>
      </c>
      <c r="I149" s="15" t="s">
        <v>225</v>
      </c>
      <c r="J149" s="15" t="s">
        <v>24</v>
      </c>
      <c r="K149" s="16">
        <v>0.5</v>
      </c>
      <c r="L149" s="16">
        <v>0.25</v>
      </c>
      <c r="M149" s="16">
        <v>0.25</v>
      </c>
      <c r="N149" s="17">
        <v>45157.0</v>
      </c>
      <c r="O149" s="18">
        <f>1.2628</f>
        <v>1.2628</v>
      </c>
      <c r="P149" s="15" t="s">
        <v>33</v>
      </c>
      <c r="Q149" s="19">
        <f t="shared" si="1"/>
        <v>0.0657</v>
      </c>
      <c r="R149" s="19">
        <f t="shared" si="4"/>
        <v>6.92061083</v>
      </c>
    </row>
    <row r="150">
      <c r="A150" s="8">
        <f t="shared" si="3"/>
        <v>149</v>
      </c>
      <c r="B150" s="8" t="s">
        <v>40</v>
      </c>
      <c r="C150" s="8" t="s">
        <v>3075</v>
      </c>
      <c r="D150" s="8" t="s">
        <v>5564</v>
      </c>
      <c r="E150" s="8" t="s">
        <v>2660</v>
      </c>
      <c r="F150" s="8">
        <v>-1.0</v>
      </c>
      <c r="G150" s="8" t="s">
        <v>432</v>
      </c>
      <c r="H150" s="8" t="s">
        <v>22</v>
      </c>
      <c r="I150" s="8" t="s">
        <v>892</v>
      </c>
      <c r="J150" s="8" t="s">
        <v>24</v>
      </c>
      <c r="K150" s="9">
        <v>0.0</v>
      </c>
      <c r="L150" s="9">
        <v>0.25</v>
      </c>
      <c r="M150" s="9">
        <v>0.25</v>
      </c>
      <c r="N150" s="10">
        <v>45158.0</v>
      </c>
      <c r="O150" s="11">
        <v>2.3</v>
      </c>
      <c r="P150" s="8" t="s">
        <v>70</v>
      </c>
      <c r="Q150" s="12">
        <f t="shared" si="1"/>
        <v>0</v>
      </c>
      <c r="R150" s="12">
        <f t="shared" si="4"/>
        <v>6.92061083</v>
      </c>
    </row>
    <row r="151">
      <c r="A151" s="15">
        <f t="shared" si="3"/>
        <v>150</v>
      </c>
      <c r="B151" s="15" t="s">
        <v>19</v>
      </c>
      <c r="C151" s="15" t="s">
        <v>3076</v>
      </c>
      <c r="D151" s="15" t="s">
        <v>5565</v>
      </c>
      <c r="E151" s="15" t="s">
        <v>2556</v>
      </c>
      <c r="F151" s="15">
        <v>0.0</v>
      </c>
      <c r="G151" s="15" t="s">
        <v>1006</v>
      </c>
      <c r="H151" s="15" t="s">
        <v>22</v>
      </c>
      <c r="I151" s="15" t="s">
        <v>2725</v>
      </c>
      <c r="J151" s="15" t="s">
        <v>24</v>
      </c>
      <c r="K151" s="16">
        <v>0.5</v>
      </c>
      <c r="L151" s="16">
        <v>0.5</v>
      </c>
      <c r="M151" s="16">
        <v>0.5</v>
      </c>
      <c r="N151" s="17">
        <v>45158.0</v>
      </c>
      <c r="O151" s="18">
        <v>1.0857</v>
      </c>
      <c r="P151" s="15" t="s">
        <v>33</v>
      </c>
      <c r="Q151" s="19">
        <f t="shared" si="1"/>
        <v>0.04285</v>
      </c>
      <c r="R151" s="19">
        <f t="shared" si="4"/>
        <v>6.96346083</v>
      </c>
    </row>
    <row r="152">
      <c r="A152" s="8">
        <f t="shared" si="3"/>
        <v>151</v>
      </c>
      <c r="B152" s="8" t="s">
        <v>19</v>
      </c>
      <c r="C152" s="8" t="s">
        <v>3077</v>
      </c>
      <c r="D152" s="8" t="s">
        <v>5564</v>
      </c>
      <c r="E152" s="8" t="s">
        <v>2556</v>
      </c>
      <c r="F152" s="8">
        <v>0.0</v>
      </c>
      <c r="G152" s="8" t="s">
        <v>1025</v>
      </c>
      <c r="H152" s="8" t="s">
        <v>22</v>
      </c>
      <c r="I152" s="8" t="s">
        <v>225</v>
      </c>
      <c r="J152" s="8" t="s">
        <v>24</v>
      </c>
      <c r="K152" s="9">
        <v>0.5</v>
      </c>
      <c r="L152" s="9">
        <v>1.0</v>
      </c>
      <c r="M152" s="9">
        <v>1.0</v>
      </c>
      <c r="N152" s="10">
        <v>45158.0</v>
      </c>
      <c r="O152" s="11">
        <v>1.825</v>
      </c>
      <c r="P152" s="8" t="s">
        <v>33</v>
      </c>
      <c r="Q152" s="12">
        <f t="shared" si="1"/>
        <v>0.825</v>
      </c>
      <c r="R152" s="12">
        <f t="shared" si="4"/>
        <v>7.78846083</v>
      </c>
    </row>
    <row r="153">
      <c r="A153" s="15">
        <f t="shared" si="3"/>
        <v>152</v>
      </c>
      <c r="B153" s="15" t="s">
        <v>19</v>
      </c>
      <c r="C153" s="15" t="s">
        <v>3078</v>
      </c>
      <c r="D153" s="15" t="s">
        <v>5564</v>
      </c>
      <c r="E153" s="15" t="s">
        <v>2556</v>
      </c>
      <c r="F153" s="15">
        <v>0.0</v>
      </c>
      <c r="G153" s="15" t="s">
        <v>525</v>
      </c>
      <c r="H153" s="15" t="s">
        <v>22</v>
      </c>
      <c r="I153" s="15" t="s">
        <v>225</v>
      </c>
      <c r="J153" s="15" t="s">
        <v>24</v>
      </c>
      <c r="K153" s="16">
        <v>0.5</v>
      </c>
      <c r="L153" s="16">
        <v>1.0</v>
      </c>
      <c r="M153" s="16">
        <v>1.0</v>
      </c>
      <c r="N153" s="17">
        <v>45158.0</v>
      </c>
      <c r="O153" s="18">
        <v>1.562</v>
      </c>
      <c r="P153" s="15" t="s">
        <v>33</v>
      </c>
      <c r="Q153" s="19">
        <f t="shared" si="1"/>
        <v>0.562</v>
      </c>
      <c r="R153" s="19">
        <f t="shared" si="4"/>
        <v>8.35046083</v>
      </c>
    </row>
    <row r="154">
      <c r="A154" s="8">
        <f t="shared" si="3"/>
        <v>153</v>
      </c>
      <c r="B154" s="8" t="s">
        <v>19</v>
      </c>
      <c r="C154" s="8" t="s">
        <v>3079</v>
      </c>
      <c r="D154" s="8" t="s">
        <v>5565</v>
      </c>
      <c r="E154" s="8" t="s">
        <v>2556</v>
      </c>
      <c r="F154" s="8">
        <v>-1.0</v>
      </c>
      <c r="G154" s="8" t="s">
        <v>525</v>
      </c>
      <c r="H154" s="8" t="s">
        <v>22</v>
      </c>
      <c r="I154" s="8" t="s">
        <v>225</v>
      </c>
      <c r="J154" s="8" t="s">
        <v>24</v>
      </c>
      <c r="K154" s="9">
        <v>0.5</v>
      </c>
      <c r="L154" s="9">
        <v>0.75</v>
      </c>
      <c r="M154" s="9">
        <v>0.75</v>
      </c>
      <c r="N154" s="10">
        <v>45158.0</v>
      </c>
      <c r="O154" s="11">
        <v>1.825</v>
      </c>
      <c r="P154" s="8" t="s">
        <v>33</v>
      </c>
      <c r="Q154" s="12">
        <f t="shared" si="1"/>
        <v>0.61875</v>
      </c>
      <c r="R154" s="12">
        <f t="shared" si="4"/>
        <v>8.96921083</v>
      </c>
    </row>
    <row r="155">
      <c r="A155" s="15">
        <f t="shared" si="3"/>
        <v>154</v>
      </c>
      <c r="B155" s="15" t="s">
        <v>19</v>
      </c>
      <c r="C155" s="15" t="s">
        <v>3080</v>
      </c>
      <c r="D155" s="15" t="s">
        <v>5564</v>
      </c>
      <c r="E155" s="15" t="s">
        <v>2556</v>
      </c>
      <c r="F155" s="15">
        <v>-1.0</v>
      </c>
      <c r="G155" s="15" t="s">
        <v>432</v>
      </c>
      <c r="H155" s="15" t="s">
        <v>22</v>
      </c>
      <c r="I155" s="15" t="s">
        <v>225</v>
      </c>
      <c r="J155" s="15" t="s">
        <v>24</v>
      </c>
      <c r="K155" s="16">
        <v>0.25</v>
      </c>
      <c r="L155" s="16">
        <v>0.51</v>
      </c>
      <c r="M155" s="16">
        <v>0.51</v>
      </c>
      <c r="N155" s="17">
        <v>45160.0</v>
      </c>
      <c r="O155" s="18">
        <v>1.8</v>
      </c>
      <c r="P155" s="15" t="s">
        <v>30</v>
      </c>
      <c r="Q155" s="19">
        <f t="shared" si="1"/>
        <v>0.204</v>
      </c>
      <c r="R155" s="19">
        <f t="shared" si="4"/>
        <v>9.17321083</v>
      </c>
    </row>
    <row r="156">
      <c r="A156" s="8">
        <f t="shared" si="3"/>
        <v>155</v>
      </c>
      <c r="B156" s="8" t="s">
        <v>19</v>
      </c>
      <c r="C156" s="8" t="s">
        <v>3081</v>
      </c>
      <c r="D156" s="8" t="s">
        <v>5565</v>
      </c>
      <c r="E156" s="8" t="s">
        <v>2660</v>
      </c>
      <c r="F156" s="8">
        <v>0.0</v>
      </c>
      <c r="G156" s="8" t="s">
        <v>124</v>
      </c>
      <c r="H156" s="8" t="s">
        <v>22</v>
      </c>
      <c r="I156" s="8" t="s">
        <v>892</v>
      </c>
      <c r="J156" s="8" t="s">
        <v>24</v>
      </c>
      <c r="K156" s="9">
        <v>0.0</v>
      </c>
      <c r="L156" s="9">
        <v>0.25</v>
      </c>
      <c r="M156" s="9">
        <v>0.25</v>
      </c>
      <c r="N156" s="54">
        <v>45160.0</v>
      </c>
      <c r="O156" s="11">
        <v>1.57</v>
      </c>
      <c r="P156" s="8" t="s">
        <v>70</v>
      </c>
      <c r="Q156" s="12">
        <f t="shared" si="1"/>
        <v>0</v>
      </c>
      <c r="R156" s="12">
        <f t="shared" si="4"/>
        <v>9.17321083</v>
      </c>
    </row>
    <row r="157">
      <c r="A157" s="15">
        <f t="shared" si="3"/>
        <v>156</v>
      </c>
      <c r="B157" s="15" t="s">
        <v>19</v>
      </c>
      <c r="C157" s="15" t="s">
        <v>3082</v>
      </c>
      <c r="D157" s="15" t="s">
        <v>5564</v>
      </c>
      <c r="E157" s="15" t="s">
        <v>2660</v>
      </c>
      <c r="F157" s="15">
        <v>0.0</v>
      </c>
      <c r="G157" s="15" t="s">
        <v>940</v>
      </c>
      <c r="H157" s="15" t="s">
        <v>22</v>
      </c>
      <c r="I157" s="15" t="s">
        <v>892</v>
      </c>
      <c r="J157" s="15" t="s">
        <v>2688</v>
      </c>
      <c r="K157" s="16">
        <v>0.0</v>
      </c>
      <c r="L157" s="16">
        <v>1.0</v>
      </c>
      <c r="M157" s="16">
        <v>1.0</v>
      </c>
      <c r="N157" s="17">
        <v>45160.0</v>
      </c>
      <c r="O157" s="18">
        <v>1.725</v>
      </c>
      <c r="P157" s="15" t="s">
        <v>25</v>
      </c>
      <c r="Q157" s="19">
        <f t="shared" si="1"/>
        <v>-1</v>
      </c>
      <c r="R157" s="19">
        <f t="shared" si="4"/>
        <v>8.17321083</v>
      </c>
    </row>
    <row r="158">
      <c r="A158" s="8">
        <f t="shared" si="3"/>
        <v>157</v>
      </c>
      <c r="B158" s="8" t="s">
        <v>19</v>
      </c>
      <c r="C158" s="8" t="s">
        <v>3083</v>
      </c>
      <c r="D158" s="8"/>
      <c r="E158" s="8"/>
      <c r="F158" s="8"/>
      <c r="G158" s="8" t="s">
        <v>319</v>
      </c>
      <c r="H158" s="8" t="s">
        <v>22</v>
      </c>
      <c r="I158" s="8" t="s">
        <v>23</v>
      </c>
      <c r="J158" s="8" t="s">
        <v>24</v>
      </c>
      <c r="K158" s="9">
        <v>-7.0</v>
      </c>
      <c r="L158" s="9">
        <v>0.5</v>
      </c>
      <c r="M158" s="9">
        <f>0.792*0.5</f>
        <v>0.396</v>
      </c>
      <c r="N158" s="10">
        <v>45160.0</v>
      </c>
      <c r="O158" s="11">
        <v>1.5</v>
      </c>
      <c r="P158" s="8" t="s">
        <v>33</v>
      </c>
      <c r="Q158" s="12">
        <f t="shared" si="1"/>
        <v>0.198</v>
      </c>
      <c r="R158" s="12">
        <f t="shared" si="4"/>
        <v>8.37121083</v>
      </c>
    </row>
    <row r="159">
      <c r="A159" s="15">
        <f t="shared" si="3"/>
        <v>158</v>
      </c>
      <c r="B159" s="15" t="s">
        <v>19</v>
      </c>
      <c r="C159" s="15" t="s">
        <v>3084</v>
      </c>
      <c r="D159" s="139" t="s">
        <v>5565</v>
      </c>
      <c r="E159" s="139" t="s">
        <v>2556</v>
      </c>
      <c r="F159" s="139">
        <v>-2.0</v>
      </c>
      <c r="G159" s="15" t="s">
        <v>319</v>
      </c>
      <c r="H159" s="15" t="s">
        <v>22</v>
      </c>
      <c r="I159" s="15" t="s">
        <v>225</v>
      </c>
      <c r="J159" s="15" t="s">
        <v>24</v>
      </c>
      <c r="K159" s="16">
        <v>0.25</v>
      </c>
      <c r="L159" s="16">
        <v>1.0</v>
      </c>
      <c r="M159" s="16">
        <v>1.0</v>
      </c>
      <c r="N159" s="17">
        <v>45160.0</v>
      </c>
      <c r="O159" s="18">
        <v>1.02</v>
      </c>
      <c r="P159" s="15" t="s">
        <v>33</v>
      </c>
      <c r="Q159" s="19">
        <f t="shared" si="1"/>
        <v>0.02</v>
      </c>
      <c r="R159" s="19">
        <f t="shared" si="4"/>
        <v>8.39121083</v>
      </c>
    </row>
    <row r="160">
      <c r="A160" s="8">
        <f t="shared" si="3"/>
        <v>159</v>
      </c>
      <c r="B160" s="8" t="s">
        <v>19</v>
      </c>
      <c r="C160" s="8" t="s">
        <v>3085</v>
      </c>
      <c r="D160" s="8" t="s">
        <v>5565</v>
      </c>
      <c r="E160" s="8" t="s">
        <v>2556</v>
      </c>
      <c r="F160" s="8">
        <f>1</f>
        <v>1</v>
      </c>
      <c r="G160" s="8" t="s">
        <v>463</v>
      </c>
      <c r="H160" s="8" t="s">
        <v>22</v>
      </c>
      <c r="I160" s="8" t="s">
        <v>225</v>
      </c>
      <c r="J160" s="8" t="s">
        <v>39</v>
      </c>
      <c r="K160" s="9">
        <v>0.25</v>
      </c>
      <c r="L160" s="9">
        <v>0.75</v>
      </c>
      <c r="M160" s="9">
        <v>0.75</v>
      </c>
      <c r="N160" s="10">
        <v>45161.0</v>
      </c>
      <c r="O160" s="11">
        <v>1.7</v>
      </c>
      <c r="P160" s="8" t="s">
        <v>25</v>
      </c>
      <c r="Q160" s="12">
        <f t="shared" si="1"/>
        <v>-0.75</v>
      </c>
      <c r="R160" s="12">
        <f t="shared" si="4"/>
        <v>7.64121083</v>
      </c>
    </row>
    <row r="161">
      <c r="A161" s="15">
        <f t="shared" si="3"/>
        <v>160</v>
      </c>
      <c r="B161" s="15" t="s">
        <v>40</v>
      </c>
      <c r="C161" s="15" t="s">
        <v>3086</v>
      </c>
      <c r="D161" s="15" t="s">
        <v>5564</v>
      </c>
      <c r="E161" s="15" t="s">
        <v>2660</v>
      </c>
      <c r="F161" s="15">
        <v>-1.0</v>
      </c>
      <c r="G161" s="15" t="s">
        <v>218</v>
      </c>
      <c r="H161" s="15" t="s">
        <v>22</v>
      </c>
      <c r="I161" s="15" t="s">
        <v>892</v>
      </c>
      <c r="J161" s="15" t="s">
        <v>24</v>
      </c>
      <c r="K161" s="16">
        <v>0.0</v>
      </c>
      <c r="L161" s="16">
        <v>1.0</v>
      </c>
      <c r="M161" s="16">
        <v>1.0</v>
      </c>
      <c r="N161" s="17">
        <v>45161.0</v>
      </c>
      <c r="O161" s="18">
        <v>1.9</v>
      </c>
      <c r="P161" s="15" t="s">
        <v>70</v>
      </c>
      <c r="Q161" s="19">
        <f t="shared" si="1"/>
        <v>0</v>
      </c>
      <c r="R161" s="19">
        <f t="shared" si="4"/>
        <v>7.64121083</v>
      </c>
    </row>
    <row r="162">
      <c r="A162" s="8">
        <f t="shared" si="3"/>
        <v>161</v>
      </c>
      <c r="B162" s="8" t="s">
        <v>19</v>
      </c>
      <c r="C162" s="8" t="s">
        <v>3087</v>
      </c>
      <c r="D162" s="8" t="s">
        <v>5564</v>
      </c>
      <c r="E162" s="8" t="s">
        <v>2660</v>
      </c>
      <c r="F162" s="8">
        <v>-3.0</v>
      </c>
      <c r="G162" s="8" t="s">
        <v>2932</v>
      </c>
      <c r="H162" s="8" t="s">
        <v>22</v>
      </c>
      <c r="I162" s="8" t="s">
        <v>225</v>
      </c>
      <c r="J162" s="8" t="s">
        <v>24</v>
      </c>
      <c r="K162" s="9">
        <v>0.5</v>
      </c>
      <c r="L162" s="9">
        <v>0.75</v>
      </c>
      <c r="M162" s="9">
        <v>0.75</v>
      </c>
      <c r="N162" s="10">
        <v>45161.0</v>
      </c>
      <c r="O162" s="11">
        <v>1.61</v>
      </c>
      <c r="P162" s="8" t="s">
        <v>33</v>
      </c>
      <c r="Q162" s="12">
        <f t="shared" si="1"/>
        <v>0.4575</v>
      </c>
      <c r="R162" s="12">
        <f t="shared" si="4"/>
        <v>8.09871083</v>
      </c>
    </row>
    <row r="163">
      <c r="A163" s="15">
        <f t="shared" si="3"/>
        <v>162</v>
      </c>
      <c r="B163" s="15" t="s">
        <v>40</v>
      </c>
      <c r="C163" s="15" t="s">
        <v>3088</v>
      </c>
      <c r="D163" s="15" t="s">
        <v>5564</v>
      </c>
      <c r="E163" s="15" t="s">
        <v>2556</v>
      </c>
      <c r="F163" s="15" t="s">
        <v>2723</v>
      </c>
      <c r="G163" s="15" t="s">
        <v>82</v>
      </c>
      <c r="H163" s="15" t="s">
        <v>22</v>
      </c>
      <c r="I163" s="15" t="s">
        <v>225</v>
      </c>
      <c r="J163" s="15" t="s">
        <v>39</v>
      </c>
      <c r="K163" s="16">
        <v>0.5</v>
      </c>
      <c r="L163" s="16">
        <v>0.25</v>
      </c>
      <c r="M163" s="16">
        <v>0.25</v>
      </c>
      <c r="N163" s="17">
        <v>45161.0</v>
      </c>
      <c r="O163" s="18">
        <v>1.73</v>
      </c>
      <c r="P163" s="15" t="s">
        <v>25</v>
      </c>
      <c r="Q163" s="19">
        <f t="shared" si="1"/>
        <v>-0.25</v>
      </c>
      <c r="R163" s="19">
        <f t="shared" si="4"/>
        <v>7.84871083</v>
      </c>
    </row>
    <row r="164">
      <c r="A164" s="8">
        <f t="shared" si="3"/>
        <v>163</v>
      </c>
      <c r="B164" s="8" t="s">
        <v>40</v>
      </c>
      <c r="C164" s="8" t="s">
        <v>3089</v>
      </c>
      <c r="D164" s="8"/>
      <c r="E164" s="8"/>
      <c r="F164" s="8"/>
      <c r="G164" s="8" t="s">
        <v>82</v>
      </c>
      <c r="H164" s="8" t="s">
        <v>22</v>
      </c>
      <c r="I164" s="8" t="s">
        <v>29</v>
      </c>
      <c r="J164" s="8" t="s">
        <v>39</v>
      </c>
      <c r="K164" s="9">
        <v>-8.5</v>
      </c>
      <c r="L164" s="9">
        <v>0.5</v>
      </c>
      <c r="M164" s="9">
        <v>0.5</v>
      </c>
      <c r="N164" s="10">
        <v>45161.0</v>
      </c>
      <c r="O164" s="11">
        <v>1.77</v>
      </c>
      <c r="P164" s="8" t="s">
        <v>25</v>
      </c>
      <c r="Q164" s="12">
        <f t="shared" si="1"/>
        <v>-0.5</v>
      </c>
      <c r="R164" s="12">
        <f t="shared" si="4"/>
        <v>7.34871083</v>
      </c>
    </row>
    <row r="165">
      <c r="A165" s="15">
        <f t="shared" si="3"/>
        <v>164</v>
      </c>
      <c r="B165" s="15" t="s">
        <v>40</v>
      </c>
      <c r="C165" s="15" t="s">
        <v>3090</v>
      </c>
      <c r="D165" s="15" t="s">
        <v>5564</v>
      </c>
      <c r="E165" s="15" t="s">
        <v>2660</v>
      </c>
      <c r="F165" s="15">
        <v>0.0</v>
      </c>
      <c r="G165" s="15" t="s">
        <v>28</v>
      </c>
      <c r="H165" s="15" t="s">
        <v>22</v>
      </c>
      <c r="I165" s="15" t="s">
        <v>1150</v>
      </c>
      <c r="J165" s="15" t="s">
        <v>1851</v>
      </c>
      <c r="K165" s="16">
        <v>0.0</v>
      </c>
      <c r="L165" s="16">
        <v>1.0</v>
      </c>
      <c r="M165" s="16">
        <v>1.0</v>
      </c>
      <c r="N165" s="17">
        <v>45161.0</v>
      </c>
      <c r="O165" s="18">
        <v>1.825</v>
      </c>
      <c r="P165" s="15" t="s">
        <v>70</v>
      </c>
      <c r="Q165" s="19">
        <f t="shared" si="1"/>
        <v>0</v>
      </c>
      <c r="R165" s="19">
        <f t="shared" si="4"/>
        <v>7.34871083</v>
      </c>
    </row>
    <row r="166">
      <c r="A166" s="8">
        <f t="shared" si="3"/>
        <v>165</v>
      </c>
      <c r="B166" s="8" t="s">
        <v>19</v>
      </c>
      <c r="C166" s="8" t="s">
        <v>3091</v>
      </c>
      <c r="D166" s="8"/>
      <c r="E166" s="8"/>
      <c r="F166" s="8"/>
      <c r="G166" s="8" t="s">
        <v>448</v>
      </c>
      <c r="H166" s="8" t="s">
        <v>22</v>
      </c>
      <c r="I166" s="8" t="s">
        <v>2962</v>
      </c>
      <c r="J166" s="8" t="s">
        <v>39</v>
      </c>
      <c r="K166" s="9">
        <v>-1.5</v>
      </c>
      <c r="L166" s="9">
        <v>0.5</v>
      </c>
      <c r="M166" s="9">
        <v>0.5</v>
      </c>
      <c r="N166" s="10">
        <v>45161.0</v>
      </c>
      <c r="O166" s="11">
        <v>1.66</v>
      </c>
      <c r="P166" s="8" t="s">
        <v>33</v>
      </c>
      <c r="Q166" s="12">
        <f t="shared" si="1"/>
        <v>0.33</v>
      </c>
      <c r="R166" s="12">
        <f t="shared" si="4"/>
        <v>7.67871083</v>
      </c>
    </row>
    <row r="167">
      <c r="A167" s="15">
        <f t="shared" si="3"/>
        <v>166</v>
      </c>
      <c r="B167" s="15" t="s">
        <v>19</v>
      </c>
      <c r="C167" s="15" t="s">
        <v>3092</v>
      </c>
      <c r="D167" s="15" t="s">
        <v>5565</v>
      </c>
      <c r="E167" s="15" t="s">
        <v>2660</v>
      </c>
      <c r="F167" s="15">
        <v>-2.0</v>
      </c>
      <c r="G167" s="15" t="s">
        <v>675</v>
      </c>
      <c r="H167" s="15" t="s">
        <v>22</v>
      </c>
      <c r="I167" s="15" t="s">
        <v>892</v>
      </c>
      <c r="J167" s="15" t="s">
        <v>24</v>
      </c>
      <c r="K167" s="16">
        <v>0.0</v>
      </c>
      <c r="L167" s="16">
        <v>1.0</v>
      </c>
      <c r="M167" s="16">
        <v>1.0</v>
      </c>
      <c r="N167" s="17">
        <v>45161.0</v>
      </c>
      <c r="O167" s="18">
        <v>1.75</v>
      </c>
      <c r="P167" s="15" t="s">
        <v>25</v>
      </c>
      <c r="Q167" s="19">
        <f t="shared" si="1"/>
        <v>-1</v>
      </c>
      <c r="R167" s="19">
        <f t="shared" si="4"/>
        <v>6.67871083</v>
      </c>
    </row>
    <row r="168">
      <c r="A168" s="8">
        <f t="shared" si="3"/>
        <v>167</v>
      </c>
      <c r="B168" s="8" t="s">
        <v>19</v>
      </c>
      <c r="C168" s="8" t="s">
        <v>3093</v>
      </c>
      <c r="D168" s="8" t="s">
        <v>5565</v>
      </c>
      <c r="E168" s="8" t="s">
        <v>2556</v>
      </c>
      <c r="F168" s="8">
        <f>1</f>
        <v>1</v>
      </c>
      <c r="G168" s="8" t="s">
        <v>44</v>
      </c>
      <c r="H168" s="8" t="s">
        <v>22</v>
      </c>
      <c r="I168" s="8" t="s">
        <v>225</v>
      </c>
      <c r="J168" s="8" t="s">
        <v>24</v>
      </c>
      <c r="K168" s="9">
        <v>0.5</v>
      </c>
      <c r="L168" s="9">
        <v>0.75</v>
      </c>
      <c r="M168" s="9">
        <v>0.75</v>
      </c>
      <c r="N168" s="10">
        <v>45161.0</v>
      </c>
      <c r="O168" s="11">
        <v>1.73</v>
      </c>
      <c r="P168" s="8" t="s">
        <v>25</v>
      </c>
      <c r="Q168" s="12">
        <f t="shared" si="1"/>
        <v>-0.75</v>
      </c>
      <c r="R168" s="12">
        <f t="shared" si="4"/>
        <v>5.92871083</v>
      </c>
    </row>
    <row r="169">
      <c r="A169" s="15">
        <f t="shared" si="3"/>
        <v>168</v>
      </c>
      <c r="B169" s="15" t="s">
        <v>19</v>
      </c>
      <c r="C169" s="147" t="s">
        <v>3094</v>
      </c>
      <c r="D169" s="15" t="s">
        <v>5565</v>
      </c>
      <c r="E169" s="15" t="s">
        <v>2556</v>
      </c>
      <c r="F169" s="15">
        <v>-3.0</v>
      </c>
      <c r="G169" s="15" t="s">
        <v>448</v>
      </c>
      <c r="H169" s="15" t="s">
        <v>22</v>
      </c>
      <c r="I169" s="15" t="s">
        <v>225</v>
      </c>
      <c r="J169" s="15" t="s">
        <v>24</v>
      </c>
      <c r="K169" s="16">
        <v>0.5</v>
      </c>
      <c r="L169" s="16">
        <v>1.0</v>
      </c>
      <c r="M169" s="16">
        <v>1.0</v>
      </c>
      <c r="N169" s="17">
        <v>45161.0</v>
      </c>
      <c r="O169" s="18">
        <v>1.85</v>
      </c>
      <c r="P169" s="15" t="s">
        <v>25</v>
      </c>
      <c r="Q169" s="19">
        <f t="shared" si="1"/>
        <v>-1</v>
      </c>
      <c r="R169" s="19">
        <f t="shared" si="4"/>
        <v>4.92871083</v>
      </c>
    </row>
    <row r="170">
      <c r="A170" s="8">
        <f t="shared" si="3"/>
        <v>169</v>
      </c>
      <c r="B170" s="8" t="s">
        <v>19</v>
      </c>
      <c r="C170" s="8" t="s">
        <v>3095</v>
      </c>
      <c r="D170" s="8" t="s">
        <v>5565</v>
      </c>
      <c r="E170" s="8"/>
      <c r="F170" s="8">
        <f>1</f>
        <v>1</v>
      </c>
      <c r="G170" s="8" t="s">
        <v>44</v>
      </c>
      <c r="H170" s="8" t="s">
        <v>22</v>
      </c>
      <c r="I170" s="8" t="s">
        <v>1847</v>
      </c>
      <c r="J170" s="8" t="s">
        <v>24</v>
      </c>
      <c r="K170" s="9">
        <v>0.5</v>
      </c>
      <c r="L170" s="9">
        <v>0.25</v>
      </c>
      <c r="M170" s="9">
        <v>0.25</v>
      </c>
      <c r="N170" s="10">
        <v>45161.0</v>
      </c>
      <c r="O170" s="11">
        <v>1.725</v>
      </c>
      <c r="P170" s="8" t="s">
        <v>25</v>
      </c>
      <c r="Q170" s="12">
        <f t="shared" si="1"/>
        <v>-0.25</v>
      </c>
      <c r="R170" s="12">
        <f t="shared" si="4"/>
        <v>4.67871083</v>
      </c>
    </row>
    <row r="171">
      <c r="A171" s="15">
        <f t="shared" si="3"/>
        <v>170</v>
      </c>
      <c r="B171" s="15" t="s">
        <v>19</v>
      </c>
      <c r="C171" s="15" t="s">
        <v>3096</v>
      </c>
      <c r="D171" s="15"/>
      <c r="E171" s="15"/>
      <c r="F171" s="15"/>
      <c r="G171" s="15" t="s">
        <v>448</v>
      </c>
      <c r="H171" s="15" t="s">
        <v>22</v>
      </c>
      <c r="I171" s="15" t="s">
        <v>29</v>
      </c>
      <c r="J171" s="15" t="s">
        <v>24</v>
      </c>
      <c r="K171" s="16">
        <v>-10.5</v>
      </c>
      <c r="L171" s="16">
        <v>0.5</v>
      </c>
      <c r="M171" s="16">
        <v>0.5</v>
      </c>
      <c r="N171" s="17">
        <v>45161.0</v>
      </c>
      <c r="O171" s="18">
        <v>1.8</v>
      </c>
      <c r="P171" s="15" t="s">
        <v>25</v>
      </c>
      <c r="Q171" s="19">
        <f t="shared" si="1"/>
        <v>-0.5</v>
      </c>
      <c r="R171" s="19">
        <f t="shared" si="4"/>
        <v>4.17871083</v>
      </c>
    </row>
    <row r="172">
      <c r="A172" s="8">
        <f t="shared" si="3"/>
        <v>171</v>
      </c>
      <c r="B172" s="8" t="s">
        <v>19</v>
      </c>
      <c r="C172" s="8" t="s">
        <v>3097</v>
      </c>
      <c r="D172" s="8"/>
      <c r="E172" s="8"/>
      <c r="F172" s="8"/>
      <c r="G172" s="8" t="s">
        <v>82</v>
      </c>
      <c r="H172" s="8" t="s">
        <v>22</v>
      </c>
      <c r="I172" s="8" t="s">
        <v>29</v>
      </c>
      <c r="J172" s="8" t="s">
        <v>24</v>
      </c>
      <c r="K172" s="9">
        <v>-1.5</v>
      </c>
      <c r="L172" s="9">
        <v>0.5</v>
      </c>
      <c r="M172" s="9">
        <v>0.5</v>
      </c>
      <c r="N172" s="10">
        <v>45161.0</v>
      </c>
      <c r="O172" s="11">
        <v>1.9</v>
      </c>
      <c r="P172" s="8" t="s">
        <v>25</v>
      </c>
      <c r="Q172" s="12">
        <f t="shared" si="1"/>
        <v>-0.5</v>
      </c>
      <c r="R172" s="12">
        <f t="shared" si="4"/>
        <v>3.67871083</v>
      </c>
    </row>
    <row r="173">
      <c r="A173" s="15">
        <f t="shared" si="3"/>
        <v>172</v>
      </c>
      <c r="B173" s="15" t="s">
        <v>19</v>
      </c>
      <c r="C173" s="15" t="s">
        <v>3098</v>
      </c>
      <c r="D173" s="15" t="s">
        <v>5564</v>
      </c>
      <c r="E173" s="15" t="s">
        <v>2556</v>
      </c>
      <c r="F173" s="15">
        <v>-1.0</v>
      </c>
      <c r="G173" s="15" t="s">
        <v>82</v>
      </c>
      <c r="H173" s="15" t="s">
        <v>22</v>
      </c>
      <c r="I173" s="15" t="s">
        <v>225</v>
      </c>
      <c r="J173" s="15" t="s">
        <v>24</v>
      </c>
      <c r="K173" s="16">
        <v>0.25</v>
      </c>
      <c r="L173" s="16">
        <v>0.25</v>
      </c>
      <c r="M173" s="16">
        <v>0.25</v>
      </c>
      <c r="N173" s="17">
        <v>45161.0</v>
      </c>
      <c r="O173" s="18">
        <v>1.7</v>
      </c>
      <c r="P173" s="15" t="s">
        <v>33</v>
      </c>
      <c r="Q173" s="19">
        <f t="shared" si="1"/>
        <v>0.175</v>
      </c>
      <c r="R173" s="19">
        <f t="shared" si="4"/>
        <v>3.85371083</v>
      </c>
    </row>
    <row r="174">
      <c r="A174" s="8">
        <f t="shared" si="3"/>
        <v>173</v>
      </c>
      <c r="B174" s="8" t="s">
        <v>19</v>
      </c>
      <c r="C174" s="8" t="s">
        <v>3099</v>
      </c>
      <c r="D174" s="8" t="s">
        <v>5565</v>
      </c>
      <c r="E174" s="8" t="s">
        <v>2556</v>
      </c>
      <c r="F174" s="8">
        <v>0.0</v>
      </c>
      <c r="G174" s="8" t="s">
        <v>1182</v>
      </c>
      <c r="H174" s="8" t="s">
        <v>22</v>
      </c>
      <c r="I174" s="8" t="s">
        <v>225</v>
      </c>
      <c r="J174" s="8" t="s">
        <v>24</v>
      </c>
      <c r="K174" s="9">
        <v>0.5</v>
      </c>
      <c r="L174" s="9">
        <v>0.25</v>
      </c>
      <c r="M174" s="9">
        <v>0.25</v>
      </c>
      <c r="N174" s="10">
        <v>45162.0</v>
      </c>
      <c r="O174" s="11">
        <v>1.7</v>
      </c>
      <c r="P174" s="8" t="s">
        <v>25</v>
      </c>
      <c r="Q174" s="12">
        <f t="shared" si="1"/>
        <v>-0.25</v>
      </c>
      <c r="R174" s="12">
        <f t="shared" si="4"/>
        <v>3.60371083</v>
      </c>
    </row>
    <row r="175">
      <c r="A175" s="15">
        <f t="shared" si="3"/>
        <v>174</v>
      </c>
      <c r="B175" s="15" t="s">
        <v>19</v>
      </c>
      <c r="C175" s="15" t="s">
        <v>3100</v>
      </c>
      <c r="D175" s="15" t="s">
        <v>5564</v>
      </c>
      <c r="E175" s="15" t="s">
        <v>2660</v>
      </c>
      <c r="F175" s="15">
        <v>0.0</v>
      </c>
      <c r="G175" s="15" t="s">
        <v>513</v>
      </c>
      <c r="H175" s="15" t="s">
        <v>22</v>
      </c>
      <c r="I175" s="15" t="s">
        <v>892</v>
      </c>
      <c r="J175" s="15" t="s">
        <v>24</v>
      </c>
      <c r="K175" s="16">
        <v>0.0</v>
      </c>
      <c r="L175" s="16">
        <v>1.0</v>
      </c>
      <c r="M175" s="16">
        <v>1.0</v>
      </c>
      <c r="N175" s="17">
        <v>45162.0</v>
      </c>
      <c r="O175" s="18">
        <v>1.825</v>
      </c>
      <c r="P175" s="15" t="s">
        <v>25</v>
      </c>
      <c r="Q175" s="19">
        <f t="shared" si="1"/>
        <v>-1</v>
      </c>
      <c r="R175" s="19">
        <f t="shared" si="4"/>
        <v>2.60371083</v>
      </c>
    </row>
    <row r="176">
      <c r="A176" s="8">
        <f t="shared" si="3"/>
        <v>175</v>
      </c>
      <c r="B176" s="8" t="s">
        <v>40</v>
      </c>
      <c r="C176" s="8" t="s">
        <v>3101</v>
      </c>
      <c r="D176" s="8" t="s">
        <v>5564</v>
      </c>
      <c r="E176" s="8" t="s">
        <v>2556</v>
      </c>
      <c r="F176" s="8">
        <v>-2.0</v>
      </c>
      <c r="G176" s="8" t="s">
        <v>28</v>
      </c>
      <c r="H176" s="8" t="s">
        <v>22</v>
      </c>
      <c r="I176" s="8" t="s">
        <v>892</v>
      </c>
      <c r="J176" s="8" t="s">
        <v>1851</v>
      </c>
      <c r="K176" s="9">
        <v>0.5</v>
      </c>
      <c r="L176" s="9">
        <v>0.25</v>
      </c>
      <c r="M176" s="9">
        <v>0.25</v>
      </c>
      <c r="N176" s="10">
        <v>45162.0</v>
      </c>
      <c r="O176" s="11">
        <v>1.775</v>
      </c>
      <c r="P176" s="8" t="s">
        <v>33</v>
      </c>
      <c r="Q176" s="12">
        <f t="shared" si="1"/>
        <v>0.19375</v>
      </c>
      <c r="R176" s="12">
        <f t="shared" si="4"/>
        <v>2.79746083</v>
      </c>
    </row>
    <row r="177">
      <c r="A177" s="15">
        <f t="shared" si="3"/>
        <v>176</v>
      </c>
      <c r="B177" s="15" t="s">
        <v>19</v>
      </c>
      <c r="C177" s="15" t="s">
        <v>3102</v>
      </c>
      <c r="D177" s="15" t="s">
        <v>5565</v>
      </c>
      <c r="E177" s="15" t="s">
        <v>2660</v>
      </c>
      <c r="F177" s="15">
        <v>0.0</v>
      </c>
      <c r="G177" s="15" t="s">
        <v>463</v>
      </c>
      <c r="H177" s="15" t="s">
        <v>22</v>
      </c>
      <c r="I177" s="15" t="s">
        <v>892</v>
      </c>
      <c r="J177" s="15" t="s">
        <v>24</v>
      </c>
      <c r="K177" s="16">
        <v>0.0</v>
      </c>
      <c r="L177" s="16">
        <v>0.75</v>
      </c>
      <c r="M177" s="16">
        <v>0.75</v>
      </c>
      <c r="N177" s="17">
        <v>45162.0</v>
      </c>
      <c r="O177" s="18">
        <v>2.0</v>
      </c>
      <c r="P177" s="15" t="s">
        <v>33</v>
      </c>
      <c r="Q177" s="19">
        <f t="shared" si="1"/>
        <v>0.75</v>
      </c>
      <c r="R177" s="19">
        <f t="shared" si="4"/>
        <v>3.54746083</v>
      </c>
    </row>
    <row r="178">
      <c r="A178" s="8">
        <f t="shared" si="3"/>
        <v>177</v>
      </c>
      <c r="B178" s="8" t="s">
        <v>19</v>
      </c>
      <c r="C178" s="8" t="s">
        <v>3103</v>
      </c>
      <c r="D178" s="8" t="s">
        <v>5564</v>
      </c>
      <c r="E178" s="8" t="s">
        <v>2556</v>
      </c>
      <c r="F178" s="8">
        <v>-1.0</v>
      </c>
      <c r="G178" s="8" t="s">
        <v>82</v>
      </c>
      <c r="H178" s="8" t="s">
        <v>22</v>
      </c>
      <c r="I178" s="8" t="s">
        <v>225</v>
      </c>
      <c r="J178" s="8" t="s">
        <v>24</v>
      </c>
      <c r="K178" s="9">
        <v>0.5</v>
      </c>
      <c r="L178" s="9">
        <v>0.5</v>
      </c>
      <c r="M178" s="9">
        <v>0.16</v>
      </c>
      <c r="N178" s="10">
        <v>45162.0</v>
      </c>
      <c r="O178" s="11">
        <v>2.025</v>
      </c>
      <c r="P178" s="8" t="s">
        <v>25</v>
      </c>
      <c r="Q178" s="12">
        <f t="shared" si="1"/>
        <v>-0.16</v>
      </c>
      <c r="R178" s="12">
        <f t="shared" si="4"/>
        <v>3.38746083</v>
      </c>
    </row>
    <row r="179">
      <c r="A179" s="15">
        <f t="shared" si="3"/>
        <v>178</v>
      </c>
      <c r="B179" s="15" t="s">
        <v>19</v>
      </c>
      <c r="C179" s="15" t="s">
        <v>3104</v>
      </c>
      <c r="D179" s="15" t="s">
        <v>5564</v>
      </c>
      <c r="E179" s="15" t="s">
        <v>2556</v>
      </c>
      <c r="F179" s="15">
        <v>-1.0</v>
      </c>
      <c r="G179" s="15" t="s">
        <v>82</v>
      </c>
      <c r="H179" s="15" t="s">
        <v>22</v>
      </c>
      <c r="I179" s="15" t="s">
        <v>225</v>
      </c>
      <c r="J179" s="15" t="s">
        <v>24</v>
      </c>
      <c r="K179" s="16">
        <v>0.75</v>
      </c>
      <c r="L179" s="16">
        <v>0.5</v>
      </c>
      <c r="M179" s="16">
        <v>0.5</v>
      </c>
      <c r="N179" s="17">
        <v>45162.0</v>
      </c>
      <c r="O179" s="18">
        <v>1.725</v>
      </c>
      <c r="P179" s="15" t="s">
        <v>33</v>
      </c>
      <c r="Q179" s="19">
        <f t="shared" si="1"/>
        <v>0.3625</v>
      </c>
      <c r="R179" s="19">
        <f t="shared" si="4"/>
        <v>3.74996083</v>
      </c>
    </row>
    <row r="180">
      <c r="A180" s="8">
        <f t="shared" si="3"/>
        <v>179</v>
      </c>
      <c r="B180" s="8" t="s">
        <v>19</v>
      </c>
      <c r="C180" s="8" t="s">
        <v>3105</v>
      </c>
      <c r="D180" s="8" t="s">
        <v>5565</v>
      </c>
      <c r="E180" s="8" t="s">
        <v>2660</v>
      </c>
      <c r="F180" s="8">
        <f>1</f>
        <v>1</v>
      </c>
      <c r="G180" s="8" t="s">
        <v>82</v>
      </c>
      <c r="H180" s="8" t="s">
        <v>22</v>
      </c>
      <c r="I180" s="8" t="s">
        <v>892</v>
      </c>
      <c r="J180" s="8" t="s">
        <v>24</v>
      </c>
      <c r="K180" s="9">
        <v>0.0</v>
      </c>
      <c r="L180" s="9">
        <v>1.0</v>
      </c>
      <c r="M180" s="9">
        <v>1.0</v>
      </c>
      <c r="N180" s="10">
        <v>45162.0</v>
      </c>
      <c r="O180" s="11">
        <v>1.9</v>
      </c>
      <c r="P180" s="8" t="s">
        <v>33</v>
      </c>
      <c r="Q180" s="12">
        <f t="shared" si="1"/>
        <v>0.9</v>
      </c>
      <c r="R180" s="12">
        <f t="shared" si="4"/>
        <v>4.64996083</v>
      </c>
    </row>
    <row r="181">
      <c r="A181" s="15">
        <f t="shared" si="3"/>
        <v>180</v>
      </c>
      <c r="B181" s="15" t="s">
        <v>19</v>
      </c>
      <c r="C181" s="15" t="s">
        <v>3106</v>
      </c>
      <c r="D181" s="15"/>
      <c r="E181" s="15"/>
      <c r="F181" s="15"/>
      <c r="G181" s="15" t="s">
        <v>463</v>
      </c>
      <c r="H181" s="15" t="s">
        <v>22</v>
      </c>
      <c r="I181" s="15" t="s">
        <v>29</v>
      </c>
      <c r="J181" s="15" t="s">
        <v>24</v>
      </c>
      <c r="K181" s="16">
        <v>-7.25</v>
      </c>
      <c r="L181" s="16">
        <v>0.25</v>
      </c>
      <c r="M181" s="16">
        <f t="shared" ref="M181:M182" si="10">19/24*0.25</f>
        <v>0.1979166667</v>
      </c>
      <c r="N181" s="17">
        <v>45162.0</v>
      </c>
      <c r="O181" s="18">
        <v>1.9</v>
      </c>
      <c r="P181" s="15" t="s">
        <v>33</v>
      </c>
      <c r="Q181" s="19">
        <f t="shared" si="1"/>
        <v>0.178125</v>
      </c>
      <c r="R181" s="19">
        <f t="shared" si="4"/>
        <v>4.82808583</v>
      </c>
    </row>
    <row r="182">
      <c r="A182" s="8">
        <f t="shared" si="3"/>
        <v>181</v>
      </c>
      <c r="B182" s="8" t="s">
        <v>19</v>
      </c>
      <c r="C182" s="8" t="s">
        <v>3107</v>
      </c>
      <c r="D182" s="8" t="s">
        <v>5564</v>
      </c>
      <c r="E182" s="8" t="s">
        <v>2556</v>
      </c>
      <c r="F182" s="8">
        <f>1</f>
        <v>1</v>
      </c>
      <c r="G182" s="8" t="s">
        <v>463</v>
      </c>
      <c r="H182" s="8" t="s">
        <v>22</v>
      </c>
      <c r="I182" s="8" t="s">
        <v>225</v>
      </c>
      <c r="J182" s="8" t="s">
        <v>24</v>
      </c>
      <c r="K182" s="9">
        <v>0.75</v>
      </c>
      <c r="L182" s="9">
        <v>0.25</v>
      </c>
      <c r="M182" s="9">
        <f t="shared" si="10"/>
        <v>0.1979166667</v>
      </c>
      <c r="N182" s="10">
        <v>45162.0</v>
      </c>
      <c r="O182" s="11">
        <v>1.9</v>
      </c>
      <c r="P182" s="8" t="s">
        <v>33</v>
      </c>
      <c r="Q182" s="12">
        <f t="shared" si="1"/>
        <v>0.178125</v>
      </c>
      <c r="R182" s="12">
        <f t="shared" si="4"/>
        <v>5.00621083</v>
      </c>
    </row>
    <row r="183">
      <c r="A183" s="15">
        <f t="shared" si="3"/>
        <v>182</v>
      </c>
      <c r="B183" s="15" t="s">
        <v>19</v>
      </c>
      <c r="C183" s="15" t="s">
        <v>3108</v>
      </c>
      <c r="D183" s="15"/>
      <c r="E183" s="15"/>
      <c r="F183" s="15"/>
      <c r="G183" s="15" t="s">
        <v>463</v>
      </c>
      <c r="H183" s="15" t="s">
        <v>22</v>
      </c>
      <c r="I183" s="15" t="s">
        <v>29</v>
      </c>
      <c r="J183" s="15" t="s">
        <v>24</v>
      </c>
      <c r="K183" s="16">
        <v>-6.5</v>
      </c>
      <c r="L183" s="16">
        <v>0.25</v>
      </c>
      <c r="M183" s="16">
        <v>0.25</v>
      </c>
      <c r="N183" s="17">
        <v>45162.0</v>
      </c>
      <c r="O183" s="18">
        <v>1.85</v>
      </c>
      <c r="P183" s="15" t="s">
        <v>33</v>
      </c>
      <c r="Q183" s="19">
        <f t="shared" si="1"/>
        <v>0.2125</v>
      </c>
      <c r="R183" s="19">
        <f t="shared" si="4"/>
        <v>5.21871083</v>
      </c>
    </row>
    <row r="184">
      <c r="A184" s="8">
        <f t="shared" si="3"/>
        <v>183</v>
      </c>
      <c r="B184" s="8" t="s">
        <v>19</v>
      </c>
      <c r="C184" s="8" t="s">
        <v>3109</v>
      </c>
      <c r="D184" s="8" t="s">
        <v>5564</v>
      </c>
      <c r="E184" s="8" t="s">
        <v>2556</v>
      </c>
      <c r="F184" s="8">
        <v>0.0</v>
      </c>
      <c r="G184" s="8" t="s">
        <v>354</v>
      </c>
      <c r="H184" s="8" t="s">
        <v>22</v>
      </c>
      <c r="I184" s="8" t="s">
        <v>225</v>
      </c>
      <c r="J184" s="8" t="s">
        <v>24</v>
      </c>
      <c r="K184" s="9">
        <v>0.5</v>
      </c>
      <c r="L184" s="9">
        <v>0.5</v>
      </c>
      <c r="M184" s="9">
        <f>0.385</f>
        <v>0.385</v>
      </c>
      <c r="N184" s="10">
        <v>45163.0</v>
      </c>
      <c r="O184" s="11">
        <v>1.775</v>
      </c>
      <c r="P184" s="8" t="s">
        <v>33</v>
      </c>
      <c r="Q184" s="12">
        <f t="shared" si="1"/>
        <v>0.298375</v>
      </c>
      <c r="R184" s="12">
        <f t="shared" si="4"/>
        <v>5.51708583</v>
      </c>
    </row>
    <row r="185">
      <c r="A185" s="15">
        <f t="shared" si="3"/>
        <v>184</v>
      </c>
      <c r="B185" s="15" t="s">
        <v>19</v>
      </c>
      <c r="C185" s="15" t="s">
        <v>3110</v>
      </c>
      <c r="D185" s="15" t="s">
        <v>5564</v>
      </c>
      <c r="E185" s="15"/>
      <c r="F185" s="15">
        <v>0.0</v>
      </c>
      <c r="G185" s="15" t="s">
        <v>354</v>
      </c>
      <c r="H185" s="15" t="s">
        <v>22</v>
      </c>
      <c r="I185" s="15" t="s">
        <v>29</v>
      </c>
      <c r="J185" s="15" t="s">
        <v>24</v>
      </c>
      <c r="K185" s="16"/>
      <c r="L185" s="16">
        <v>0.25</v>
      </c>
      <c r="M185" s="16">
        <v>0.25</v>
      </c>
      <c r="N185" s="17">
        <v>45163.0</v>
      </c>
      <c r="O185" s="18">
        <v>1.625</v>
      </c>
      <c r="P185" s="15" t="s">
        <v>33</v>
      </c>
      <c r="Q185" s="19">
        <f t="shared" si="1"/>
        <v>0.15625</v>
      </c>
      <c r="R185" s="19">
        <f t="shared" si="4"/>
        <v>5.67333583</v>
      </c>
    </row>
    <row r="186">
      <c r="A186" s="8">
        <f t="shared" si="3"/>
        <v>185</v>
      </c>
      <c r="B186" s="8" t="s">
        <v>19</v>
      </c>
      <c r="C186" s="8" t="s">
        <v>3111</v>
      </c>
      <c r="D186" s="8"/>
      <c r="E186" s="8"/>
      <c r="F186" s="8"/>
      <c r="G186" s="8" t="s">
        <v>642</v>
      </c>
      <c r="H186" s="8" t="s">
        <v>22</v>
      </c>
      <c r="I186" s="8" t="s">
        <v>23</v>
      </c>
      <c r="J186" s="8" t="s">
        <v>24</v>
      </c>
      <c r="K186" s="9">
        <v>-8.0</v>
      </c>
      <c r="L186" s="9">
        <v>0.25</v>
      </c>
      <c r="M186" s="9">
        <v>0.25</v>
      </c>
      <c r="N186" s="10">
        <v>45163.0</v>
      </c>
      <c r="O186" s="11">
        <v>1.8</v>
      </c>
      <c r="P186" s="8" t="s">
        <v>25</v>
      </c>
      <c r="Q186" s="12">
        <f t="shared" si="1"/>
        <v>-0.25</v>
      </c>
      <c r="R186" s="12">
        <f t="shared" si="4"/>
        <v>5.42333583</v>
      </c>
    </row>
    <row r="187">
      <c r="A187" s="15">
        <f t="shared" si="3"/>
        <v>186</v>
      </c>
      <c r="B187" s="15" t="s">
        <v>40</v>
      </c>
      <c r="C187" s="15" t="s">
        <v>3112</v>
      </c>
      <c r="D187" s="15" t="s">
        <v>5565</v>
      </c>
      <c r="E187" s="15" t="s">
        <v>2556</v>
      </c>
      <c r="F187" s="15">
        <v>0.0</v>
      </c>
      <c r="G187" s="15" t="s">
        <v>432</v>
      </c>
      <c r="H187" s="15" t="s">
        <v>22</v>
      </c>
      <c r="I187" s="15" t="s">
        <v>225</v>
      </c>
      <c r="J187" s="15" t="s">
        <v>1522</v>
      </c>
      <c r="K187" s="16">
        <v>1.25</v>
      </c>
      <c r="L187" s="16">
        <v>0.75</v>
      </c>
      <c r="M187" s="16">
        <v>0.75</v>
      </c>
      <c r="N187" s="17">
        <v>45163.0</v>
      </c>
      <c r="O187" s="18">
        <v>1.8</v>
      </c>
      <c r="P187" s="15" t="s">
        <v>33</v>
      </c>
      <c r="Q187" s="19">
        <f t="shared" si="1"/>
        <v>0.6</v>
      </c>
      <c r="R187" s="19">
        <f t="shared" si="4"/>
        <v>6.02333583</v>
      </c>
    </row>
    <row r="188">
      <c r="A188" s="8">
        <f t="shared" si="3"/>
        <v>187</v>
      </c>
      <c r="B188" s="8" t="s">
        <v>19</v>
      </c>
      <c r="C188" s="8" t="s">
        <v>3113</v>
      </c>
      <c r="D188" s="8" t="s">
        <v>5565</v>
      </c>
      <c r="E188" s="8" t="s">
        <v>2556</v>
      </c>
      <c r="F188" s="8">
        <v>0.0</v>
      </c>
      <c r="G188" s="8" t="s">
        <v>432</v>
      </c>
      <c r="H188" s="8" t="s">
        <v>22</v>
      </c>
      <c r="I188" s="8" t="s">
        <v>941</v>
      </c>
      <c r="J188" s="8" t="s">
        <v>24</v>
      </c>
      <c r="K188" s="9">
        <v>0.0</v>
      </c>
      <c r="L188" s="9">
        <v>0.5</v>
      </c>
      <c r="M188" s="9">
        <v>0.5</v>
      </c>
      <c r="N188" s="10">
        <v>45163.0</v>
      </c>
      <c r="O188" s="11">
        <v>2.2</v>
      </c>
      <c r="P188" s="8" t="s">
        <v>70</v>
      </c>
      <c r="Q188" s="12">
        <f t="shared" si="1"/>
        <v>0</v>
      </c>
      <c r="R188" s="12">
        <f t="shared" si="4"/>
        <v>6.02333583</v>
      </c>
    </row>
    <row r="189">
      <c r="A189" s="15">
        <f t="shared" si="3"/>
        <v>188</v>
      </c>
      <c r="B189" s="15" t="s">
        <v>19</v>
      </c>
      <c r="C189" s="15" t="s">
        <v>3114</v>
      </c>
      <c r="D189" s="15" t="s">
        <v>5565</v>
      </c>
      <c r="E189" s="15" t="s">
        <v>2556</v>
      </c>
      <c r="F189" s="15">
        <v>0.0</v>
      </c>
      <c r="G189" s="15" t="s">
        <v>432</v>
      </c>
      <c r="H189" s="15" t="s">
        <v>22</v>
      </c>
      <c r="I189" s="15" t="s">
        <v>225</v>
      </c>
      <c r="J189" s="15" t="s">
        <v>24</v>
      </c>
      <c r="K189" s="16">
        <v>0.25</v>
      </c>
      <c r="L189" s="16">
        <v>0.5</v>
      </c>
      <c r="M189" s="16">
        <v>0.5</v>
      </c>
      <c r="N189" s="17">
        <v>45163.0</v>
      </c>
      <c r="O189" s="18">
        <v>1.088</v>
      </c>
      <c r="P189" s="15" t="s">
        <v>33</v>
      </c>
      <c r="Q189" s="19">
        <f t="shared" si="1"/>
        <v>0.044</v>
      </c>
      <c r="R189" s="19">
        <f t="shared" si="4"/>
        <v>6.06733583</v>
      </c>
    </row>
    <row r="190">
      <c r="A190" s="8">
        <f t="shared" si="3"/>
        <v>189</v>
      </c>
      <c r="B190" s="8" t="s">
        <v>19</v>
      </c>
      <c r="C190" s="8" t="s">
        <v>3115</v>
      </c>
      <c r="D190" s="8" t="s">
        <v>5564</v>
      </c>
      <c r="E190" s="8" t="s">
        <v>2556</v>
      </c>
      <c r="F190" s="8">
        <v>0.0</v>
      </c>
      <c r="G190" s="8" t="s">
        <v>101</v>
      </c>
      <c r="H190" s="8" t="s">
        <v>22</v>
      </c>
      <c r="I190" s="8" t="s">
        <v>225</v>
      </c>
      <c r="J190" s="8" t="s">
        <v>24</v>
      </c>
      <c r="K190" s="9">
        <v>0.25</v>
      </c>
      <c r="L190" s="9">
        <v>0.5</v>
      </c>
      <c r="M190" s="9">
        <v>0.5</v>
      </c>
      <c r="N190" s="10">
        <v>45163.0</v>
      </c>
      <c r="O190" s="11">
        <v>1.725</v>
      </c>
      <c r="P190" s="8" t="s">
        <v>25</v>
      </c>
      <c r="Q190" s="12">
        <f t="shared" si="1"/>
        <v>-0.5</v>
      </c>
      <c r="R190" s="12">
        <f t="shared" si="4"/>
        <v>5.56733583</v>
      </c>
    </row>
    <row r="191">
      <c r="A191" s="15">
        <f t="shared" si="3"/>
        <v>190</v>
      </c>
      <c r="B191" s="15" t="s">
        <v>19</v>
      </c>
      <c r="C191" s="15" t="s">
        <v>3116</v>
      </c>
      <c r="D191" s="15" t="s">
        <v>5564</v>
      </c>
      <c r="E191" s="15" t="s">
        <v>2556</v>
      </c>
      <c r="F191" s="15">
        <v>-1.0</v>
      </c>
      <c r="G191" s="15" t="s">
        <v>463</v>
      </c>
      <c r="H191" s="15" t="s">
        <v>22</v>
      </c>
      <c r="I191" s="15" t="s">
        <v>225</v>
      </c>
      <c r="J191" s="15" t="s">
        <v>24</v>
      </c>
      <c r="K191" s="16">
        <v>0.25</v>
      </c>
      <c r="L191" s="16">
        <v>1.0</v>
      </c>
      <c r="M191" s="16">
        <v>1.0</v>
      </c>
      <c r="N191" s="17">
        <v>45163.0</v>
      </c>
      <c r="O191" s="18">
        <v>1.8</v>
      </c>
      <c r="P191" s="15" t="s">
        <v>25</v>
      </c>
      <c r="Q191" s="19">
        <f t="shared" si="1"/>
        <v>-1</v>
      </c>
      <c r="R191" s="19">
        <f t="shared" si="4"/>
        <v>4.56733583</v>
      </c>
    </row>
    <row r="192">
      <c r="A192" s="8">
        <f t="shared" si="3"/>
        <v>191</v>
      </c>
      <c r="B192" s="8" t="s">
        <v>40</v>
      </c>
      <c r="C192" s="8" t="s">
        <v>3117</v>
      </c>
      <c r="D192" s="8" t="s">
        <v>5565</v>
      </c>
      <c r="E192" s="8" t="s">
        <v>2556</v>
      </c>
      <c r="F192" s="8">
        <v>0.0</v>
      </c>
      <c r="G192" s="8" t="s">
        <v>60</v>
      </c>
      <c r="H192" s="8" t="s">
        <v>22</v>
      </c>
      <c r="I192" s="8" t="s">
        <v>2725</v>
      </c>
      <c r="J192" s="8" t="s">
        <v>24</v>
      </c>
      <c r="K192" s="9">
        <v>0.5</v>
      </c>
      <c r="L192" s="9">
        <v>0.5</v>
      </c>
      <c r="M192" s="9">
        <v>0.5</v>
      </c>
      <c r="N192" s="10">
        <v>45163.0</v>
      </c>
      <c r="O192" s="11">
        <v>1.725</v>
      </c>
      <c r="P192" s="8" t="s">
        <v>33</v>
      </c>
      <c r="Q192" s="12">
        <f t="shared" si="1"/>
        <v>0.3625</v>
      </c>
      <c r="R192" s="12">
        <f t="shared" si="4"/>
        <v>4.92983583</v>
      </c>
    </row>
    <row r="193">
      <c r="A193" s="15">
        <f t="shared" si="3"/>
        <v>192</v>
      </c>
      <c r="B193" s="15" t="s">
        <v>19</v>
      </c>
      <c r="C193" s="15" t="s">
        <v>3118</v>
      </c>
      <c r="D193" s="15" t="s">
        <v>5564</v>
      </c>
      <c r="E193" s="15" t="s">
        <v>2556</v>
      </c>
      <c r="F193" s="15">
        <v>-1.0</v>
      </c>
      <c r="G193" s="15" t="s">
        <v>82</v>
      </c>
      <c r="H193" s="15" t="s">
        <v>22</v>
      </c>
      <c r="I193" s="15" t="s">
        <v>225</v>
      </c>
      <c r="J193" s="15" t="s">
        <v>24</v>
      </c>
      <c r="K193" s="16">
        <v>0.5</v>
      </c>
      <c r="L193" s="16">
        <v>0.5</v>
      </c>
      <c r="M193" s="16">
        <v>0.5</v>
      </c>
      <c r="N193" s="17">
        <v>45163.0</v>
      </c>
      <c r="O193" s="18">
        <v>1.8</v>
      </c>
      <c r="P193" s="15" t="s">
        <v>25</v>
      </c>
      <c r="Q193" s="19">
        <f t="shared" si="1"/>
        <v>-0.5</v>
      </c>
      <c r="R193" s="19">
        <f t="shared" si="4"/>
        <v>4.42983583</v>
      </c>
    </row>
    <row r="194">
      <c r="A194" s="8">
        <f t="shared" si="3"/>
        <v>193</v>
      </c>
      <c r="B194" s="8" t="s">
        <v>19</v>
      </c>
      <c r="C194" s="8" t="s">
        <v>3119</v>
      </c>
      <c r="D194" s="8" t="s">
        <v>5564</v>
      </c>
      <c r="E194" s="8" t="s">
        <v>2556</v>
      </c>
      <c r="F194" s="8">
        <v>0.0</v>
      </c>
      <c r="G194" s="8" t="s">
        <v>806</v>
      </c>
      <c r="H194" s="8" t="s">
        <v>22</v>
      </c>
      <c r="I194" s="8" t="s">
        <v>225</v>
      </c>
      <c r="J194" s="8" t="s">
        <v>24</v>
      </c>
      <c r="K194" s="9">
        <v>0.5</v>
      </c>
      <c r="L194" s="9">
        <v>0.25</v>
      </c>
      <c r="M194" s="9">
        <v>0.25</v>
      </c>
      <c r="N194" s="10">
        <v>45164.0</v>
      </c>
      <c r="O194" s="11">
        <v>2.0</v>
      </c>
      <c r="P194" s="8" t="s">
        <v>30</v>
      </c>
      <c r="Q194" s="12">
        <f t="shared" si="1"/>
        <v>0.125</v>
      </c>
      <c r="R194" s="12">
        <f t="shared" si="4"/>
        <v>4.55483583</v>
      </c>
    </row>
    <row r="195">
      <c r="A195" s="15">
        <f t="shared" si="3"/>
        <v>194</v>
      </c>
      <c r="B195" s="15" t="s">
        <v>19</v>
      </c>
      <c r="C195" s="15" t="s">
        <v>3120</v>
      </c>
      <c r="D195" s="15"/>
      <c r="E195" s="15"/>
      <c r="F195" s="15" t="s">
        <v>3121</v>
      </c>
      <c r="G195" s="15" t="s">
        <v>513</v>
      </c>
      <c r="H195" s="15" t="s">
        <v>22</v>
      </c>
      <c r="I195" s="15" t="s">
        <v>29</v>
      </c>
      <c r="J195" s="15" t="s">
        <v>24</v>
      </c>
      <c r="K195" s="16">
        <v>-4.0</v>
      </c>
      <c r="L195" s="16">
        <v>0.5</v>
      </c>
      <c r="M195" s="16">
        <v>0.666</v>
      </c>
      <c r="N195" s="17">
        <v>45164.0</v>
      </c>
      <c r="O195" s="18">
        <v>1.8</v>
      </c>
      <c r="P195" s="15" t="s">
        <v>33</v>
      </c>
      <c r="Q195" s="19">
        <f t="shared" si="1"/>
        <v>0.5328</v>
      </c>
      <c r="R195" s="19">
        <f t="shared" si="4"/>
        <v>5.08763583</v>
      </c>
    </row>
    <row r="196">
      <c r="A196" s="8">
        <f t="shared" si="3"/>
        <v>195</v>
      </c>
      <c r="B196" s="8" t="s">
        <v>19</v>
      </c>
      <c r="C196" s="8" t="s">
        <v>3122</v>
      </c>
      <c r="D196" s="8"/>
      <c r="E196" s="8"/>
      <c r="F196" s="8" t="s">
        <v>3121</v>
      </c>
      <c r="G196" s="8" t="s">
        <v>513</v>
      </c>
      <c r="H196" s="8" t="s">
        <v>22</v>
      </c>
      <c r="I196" s="8" t="s">
        <v>29</v>
      </c>
      <c r="J196" s="8" t="s">
        <v>24</v>
      </c>
      <c r="K196" s="9">
        <v>-3.75</v>
      </c>
      <c r="L196" s="9">
        <v>0.25</v>
      </c>
      <c r="M196" s="9">
        <f>0.37*0.25</f>
        <v>0.0925</v>
      </c>
      <c r="N196" s="10">
        <v>45164.0</v>
      </c>
      <c r="O196" s="11">
        <v>1.975</v>
      </c>
      <c r="P196" s="8" t="s">
        <v>33</v>
      </c>
      <c r="Q196" s="12">
        <f t="shared" si="1"/>
        <v>0.0901875</v>
      </c>
      <c r="R196" s="12">
        <f t="shared" si="4"/>
        <v>5.17782333</v>
      </c>
    </row>
    <row r="197">
      <c r="A197" s="15">
        <f t="shared" si="3"/>
        <v>196</v>
      </c>
      <c r="B197" s="15" t="s">
        <v>19</v>
      </c>
      <c r="C197" s="15" t="s">
        <v>3123</v>
      </c>
      <c r="D197" s="15"/>
      <c r="E197" s="15"/>
      <c r="F197" s="15" t="s">
        <v>3121</v>
      </c>
      <c r="G197" s="15" t="s">
        <v>513</v>
      </c>
      <c r="H197" s="15" t="s">
        <v>22</v>
      </c>
      <c r="I197" s="15" t="s">
        <v>29</v>
      </c>
      <c r="J197" s="15" t="s">
        <v>24</v>
      </c>
      <c r="K197" s="16">
        <v>-3.5</v>
      </c>
      <c r="L197" s="16">
        <v>0.25</v>
      </c>
      <c r="M197" s="16">
        <f>0.333*0.25</f>
        <v>0.08325</v>
      </c>
      <c r="N197" s="17">
        <v>45164.0</v>
      </c>
      <c r="O197" s="18">
        <v>1.95</v>
      </c>
      <c r="P197" s="15" t="s">
        <v>33</v>
      </c>
      <c r="Q197" s="19">
        <f t="shared" si="1"/>
        <v>0.0790875</v>
      </c>
      <c r="R197" s="19">
        <f t="shared" si="4"/>
        <v>5.25691083</v>
      </c>
    </row>
    <row r="198">
      <c r="A198" s="8">
        <f t="shared" si="3"/>
        <v>197</v>
      </c>
      <c r="B198" s="8" t="s">
        <v>19</v>
      </c>
      <c r="C198" s="8" t="s">
        <v>3124</v>
      </c>
      <c r="D198" s="8" t="s">
        <v>5565</v>
      </c>
      <c r="E198" s="8" t="s">
        <v>2556</v>
      </c>
      <c r="F198" s="8">
        <v>0.0</v>
      </c>
      <c r="G198" s="8" t="s">
        <v>908</v>
      </c>
      <c r="H198" s="8" t="s">
        <v>22</v>
      </c>
      <c r="I198" s="8" t="s">
        <v>225</v>
      </c>
      <c r="J198" s="8" t="s">
        <v>24</v>
      </c>
      <c r="K198" s="9">
        <v>0.25</v>
      </c>
      <c r="L198" s="9">
        <v>0.5</v>
      </c>
      <c r="M198" s="9">
        <v>0.5</v>
      </c>
      <c r="N198" s="10">
        <v>45164.0</v>
      </c>
      <c r="O198" s="11">
        <v>1.95</v>
      </c>
      <c r="P198" s="8" t="s">
        <v>25</v>
      </c>
      <c r="Q198" s="12">
        <f t="shared" si="1"/>
        <v>-0.5</v>
      </c>
      <c r="R198" s="12">
        <f t="shared" si="4"/>
        <v>4.75691083</v>
      </c>
    </row>
    <row r="199">
      <c r="A199" s="15">
        <f t="shared" si="3"/>
        <v>198</v>
      </c>
      <c r="B199" s="15" t="s">
        <v>19</v>
      </c>
      <c r="C199" s="15" t="s">
        <v>3125</v>
      </c>
      <c r="D199" s="15" t="s">
        <v>5565</v>
      </c>
      <c r="E199" s="15" t="s">
        <v>2556</v>
      </c>
      <c r="F199" s="15">
        <v>0.0</v>
      </c>
      <c r="G199" s="15" t="s">
        <v>940</v>
      </c>
      <c r="H199" s="15" t="s">
        <v>22</v>
      </c>
      <c r="I199" s="15" t="s">
        <v>941</v>
      </c>
      <c r="J199" s="15" t="s">
        <v>24</v>
      </c>
      <c r="K199" s="16">
        <v>0.0</v>
      </c>
      <c r="L199" s="16">
        <v>0.25</v>
      </c>
      <c r="M199" s="16">
        <v>0.25</v>
      </c>
      <c r="N199" s="17">
        <v>45164.0</v>
      </c>
      <c r="O199" s="18">
        <v>2.25</v>
      </c>
      <c r="P199" s="15" t="s">
        <v>33</v>
      </c>
      <c r="Q199" s="19">
        <f t="shared" si="1"/>
        <v>0.3125</v>
      </c>
      <c r="R199" s="19">
        <f t="shared" si="4"/>
        <v>5.06941083</v>
      </c>
    </row>
    <row r="200">
      <c r="A200" s="8">
        <f t="shared" si="3"/>
        <v>199</v>
      </c>
      <c r="B200" s="8" t="s">
        <v>40</v>
      </c>
      <c r="C200" s="8" t="s">
        <v>3126</v>
      </c>
      <c r="D200" s="8" t="s">
        <v>5565</v>
      </c>
      <c r="E200" s="8" t="s">
        <v>2660</v>
      </c>
      <c r="F200" s="8">
        <v>0.0</v>
      </c>
      <c r="G200" s="8" t="s">
        <v>99</v>
      </c>
      <c r="H200" s="8" t="s">
        <v>598</v>
      </c>
      <c r="I200" s="8" t="s">
        <v>892</v>
      </c>
      <c r="J200" s="8" t="s">
        <v>24</v>
      </c>
      <c r="K200" s="9">
        <v>0.0</v>
      </c>
      <c r="L200" s="9">
        <v>0.25</v>
      </c>
      <c r="M200" s="9">
        <f>0.25*22/27</f>
        <v>0.2037037037</v>
      </c>
      <c r="N200" s="10">
        <v>45164.0</v>
      </c>
      <c r="O200" s="11">
        <v>1.9</v>
      </c>
      <c r="P200" s="8" t="s">
        <v>33</v>
      </c>
      <c r="Q200" s="12">
        <f t="shared" si="1"/>
        <v>0.1833333333</v>
      </c>
      <c r="R200" s="12">
        <f t="shared" si="4"/>
        <v>5.252744164</v>
      </c>
    </row>
    <row r="201">
      <c r="A201" s="15">
        <f t="shared" si="3"/>
        <v>200</v>
      </c>
      <c r="B201" s="15" t="s">
        <v>19</v>
      </c>
      <c r="C201" s="15" t="s">
        <v>3127</v>
      </c>
      <c r="D201" s="15" t="s">
        <v>5565</v>
      </c>
      <c r="E201" s="15" t="s">
        <v>2556</v>
      </c>
      <c r="F201" s="15">
        <v>0.0</v>
      </c>
      <c r="G201" s="15" t="s">
        <v>167</v>
      </c>
      <c r="H201" s="15" t="s">
        <v>22</v>
      </c>
      <c r="I201" s="15" t="s">
        <v>225</v>
      </c>
      <c r="J201" s="15" t="s">
        <v>1522</v>
      </c>
      <c r="K201" s="16">
        <v>0.25</v>
      </c>
      <c r="L201" s="16">
        <v>0.75</v>
      </c>
      <c r="M201" s="16">
        <f>0.5+0.25*26/27</f>
        <v>0.7407407407</v>
      </c>
      <c r="N201" s="17">
        <v>45164.0</v>
      </c>
      <c r="O201" s="18">
        <f>108.36/87.5</f>
        <v>1.2384</v>
      </c>
      <c r="P201" s="15" t="s">
        <v>33</v>
      </c>
      <c r="Q201" s="19">
        <f t="shared" si="1"/>
        <v>0.1765925926</v>
      </c>
      <c r="R201" s="19">
        <f t="shared" si="4"/>
        <v>5.429336756</v>
      </c>
    </row>
    <row r="202">
      <c r="A202" s="8">
        <f t="shared" si="3"/>
        <v>201</v>
      </c>
      <c r="B202" s="8" t="s">
        <v>40</v>
      </c>
      <c r="C202" s="8" t="s">
        <v>3126</v>
      </c>
      <c r="D202" s="8" t="s">
        <v>5565</v>
      </c>
      <c r="E202" s="8" t="s">
        <v>2660</v>
      </c>
      <c r="F202" s="8">
        <v>0.0</v>
      </c>
      <c r="G202" s="8" t="s">
        <v>99</v>
      </c>
      <c r="H202" s="8" t="s">
        <v>22</v>
      </c>
      <c r="I202" s="8" t="s">
        <v>892</v>
      </c>
      <c r="J202" s="8" t="s">
        <v>24</v>
      </c>
      <c r="K202" s="9">
        <v>0.0</v>
      </c>
      <c r="L202" s="9">
        <v>0.5</v>
      </c>
      <c r="M202" s="9">
        <v>0.5</v>
      </c>
      <c r="N202" s="10">
        <v>45164.0</v>
      </c>
      <c r="O202" s="11">
        <v>1.9</v>
      </c>
      <c r="P202" s="8" t="s">
        <v>33</v>
      </c>
      <c r="Q202" s="12">
        <f t="shared" si="1"/>
        <v>0.45</v>
      </c>
      <c r="R202" s="12">
        <f t="shared" si="4"/>
        <v>5.879336756</v>
      </c>
    </row>
    <row r="203">
      <c r="A203" s="15">
        <f t="shared" si="3"/>
        <v>202</v>
      </c>
      <c r="B203" s="15" t="s">
        <v>19</v>
      </c>
      <c r="C203" s="15" t="s">
        <v>3128</v>
      </c>
      <c r="D203" s="15" t="s">
        <v>5565</v>
      </c>
      <c r="E203" s="15" t="s">
        <v>2660</v>
      </c>
      <c r="F203" s="15">
        <v>-1.0</v>
      </c>
      <c r="G203" s="15" t="s">
        <v>448</v>
      </c>
      <c r="H203" s="15" t="s">
        <v>22</v>
      </c>
      <c r="I203" s="15" t="s">
        <v>1150</v>
      </c>
      <c r="J203" s="15" t="s">
        <v>24</v>
      </c>
      <c r="K203" s="16">
        <v>0.0</v>
      </c>
      <c r="L203" s="16">
        <v>0.25</v>
      </c>
      <c r="M203" s="16">
        <v>0.25</v>
      </c>
      <c r="N203" s="17">
        <v>45164.0</v>
      </c>
      <c r="O203" s="18">
        <v>2.0</v>
      </c>
      <c r="P203" s="15" t="s">
        <v>70</v>
      </c>
      <c r="Q203" s="19">
        <f t="shared" si="1"/>
        <v>0</v>
      </c>
      <c r="R203" s="19">
        <f t="shared" si="4"/>
        <v>5.879336756</v>
      </c>
    </row>
    <row r="204">
      <c r="A204" s="8">
        <f t="shared" si="3"/>
        <v>203</v>
      </c>
      <c r="B204" s="8" t="s">
        <v>19</v>
      </c>
      <c r="C204" s="8" t="s">
        <v>3129</v>
      </c>
      <c r="D204" s="8" t="s">
        <v>5564</v>
      </c>
      <c r="E204" s="8" t="s">
        <v>2660</v>
      </c>
      <c r="F204" s="8">
        <v>0.0</v>
      </c>
      <c r="G204" s="8" t="s">
        <v>3017</v>
      </c>
      <c r="H204" s="8" t="s">
        <v>22</v>
      </c>
      <c r="I204" s="8" t="s">
        <v>892</v>
      </c>
      <c r="J204" s="8" t="s">
        <v>24</v>
      </c>
      <c r="K204" s="9">
        <v>0.0</v>
      </c>
      <c r="L204" s="9">
        <v>0.75</v>
      </c>
      <c r="M204" s="9">
        <v>0.75</v>
      </c>
      <c r="N204" s="10">
        <v>45164.0</v>
      </c>
      <c r="O204" s="11">
        <v>1.831</v>
      </c>
      <c r="P204" s="8" t="s">
        <v>33</v>
      </c>
      <c r="Q204" s="12">
        <f t="shared" si="1"/>
        <v>0.62325</v>
      </c>
      <c r="R204" s="12">
        <f t="shared" si="4"/>
        <v>6.502586756</v>
      </c>
    </row>
    <row r="205">
      <c r="A205" s="15">
        <f t="shared" si="3"/>
        <v>204</v>
      </c>
      <c r="B205" s="15" t="s">
        <v>19</v>
      </c>
      <c r="C205" s="15" t="s">
        <v>3130</v>
      </c>
      <c r="D205" s="15" t="s">
        <v>5565</v>
      </c>
      <c r="E205" s="15" t="s">
        <v>2660</v>
      </c>
      <c r="F205" s="15">
        <v>0.0</v>
      </c>
      <c r="G205" s="15" t="s">
        <v>66</v>
      </c>
      <c r="H205" s="15" t="s">
        <v>22</v>
      </c>
      <c r="I205" s="15" t="s">
        <v>225</v>
      </c>
      <c r="J205" s="15" t="s">
        <v>24</v>
      </c>
      <c r="K205" s="16">
        <v>0.75</v>
      </c>
      <c r="L205" s="16">
        <v>0.25</v>
      </c>
      <c r="M205" s="16">
        <v>0.25</v>
      </c>
      <c r="N205" s="17">
        <v>45164.0</v>
      </c>
      <c r="O205" s="18">
        <v>1.8</v>
      </c>
      <c r="P205" s="15" t="s">
        <v>33</v>
      </c>
      <c r="Q205" s="19">
        <f t="shared" si="1"/>
        <v>0.2</v>
      </c>
      <c r="R205" s="19">
        <f t="shared" si="4"/>
        <v>6.702586756</v>
      </c>
    </row>
    <row r="206">
      <c r="A206" s="8">
        <f t="shared" si="3"/>
        <v>205</v>
      </c>
      <c r="B206" s="8" t="s">
        <v>19</v>
      </c>
      <c r="C206" s="8" t="s">
        <v>3131</v>
      </c>
      <c r="D206" s="8" t="s">
        <v>5565</v>
      </c>
      <c r="E206" s="8" t="s">
        <v>2660</v>
      </c>
      <c r="F206" s="8">
        <v>0.0</v>
      </c>
      <c r="G206" s="8" t="s">
        <v>66</v>
      </c>
      <c r="H206" s="8" t="s">
        <v>22</v>
      </c>
      <c r="I206" s="8" t="s">
        <v>225</v>
      </c>
      <c r="J206" s="8" t="s">
        <v>24</v>
      </c>
      <c r="K206" s="9">
        <v>0.5</v>
      </c>
      <c r="L206" s="9">
        <v>0.25</v>
      </c>
      <c r="M206" s="9">
        <f>0.889*0.25</f>
        <v>0.22225</v>
      </c>
      <c r="N206" s="10">
        <v>45164.0</v>
      </c>
      <c r="O206" s="11">
        <v>1.775</v>
      </c>
      <c r="P206" s="8" t="s">
        <v>33</v>
      </c>
      <c r="Q206" s="12">
        <f t="shared" si="1"/>
        <v>0.17224375</v>
      </c>
      <c r="R206" s="12">
        <f t="shared" si="4"/>
        <v>6.874830506</v>
      </c>
    </row>
    <row r="207">
      <c r="A207" s="15">
        <f t="shared" si="3"/>
        <v>206</v>
      </c>
      <c r="B207" s="15" t="s">
        <v>19</v>
      </c>
      <c r="C207" s="15" t="s">
        <v>3132</v>
      </c>
      <c r="D207" s="15" t="s">
        <v>5565</v>
      </c>
      <c r="E207" s="15" t="s">
        <v>2660</v>
      </c>
      <c r="F207" s="15">
        <v>0.0</v>
      </c>
      <c r="G207" s="15" t="s">
        <v>28</v>
      </c>
      <c r="H207" s="15" t="s">
        <v>22</v>
      </c>
      <c r="I207" s="15" t="s">
        <v>892</v>
      </c>
      <c r="J207" s="15" t="s">
        <v>24</v>
      </c>
      <c r="K207" s="16">
        <v>0.0</v>
      </c>
      <c r="L207" s="16">
        <v>0.5</v>
      </c>
      <c r="M207" s="16">
        <v>0.5</v>
      </c>
      <c r="N207" s="17">
        <v>45164.0</v>
      </c>
      <c r="O207" s="18">
        <v>1.688</v>
      </c>
      <c r="P207" s="15" t="s">
        <v>33</v>
      </c>
      <c r="Q207" s="19">
        <f t="shared" si="1"/>
        <v>0.344</v>
      </c>
      <c r="R207" s="19">
        <f t="shared" si="4"/>
        <v>7.218830506</v>
      </c>
    </row>
    <row r="208">
      <c r="A208" s="8">
        <f t="shared" si="3"/>
        <v>207</v>
      </c>
      <c r="B208" s="8" t="s">
        <v>19</v>
      </c>
      <c r="C208" s="8" t="s">
        <v>3133</v>
      </c>
      <c r="D208" s="8" t="s">
        <v>5565</v>
      </c>
      <c r="E208" s="8" t="s">
        <v>2556</v>
      </c>
      <c r="F208" s="8">
        <v>-1.0</v>
      </c>
      <c r="G208" s="8" t="s">
        <v>82</v>
      </c>
      <c r="H208" s="8" t="s">
        <v>22</v>
      </c>
      <c r="I208" s="8" t="s">
        <v>225</v>
      </c>
      <c r="J208" s="8" t="s">
        <v>1522</v>
      </c>
      <c r="K208" s="9">
        <v>0.25</v>
      </c>
      <c r="L208" s="9">
        <v>0.75</v>
      </c>
      <c r="M208" s="9">
        <v>0.75</v>
      </c>
      <c r="N208" s="10">
        <v>45164.0</v>
      </c>
      <c r="O208" s="11">
        <v>1.75</v>
      </c>
      <c r="P208" s="8" t="s">
        <v>33</v>
      </c>
      <c r="Q208" s="12">
        <f t="shared" si="1"/>
        <v>0.5625</v>
      </c>
      <c r="R208" s="12">
        <f t="shared" si="4"/>
        <v>7.781330506</v>
      </c>
    </row>
    <row r="209">
      <c r="A209" s="15">
        <f t="shared" si="3"/>
        <v>208</v>
      </c>
      <c r="B209" s="15" t="s">
        <v>19</v>
      </c>
      <c r="C209" s="15" t="s">
        <v>3134</v>
      </c>
      <c r="D209" s="15" t="s">
        <v>5564</v>
      </c>
      <c r="E209" s="15" t="s">
        <v>2556</v>
      </c>
      <c r="F209" s="15">
        <v>-1.0</v>
      </c>
      <c r="G209" s="15" t="s">
        <v>624</v>
      </c>
      <c r="H209" s="15" t="s">
        <v>22</v>
      </c>
      <c r="I209" s="15" t="s">
        <v>225</v>
      </c>
      <c r="J209" s="15" t="s">
        <v>24</v>
      </c>
      <c r="K209" s="16">
        <v>0.5</v>
      </c>
      <c r="L209" s="16">
        <v>0.75</v>
      </c>
      <c r="M209" s="16">
        <v>0.75</v>
      </c>
      <c r="N209" s="17">
        <v>45164.0</v>
      </c>
      <c r="O209" s="18">
        <v>1.05</v>
      </c>
      <c r="P209" s="15" t="s">
        <v>33</v>
      </c>
      <c r="Q209" s="19">
        <f t="shared" si="1"/>
        <v>0.0375</v>
      </c>
      <c r="R209" s="19">
        <f t="shared" si="4"/>
        <v>7.818830506</v>
      </c>
    </row>
    <row r="210">
      <c r="A210" s="8">
        <f t="shared" si="3"/>
        <v>209</v>
      </c>
      <c r="B210" s="8" t="s">
        <v>19</v>
      </c>
      <c r="C210" s="8" t="s">
        <v>3135</v>
      </c>
      <c r="D210" s="8" t="s">
        <v>5564</v>
      </c>
      <c r="E210" s="8" t="s">
        <v>2660</v>
      </c>
      <c r="F210" s="8">
        <v>0.0</v>
      </c>
      <c r="G210" s="8" t="s">
        <v>806</v>
      </c>
      <c r="H210" s="8" t="s">
        <v>22</v>
      </c>
      <c r="I210" s="8" t="s">
        <v>892</v>
      </c>
      <c r="J210" s="8" t="s">
        <v>24</v>
      </c>
      <c r="K210" s="9">
        <v>0.0</v>
      </c>
      <c r="L210" s="9">
        <v>0.25</v>
      </c>
      <c r="M210" s="9">
        <v>0.25</v>
      </c>
      <c r="N210" s="10">
        <v>45165.0</v>
      </c>
      <c r="O210" s="11">
        <v>1.975</v>
      </c>
      <c r="P210" s="8" t="s">
        <v>25</v>
      </c>
      <c r="Q210" s="12">
        <f t="shared" si="1"/>
        <v>-0.25</v>
      </c>
      <c r="R210" s="12">
        <f t="shared" si="4"/>
        <v>7.568830506</v>
      </c>
    </row>
    <row r="211">
      <c r="A211" s="15">
        <f t="shared" si="3"/>
        <v>210</v>
      </c>
      <c r="B211" s="15" t="s">
        <v>19</v>
      </c>
      <c r="C211" s="15" t="s">
        <v>3136</v>
      </c>
      <c r="D211" s="15" t="s">
        <v>5565</v>
      </c>
      <c r="E211" s="15" t="s">
        <v>2660</v>
      </c>
      <c r="F211" s="15">
        <v>-2.0</v>
      </c>
      <c r="G211" s="15" t="s">
        <v>1025</v>
      </c>
      <c r="H211" s="15" t="s">
        <v>22</v>
      </c>
      <c r="I211" s="15" t="s">
        <v>892</v>
      </c>
      <c r="J211" s="15" t="s">
        <v>2688</v>
      </c>
      <c r="K211" s="16">
        <v>0.0</v>
      </c>
      <c r="L211" s="16">
        <v>0.5</v>
      </c>
      <c r="M211" s="16">
        <v>0.5</v>
      </c>
      <c r="N211" s="17">
        <v>45165.0</v>
      </c>
      <c r="O211" s="18">
        <v>1.85</v>
      </c>
      <c r="P211" s="15" t="s">
        <v>70</v>
      </c>
      <c r="Q211" s="19">
        <f t="shared" si="1"/>
        <v>0</v>
      </c>
      <c r="R211" s="19">
        <f t="shared" si="4"/>
        <v>7.568830506</v>
      </c>
    </row>
    <row r="212">
      <c r="A212" s="8">
        <f t="shared" si="3"/>
        <v>211</v>
      </c>
      <c r="B212" s="8" t="s">
        <v>19</v>
      </c>
      <c r="C212" s="8" t="s">
        <v>3137</v>
      </c>
      <c r="D212" s="8" t="s">
        <v>5564</v>
      </c>
      <c r="E212" s="8" t="s">
        <v>2556</v>
      </c>
      <c r="F212" s="8">
        <v>0.0</v>
      </c>
      <c r="G212" s="8" t="s">
        <v>44</v>
      </c>
      <c r="H212" s="8" t="s">
        <v>22</v>
      </c>
      <c r="I212" s="8" t="s">
        <v>225</v>
      </c>
      <c r="J212" s="8" t="s">
        <v>24</v>
      </c>
      <c r="K212" s="9">
        <v>0.5</v>
      </c>
      <c r="L212" s="9">
        <v>0.75</v>
      </c>
      <c r="M212" s="9">
        <v>0.75</v>
      </c>
      <c r="N212" s="10">
        <v>45165.0</v>
      </c>
      <c r="O212" s="11">
        <v>1.9268</v>
      </c>
      <c r="P212" s="8" t="s">
        <v>33</v>
      </c>
      <c r="Q212" s="12">
        <f t="shared" si="1"/>
        <v>0.6951</v>
      </c>
      <c r="R212" s="12">
        <f t="shared" si="4"/>
        <v>8.263930506</v>
      </c>
    </row>
    <row r="213">
      <c r="A213" s="15">
        <f t="shared" si="3"/>
        <v>212</v>
      </c>
      <c r="B213" s="15" t="s">
        <v>19</v>
      </c>
      <c r="C213" s="15" t="s">
        <v>3138</v>
      </c>
      <c r="D213" s="15" t="s">
        <v>5564</v>
      </c>
      <c r="E213" s="15" t="s">
        <v>2556</v>
      </c>
      <c r="F213" s="15">
        <v>0.0</v>
      </c>
      <c r="G213" s="15" t="s">
        <v>44</v>
      </c>
      <c r="H213" s="15" t="s">
        <v>22</v>
      </c>
      <c r="I213" s="15" t="s">
        <v>941</v>
      </c>
      <c r="J213" s="15" t="s">
        <v>24</v>
      </c>
      <c r="K213" s="16">
        <v>0.0</v>
      </c>
      <c r="L213" s="16">
        <v>0.25</v>
      </c>
      <c r="M213" s="16">
        <v>0.25</v>
      </c>
      <c r="N213" s="17">
        <v>45165.0</v>
      </c>
      <c r="O213" s="18">
        <v>2.684</v>
      </c>
      <c r="P213" s="15" t="s">
        <v>33</v>
      </c>
      <c r="Q213" s="19">
        <f t="shared" si="1"/>
        <v>0.421</v>
      </c>
      <c r="R213" s="19">
        <f t="shared" si="4"/>
        <v>8.684930506</v>
      </c>
    </row>
    <row r="214">
      <c r="A214" s="8">
        <f t="shared" si="3"/>
        <v>213</v>
      </c>
      <c r="B214" s="8" t="s">
        <v>19</v>
      </c>
      <c r="C214" s="8" t="s">
        <v>3139</v>
      </c>
      <c r="D214" s="8" t="s">
        <v>5565</v>
      </c>
      <c r="E214" s="8" t="s">
        <v>2556</v>
      </c>
      <c r="F214" s="8">
        <v>0.0</v>
      </c>
      <c r="G214" s="8" t="s">
        <v>82</v>
      </c>
      <c r="H214" s="8" t="s">
        <v>22</v>
      </c>
      <c r="I214" s="8" t="s">
        <v>225</v>
      </c>
      <c r="J214" s="8" t="s">
        <v>24</v>
      </c>
      <c r="K214" s="9">
        <v>0.5</v>
      </c>
      <c r="L214" s="9">
        <v>0.5</v>
      </c>
      <c r="M214" s="9">
        <v>0.5</v>
      </c>
      <c r="N214" s="10">
        <v>45165.0</v>
      </c>
      <c r="O214" s="11">
        <v>1.53</v>
      </c>
      <c r="P214" s="8" t="s">
        <v>33</v>
      </c>
      <c r="Q214" s="12">
        <f t="shared" si="1"/>
        <v>0.265</v>
      </c>
      <c r="R214" s="12">
        <f t="shared" si="4"/>
        <v>8.949930506</v>
      </c>
    </row>
    <row r="215">
      <c r="A215" s="15">
        <f t="shared" si="3"/>
        <v>214</v>
      </c>
      <c r="B215" s="15" t="s">
        <v>19</v>
      </c>
      <c r="C215" s="15" t="s">
        <v>3140</v>
      </c>
      <c r="D215" s="15" t="s">
        <v>5564</v>
      </c>
      <c r="E215" s="15" t="s">
        <v>2573</v>
      </c>
      <c r="F215" s="15">
        <v>0.0</v>
      </c>
      <c r="G215" s="15" t="s">
        <v>38</v>
      </c>
      <c r="H215" s="15" t="s">
        <v>22</v>
      </c>
      <c r="I215" s="15" t="s">
        <v>894</v>
      </c>
      <c r="J215" s="15" t="s">
        <v>39</v>
      </c>
      <c r="K215" s="16">
        <v>-1.0</v>
      </c>
      <c r="L215" s="16">
        <v>0.2</v>
      </c>
      <c r="M215" s="16">
        <v>0.2</v>
      </c>
      <c r="N215" s="17">
        <v>45165.0</v>
      </c>
      <c r="O215" s="18">
        <v>1.85</v>
      </c>
      <c r="P215" s="15" t="s">
        <v>70</v>
      </c>
      <c r="Q215" s="19">
        <f t="shared" si="1"/>
        <v>0</v>
      </c>
      <c r="R215" s="19">
        <f t="shared" si="4"/>
        <v>8.949930506</v>
      </c>
    </row>
    <row r="216">
      <c r="A216" s="8">
        <f t="shared" si="3"/>
        <v>215</v>
      </c>
      <c r="B216" s="8" t="s">
        <v>19</v>
      </c>
      <c r="C216" s="8" t="s">
        <v>3141</v>
      </c>
      <c r="D216" s="8" t="s">
        <v>5565</v>
      </c>
      <c r="E216" s="8" t="s">
        <v>2556</v>
      </c>
      <c r="F216" s="8">
        <v>0.0</v>
      </c>
      <c r="G216" s="8" t="s">
        <v>121</v>
      </c>
      <c r="H216" s="8" t="s">
        <v>22</v>
      </c>
      <c r="I216" s="8" t="s">
        <v>225</v>
      </c>
      <c r="J216" s="8" t="s">
        <v>1522</v>
      </c>
      <c r="K216" s="9">
        <v>0.5</v>
      </c>
      <c r="L216" s="9">
        <v>1.0</v>
      </c>
      <c r="M216" s="9">
        <v>1.0</v>
      </c>
      <c r="N216" s="10">
        <v>45165.0</v>
      </c>
      <c r="O216" s="11">
        <v>1.3042</v>
      </c>
      <c r="P216" s="8" t="s">
        <v>33</v>
      </c>
      <c r="Q216" s="12">
        <f t="shared" si="1"/>
        <v>0.3042</v>
      </c>
      <c r="R216" s="12">
        <f t="shared" si="4"/>
        <v>9.254130506</v>
      </c>
    </row>
    <row r="217">
      <c r="A217" s="15">
        <f t="shared" si="3"/>
        <v>216</v>
      </c>
      <c r="B217" s="15" t="s">
        <v>19</v>
      </c>
      <c r="C217" s="15" t="s">
        <v>3142</v>
      </c>
      <c r="D217" s="15" t="s">
        <v>5565</v>
      </c>
      <c r="E217" s="15" t="s">
        <v>2660</v>
      </c>
      <c r="F217" s="15">
        <v>0.0</v>
      </c>
      <c r="G217" s="15" t="s">
        <v>124</v>
      </c>
      <c r="H217" s="15" t="s">
        <v>22</v>
      </c>
      <c r="I217" s="15" t="s">
        <v>892</v>
      </c>
      <c r="J217" s="15" t="s">
        <v>24</v>
      </c>
      <c r="K217" s="16">
        <v>0.0</v>
      </c>
      <c r="L217" s="16">
        <v>0.5</v>
      </c>
      <c r="M217" s="16">
        <v>0.5</v>
      </c>
      <c r="N217" s="17">
        <v>45167.0</v>
      </c>
      <c r="O217" s="18">
        <v>1.4</v>
      </c>
      <c r="P217" s="15" t="s">
        <v>33</v>
      </c>
      <c r="Q217" s="19">
        <f t="shared" si="1"/>
        <v>0.2</v>
      </c>
      <c r="R217" s="19">
        <f t="shared" si="4"/>
        <v>9.454130506</v>
      </c>
    </row>
    <row r="218">
      <c r="A218" s="8">
        <f t="shared" si="3"/>
        <v>217</v>
      </c>
      <c r="B218" s="8" t="s">
        <v>19</v>
      </c>
      <c r="C218" s="8" t="s">
        <v>3143</v>
      </c>
      <c r="D218" s="8" t="s">
        <v>5564</v>
      </c>
      <c r="E218" s="8" t="s">
        <v>2660</v>
      </c>
      <c r="F218" s="8">
        <v>0.0</v>
      </c>
      <c r="G218" s="8" t="s">
        <v>372</v>
      </c>
      <c r="H218" s="8" t="s">
        <v>22</v>
      </c>
      <c r="I218" s="8" t="s">
        <v>1150</v>
      </c>
      <c r="J218" s="8" t="s">
        <v>1851</v>
      </c>
      <c r="K218" s="9">
        <v>0.0</v>
      </c>
      <c r="L218" s="9">
        <v>0.5</v>
      </c>
      <c r="M218" s="9">
        <v>0.5</v>
      </c>
      <c r="N218" s="10">
        <v>45168.0</v>
      </c>
      <c r="O218" s="11">
        <v>1.75</v>
      </c>
      <c r="P218" s="8" t="s">
        <v>33</v>
      </c>
      <c r="Q218" s="12">
        <f t="shared" si="1"/>
        <v>0.375</v>
      </c>
      <c r="R218" s="12">
        <f t="shared" si="4"/>
        <v>9.829130506</v>
      </c>
    </row>
    <row r="219">
      <c r="A219" s="15">
        <f t="shared" si="3"/>
        <v>218</v>
      </c>
      <c r="B219" s="15" t="s">
        <v>19</v>
      </c>
      <c r="C219" s="15" t="s">
        <v>3144</v>
      </c>
      <c r="D219" s="15" t="s">
        <v>5565</v>
      </c>
      <c r="E219" s="15" t="s">
        <v>2556</v>
      </c>
      <c r="F219" s="15">
        <v>-2.0</v>
      </c>
      <c r="G219" s="15" t="s">
        <v>245</v>
      </c>
      <c r="H219" s="15" t="s">
        <v>22</v>
      </c>
      <c r="I219" s="15" t="s">
        <v>225</v>
      </c>
      <c r="J219" s="15" t="s">
        <v>24</v>
      </c>
      <c r="K219" s="16">
        <v>0.75</v>
      </c>
      <c r="L219" s="16">
        <v>0.75</v>
      </c>
      <c r="M219" s="16">
        <v>0.75</v>
      </c>
      <c r="N219" s="17">
        <v>45168.0</v>
      </c>
      <c r="O219" s="18">
        <v>1.775</v>
      </c>
      <c r="P219" s="15" t="s">
        <v>33</v>
      </c>
      <c r="Q219" s="19">
        <f t="shared" si="1"/>
        <v>0.58125</v>
      </c>
      <c r="R219" s="19">
        <f t="shared" si="4"/>
        <v>10.41038051</v>
      </c>
    </row>
    <row r="220">
      <c r="A220" s="8">
        <f t="shared" si="3"/>
        <v>219</v>
      </c>
      <c r="B220" s="8" t="s">
        <v>19</v>
      </c>
      <c r="C220" s="8" t="s">
        <v>3145</v>
      </c>
      <c r="D220" s="8" t="s">
        <v>5564</v>
      </c>
      <c r="E220" s="8" t="s">
        <v>2556</v>
      </c>
      <c r="F220" s="8">
        <v>-2.0</v>
      </c>
      <c r="G220" s="8" t="s">
        <v>703</v>
      </c>
      <c r="H220" s="8" t="s">
        <v>22</v>
      </c>
      <c r="I220" s="8" t="s">
        <v>225</v>
      </c>
      <c r="J220" s="8" t="s">
        <v>24</v>
      </c>
      <c r="K220" s="9">
        <v>0.75</v>
      </c>
      <c r="L220" s="9">
        <v>0.75</v>
      </c>
      <c r="M220" s="9">
        <v>0.75</v>
      </c>
      <c r="N220" s="10">
        <v>45168.0</v>
      </c>
      <c r="O220" s="11">
        <v>1.03624</v>
      </c>
      <c r="P220" s="8" t="s">
        <v>33</v>
      </c>
      <c r="Q220" s="12">
        <f t="shared" si="1"/>
        <v>0.02718</v>
      </c>
      <c r="R220" s="12">
        <f t="shared" si="4"/>
        <v>10.43756051</v>
      </c>
    </row>
    <row r="221">
      <c r="A221" s="15">
        <f t="shared" si="3"/>
        <v>220</v>
      </c>
      <c r="B221" s="15" t="s">
        <v>19</v>
      </c>
      <c r="C221" s="15" t="s">
        <v>3146</v>
      </c>
      <c r="D221" s="15" t="s">
        <v>5564</v>
      </c>
      <c r="E221" s="15" t="s">
        <v>2556</v>
      </c>
      <c r="F221" s="15">
        <v>0.0</v>
      </c>
      <c r="G221" s="15" t="s">
        <v>341</v>
      </c>
      <c r="H221" s="15" t="s">
        <v>22</v>
      </c>
      <c r="I221" s="15" t="s">
        <v>225</v>
      </c>
      <c r="J221" s="15" t="s">
        <v>39</v>
      </c>
      <c r="K221" s="16">
        <v>0.25</v>
      </c>
      <c r="L221" s="16">
        <v>0.25</v>
      </c>
      <c r="M221" s="16">
        <v>0.25</v>
      </c>
      <c r="N221" s="17">
        <v>45168.0</v>
      </c>
      <c r="O221" s="18">
        <v>1.9</v>
      </c>
      <c r="P221" s="15" t="s">
        <v>25</v>
      </c>
      <c r="Q221" s="19">
        <f t="shared" si="1"/>
        <v>-0.25</v>
      </c>
      <c r="R221" s="19">
        <f t="shared" si="4"/>
        <v>10.18756051</v>
      </c>
    </row>
    <row r="222">
      <c r="A222" s="8">
        <f t="shared" si="3"/>
        <v>221</v>
      </c>
      <c r="B222" s="8" t="s">
        <v>19</v>
      </c>
      <c r="C222" s="8" t="s">
        <v>3147</v>
      </c>
      <c r="D222" s="8" t="s">
        <v>5565</v>
      </c>
      <c r="E222" s="8" t="s">
        <v>2660</v>
      </c>
      <c r="F222" s="8">
        <v>-1.0</v>
      </c>
      <c r="G222" s="8" t="s">
        <v>28</v>
      </c>
      <c r="H222" s="8" t="s">
        <v>22</v>
      </c>
      <c r="I222" s="8" t="s">
        <v>892</v>
      </c>
      <c r="J222" s="8" t="s">
        <v>24</v>
      </c>
      <c r="K222" s="9">
        <v>0.0</v>
      </c>
      <c r="L222" s="9">
        <v>0.5</v>
      </c>
      <c r="M222" s="9">
        <v>0.5</v>
      </c>
      <c r="N222" s="10">
        <v>45168.0</v>
      </c>
      <c r="O222" s="11">
        <v>1.686</v>
      </c>
      <c r="P222" s="8" t="s">
        <v>33</v>
      </c>
      <c r="Q222" s="12">
        <f t="shared" si="1"/>
        <v>0.343</v>
      </c>
      <c r="R222" s="12">
        <f t="shared" si="4"/>
        <v>10.53056051</v>
      </c>
    </row>
    <row r="223">
      <c r="A223" s="15">
        <f t="shared" si="3"/>
        <v>222</v>
      </c>
      <c r="B223" s="15" t="s">
        <v>19</v>
      </c>
      <c r="C223" s="15" t="s">
        <v>3148</v>
      </c>
      <c r="D223" s="15" t="s">
        <v>5565</v>
      </c>
      <c r="E223" s="15" t="s">
        <v>2556</v>
      </c>
      <c r="F223" s="15">
        <v>-1.0</v>
      </c>
      <c r="G223" s="15" t="s">
        <v>319</v>
      </c>
      <c r="H223" s="15" t="s">
        <v>22</v>
      </c>
      <c r="I223" s="15" t="s">
        <v>225</v>
      </c>
      <c r="J223" s="15" t="s">
        <v>24</v>
      </c>
      <c r="K223" s="16">
        <v>0.5</v>
      </c>
      <c r="L223" s="16">
        <v>0.5</v>
      </c>
      <c r="M223" s="16">
        <v>0.5</v>
      </c>
      <c r="N223" s="17">
        <v>45168.0</v>
      </c>
      <c r="O223" s="18">
        <v>1.219</v>
      </c>
      <c r="P223" s="15" t="s">
        <v>33</v>
      </c>
      <c r="Q223" s="19">
        <f t="shared" si="1"/>
        <v>0.1095</v>
      </c>
      <c r="R223" s="19">
        <f t="shared" si="4"/>
        <v>10.64006051</v>
      </c>
    </row>
    <row r="224">
      <c r="A224" s="8">
        <f t="shared" si="3"/>
        <v>223</v>
      </c>
      <c r="B224" s="8" t="s">
        <v>19</v>
      </c>
      <c r="C224" s="8" t="s">
        <v>3149</v>
      </c>
      <c r="D224" s="8" t="s">
        <v>5565</v>
      </c>
      <c r="E224" s="8" t="s">
        <v>2556</v>
      </c>
      <c r="F224" s="8">
        <v>0.0</v>
      </c>
      <c r="G224" s="8" t="s">
        <v>157</v>
      </c>
      <c r="H224" s="8" t="s">
        <v>22</v>
      </c>
      <c r="I224" s="8" t="s">
        <v>225</v>
      </c>
      <c r="J224" s="8" t="s">
        <v>1851</v>
      </c>
      <c r="K224" s="9">
        <v>0.25</v>
      </c>
      <c r="L224" s="9">
        <v>0.25</v>
      </c>
      <c r="M224" s="9">
        <v>0.25</v>
      </c>
      <c r="N224" s="10">
        <v>45169.0</v>
      </c>
      <c r="O224" s="11">
        <v>1.8</v>
      </c>
      <c r="P224" s="8" t="s">
        <v>30</v>
      </c>
      <c r="Q224" s="12">
        <f t="shared" si="1"/>
        <v>0.1</v>
      </c>
      <c r="R224" s="12">
        <f t="shared" si="4"/>
        <v>10.74006051</v>
      </c>
    </row>
    <row r="225">
      <c r="A225" s="15">
        <f t="shared" si="3"/>
        <v>224</v>
      </c>
      <c r="B225" s="15" t="s">
        <v>19</v>
      </c>
      <c r="C225" s="15" t="s">
        <v>3150</v>
      </c>
      <c r="D225" s="15" t="s">
        <v>5564</v>
      </c>
      <c r="E225" s="15" t="s">
        <v>2660</v>
      </c>
      <c r="F225" s="15">
        <v>4</v>
      </c>
      <c r="G225" s="15" t="s">
        <v>513</v>
      </c>
      <c r="H225" s="15" t="s">
        <v>22</v>
      </c>
      <c r="I225" s="15" t="s">
        <v>1150</v>
      </c>
      <c r="J225" s="15" t="s">
        <v>24</v>
      </c>
      <c r="K225" s="16">
        <v>0.0</v>
      </c>
      <c r="L225" s="16">
        <v>0.5</v>
      </c>
      <c r="M225" s="16">
        <v>0.5</v>
      </c>
      <c r="N225" s="17">
        <v>45169.0</v>
      </c>
      <c r="O225" s="18">
        <v>1.307</v>
      </c>
      <c r="P225" s="15" t="s">
        <v>33</v>
      </c>
      <c r="Q225" s="19">
        <f t="shared" si="1"/>
        <v>0.1535</v>
      </c>
      <c r="R225" s="19">
        <f t="shared" si="4"/>
        <v>10.89356051</v>
      </c>
    </row>
    <row r="226">
      <c r="A226" s="8">
        <f t="shared" si="3"/>
        <v>225</v>
      </c>
      <c r="B226" s="8" t="s">
        <v>19</v>
      </c>
      <c r="C226" s="8" t="s">
        <v>3151</v>
      </c>
      <c r="D226" s="8" t="s">
        <v>5564</v>
      </c>
      <c r="E226" s="8" t="s">
        <v>2556</v>
      </c>
      <c r="F226" s="8">
        <v>0.0</v>
      </c>
      <c r="G226" s="8" t="s">
        <v>463</v>
      </c>
      <c r="H226" s="8" t="s">
        <v>22</v>
      </c>
      <c r="I226" s="8" t="s">
        <v>225</v>
      </c>
      <c r="J226" s="8" t="s">
        <v>24</v>
      </c>
      <c r="K226" s="9">
        <v>1.0</v>
      </c>
      <c r="L226" s="9">
        <v>0.25</v>
      </c>
      <c r="M226" s="9">
        <v>0.25</v>
      </c>
      <c r="N226" s="10">
        <v>45169.0</v>
      </c>
      <c r="O226" s="11">
        <v>1.486</v>
      </c>
      <c r="P226" s="8" t="s">
        <v>33</v>
      </c>
      <c r="Q226" s="12">
        <f t="shared" si="1"/>
        <v>0.1215</v>
      </c>
      <c r="R226" s="12">
        <f t="shared" si="4"/>
        <v>11.01506051</v>
      </c>
    </row>
    <row r="227">
      <c r="A227" s="15">
        <f t="shared" si="3"/>
        <v>226</v>
      </c>
      <c r="B227" s="15"/>
      <c r="C227" s="15"/>
      <c r="D227" s="15"/>
      <c r="E227" s="15"/>
      <c r="F227" s="15"/>
      <c r="G227" s="15"/>
      <c r="H227" s="15"/>
      <c r="I227" s="15"/>
      <c r="J227" s="15"/>
      <c r="K227" s="16"/>
      <c r="L227" s="16"/>
      <c r="M227" s="16"/>
      <c r="N227" s="17"/>
      <c r="O227" s="18"/>
      <c r="P227" s="15"/>
      <c r="Q227" s="19" t="str">
        <f t="shared" si="1"/>
        <v/>
      </c>
      <c r="R227" s="19">
        <f t="shared" si="4"/>
        <v>11.01506051</v>
      </c>
    </row>
    <row r="228">
      <c r="A228" s="8">
        <f t="shared" si="3"/>
        <v>227</v>
      </c>
      <c r="B228" s="8"/>
      <c r="C228" s="8"/>
      <c r="D228" s="8"/>
      <c r="E228" s="8"/>
      <c r="F228" s="8"/>
      <c r="G228" s="8"/>
      <c r="H228" s="8"/>
      <c r="I228" s="8"/>
      <c r="J228" s="8"/>
      <c r="K228" s="9"/>
      <c r="L228" s="9"/>
      <c r="M228" s="9"/>
      <c r="N228" s="10"/>
      <c r="O228" s="11"/>
      <c r="P228" s="8"/>
      <c r="Q228" s="12" t="str">
        <f t="shared" si="1"/>
        <v/>
      </c>
      <c r="R228" s="12">
        <f t="shared" si="4"/>
        <v>11.01506051</v>
      </c>
    </row>
    <row r="229">
      <c r="A229" s="15">
        <f t="shared" si="3"/>
        <v>228</v>
      </c>
      <c r="B229" s="15"/>
      <c r="C229" s="15"/>
      <c r="D229" s="15"/>
      <c r="E229" s="15"/>
      <c r="F229" s="15"/>
      <c r="G229" s="15"/>
      <c r="H229" s="15"/>
      <c r="I229" s="15"/>
      <c r="J229" s="15"/>
      <c r="K229" s="16"/>
      <c r="L229" s="16"/>
      <c r="M229" s="16"/>
      <c r="N229" s="17"/>
      <c r="O229" s="18"/>
      <c r="P229" s="15"/>
      <c r="Q229" s="19" t="str">
        <f t="shared" si="1"/>
        <v/>
      </c>
      <c r="R229" s="19">
        <f t="shared" si="4"/>
        <v>11.01506051</v>
      </c>
    </row>
    <row r="230">
      <c r="A230" s="8">
        <f t="shared" si="3"/>
        <v>229</v>
      </c>
      <c r="B230" s="8"/>
      <c r="C230" s="8"/>
      <c r="D230" s="8"/>
      <c r="E230" s="8"/>
      <c r="F230" s="8"/>
      <c r="G230" s="8"/>
      <c r="H230" s="8"/>
      <c r="I230" s="8"/>
      <c r="J230" s="8"/>
      <c r="K230" s="9"/>
      <c r="L230" s="9"/>
      <c r="M230" s="9"/>
      <c r="N230" s="10"/>
      <c r="O230" s="11"/>
      <c r="P230" s="8"/>
      <c r="Q230" s="12" t="str">
        <f t="shared" si="1"/>
        <v/>
      </c>
      <c r="R230" s="12">
        <f t="shared" si="4"/>
        <v>11.01506051</v>
      </c>
    </row>
    <row r="231">
      <c r="A231" s="15">
        <f t="shared" si="3"/>
        <v>230</v>
      </c>
      <c r="B231" s="15"/>
      <c r="C231" s="15"/>
      <c r="D231" s="15"/>
      <c r="E231" s="15"/>
      <c r="F231" s="15"/>
      <c r="G231" s="15"/>
      <c r="H231" s="15"/>
      <c r="I231" s="15"/>
      <c r="J231" s="15"/>
      <c r="K231" s="16"/>
      <c r="L231" s="16"/>
      <c r="M231" s="16"/>
      <c r="N231" s="17"/>
      <c r="O231" s="18"/>
      <c r="P231" s="15"/>
      <c r="Q231" s="19" t="str">
        <f t="shared" si="1"/>
        <v/>
      </c>
      <c r="R231" s="19">
        <f t="shared" si="4"/>
        <v>11.01506051</v>
      </c>
    </row>
    <row r="232">
      <c r="A232" s="8">
        <f t="shared" si="3"/>
        <v>231</v>
      </c>
      <c r="B232" s="8"/>
      <c r="C232" s="8"/>
      <c r="D232" s="8"/>
      <c r="E232" s="8"/>
      <c r="F232" s="8"/>
      <c r="G232" s="8"/>
      <c r="H232" s="8"/>
      <c r="I232" s="8"/>
      <c r="J232" s="8"/>
      <c r="K232" s="9"/>
      <c r="L232" s="9"/>
      <c r="M232" s="9"/>
      <c r="N232" s="10"/>
      <c r="O232" s="11"/>
      <c r="P232" s="8"/>
      <c r="Q232" s="12" t="str">
        <f t="shared" si="1"/>
        <v/>
      </c>
      <c r="R232" s="12">
        <f t="shared" si="4"/>
        <v>11.01506051</v>
      </c>
    </row>
    <row r="233">
      <c r="A233" s="15">
        <f t="shared" si="3"/>
        <v>232</v>
      </c>
      <c r="B233" s="15"/>
      <c r="C233" s="15"/>
      <c r="D233" s="15"/>
      <c r="E233" s="15"/>
      <c r="F233" s="15"/>
      <c r="G233" s="15"/>
      <c r="H233" s="15"/>
      <c r="I233" s="15"/>
      <c r="J233" s="15"/>
      <c r="K233" s="16"/>
      <c r="L233" s="16"/>
      <c r="M233" s="16"/>
      <c r="N233" s="17"/>
      <c r="O233" s="18"/>
      <c r="P233" s="15"/>
      <c r="Q233" s="19" t="str">
        <f t="shared" si="1"/>
        <v/>
      </c>
      <c r="R233" s="19">
        <f t="shared" si="4"/>
        <v>11.01506051</v>
      </c>
    </row>
    <row r="234">
      <c r="A234" s="8">
        <f t="shared" si="3"/>
        <v>233</v>
      </c>
      <c r="B234" s="8"/>
      <c r="C234" s="8"/>
      <c r="D234" s="8"/>
      <c r="E234" s="8"/>
      <c r="F234" s="8"/>
      <c r="G234" s="8"/>
      <c r="H234" s="8"/>
      <c r="I234" s="8"/>
      <c r="J234" s="8"/>
      <c r="K234" s="9"/>
      <c r="L234" s="9"/>
      <c r="M234" s="9"/>
      <c r="N234" s="10"/>
      <c r="O234" s="11"/>
      <c r="P234" s="8"/>
      <c r="Q234" s="12" t="str">
        <f t="shared" si="1"/>
        <v/>
      </c>
      <c r="R234" s="12">
        <f t="shared" si="4"/>
        <v>11.01506051</v>
      </c>
    </row>
    <row r="235">
      <c r="A235" s="15">
        <f t="shared" si="3"/>
        <v>234</v>
      </c>
      <c r="B235" s="15"/>
      <c r="C235" s="15"/>
      <c r="D235" s="15"/>
      <c r="E235" s="15"/>
      <c r="F235" s="15"/>
      <c r="G235" s="15"/>
      <c r="H235" s="15"/>
      <c r="I235" s="15"/>
      <c r="J235" s="15"/>
      <c r="K235" s="16"/>
      <c r="L235" s="16"/>
      <c r="M235" s="16"/>
      <c r="N235" s="17"/>
      <c r="O235" s="18"/>
      <c r="P235" s="15"/>
      <c r="Q235" s="19" t="str">
        <f t="shared" si="1"/>
        <v/>
      </c>
      <c r="R235" s="19">
        <f t="shared" si="4"/>
        <v>11.01506051</v>
      </c>
    </row>
    <row r="236">
      <c r="A236" s="8">
        <f t="shared" si="3"/>
        <v>235</v>
      </c>
      <c r="B236" s="8"/>
      <c r="C236" s="8"/>
      <c r="D236" s="8"/>
      <c r="E236" s="8"/>
      <c r="F236" s="8"/>
      <c r="G236" s="8"/>
      <c r="H236" s="8"/>
      <c r="I236" s="8"/>
      <c r="J236" s="8"/>
      <c r="K236" s="9"/>
      <c r="L236" s="9"/>
      <c r="M236" s="9"/>
      <c r="N236" s="10"/>
      <c r="O236" s="11"/>
      <c r="P236" s="8"/>
      <c r="Q236" s="12" t="str">
        <f t="shared" si="1"/>
        <v/>
      </c>
      <c r="R236" s="12">
        <f t="shared" si="4"/>
        <v>11.01506051</v>
      </c>
    </row>
    <row r="237">
      <c r="A237" s="15">
        <f t="shared" si="3"/>
        <v>236</v>
      </c>
      <c r="B237" s="15"/>
      <c r="C237" s="15"/>
      <c r="D237" s="15"/>
      <c r="E237" s="15"/>
      <c r="F237" s="15"/>
      <c r="G237" s="15"/>
      <c r="H237" s="15"/>
      <c r="I237" s="15"/>
      <c r="J237" s="15"/>
      <c r="K237" s="16"/>
      <c r="L237" s="16"/>
      <c r="M237" s="16"/>
      <c r="N237" s="17"/>
      <c r="O237" s="18"/>
      <c r="P237" s="15"/>
      <c r="Q237" s="19" t="str">
        <f t="shared" si="1"/>
        <v/>
      </c>
      <c r="R237" s="19">
        <f t="shared" si="4"/>
        <v>11.01506051</v>
      </c>
    </row>
    <row r="238">
      <c r="A238" s="8">
        <f t="shared" si="3"/>
        <v>237</v>
      </c>
      <c r="B238" s="8"/>
      <c r="C238" s="8"/>
      <c r="D238" s="8"/>
      <c r="E238" s="8"/>
      <c r="F238" s="8"/>
      <c r="G238" s="8"/>
      <c r="H238" s="8"/>
      <c r="I238" s="8"/>
      <c r="J238" s="8"/>
      <c r="K238" s="9"/>
      <c r="L238" s="9"/>
      <c r="M238" s="9"/>
      <c r="N238" s="10"/>
      <c r="O238" s="11"/>
      <c r="P238" s="8"/>
      <c r="Q238" s="12" t="str">
        <f t="shared" si="1"/>
        <v/>
      </c>
      <c r="R238" s="12">
        <f t="shared" si="4"/>
        <v>11.01506051</v>
      </c>
    </row>
    <row r="239">
      <c r="A239" s="15">
        <f t="shared" si="3"/>
        <v>238</v>
      </c>
      <c r="B239" s="15"/>
      <c r="C239" s="15"/>
      <c r="D239" s="15"/>
      <c r="E239" s="15"/>
      <c r="F239" s="15"/>
      <c r="G239" s="15"/>
      <c r="H239" s="15"/>
      <c r="I239" s="15"/>
      <c r="J239" s="15"/>
      <c r="K239" s="16"/>
      <c r="L239" s="16"/>
      <c r="M239" s="16"/>
      <c r="N239" s="17"/>
      <c r="O239" s="18"/>
      <c r="P239" s="15"/>
      <c r="Q239" s="19" t="str">
        <f t="shared" si="1"/>
        <v/>
      </c>
      <c r="R239" s="19">
        <f t="shared" si="4"/>
        <v>11.01506051</v>
      </c>
    </row>
    <row r="240">
      <c r="A240" s="8">
        <f t="shared" si="3"/>
        <v>239</v>
      </c>
      <c r="B240" s="8"/>
      <c r="C240" s="8"/>
      <c r="D240" s="8"/>
      <c r="E240" s="8"/>
      <c r="F240" s="8"/>
      <c r="G240" s="8"/>
      <c r="H240" s="8"/>
      <c r="I240" s="8"/>
      <c r="J240" s="8"/>
      <c r="K240" s="9"/>
      <c r="L240" s="9"/>
      <c r="M240" s="9"/>
      <c r="N240" s="10"/>
      <c r="O240" s="11"/>
      <c r="P240" s="8"/>
      <c r="Q240" s="12" t="str">
        <f t="shared" si="1"/>
        <v/>
      </c>
      <c r="R240" s="12">
        <f t="shared" si="4"/>
        <v>11.01506051</v>
      </c>
    </row>
    <row r="241">
      <c r="A241" s="15">
        <f t="shared" si="3"/>
        <v>240</v>
      </c>
      <c r="B241" s="15"/>
      <c r="C241" s="15"/>
      <c r="D241" s="15"/>
      <c r="E241" s="15"/>
      <c r="F241" s="15"/>
      <c r="G241" s="15"/>
      <c r="H241" s="15"/>
      <c r="I241" s="15"/>
      <c r="J241" s="15"/>
      <c r="K241" s="16"/>
      <c r="L241" s="16"/>
      <c r="M241" s="16"/>
      <c r="N241" s="17"/>
      <c r="O241" s="18"/>
      <c r="P241" s="15"/>
      <c r="Q241" s="19" t="str">
        <f t="shared" si="1"/>
        <v/>
      </c>
      <c r="R241" s="19">
        <f t="shared" si="4"/>
        <v>11.01506051</v>
      </c>
    </row>
    <row r="242">
      <c r="A242" s="8">
        <f t="shared" si="3"/>
        <v>241</v>
      </c>
      <c r="B242" s="8"/>
      <c r="C242" s="8"/>
      <c r="D242" s="8"/>
      <c r="E242" s="8"/>
      <c r="F242" s="8"/>
      <c r="G242" s="8"/>
      <c r="H242" s="8"/>
      <c r="I242" s="8"/>
      <c r="J242" s="8"/>
      <c r="K242" s="9"/>
      <c r="L242" s="9"/>
      <c r="M242" s="9"/>
      <c r="N242" s="10"/>
      <c r="O242" s="11"/>
      <c r="P242" s="8"/>
      <c r="Q242" s="12" t="str">
        <f t="shared" si="1"/>
        <v/>
      </c>
      <c r="R242" s="12">
        <f t="shared" si="4"/>
        <v>11.01506051</v>
      </c>
    </row>
    <row r="243">
      <c r="A243" s="15">
        <f t="shared" si="3"/>
        <v>242</v>
      </c>
      <c r="B243" s="15"/>
      <c r="C243" s="15"/>
      <c r="D243" s="15"/>
      <c r="E243" s="15"/>
      <c r="F243" s="15"/>
      <c r="G243" s="15"/>
      <c r="H243" s="15"/>
      <c r="I243" s="15"/>
      <c r="J243" s="15"/>
      <c r="K243" s="16"/>
      <c r="L243" s="16"/>
      <c r="M243" s="16"/>
      <c r="N243" s="17"/>
      <c r="O243" s="18"/>
      <c r="P243" s="15"/>
      <c r="Q243" s="19" t="str">
        <f t="shared" si="1"/>
        <v/>
      </c>
      <c r="R243" s="19">
        <f t="shared" si="4"/>
        <v>11.01506051</v>
      </c>
    </row>
    <row r="244">
      <c r="A244" s="8">
        <f t="shared" si="3"/>
        <v>243</v>
      </c>
      <c r="B244" s="8"/>
      <c r="C244" s="8"/>
      <c r="D244" s="8"/>
      <c r="E244" s="8"/>
      <c r="F244" s="8"/>
      <c r="G244" s="8"/>
      <c r="H244" s="8"/>
      <c r="I244" s="8"/>
      <c r="J244" s="8"/>
      <c r="K244" s="9"/>
      <c r="L244" s="9"/>
      <c r="M244" s="9"/>
      <c r="N244" s="10"/>
      <c r="O244" s="11"/>
      <c r="P244" s="8"/>
      <c r="Q244" s="12" t="str">
        <f t="shared" si="1"/>
        <v/>
      </c>
      <c r="R244" s="12">
        <f t="shared" si="4"/>
        <v>11.01506051</v>
      </c>
    </row>
    <row r="245">
      <c r="A245" s="15">
        <f t="shared" si="3"/>
        <v>244</v>
      </c>
      <c r="B245" s="15"/>
      <c r="C245" s="15"/>
      <c r="D245" s="15"/>
      <c r="E245" s="15"/>
      <c r="F245" s="15"/>
      <c r="G245" s="15"/>
      <c r="H245" s="15"/>
      <c r="I245" s="15"/>
      <c r="J245" s="15"/>
      <c r="K245" s="16"/>
      <c r="L245" s="16"/>
      <c r="M245" s="16"/>
      <c r="N245" s="17"/>
      <c r="O245" s="18"/>
      <c r="P245" s="15"/>
      <c r="Q245" s="19" t="str">
        <f t="shared" si="1"/>
        <v/>
      </c>
      <c r="R245" s="19">
        <f t="shared" si="4"/>
        <v>11.01506051</v>
      </c>
    </row>
    <row r="246">
      <c r="A246" s="8">
        <f t="shared" si="3"/>
        <v>245</v>
      </c>
      <c r="B246" s="8"/>
      <c r="C246" s="8"/>
      <c r="D246" s="8"/>
      <c r="E246" s="8"/>
      <c r="F246" s="8"/>
      <c r="G246" s="8"/>
      <c r="H246" s="8"/>
      <c r="I246" s="8"/>
      <c r="J246" s="8"/>
      <c r="K246" s="9"/>
      <c r="L246" s="9"/>
      <c r="M246" s="9"/>
      <c r="N246" s="10"/>
      <c r="O246" s="11"/>
      <c r="P246" s="8"/>
      <c r="Q246" s="12" t="str">
        <f t="shared" si="1"/>
        <v/>
      </c>
      <c r="R246" s="12">
        <f t="shared" si="4"/>
        <v>11.01506051</v>
      </c>
    </row>
    <row r="247">
      <c r="A247" s="15">
        <f t="shared" si="3"/>
        <v>246</v>
      </c>
      <c r="B247" s="15"/>
      <c r="C247" s="15"/>
      <c r="D247" s="15"/>
      <c r="E247" s="15"/>
      <c r="F247" s="15"/>
      <c r="G247" s="15"/>
      <c r="H247" s="15"/>
      <c r="I247" s="15"/>
      <c r="J247" s="15"/>
      <c r="K247" s="16"/>
      <c r="L247" s="16"/>
      <c r="M247" s="16"/>
      <c r="N247" s="17"/>
      <c r="O247" s="18"/>
      <c r="P247" s="15"/>
      <c r="Q247" s="19" t="str">
        <f t="shared" si="1"/>
        <v/>
      </c>
      <c r="R247" s="19">
        <f t="shared" si="4"/>
        <v>11.01506051</v>
      </c>
    </row>
    <row r="248">
      <c r="A248" s="8">
        <f t="shared" si="3"/>
        <v>247</v>
      </c>
      <c r="B248" s="8"/>
      <c r="C248" s="8"/>
      <c r="D248" s="8"/>
      <c r="E248" s="8"/>
      <c r="F248" s="8"/>
      <c r="G248" s="8"/>
      <c r="H248" s="8"/>
      <c r="I248" s="8"/>
      <c r="J248" s="8"/>
      <c r="K248" s="9"/>
      <c r="L248" s="9"/>
      <c r="M248" s="9"/>
      <c r="N248" s="10"/>
      <c r="O248" s="11"/>
      <c r="P248" s="8"/>
      <c r="Q248" s="12" t="str">
        <f t="shared" si="1"/>
        <v/>
      </c>
      <c r="R248" s="12">
        <f t="shared" si="4"/>
        <v>11.01506051</v>
      </c>
    </row>
    <row r="249">
      <c r="A249" s="15">
        <f t="shared" si="3"/>
        <v>248</v>
      </c>
      <c r="B249" s="15"/>
      <c r="C249" s="15"/>
      <c r="D249" s="15"/>
      <c r="E249" s="15"/>
      <c r="F249" s="15"/>
      <c r="G249" s="15"/>
      <c r="H249" s="15"/>
      <c r="I249" s="15"/>
      <c r="J249" s="15"/>
      <c r="K249" s="16"/>
      <c r="L249" s="16"/>
      <c r="M249" s="16"/>
      <c r="N249" s="17"/>
      <c r="O249" s="18"/>
      <c r="P249" s="15"/>
      <c r="Q249" s="19" t="str">
        <f t="shared" si="1"/>
        <v/>
      </c>
      <c r="R249" s="19">
        <f t="shared" si="4"/>
        <v>11.01506051</v>
      </c>
    </row>
    <row r="250">
      <c r="A250" s="8">
        <f t="shared" si="3"/>
        <v>249</v>
      </c>
      <c r="B250" s="8"/>
      <c r="C250" s="8"/>
      <c r="D250" s="8"/>
      <c r="E250" s="8"/>
      <c r="F250" s="8"/>
      <c r="G250" s="8"/>
      <c r="H250" s="8"/>
      <c r="I250" s="8"/>
      <c r="J250" s="8"/>
      <c r="K250" s="9"/>
      <c r="L250" s="9"/>
      <c r="M250" s="9"/>
      <c r="N250" s="10"/>
      <c r="O250" s="11"/>
      <c r="P250" s="8"/>
      <c r="Q250" s="12" t="str">
        <f t="shared" si="1"/>
        <v/>
      </c>
      <c r="R250" s="12">
        <f t="shared" si="4"/>
        <v>11.01506051</v>
      </c>
    </row>
    <row r="251">
      <c r="A251" s="15">
        <f t="shared" si="3"/>
        <v>250</v>
      </c>
      <c r="B251" s="15"/>
      <c r="C251" s="15"/>
      <c r="D251" s="15"/>
      <c r="E251" s="15"/>
      <c r="F251" s="15"/>
      <c r="G251" s="15"/>
      <c r="H251" s="15"/>
      <c r="I251" s="15"/>
      <c r="J251" s="15"/>
      <c r="K251" s="16"/>
      <c r="L251" s="16"/>
      <c r="M251" s="16"/>
      <c r="N251" s="17"/>
      <c r="O251" s="18"/>
      <c r="P251" s="15"/>
      <c r="Q251" s="19" t="str">
        <f t="shared" si="1"/>
        <v/>
      </c>
      <c r="R251" s="19">
        <f t="shared" si="4"/>
        <v>11.01506051</v>
      </c>
    </row>
    <row r="252">
      <c r="A252" s="8">
        <f t="shared" si="3"/>
        <v>251</v>
      </c>
      <c r="B252" s="8"/>
      <c r="C252" s="8"/>
      <c r="D252" s="8"/>
      <c r="E252" s="8"/>
      <c r="F252" s="8"/>
      <c r="G252" s="8"/>
      <c r="H252" s="8"/>
      <c r="I252" s="8"/>
      <c r="J252" s="8"/>
      <c r="K252" s="9"/>
      <c r="L252" s="9"/>
      <c r="M252" s="9"/>
      <c r="N252" s="10"/>
      <c r="O252" s="11"/>
      <c r="P252" s="8"/>
      <c r="Q252" s="12" t="str">
        <f t="shared" si="1"/>
        <v/>
      </c>
      <c r="R252" s="12">
        <f t="shared" si="4"/>
        <v>11.01506051</v>
      </c>
    </row>
    <row r="253">
      <c r="A253" s="15">
        <f t="shared" si="3"/>
        <v>252</v>
      </c>
      <c r="B253" s="15"/>
      <c r="C253" s="15"/>
      <c r="D253" s="15"/>
      <c r="E253" s="15"/>
      <c r="F253" s="15"/>
      <c r="G253" s="15"/>
      <c r="H253" s="15"/>
      <c r="I253" s="15"/>
      <c r="J253" s="15"/>
      <c r="K253" s="16"/>
      <c r="L253" s="16"/>
      <c r="M253" s="16"/>
      <c r="N253" s="17"/>
      <c r="O253" s="18"/>
      <c r="P253" s="15"/>
      <c r="Q253" s="19" t="str">
        <f t="shared" si="1"/>
        <v/>
      </c>
      <c r="R253" s="19">
        <f t="shared" si="4"/>
        <v>11.01506051</v>
      </c>
    </row>
    <row r="254">
      <c r="A254" s="8">
        <f t="shared" si="3"/>
        <v>253</v>
      </c>
      <c r="B254" s="8"/>
      <c r="C254" s="8"/>
      <c r="D254" s="8"/>
      <c r="E254" s="8"/>
      <c r="F254" s="8"/>
      <c r="G254" s="8"/>
      <c r="H254" s="8"/>
      <c r="I254" s="8"/>
      <c r="J254" s="8"/>
      <c r="K254" s="9"/>
      <c r="L254" s="9"/>
      <c r="M254" s="9"/>
      <c r="N254" s="10"/>
      <c r="O254" s="11"/>
      <c r="P254" s="8"/>
      <c r="Q254" s="12" t="str">
        <f t="shared" si="1"/>
        <v/>
      </c>
      <c r="R254" s="12">
        <f t="shared" si="4"/>
        <v>11.01506051</v>
      </c>
    </row>
    <row r="255">
      <c r="A255" s="15">
        <f t="shared" si="3"/>
        <v>254</v>
      </c>
      <c r="B255" s="15"/>
      <c r="C255" s="15"/>
      <c r="D255" s="15"/>
      <c r="E255" s="15"/>
      <c r="F255" s="15"/>
      <c r="G255" s="15"/>
      <c r="H255" s="15"/>
      <c r="I255" s="15"/>
      <c r="J255" s="15"/>
      <c r="K255" s="16"/>
      <c r="L255" s="16"/>
      <c r="M255" s="16"/>
      <c r="N255" s="17"/>
      <c r="O255" s="18"/>
      <c r="P255" s="15"/>
      <c r="Q255" s="19" t="str">
        <f t="shared" si="1"/>
        <v/>
      </c>
      <c r="R255" s="19">
        <f t="shared" si="4"/>
        <v>11.01506051</v>
      </c>
    </row>
    <row r="256">
      <c r="A256" s="8">
        <f t="shared" si="3"/>
        <v>255</v>
      </c>
      <c r="B256" s="8"/>
      <c r="C256" s="8"/>
      <c r="D256" s="8"/>
      <c r="E256" s="8"/>
      <c r="F256" s="8"/>
      <c r="G256" s="8"/>
      <c r="H256" s="8"/>
      <c r="I256" s="8"/>
      <c r="J256" s="8"/>
      <c r="K256" s="9"/>
      <c r="L256" s="9"/>
      <c r="M256" s="9"/>
      <c r="N256" s="10"/>
      <c r="O256" s="11"/>
      <c r="P256" s="8"/>
      <c r="Q256" s="12" t="str">
        <f t="shared" si="1"/>
        <v/>
      </c>
      <c r="R256" s="12">
        <f t="shared" si="4"/>
        <v>11.01506051</v>
      </c>
    </row>
    <row r="257">
      <c r="A257" s="15">
        <f t="shared" si="3"/>
        <v>256</v>
      </c>
      <c r="B257" s="15"/>
      <c r="C257" s="15"/>
      <c r="D257" s="15"/>
      <c r="E257" s="15"/>
      <c r="F257" s="15"/>
      <c r="G257" s="15"/>
      <c r="H257" s="15"/>
      <c r="I257" s="15"/>
      <c r="J257" s="15"/>
      <c r="K257" s="16"/>
      <c r="L257" s="16"/>
      <c r="M257" s="16"/>
      <c r="N257" s="17"/>
      <c r="O257" s="18"/>
      <c r="P257" s="15"/>
      <c r="Q257" s="19" t="str">
        <f t="shared" si="1"/>
        <v/>
      </c>
      <c r="R257" s="19">
        <f t="shared" si="4"/>
        <v>11.01506051</v>
      </c>
    </row>
    <row r="258">
      <c r="A258" s="8">
        <f t="shared" si="3"/>
        <v>257</v>
      </c>
      <c r="B258" s="8"/>
      <c r="C258" s="8"/>
      <c r="D258" s="8"/>
      <c r="E258" s="8"/>
      <c r="F258" s="8"/>
      <c r="G258" s="8"/>
      <c r="H258" s="8"/>
      <c r="I258" s="8"/>
      <c r="J258" s="8"/>
      <c r="K258" s="9"/>
      <c r="L258" s="9"/>
      <c r="M258" s="9"/>
      <c r="N258" s="10"/>
      <c r="O258" s="11"/>
      <c r="P258" s="8"/>
      <c r="Q258" s="12" t="str">
        <f t="shared" si="1"/>
        <v/>
      </c>
      <c r="R258" s="12">
        <f t="shared" si="4"/>
        <v>11.01506051</v>
      </c>
    </row>
    <row r="259">
      <c r="A259" s="15">
        <f t="shared" si="3"/>
        <v>258</v>
      </c>
      <c r="B259" s="15"/>
      <c r="C259" s="15"/>
      <c r="D259" s="15"/>
      <c r="E259" s="15"/>
      <c r="F259" s="15"/>
      <c r="G259" s="15"/>
      <c r="H259" s="15"/>
      <c r="I259" s="15"/>
      <c r="J259" s="15"/>
      <c r="K259" s="16"/>
      <c r="L259" s="16"/>
      <c r="M259" s="16"/>
      <c r="N259" s="17"/>
      <c r="O259" s="18"/>
      <c r="P259" s="15"/>
      <c r="Q259" s="19" t="str">
        <f t="shared" si="1"/>
        <v/>
      </c>
      <c r="R259" s="19">
        <f t="shared" si="4"/>
        <v>11.01506051</v>
      </c>
    </row>
    <row r="260">
      <c r="A260" s="8">
        <f t="shared" si="3"/>
        <v>259</v>
      </c>
      <c r="B260" s="8"/>
      <c r="C260" s="8"/>
      <c r="D260" s="8"/>
      <c r="E260" s="8"/>
      <c r="F260" s="8"/>
      <c r="G260" s="8"/>
      <c r="H260" s="8"/>
      <c r="I260" s="8"/>
      <c r="J260" s="8"/>
      <c r="K260" s="9"/>
      <c r="L260" s="9"/>
      <c r="M260" s="9"/>
      <c r="N260" s="10"/>
      <c r="O260" s="11"/>
      <c r="P260" s="8"/>
      <c r="Q260" s="12" t="str">
        <f t="shared" si="1"/>
        <v/>
      </c>
      <c r="R260" s="12">
        <f t="shared" si="4"/>
        <v>11.01506051</v>
      </c>
    </row>
    <row r="261">
      <c r="A261" s="15">
        <f t="shared" si="3"/>
        <v>260</v>
      </c>
      <c r="B261" s="15"/>
      <c r="C261" s="15"/>
      <c r="D261" s="15"/>
      <c r="E261" s="15"/>
      <c r="F261" s="15"/>
      <c r="G261" s="15"/>
      <c r="H261" s="15"/>
      <c r="I261" s="15"/>
      <c r="J261" s="15"/>
      <c r="K261" s="16"/>
      <c r="L261" s="16"/>
      <c r="M261" s="16"/>
      <c r="N261" s="17"/>
      <c r="O261" s="18"/>
      <c r="P261" s="15"/>
      <c r="Q261" s="19" t="str">
        <f t="shared" si="1"/>
        <v/>
      </c>
      <c r="R261" s="19">
        <f t="shared" si="4"/>
        <v>11.01506051</v>
      </c>
    </row>
    <row r="262">
      <c r="A262" s="8">
        <f t="shared" si="3"/>
        <v>261</v>
      </c>
      <c r="B262" s="8"/>
      <c r="C262" s="8"/>
      <c r="D262" s="8"/>
      <c r="E262" s="8"/>
      <c r="F262" s="8"/>
      <c r="G262" s="8"/>
      <c r="H262" s="8"/>
      <c r="I262" s="8"/>
      <c r="J262" s="8"/>
      <c r="K262" s="9"/>
      <c r="L262" s="9"/>
      <c r="M262" s="9"/>
      <c r="N262" s="10"/>
      <c r="O262" s="11"/>
      <c r="P262" s="8"/>
      <c r="Q262" s="12" t="str">
        <f t="shared" si="1"/>
        <v/>
      </c>
      <c r="R262" s="12">
        <f t="shared" si="4"/>
        <v>11.01506051</v>
      </c>
    </row>
    <row r="263">
      <c r="A263" s="15">
        <f t="shared" si="3"/>
        <v>262</v>
      </c>
      <c r="B263" s="15"/>
      <c r="C263" s="15"/>
      <c r="D263" s="15"/>
      <c r="E263" s="15"/>
      <c r="F263" s="15"/>
      <c r="G263" s="15"/>
      <c r="H263" s="15"/>
      <c r="I263" s="15"/>
      <c r="J263" s="15"/>
      <c r="K263" s="16"/>
      <c r="L263" s="16"/>
      <c r="M263" s="16"/>
      <c r="N263" s="17"/>
      <c r="O263" s="18"/>
      <c r="P263" s="15"/>
      <c r="Q263" s="19" t="str">
        <f t="shared" si="1"/>
        <v/>
      </c>
      <c r="R263" s="19">
        <f t="shared" si="4"/>
        <v>11.01506051</v>
      </c>
    </row>
    <row r="264">
      <c r="A264" s="8">
        <f t="shared" si="3"/>
        <v>263</v>
      </c>
      <c r="B264" s="8"/>
      <c r="C264" s="8"/>
      <c r="D264" s="8"/>
      <c r="E264" s="8"/>
      <c r="F264" s="8"/>
      <c r="G264" s="8"/>
      <c r="H264" s="8"/>
      <c r="I264" s="8"/>
      <c r="J264" s="8"/>
      <c r="K264" s="9"/>
      <c r="L264" s="9"/>
      <c r="M264" s="9"/>
      <c r="N264" s="10"/>
      <c r="O264" s="11"/>
      <c r="P264" s="8"/>
      <c r="Q264" s="12" t="str">
        <f t="shared" si="1"/>
        <v/>
      </c>
      <c r="R264" s="12">
        <f t="shared" si="4"/>
        <v>11.01506051</v>
      </c>
    </row>
    <row r="265">
      <c r="A265" s="15">
        <f t="shared" si="3"/>
        <v>264</v>
      </c>
      <c r="B265" s="15"/>
      <c r="C265" s="15"/>
      <c r="D265" s="15"/>
      <c r="E265" s="15"/>
      <c r="F265" s="15"/>
      <c r="G265" s="15"/>
      <c r="H265" s="15"/>
      <c r="I265" s="15"/>
      <c r="J265" s="15"/>
      <c r="K265" s="16"/>
      <c r="L265" s="16"/>
      <c r="M265" s="16"/>
      <c r="N265" s="17"/>
      <c r="O265" s="18"/>
      <c r="P265" s="15"/>
      <c r="Q265" s="19" t="str">
        <f t="shared" si="1"/>
        <v/>
      </c>
      <c r="R265" s="19">
        <f t="shared" si="4"/>
        <v>11.01506051</v>
      </c>
    </row>
    <row r="266">
      <c r="A266" s="8">
        <f t="shared" si="3"/>
        <v>265</v>
      </c>
      <c r="B266" s="8"/>
      <c r="C266" s="8"/>
      <c r="D266" s="8"/>
      <c r="E266" s="8"/>
      <c r="F266" s="8"/>
      <c r="G266" s="8"/>
      <c r="H266" s="8"/>
      <c r="I266" s="8"/>
      <c r="J266" s="8"/>
      <c r="K266" s="9"/>
      <c r="L266" s="9"/>
      <c r="M266" s="9"/>
      <c r="N266" s="10"/>
      <c r="O266" s="11"/>
      <c r="P266" s="8"/>
      <c r="Q266" s="12" t="str">
        <f t="shared" si="1"/>
        <v/>
      </c>
      <c r="R266" s="12">
        <f t="shared" si="4"/>
        <v>11.01506051</v>
      </c>
    </row>
    <row r="267">
      <c r="A267" s="15">
        <f t="shared" si="3"/>
        <v>266</v>
      </c>
      <c r="B267" s="15"/>
      <c r="C267" s="15"/>
      <c r="D267" s="15"/>
      <c r="E267" s="15"/>
      <c r="F267" s="15"/>
      <c r="G267" s="15"/>
      <c r="H267" s="15"/>
      <c r="I267" s="15"/>
      <c r="J267" s="15"/>
      <c r="K267" s="16"/>
      <c r="L267" s="16"/>
      <c r="M267" s="16"/>
      <c r="N267" s="17"/>
      <c r="O267" s="18"/>
      <c r="P267" s="15"/>
      <c r="Q267" s="19" t="str">
        <f t="shared" si="1"/>
        <v/>
      </c>
      <c r="R267" s="19">
        <f t="shared" si="4"/>
        <v>11.01506051</v>
      </c>
    </row>
    <row r="268">
      <c r="A268" s="8">
        <f t="shared" si="3"/>
        <v>267</v>
      </c>
      <c r="B268" s="8"/>
      <c r="C268" s="8"/>
      <c r="D268" s="8"/>
      <c r="E268" s="8"/>
      <c r="F268" s="8"/>
      <c r="G268" s="8"/>
      <c r="H268" s="8"/>
      <c r="I268" s="8"/>
      <c r="J268" s="8"/>
      <c r="K268" s="9"/>
      <c r="L268" s="9"/>
      <c r="M268" s="9"/>
      <c r="N268" s="10"/>
      <c r="O268" s="8"/>
      <c r="P268" s="8"/>
      <c r="Q268" s="12" t="str">
        <f t="shared" si="1"/>
        <v/>
      </c>
      <c r="R268" s="12">
        <f t="shared" si="4"/>
        <v>11.01506051</v>
      </c>
    </row>
    <row r="269">
      <c r="A269" s="15">
        <f t="shared" si="3"/>
        <v>268</v>
      </c>
      <c r="B269" s="15"/>
      <c r="C269" s="15"/>
      <c r="D269" s="15"/>
      <c r="E269" s="15"/>
      <c r="F269" s="15"/>
      <c r="G269" s="15"/>
      <c r="H269" s="15"/>
      <c r="I269" s="15"/>
      <c r="J269" s="15"/>
      <c r="K269" s="16"/>
      <c r="L269" s="16"/>
      <c r="M269" s="16"/>
      <c r="N269" s="17"/>
      <c r="O269" s="18"/>
      <c r="P269" s="15"/>
      <c r="Q269" s="19" t="str">
        <f t="shared" si="1"/>
        <v/>
      </c>
      <c r="R269" s="19">
        <f t="shared" si="4"/>
        <v>11.01506051</v>
      </c>
    </row>
    <row r="270">
      <c r="A270" s="8">
        <f t="shared" si="3"/>
        <v>269</v>
      </c>
      <c r="B270" s="8"/>
      <c r="C270" s="8"/>
      <c r="D270" s="8"/>
      <c r="E270" s="8"/>
      <c r="F270" s="8"/>
      <c r="G270" s="8"/>
      <c r="H270" s="8"/>
      <c r="I270" s="8"/>
      <c r="J270" s="8"/>
      <c r="K270" s="9"/>
      <c r="L270" s="9"/>
      <c r="M270" s="9"/>
      <c r="N270" s="10"/>
      <c r="O270" s="11"/>
      <c r="P270" s="8"/>
      <c r="Q270" s="12" t="str">
        <f t="shared" si="1"/>
        <v/>
      </c>
      <c r="R270" s="12">
        <f t="shared" si="4"/>
        <v>11.01506051</v>
      </c>
    </row>
    <row r="271">
      <c r="A271" s="15">
        <f t="shared" si="3"/>
        <v>270</v>
      </c>
      <c r="B271" s="15"/>
      <c r="C271" s="15"/>
      <c r="D271" s="15"/>
      <c r="E271" s="15"/>
      <c r="F271" s="15"/>
      <c r="G271" s="15"/>
      <c r="H271" s="15"/>
      <c r="I271" s="15"/>
      <c r="J271" s="15"/>
      <c r="K271" s="16"/>
      <c r="L271" s="16"/>
      <c r="M271" s="16"/>
      <c r="N271" s="17"/>
      <c r="O271" s="15"/>
      <c r="P271" s="15"/>
      <c r="Q271" s="19" t="str">
        <f t="shared" si="1"/>
        <v/>
      </c>
      <c r="R271" s="19">
        <f t="shared" si="4"/>
        <v>11.01506051</v>
      </c>
    </row>
    <row r="272">
      <c r="A272" s="8">
        <f t="shared" si="3"/>
        <v>271</v>
      </c>
      <c r="B272" s="8"/>
      <c r="C272" s="8"/>
      <c r="D272" s="8"/>
      <c r="E272" s="8"/>
      <c r="F272" s="8"/>
      <c r="G272" s="8"/>
      <c r="H272" s="8"/>
      <c r="I272" s="8"/>
      <c r="J272" s="8"/>
      <c r="K272" s="9"/>
      <c r="L272" s="9"/>
      <c r="M272" s="9"/>
      <c r="N272" s="10"/>
      <c r="O272" s="8"/>
      <c r="P272" s="8"/>
      <c r="Q272" s="12" t="str">
        <f t="shared" si="1"/>
        <v/>
      </c>
      <c r="R272" s="12">
        <f t="shared" si="4"/>
        <v>11.01506051</v>
      </c>
    </row>
    <row r="273">
      <c r="A273" s="15">
        <f t="shared" si="3"/>
        <v>272</v>
      </c>
      <c r="B273" s="15"/>
      <c r="C273" s="15"/>
      <c r="D273" s="15"/>
      <c r="E273" s="15"/>
      <c r="F273" s="15"/>
      <c r="G273" s="15"/>
      <c r="H273" s="15"/>
      <c r="I273" s="15"/>
      <c r="J273" s="15"/>
      <c r="K273" s="16"/>
      <c r="L273" s="16"/>
      <c r="M273" s="16"/>
      <c r="N273" s="17"/>
      <c r="O273" s="18"/>
      <c r="P273" s="15"/>
      <c r="Q273" s="19" t="str">
        <f t="shared" si="1"/>
        <v/>
      </c>
      <c r="R273" s="19">
        <f t="shared" si="4"/>
        <v>11.01506051</v>
      </c>
    </row>
    <row r="274">
      <c r="A274" s="8">
        <f t="shared" si="3"/>
        <v>273</v>
      </c>
      <c r="B274" s="8"/>
      <c r="C274" s="8"/>
      <c r="D274" s="8"/>
      <c r="E274" s="8"/>
      <c r="F274" s="8"/>
      <c r="G274" s="8"/>
      <c r="H274" s="8"/>
      <c r="I274" s="8"/>
      <c r="J274" s="8"/>
      <c r="K274" s="9"/>
      <c r="L274" s="9"/>
      <c r="M274" s="9"/>
      <c r="N274" s="10"/>
      <c r="O274" s="8"/>
      <c r="P274" s="8"/>
      <c r="Q274" s="12" t="str">
        <f t="shared" si="1"/>
        <v/>
      </c>
      <c r="R274" s="12">
        <f t="shared" si="4"/>
        <v>11.01506051</v>
      </c>
    </row>
    <row r="275">
      <c r="A275" s="15">
        <f t="shared" si="3"/>
        <v>274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6"/>
      <c r="L275" s="16"/>
      <c r="M275" s="16"/>
      <c r="N275" s="17"/>
      <c r="O275" s="18"/>
      <c r="P275" s="15"/>
      <c r="Q275" s="19" t="str">
        <f t="shared" si="1"/>
        <v/>
      </c>
      <c r="R275" s="19">
        <f t="shared" si="4"/>
        <v>11.01506051</v>
      </c>
    </row>
    <row r="276">
      <c r="A276" s="8">
        <f t="shared" si="3"/>
        <v>275</v>
      </c>
      <c r="B276" s="8"/>
      <c r="C276" s="8"/>
      <c r="D276" s="8"/>
      <c r="E276" s="8"/>
      <c r="F276" s="8"/>
      <c r="G276" s="8"/>
      <c r="H276" s="8"/>
      <c r="I276" s="8"/>
      <c r="J276" s="8"/>
      <c r="K276" s="9"/>
      <c r="L276" s="9"/>
      <c r="M276" s="9"/>
      <c r="N276" s="10"/>
      <c r="O276" s="8"/>
      <c r="P276" s="8"/>
      <c r="Q276" s="12" t="str">
        <f t="shared" si="1"/>
        <v/>
      </c>
      <c r="R276" s="12">
        <f t="shared" si="4"/>
        <v>11.01506051</v>
      </c>
    </row>
    <row r="277">
      <c r="A277" s="15">
        <f t="shared" si="3"/>
        <v>276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6"/>
      <c r="L277" s="16"/>
      <c r="M277" s="16"/>
      <c r="N277" s="17"/>
      <c r="O277" s="18"/>
      <c r="P277" s="15"/>
      <c r="Q277" s="19" t="str">
        <f t="shared" si="1"/>
        <v/>
      </c>
      <c r="R277" s="19">
        <f t="shared" si="4"/>
        <v>11.01506051</v>
      </c>
    </row>
    <row r="278">
      <c r="A278" s="8">
        <f t="shared" si="3"/>
        <v>277</v>
      </c>
      <c r="B278" s="8"/>
      <c r="C278" s="8"/>
      <c r="D278" s="8"/>
      <c r="E278" s="8"/>
      <c r="F278" s="8"/>
      <c r="G278" s="8"/>
      <c r="H278" s="8"/>
      <c r="I278" s="8"/>
      <c r="J278" s="8"/>
      <c r="K278" s="9"/>
      <c r="L278" s="9"/>
      <c r="M278" s="9"/>
      <c r="N278" s="10"/>
      <c r="O278" s="8"/>
      <c r="P278" s="8"/>
      <c r="Q278" s="12" t="str">
        <f t="shared" si="1"/>
        <v/>
      </c>
      <c r="R278" s="12">
        <f t="shared" si="4"/>
        <v>11.01506051</v>
      </c>
    </row>
    <row r="279">
      <c r="A279" s="15">
        <f t="shared" si="3"/>
        <v>278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6"/>
      <c r="L279" s="16"/>
      <c r="M279" s="16"/>
      <c r="N279" s="17"/>
      <c r="O279" s="18"/>
      <c r="P279" s="15"/>
      <c r="Q279" s="19" t="str">
        <f t="shared" si="1"/>
        <v/>
      </c>
      <c r="R279" s="19">
        <f t="shared" si="4"/>
        <v>11.01506051</v>
      </c>
    </row>
    <row r="280">
      <c r="A280" s="8">
        <f t="shared" si="3"/>
        <v>279</v>
      </c>
      <c r="B280" s="8"/>
      <c r="C280" s="96"/>
      <c r="D280" s="114"/>
      <c r="E280" s="114"/>
      <c r="F280" s="114"/>
      <c r="G280" s="8"/>
      <c r="H280" s="8"/>
      <c r="I280" s="8"/>
      <c r="J280" s="8"/>
      <c r="K280" s="9"/>
      <c r="L280" s="9"/>
      <c r="M280" s="9"/>
      <c r="N280" s="10"/>
      <c r="O280" s="11"/>
      <c r="P280" s="8"/>
      <c r="Q280" s="12" t="str">
        <f t="shared" si="1"/>
        <v/>
      </c>
      <c r="R280" s="12">
        <f t="shared" si="4"/>
        <v>11.01506051</v>
      </c>
    </row>
    <row r="281">
      <c r="A281" s="15">
        <f t="shared" si="3"/>
        <v>280</v>
      </c>
      <c r="B281" s="15"/>
      <c r="C281" s="15"/>
      <c r="D281" s="15"/>
      <c r="E281" s="15"/>
      <c r="F281" s="15"/>
      <c r="G281" s="15"/>
      <c r="H281" s="15"/>
      <c r="I281" s="15"/>
      <c r="J281" s="15"/>
      <c r="K281" s="16"/>
      <c r="L281" s="16"/>
      <c r="M281" s="16"/>
      <c r="N281" s="17"/>
      <c r="O281" s="18"/>
      <c r="P281" s="15"/>
      <c r="Q281" s="19" t="str">
        <f t="shared" si="1"/>
        <v/>
      </c>
      <c r="R281" s="19">
        <f t="shared" si="4"/>
        <v>11.01506051</v>
      </c>
    </row>
    <row r="282">
      <c r="A282" s="8">
        <f t="shared" si="3"/>
        <v>281</v>
      </c>
      <c r="B282" s="8"/>
      <c r="C282" s="8"/>
      <c r="D282" s="8"/>
      <c r="E282" s="8"/>
      <c r="F282" s="8"/>
      <c r="G282" s="8"/>
      <c r="H282" s="8"/>
      <c r="I282" s="8"/>
      <c r="J282" s="8"/>
      <c r="K282" s="9"/>
      <c r="L282" s="9"/>
      <c r="M282" s="9"/>
      <c r="N282" s="10"/>
      <c r="O282" s="8"/>
      <c r="P282" s="8"/>
      <c r="Q282" s="12" t="str">
        <f t="shared" si="1"/>
        <v/>
      </c>
      <c r="R282" s="12">
        <f t="shared" si="4"/>
        <v>11.01506051</v>
      </c>
    </row>
    <row r="283">
      <c r="A283" s="15">
        <f t="shared" si="3"/>
        <v>282</v>
      </c>
      <c r="B283" s="15"/>
      <c r="C283" s="15"/>
      <c r="D283" s="15"/>
      <c r="E283" s="15"/>
      <c r="F283" s="15"/>
      <c r="G283" s="15"/>
      <c r="H283" s="15"/>
      <c r="I283" s="15"/>
      <c r="J283" s="15"/>
      <c r="K283" s="16"/>
      <c r="L283" s="16"/>
      <c r="M283" s="16"/>
      <c r="N283" s="17"/>
      <c r="O283" s="18"/>
      <c r="P283" s="15"/>
      <c r="Q283" s="19" t="str">
        <f t="shared" si="1"/>
        <v/>
      </c>
      <c r="R283" s="19">
        <f t="shared" si="4"/>
        <v>11.01506051</v>
      </c>
    </row>
    <row r="284">
      <c r="A284" s="8">
        <f t="shared" si="3"/>
        <v>283</v>
      </c>
      <c r="B284" s="8"/>
      <c r="C284" s="8"/>
      <c r="D284" s="8"/>
      <c r="E284" s="8"/>
      <c r="F284" s="8"/>
      <c r="G284" s="8"/>
      <c r="H284" s="8"/>
      <c r="I284" s="8"/>
      <c r="J284" s="8"/>
      <c r="K284" s="9"/>
      <c r="L284" s="9"/>
      <c r="M284" s="9"/>
      <c r="N284" s="10"/>
      <c r="O284" s="8"/>
      <c r="P284" s="8"/>
      <c r="Q284" s="12" t="str">
        <f t="shared" si="1"/>
        <v/>
      </c>
      <c r="R284" s="12">
        <f t="shared" si="4"/>
        <v>11.01506051</v>
      </c>
    </row>
    <row r="285">
      <c r="A285" s="15">
        <f t="shared" si="3"/>
        <v>284</v>
      </c>
      <c r="B285" s="15"/>
      <c r="C285" s="15"/>
      <c r="D285" s="15"/>
      <c r="E285" s="15"/>
      <c r="F285" s="15"/>
      <c r="G285" s="15"/>
      <c r="H285" s="15"/>
      <c r="I285" s="15"/>
      <c r="J285" s="15"/>
      <c r="K285" s="16"/>
      <c r="L285" s="16"/>
      <c r="M285" s="16"/>
      <c r="N285" s="17"/>
      <c r="O285" s="15"/>
      <c r="P285" s="15"/>
      <c r="Q285" s="19" t="str">
        <f t="shared" si="1"/>
        <v/>
      </c>
      <c r="R285" s="19">
        <f t="shared" si="4"/>
        <v>11.01506051</v>
      </c>
    </row>
    <row r="286">
      <c r="A286" s="8">
        <f t="shared" si="3"/>
        <v>285</v>
      </c>
      <c r="B286" s="8"/>
      <c r="C286" s="8"/>
      <c r="D286" s="8"/>
      <c r="E286" s="8"/>
      <c r="F286" s="8"/>
      <c r="G286" s="8"/>
      <c r="H286" s="8"/>
      <c r="I286" s="8"/>
      <c r="J286" s="8"/>
      <c r="K286" s="9"/>
      <c r="L286" s="9"/>
      <c r="M286" s="9"/>
      <c r="N286" s="10"/>
      <c r="O286" s="11"/>
      <c r="P286" s="8"/>
      <c r="Q286" s="12" t="str">
        <f t="shared" si="1"/>
        <v/>
      </c>
      <c r="R286" s="12">
        <f t="shared" si="4"/>
        <v>11.01506051</v>
      </c>
    </row>
    <row r="287">
      <c r="A287" s="15">
        <f t="shared" si="3"/>
        <v>286</v>
      </c>
      <c r="B287" s="15"/>
      <c r="C287" s="15"/>
      <c r="D287" s="15"/>
      <c r="E287" s="15"/>
      <c r="F287" s="15"/>
      <c r="G287" s="15"/>
      <c r="H287" s="15"/>
      <c r="I287" s="15"/>
      <c r="J287" s="15"/>
      <c r="K287" s="16"/>
      <c r="L287" s="16"/>
      <c r="M287" s="16"/>
      <c r="N287" s="17"/>
      <c r="O287" s="18"/>
      <c r="P287" s="15"/>
      <c r="Q287" s="19" t="str">
        <f t="shared" si="1"/>
        <v/>
      </c>
      <c r="R287" s="19">
        <f t="shared" si="4"/>
        <v>11.01506051</v>
      </c>
    </row>
    <row r="288">
      <c r="A288" s="8">
        <f t="shared" si="3"/>
        <v>287</v>
      </c>
      <c r="B288" s="8"/>
      <c r="C288" s="8"/>
      <c r="D288" s="8"/>
      <c r="E288" s="8"/>
      <c r="F288" s="8"/>
      <c r="G288" s="8"/>
      <c r="H288" s="8"/>
      <c r="I288" s="8"/>
      <c r="J288" s="8"/>
      <c r="K288" s="9"/>
      <c r="L288" s="9"/>
      <c r="M288" s="9"/>
      <c r="N288" s="10"/>
      <c r="O288" s="11"/>
      <c r="P288" s="8"/>
      <c r="Q288" s="12" t="str">
        <f t="shared" si="1"/>
        <v/>
      </c>
      <c r="R288" s="12">
        <f t="shared" si="4"/>
        <v>11.01506051</v>
      </c>
    </row>
    <row r="289">
      <c r="A289" s="15">
        <f t="shared" si="3"/>
        <v>288</v>
      </c>
      <c r="B289" s="15"/>
      <c r="C289" s="15"/>
      <c r="D289" s="15"/>
      <c r="E289" s="15"/>
      <c r="F289" s="15"/>
      <c r="G289" s="15"/>
      <c r="H289" s="15"/>
      <c r="I289" s="15"/>
      <c r="J289" s="15"/>
      <c r="K289" s="16"/>
      <c r="L289" s="16"/>
      <c r="M289" s="16"/>
      <c r="N289" s="17"/>
      <c r="O289" s="15"/>
      <c r="P289" s="15"/>
      <c r="Q289" s="19" t="str">
        <f t="shared" si="1"/>
        <v/>
      </c>
      <c r="R289" s="19">
        <f t="shared" si="4"/>
        <v>11.01506051</v>
      </c>
    </row>
    <row r="290">
      <c r="A290" s="8">
        <f t="shared" si="3"/>
        <v>289</v>
      </c>
      <c r="B290" s="8"/>
      <c r="C290" s="8"/>
      <c r="D290" s="8"/>
      <c r="E290" s="8"/>
      <c r="F290" s="8"/>
      <c r="G290" s="8"/>
      <c r="H290" s="8"/>
      <c r="I290" s="8"/>
      <c r="J290" s="8"/>
      <c r="K290" s="9"/>
      <c r="L290" s="9"/>
      <c r="M290" s="9"/>
      <c r="N290" s="10"/>
      <c r="O290" s="8"/>
      <c r="P290" s="8"/>
      <c r="Q290" s="12" t="str">
        <f t="shared" si="1"/>
        <v/>
      </c>
      <c r="R290" s="12">
        <f t="shared" si="4"/>
        <v>11.01506051</v>
      </c>
    </row>
    <row r="291">
      <c r="A291" s="15">
        <f t="shared" si="3"/>
        <v>290</v>
      </c>
      <c r="B291" s="15"/>
      <c r="C291" s="15"/>
      <c r="D291" s="15"/>
      <c r="E291" s="15"/>
      <c r="F291" s="15"/>
      <c r="G291" s="15"/>
      <c r="H291" s="15"/>
      <c r="I291" s="15"/>
      <c r="J291" s="15"/>
      <c r="K291" s="16"/>
      <c r="L291" s="16"/>
      <c r="M291" s="16"/>
      <c r="N291" s="17"/>
      <c r="O291" s="18"/>
      <c r="P291" s="15"/>
      <c r="Q291" s="19" t="str">
        <f t="shared" si="1"/>
        <v/>
      </c>
      <c r="R291" s="19">
        <f t="shared" si="4"/>
        <v>11.01506051</v>
      </c>
    </row>
    <row r="292">
      <c r="A292" s="8">
        <f t="shared" si="3"/>
        <v>291</v>
      </c>
      <c r="B292" s="8"/>
      <c r="C292" s="8"/>
      <c r="D292" s="8"/>
      <c r="E292" s="8"/>
      <c r="F292" s="8"/>
      <c r="G292" s="8"/>
      <c r="H292" s="8"/>
      <c r="I292" s="8"/>
      <c r="J292" s="8"/>
      <c r="K292" s="9"/>
      <c r="L292" s="9"/>
      <c r="M292" s="9"/>
      <c r="N292" s="10"/>
      <c r="O292" s="11"/>
      <c r="P292" s="8"/>
      <c r="Q292" s="12" t="str">
        <f t="shared" si="1"/>
        <v/>
      </c>
      <c r="R292" s="12">
        <f t="shared" si="4"/>
        <v>11.01506051</v>
      </c>
    </row>
    <row r="293">
      <c r="A293" s="15">
        <f t="shared" si="3"/>
        <v>292</v>
      </c>
      <c r="B293" s="15"/>
      <c r="C293" s="15"/>
      <c r="D293" s="15"/>
      <c r="E293" s="15"/>
      <c r="F293" s="15"/>
      <c r="G293" s="15"/>
      <c r="H293" s="15"/>
      <c r="I293" s="15"/>
      <c r="J293" s="15"/>
      <c r="K293" s="16"/>
      <c r="L293" s="16"/>
      <c r="M293" s="16"/>
      <c r="N293" s="17"/>
      <c r="O293" s="18"/>
      <c r="P293" s="15"/>
      <c r="Q293" s="19" t="str">
        <f t="shared" si="1"/>
        <v/>
      </c>
      <c r="R293" s="19">
        <f t="shared" si="4"/>
        <v>11.01506051</v>
      </c>
    </row>
    <row r="294">
      <c r="A294" s="8">
        <f t="shared" si="3"/>
        <v>293</v>
      </c>
      <c r="B294" s="8"/>
      <c r="C294" s="8"/>
      <c r="D294" s="8"/>
      <c r="E294" s="8"/>
      <c r="F294" s="8"/>
      <c r="G294" s="8"/>
      <c r="H294" s="8"/>
      <c r="I294" s="8"/>
      <c r="J294" s="8"/>
      <c r="K294" s="9"/>
      <c r="L294" s="9"/>
      <c r="M294" s="9"/>
      <c r="N294" s="10"/>
      <c r="O294" s="11"/>
      <c r="P294" s="8"/>
      <c r="Q294" s="12" t="str">
        <f t="shared" si="1"/>
        <v/>
      </c>
      <c r="R294" s="12">
        <f t="shared" si="4"/>
        <v>11.01506051</v>
      </c>
    </row>
    <row r="295">
      <c r="A295" s="15">
        <f t="shared" si="3"/>
        <v>294</v>
      </c>
      <c r="B295" s="15"/>
      <c r="C295" s="15"/>
      <c r="D295" s="15"/>
      <c r="E295" s="15"/>
      <c r="F295" s="15"/>
      <c r="G295" s="15"/>
      <c r="H295" s="15"/>
      <c r="I295" s="15"/>
      <c r="J295" s="15"/>
      <c r="K295" s="16"/>
      <c r="L295" s="16"/>
      <c r="M295" s="16"/>
      <c r="N295" s="17"/>
      <c r="O295" s="15"/>
      <c r="P295" s="15"/>
      <c r="Q295" s="19" t="str">
        <f t="shared" si="1"/>
        <v/>
      </c>
      <c r="R295" s="19">
        <f t="shared" si="4"/>
        <v>11.01506051</v>
      </c>
    </row>
    <row r="296">
      <c r="A296" s="8">
        <f t="shared" si="3"/>
        <v>295</v>
      </c>
      <c r="B296" s="8"/>
      <c r="C296" s="8"/>
      <c r="D296" s="8"/>
      <c r="E296" s="8"/>
      <c r="F296" s="8"/>
      <c r="G296" s="8"/>
      <c r="H296" s="8"/>
      <c r="I296" s="8"/>
      <c r="J296" s="8"/>
      <c r="K296" s="9"/>
      <c r="L296" s="9"/>
      <c r="M296" s="9"/>
      <c r="N296" s="10"/>
      <c r="O296" s="8"/>
      <c r="P296" s="8"/>
      <c r="Q296" s="12" t="str">
        <f t="shared" si="1"/>
        <v/>
      </c>
      <c r="R296" s="12">
        <f t="shared" si="4"/>
        <v>11.01506051</v>
      </c>
    </row>
    <row r="297">
      <c r="A297" s="15">
        <f t="shared" si="3"/>
        <v>296</v>
      </c>
      <c r="B297" s="15"/>
      <c r="C297" s="15"/>
      <c r="D297" s="15"/>
      <c r="E297" s="15"/>
      <c r="F297" s="15"/>
      <c r="G297" s="15"/>
      <c r="H297" s="15"/>
      <c r="I297" s="15"/>
      <c r="J297" s="15"/>
      <c r="K297" s="16"/>
      <c r="L297" s="16"/>
      <c r="M297" s="16"/>
      <c r="N297" s="17"/>
      <c r="O297" s="15"/>
      <c r="P297" s="15"/>
      <c r="Q297" s="19" t="str">
        <f t="shared" si="1"/>
        <v/>
      </c>
      <c r="R297" s="19">
        <f t="shared" si="4"/>
        <v>11.01506051</v>
      </c>
    </row>
    <row r="298">
      <c r="A298" s="8">
        <f t="shared" si="3"/>
        <v>297</v>
      </c>
      <c r="B298" s="8"/>
      <c r="C298" s="8"/>
      <c r="D298" s="8"/>
      <c r="E298" s="8"/>
      <c r="F298" s="8"/>
      <c r="G298" s="8"/>
      <c r="H298" s="8"/>
      <c r="I298" s="8"/>
      <c r="J298" s="8"/>
      <c r="K298" s="9"/>
      <c r="L298" s="9"/>
      <c r="M298" s="9"/>
      <c r="N298" s="10"/>
      <c r="O298" s="8"/>
      <c r="P298" s="8"/>
      <c r="Q298" s="12" t="str">
        <f t="shared" si="1"/>
        <v/>
      </c>
      <c r="R298" s="12">
        <f t="shared" si="4"/>
        <v>11.01506051</v>
      </c>
    </row>
    <row r="299">
      <c r="A299" s="15">
        <f t="shared" si="3"/>
        <v>298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6"/>
      <c r="L299" s="16"/>
      <c r="M299" s="16"/>
      <c r="N299" s="17"/>
      <c r="O299" s="15"/>
      <c r="P299" s="15"/>
      <c r="Q299" s="19" t="str">
        <f t="shared" si="1"/>
        <v/>
      </c>
      <c r="R299" s="19">
        <f t="shared" si="4"/>
        <v>11.01506051</v>
      </c>
    </row>
    <row r="300">
      <c r="A300" s="8">
        <f t="shared" si="3"/>
        <v>299</v>
      </c>
      <c r="B300" s="8"/>
      <c r="C300" s="8"/>
      <c r="D300" s="8"/>
      <c r="E300" s="8"/>
      <c r="F300" s="8"/>
      <c r="G300" s="8"/>
      <c r="H300" s="8"/>
      <c r="I300" s="8"/>
      <c r="J300" s="8"/>
      <c r="K300" s="9"/>
      <c r="L300" s="9"/>
      <c r="M300" s="9"/>
      <c r="N300" s="10"/>
      <c r="O300" s="8"/>
      <c r="P300" s="8"/>
      <c r="Q300" s="12" t="str">
        <f t="shared" si="1"/>
        <v/>
      </c>
      <c r="R300" s="12">
        <f t="shared" si="4"/>
        <v>11.01506051</v>
      </c>
    </row>
    <row r="301">
      <c r="A301" s="15">
        <f t="shared" si="3"/>
        <v>300</v>
      </c>
      <c r="B301" s="15"/>
      <c r="C301" s="15"/>
      <c r="D301" s="15"/>
      <c r="E301" s="15"/>
      <c r="F301" s="15"/>
      <c r="G301" s="15"/>
      <c r="H301" s="15"/>
      <c r="I301" s="15"/>
      <c r="J301" s="15"/>
      <c r="K301" s="16"/>
      <c r="L301" s="16"/>
      <c r="M301" s="16"/>
      <c r="N301" s="17"/>
      <c r="O301" s="15"/>
      <c r="P301" s="15"/>
      <c r="Q301" s="19" t="str">
        <f t="shared" si="1"/>
        <v/>
      </c>
      <c r="R301" s="19">
        <f t="shared" si="4"/>
        <v>11.01506051</v>
      </c>
    </row>
    <row r="302">
      <c r="A302" s="8">
        <f t="shared" si="3"/>
        <v>301</v>
      </c>
      <c r="B302" s="8"/>
      <c r="C302" s="8"/>
      <c r="D302" s="8"/>
      <c r="E302" s="8"/>
      <c r="F302" s="8"/>
      <c r="G302" s="8"/>
      <c r="H302" s="8"/>
      <c r="I302" s="8"/>
      <c r="J302" s="8"/>
      <c r="K302" s="9"/>
      <c r="L302" s="9"/>
      <c r="M302" s="9"/>
      <c r="N302" s="10"/>
      <c r="O302" s="8"/>
      <c r="P302" s="8"/>
      <c r="Q302" s="12" t="str">
        <f t="shared" si="1"/>
        <v/>
      </c>
      <c r="R302" s="12">
        <f t="shared" si="4"/>
        <v>11.01506051</v>
      </c>
    </row>
    <row r="303">
      <c r="A303" s="15">
        <f t="shared" si="3"/>
        <v>302</v>
      </c>
      <c r="B303" s="15"/>
      <c r="C303" s="15"/>
      <c r="D303" s="15"/>
      <c r="E303" s="15"/>
      <c r="F303" s="15"/>
      <c r="G303" s="15"/>
      <c r="H303" s="15"/>
      <c r="I303" s="15"/>
      <c r="J303" s="15"/>
      <c r="K303" s="16"/>
      <c r="L303" s="16"/>
      <c r="M303" s="16"/>
      <c r="N303" s="17"/>
      <c r="O303" s="15"/>
      <c r="P303" s="15"/>
      <c r="Q303" s="19" t="str">
        <f t="shared" si="1"/>
        <v/>
      </c>
      <c r="R303" s="19">
        <f t="shared" si="4"/>
        <v>11.01506051</v>
      </c>
    </row>
    <row r="304">
      <c r="A304" s="8">
        <f t="shared" si="3"/>
        <v>303</v>
      </c>
      <c r="B304" s="8"/>
      <c r="C304" s="8"/>
      <c r="D304" s="8"/>
      <c r="E304" s="8"/>
      <c r="F304" s="8"/>
      <c r="G304" s="8"/>
      <c r="H304" s="8"/>
      <c r="I304" s="8"/>
      <c r="J304" s="8"/>
      <c r="K304" s="9"/>
      <c r="L304" s="9"/>
      <c r="M304" s="9"/>
      <c r="N304" s="10"/>
      <c r="O304" s="8"/>
      <c r="P304" s="8"/>
      <c r="Q304" s="12" t="str">
        <f t="shared" si="1"/>
        <v/>
      </c>
      <c r="R304" s="12">
        <f t="shared" si="4"/>
        <v>11.01506051</v>
      </c>
    </row>
    <row r="305">
      <c r="A305" s="15">
        <f t="shared" si="3"/>
        <v>304</v>
      </c>
      <c r="B305" s="15"/>
      <c r="C305" s="15"/>
      <c r="D305" s="15"/>
      <c r="E305" s="15"/>
      <c r="F305" s="15"/>
      <c r="G305" s="15"/>
      <c r="H305" s="15"/>
      <c r="I305" s="15"/>
      <c r="J305" s="15"/>
      <c r="K305" s="16"/>
      <c r="L305" s="16"/>
      <c r="M305" s="16"/>
      <c r="N305" s="17"/>
      <c r="O305" s="15"/>
      <c r="P305" s="15"/>
      <c r="Q305" s="19" t="str">
        <f t="shared" si="1"/>
        <v/>
      </c>
      <c r="R305" s="19">
        <f t="shared" si="4"/>
        <v>11.01506051</v>
      </c>
    </row>
    <row r="306">
      <c r="A306" s="8">
        <f t="shared" si="3"/>
        <v>305</v>
      </c>
      <c r="B306" s="8"/>
      <c r="C306" s="8"/>
      <c r="D306" s="8"/>
      <c r="E306" s="8"/>
      <c r="F306" s="8"/>
      <c r="G306" s="8"/>
      <c r="H306" s="8"/>
      <c r="I306" s="8"/>
      <c r="J306" s="8"/>
      <c r="K306" s="9"/>
      <c r="L306" s="9"/>
      <c r="M306" s="9"/>
      <c r="N306" s="10"/>
      <c r="O306" s="8"/>
      <c r="P306" s="8"/>
      <c r="Q306" s="12" t="str">
        <f t="shared" si="1"/>
        <v/>
      </c>
      <c r="R306" s="12">
        <f t="shared" si="4"/>
        <v>11.01506051</v>
      </c>
    </row>
    <row r="307">
      <c r="A307" s="15">
        <f t="shared" si="3"/>
        <v>306</v>
      </c>
      <c r="B307" s="15"/>
      <c r="C307" s="15"/>
      <c r="D307" s="15"/>
      <c r="E307" s="15"/>
      <c r="F307" s="15"/>
      <c r="G307" s="15"/>
      <c r="H307" s="15"/>
      <c r="I307" s="15"/>
      <c r="J307" s="15"/>
      <c r="K307" s="16"/>
      <c r="L307" s="16"/>
      <c r="M307" s="16"/>
      <c r="N307" s="17"/>
      <c r="O307" s="15"/>
      <c r="P307" s="15"/>
      <c r="Q307" s="19" t="str">
        <f t="shared" si="1"/>
        <v/>
      </c>
      <c r="R307" s="19">
        <f t="shared" si="4"/>
        <v>11.01506051</v>
      </c>
    </row>
    <row r="308">
      <c r="A308" s="8">
        <f t="shared" si="3"/>
        <v>307</v>
      </c>
      <c r="B308" s="8"/>
      <c r="C308" s="8"/>
      <c r="D308" s="8"/>
      <c r="E308" s="8"/>
      <c r="F308" s="8"/>
      <c r="G308" s="8"/>
      <c r="H308" s="8"/>
      <c r="I308" s="8"/>
      <c r="J308" s="8"/>
      <c r="K308" s="9"/>
      <c r="L308" s="9"/>
      <c r="M308" s="9"/>
      <c r="N308" s="10"/>
      <c r="O308" s="8"/>
      <c r="P308" s="8"/>
      <c r="Q308" s="12" t="str">
        <f t="shared" si="1"/>
        <v/>
      </c>
      <c r="R308" s="12">
        <f t="shared" si="4"/>
        <v>11.01506051</v>
      </c>
    </row>
    <row r="309">
      <c r="A309" s="15">
        <f t="shared" si="3"/>
        <v>308</v>
      </c>
      <c r="B309" s="15"/>
      <c r="C309" s="15"/>
      <c r="D309" s="15"/>
      <c r="E309" s="15"/>
      <c r="F309" s="15"/>
      <c r="G309" s="15"/>
      <c r="H309" s="15"/>
      <c r="I309" s="15"/>
      <c r="J309" s="15"/>
      <c r="K309" s="16"/>
      <c r="L309" s="16"/>
      <c r="M309" s="16"/>
      <c r="N309" s="17"/>
      <c r="O309" s="15"/>
      <c r="P309" s="15"/>
      <c r="Q309" s="19" t="str">
        <f t="shared" si="1"/>
        <v/>
      </c>
      <c r="R309" s="19">
        <f t="shared" si="4"/>
        <v>11.01506051</v>
      </c>
    </row>
    <row r="310">
      <c r="A310" s="8">
        <f t="shared" si="3"/>
        <v>309</v>
      </c>
      <c r="B310" s="8"/>
      <c r="C310" s="8"/>
      <c r="D310" s="8"/>
      <c r="E310" s="8"/>
      <c r="F310" s="8"/>
      <c r="G310" s="8"/>
      <c r="H310" s="8"/>
      <c r="I310" s="8"/>
      <c r="J310" s="8"/>
      <c r="K310" s="9"/>
      <c r="L310" s="9"/>
      <c r="M310" s="9"/>
      <c r="N310" s="10"/>
      <c r="O310" s="8"/>
      <c r="P310" s="8"/>
      <c r="Q310" s="12" t="str">
        <f t="shared" si="1"/>
        <v/>
      </c>
      <c r="R310" s="12">
        <f t="shared" si="4"/>
        <v>11.01506051</v>
      </c>
    </row>
    <row r="311">
      <c r="A311" s="15">
        <f t="shared" si="3"/>
        <v>310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6"/>
      <c r="L311" s="16"/>
      <c r="M311" s="16"/>
      <c r="N311" s="17"/>
      <c r="O311" s="15"/>
      <c r="P311" s="15"/>
      <c r="Q311" s="19" t="str">
        <f t="shared" si="1"/>
        <v/>
      </c>
      <c r="R311" s="19">
        <f t="shared" si="4"/>
        <v>11.01506051</v>
      </c>
    </row>
    <row r="312">
      <c r="A312" s="8">
        <f t="shared" si="3"/>
        <v>311</v>
      </c>
      <c r="B312" s="8"/>
      <c r="C312" s="8"/>
      <c r="D312" s="8"/>
      <c r="E312" s="8"/>
      <c r="F312" s="8"/>
      <c r="G312" s="8"/>
      <c r="H312" s="8"/>
      <c r="I312" s="8"/>
      <c r="J312" s="8"/>
      <c r="K312" s="9"/>
      <c r="L312" s="9"/>
      <c r="M312" s="9"/>
      <c r="N312" s="10"/>
      <c r="O312" s="8"/>
      <c r="P312" s="8"/>
      <c r="Q312" s="12" t="str">
        <f t="shared" si="1"/>
        <v/>
      </c>
      <c r="R312" s="12">
        <f t="shared" si="4"/>
        <v>11.01506051</v>
      </c>
    </row>
    <row r="313">
      <c r="A313" s="15">
        <f t="shared" si="3"/>
        <v>312</v>
      </c>
      <c r="B313" s="15"/>
      <c r="C313" s="15"/>
      <c r="D313" s="15"/>
      <c r="E313" s="15"/>
      <c r="F313" s="15"/>
      <c r="G313" s="15"/>
      <c r="H313" s="15"/>
      <c r="I313" s="15"/>
      <c r="J313" s="15"/>
      <c r="K313" s="16"/>
      <c r="L313" s="16"/>
      <c r="M313" s="16"/>
      <c r="N313" s="17"/>
      <c r="O313" s="15"/>
      <c r="P313" s="15"/>
      <c r="Q313" s="19" t="str">
        <f t="shared" si="1"/>
        <v/>
      </c>
      <c r="R313" s="19">
        <f t="shared" si="4"/>
        <v>11.01506051</v>
      </c>
    </row>
    <row r="314">
      <c r="A314" s="8">
        <f t="shared" si="3"/>
        <v>313</v>
      </c>
      <c r="B314" s="8"/>
      <c r="C314" s="8"/>
      <c r="D314" s="8"/>
      <c r="E314" s="8"/>
      <c r="F314" s="8"/>
      <c r="G314" s="8"/>
      <c r="H314" s="8"/>
      <c r="I314" s="8"/>
      <c r="J314" s="8"/>
      <c r="K314" s="9"/>
      <c r="L314" s="9"/>
      <c r="M314" s="9"/>
      <c r="N314" s="10"/>
      <c r="O314" s="8"/>
      <c r="P314" s="8"/>
      <c r="Q314" s="12" t="str">
        <f t="shared" si="1"/>
        <v/>
      </c>
      <c r="R314" s="12">
        <f t="shared" si="4"/>
        <v>11.01506051</v>
      </c>
    </row>
    <row r="315">
      <c r="A315" s="15">
        <f t="shared" si="3"/>
        <v>314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6"/>
      <c r="L315" s="16"/>
      <c r="M315" s="16"/>
      <c r="N315" s="17"/>
      <c r="O315" s="15"/>
      <c r="P315" s="15"/>
      <c r="Q315" s="19" t="str">
        <f t="shared" si="1"/>
        <v/>
      </c>
      <c r="R315" s="19">
        <f t="shared" si="4"/>
        <v>11.01506051</v>
      </c>
    </row>
    <row r="316">
      <c r="A316" s="8">
        <f t="shared" si="3"/>
        <v>315</v>
      </c>
      <c r="B316" s="8"/>
      <c r="C316" s="8"/>
      <c r="D316" s="8"/>
      <c r="E316" s="8"/>
      <c r="F316" s="8"/>
      <c r="G316" s="8"/>
      <c r="H316" s="8"/>
      <c r="I316" s="8"/>
      <c r="J316" s="8"/>
      <c r="K316" s="9"/>
      <c r="L316" s="9"/>
      <c r="M316" s="9"/>
      <c r="N316" s="10"/>
      <c r="O316" s="8"/>
      <c r="P316" s="8"/>
      <c r="Q316" s="12" t="str">
        <f t="shared" si="1"/>
        <v/>
      </c>
      <c r="R316" s="12">
        <f t="shared" si="4"/>
        <v>11.01506051</v>
      </c>
    </row>
    <row r="317">
      <c r="A317" s="15">
        <f t="shared" si="3"/>
        <v>316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6"/>
      <c r="L317" s="16"/>
      <c r="M317" s="16"/>
      <c r="N317" s="17"/>
      <c r="O317" s="15"/>
      <c r="P317" s="15"/>
      <c r="Q317" s="19"/>
      <c r="R317" s="124"/>
    </row>
    <row r="318">
      <c r="A318" s="8">
        <f t="shared" si="3"/>
        <v>317</v>
      </c>
      <c r="B318" s="8"/>
      <c r="C318" s="8"/>
      <c r="D318" s="8"/>
      <c r="E318" s="8"/>
      <c r="F318" s="8"/>
      <c r="G318" s="8"/>
      <c r="H318" s="8"/>
      <c r="I318" s="8"/>
      <c r="J318" s="8"/>
      <c r="K318" s="9"/>
      <c r="L318" s="9"/>
      <c r="M318" s="9"/>
      <c r="N318" s="10"/>
      <c r="O318" s="8"/>
      <c r="P318" s="8"/>
      <c r="Q318" s="12"/>
      <c r="R318" s="123"/>
    </row>
    <row r="319">
      <c r="A319" s="15">
        <f t="shared" si="3"/>
        <v>318</v>
      </c>
      <c r="B319" s="15"/>
      <c r="C319" s="15"/>
      <c r="D319" s="15"/>
      <c r="E319" s="15"/>
      <c r="F319" s="15"/>
      <c r="G319" s="15"/>
      <c r="H319" s="15"/>
      <c r="I319" s="15"/>
      <c r="J319" s="15"/>
      <c r="K319" s="124"/>
      <c r="L319" s="16"/>
      <c r="M319" s="16"/>
      <c r="N319" s="17"/>
      <c r="O319" s="15"/>
      <c r="P319" s="15"/>
      <c r="Q319" s="19"/>
      <c r="R319" s="124"/>
    </row>
    <row r="320">
      <c r="A320" s="8">
        <f t="shared" si="3"/>
        <v>319</v>
      </c>
      <c r="B320" s="8"/>
      <c r="C320" s="8"/>
      <c r="D320" s="8"/>
      <c r="E320" s="8"/>
      <c r="F320" s="8"/>
      <c r="G320" s="8"/>
      <c r="H320" s="8"/>
      <c r="I320" s="8"/>
      <c r="J320" s="8"/>
      <c r="K320" s="123"/>
      <c r="L320" s="9"/>
      <c r="M320" s="9"/>
      <c r="N320" s="10"/>
      <c r="O320" s="8"/>
      <c r="P320" s="8"/>
      <c r="Q320" s="12"/>
      <c r="R320" s="123"/>
    </row>
    <row r="321">
      <c r="A321" s="15">
        <f t="shared" si="3"/>
        <v>320</v>
      </c>
      <c r="B321" s="15"/>
      <c r="C321" s="15"/>
      <c r="D321" s="15"/>
      <c r="E321" s="15"/>
      <c r="F321" s="15"/>
      <c r="G321" s="15"/>
      <c r="H321" s="15"/>
      <c r="I321" s="15"/>
      <c r="J321" s="15"/>
      <c r="K321" s="124"/>
      <c r="L321" s="16"/>
      <c r="M321" s="16"/>
      <c r="N321" s="17"/>
      <c r="O321" s="15"/>
      <c r="P321" s="15"/>
      <c r="Q321" s="19"/>
      <c r="R321" s="124"/>
    </row>
    <row r="322">
      <c r="A322" s="8">
        <f t="shared" si="3"/>
        <v>321</v>
      </c>
      <c r="B322" s="8"/>
      <c r="C322" s="8"/>
      <c r="D322" s="8"/>
      <c r="E322" s="8"/>
      <c r="F322" s="8"/>
      <c r="G322" s="8"/>
      <c r="H322" s="8"/>
      <c r="I322" s="8"/>
      <c r="J322" s="8"/>
      <c r="K322" s="123"/>
      <c r="L322" s="9"/>
      <c r="M322" s="9"/>
      <c r="N322" s="10"/>
      <c r="O322" s="8"/>
      <c r="P322" s="8"/>
      <c r="Q322" s="12"/>
      <c r="R322" s="123"/>
    </row>
    <row r="323">
      <c r="A323" s="15">
        <f t="shared" si="3"/>
        <v>322</v>
      </c>
      <c r="B323" s="15"/>
      <c r="C323" s="15"/>
      <c r="D323" s="15"/>
      <c r="E323" s="15"/>
      <c r="F323" s="15"/>
      <c r="G323" s="15"/>
      <c r="H323" s="15"/>
      <c r="I323" s="15"/>
      <c r="J323" s="15"/>
      <c r="K323" s="124"/>
      <c r="L323" s="16"/>
      <c r="M323" s="16"/>
      <c r="N323" s="17"/>
      <c r="O323" s="15"/>
      <c r="P323" s="15"/>
      <c r="Q323" s="19"/>
      <c r="R323" s="124"/>
    </row>
    <row r="324">
      <c r="A324" s="8">
        <f t="shared" si="3"/>
        <v>323</v>
      </c>
      <c r="B324" s="8"/>
      <c r="C324" s="8"/>
      <c r="D324" s="8"/>
      <c r="E324" s="8"/>
      <c r="F324" s="8"/>
      <c r="G324" s="8"/>
      <c r="H324" s="8"/>
      <c r="I324" s="8"/>
      <c r="J324" s="8"/>
      <c r="K324" s="123"/>
      <c r="L324" s="9"/>
      <c r="M324" s="9"/>
      <c r="N324" s="10"/>
      <c r="O324" s="8"/>
      <c r="P324" s="8"/>
      <c r="Q324" s="12"/>
      <c r="R324" s="123"/>
    </row>
    <row r="325">
      <c r="A325" s="15">
        <f t="shared" si="3"/>
        <v>324</v>
      </c>
      <c r="B325" s="15"/>
      <c r="C325" s="15"/>
      <c r="D325" s="15"/>
      <c r="E325" s="15"/>
      <c r="F325" s="15"/>
      <c r="G325" s="15"/>
      <c r="H325" s="15"/>
      <c r="I325" s="15"/>
      <c r="J325" s="15"/>
      <c r="K325" s="124"/>
      <c r="L325" s="16"/>
      <c r="M325" s="16"/>
      <c r="N325" s="17"/>
      <c r="O325" s="15"/>
      <c r="P325" s="15"/>
      <c r="Q325" s="19"/>
      <c r="R325" s="124"/>
    </row>
    <row r="326">
      <c r="A326" s="8">
        <f t="shared" si="3"/>
        <v>325</v>
      </c>
      <c r="B326" s="8"/>
      <c r="C326" s="8"/>
      <c r="D326" s="8"/>
      <c r="E326" s="8"/>
      <c r="F326" s="8"/>
      <c r="G326" s="8"/>
      <c r="H326" s="8"/>
      <c r="I326" s="8"/>
      <c r="J326" s="8"/>
      <c r="K326" s="123"/>
      <c r="L326" s="9"/>
      <c r="M326" s="9"/>
      <c r="N326" s="10"/>
      <c r="O326" s="8"/>
      <c r="P326" s="8"/>
      <c r="Q326" s="12"/>
      <c r="R326" s="123"/>
    </row>
    <row r="327">
      <c r="A327" s="15">
        <f t="shared" si="3"/>
        <v>326</v>
      </c>
      <c r="B327" s="15"/>
      <c r="C327" s="15"/>
      <c r="D327" s="15"/>
      <c r="E327" s="15"/>
      <c r="F327" s="15"/>
      <c r="G327" s="15"/>
      <c r="H327" s="15"/>
      <c r="I327" s="15"/>
      <c r="J327" s="15"/>
      <c r="K327" s="124"/>
      <c r="L327" s="16"/>
      <c r="M327" s="16"/>
      <c r="N327" s="17"/>
      <c r="O327" s="15"/>
      <c r="P327" s="15"/>
      <c r="Q327" s="19"/>
      <c r="R327" s="124"/>
    </row>
    <row r="328">
      <c r="A328" s="8">
        <f t="shared" si="3"/>
        <v>327</v>
      </c>
      <c r="B328" s="8"/>
      <c r="C328" s="8"/>
      <c r="D328" s="8"/>
      <c r="E328" s="8"/>
      <c r="F328" s="8"/>
      <c r="G328" s="8"/>
      <c r="H328" s="8"/>
      <c r="I328" s="8"/>
      <c r="J328" s="8"/>
      <c r="K328" s="123"/>
      <c r="L328" s="9"/>
      <c r="M328" s="9"/>
      <c r="N328" s="10"/>
      <c r="O328" s="8"/>
      <c r="P328" s="8"/>
      <c r="Q328" s="12"/>
      <c r="R328" s="123"/>
    </row>
    <row r="329">
      <c r="A329" s="15">
        <f t="shared" si="3"/>
        <v>328</v>
      </c>
      <c r="B329" s="15"/>
      <c r="C329" s="15"/>
      <c r="D329" s="15"/>
      <c r="E329" s="15"/>
      <c r="F329" s="15"/>
      <c r="G329" s="15"/>
      <c r="H329" s="15"/>
      <c r="I329" s="15"/>
      <c r="J329" s="15"/>
      <c r="K329" s="124"/>
      <c r="L329" s="16"/>
      <c r="M329" s="16"/>
      <c r="N329" s="17"/>
      <c r="O329" s="15"/>
      <c r="P329" s="15"/>
      <c r="Q329" s="19"/>
      <c r="R329" s="124"/>
    </row>
    <row r="330">
      <c r="A330" s="8">
        <f t="shared" si="3"/>
        <v>329</v>
      </c>
      <c r="B330" s="8"/>
      <c r="C330" s="8"/>
      <c r="D330" s="8"/>
      <c r="E330" s="8"/>
      <c r="F330" s="8"/>
      <c r="G330" s="8"/>
      <c r="H330" s="8"/>
      <c r="I330" s="8"/>
      <c r="J330" s="8"/>
      <c r="K330" s="123"/>
      <c r="L330" s="9"/>
      <c r="M330" s="9"/>
      <c r="N330" s="10"/>
      <c r="O330" s="8"/>
      <c r="P330" s="8"/>
      <c r="Q330" s="12"/>
      <c r="R330" s="123"/>
    </row>
    <row r="331">
      <c r="A331" s="15">
        <f t="shared" si="3"/>
        <v>330</v>
      </c>
      <c r="B331" s="15"/>
      <c r="C331" s="15"/>
      <c r="D331" s="15"/>
      <c r="E331" s="15"/>
      <c r="F331" s="15"/>
      <c r="G331" s="15"/>
      <c r="H331" s="15"/>
      <c r="I331" s="15"/>
      <c r="J331" s="15"/>
      <c r="K331" s="124"/>
      <c r="L331" s="16"/>
      <c r="M331" s="16"/>
      <c r="N331" s="17"/>
      <c r="O331" s="15"/>
      <c r="P331" s="15"/>
      <c r="Q331" s="19"/>
      <c r="R331" s="124"/>
    </row>
    <row r="332">
      <c r="A332" s="8">
        <f t="shared" si="3"/>
        <v>331</v>
      </c>
      <c r="B332" s="8"/>
      <c r="C332" s="8"/>
      <c r="D332" s="8"/>
      <c r="E332" s="8"/>
      <c r="F332" s="8"/>
      <c r="G332" s="8"/>
      <c r="H332" s="8"/>
      <c r="I332" s="8"/>
      <c r="J332" s="8"/>
      <c r="K332" s="123"/>
      <c r="L332" s="9"/>
      <c r="M332" s="9"/>
      <c r="N332" s="10"/>
      <c r="O332" s="8"/>
      <c r="P332" s="8"/>
      <c r="Q332" s="12"/>
      <c r="R332" s="123"/>
    </row>
    <row r="333">
      <c r="A333" s="15">
        <f t="shared" si="3"/>
        <v>332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24"/>
      <c r="L333" s="16"/>
      <c r="M333" s="16"/>
      <c r="N333" s="17"/>
      <c r="O333" s="15"/>
      <c r="P333" s="15"/>
      <c r="Q333" s="19"/>
      <c r="R333" s="124"/>
    </row>
    <row r="334">
      <c r="A334" s="8">
        <f t="shared" si="3"/>
        <v>333</v>
      </c>
      <c r="B334" s="8"/>
      <c r="C334" s="8"/>
      <c r="D334" s="8"/>
      <c r="E334" s="8"/>
      <c r="F334" s="8"/>
      <c r="G334" s="8"/>
      <c r="H334" s="8"/>
      <c r="I334" s="8"/>
      <c r="J334" s="8"/>
      <c r="K334" s="123"/>
      <c r="L334" s="9"/>
      <c r="M334" s="9"/>
      <c r="N334" s="10"/>
      <c r="O334" s="8"/>
      <c r="P334" s="8"/>
      <c r="Q334" s="12"/>
      <c r="R334" s="123"/>
    </row>
    <row r="335">
      <c r="A335" s="15">
        <f t="shared" si="3"/>
        <v>334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24"/>
      <c r="L335" s="16"/>
      <c r="M335" s="16"/>
      <c r="N335" s="17"/>
      <c r="O335" s="15"/>
      <c r="P335" s="15"/>
      <c r="Q335" s="19"/>
      <c r="R335" s="124"/>
    </row>
    <row r="336">
      <c r="A336" s="8">
        <f t="shared" si="3"/>
        <v>335</v>
      </c>
      <c r="B336" s="8"/>
      <c r="C336" s="8"/>
      <c r="D336" s="8"/>
      <c r="E336" s="8"/>
      <c r="F336" s="8"/>
      <c r="G336" s="8"/>
      <c r="H336" s="8"/>
      <c r="I336" s="8"/>
      <c r="J336" s="8"/>
      <c r="K336" s="123"/>
      <c r="L336" s="9"/>
      <c r="M336" s="9"/>
      <c r="N336" s="10"/>
      <c r="O336" s="8"/>
      <c r="P336" s="8"/>
      <c r="Q336" s="12"/>
      <c r="R336" s="123"/>
    </row>
    <row r="337">
      <c r="A337" s="15">
        <f t="shared" si="3"/>
        <v>336</v>
      </c>
      <c r="B337" s="15"/>
      <c r="C337" s="15"/>
      <c r="D337" s="15"/>
      <c r="E337" s="15"/>
      <c r="F337" s="15"/>
      <c r="G337" s="15"/>
      <c r="H337" s="15"/>
      <c r="I337" s="15"/>
      <c r="J337" s="15"/>
      <c r="K337" s="124"/>
      <c r="L337" s="16"/>
      <c r="M337" s="16"/>
      <c r="N337" s="17"/>
      <c r="O337" s="15"/>
      <c r="P337" s="15"/>
      <c r="Q337" s="19"/>
      <c r="R337" s="124"/>
    </row>
    <row r="338">
      <c r="A338" s="8">
        <f t="shared" si="3"/>
        <v>337</v>
      </c>
      <c r="B338" s="8"/>
      <c r="C338" s="8"/>
      <c r="D338" s="8"/>
      <c r="E338" s="8"/>
      <c r="F338" s="8"/>
      <c r="G338" s="8"/>
      <c r="H338" s="8"/>
      <c r="I338" s="8"/>
      <c r="J338" s="8"/>
      <c r="K338" s="123"/>
      <c r="L338" s="9"/>
      <c r="M338" s="9"/>
      <c r="N338" s="10"/>
      <c r="O338" s="8"/>
      <c r="P338" s="8"/>
      <c r="Q338" s="12"/>
      <c r="R338" s="123"/>
    </row>
    <row r="339">
      <c r="A339" s="15">
        <f t="shared" si="3"/>
        <v>338</v>
      </c>
      <c r="B339" s="15"/>
      <c r="C339" s="15"/>
      <c r="D339" s="15"/>
      <c r="E339" s="15"/>
      <c r="F339" s="15"/>
      <c r="G339" s="15"/>
      <c r="H339" s="15"/>
      <c r="I339" s="15"/>
      <c r="J339" s="15"/>
      <c r="K339" s="124"/>
      <c r="L339" s="16"/>
      <c r="M339" s="16"/>
      <c r="N339" s="17"/>
      <c r="O339" s="15"/>
      <c r="P339" s="15"/>
      <c r="Q339" s="19"/>
      <c r="R339" s="124"/>
    </row>
    <row r="340">
      <c r="A340" s="8">
        <f t="shared" si="3"/>
        <v>339</v>
      </c>
      <c r="B340" s="8"/>
      <c r="C340" s="8"/>
      <c r="D340" s="8"/>
      <c r="E340" s="8"/>
      <c r="F340" s="8"/>
      <c r="G340" s="8"/>
      <c r="H340" s="8"/>
      <c r="I340" s="8"/>
      <c r="J340" s="8"/>
      <c r="K340" s="123"/>
      <c r="L340" s="9"/>
      <c r="M340" s="9"/>
      <c r="N340" s="10"/>
      <c r="O340" s="8"/>
      <c r="P340" s="8"/>
      <c r="Q340" s="12"/>
      <c r="R340" s="123"/>
    </row>
    <row r="341">
      <c r="A341" s="15">
        <f t="shared" si="3"/>
        <v>340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24"/>
      <c r="L341" s="16"/>
      <c r="M341" s="16"/>
      <c r="N341" s="17"/>
      <c r="O341" s="15"/>
      <c r="P341" s="15"/>
      <c r="Q341" s="19"/>
      <c r="R341" s="124"/>
    </row>
    <row r="342">
      <c r="A342" s="8">
        <f t="shared" si="3"/>
        <v>341</v>
      </c>
      <c r="B342" s="8"/>
      <c r="C342" s="8"/>
      <c r="D342" s="8"/>
      <c r="E342" s="8"/>
      <c r="F342" s="8"/>
      <c r="G342" s="8"/>
      <c r="H342" s="8"/>
      <c r="I342" s="8"/>
      <c r="J342" s="8"/>
      <c r="K342" s="123"/>
      <c r="L342" s="9"/>
      <c r="M342" s="9"/>
      <c r="N342" s="10"/>
      <c r="O342" s="8"/>
      <c r="P342" s="8"/>
      <c r="Q342" s="12"/>
      <c r="R342" s="123"/>
    </row>
    <row r="343">
      <c r="A343" s="15">
        <f t="shared" si="3"/>
        <v>342</v>
      </c>
      <c r="B343" s="15"/>
      <c r="C343" s="15"/>
      <c r="D343" s="15"/>
      <c r="E343" s="15"/>
      <c r="F343" s="15"/>
      <c r="G343" s="15"/>
      <c r="H343" s="15"/>
      <c r="I343" s="15"/>
      <c r="J343" s="15"/>
      <c r="K343" s="124"/>
      <c r="L343" s="16"/>
      <c r="M343" s="16"/>
      <c r="N343" s="17"/>
      <c r="O343" s="15"/>
      <c r="P343" s="15"/>
      <c r="Q343" s="19"/>
      <c r="R343" s="124"/>
    </row>
    <row r="344">
      <c r="A344" s="8">
        <f t="shared" si="3"/>
        <v>343</v>
      </c>
      <c r="B344" s="8"/>
      <c r="C344" s="8"/>
      <c r="D344" s="8"/>
      <c r="E344" s="8"/>
      <c r="F344" s="8"/>
      <c r="G344" s="8"/>
      <c r="H344" s="8"/>
      <c r="I344" s="8"/>
      <c r="J344" s="8"/>
      <c r="K344" s="123"/>
      <c r="L344" s="9"/>
      <c r="M344" s="9"/>
      <c r="N344" s="10"/>
      <c r="O344" s="8"/>
      <c r="P344" s="8"/>
      <c r="Q344" s="12"/>
      <c r="R344" s="123"/>
    </row>
    <row r="345">
      <c r="A345" s="15">
        <f t="shared" si="3"/>
        <v>344</v>
      </c>
      <c r="B345" s="15"/>
      <c r="C345" s="15"/>
      <c r="D345" s="15"/>
      <c r="E345" s="15"/>
      <c r="F345" s="15"/>
      <c r="G345" s="15"/>
      <c r="H345" s="15"/>
      <c r="I345" s="15"/>
      <c r="J345" s="15"/>
      <c r="K345" s="124"/>
      <c r="L345" s="16"/>
      <c r="M345" s="16"/>
      <c r="N345" s="17"/>
      <c r="O345" s="15"/>
      <c r="P345" s="15"/>
      <c r="Q345" s="124"/>
      <c r="R345" s="124"/>
    </row>
    <row r="346">
      <c r="A346" s="8">
        <f t="shared" si="3"/>
        <v>345</v>
      </c>
      <c r="B346" s="8"/>
      <c r="C346" s="8"/>
      <c r="D346" s="8"/>
      <c r="E346" s="8"/>
      <c r="F346" s="8"/>
      <c r="G346" s="8"/>
      <c r="H346" s="8"/>
      <c r="I346" s="8"/>
      <c r="J346" s="8"/>
      <c r="K346" s="123"/>
      <c r="L346" s="9"/>
      <c r="M346" s="9"/>
      <c r="N346" s="10"/>
      <c r="O346" s="8"/>
      <c r="P346" s="8"/>
      <c r="Q346" s="123"/>
      <c r="R346" s="123"/>
    </row>
    <row r="347">
      <c r="A347" s="15">
        <f t="shared" si="3"/>
        <v>346</v>
      </c>
      <c r="B347" s="15"/>
      <c r="C347" s="15"/>
      <c r="D347" s="15"/>
      <c r="E347" s="15"/>
      <c r="F347" s="15"/>
      <c r="G347" s="15"/>
      <c r="H347" s="15"/>
      <c r="I347" s="15"/>
      <c r="J347" s="15"/>
      <c r="K347" s="124"/>
      <c r="L347" s="16"/>
      <c r="M347" s="16"/>
      <c r="N347" s="17"/>
      <c r="O347" s="15"/>
      <c r="P347" s="15"/>
      <c r="Q347" s="124"/>
      <c r="R347" s="124"/>
    </row>
    <row r="348">
      <c r="A348" s="8">
        <f t="shared" si="3"/>
        <v>347</v>
      </c>
      <c r="B348" s="8"/>
      <c r="C348" s="8"/>
      <c r="D348" s="8"/>
      <c r="E348" s="8"/>
      <c r="F348" s="8"/>
      <c r="G348" s="8"/>
      <c r="H348" s="8"/>
      <c r="I348" s="8"/>
      <c r="J348" s="8"/>
      <c r="K348" s="123"/>
      <c r="L348" s="9"/>
      <c r="M348" s="9"/>
      <c r="N348" s="10"/>
      <c r="O348" s="8"/>
      <c r="P348" s="8"/>
      <c r="Q348" s="123"/>
      <c r="R348" s="123"/>
    </row>
    <row r="349">
      <c r="A349" s="15">
        <f t="shared" si="3"/>
        <v>348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24"/>
      <c r="L349" s="16"/>
      <c r="M349" s="16"/>
      <c r="N349" s="17"/>
      <c r="O349" s="15"/>
      <c r="P349" s="15"/>
      <c r="Q349" s="124"/>
      <c r="R349" s="124"/>
    </row>
    <row r="350">
      <c r="A350" s="8">
        <f t="shared" si="3"/>
        <v>349</v>
      </c>
      <c r="B350" s="8"/>
      <c r="C350" s="8"/>
      <c r="D350" s="8"/>
      <c r="E350" s="8"/>
      <c r="F350" s="8"/>
      <c r="G350" s="8"/>
      <c r="H350" s="8"/>
      <c r="I350" s="8"/>
      <c r="J350" s="8"/>
      <c r="K350" s="123"/>
      <c r="L350" s="9"/>
      <c r="M350" s="9"/>
      <c r="N350" s="10"/>
      <c r="O350" s="8"/>
      <c r="P350" s="8"/>
      <c r="Q350" s="123"/>
      <c r="R350" s="123"/>
    </row>
    <row r="351">
      <c r="A351" s="15">
        <f t="shared" si="3"/>
        <v>350</v>
      </c>
      <c r="B351" s="15"/>
      <c r="C351" s="15"/>
      <c r="D351" s="15"/>
      <c r="E351" s="15"/>
      <c r="F351" s="15"/>
      <c r="G351" s="15"/>
      <c r="H351" s="15"/>
      <c r="I351" s="15"/>
      <c r="J351" s="15"/>
      <c r="K351" s="124"/>
      <c r="L351" s="16"/>
      <c r="M351" s="16"/>
      <c r="N351" s="17"/>
      <c r="O351" s="15"/>
      <c r="P351" s="15"/>
      <c r="Q351" s="124"/>
      <c r="R351" s="124"/>
    </row>
    <row r="352">
      <c r="A352" s="8">
        <f t="shared" si="3"/>
        <v>351</v>
      </c>
      <c r="B352" s="8"/>
      <c r="C352" s="8"/>
      <c r="D352" s="8"/>
      <c r="E352" s="8"/>
      <c r="F352" s="8"/>
      <c r="G352" s="8"/>
      <c r="H352" s="8"/>
      <c r="I352" s="8"/>
      <c r="J352" s="8"/>
      <c r="K352" s="123"/>
      <c r="L352" s="9"/>
      <c r="M352" s="9"/>
      <c r="N352" s="10"/>
      <c r="O352" s="8"/>
      <c r="P352" s="8"/>
      <c r="Q352" s="123"/>
      <c r="R352" s="123"/>
    </row>
    <row r="353">
      <c r="A353" s="15">
        <f t="shared" si="3"/>
        <v>352</v>
      </c>
      <c r="B353" s="15"/>
      <c r="C353" s="15"/>
      <c r="D353" s="15"/>
      <c r="E353" s="15"/>
      <c r="F353" s="15"/>
      <c r="G353" s="15"/>
      <c r="H353" s="15"/>
      <c r="I353" s="15"/>
      <c r="J353" s="15"/>
      <c r="K353" s="124"/>
      <c r="L353" s="16"/>
      <c r="M353" s="16"/>
      <c r="N353" s="17"/>
      <c r="O353" s="15"/>
      <c r="P353" s="15"/>
      <c r="Q353" s="124"/>
      <c r="R353" s="124"/>
    </row>
    <row r="354">
      <c r="A354" s="8">
        <f t="shared" si="3"/>
        <v>353</v>
      </c>
      <c r="B354" s="8"/>
      <c r="C354" s="8"/>
      <c r="D354" s="8"/>
      <c r="E354" s="8"/>
      <c r="F354" s="8"/>
      <c r="G354" s="8"/>
      <c r="H354" s="8"/>
      <c r="I354" s="8"/>
      <c r="J354" s="8"/>
      <c r="K354" s="123"/>
      <c r="L354" s="9"/>
      <c r="M354" s="9"/>
      <c r="N354" s="10"/>
      <c r="O354" s="8"/>
      <c r="P354" s="8"/>
      <c r="Q354" s="123"/>
      <c r="R354" s="123"/>
    </row>
    <row r="355">
      <c r="A355" s="15">
        <f t="shared" si="3"/>
        <v>354</v>
      </c>
      <c r="B355" s="15"/>
      <c r="C355" s="15"/>
      <c r="D355" s="15"/>
      <c r="E355" s="15"/>
      <c r="F355" s="15"/>
      <c r="G355" s="15"/>
      <c r="H355" s="15"/>
      <c r="I355" s="15"/>
      <c r="J355" s="15"/>
      <c r="K355" s="124"/>
      <c r="L355" s="16"/>
      <c r="M355" s="16"/>
      <c r="N355" s="17"/>
      <c r="O355" s="15"/>
      <c r="P355" s="15"/>
      <c r="Q355" s="124"/>
      <c r="R355" s="124"/>
    </row>
    <row r="356">
      <c r="A356" s="8">
        <f t="shared" si="3"/>
        <v>355</v>
      </c>
      <c r="B356" s="8"/>
      <c r="C356" s="8"/>
      <c r="D356" s="8"/>
      <c r="E356" s="8"/>
      <c r="F356" s="8"/>
      <c r="G356" s="8"/>
      <c r="H356" s="8"/>
      <c r="I356" s="8"/>
      <c r="J356" s="8"/>
      <c r="K356" s="123"/>
      <c r="L356" s="9"/>
      <c r="M356" s="9"/>
      <c r="N356" s="10"/>
      <c r="O356" s="8"/>
      <c r="P356" s="8"/>
      <c r="Q356" s="123"/>
      <c r="R356" s="123"/>
    </row>
    <row r="357">
      <c r="A357" s="15">
        <f t="shared" si="3"/>
        <v>356</v>
      </c>
      <c r="B357" s="15"/>
      <c r="C357" s="15"/>
      <c r="D357" s="15"/>
      <c r="E357" s="15"/>
      <c r="F357" s="15"/>
      <c r="G357" s="15"/>
      <c r="H357" s="15"/>
      <c r="I357" s="15"/>
      <c r="J357" s="15"/>
      <c r="K357" s="124"/>
      <c r="L357" s="16"/>
      <c r="M357" s="16"/>
      <c r="N357" s="17"/>
      <c r="O357" s="15"/>
      <c r="P357" s="15"/>
      <c r="Q357" s="124"/>
      <c r="R357" s="124"/>
    </row>
    <row r="358">
      <c r="A358" s="8">
        <f t="shared" si="3"/>
        <v>357</v>
      </c>
      <c r="B358" s="8"/>
      <c r="C358" s="8"/>
      <c r="D358" s="8"/>
      <c r="E358" s="8"/>
      <c r="F358" s="8"/>
      <c r="G358" s="8"/>
      <c r="H358" s="8"/>
      <c r="I358" s="8"/>
      <c r="J358" s="8"/>
      <c r="K358" s="123"/>
      <c r="L358" s="9"/>
      <c r="M358" s="9"/>
      <c r="N358" s="10"/>
      <c r="O358" s="8"/>
      <c r="P358" s="8"/>
      <c r="Q358" s="123"/>
      <c r="R358" s="123"/>
    </row>
    <row r="359">
      <c r="A359" s="15">
        <f t="shared" si="3"/>
        <v>358</v>
      </c>
      <c r="B359" s="15"/>
      <c r="C359" s="15"/>
      <c r="D359" s="15"/>
      <c r="E359" s="15"/>
      <c r="F359" s="15"/>
      <c r="G359" s="15"/>
      <c r="H359" s="15"/>
      <c r="I359" s="15"/>
      <c r="J359" s="15"/>
      <c r="K359" s="124"/>
      <c r="L359" s="16"/>
      <c r="M359" s="16"/>
      <c r="N359" s="17"/>
      <c r="O359" s="15"/>
      <c r="P359" s="15"/>
      <c r="Q359" s="124"/>
      <c r="R359" s="124"/>
    </row>
    <row r="360">
      <c r="A360" s="8">
        <f t="shared" si="3"/>
        <v>359</v>
      </c>
      <c r="B360" s="8"/>
      <c r="C360" s="8"/>
      <c r="D360" s="8"/>
      <c r="E360" s="8"/>
      <c r="F360" s="8"/>
      <c r="G360" s="8"/>
      <c r="H360" s="8"/>
      <c r="I360" s="8"/>
      <c r="J360" s="8"/>
      <c r="K360" s="123"/>
      <c r="L360" s="9"/>
      <c r="M360" s="9"/>
      <c r="N360" s="10"/>
      <c r="O360" s="8"/>
      <c r="P360" s="8"/>
      <c r="Q360" s="123"/>
      <c r="R360" s="123"/>
    </row>
    <row r="361">
      <c r="A361" s="15">
        <f t="shared" si="3"/>
        <v>360</v>
      </c>
      <c r="B361" s="15"/>
      <c r="C361" s="15"/>
      <c r="D361" s="15"/>
      <c r="E361" s="15"/>
      <c r="F361" s="15"/>
      <c r="G361" s="15"/>
      <c r="H361" s="15"/>
      <c r="I361" s="15"/>
      <c r="J361" s="15"/>
      <c r="K361" s="124"/>
      <c r="L361" s="16"/>
      <c r="M361" s="16"/>
      <c r="N361" s="17"/>
      <c r="O361" s="15"/>
      <c r="P361" s="15"/>
      <c r="Q361" s="124"/>
      <c r="R361" s="124"/>
    </row>
    <row r="362">
      <c r="A362" s="8">
        <f t="shared" si="3"/>
        <v>361</v>
      </c>
      <c r="B362" s="8"/>
      <c r="C362" s="8"/>
      <c r="D362" s="8"/>
      <c r="E362" s="8"/>
      <c r="F362" s="8"/>
      <c r="G362" s="8"/>
      <c r="H362" s="8"/>
      <c r="I362" s="8"/>
      <c r="J362" s="8"/>
      <c r="K362" s="123"/>
      <c r="L362" s="9"/>
      <c r="M362" s="9"/>
      <c r="N362" s="10"/>
      <c r="O362" s="8"/>
      <c r="P362" s="8"/>
      <c r="Q362" s="123"/>
      <c r="R362" s="123"/>
    </row>
    <row r="363">
      <c r="A363" s="15">
        <f t="shared" si="3"/>
        <v>362</v>
      </c>
      <c r="B363" s="15"/>
      <c r="C363" s="15"/>
      <c r="D363" s="15"/>
      <c r="E363" s="15"/>
      <c r="F363" s="15"/>
      <c r="G363" s="15"/>
      <c r="H363" s="15"/>
      <c r="I363" s="15"/>
      <c r="J363" s="15"/>
      <c r="K363" s="124"/>
      <c r="L363" s="16"/>
      <c r="M363" s="16"/>
      <c r="N363" s="17"/>
      <c r="O363" s="15"/>
      <c r="P363" s="15"/>
      <c r="Q363" s="124"/>
      <c r="R363" s="124"/>
    </row>
    <row r="364">
      <c r="A364" s="8">
        <f t="shared" si="3"/>
        <v>363</v>
      </c>
      <c r="B364" s="8"/>
      <c r="C364" s="8"/>
      <c r="D364" s="8"/>
      <c r="E364" s="8"/>
      <c r="F364" s="8"/>
      <c r="G364" s="8"/>
      <c r="H364" s="8"/>
      <c r="I364" s="8"/>
      <c r="J364" s="8"/>
      <c r="K364" s="123"/>
      <c r="L364" s="9"/>
      <c r="M364" s="9"/>
      <c r="N364" s="10"/>
      <c r="O364" s="8"/>
      <c r="P364" s="8"/>
      <c r="Q364" s="123"/>
      <c r="R364" s="123"/>
    </row>
    <row r="365">
      <c r="A365" s="15">
        <f t="shared" si="3"/>
        <v>364</v>
      </c>
      <c r="B365" s="15"/>
      <c r="C365" s="15"/>
      <c r="D365" s="15"/>
      <c r="E365" s="15"/>
      <c r="F365" s="15"/>
      <c r="G365" s="15"/>
      <c r="H365" s="15"/>
      <c r="I365" s="15"/>
      <c r="J365" s="15"/>
      <c r="K365" s="124"/>
      <c r="L365" s="16"/>
      <c r="M365" s="16"/>
      <c r="N365" s="17"/>
      <c r="O365" s="15"/>
      <c r="P365" s="15"/>
      <c r="Q365" s="124"/>
      <c r="R365" s="124"/>
    </row>
    <row r="366">
      <c r="A366" s="8">
        <f t="shared" si="3"/>
        <v>365</v>
      </c>
      <c r="B366" s="8"/>
      <c r="C366" s="8"/>
      <c r="D366" s="8"/>
      <c r="E366" s="8"/>
      <c r="F366" s="8"/>
      <c r="G366" s="8"/>
      <c r="H366" s="8"/>
      <c r="I366" s="8"/>
      <c r="J366" s="8"/>
      <c r="K366" s="123"/>
      <c r="L366" s="9"/>
      <c r="M366" s="9"/>
      <c r="N366" s="10"/>
      <c r="O366" s="8"/>
      <c r="P366" s="8"/>
      <c r="Q366" s="123"/>
      <c r="R366" s="123"/>
    </row>
    <row r="367">
      <c r="A367" s="15">
        <f t="shared" si="3"/>
        <v>366</v>
      </c>
      <c r="B367" s="15"/>
      <c r="C367" s="15"/>
      <c r="D367" s="15"/>
      <c r="E367" s="15"/>
      <c r="F367" s="15"/>
      <c r="G367" s="15"/>
      <c r="H367" s="15"/>
      <c r="I367" s="15"/>
      <c r="J367" s="15"/>
      <c r="K367" s="124"/>
      <c r="L367" s="16"/>
      <c r="M367" s="16"/>
      <c r="N367" s="17"/>
      <c r="O367" s="15"/>
      <c r="P367" s="15"/>
      <c r="Q367" s="124"/>
      <c r="R367" s="124"/>
    </row>
    <row r="368">
      <c r="A368" s="8">
        <f t="shared" si="3"/>
        <v>367</v>
      </c>
      <c r="B368" s="8"/>
      <c r="C368" s="8"/>
      <c r="D368" s="8"/>
      <c r="E368" s="8"/>
      <c r="F368" s="8"/>
      <c r="G368" s="8"/>
      <c r="H368" s="8"/>
      <c r="I368" s="8"/>
      <c r="J368" s="8"/>
      <c r="K368" s="123"/>
      <c r="L368" s="9"/>
      <c r="M368" s="9"/>
      <c r="N368" s="10"/>
      <c r="O368" s="8"/>
      <c r="P368" s="8"/>
      <c r="Q368" s="123"/>
      <c r="R368" s="123"/>
    </row>
    <row r="369">
      <c r="A369" s="15">
        <f t="shared" si="3"/>
        <v>368</v>
      </c>
      <c r="B369" s="15"/>
      <c r="C369" s="15"/>
      <c r="D369" s="15"/>
      <c r="E369" s="15"/>
      <c r="F369" s="15"/>
      <c r="G369" s="15"/>
      <c r="H369" s="15"/>
      <c r="I369" s="15"/>
      <c r="J369" s="15"/>
      <c r="K369" s="124"/>
      <c r="L369" s="16"/>
      <c r="M369" s="16"/>
      <c r="N369" s="17"/>
      <c r="O369" s="15"/>
      <c r="P369" s="15"/>
      <c r="Q369" s="124"/>
      <c r="R369" s="124"/>
    </row>
    <row r="370">
      <c r="A370" s="8">
        <f t="shared" si="3"/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123"/>
      <c r="L370" s="9"/>
      <c r="M370" s="9"/>
      <c r="N370" s="10"/>
      <c r="O370" s="8"/>
      <c r="P370" s="8"/>
      <c r="Q370" s="123"/>
      <c r="R370" s="123"/>
    </row>
    <row r="371">
      <c r="A371" s="15">
        <f t="shared" si="3"/>
        <v>370</v>
      </c>
      <c r="B371" s="15"/>
      <c r="C371" s="15"/>
      <c r="D371" s="15"/>
      <c r="E371" s="15"/>
      <c r="F371" s="15"/>
      <c r="G371" s="15"/>
      <c r="H371" s="15"/>
      <c r="I371" s="15"/>
      <c r="J371" s="15"/>
      <c r="K371" s="124"/>
      <c r="L371" s="16"/>
      <c r="M371" s="16"/>
      <c r="N371" s="17"/>
      <c r="O371" s="15"/>
      <c r="P371" s="15"/>
      <c r="Q371" s="124"/>
      <c r="R371" s="124"/>
    </row>
    <row r="372">
      <c r="A372" s="8">
        <f t="shared" si="3"/>
        <v>371</v>
      </c>
      <c r="B372" s="8"/>
      <c r="C372" s="8"/>
      <c r="D372" s="8"/>
      <c r="E372" s="8"/>
      <c r="F372" s="8"/>
      <c r="G372" s="8"/>
      <c r="H372" s="8"/>
      <c r="I372" s="8"/>
      <c r="J372" s="8"/>
      <c r="K372" s="123"/>
      <c r="L372" s="9"/>
      <c r="M372" s="9"/>
      <c r="N372" s="10"/>
      <c r="O372" s="8"/>
      <c r="P372" s="8"/>
      <c r="Q372" s="123"/>
      <c r="R372" s="123"/>
    </row>
    <row r="373">
      <c r="A373" s="15">
        <f t="shared" si="3"/>
        <v>372</v>
      </c>
      <c r="B373" s="15"/>
      <c r="C373" s="15"/>
      <c r="D373" s="15"/>
      <c r="E373" s="15"/>
      <c r="F373" s="15"/>
      <c r="G373" s="15"/>
      <c r="H373" s="15"/>
      <c r="I373" s="15"/>
      <c r="J373" s="15"/>
      <c r="K373" s="124"/>
      <c r="L373" s="16"/>
      <c r="M373" s="16"/>
      <c r="N373" s="17"/>
      <c r="O373" s="15"/>
      <c r="P373" s="15"/>
      <c r="Q373" s="124"/>
      <c r="R373" s="124"/>
    </row>
    <row r="374">
      <c r="A374" s="8">
        <f t="shared" si="3"/>
        <v>373</v>
      </c>
      <c r="B374" s="8"/>
      <c r="C374" s="8"/>
      <c r="D374" s="8"/>
      <c r="E374" s="8"/>
      <c r="F374" s="8"/>
      <c r="G374" s="8"/>
      <c r="H374" s="8"/>
      <c r="I374" s="8"/>
      <c r="J374" s="8"/>
      <c r="K374" s="123"/>
      <c r="L374" s="9"/>
      <c r="M374" s="9"/>
      <c r="N374" s="10"/>
      <c r="O374" s="8"/>
      <c r="P374" s="8"/>
      <c r="Q374" s="123"/>
      <c r="R374" s="123"/>
    </row>
    <row r="375">
      <c r="A375" s="15">
        <f t="shared" si="3"/>
        <v>374</v>
      </c>
      <c r="B375" s="15"/>
      <c r="C375" s="15"/>
      <c r="D375" s="15"/>
      <c r="E375" s="15"/>
      <c r="F375" s="15"/>
      <c r="G375" s="15"/>
      <c r="H375" s="15"/>
      <c r="I375" s="15"/>
      <c r="J375" s="15"/>
      <c r="K375" s="124"/>
      <c r="L375" s="16"/>
      <c r="M375" s="16"/>
      <c r="N375" s="17"/>
      <c r="O375" s="15"/>
      <c r="P375" s="15"/>
      <c r="Q375" s="124"/>
      <c r="R375" s="124"/>
    </row>
    <row r="376">
      <c r="A376" s="8">
        <f t="shared" si="3"/>
        <v>375</v>
      </c>
      <c r="B376" s="8"/>
      <c r="C376" s="8"/>
      <c r="D376" s="8"/>
      <c r="E376" s="8"/>
      <c r="F376" s="8"/>
      <c r="G376" s="8"/>
      <c r="H376" s="8"/>
      <c r="I376" s="8"/>
      <c r="J376" s="8"/>
      <c r="K376" s="123"/>
      <c r="L376" s="9"/>
      <c r="M376" s="9"/>
      <c r="N376" s="10"/>
      <c r="O376" s="8"/>
      <c r="P376" s="8"/>
      <c r="Q376" s="123"/>
      <c r="R376" s="123"/>
    </row>
    <row r="377">
      <c r="A377" s="15">
        <f t="shared" si="3"/>
        <v>376</v>
      </c>
      <c r="B377" s="15"/>
      <c r="C377" s="15"/>
      <c r="D377" s="15"/>
      <c r="E377" s="15"/>
      <c r="F377" s="15"/>
      <c r="G377" s="15"/>
      <c r="H377" s="15"/>
      <c r="I377" s="15"/>
      <c r="J377" s="15"/>
      <c r="K377" s="124"/>
      <c r="L377" s="16"/>
      <c r="M377" s="16"/>
      <c r="N377" s="17"/>
      <c r="O377" s="15"/>
      <c r="P377" s="15"/>
      <c r="Q377" s="124"/>
      <c r="R377" s="124"/>
    </row>
    <row r="378">
      <c r="A378" s="8">
        <f t="shared" si="3"/>
        <v>377</v>
      </c>
      <c r="B378" s="8"/>
      <c r="C378" s="8"/>
      <c r="D378" s="8"/>
      <c r="E378" s="8"/>
      <c r="F378" s="8"/>
      <c r="G378" s="8"/>
      <c r="H378" s="8"/>
      <c r="I378" s="8"/>
      <c r="J378" s="8"/>
      <c r="K378" s="123"/>
      <c r="L378" s="9"/>
      <c r="M378" s="9"/>
      <c r="N378" s="10"/>
      <c r="O378" s="8"/>
      <c r="P378" s="8"/>
      <c r="Q378" s="123"/>
      <c r="R378" s="123"/>
    </row>
    <row r="379">
      <c r="A379" s="15">
        <f t="shared" si="3"/>
        <v>378</v>
      </c>
      <c r="B379" s="15"/>
      <c r="C379" s="15"/>
      <c r="D379" s="15"/>
      <c r="E379" s="15"/>
      <c r="F379" s="15"/>
      <c r="G379" s="15"/>
      <c r="H379" s="15"/>
      <c r="I379" s="15"/>
      <c r="J379" s="15"/>
      <c r="K379" s="124"/>
      <c r="L379" s="16"/>
      <c r="M379" s="16"/>
      <c r="N379" s="17"/>
      <c r="O379" s="15"/>
      <c r="P379" s="15"/>
      <c r="Q379" s="124"/>
      <c r="R379" s="124"/>
    </row>
    <row r="380">
      <c r="A380" s="8">
        <f t="shared" si="3"/>
        <v>379</v>
      </c>
      <c r="B380" s="8"/>
      <c r="C380" s="8"/>
      <c r="D380" s="8"/>
      <c r="E380" s="8"/>
      <c r="F380" s="8"/>
      <c r="G380" s="8"/>
      <c r="H380" s="8"/>
      <c r="I380" s="8"/>
      <c r="J380" s="8"/>
      <c r="K380" s="123"/>
      <c r="L380" s="9"/>
      <c r="M380" s="9"/>
      <c r="N380" s="10"/>
      <c r="O380" s="8"/>
      <c r="P380" s="8"/>
      <c r="Q380" s="123"/>
      <c r="R380" s="123"/>
    </row>
    <row r="381">
      <c r="A381" s="15">
        <f t="shared" si="3"/>
        <v>380</v>
      </c>
      <c r="B381" s="15"/>
      <c r="C381" s="15"/>
      <c r="D381" s="15"/>
      <c r="E381" s="15"/>
      <c r="F381" s="15"/>
      <c r="G381" s="15"/>
      <c r="H381" s="15"/>
      <c r="I381" s="15"/>
      <c r="J381" s="15"/>
      <c r="K381" s="124"/>
      <c r="L381" s="16"/>
      <c r="M381" s="16"/>
      <c r="N381" s="17"/>
      <c r="O381" s="15"/>
      <c r="P381" s="15"/>
      <c r="Q381" s="124"/>
      <c r="R381" s="124"/>
    </row>
    <row r="382">
      <c r="A382" s="8">
        <f t="shared" si="3"/>
        <v>381</v>
      </c>
      <c r="B382" s="8"/>
      <c r="C382" s="8"/>
      <c r="D382" s="8"/>
      <c r="E382" s="8"/>
      <c r="F382" s="8"/>
      <c r="G382" s="8"/>
      <c r="H382" s="8"/>
      <c r="I382" s="8"/>
      <c r="J382" s="8"/>
      <c r="K382" s="123"/>
      <c r="L382" s="9"/>
      <c r="M382" s="9"/>
      <c r="N382" s="10"/>
      <c r="O382" s="8"/>
      <c r="P382" s="8"/>
      <c r="Q382" s="123"/>
      <c r="R382" s="123"/>
    </row>
    <row r="383">
      <c r="A383" s="15">
        <f t="shared" si="3"/>
        <v>382</v>
      </c>
      <c r="B383" s="15"/>
      <c r="C383" s="15"/>
      <c r="D383" s="15"/>
      <c r="E383" s="15"/>
      <c r="F383" s="15"/>
      <c r="G383" s="15"/>
      <c r="H383" s="15"/>
      <c r="I383" s="15"/>
      <c r="J383" s="15"/>
      <c r="K383" s="124"/>
      <c r="L383" s="16"/>
      <c r="M383" s="16"/>
      <c r="N383" s="17"/>
      <c r="O383" s="15"/>
      <c r="P383" s="15"/>
      <c r="Q383" s="124"/>
      <c r="R383" s="124"/>
    </row>
    <row r="384">
      <c r="A384" s="8">
        <f t="shared" si="3"/>
        <v>383</v>
      </c>
      <c r="B384" s="8"/>
      <c r="C384" s="8"/>
      <c r="D384" s="8"/>
      <c r="E384" s="8"/>
      <c r="F384" s="8"/>
      <c r="G384" s="8"/>
      <c r="H384" s="8"/>
      <c r="I384" s="8"/>
      <c r="J384" s="8"/>
      <c r="K384" s="123"/>
      <c r="L384" s="9"/>
      <c r="M384" s="9"/>
      <c r="N384" s="10"/>
      <c r="O384" s="8"/>
      <c r="P384" s="8"/>
      <c r="Q384" s="123"/>
      <c r="R384" s="123"/>
    </row>
    <row r="385">
      <c r="A385" s="15">
        <f t="shared" si="3"/>
        <v>384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24"/>
      <c r="L385" s="16"/>
      <c r="M385" s="16"/>
      <c r="N385" s="17"/>
      <c r="O385" s="15"/>
      <c r="P385" s="15"/>
      <c r="Q385" s="124"/>
      <c r="R385" s="124"/>
    </row>
    <row r="386">
      <c r="A386" s="8">
        <f t="shared" si="3"/>
        <v>385</v>
      </c>
      <c r="B386" s="8"/>
      <c r="C386" s="8"/>
      <c r="D386" s="8"/>
      <c r="E386" s="8"/>
      <c r="F386" s="8"/>
      <c r="G386" s="8"/>
      <c r="H386" s="8"/>
      <c r="I386" s="8"/>
      <c r="J386" s="8"/>
      <c r="K386" s="123"/>
      <c r="L386" s="9"/>
      <c r="M386" s="9"/>
      <c r="N386" s="10"/>
      <c r="O386" s="8"/>
      <c r="P386" s="8"/>
      <c r="Q386" s="123"/>
      <c r="R386" s="123"/>
    </row>
    <row r="387">
      <c r="A387" s="15">
        <f t="shared" si="3"/>
        <v>386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24"/>
      <c r="L387" s="16"/>
      <c r="M387" s="16"/>
      <c r="N387" s="17"/>
      <c r="O387" s="15"/>
      <c r="P387" s="15"/>
      <c r="Q387" s="124"/>
      <c r="R387" s="124"/>
    </row>
    <row r="388">
      <c r="A388" s="8">
        <f t="shared" si="3"/>
        <v>387</v>
      </c>
      <c r="B388" s="8"/>
      <c r="C388" s="8"/>
      <c r="D388" s="8"/>
      <c r="E388" s="8"/>
      <c r="F388" s="8"/>
      <c r="G388" s="8"/>
      <c r="H388" s="8"/>
      <c r="I388" s="8"/>
      <c r="J388" s="8"/>
      <c r="K388" s="123"/>
      <c r="L388" s="9"/>
      <c r="M388" s="9"/>
      <c r="N388" s="10"/>
      <c r="O388" s="8"/>
      <c r="P388" s="8"/>
      <c r="Q388" s="123"/>
      <c r="R388" s="123"/>
    </row>
    <row r="389">
      <c r="A389" s="15">
        <f t="shared" si="3"/>
        <v>388</v>
      </c>
      <c r="B389" s="15"/>
      <c r="C389" s="15"/>
      <c r="D389" s="15"/>
      <c r="E389" s="15"/>
      <c r="F389" s="15"/>
      <c r="G389" s="15"/>
      <c r="H389" s="15"/>
      <c r="I389" s="15"/>
      <c r="J389" s="15"/>
      <c r="K389" s="124"/>
      <c r="L389" s="16"/>
      <c r="M389" s="16"/>
      <c r="N389" s="17"/>
      <c r="O389" s="15"/>
      <c r="P389" s="15"/>
      <c r="Q389" s="124"/>
      <c r="R389" s="124"/>
    </row>
    <row r="390">
      <c r="A390" s="8">
        <f t="shared" si="3"/>
        <v>389</v>
      </c>
      <c r="B390" s="8"/>
      <c r="C390" s="8"/>
      <c r="D390" s="8"/>
      <c r="E390" s="8"/>
      <c r="F390" s="8"/>
      <c r="G390" s="8"/>
      <c r="H390" s="8"/>
      <c r="I390" s="8"/>
      <c r="J390" s="8"/>
      <c r="K390" s="123"/>
      <c r="L390" s="9"/>
      <c r="M390" s="9"/>
      <c r="N390" s="10"/>
      <c r="O390" s="8"/>
      <c r="P390" s="8"/>
      <c r="Q390" s="123"/>
      <c r="R390" s="123"/>
    </row>
    <row r="391">
      <c r="A391" s="15">
        <f t="shared" si="3"/>
        <v>390</v>
      </c>
      <c r="B391" s="15"/>
      <c r="C391" s="15"/>
      <c r="D391" s="15"/>
      <c r="E391" s="15"/>
      <c r="F391" s="15"/>
      <c r="G391" s="15"/>
      <c r="H391" s="15"/>
      <c r="I391" s="15"/>
      <c r="J391" s="15"/>
      <c r="K391" s="124"/>
      <c r="L391" s="16"/>
      <c r="M391" s="16"/>
      <c r="N391" s="17"/>
      <c r="O391" s="15"/>
      <c r="P391" s="15"/>
      <c r="Q391" s="124"/>
      <c r="R391" s="124"/>
    </row>
    <row r="392">
      <c r="A392" s="8">
        <f t="shared" si="3"/>
        <v>391</v>
      </c>
      <c r="B392" s="8"/>
      <c r="C392" s="8"/>
      <c r="D392" s="8"/>
      <c r="E392" s="8"/>
      <c r="F392" s="8"/>
      <c r="G392" s="8"/>
      <c r="H392" s="8"/>
      <c r="I392" s="8"/>
      <c r="J392" s="8"/>
      <c r="K392" s="123"/>
      <c r="L392" s="9"/>
      <c r="M392" s="9"/>
      <c r="N392" s="10"/>
      <c r="O392" s="8"/>
      <c r="P392" s="8"/>
      <c r="Q392" s="123"/>
      <c r="R392" s="123"/>
    </row>
    <row r="393">
      <c r="A393" s="15">
        <f t="shared" si="3"/>
        <v>392</v>
      </c>
      <c r="B393" s="15"/>
      <c r="C393" s="15"/>
      <c r="D393" s="15"/>
      <c r="E393" s="15"/>
      <c r="F393" s="15"/>
      <c r="G393" s="15"/>
      <c r="H393" s="15"/>
      <c r="I393" s="15"/>
      <c r="J393" s="15"/>
      <c r="K393" s="124"/>
      <c r="L393" s="16"/>
      <c r="M393" s="16"/>
      <c r="N393" s="17"/>
      <c r="O393" s="15"/>
      <c r="P393" s="15"/>
      <c r="Q393" s="124"/>
      <c r="R393" s="124"/>
    </row>
    <row r="394">
      <c r="A394" s="8">
        <f t="shared" si="3"/>
        <v>393</v>
      </c>
      <c r="B394" s="8"/>
      <c r="C394" s="8"/>
      <c r="D394" s="8"/>
      <c r="E394" s="8"/>
      <c r="F394" s="8"/>
      <c r="G394" s="8"/>
      <c r="H394" s="8"/>
      <c r="I394" s="8"/>
      <c r="J394" s="8"/>
      <c r="K394" s="123"/>
      <c r="L394" s="9"/>
      <c r="M394" s="9"/>
      <c r="N394" s="10"/>
      <c r="O394" s="8"/>
      <c r="P394" s="8"/>
      <c r="Q394" s="123"/>
      <c r="R394" s="123"/>
    </row>
    <row r="395">
      <c r="A395" s="15">
        <f t="shared" si="3"/>
        <v>394</v>
      </c>
      <c r="B395" s="15"/>
      <c r="C395" s="15"/>
      <c r="D395" s="15"/>
      <c r="E395" s="15"/>
      <c r="F395" s="15"/>
      <c r="G395" s="15"/>
      <c r="H395" s="15"/>
      <c r="I395" s="15"/>
      <c r="J395" s="15"/>
      <c r="K395" s="124"/>
      <c r="L395" s="16"/>
      <c r="M395" s="16"/>
      <c r="N395" s="17"/>
      <c r="O395" s="15"/>
      <c r="P395" s="15"/>
      <c r="Q395" s="124"/>
      <c r="R395" s="124"/>
    </row>
    <row r="396">
      <c r="A396" s="8">
        <f t="shared" si="3"/>
        <v>395</v>
      </c>
      <c r="B396" s="8"/>
      <c r="C396" s="8"/>
      <c r="D396" s="8"/>
      <c r="E396" s="8"/>
      <c r="F396" s="8"/>
      <c r="G396" s="8"/>
      <c r="H396" s="8"/>
      <c r="I396" s="8"/>
      <c r="J396" s="8"/>
      <c r="K396" s="123"/>
      <c r="L396" s="9"/>
      <c r="M396" s="9"/>
      <c r="N396" s="10"/>
      <c r="O396" s="8"/>
      <c r="P396" s="8"/>
      <c r="Q396" s="123"/>
      <c r="R396" s="123"/>
    </row>
    <row r="397">
      <c r="A397" s="15">
        <f t="shared" si="3"/>
        <v>396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24"/>
      <c r="L397" s="16"/>
      <c r="M397" s="16"/>
      <c r="N397" s="17"/>
      <c r="O397" s="15"/>
      <c r="P397" s="15"/>
      <c r="Q397" s="124"/>
      <c r="R397" s="124"/>
    </row>
    <row r="398">
      <c r="A398" s="8">
        <f t="shared" si="3"/>
        <v>397</v>
      </c>
      <c r="B398" s="8"/>
      <c r="C398" s="8"/>
      <c r="D398" s="8"/>
      <c r="E398" s="8"/>
      <c r="F398" s="8"/>
      <c r="G398" s="8"/>
      <c r="H398" s="8"/>
      <c r="I398" s="8"/>
      <c r="J398" s="8"/>
      <c r="K398" s="123"/>
      <c r="L398" s="9"/>
      <c r="M398" s="9"/>
      <c r="N398" s="10"/>
      <c r="O398" s="8"/>
      <c r="P398" s="8"/>
      <c r="Q398" s="123"/>
      <c r="R398" s="123"/>
    </row>
    <row r="399">
      <c r="A399" s="15">
        <f t="shared" si="3"/>
        <v>398</v>
      </c>
      <c r="B399" s="15"/>
      <c r="C399" s="15"/>
      <c r="D399" s="15"/>
      <c r="E399" s="15"/>
      <c r="F399" s="15"/>
      <c r="G399" s="15"/>
      <c r="H399" s="15"/>
      <c r="I399" s="15"/>
      <c r="J399" s="15"/>
      <c r="K399" s="124"/>
      <c r="L399" s="16"/>
      <c r="M399" s="16"/>
      <c r="N399" s="17"/>
      <c r="O399" s="15"/>
      <c r="P399" s="15"/>
      <c r="Q399" s="124"/>
      <c r="R399" s="124"/>
    </row>
    <row r="400">
      <c r="A400" s="8">
        <f t="shared" si="3"/>
        <v>399</v>
      </c>
      <c r="B400" s="8"/>
      <c r="C400" s="8"/>
      <c r="D400" s="8"/>
      <c r="E400" s="8"/>
      <c r="F400" s="8"/>
      <c r="G400" s="8"/>
      <c r="H400" s="8"/>
      <c r="I400" s="8"/>
      <c r="J400" s="8"/>
      <c r="K400" s="123"/>
      <c r="L400" s="9"/>
      <c r="M400" s="9"/>
      <c r="N400" s="10"/>
      <c r="O400" s="8"/>
      <c r="P400" s="8"/>
      <c r="Q400" s="123"/>
      <c r="R400" s="123"/>
    </row>
    <row r="401">
      <c r="A401" s="15">
        <f t="shared" si="3"/>
        <v>400</v>
      </c>
      <c r="B401" s="15"/>
      <c r="C401" s="15"/>
      <c r="D401" s="15"/>
      <c r="E401" s="15"/>
      <c r="F401" s="15"/>
      <c r="G401" s="15"/>
      <c r="H401" s="15"/>
      <c r="I401" s="15"/>
      <c r="J401" s="15"/>
      <c r="K401" s="124"/>
      <c r="L401" s="16"/>
      <c r="M401" s="16"/>
      <c r="N401" s="17"/>
      <c r="O401" s="15"/>
      <c r="P401" s="15"/>
      <c r="Q401" s="124"/>
      <c r="R401" s="124"/>
    </row>
    <row r="402">
      <c r="A402" s="8">
        <f t="shared" si="3"/>
        <v>401</v>
      </c>
      <c r="B402" s="8"/>
      <c r="C402" s="8"/>
      <c r="D402" s="8"/>
      <c r="E402" s="8"/>
      <c r="F402" s="8"/>
      <c r="G402" s="8"/>
      <c r="H402" s="8"/>
      <c r="I402" s="8"/>
      <c r="J402" s="8"/>
      <c r="K402" s="123"/>
      <c r="L402" s="9"/>
      <c r="M402" s="9"/>
      <c r="N402" s="10"/>
      <c r="O402" s="8"/>
      <c r="P402" s="8"/>
      <c r="Q402" s="123"/>
      <c r="R402" s="123"/>
    </row>
    <row r="403">
      <c r="A403" s="15">
        <f t="shared" si="3"/>
        <v>402</v>
      </c>
      <c r="B403" s="15"/>
      <c r="C403" s="15"/>
      <c r="D403" s="15"/>
      <c r="E403" s="15"/>
      <c r="F403" s="15"/>
      <c r="G403" s="15"/>
      <c r="H403" s="15"/>
      <c r="I403" s="15"/>
      <c r="J403" s="15"/>
      <c r="K403" s="124"/>
      <c r="L403" s="16"/>
      <c r="M403" s="16"/>
      <c r="N403" s="17"/>
      <c r="O403" s="15"/>
      <c r="P403" s="15"/>
      <c r="Q403" s="124"/>
      <c r="R403" s="124"/>
    </row>
    <row r="404">
      <c r="A404" s="8">
        <f t="shared" si="3"/>
        <v>403</v>
      </c>
      <c r="B404" s="8"/>
      <c r="C404" s="8"/>
      <c r="D404" s="8"/>
      <c r="E404" s="8"/>
      <c r="F404" s="8"/>
      <c r="G404" s="8"/>
      <c r="H404" s="8"/>
      <c r="I404" s="8"/>
      <c r="J404" s="8"/>
      <c r="K404" s="123"/>
      <c r="L404" s="9"/>
      <c r="M404" s="9"/>
      <c r="N404" s="10"/>
      <c r="O404" s="8"/>
      <c r="P404" s="8"/>
      <c r="Q404" s="123"/>
      <c r="R404" s="123"/>
    </row>
    <row r="405">
      <c r="A405" s="15">
        <f t="shared" si="3"/>
        <v>404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24"/>
      <c r="L405" s="16"/>
      <c r="M405" s="16"/>
      <c r="N405" s="17"/>
      <c r="O405" s="15"/>
      <c r="P405" s="15"/>
      <c r="Q405" s="124"/>
      <c r="R405" s="124"/>
    </row>
    <row r="406">
      <c r="A406" s="8">
        <f t="shared" si="3"/>
        <v>405</v>
      </c>
      <c r="B406" s="8"/>
      <c r="C406" s="8"/>
      <c r="D406" s="8"/>
      <c r="E406" s="8"/>
      <c r="F406" s="8"/>
      <c r="G406" s="8"/>
      <c r="H406" s="8"/>
      <c r="I406" s="8"/>
      <c r="J406" s="8"/>
      <c r="K406" s="123"/>
      <c r="L406" s="9"/>
      <c r="M406" s="9"/>
      <c r="N406" s="10"/>
      <c r="O406" s="8"/>
      <c r="P406" s="8"/>
      <c r="Q406" s="123"/>
      <c r="R406" s="123"/>
    </row>
    <row r="407">
      <c r="A407" s="15">
        <f t="shared" si="3"/>
        <v>406</v>
      </c>
      <c r="B407" s="15"/>
      <c r="C407" s="15"/>
      <c r="D407" s="15"/>
      <c r="E407" s="15"/>
      <c r="F407" s="15"/>
      <c r="G407" s="15"/>
      <c r="H407" s="15"/>
      <c r="I407" s="15"/>
      <c r="J407" s="15"/>
      <c r="K407" s="124"/>
      <c r="L407" s="16"/>
      <c r="M407" s="16"/>
      <c r="N407" s="17"/>
      <c r="O407" s="15"/>
      <c r="P407" s="15"/>
      <c r="Q407" s="124"/>
      <c r="R407" s="124"/>
    </row>
    <row r="408">
      <c r="A408" s="129"/>
      <c r="B408" s="129"/>
      <c r="C408" s="129"/>
      <c r="D408" s="129"/>
      <c r="E408" s="129"/>
      <c r="F408" s="129"/>
      <c r="G408" s="129"/>
      <c r="H408" s="129"/>
      <c r="I408" s="129"/>
      <c r="J408" s="129"/>
      <c r="K408" s="130"/>
      <c r="L408" s="131"/>
      <c r="M408" s="131"/>
      <c r="N408" s="132"/>
      <c r="O408" s="129"/>
      <c r="P408" s="129"/>
      <c r="Q408" s="130"/>
      <c r="R408" s="130"/>
    </row>
    <row r="409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6"/>
      <c r="L409" s="127"/>
      <c r="M409" s="127"/>
      <c r="N409" s="128"/>
      <c r="O409" s="125"/>
      <c r="P409" s="125"/>
      <c r="Q409" s="126"/>
      <c r="R409" s="126"/>
    </row>
    <row r="410">
      <c r="A410" s="129"/>
      <c r="B410" s="129"/>
      <c r="C410" s="129"/>
      <c r="D410" s="129"/>
      <c r="E410" s="129"/>
      <c r="F410" s="129"/>
      <c r="G410" s="129"/>
      <c r="H410" s="129"/>
      <c r="I410" s="129"/>
      <c r="J410" s="129"/>
      <c r="K410" s="130"/>
      <c r="L410" s="131"/>
      <c r="M410" s="131"/>
      <c r="N410" s="132"/>
      <c r="O410" s="129"/>
      <c r="P410" s="129"/>
      <c r="Q410" s="130"/>
      <c r="R410" s="130"/>
    </row>
    <row r="411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6"/>
      <c r="L411" s="127"/>
      <c r="M411" s="127"/>
      <c r="N411" s="128"/>
      <c r="O411" s="125"/>
      <c r="P411" s="125"/>
      <c r="Q411" s="126"/>
      <c r="R411" s="126"/>
    </row>
    <row r="412">
      <c r="A412" s="129"/>
      <c r="B412" s="129"/>
      <c r="C412" s="129"/>
      <c r="D412" s="129"/>
      <c r="E412" s="129"/>
      <c r="F412" s="129"/>
      <c r="G412" s="129"/>
      <c r="H412" s="129"/>
      <c r="I412" s="129"/>
      <c r="J412" s="129"/>
      <c r="K412" s="130"/>
      <c r="L412" s="131"/>
      <c r="M412" s="131"/>
      <c r="N412" s="132"/>
      <c r="O412" s="129"/>
      <c r="P412" s="129"/>
      <c r="Q412" s="130"/>
      <c r="R412" s="130"/>
    </row>
    <row r="413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6"/>
      <c r="L413" s="127"/>
      <c r="M413" s="127"/>
      <c r="N413" s="128"/>
      <c r="O413" s="125"/>
      <c r="P413" s="125"/>
      <c r="Q413" s="126"/>
      <c r="R413" s="126"/>
    </row>
    <row r="414">
      <c r="A414" s="129"/>
      <c r="B414" s="129"/>
      <c r="C414" s="129"/>
      <c r="D414" s="129"/>
      <c r="E414" s="129"/>
      <c r="F414" s="129"/>
      <c r="G414" s="129"/>
      <c r="H414" s="129"/>
      <c r="I414" s="129"/>
      <c r="J414" s="129"/>
      <c r="K414" s="130"/>
      <c r="L414" s="131"/>
      <c r="M414" s="131"/>
      <c r="N414" s="132"/>
      <c r="O414" s="129"/>
      <c r="P414" s="129"/>
      <c r="Q414" s="130"/>
      <c r="R414" s="130"/>
    </row>
    <row r="41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6"/>
      <c r="L415" s="127"/>
      <c r="M415" s="127"/>
      <c r="N415" s="128"/>
      <c r="O415" s="125"/>
      <c r="P415" s="125"/>
      <c r="Q415" s="126"/>
      <c r="R415" s="126"/>
    </row>
    <row r="416">
      <c r="A416" s="129"/>
      <c r="B416" s="129"/>
      <c r="C416" s="129"/>
      <c r="D416" s="129"/>
      <c r="E416" s="129"/>
      <c r="F416" s="129"/>
      <c r="G416" s="129"/>
      <c r="H416" s="129"/>
      <c r="I416" s="129"/>
      <c r="J416" s="129"/>
      <c r="K416" s="130"/>
      <c r="L416" s="131"/>
      <c r="M416" s="131"/>
      <c r="N416" s="132"/>
      <c r="O416" s="129"/>
      <c r="P416" s="129"/>
      <c r="Q416" s="130"/>
      <c r="R416" s="130"/>
    </row>
    <row r="417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6"/>
      <c r="L417" s="127"/>
      <c r="M417" s="127"/>
      <c r="N417" s="128"/>
      <c r="O417" s="125"/>
      <c r="P417" s="125"/>
      <c r="Q417" s="126"/>
      <c r="R417" s="126"/>
    </row>
    <row r="418">
      <c r="A418" s="129"/>
      <c r="B418" s="129"/>
      <c r="C418" s="129"/>
      <c r="D418" s="129"/>
      <c r="E418" s="129"/>
      <c r="F418" s="129"/>
      <c r="G418" s="129"/>
      <c r="H418" s="129"/>
      <c r="I418" s="129"/>
      <c r="J418" s="129"/>
      <c r="K418" s="130"/>
      <c r="L418" s="131"/>
      <c r="M418" s="131"/>
      <c r="N418" s="132"/>
      <c r="O418" s="129"/>
      <c r="P418" s="129"/>
      <c r="Q418" s="130"/>
      <c r="R418" s="130"/>
    </row>
    <row r="419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6"/>
      <c r="L419" s="127"/>
      <c r="M419" s="127"/>
      <c r="N419" s="128"/>
      <c r="O419" s="125"/>
      <c r="P419" s="125"/>
      <c r="Q419" s="126"/>
      <c r="R419" s="126"/>
    </row>
    <row r="420">
      <c r="A420" s="129"/>
      <c r="B420" s="129"/>
      <c r="C420" s="129"/>
      <c r="D420" s="129"/>
      <c r="E420" s="129"/>
      <c r="F420" s="129"/>
      <c r="G420" s="129"/>
      <c r="H420" s="129"/>
      <c r="I420" s="129"/>
      <c r="J420" s="129"/>
      <c r="K420" s="130"/>
      <c r="L420" s="131"/>
      <c r="M420" s="131"/>
      <c r="N420" s="132"/>
      <c r="O420" s="129"/>
      <c r="P420" s="129"/>
      <c r="Q420" s="130"/>
      <c r="R420" s="130"/>
    </row>
    <row r="421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6"/>
      <c r="L421" s="127"/>
      <c r="M421" s="127"/>
      <c r="N421" s="128"/>
      <c r="O421" s="125"/>
      <c r="P421" s="125"/>
      <c r="Q421" s="126"/>
      <c r="R421" s="126"/>
    </row>
    <row r="422">
      <c r="A422" s="129"/>
      <c r="B422" s="129"/>
      <c r="C422" s="129"/>
      <c r="D422" s="129"/>
      <c r="E422" s="129"/>
      <c r="F422" s="129"/>
      <c r="G422" s="129"/>
      <c r="H422" s="129"/>
      <c r="I422" s="129"/>
      <c r="J422" s="129"/>
      <c r="K422" s="130"/>
      <c r="L422" s="131"/>
      <c r="M422" s="131"/>
      <c r="N422" s="132"/>
      <c r="O422" s="129"/>
      <c r="P422" s="129"/>
      <c r="Q422" s="130"/>
      <c r="R422" s="130"/>
    </row>
    <row r="423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6"/>
      <c r="L423" s="127"/>
      <c r="M423" s="127"/>
      <c r="N423" s="128"/>
      <c r="O423" s="125"/>
      <c r="P423" s="125"/>
      <c r="Q423" s="126"/>
      <c r="R423" s="126"/>
    </row>
    <row r="424">
      <c r="A424" s="129"/>
      <c r="B424" s="129"/>
      <c r="C424" s="129"/>
      <c r="D424" s="129"/>
      <c r="E424" s="129"/>
      <c r="F424" s="129"/>
      <c r="G424" s="129"/>
      <c r="H424" s="129"/>
      <c r="I424" s="129"/>
      <c r="J424" s="129"/>
      <c r="K424" s="130"/>
      <c r="L424" s="131"/>
      <c r="M424" s="131"/>
      <c r="N424" s="132"/>
      <c r="O424" s="129"/>
      <c r="P424" s="129"/>
      <c r="Q424" s="130"/>
      <c r="R424" s="130"/>
    </row>
    <row r="42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6"/>
      <c r="L425" s="127"/>
      <c r="M425" s="127"/>
      <c r="N425" s="128"/>
      <c r="O425" s="125"/>
      <c r="P425" s="125"/>
      <c r="Q425" s="126"/>
      <c r="R425" s="126"/>
    </row>
    <row r="426">
      <c r="A426" s="129"/>
      <c r="B426" s="129"/>
      <c r="C426" s="129"/>
      <c r="D426" s="129"/>
      <c r="E426" s="129"/>
      <c r="F426" s="129"/>
      <c r="G426" s="129"/>
      <c r="H426" s="129"/>
      <c r="I426" s="129"/>
      <c r="J426" s="129"/>
      <c r="K426" s="130"/>
      <c r="L426" s="131"/>
      <c r="M426" s="131"/>
      <c r="N426" s="132"/>
      <c r="O426" s="129"/>
      <c r="P426" s="129"/>
      <c r="Q426" s="130"/>
      <c r="R426" s="130"/>
    </row>
    <row r="427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6"/>
      <c r="L427" s="127"/>
      <c r="M427" s="127"/>
      <c r="N427" s="128"/>
      <c r="O427" s="125"/>
      <c r="P427" s="125"/>
      <c r="Q427" s="126"/>
      <c r="R427" s="126"/>
    </row>
    <row r="428">
      <c r="A428" s="129"/>
      <c r="B428" s="129"/>
      <c r="C428" s="129"/>
      <c r="D428" s="129"/>
      <c r="E428" s="129"/>
      <c r="F428" s="129"/>
      <c r="G428" s="129"/>
      <c r="H428" s="129"/>
      <c r="I428" s="129"/>
      <c r="J428" s="129"/>
      <c r="K428" s="130"/>
      <c r="L428" s="131"/>
      <c r="M428" s="131"/>
      <c r="N428" s="132"/>
      <c r="O428" s="129"/>
      <c r="P428" s="129"/>
      <c r="Q428" s="130"/>
      <c r="R428" s="130"/>
    </row>
    <row r="429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6"/>
      <c r="L429" s="127"/>
      <c r="M429" s="127"/>
      <c r="N429" s="128"/>
      <c r="O429" s="125"/>
      <c r="P429" s="125"/>
      <c r="Q429" s="126"/>
      <c r="R429" s="126"/>
    </row>
    <row r="430">
      <c r="A430" s="129"/>
      <c r="B430" s="129"/>
      <c r="C430" s="129"/>
      <c r="D430" s="129"/>
      <c r="E430" s="129"/>
      <c r="F430" s="129"/>
      <c r="G430" s="129"/>
      <c r="H430" s="129"/>
      <c r="I430" s="129"/>
      <c r="J430" s="129"/>
      <c r="K430" s="130"/>
      <c r="L430" s="131"/>
      <c r="M430" s="131"/>
      <c r="N430" s="132"/>
      <c r="O430" s="129"/>
      <c r="P430" s="129"/>
      <c r="Q430" s="130"/>
      <c r="R430" s="130"/>
    </row>
    <row r="431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6"/>
      <c r="L431" s="127"/>
      <c r="M431" s="127"/>
      <c r="N431" s="128"/>
      <c r="O431" s="125"/>
      <c r="P431" s="125"/>
      <c r="Q431" s="126"/>
      <c r="R431" s="126"/>
    </row>
    <row r="432">
      <c r="A432" s="129"/>
      <c r="B432" s="129"/>
      <c r="C432" s="129"/>
      <c r="D432" s="129"/>
      <c r="E432" s="129"/>
      <c r="F432" s="129"/>
      <c r="G432" s="129"/>
      <c r="H432" s="129"/>
      <c r="I432" s="129"/>
      <c r="J432" s="129"/>
      <c r="K432" s="130"/>
      <c r="L432" s="131"/>
      <c r="M432" s="131"/>
      <c r="N432" s="132"/>
      <c r="O432" s="129"/>
      <c r="P432" s="129"/>
      <c r="Q432" s="130"/>
      <c r="R432" s="130"/>
    </row>
    <row r="433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6"/>
      <c r="L433" s="127"/>
      <c r="M433" s="127"/>
      <c r="N433" s="128"/>
      <c r="O433" s="125"/>
      <c r="P433" s="125"/>
      <c r="Q433" s="126"/>
      <c r="R433" s="126"/>
    </row>
    <row r="434">
      <c r="A434" s="129"/>
      <c r="B434" s="129"/>
      <c r="C434" s="129"/>
      <c r="D434" s="129"/>
      <c r="E434" s="129"/>
      <c r="F434" s="129"/>
      <c r="G434" s="129"/>
      <c r="H434" s="129"/>
      <c r="I434" s="129"/>
      <c r="J434" s="129"/>
      <c r="K434" s="130"/>
      <c r="L434" s="131"/>
      <c r="M434" s="131"/>
      <c r="N434" s="132"/>
      <c r="O434" s="129"/>
      <c r="P434" s="129"/>
      <c r="Q434" s="130"/>
      <c r="R434" s="130"/>
    </row>
    <row r="43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6"/>
      <c r="L435" s="127"/>
      <c r="M435" s="127"/>
      <c r="N435" s="128"/>
      <c r="O435" s="125"/>
      <c r="P435" s="125"/>
      <c r="Q435" s="126"/>
      <c r="R435" s="126"/>
    </row>
    <row r="436">
      <c r="A436" s="129"/>
      <c r="B436" s="129"/>
      <c r="C436" s="129"/>
      <c r="D436" s="129"/>
      <c r="E436" s="129"/>
      <c r="F436" s="129"/>
      <c r="G436" s="129"/>
      <c r="H436" s="129"/>
      <c r="I436" s="129"/>
      <c r="J436" s="129"/>
      <c r="K436" s="130"/>
      <c r="L436" s="131"/>
      <c r="M436" s="131"/>
      <c r="N436" s="132"/>
      <c r="O436" s="129"/>
      <c r="P436" s="129"/>
      <c r="Q436" s="130"/>
      <c r="R436" s="130"/>
    </row>
    <row r="437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6"/>
      <c r="L437" s="127"/>
      <c r="M437" s="127"/>
      <c r="N437" s="128"/>
      <c r="O437" s="125"/>
      <c r="P437" s="125"/>
      <c r="Q437" s="126"/>
      <c r="R437" s="126"/>
    </row>
    <row r="438">
      <c r="A438" s="129"/>
      <c r="B438" s="129"/>
      <c r="C438" s="129"/>
      <c r="D438" s="129"/>
      <c r="E438" s="129"/>
      <c r="F438" s="129"/>
      <c r="G438" s="129"/>
      <c r="H438" s="129"/>
      <c r="I438" s="129"/>
      <c r="J438" s="129"/>
      <c r="K438" s="130"/>
      <c r="L438" s="131"/>
      <c r="M438" s="131"/>
      <c r="N438" s="132"/>
      <c r="O438" s="129"/>
      <c r="P438" s="129"/>
      <c r="Q438" s="130"/>
      <c r="R438" s="130"/>
    </row>
    <row r="439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6"/>
      <c r="L439" s="127"/>
      <c r="M439" s="127"/>
      <c r="N439" s="128"/>
      <c r="O439" s="125"/>
      <c r="P439" s="125"/>
      <c r="Q439" s="126"/>
      <c r="R439" s="126"/>
    </row>
    <row r="440">
      <c r="A440" s="129"/>
      <c r="B440" s="129"/>
      <c r="C440" s="129"/>
      <c r="D440" s="129"/>
      <c r="E440" s="129"/>
      <c r="F440" s="129"/>
      <c r="G440" s="129"/>
      <c r="H440" s="129"/>
      <c r="I440" s="129"/>
      <c r="J440" s="129"/>
      <c r="K440" s="130"/>
      <c r="L440" s="131"/>
      <c r="M440" s="131"/>
      <c r="N440" s="132"/>
      <c r="O440" s="129"/>
      <c r="P440" s="129"/>
      <c r="Q440" s="130"/>
      <c r="R440" s="130"/>
    </row>
    <row r="441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6"/>
      <c r="L441" s="127"/>
      <c r="M441" s="127"/>
      <c r="N441" s="128"/>
      <c r="O441" s="125"/>
      <c r="P441" s="125"/>
      <c r="Q441" s="126"/>
      <c r="R441" s="126"/>
    </row>
    <row r="442">
      <c r="A442" s="129"/>
      <c r="B442" s="129"/>
      <c r="C442" s="129"/>
      <c r="D442" s="129"/>
      <c r="E442" s="129"/>
      <c r="F442" s="129"/>
      <c r="G442" s="129"/>
      <c r="H442" s="129"/>
      <c r="I442" s="129"/>
      <c r="J442" s="129"/>
      <c r="K442" s="130"/>
      <c r="L442" s="131"/>
      <c r="M442" s="131"/>
      <c r="N442" s="132"/>
      <c r="O442" s="129"/>
      <c r="P442" s="129"/>
      <c r="Q442" s="130"/>
      <c r="R442" s="130"/>
    </row>
    <row r="443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6"/>
      <c r="L443" s="127"/>
      <c r="M443" s="127"/>
      <c r="N443" s="128"/>
      <c r="O443" s="125"/>
      <c r="P443" s="125"/>
      <c r="Q443" s="126"/>
      <c r="R443" s="126"/>
    </row>
    <row r="444">
      <c r="A444" s="129"/>
      <c r="B444" s="129"/>
      <c r="C444" s="129"/>
      <c r="D444" s="129"/>
      <c r="E444" s="129"/>
      <c r="F444" s="129"/>
      <c r="G444" s="129"/>
      <c r="H444" s="129"/>
      <c r="I444" s="129"/>
      <c r="J444" s="129"/>
      <c r="K444" s="130"/>
      <c r="L444" s="131"/>
      <c r="M444" s="131"/>
      <c r="N444" s="132"/>
      <c r="O444" s="129"/>
      <c r="P444" s="129"/>
      <c r="Q444" s="130"/>
      <c r="R444" s="130"/>
    </row>
    <row r="44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6"/>
      <c r="L445" s="127"/>
      <c r="M445" s="127"/>
      <c r="N445" s="128"/>
      <c r="O445" s="125"/>
      <c r="P445" s="125"/>
      <c r="Q445" s="126"/>
      <c r="R445" s="126"/>
    </row>
    <row r="446">
      <c r="A446" s="129"/>
      <c r="B446" s="129"/>
      <c r="C446" s="129"/>
      <c r="D446" s="129"/>
      <c r="E446" s="129"/>
      <c r="F446" s="129"/>
      <c r="G446" s="129"/>
      <c r="H446" s="129"/>
      <c r="I446" s="129"/>
      <c r="J446" s="129"/>
      <c r="K446" s="130"/>
      <c r="L446" s="131"/>
      <c r="M446" s="131"/>
      <c r="N446" s="132"/>
      <c r="O446" s="129"/>
      <c r="P446" s="129"/>
      <c r="Q446" s="130"/>
      <c r="R446" s="130"/>
    </row>
    <row r="447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6"/>
      <c r="L447" s="127"/>
      <c r="M447" s="127"/>
      <c r="N447" s="128"/>
      <c r="O447" s="125"/>
      <c r="P447" s="125"/>
      <c r="Q447" s="126"/>
      <c r="R447" s="126"/>
    </row>
    <row r="448">
      <c r="A448" s="129"/>
      <c r="B448" s="129"/>
      <c r="C448" s="129"/>
      <c r="D448" s="129"/>
      <c r="E448" s="129"/>
      <c r="F448" s="129"/>
      <c r="G448" s="129"/>
      <c r="H448" s="129"/>
      <c r="I448" s="129"/>
      <c r="J448" s="129"/>
      <c r="K448" s="130"/>
      <c r="L448" s="131"/>
      <c r="M448" s="131"/>
      <c r="N448" s="132"/>
      <c r="O448" s="129"/>
      <c r="P448" s="129"/>
      <c r="Q448" s="130"/>
      <c r="R448" s="130"/>
    </row>
    <row r="449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6"/>
      <c r="L449" s="127"/>
      <c r="M449" s="127"/>
      <c r="N449" s="128"/>
      <c r="O449" s="125"/>
      <c r="P449" s="125"/>
      <c r="Q449" s="126"/>
      <c r="R449" s="126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130"/>
      <c r="R450" s="59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126"/>
      <c r="R451" s="58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130"/>
      <c r="R452" s="59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126"/>
      <c r="R453" s="58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130"/>
      <c r="R454" s="59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126"/>
      <c r="R455" s="58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130"/>
      <c r="R456" s="59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126"/>
      <c r="R457" s="58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130"/>
      <c r="R458" s="59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</row>
  </sheetData>
  <autoFilter ref="$A$1:$R$407"/>
  <conditionalFormatting sqref="P2:P500">
    <cfRule type="cellIs" dxfId="0" priority="1" operator="equal">
      <formula>"Ganha"</formula>
    </cfRule>
  </conditionalFormatting>
  <conditionalFormatting sqref="P2:P500">
    <cfRule type="cellIs" dxfId="1" priority="2" operator="equal">
      <formula>"Ganha/devolvida"</formula>
    </cfRule>
  </conditionalFormatting>
  <conditionalFormatting sqref="P2:P500">
    <cfRule type="cellIs" dxfId="2" priority="3" operator="equal">
      <formula>"Devolvida"</formula>
    </cfRule>
  </conditionalFormatting>
  <conditionalFormatting sqref="P2:P500">
    <cfRule type="cellIs" dxfId="3" priority="4" operator="equal">
      <formula>"Perdida/devolvida"</formula>
    </cfRule>
  </conditionalFormatting>
  <conditionalFormatting sqref="P2:P500">
    <cfRule type="cellIs" dxfId="4" priority="5" operator="equal">
      <formula>"Perdida"</formula>
    </cfRule>
  </conditionalFormatting>
  <conditionalFormatting sqref="Q2:Q458 R2:R999 U2:U33">
    <cfRule type="cellIs" dxfId="0" priority="6" operator="greaterThan">
      <formula>0</formula>
    </cfRule>
  </conditionalFormatting>
  <conditionalFormatting sqref="Q2:Q458 R2:R999 U2:U33">
    <cfRule type="cellIs" dxfId="4" priority="7" operator="lessThan">
      <formula>0</formula>
    </cfRule>
  </conditionalFormatting>
  <conditionalFormatting sqref="Q2:Q999 U2:U33">
    <cfRule type="cellIs" dxfId="2" priority="8" operator="equal">
      <formula>0</formula>
    </cfRule>
  </conditionalFormatting>
  <drawing r:id="rId1"/>
  <tableParts count="2">
    <tablePart r:id="rId4"/>
    <tablePart r:id="rId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88"/>
    <col customWidth="1" min="3" max="3" width="60.38"/>
    <col customWidth="1" min="4" max="4" width="8.75"/>
    <col customWidth="1" min="5" max="5" width="9.63"/>
    <col customWidth="1" min="6" max="6" width="15.0"/>
    <col customWidth="1" min="7" max="7" width="29.13"/>
    <col customWidth="1" min="8" max="8" width="11.5"/>
    <col customWidth="1" min="9" max="9" width="4.5"/>
    <col customWidth="1" min="10" max="10" width="9.0"/>
    <col customWidth="1" min="11" max="11" width="9.5"/>
    <col customWidth="1" min="12" max="15" width="5.88"/>
    <col customWidth="1" min="16" max="16" width="6.5"/>
    <col customWidth="1" min="17" max="17" width="14.75"/>
    <col customWidth="1" min="18" max="18" width="10.75"/>
    <col customWidth="1" min="19" max="19" width="7.25"/>
    <col customWidth="1" min="20" max="20" width="4.13"/>
    <col customWidth="1" min="21" max="21" width="6.25"/>
    <col customWidth="1" min="22" max="22" width="6.5"/>
    <col customWidth="1" min="23" max="23" width="11.25"/>
  </cols>
  <sheetData>
    <row r="1">
      <c r="A1" s="3" t="s">
        <v>0</v>
      </c>
      <c r="B1" s="2" t="s">
        <v>2</v>
      </c>
      <c r="C1" s="3" t="s">
        <v>3</v>
      </c>
      <c r="D1" s="2" t="s">
        <v>1466</v>
      </c>
      <c r="E1" s="2" t="s">
        <v>1467</v>
      </c>
      <c r="F1" s="2" t="s">
        <v>1468</v>
      </c>
      <c r="G1" s="2" t="s">
        <v>5690</v>
      </c>
      <c r="H1" s="3" t="s">
        <v>4</v>
      </c>
      <c r="I1" s="3" t="s">
        <v>5</v>
      </c>
      <c r="J1" s="3" t="s">
        <v>6</v>
      </c>
      <c r="K1" s="2" t="s">
        <v>7</v>
      </c>
      <c r="L1" s="4" t="s">
        <v>8</v>
      </c>
      <c r="M1" s="5" t="s">
        <v>9</v>
      </c>
      <c r="N1" s="4" t="s">
        <v>10</v>
      </c>
      <c r="O1" s="6" t="s">
        <v>11</v>
      </c>
      <c r="P1" s="97" t="s">
        <v>12</v>
      </c>
      <c r="Q1" s="3" t="s">
        <v>13</v>
      </c>
      <c r="R1" s="4" t="s">
        <v>2372</v>
      </c>
      <c r="S1" s="4" t="s">
        <v>15</v>
      </c>
      <c r="U1" s="3" t="s">
        <v>16</v>
      </c>
      <c r="V1" s="3" t="s">
        <v>15</v>
      </c>
      <c r="W1" s="3" t="s">
        <v>17</v>
      </c>
    </row>
    <row r="2">
      <c r="A2" s="64">
        <f>1</f>
        <v>1</v>
      </c>
      <c r="B2" s="64" t="s">
        <v>19</v>
      </c>
      <c r="C2" s="64" t="s">
        <v>2709</v>
      </c>
      <c r="D2" s="64"/>
      <c r="E2" s="64"/>
      <c r="F2" s="64" t="s">
        <v>2710</v>
      </c>
      <c r="G2" s="64" t="s">
        <v>2710</v>
      </c>
      <c r="H2" s="64" t="s">
        <v>82</v>
      </c>
      <c r="I2" s="64" t="s">
        <v>598</v>
      </c>
      <c r="J2" s="64" t="s">
        <v>941</v>
      </c>
      <c r="K2" s="64" t="s">
        <v>39</v>
      </c>
      <c r="L2" s="65">
        <v>0.0</v>
      </c>
      <c r="M2" s="65">
        <v>0.5</v>
      </c>
      <c r="N2" s="65">
        <v>0.5</v>
      </c>
      <c r="O2" s="66">
        <v>45108.0</v>
      </c>
      <c r="P2" s="67">
        <v>1.8</v>
      </c>
      <c r="Q2" s="64" t="s">
        <v>25</v>
      </c>
      <c r="R2" s="68">
        <f t="shared" ref="R2:R315" si="1">IF(Q2="ganha",(N2*(P2-1)),IF(Q2="perdida",-N2,IF(Q2="devolvida",0,IF(Q2="ganha/devolvida",((N2*(P2-1)))/2,IF(Q2="perdida/devolvida",-N2/2,IF(Q2="Aguardando",0,""))))))</f>
        <v>-0.5</v>
      </c>
      <c r="S2" s="68">
        <f>R2</f>
        <v>-0.5</v>
      </c>
      <c r="U2" s="66">
        <v>45108.0</v>
      </c>
      <c r="V2" s="13">
        <f t="shared" ref="V2:V32" si="2">SUMIF($O$2:$O$2981,U2,$R$2:$R$2981)</f>
        <v>-2.24903</v>
      </c>
      <c r="W2" s="14">
        <f>SUMIF($Q$2:$Q$2981,"Aguardando",$N$2:$N$2981)</f>
        <v>0</v>
      </c>
    </row>
    <row r="3">
      <c r="A3" s="64">
        <f t="shared" ref="A3:A406" si="3">A2+1</f>
        <v>2</v>
      </c>
      <c r="B3" s="64" t="s">
        <v>40</v>
      </c>
      <c r="C3" s="64" t="s">
        <v>2711</v>
      </c>
      <c r="D3" s="64" t="s">
        <v>5564</v>
      </c>
      <c r="E3" s="64" t="s">
        <v>2556</v>
      </c>
      <c r="F3" s="64">
        <v>0.0</v>
      </c>
      <c r="G3" s="64" t="s">
        <v>5691</v>
      </c>
      <c r="H3" s="64" t="s">
        <v>940</v>
      </c>
      <c r="I3" s="64" t="s">
        <v>22</v>
      </c>
      <c r="J3" s="64" t="s">
        <v>225</v>
      </c>
      <c r="K3" s="64" t="s">
        <v>1851</v>
      </c>
      <c r="L3" s="65">
        <v>0.5</v>
      </c>
      <c r="M3" s="65">
        <v>0.9</v>
      </c>
      <c r="N3" s="65">
        <f>0.39*0.9</f>
        <v>0.351</v>
      </c>
      <c r="O3" s="66">
        <v>45108.0</v>
      </c>
      <c r="P3" s="67">
        <v>1.75</v>
      </c>
      <c r="Q3" s="64" t="s">
        <v>33</v>
      </c>
      <c r="R3" s="68">
        <f t="shared" si="1"/>
        <v>0.26325</v>
      </c>
      <c r="S3" s="68">
        <f t="shared" ref="S3:S315" si="4">S2+R3</f>
        <v>-0.23675</v>
      </c>
      <c r="U3" s="66">
        <v>45109.0</v>
      </c>
      <c r="V3" s="13">
        <f t="shared" si="2"/>
        <v>1.9327</v>
      </c>
    </row>
    <row r="4">
      <c r="A4" s="64">
        <f t="shared" si="3"/>
        <v>3</v>
      </c>
      <c r="B4" s="64" t="s">
        <v>19</v>
      </c>
      <c r="C4" s="64" t="s">
        <v>2712</v>
      </c>
      <c r="D4" s="64" t="s">
        <v>5692</v>
      </c>
      <c r="E4" s="64" t="s">
        <v>2556</v>
      </c>
      <c r="F4" s="64" t="s">
        <v>2714</v>
      </c>
      <c r="G4" s="64" t="s">
        <v>5693</v>
      </c>
      <c r="H4" s="64" t="s">
        <v>157</v>
      </c>
      <c r="I4" s="64" t="s">
        <v>22</v>
      </c>
      <c r="J4" s="64" t="s">
        <v>225</v>
      </c>
      <c r="K4" s="64" t="s">
        <v>1522</v>
      </c>
      <c r="L4" s="65">
        <v>0.25</v>
      </c>
      <c r="M4" s="65">
        <v>0.9</v>
      </c>
      <c r="N4" s="65">
        <v>0.15</v>
      </c>
      <c r="O4" s="66">
        <v>45108.0</v>
      </c>
      <c r="P4" s="67">
        <v>1.8</v>
      </c>
      <c r="Q4" s="64" t="s">
        <v>30</v>
      </c>
      <c r="R4" s="68">
        <f t="shared" si="1"/>
        <v>0.06</v>
      </c>
      <c r="S4" s="68">
        <f t="shared" si="4"/>
        <v>-0.17675</v>
      </c>
      <c r="U4" s="66">
        <v>45110.0</v>
      </c>
      <c r="V4" s="13">
        <f t="shared" si="2"/>
        <v>0</v>
      </c>
      <c r="W4" s="3" t="s">
        <v>34</v>
      </c>
    </row>
    <row r="5">
      <c r="A5" s="64">
        <f t="shared" si="3"/>
        <v>4</v>
      </c>
      <c r="B5" s="64" t="s">
        <v>19</v>
      </c>
      <c r="C5" s="64" t="s">
        <v>2715</v>
      </c>
      <c r="D5" s="64"/>
      <c r="E5" s="64"/>
      <c r="F5" s="64" t="s">
        <v>2615</v>
      </c>
      <c r="G5" s="64" t="s">
        <v>2615</v>
      </c>
      <c r="H5" s="64" t="s">
        <v>2674</v>
      </c>
      <c r="I5" s="64" t="s">
        <v>22</v>
      </c>
      <c r="J5" s="64" t="s">
        <v>29</v>
      </c>
      <c r="K5" s="64" t="s">
        <v>24</v>
      </c>
      <c r="L5" s="65">
        <v>-2.25</v>
      </c>
      <c r="M5" s="65">
        <v>0.9</v>
      </c>
      <c r="N5" s="65">
        <f>0.171*0.9</f>
        <v>0.1539</v>
      </c>
      <c r="O5" s="66">
        <v>45108.0</v>
      </c>
      <c r="P5" s="67">
        <v>1.85</v>
      </c>
      <c r="Q5" s="64" t="s">
        <v>25</v>
      </c>
      <c r="R5" s="68">
        <f t="shared" si="1"/>
        <v>-0.1539</v>
      </c>
      <c r="S5" s="68">
        <f t="shared" si="4"/>
        <v>-0.33065</v>
      </c>
      <c r="U5" s="66">
        <v>45111.0</v>
      </c>
      <c r="V5" s="13">
        <f t="shared" si="2"/>
        <v>0.2182</v>
      </c>
      <c r="W5" s="20">
        <f>sum(N2:N1014)</f>
        <v>72.67895</v>
      </c>
    </row>
    <row r="6">
      <c r="A6" s="64">
        <f t="shared" si="3"/>
        <v>5</v>
      </c>
      <c r="B6" s="64" t="s">
        <v>19</v>
      </c>
      <c r="C6" s="64" t="s">
        <v>2716</v>
      </c>
      <c r="D6" s="64" t="s">
        <v>5564</v>
      </c>
      <c r="E6" s="64" t="s">
        <v>2556</v>
      </c>
      <c r="F6" s="64">
        <v>2</v>
      </c>
      <c r="G6" s="64" t="s">
        <v>5694</v>
      </c>
      <c r="H6" s="64" t="s">
        <v>28</v>
      </c>
      <c r="I6" s="64" t="s">
        <v>22</v>
      </c>
      <c r="J6" s="64" t="s">
        <v>225</v>
      </c>
      <c r="K6" s="64" t="s">
        <v>2688</v>
      </c>
      <c r="L6" s="65">
        <v>0.5</v>
      </c>
      <c r="M6" s="65">
        <v>0.9</v>
      </c>
      <c r="N6" s="65">
        <f>0.463*0.9</f>
        <v>0.4167</v>
      </c>
      <c r="O6" s="66">
        <v>45108.0</v>
      </c>
      <c r="P6" s="67">
        <v>1.725</v>
      </c>
      <c r="Q6" s="64" t="s">
        <v>33</v>
      </c>
      <c r="R6" s="68">
        <f t="shared" si="1"/>
        <v>0.3021075</v>
      </c>
      <c r="S6" s="68">
        <f t="shared" si="4"/>
        <v>-0.0285425</v>
      </c>
      <c r="U6" s="66">
        <v>45112.0</v>
      </c>
      <c r="V6" s="13">
        <f t="shared" si="2"/>
        <v>1.240493</v>
      </c>
    </row>
    <row r="7">
      <c r="A7" s="64">
        <f t="shared" si="3"/>
        <v>6</v>
      </c>
      <c r="B7" s="64" t="s">
        <v>19</v>
      </c>
      <c r="C7" s="64" t="s">
        <v>2717</v>
      </c>
      <c r="D7" s="64" t="s">
        <v>5565</v>
      </c>
      <c r="E7" s="64" t="s">
        <v>2573</v>
      </c>
      <c r="F7" s="64">
        <f>1</f>
        <v>1</v>
      </c>
      <c r="G7" s="64" t="s">
        <v>5695</v>
      </c>
      <c r="H7" s="64" t="s">
        <v>82</v>
      </c>
      <c r="I7" s="64" t="s">
        <v>22</v>
      </c>
      <c r="J7" s="64" t="s">
        <v>894</v>
      </c>
      <c r="K7" s="64" t="s">
        <v>39</v>
      </c>
      <c r="L7" s="65">
        <v>-0.75</v>
      </c>
      <c r="M7" s="65">
        <v>0.5</v>
      </c>
      <c r="N7" s="65">
        <v>0.5</v>
      </c>
      <c r="O7" s="66">
        <v>45108.0</v>
      </c>
      <c r="P7" s="67">
        <v>1.9</v>
      </c>
      <c r="Q7" s="64" t="s">
        <v>25</v>
      </c>
      <c r="R7" s="68">
        <f t="shared" si="1"/>
        <v>-0.5</v>
      </c>
      <c r="S7" s="68">
        <f t="shared" si="4"/>
        <v>-0.5285425</v>
      </c>
      <c r="U7" s="66">
        <v>45113.0</v>
      </c>
      <c r="V7" s="13">
        <f t="shared" si="2"/>
        <v>-0.435875</v>
      </c>
      <c r="W7" s="3" t="s">
        <v>45</v>
      </c>
    </row>
    <row r="8">
      <c r="A8" s="64">
        <f t="shared" si="3"/>
        <v>7</v>
      </c>
      <c r="B8" s="64" t="s">
        <v>40</v>
      </c>
      <c r="C8" s="64" t="s">
        <v>2718</v>
      </c>
      <c r="D8" s="64" t="s">
        <v>5564</v>
      </c>
      <c r="E8" s="64" t="s">
        <v>2556</v>
      </c>
      <c r="F8" s="64">
        <v>2</v>
      </c>
      <c r="G8" s="64" t="s">
        <v>5694</v>
      </c>
      <c r="H8" s="64" t="s">
        <v>683</v>
      </c>
      <c r="I8" s="64" t="s">
        <v>22</v>
      </c>
      <c r="J8" s="64" t="s">
        <v>225</v>
      </c>
      <c r="K8" s="64" t="s">
        <v>24</v>
      </c>
      <c r="L8" s="65">
        <v>0.25</v>
      </c>
      <c r="M8" s="65">
        <v>0.9</v>
      </c>
      <c r="N8" s="65">
        <f>0.659*0.9</f>
        <v>0.5931</v>
      </c>
      <c r="O8" s="66">
        <v>45108.0</v>
      </c>
      <c r="P8" s="67">
        <f>545/450</f>
        <v>1.211111111</v>
      </c>
      <c r="Q8" s="64" t="s">
        <v>33</v>
      </c>
      <c r="R8" s="68">
        <f t="shared" si="1"/>
        <v>0.12521</v>
      </c>
      <c r="S8" s="68">
        <f t="shared" si="4"/>
        <v>-0.4033325</v>
      </c>
      <c r="U8" s="66">
        <v>45114.0</v>
      </c>
      <c r="V8" s="13">
        <f t="shared" si="2"/>
        <v>-1.0581165</v>
      </c>
      <c r="W8" s="21">
        <f>V33/(SUM(N3:N4934)-W2)</f>
        <v>0.05325879149</v>
      </c>
    </row>
    <row r="9">
      <c r="A9" s="64">
        <f t="shared" si="3"/>
        <v>8</v>
      </c>
      <c r="B9" s="64" t="s">
        <v>40</v>
      </c>
      <c r="C9" s="64" t="s">
        <v>2719</v>
      </c>
      <c r="D9" s="64"/>
      <c r="E9" s="64"/>
      <c r="F9" s="64" t="s">
        <v>2613</v>
      </c>
      <c r="G9" s="64" t="s">
        <v>2613</v>
      </c>
      <c r="H9" s="64" t="s">
        <v>768</v>
      </c>
      <c r="I9" s="64" t="s">
        <v>22</v>
      </c>
      <c r="J9" s="64" t="s">
        <v>894</v>
      </c>
      <c r="K9" s="64" t="s">
        <v>24</v>
      </c>
      <c r="L9" s="65">
        <v>-0.75</v>
      </c>
      <c r="M9" s="65">
        <v>0.9</v>
      </c>
      <c r="N9" s="65">
        <f>0.317*0.9</f>
        <v>0.2853</v>
      </c>
      <c r="O9" s="66">
        <v>45108.0</v>
      </c>
      <c r="P9" s="67">
        <v>1.85</v>
      </c>
      <c r="Q9" s="64" t="s">
        <v>30</v>
      </c>
      <c r="R9" s="68">
        <f t="shared" si="1"/>
        <v>0.1212525</v>
      </c>
      <c r="S9" s="68">
        <f t="shared" si="4"/>
        <v>-0.28208</v>
      </c>
      <c r="U9" s="66">
        <v>45115.0</v>
      </c>
      <c r="V9" s="13">
        <f t="shared" si="2"/>
        <v>0.10959</v>
      </c>
    </row>
    <row r="10">
      <c r="A10" s="64">
        <f t="shared" si="3"/>
        <v>9</v>
      </c>
      <c r="B10" s="64" t="s">
        <v>19</v>
      </c>
      <c r="C10" s="64" t="s">
        <v>2720</v>
      </c>
      <c r="D10" s="64"/>
      <c r="E10" s="64"/>
      <c r="F10" s="64" t="s">
        <v>2721</v>
      </c>
      <c r="G10" s="64" t="s">
        <v>2721</v>
      </c>
      <c r="H10" s="64" t="s">
        <v>182</v>
      </c>
      <c r="I10" s="64" t="s">
        <v>22</v>
      </c>
      <c r="J10" s="64" t="s">
        <v>440</v>
      </c>
      <c r="K10" s="64" t="s">
        <v>39</v>
      </c>
      <c r="L10" s="65">
        <v>0.75</v>
      </c>
      <c r="M10" s="65">
        <v>0.5</v>
      </c>
      <c r="N10" s="65">
        <v>0.5</v>
      </c>
      <c r="O10" s="66">
        <v>45108.0</v>
      </c>
      <c r="P10" s="67">
        <v>2.0</v>
      </c>
      <c r="Q10" s="64" t="s">
        <v>25</v>
      </c>
      <c r="R10" s="68">
        <f t="shared" si="1"/>
        <v>-0.5</v>
      </c>
      <c r="S10" s="68">
        <f t="shared" si="4"/>
        <v>-0.78208</v>
      </c>
      <c r="U10" s="66">
        <v>45116.0</v>
      </c>
      <c r="V10" s="13">
        <f t="shared" si="2"/>
        <v>-0.435003</v>
      </c>
      <c r="W10" s="2" t="s">
        <v>55</v>
      </c>
    </row>
    <row r="11">
      <c r="A11" s="64">
        <f t="shared" si="3"/>
        <v>10</v>
      </c>
      <c r="B11" s="64" t="s">
        <v>19</v>
      </c>
      <c r="C11" s="64" t="s">
        <v>2722</v>
      </c>
      <c r="D11" s="64" t="s">
        <v>5564</v>
      </c>
      <c r="E11" s="64" t="s">
        <v>2556</v>
      </c>
      <c r="F11" s="64" t="s">
        <v>2723</v>
      </c>
      <c r="G11" s="64" t="s">
        <v>5696</v>
      </c>
      <c r="H11" s="64" t="s">
        <v>768</v>
      </c>
      <c r="I11" s="64" t="s">
        <v>22</v>
      </c>
      <c r="J11" s="64" t="s">
        <v>225</v>
      </c>
      <c r="K11" s="64" t="s">
        <v>39</v>
      </c>
      <c r="L11" s="65">
        <v>0.25</v>
      </c>
      <c r="M11" s="65">
        <v>0.9</v>
      </c>
      <c r="N11" s="65">
        <v>0.9</v>
      </c>
      <c r="O11" s="66">
        <v>45108.0</v>
      </c>
      <c r="P11" s="67">
        <v>1.925</v>
      </c>
      <c r="Q11" s="64" t="s">
        <v>30</v>
      </c>
      <c r="R11" s="68">
        <f t="shared" si="1"/>
        <v>0.41625</v>
      </c>
      <c r="S11" s="68">
        <f t="shared" si="4"/>
        <v>-0.36583</v>
      </c>
      <c r="U11" s="66">
        <v>45117.0</v>
      </c>
      <c r="V11" s="13">
        <f t="shared" si="2"/>
        <v>0</v>
      </c>
      <c r="W11" s="21">
        <f>(SUMPRODUCT(--(M2:M1000 = N2:N1000))-countif(M2:M1000,""))/countif(M2:M1000,"&gt;0")</f>
        <v>0.6683937824</v>
      </c>
    </row>
    <row r="12">
      <c r="A12" s="64">
        <f t="shared" si="3"/>
        <v>11</v>
      </c>
      <c r="B12" s="64" t="s">
        <v>19</v>
      </c>
      <c r="C12" s="64" t="s">
        <v>2724</v>
      </c>
      <c r="D12" s="64" t="s">
        <v>5564</v>
      </c>
      <c r="E12" s="64" t="s">
        <v>2556</v>
      </c>
      <c r="F12" s="64">
        <v>0.0</v>
      </c>
      <c r="G12" s="64" t="s">
        <v>5691</v>
      </c>
      <c r="H12" s="64" t="s">
        <v>82</v>
      </c>
      <c r="I12" s="64" t="s">
        <v>22</v>
      </c>
      <c r="J12" s="64" t="s">
        <v>2725</v>
      </c>
      <c r="K12" s="64" t="s">
        <v>1522</v>
      </c>
      <c r="L12" s="65">
        <v>0.5</v>
      </c>
      <c r="M12" s="65">
        <v>0.5</v>
      </c>
      <c r="N12" s="65">
        <f>0.341*0.5</f>
        <v>0.1705</v>
      </c>
      <c r="O12" s="66">
        <v>45108.0</v>
      </c>
      <c r="P12" s="67">
        <v>1.8</v>
      </c>
      <c r="Q12" s="64" t="s">
        <v>33</v>
      </c>
      <c r="R12" s="68">
        <f t="shared" si="1"/>
        <v>0.1364</v>
      </c>
      <c r="S12" s="68">
        <f t="shared" si="4"/>
        <v>-0.22943</v>
      </c>
      <c r="U12" s="66">
        <v>45118.0</v>
      </c>
      <c r="V12" s="13">
        <f t="shared" si="2"/>
        <v>0.510171875</v>
      </c>
    </row>
    <row r="13">
      <c r="A13" s="64">
        <f t="shared" si="3"/>
        <v>12</v>
      </c>
      <c r="B13" s="64" t="s">
        <v>19</v>
      </c>
      <c r="C13" s="64" t="s">
        <v>2726</v>
      </c>
      <c r="D13" s="64" t="s">
        <v>5565</v>
      </c>
      <c r="E13" s="64" t="s">
        <v>2556</v>
      </c>
      <c r="F13" s="64">
        <v>-1.0</v>
      </c>
      <c r="G13" s="64" t="s">
        <v>5697</v>
      </c>
      <c r="H13" s="64" t="s">
        <v>82</v>
      </c>
      <c r="I13" s="64" t="s">
        <v>22</v>
      </c>
      <c r="J13" s="64" t="s">
        <v>225</v>
      </c>
      <c r="K13" s="64" t="s">
        <v>1851</v>
      </c>
      <c r="L13" s="65">
        <v>0.5</v>
      </c>
      <c r="M13" s="65">
        <v>0.9</v>
      </c>
      <c r="N13" s="65">
        <f>0.659*0.9</f>
        <v>0.5931</v>
      </c>
      <c r="O13" s="66">
        <v>45108.0</v>
      </c>
      <c r="P13" s="67">
        <v>1.775</v>
      </c>
      <c r="Q13" s="64" t="s">
        <v>25</v>
      </c>
      <c r="R13" s="68">
        <f t="shared" si="1"/>
        <v>-0.5931</v>
      </c>
      <c r="S13" s="68">
        <f t="shared" si="4"/>
        <v>-0.82253</v>
      </c>
      <c r="U13" s="66">
        <v>45119.0</v>
      </c>
      <c r="V13" s="13">
        <f t="shared" si="2"/>
        <v>0.81335</v>
      </c>
      <c r="W13" s="2" t="s">
        <v>61</v>
      </c>
    </row>
    <row r="14">
      <c r="A14" s="64">
        <f t="shared" si="3"/>
        <v>13</v>
      </c>
      <c r="B14" s="64" t="s">
        <v>19</v>
      </c>
      <c r="C14" s="64" t="s">
        <v>2727</v>
      </c>
      <c r="D14" s="64" t="s">
        <v>5565</v>
      </c>
      <c r="E14" s="64" t="s">
        <v>2556</v>
      </c>
      <c r="F14" s="64">
        <v>0.0</v>
      </c>
      <c r="G14" s="64" t="s">
        <v>5698</v>
      </c>
      <c r="H14" s="64" t="s">
        <v>82</v>
      </c>
      <c r="I14" s="64" t="s">
        <v>22</v>
      </c>
      <c r="J14" s="64" t="s">
        <v>225</v>
      </c>
      <c r="K14" s="64" t="s">
        <v>24</v>
      </c>
      <c r="L14" s="65">
        <v>0.5</v>
      </c>
      <c r="M14" s="65">
        <v>0.9</v>
      </c>
      <c r="N14" s="65">
        <v>0.9</v>
      </c>
      <c r="O14" s="66">
        <v>45108.0</v>
      </c>
      <c r="P14" s="67">
        <v>1.8</v>
      </c>
      <c r="Q14" s="64" t="s">
        <v>25</v>
      </c>
      <c r="R14" s="68">
        <f t="shared" si="1"/>
        <v>-0.9</v>
      </c>
      <c r="S14" s="68">
        <f t="shared" si="4"/>
        <v>-1.72253</v>
      </c>
      <c r="U14" s="66">
        <v>45120.0</v>
      </c>
      <c r="V14" s="13">
        <f t="shared" si="2"/>
        <v>-0.333375</v>
      </c>
      <c r="W14" s="22">
        <f>average(P2:P1000)</f>
        <v>1.766086707</v>
      </c>
    </row>
    <row r="15">
      <c r="A15" s="64">
        <f t="shared" si="3"/>
        <v>14</v>
      </c>
      <c r="B15" s="64" t="s">
        <v>19</v>
      </c>
      <c r="C15" s="64" t="s">
        <v>2728</v>
      </c>
      <c r="D15" s="64" t="s">
        <v>5564</v>
      </c>
      <c r="E15" s="64" t="s">
        <v>2556</v>
      </c>
      <c r="F15" s="64">
        <v>0.0</v>
      </c>
      <c r="G15" s="64" t="s">
        <v>5691</v>
      </c>
      <c r="H15" s="64" t="s">
        <v>82</v>
      </c>
      <c r="I15" s="64" t="s">
        <v>22</v>
      </c>
      <c r="J15" s="64" t="s">
        <v>941</v>
      </c>
      <c r="K15" s="64" t="s">
        <v>24</v>
      </c>
      <c r="L15" s="65">
        <v>0.0</v>
      </c>
      <c r="M15" s="65">
        <v>0.9</v>
      </c>
      <c r="N15" s="65">
        <f>0.585*0.9</f>
        <v>0.5265</v>
      </c>
      <c r="O15" s="66">
        <v>45108.0</v>
      </c>
      <c r="P15" s="67">
        <v>1.72</v>
      </c>
      <c r="Q15" s="64" t="s">
        <v>25</v>
      </c>
      <c r="R15" s="68">
        <f t="shared" si="1"/>
        <v>-0.5265</v>
      </c>
      <c r="S15" s="68">
        <f t="shared" si="4"/>
        <v>-2.24903</v>
      </c>
      <c r="U15" s="66">
        <v>45121.0</v>
      </c>
      <c r="V15" s="13">
        <f t="shared" si="2"/>
        <v>0.35501636</v>
      </c>
    </row>
    <row r="16">
      <c r="A16" s="64">
        <f t="shared" si="3"/>
        <v>15</v>
      </c>
      <c r="B16" s="64" t="s">
        <v>19</v>
      </c>
      <c r="C16" s="64" t="s">
        <v>2729</v>
      </c>
      <c r="D16" s="64" t="s">
        <v>5565</v>
      </c>
      <c r="E16" s="64" t="s">
        <v>2556</v>
      </c>
      <c r="F16" s="64">
        <v>0.0</v>
      </c>
      <c r="G16" s="64" t="s">
        <v>5699</v>
      </c>
      <c r="H16" s="64" t="s">
        <v>463</v>
      </c>
      <c r="I16" s="64" t="s">
        <v>22</v>
      </c>
      <c r="J16" s="64" t="s">
        <v>225</v>
      </c>
      <c r="K16" s="64" t="s">
        <v>39</v>
      </c>
      <c r="L16" s="65">
        <v>1.0</v>
      </c>
      <c r="M16" s="65">
        <v>0.7</v>
      </c>
      <c r="N16" s="65">
        <v>0.7</v>
      </c>
      <c r="O16" s="66">
        <v>45109.0</v>
      </c>
      <c r="P16" s="67">
        <f>645.1/350</f>
        <v>1.843142857</v>
      </c>
      <c r="Q16" s="64" t="s">
        <v>33</v>
      </c>
      <c r="R16" s="68">
        <f t="shared" si="1"/>
        <v>0.5902</v>
      </c>
      <c r="S16" s="68">
        <f t="shared" si="4"/>
        <v>-1.65883</v>
      </c>
      <c r="U16" s="66">
        <v>45122.0</v>
      </c>
      <c r="V16" s="13">
        <f t="shared" si="2"/>
        <v>1.0551126</v>
      </c>
    </row>
    <row r="17">
      <c r="A17" s="64">
        <f t="shared" si="3"/>
        <v>16</v>
      </c>
      <c r="B17" s="64" t="s">
        <v>19</v>
      </c>
      <c r="C17" s="64" t="s">
        <v>2730</v>
      </c>
      <c r="D17" s="64" t="s">
        <v>5564</v>
      </c>
      <c r="E17" s="64" t="s">
        <v>2660</v>
      </c>
      <c r="F17" s="64">
        <v>0.0</v>
      </c>
      <c r="G17" s="64" t="s">
        <v>5700</v>
      </c>
      <c r="H17" s="64" t="s">
        <v>1470</v>
      </c>
      <c r="I17" s="64" t="s">
        <v>22</v>
      </c>
      <c r="J17" s="64" t="s">
        <v>941</v>
      </c>
      <c r="K17" s="64" t="s">
        <v>24</v>
      </c>
      <c r="L17" s="65">
        <v>0.0</v>
      </c>
      <c r="M17" s="65">
        <v>0.7</v>
      </c>
      <c r="N17" s="65">
        <v>0.7</v>
      </c>
      <c r="O17" s="66">
        <v>45109.0</v>
      </c>
      <c r="P17" s="67">
        <f>540/350</f>
        <v>1.542857143</v>
      </c>
      <c r="Q17" s="64" t="s">
        <v>33</v>
      </c>
      <c r="R17" s="68">
        <f t="shared" si="1"/>
        <v>0.38</v>
      </c>
      <c r="S17" s="68">
        <f t="shared" si="4"/>
        <v>-1.27883</v>
      </c>
      <c r="U17" s="66">
        <v>45123.0</v>
      </c>
      <c r="V17" s="13">
        <f t="shared" si="2"/>
        <v>0.06848041333</v>
      </c>
    </row>
    <row r="18">
      <c r="A18" s="64">
        <f t="shared" si="3"/>
        <v>17</v>
      </c>
      <c r="B18" s="64" t="s">
        <v>40</v>
      </c>
      <c r="C18" s="64" t="s">
        <v>2731</v>
      </c>
      <c r="D18" s="64" t="s">
        <v>5564</v>
      </c>
      <c r="E18" s="64" t="s">
        <v>2556</v>
      </c>
      <c r="F18" s="64" t="s">
        <v>2732</v>
      </c>
      <c r="G18" s="64" t="s">
        <v>5701</v>
      </c>
      <c r="H18" s="64" t="s">
        <v>525</v>
      </c>
      <c r="I18" s="64" t="s">
        <v>22</v>
      </c>
      <c r="J18" s="64" t="s">
        <v>225</v>
      </c>
      <c r="K18" s="64" t="s">
        <v>24</v>
      </c>
      <c r="L18" s="65">
        <v>0.5</v>
      </c>
      <c r="M18" s="65">
        <v>0.7</v>
      </c>
      <c r="N18" s="65">
        <v>0.7</v>
      </c>
      <c r="O18" s="66">
        <v>45109.0</v>
      </c>
      <c r="P18" s="67">
        <v>1.975</v>
      </c>
      <c r="Q18" s="64" t="s">
        <v>33</v>
      </c>
      <c r="R18" s="68">
        <f t="shared" si="1"/>
        <v>0.6825</v>
      </c>
      <c r="S18" s="68">
        <f t="shared" si="4"/>
        <v>-0.59633</v>
      </c>
      <c r="U18" s="66">
        <v>45124.0</v>
      </c>
      <c r="V18" s="13">
        <f t="shared" si="2"/>
        <v>0</v>
      </c>
    </row>
    <row r="19">
      <c r="A19" s="64">
        <f t="shared" si="3"/>
        <v>18</v>
      </c>
      <c r="B19" s="64" t="s">
        <v>19</v>
      </c>
      <c r="C19" s="64" t="s">
        <v>2733</v>
      </c>
      <c r="D19" s="64"/>
      <c r="E19" s="64"/>
      <c r="F19" s="64" t="s">
        <v>2613</v>
      </c>
      <c r="G19" s="64" t="s">
        <v>2613</v>
      </c>
      <c r="H19" s="64" t="s">
        <v>82</v>
      </c>
      <c r="I19" s="64" t="s">
        <v>598</v>
      </c>
      <c r="J19" s="64" t="s">
        <v>2415</v>
      </c>
      <c r="K19" s="64" t="s">
        <v>39</v>
      </c>
      <c r="L19" s="65">
        <v>1.0</v>
      </c>
      <c r="M19" s="65">
        <v>0.35</v>
      </c>
      <c r="N19" s="65">
        <v>0.35</v>
      </c>
      <c r="O19" s="66">
        <v>45109.0</v>
      </c>
      <c r="P19" s="67">
        <v>1.8</v>
      </c>
      <c r="Q19" s="64" t="s">
        <v>33</v>
      </c>
      <c r="R19" s="68">
        <f t="shared" si="1"/>
        <v>0.28</v>
      </c>
      <c r="S19" s="68">
        <f t="shared" si="4"/>
        <v>-0.31633</v>
      </c>
      <c r="U19" s="66">
        <v>45125.0</v>
      </c>
      <c r="V19" s="13">
        <f t="shared" si="2"/>
        <v>0.53</v>
      </c>
    </row>
    <row r="20">
      <c r="A20" s="64">
        <f t="shared" si="3"/>
        <v>19</v>
      </c>
      <c r="B20" s="64" t="s">
        <v>19</v>
      </c>
      <c r="C20" s="64" t="s">
        <v>2734</v>
      </c>
      <c r="D20" s="64" t="s">
        <v>5564</v>
      </c>
      <c r="E20" s="64" t="s">
        <v>2660</v>
      </c>
      <c r="F20" s="64">
        <v>0.0</v>
      </c>
      <c r="G20" s="64" t="s">
        <v>5700</v>
      </c>
      <c r="H20" s="64" t="s">
        <v>28</v>
      </c>
      <c r="I20" s="64" t="s">
        <v>22</v>
      </c>
      <c r="J20" s="64" t="s">
        <v>1150</v>
      </c>
      <c r="K20" s="64" t="s">
        <v>24</v>
      </c>
      <c r="L20" s="65">
        <v>0.0</v>
      </c>
      <c r="M20" s="65">
        <v>0.7</v>
      </c>
      <c r="N20" s="65">
        <f>0.775*0.7</f>
        <v>0.5425</v>
      </c>
      <c r="O20" s="66">
        <v>45111.0</v>
      </c>
      <c r="P20" s="67">
        <v>1.725</v>
      </c>
      <c r="Q20" s="64" t="s">
        <v>70</v>
      </c>
      <c r="R20" s="68">
        <f t="shared" si="1"/>
        <v>0</v>
      </c>
      <c r="S20" s="68">
        <f t="shared" si="4"/>
        <v>-0.31633</v>
      </c>
      <c r="U20" s="66">
        <v>45126.0</v>
      </c>
      <c r="V20" s="13">
        <f t="shared" si="2"/>
        <v>0.31255</v>
      </c>
    </row>
    <row r="21">
      <c r="A21" s="64">
        <f t="shared" si="3"/>
        <v>20</v>
      </c>
      <c r="B21" s="64" t="s">
        <v>19</v>
      </c>
      <c r="C21" s="64" t="s">
        <v>2735</v>
      </c>
      <c r="D21" s="64" t="s">
        <v>5564</v>
      </c>
      <c r="E21" s="64" t="s">
        <v>2556</v>
      </c>
      <c r="F21" s="64">
        <v>0.0</v>
      </c>
      <c r="G21" s="64" t="s">
        <v>5702</v>
      </c>
      <c r="H21" s="64" t="s">
        <v>820</v>
      </c>
      <c r="I21" s="64" t="s">
        <v>22</v>
      </c>
      <c r="J21" s="64" t="s">
        <v>225</v>
      </c>
      <c r="K21" s="64" t="s">
        <v>1803</v>
      </c>
      <c r="L21" s="65">
        <v>1.0</v>
      </c>
      <c r="M21" s="65">
        <v>0.7</v>
      </c>
      <c r="N21" s="65">
        <v>0.7</v>
      </c>
      <c r="O21" s="66">
        <v>45111.0</v>
      </c>
      <c r="P21" s="67">
        <v>1.04</v>
      </c>
      <c r="Q21" s="64" t="s">
        <v>33</v>
      </c>
      <c r="R21" s="68">
        <f t="shared" si="1"/>
        <v>0.028</v>
      </c>
      <c r="S21" s="68">
        <f t="shared" si="4"/>
        <v>-0.28833</v>
      </c>
      <c r="U21" s="66">
        <v>45127.0</v>
      </c>
      <c r="V21" s="13">
        <f t="shared" si="2"/>
        <v>0.1599284</v>
      </c>
    </row>
    <row r="22">
      <c r="A22" s="64">
        <f t="shared" si="3"/>
        <v>21</v>
      </c>
      <c r="B22" s="64" t="s">
        <v>19</v>
      </c>
      <c r="C22" s="64" t="s">
        <v>2736</v>
      </c>
      <c r="D22" s="64" t="s">
        <v>5564</v>
      </c>
      <c r="E22" s="64" t="s">
        <v>2556</v>
      </c>
      <c r="F22" s="64">
        <v>0.0</v>
      </c>
      <c r="G22" s="64" t="s">
        <v>5691</v>
      </c>
      <c r="H22" s="64" t="s">
        <v>182</v>
      </c>
      <c r="I22" s="64" t="s">
        <v>22</v>
      </c>
      <c r="J22" s="64" t="s">
        <v>225</v>
      </c>
      <c r="K22" s="64" t="s">
        <v>2688</v>
      </c>
      <c r="L22" s="65">
        <v>0.5</v>
      </c>
      <c r="M22" s="65">
        <v>0.7</v>
      </c>
      <c r="N22" s="65">
        <v>0.7</v>
      </c>
      <c r="O22" s="66">
        <v>45111.0</v>
      </c>
      <c r="P22" s="67">
        <v>1.85</v>
      </c>
      <c r="Q22" s="64" t="s">
        <v>33</v>
      </c>
      <c r="R22" s="68">
        <f t="shared" si="1"/>
        <v>0.595</v>
      </c>
      <c r="S22" s="68">
        <f t="shared" si="4"/>
        <v>0.30667</v>
      </c>
      <c r="U22" s="66">
        <v>45128.0</v>
      </c>
      <c r="V22" s="13">
        <f t="shared" si="2"/>
        <v>0.27754</v>
      </c>
    </row>
    <row r="23">
      <c r="A23" s="64">
        <f t="shared" si="3"/>
        <v>22</v>
      </c>
      <c r="B23" s="64" t="s">
        <v>19</v>
      </c>
      <c r="C23" s="64" t="s">
        <v>2738</v>
      </c>
      <c r="D23" s="64" t="s">
        <v>5564</v>
      </c>
      <c r="E23" s="64" t="s">
        <v>2556</v>
      </c>
      <c r="F23" s="64">
        <v>0.0</v>
      </c>
      <c r="G23" s="64" t="s">
        <v>5691</v>
      </c>
      <c r="H23" s="64" t="s">
        <v>940</v>
      </c>
      <c r="I23" s="64" t="s">
        <v>22</v>
      </c>
      <c r="J23" s="64" t="s">
        <v>225</v>
      </c>
      <c r="K23" s="64" t="s">
        <v>1851</v>
      </c>
      <c r="L23" s="65">
        <v>0.25</v>
      </c>
      <c r="M23" s="65">
        <v>0.7</v>
      </c>
      <c r="N23" s="65">
        <f>41/500</f>
        <v>0.082</v>
      </c>
      <c r="O23" s="66">
        <v>45111.0</v>
      </c>
      <c r="P23" s="67">
        <v>1.8</v>
      </c>
      <c r="Q23" s="64" t="s">
        <v>25</v>
      </c>
      <c r="R23" s="68">
        <f t="shared" si="1"/>
        <v>-0.082</v>
      </c>
      <c r="S23" s="68">
        <f t="shared" si="4"/>
        <v>0.22467</v>
      </c>
      <c r="U23" s="66">
        <v>45129.0</v>
      </c>
      <c r="V23" s="13">
        <f t="shared" si="2"/>
        <v>-1.668452</v>
      </c>
    </row>
    <row r="24">
      <c r="A24" s="64">
        <f t="shared" si="3"/>
        <v>23</v>
      </c>
      <c r="B24" s="64" t="s">
        <v>40</v>
      </c>
      <c r="C24" s="64" t="s">
        <v>2739</v>
      </c>
      <c r="D24" s="64" t="s">
        <v>5565</v>
      </c>
      <c r="E24" s="64" t="s">
        <v>2556</v>
      </c>
      <c r="F24" s="64">
        <v>0.0</v>
      </c>
      <c r="G24" s="64" t="s">
        <v>5698</v>
      </c>
      <c r="H24" s="64" t="s">
        <v>319</v>
      </c>
      <c r="I24" s="64" t="s">
        <v>22</v>
      </c>
      <c r="J24" s="64" t="s">
        <v>225</v>
      </c>
      <c r="K24" s="64" t="s">
        <v>1851</v>
      </c>
      <c r="L24" s="65">
        <v>0.5</v>
      </c>
      <c r="M24" s="65">
        <v>0.7</v>
      </c>
      <c r="N24" s="65">
        <f>0.6*0.538</f>
        <v>0.3228</v>
      </c>
      <c r="O24" s="66">
        <v>45111.0</v>
      </c>
      <c r="P24" s="67">
        <v>1.85</v>
      </c>
      <c r="Q24" s="64" t="s">
        <v>25</v>
      </c>
      <c r="R24" s="68">
        <f t="shared" si="1"/>
        <v>-0.3228</v>
      </c>
      <c r="S24" s="68">
        <f t="shared" si="4"/>
        <v>-0.09813</v>
      </c>
      <c r="U24" s="66">
        <v>45130.0</v>
      </c>
      <c r="V24" s="13">
        <f t="shared" si="2"/>
        <v>0.78372</v>
      </c>
    </row>
    <row r="25">
      <c r="A25" s="64">
        <f t="shared" si="3"/>
        <v>24</v>
      </c>
      <c r="B25" s="64" t="s">
        <v>19</v>
      </c>
      <c r="C25" s="64" t="s">
        <v>2740</v>
      </c>
      <c r="D25" s="64" t="s">
        <v>5564</v>
      </c>
      <c r="E25" s="64" t="s">
        <v>2556</v>
      </c>
      <c r="F25" s="64">
        <v>0.0</v>
      </c>
      <c r="G25" s="64" t="s">
        <v>5702</v>
      </c>
      <c r="H25" s="64" t="s">
        <v>182</v>
      </c>
      <c r="I25" s="64" t="s">
        <v>22</v>
      </c>
      <c r="J25" s="64" t="s">
        <v>225</v>
      </c>
      <c r="K25" s="64" t="s">
        <v>24</v>
      </c>
      <c r="L25" s="65">
        <v>0.25</v>
      </c>
      <c r="M25" s="65">
        <v>0.7</v>
      </c>
      <c r="N25" s="65">
        <v>0.7</v>
      </c>
      <c r="O25" s="66">
        <v>45112.0</v>
      </c>
      <c r="P25" s="67">
        <v>1.775</v>
      </c>
      <c r="Q25" s="64" t="s">
        <v>30</v>
      </c>
      <c r="R25" s="68">
        <f t="shared" si="1"/>
        <v>0.27125</v>
      </c>
      <c r="S25" s="68">
        <f t="shared" si="4"/>
        <v>0.17312</v>
      </c>
      <c r="U25" s="66">
        <v>45131.0</v>
      </c>
      <c r="V25" s="13">
        <f t="shared" si="2"/>
        <v>0</v>
      </c>
    </row>
    <row r="26">
      <c r="A26" s="64">
        <f t="shared" si="3"/>
        <v>25</v>
      </c>
      <c r="B26" s="64" t="s">
        <v>19</v>
      </c>
      <c r="C26" s="64" t="s">
        <v>2741</v>
      </c>
      <c r="D26" s="64" t="s">
        <v>5564</v>
      </c>
      <c r="E26" s="64" t="s">
        <v>2556</v>
      </c>
      <c r="F26" s="64">
        <v>0.0</v>
      </c>
      <c r="G26" s="64" t="s">
        <v>5702</v>
      </c>
      <c r="H26" s="64" t="s">
        <v>174</v>
      </c>
      <c r="I26" s="64" t="s">
        <v>22</v>
      </c>
      <c r="J26" s="64" t="s">
        <v>225</v>
      </c>
      <c r="K26" s="64" t="s">
        <v>24</v>
      </c>
      <c r="L26" s="65">
        <v>0.25</v>
      </c>
      <c r="M26" s="65">
        <v>0.7</v>
      </c>
      <c r="N26" s="65">
        <v>0.7</v>
      </c>
      <c r="O26" s="66">
        <v>45112.0</v>
      </c>
      <c r="P26" s="67">
        <v>1.76</v>
      </c>
      <c r="Q26" s="64" t="s">
        <v>33</v>
      </c>
      <c r="R26" s="68">
        <f t="shared" si="1"/>
        <v>0.532</v>
      </c>
      <c r="S26" s="68">
        <f t="shared" si="4"/>
        <v>0.70512</v>
      </c>
      <c r="U26" s="66">
        <v>45132.0</v>
      </c>
      <c r="V26" s="13">
        <f t="shared" si="2"/>
        <v>0.164</v>
      </c>
    </row>
    <row r="27">
      <c r="A27" s="64">
        <f t="shared" si="3"/>
        <v>26</v>
      </c>
      <c r="B27" s="64" t="s">
        <v>19</v>
      </c>
      <c r="C27" s="64" t="s">
        <v>2742</v>
      </c>
      <c r="D27" s="64" t="s">
        <v>5565</v>
      </c>
      <c r="E27" s="64" t="s">
        <v>2556</v>
      </c>
      <c r="F27" s="64">
        <v>-1.0</v>
      </c>
      <c r="G27" s="64" t="s">
        <v>5703</v>
      </c>
      <c r="H27" s="64" t="s">
        <v>463</v>
      </c>
      <c r="I27" s="64" t="s">
        <v>22</v>
      </c>
      <c r="J27" s="64" t="s">
        <v>225</v>
      </c>
      <c r="K27" s="64" t="s">
        <v>39</v>
      </c>
      <c r="L27" s="65">
        <v>2.25</v>
      </c>
      <c r="M27" s="65">
        <v>0.01</v>
      </c>
      <c r="N27" s="65">
        <v>0.01</v>
      </c>
      <c r="O27" s="66">
        <v>45112.0</v>
      </c>
      <c r="P27" s="67">
        <v>1.85</v>
      </c>
      <c r="Q27" s="64" t="s">
        <v>33</v>
      </c>
      <c r="R27" s="68">
        <f t="shared" si="1"/>
        <v>0.0085</v>
      </c>
      <c r="S27" s="68">
        <f t="shared" si="4"/>
        <v>0.71362</v>
      </c>
      <c r="U27" s="66">
        <v>45133.0</v>
      </c>
      <c r="V27" s="13">
        <f t="shared" si="2"/>
        <v>0.25</v>
      </c>
    </row>
    <row r="28">
      <c r="A28" s="64">
        <f t="shared" si="3"/>
        <v>27</v>
      </c>
      <c r="B28" s="64" t="s">
        <v>19</v>
      </c>
      <c r="C28" s="64" t="s">
        <v>2743</v>
      </c>
      <c r="D28" s="64"/>
      <c r="E28" s="64"/>
      <c r="F28" s="64" t="s">
        <v>2567</v>
      </c>
      <c r="G28" s="64" t="s">
        <v>2567</v>
      </c>
      <c r="H28" s="64" t="s">
        <v>68</v>
      </c>
      <c r="I28" s="64" t="s">
        <v>22</v>
      </c>
      <c r="J28" s="64" t="s">
        <v>29</v>
      </c>
      <c r="K28" s="64" t="s">
        <v>24</v>
      </c>
      <c r="L28" s="65">
        <v>-1.25</v>
      </c>
      <c r="M28" s="65">
        <v>0.35</v>
      </c>
      <c r="N28" s="65">
        <f>0.675*0.35</f>
        <v>0.23625</v>
      </c>
      <c r="O28" s="66">
        <v>45112.0</v>
      </c>
      <c r="P28" s="67">
        <f>285.18/175</f>
        <v>1.6296</v>
      </c>
      <c r="Q28" s="64" t="s">
        <v>33</v>
      </c>
      <c r="R28" s="68">
        <f t="shared" si="1"/>
        <v>0.148743</v>
      </c>
      <c r="S28" s="68">
        <f t="shared" si="4"/>
        <v>0.862363</v>
      </c>
      <c r="U28" s="66">
        <v>45134.0</v>
      </c>
      <c r="V28" s="13">
        <f t="shared" si="2"/>
        <v>0</v>
      </c>
    </row>
    <row r="29">
      <c r="A29" s="64">
        <f t="shared" si="3"/>
        <v>28</v>
      </c>
      <c r="B29" s="64" t="s">
        <v>19</v>
      </c>
      <c r="C29" s="64" t="s">
        <v>2744</v>
      </c>
      <c r="D29" s="64"/>
      <c r="E29" s="64"/>
      <c r="F29" s="64" t="s">
        <v>2567</v>
      </c>
      <c r="G29" s="64" t="s">
        <v>2608</v>
      </c>
      <c r="H29" s="64" t="s">
        <v>182</v>
      </c>
      <c r="I29" s="64" t="s">
        <v>22</v>
      </c>
      <c r="J29" s="64" t="s">
        <v>440</v>
      </c>
      <c r="K29" s="64" t="s">
        <v>39</v>
      </c>
      <c r="L29" s="65">
        <v>3.5</v>
      </c>
      <c r="M29" s="65">
        <v>0.35</v>
      </c>
      <c r="N29" s="65">
        <v>0.35</v>
      </c>
      <c r="O29" s="66">
        <v>45112.0</v>
      </c>
      <c r="P29" s="67">
        <v>1.8</v>
      </c>
      <c r="Q29" s="64" t="s">
        <v>33</v>
      </c>
      <c r="R29" s="68">
        <f t="shared" si="1"/>
        <v>0.28</v>
      </c>
      <c r="S29" s="68">
        <f t="shared" si="4"/>
        <v>1.142363</v>
      </c>
      <c r="U29" s="66">
        <v>45135.0</v>
      </c>
      <c r="V29" s="13">
        <f t="shared" si="2"/>
        <v>0.205</v>
      </c>
    </row>
    <row r="30">
      <c r="A30" s="64">
        <f t="shared" si="3"/>
        <v>29</v>
      </c>
      <c r="B30" s="64" t="s">
        <v>19</v>
      </c>
      <c r="C30" s="64" t="s">
        <v>2745</v>
      </c>
      <c r="D30" s="64" t="s">
        <v>5565</v>
      </c>
      <c r="E30" s="64" t="s">
        <v>2556</v>
      </c>
      <c r="F30" s="64">
        <v>0.0</v>
      </c>
      <c r="G30" s="64" t="s">
        <v>5699</v>
      </c>
      <c r="H30" s="64" t="s">
        <v>525</v>
      </c>
      <c r="I30" s="64" t="s">
        <v>22</v>
      </c>
      <c r="J30" s="64" t="s">
        <v>225</v>
      </c>
      <c r="K30" s="64" t="s">
        <v>24</v>
      </c>
      <c r="L30" s="65">
        <v>0.5</v>
      </c>
      <c r="M30" s="65">
        <v>0.35</v>
      </c>
      <c r="N30" s="65">
        <v>0.35</v>
      </c>
      <c r="O30" s="66">
        <v>45113.0</v>
      </c>
      <c r="P30" s="67">
        <v>1.9</v>
      </c>
      <c r="Q30" s="64" t="s">
        <v>25</v>
      </c>
      <c r="R30" s="68">
        <f t="shared" si="1"/>
        <v>-0.35</v>
      </c>
      <c r="S30" s="68">
        <f t="shared" si="4"/>
        <v>0.792363</v>
      </c>
      <c r="U30" s="66">
        <v>45136.0</v>
      </c>
      <c r="V30" s="13">
        <f t="shared" si="2"/>
        <v>0.9881625</v>
      </c>
    </row>
    <row r="31">
      <c r="A31" s="64">
        <f t="shared" si="3"/>
        <v>30</v>
      </c>
      <c r="B31" s="64" t="s">
        <v>19</v>
      </c>
      <c r="C31" s="64" t="s">
        <v>2746</v>
      </c>
      <c r="D31" s="64"/>
      <c r="E31" s="64"/>
      <c r="F31" s="64" t="s">
        <v>2615</v>
      </c>
      <c r="G31" s="64" t="s">
        <v>2615</v>
      </c>
      <c r="H31" s="64" t="s">
        <v>182</v>
      </c>
      <c r="I31" s="64" t="s">
        <v>22</v>
      </c>
      <c r="J31" s="64" t="s">
        <v>29</v>
      </c>
      <c r="K31" s="64" t="s">
        <v>24</v>
      </c>
      <c r="L31" s="65">
        <v>-4.75</v>
      </c>
      <c r="M31" s="65">
        <v>0.35</v>
      </c>
      <c r="N31" s="65">
        <f>0.8*0.35</f>
        <v>0.28</v>
      </c>
      <c r="O31" s="66">
        <v>45113.0</v>
      </c>
      <c r="P31" s="67">
        <v>1.95</v>
      </c>
      <c r="Q31" s="64" t="s">
        <v>25</v>
      </c>
      <c r="R31" s="68">
        <f t="shared" si="1"/>
        <v>-0.28</v>
      </c>
      <c r="S31" s="68">
        <f t="shared" si="4"/>
        <v>0.512363</v>
      </c>
      <c r="U31" s="66">
        <v>45137.0</v>
      </c>
      <c r="V31" s="13">
        <f t="shared" si="2"/>
        <v>0.05</v>
      </c>
    </row>
    <row r="32">
      <c r="A32" s="64">
        <f t="shared" si="3"/>
        <v>31</v>
      </c>
      <c r="B32" s="64" t="s">
        <v>19</v>
      </c>
      <c r="C32" s="64" t="s">
        <v>2747</v>
      </c>
      <c r="D32" s="64"/>
      <c r="E32" s="64"/>
      <c r="F32" s="64" t="s">
        <v>2615</v>
      </c>
      <c r="G32" s="64" t="s">
        <v>2615</v>
      </c>
      <c r="H32" s="64" t="s">
        <v>182</v>
      </c>
      <c r="I32" s="64" t="s">
        <v>22</v>
      </c>
      <c r="J32" s="64" t="s">
        <v>29</v>
      </c>
      <c r="K32" s="64" t="s">
        <v>24</v>
      </c>
      <c r="L32" s="65">
        <v>-5.0</v>
      </c>
      <c r="M32" s="65">
        <v>0.35</v>
      </c>
      <c r="N32" s="65">
        <f>0.2*0.35</f>
        <v>0.07</v>
      </c>
      <c r="O32" s="66">
        <v>45113.0</v>
      </c>
      <c r="P32" s="67">
        <v>1.875</v>
      </c>
      <c r="Q32" s="64" t="s">
        <v>25</v>
      </c>
      <c r="R32" s="68">
        <f t="shared" si="1"/>
        <v>-0.07</v>
      </c>
      <c r="S32" s="68">
        <f t="shared" si="4"/>
        <v>0.442363</v>
      </c>
      <c r="U32" s="66">
        <v>45138.0</v>
      </c>
      <c r="V32" s="13">
        <f t="shared" si="2"/>
        <v>0</v>
      </c>
    </row>
    <row r="33">
      <c r="A33" s="64">
        <f t="shared" si="3"/>
        <v>32</v>
      </c>
      <c r="B33" s="64" t="s">
        <v>19</v>
      </c>
      <c r="C33" s="64" t="s">
        <v>2748</v>
      </c>
      <c r="D33" s="64" t="s">
        <v>5692</v>
      </c>
      <c r="E33" s="64" t="s">
        <v>2660</v>
      </c>
      <c r="F33" s="64">
        <f>1</f>
        <v>1</v>
      </c>
      <c r="G33" s="64" t="s">
        <v>5704</v>
      </c>
      <c r="H33" s="64" t="s">
        <v>182</v>
      </c>
      <c r="I33" s="64" t="s">
        <v>22</v>
      </c>
      <c r="J33" s="64" t="s">
        <v>892</v>
      </c>
      <c r="K33" s="64" t="s">
        <v>2688</v>
      </c>
      <c r="L33" s="65">
        <v>0.0</v>
      </c>
      <c r="M33" s="65">
        <v>0.7</v>
      </c>
      <c r="N33" s="65">
        <v>0.7</v>
      </c>
      <c r="O33" s="66">
        <v>45113.0</v>
      </c>
      <c r="P33" s="67">
        <v>1.75</v>
      </c>
      <c r="Q33" s="64" t="s">
        <v>70</v>
      </c>
      <c r="R33" s="68">
        <f t="shared" si="1"/>
        <v>0</v>
      </c>
      <c r="S33" s="68">
        <f t="shared" si="4"/>
        <v>0.442363</v>
      </c>
      <c r="U33" s="94" t="s">
        <v>89</v>
      </c>
      <c r="V33" s="28">
        <f>SUM(V2:V32)</f>
        <v>3.844163648</v>
      </c>
    </row>
    <row r="34">
      <c r="A34" s="64">
        <f t="shared" si="3"/>
        <v>33</v>
      </c>
      <c r="B34" s="64" t="s">
        <v>19</v>
      </c>
      <c r="C34" s="64" t="s">
        <v>2749</v>
      </c>
      <c r="D34" s="64" t="s">
        <v>5565</v>
      </c>
      <c r="E34" s="64" t="s">
        <v>2556</v>
      </c>
      <c r="F34" s="64">
        <v>-1.0</v>
      </c>
      <c r="G34" s="64" t="s">
        <v>5703</v>
      </c>
      <c r="H34" s="64" t="s">
        <v>513</v>
      </c>
      <c r="I34" s="64" t="s">
        <v>22</v>
      </c>
      <c r="J34" s="64" t="s">
        <v>225</v>
      </c>
      <c r="K34" s="64" t="s">
        <v>24</v>
      </c>
      <c r="L34" s="65">
        <v>2.5</v>
      </c>
      <c r="M34" s="65">
        <v>0.7</v>
      </c>
      <c r="N34" s="65">
        <f>0.275*0.7</f>
        <v>0.1925</v>
      </c>
      <c r="O34" s="66">
        <v>45113.0</v>
      </c>
      <c r="P34" s="67">
        <v>1.875</v>
      </c>
      <c r="Q34" s="64" t="s">
        <v>33</v>
      </c>
      <c r="R34" s="68">
        <f t="shared" si="1"/>
        <v>0.1684375</v>
      </c>
      <c r="S34" s="68">
        <f t="shared" si="4"/>
        <v>0.6108005</v>
      </c>
      <c r="U34" s="30"/>
    </row>
    <row r="35">
      <c r="A35" s="64">
        <f t="shared" si="3"/>
        <v>34</v>
      </c>
      <c r="B35" s="64" t="s">
        <v>19</v>
      </c>
      <c r="C35" s="64" t="s">
        <v>2750</v>
      </c>
      <c r="D35" s="64" t="s">
        <v>5565</v>
      </c>
      <c r="E35" s="64" t="s">
        <v>2556</v>
      </c>
      <c r="F35" s="64">
        <v>-1.0</v>
      </c>
      <c r="G35" s="64" t="s">
        <v>5703</v>
      </c>
      <c r="H35" s="64" t="s">
        <v>513</v>
      </c>
      <c r="I35" s="64" t="s">
        <v>22</v>
      </c>
      <c r="J35" s="64" t="s">
        <v>225</v>
      </c>
      <c r="K35" s="64" t="s">
        <v>24</v>
      </c>
      <c r="L35" s="65">
        <v>2.25</v>
      </c>
      <c r="M35" s="65">
        <v>0.7</v>
      </c>
      <c r="N35" s="65">
        <f>0.725*0.7</f>
        <v>0.5075</v>
      </c>
      <c r="O35" s="66">
        <v>45113.0</v>
      </c>
      <c r="P35" s="67">
        <v>1.85</v>
      </c>
      <c r="Q35" s="64" t="s">
        <v>30</v>
      </c>
      <c r="R35" s="68">
        <f t="shared" si="1"/>
        <v>0.2156875</v>
      </c>
      <c r="S35" s="68">
        <f t="shared" si="4"/>
        <v>0.826488</v>
      </c>
      <c r="U35" s="30"/>
    </row>
    <row r="36">
      <c r="A36" s="64">
        <f t="shared" si="3"/>
        <v>35</v>
      </c>
      <c r="B36" s="64" t="s">
        <v>19</v>
      </c>
      <c r="C36" s="64" t="s">
        <v>2751</v>
      </c>
      <c r="D36" s="64"/>
      <c r="E36" s="64"/>
      <c r="F36" s="64" t="s">
        <v>2567</v>
      </c>
      <c r="G36" s="64" t="s">
        <v>2567</v>
      </c>
      <c r="H36" s="64" t="s">
        <v>68</v>
      </c>
      <c r="I36" s="64" t="s">
        <v>22</v>
      </c>
      <c r="J36" s="64" t="s">
        <v>29</v>
      </c>
      <c r="K36" s="64" t="s">
        <v>24</v>
      </c>
      <c r="L36" s="65">
        <v>-0.5</v>
      </c>
      <c r="M36" s="65">
        <v>0.35</v>
      </c>
      <c r="N36" s="65">
        <v>0.35</v>
      </c>
      <c r="O36" s="66">
        <v>45113.0</v>
      </c>
      <c r="P36" s="67">
        <f>275/175</f>
        <v>1.571428571</v>
      </c>
      <c r="Q36" s="64" t="s">
        <v>33</v>
      </c>
      <c r="R36" s="68">
        <f t="shared" si="1"/>
        <v>0.2</v>
      </c>
      <c r="S36" s="68">
        <f t="shared" si="4"/>
        <v>1.026488</v>
      </c>
      <c r="U36" s="30"/>
    </row>
    <row r="37">
      <c r="A37" s="64">
        <f t="shared" si="3"/>
        <v>36</v>
      </c>
      <c r="B37" s="64" t="s">
        <v>19</v>
      </c>
      <c r="C37" s="64" t="s">
        <v>2752</v>
      </c>
      <c r="D37" s="64" t="s">
        <v>5692</v>
      </c>
      <c r="E37" s="64" t="s">
        <v>2556</v>
      </c>
      <c r="F37" s="64">
        <f>1</f>
        <v>1</v>
      </c>
      <c r="G37" s="64" t="s">
        <v>5705</v>
      </c>
      <c r="H37" s="64" t="s">
        <v>28</v>
      </c>
      <c r="I37" s="64" t="s">
        <v>22</v>
      </c>
      <c r="J37" s="64" t="s">
        <v>1150</v>
      </c>
      <c r="K37" s="64" t="s">
        <v>24</v>
      </c>
      <c r="L37" s="65">
        <v>0.0</v>
      </c>
      <c r="M37" s="65">
        <v>0.35</v>
      </c>
      <c r="N37" s="65">
        <v>0.32</v>
      </c>
      <c r="O37" s="66">
        <v>45113.0</v>
      </c>
      <c r="P37" s="67">
        <v>2.05</v>
      </c>
      <c r="Q37" s="64" t="s">
        <v>25</v>
      </c>
      <c r="R37" s="68">
        <f t="shared" si="1"/>
        <v>-0.32</v>
      </c>
      <c r="S37" s="68">
        <f t="shared" si="4"/>
        <v>0.706488</v>
      </c>
      <c r="U37" s="30"/>
    </row>
    <row r="38">
      <c r="A38" s="64">
        <f t="shared" si="3"/>
        <v>37</v>
      </c>
      <c r="B38" s="64" t="s">
        <v>19</v>
      </c>
      <c r="C38" s="64" t="s">
        <v>2753</v>
      </c>
      <c r="D38" s="64"/>
      <c r="E38" s="64"/>
      <c r="F38" s="64" t="s">
        <v>2615</v>
      </c>
      <c r="G38" s="64" t="s">
        <v>2615</v>
      </c>
      <c r="H38" s="64" t="s">
        <v>218</v>
      </c>
      <c r="I38" s="64" t="s">
        <v>22</v>
      </c>
      <c r="J38" s="64" t="s">
        <v>29</v>
      </c>
      <c r="K38" s="64" t="s">
        <v>24</v>
      </c>
      <c r="L38" s="65">
        <v>2.0</v>
      </c>
      <c r="M38" s="65">
        <v>0.35</v>
      </c>
      <c r="N38" s="65">
        <v>0.35</v>
      </c>
      <c r="O38" s="66">
        <v>45114.0</v>
      </c>
      <c r="P38" s="67">
        <v>1.9</v>
      </c>
      <c r="Q38" s="64" t="s">
        <v>70</v>
      </c>
      <c r="R38" s="68">
        <f t="shared" si="1"/>
        <v>0</v>
      </c>
      <c r="S38" s="68">
        <f t="shared" si="4"/>
        <v>0.706488</v>
      </c>
      <c r="U38" s="30"/>
    </row>
    <row r="39">
      <c r="A39" s="64">
        <f t="shared" si="3"/>
        <v>38</v>
      </c>
      <c r="B39" s="64" t="s">
        <v>19</v>
      </c>
      <c r="C39" s="64" t="s">
        <v>2754</v>
      </c>
      <c r="D39" s="64" t="s">
        <v>5692</v>
      </c>
      <c r="E39" s="64" t="s">
        <v>2755</v>
      </c>
      <c r="F39" s="64">
        <v>0.0</v>
      </c>
      <c r="G39" s="64" t="s">
        <v>5691</v>
      </c>
      <c r="H39" s="64" t="s">
        <v>82</v>
      </c>
      <c r="I39" s="64" t="s">
        <v>22</v>
      </c>
      <c r="J39" s="64" t="s">
        <v>225</v>
      </c>
      <c r="K39" s="64" t="s">
        <v>1522</v>
      </c>
      <c r="L39" s="65">
        <v>0.25</v>
      </c>
      <c r="M39" s="65">
        <v>0.005</v>
      </c>
      <c r="N39" s="65">
        <v>0.005</v>
      </c>
      <c r="O39" s="66">
        <v>45114.0</v>
      </c>
      <c r="P39" s="67">
        <v>1.825</v>
      </c>
      <c r="Q39" s="64" t="s">
        <v>25</v>
      </c>
      <c r="R39" s="68">
        <f t="shared" si="1"/>
        <v>-0.005</v>
      </c>
      <c r="S39" s="68">
        <f t="shared" si="4"/>
        <v>0.701488</v>
      </c>
      <c r="U39" s="30"/>
    </row>
    <row r="40">
      <c r="A40" s="64">
        <f t="shared" si="3"/>
        <v>39</v>
      </c>
      <c r="B40" s="64" t="s">
        <v>19</v>
      </c>
      <c r="C40" s="64" t="s">
        <v>2756</v>
      </c>
      <c r="D40" s="64" t="s">
        <v>5692</v>
      </c>
      <c r="E40" s="64" t="s">
        <v>2755</v>
      </c>
      <c r="F40" s="64">
        <v>-1.0</v>
      </c>
      <c r="G40" s="64" t="s">
        <v>5706</v>
      </c>
      <c r="H40" s="64" t="s">
        <v>82</v>
      </c>
      <c r="I40" s="64" t="s">
        <v>22</v>
      </c>
      <c r="J40" s="64" t="s">
        <v>225</v>
      </c>
      <c r="K40" s="64" t="s">
        <v>1851</v>
      </c>
      <c r="L40" s="65">
        <v>0.5</v>
      </c>
      <c r="M40" s="65">
        <v>0.35</v>
      </c>
      <c r="N40" s="65">
        <f>0.775*0.35</f>
        <v>0.27125</v>
      </c>
      <c r="O40" s="66">
        <v>45114.0</v>
      </c>
      <c r="P40" s="67">
        <f>250.57/175</f>
        <v>1.431828571</v>
      </c>
      <c r="Q40" s="64" t="s">
        <v>33</v>
      </c>
      <c r="R40" s="68">
        <f t="shared" si="1"/>
        <v>0.1171335</v>
      </c>
      <c r="S40" s="68">
        <f t="shared" si="4"/>
        <v>0.8186215</v>
      </c>
      <c r="U40" s="30"/>
    </row>
    <row r="41">
      <c r="A41" s="64">
        <f t="shared" si="3"/>
        <v>40</v>
      </c>
      <c r="B41" s="64" t="s">
        <v>19</v>
      </c>
      <c r="C41" s="64" t="s">
        <v>2757</v>
      </c>
      <c r="D41" s="64" t="s">
        <v>5692</v>
      </c>
      <c r="E41" s="64" t="s">
        <v>2755</v>
      </c>
      <c r="F41" s="64">
        <v>-2.0</v>
      </c>
      <c r="G41" s="64" t="s">
        <v>5707</v>
      </c>
      <c r="H41" s="64" t="s">
        <v>513</v>
      </c>
      <c r="I41" s="64" t="s">
        <v>22</v>
      </c>
      <c r="J41" s="64" t="s">
        <v>225</v>
      </c>
      <c r="K41" s="64" t="s">
        <v>1522</v>
      </c>
      <c r="L41" s="65">
        <v>1.0</v>
      </c>
      <c r="M41" s="65">
        <v>0.35</v>
      </c>
      <c r="N41" s="65">
        <v>0.35</v>
      </c>
      <c r="O41" s="66">
        <v>45114.0</v>
      </c>
      <c r="P41" s="67">
        <v>1.775</v>
      </c>
      <c r="Q41" s="64" t="s">
        <v>70</v>
      </c>
      <c r="R41" s="68">
        <f t="shared" si="1"/>
        <v>0</v>
      </c>
      <c r="S41" s="68">
        <f t="shared" si="4"/>
        <v>0.8186215</v>
      </c>
      <c r="U41" s="30"/>
    </row>
    <row r="42">
      <c r="A42" s="64">
        <f t="shared" si="3"/>
        <v>41</v>
      </c>
      <c r="B42" s="64" t="s">
        <v>19</v>
      </c>
      <c r="C42" s="64" t="s">
        <v>2758</v>
      </c>
      <c r="D42" s="64" t="s">
        <v>2573</v>
      </c>
      <c r="E42" s="64" t="s">
        <v>5708</v>
      </c>
      <c r="F42" s="64">
        <f t="shared" ref="F42:F43" si="5">1</f>
        <v>1</v>
      </c>
      <c r="G42" s="64" t="s">
        <v>5695</v>
      </c>
      <c r="H42" s="64" t="s">
        <v>172</v>
      </c>
      <c r="I42" s="64" t="s">
        <v>22</v>
      </c>
      <c r="J42" s="64" t="s">
        <v>894</v>
      </c>
      <c r="K42" s="64" t="s">
        <v>24</v>
      </c>
      <c r="L42" s="65">
        <v>-0.25</v>
      </c>
      <c r="M42" s="65">
        <v>0.35</v>
      </c>
      <c r="N42" s="65">
        <v>0.35</v>
      </c>
      <c r="O42" s="66">
        <v>45114.0</v>
      </c>
      <c r="P42" s="67">
        <v>2.075</v>
      </c>
      <c r="Q42" s="64" t="s">
        <v>79</v>
      </c>
      <c r="R42" s="68">
        <f t="shared" si="1"/>
        <v>-0.175</v>
      </c>
      <c r="S42" s="68">
        <f t="shared" si="4"/>
        <v>0.6436215</v>
      </c>
      <c r="U42" s="30"/>
    </row>
    <row r="43">
      <c r="A43" s="64">
        <f t="shared" si="3"/>
        <v>42</v>
      </c>
      <c r="B43" s="64" t="s">
        <v>19</v>
      </c>
      <c r="C43" s="64" t="s">
        <v>2759</v>
      </c>
      <c r="D43" s="64" t="s">
        <v>5708</v>
      </c>
      <c r="E43" s="64" t="s">
        <v>2755</v>
      </c>
      <c r="F43" s="64">
        <f t="shared" si="5"/>
        <v>1</v>
      </c>
      <c r="G43" s="64" t="s">
        <v>5709</v>
      </c>
      <c r="H43" s="64" t="s">
        <v>28</v>
      </c>
      <c r="I43" s="64" t="s">
        <v>22</v>
      </c>
      <c r="J43" s="64" t="s">
        <v>225</v>
      </c>
      <c r="K43" s="64" t="s">
        <v>39</v>
      </c>
      <c r="L43" s="65">
        <v>0.5</v>
      </c>
      <c r="M43" s="65">
        <v>0.7</v>
      </c>
      <c r="N43" s="65">
        <v>0.7</v>
      </c>
      <c r="O43" s="66">
        <v>45114.0</v>
      </c>
      <c r="P43" s="67">
        <v>1.875</v>
      </c>
      <c r="Q43" s="64" t="s">
        <v>25</v>
      </c>
      <c r="R43" s="68">
        <f t="shared" si="1"/>
        <v>-0.7</v>
      </c>
      <c r="S43" s="68">
        <f t="shared" si="4"/>
        <v>-0.0563785</v>
      </c>
    </row>
    <row r="44">
      <c r="A44" s="64">
        <f t="shared" si="3"/>
        <v>43</v>
      </c>
      <c r="B44" s="64" t="s">
        <v>19</v>
      </c>
      <c r="C44" s="64" t="s">
        <v>2760</v>
      </c>
      <c r="D44" s="64"/>
      <c r="E44" s="64"/>
      <c r="F44" s="64" t="s">
        <v>2615</v>
      </c>
      <c r="G44" s="64" t="s">
        <v>2615</v>
      </c>
      <c r="H44" s="64" t="s">
        <v>513</v>
      </c>
      <c r="I44" s="64" t="s">
        <v>22</v>
      </c>
      <c r="J44" s="64" t="s">
        <v>29</v>
      </c>
      <c r="K44" s="64" t="s">
        <v>24</v>
      </c>
      <c r="L44" s="65">
        <v>-4.0</v>
      </c>
      <c r="M44" s="65">
        <v>0.7</v>
      </c>
      <c r="N44" s="65">
        <f>0.575*0.7</f>
        <v>0.4025</v>
      </c>
      <c r="O44" s="66">
        <v>45114.0</v>
      </c>
      <c r="P44" s="67">
        <v>1.85</v>
      </c>
      <c r="Q44" s="64" t="s">
        <v>25</v>
      </c>
      <c r="R44" s="68">
        <f t="shared" si="1"/>
        <v>-0.4025</v>
      </c>
      <c r="S44" s="68">
        <f t="shared" si="4"/>
        <v>-0.4588785</v>
      </c>
    </row>
    <row r="45">
      <c r="A45" s="64">
        <f t="shared" si="3"/>
        <v>44</v>
      </c>
      <c r="B45" s="64" t="s">
        <v>19</v>
      </c>
      <c r="C45" s="64" t="s">
        <v>2761</v>
      </c>
      <c r="D45" s="64"/>
      <c r="E45" s="64"/>
      <c r="F45" s="64" t="s">
        <v>2615</v>
      </c>
      <c r="G45" s="64" t="s">
        <v>2615</v>
      </c>
      <c r="H45" s="64" t="s">
        <v>513</v>
      </c>
      <c r="I45" s="64" t="s">
        <v>22</v>
      </c>
      <c r="J45" s="64" t="s">
        <v>29</v>
      </c>
      <c r="K45" s="64" t="s">
        <v>24</v>
      </c>
      <c r="L45" s="65">
        <v>-4.25</v>
      </c>
      <c r="M45" s="65">
        <v>0.7</v>
      </c>
      <c r="N45" s="65">
        <f>0.1*0.7</f>
        <v>0.07</v>
      </c>
      <c r="O45" s="66">
        <v>45114.0</v>
      </c>
      <c r="P45" s="67">
        <v>1.9</v>
      </c>
      <c r="Q45" s="64" t="s">
        <v>25</v>
      </c>
      <c r="R45" s="68">
        <f t="shared" si="1"/>
        <v>-0.07</v>
      </c>
      <c r="S45" s="68">
        <f t="shared" si="4"/>
        <v>-0.5288785</v>
      </c>
    </row>
    <row r="46">
      <c r="A46" s="64">
        <f t="shared" si="3"/>
        <v>45</v>
      </c>
      <c r="B46" s="64" t="s">
        <v>40</v>
      </c>
      <c r="C46" s="64" t="s">
        <v>2762</v>
      </c>
      <c r="D46" s="64" t="s">
        <v>5564</v>
      </c>
      <c r="E46" s="64" t="s">
        <v>2573</v>
      </c>
      <c r="F46" s="64">
        <v>0.0</v>
      </c>
      <c r="G46" s="64" t="s">
        <v>5710</v>
      </c>
      <c r="H46" s="64" t="s">
        <v>877</v>
      </c>
      <c r="I46" s="64" t="s">
        <v>22</v>
      </c>
      <c r="J46" s="64" t="s">
        <v>894</v>
      </c>
      <c r="K46" s="64" t="s">
        <v>24</v>
      </c>
      <c r="L46" s="65">
        <v>-0.75</v>
      </c>
      <c r="M46" s="65">
        <v>0.35</v>
      </c>
      <c r="N46" s="65">
        <v>0.35</v>
      </c>
      <c r="O46" s="66">
        <v>45114.0</v>
      </c>
      <c r="P46" s="67">
        <v>1.925</v>
      </c>
      <c r="Q46" s="64" t="s">
        <v>25</v>
      </c>
      <c r="R46" s="68">
        <f t="shared" si="1"/>
        <v>-0.35</v>
      </c>
      <c r="S46" s="68">
        <f t="shared" si="4"/>
        <v>-0.8788785</v>
      </c>
    </row>
    <row r="47">
      <c r="A47" s="64">
        <f t="shared" si="3"/>
        <v>46</v>
      </c>
      <c r="B47" s="64" t="s">
        <v>19</v>
      </c>
      <c r="C47" s="64" t="s">
        <v>2763</v>
      </c>
      <c r="D47" s="64"/>
      <c r="E47" s="64"/>
      <c r="F47" s="64" t="s">
        <v>2613</v>
      </c>
      <c r="G47" s="64" t="s">
        <v>2613</v>
      </c>
      <c r="H47" s="64" t="s">
        <v>2453</v>
      </c>
      <c r="I47" s="64" t="s">
        <v>598</v>
      </c>
      <c r="J47" s="64" t="s">
        <v>29</v>
      </c>
      <c r="K47" s="64" t="s">
        <v>1522</v>
      </c>
      <c r="L47" s="65">
        <v>-3.5</v>
      </c>
      <c r="M47" s="65">
        <v>0.35</v>
      </c>
      <c r="N47" s="65">
        <v>0.35</v>
      </c>
      <c r="O47" s="66">
        <v>45114.0</v>
      </c>
      <c r="P47" s="67">
        <v>1.8</v>
      </c>
      <c r="Q47" s="64" t="s">
        <v>33</v>
      </c>
      <c r="R47" s="68">
        <f t="shared" si="1"/>
        <v>0.28</v>
      </c>
      <c r="S47" s="68">
        <f t="shared" si="4"/>
        <v>-0.5988785</v>
      </c>
    </row>
    <row r="48">
      <c r="A48" s="64">
        <f t="shared" si="3"/>
        <v>47</v>
      </c>
      <c r="B48" s="64" t="s">
        <v>19</v>
      </c>
      <c r="C48" s="64" t="s">
        <v>2764</v>
      </c>
      <c r="D48" s="64" t="s">
        <v>5565</v>
      </c>
      <c r="E48" s="64" t="s">
        <v>2556</v>
      </c>
      <c r="F48" s="64">
        <v>0.0</v>
      </c>
      <c r="G48" s="64" t="s">
        <v>5699</v>
      </c>
      <c r="H48" s="64" t="s">
        <v>82</v>
      </c>
      <c r="I48" s="64" t="s">
        <v>22</v>
      </c>
      <c r="J48" s="64" t="s">
        <v>892</v>
      </c>
      <c r="K48" s="64" t="s">
        <v>39</v>
      </c>
      <c r="L48" s="65">
        <v>0.0</v>
      </c>
      <c r="M48" s="65">
        <v>0.15</v>
      </c>
      <c r="N48" s="65">
        <v>0.15</v>
      </c>
      <c r="O48" s="66">
        <v>45114.0</v>
      </c>
      <c r="P48" s="67">
        <v>1.8</v>
      </c>
      <c r="Q48" s="64" t="s">
        <v>25</v>
      </c>
      <c r="R48" s="68">
        <f t="shared" si="1"/>
        <v>-0.15</v>
      </c>
      <c r="S48" s="68">
        <f t="shared" si="4"/>
        <v>-0.7488785</v>
      </c>
    </row>
    <row r="49">
      <c r="A49" s="64">
        <f t="shared" si="3"/>
        <v>48</v>
      </c>
      <c r="B49" s="64" t="s">
        <v>19</v>
      </c>
      <c r="C49" s="64" t="s">
        <v>2765</v>
      </c>
      <c r="D49" s="64"/>
      <c r="E49" s="64"/>
      <c r="F49" s="64" t="s">
        <v>2615</v>
      </c>
      <c r="G49" s="64" t="s">
        <v>2615</v>
      </c>
      <c r="H49" s="64" t="s">
        <v>82</v>
      </c>
      <c r="I49" s="64" t="s">
        <v>22</v>
      </c>
      <c r="J49" s="64" t="s">
        <v>2725</v>
      </c>
      <c r="K49" s="64" t="s">
        <v>39</v>
      </c>
      <c r="L49" s="65">
        <v>0.5</v>
      </c>
      <c r="M49" s="65">
        <v>0.35</v>
      </c>
      <c r="N49" s="65">
        <v>0.35</v>
      </c>
      <c r="O49" s="66">
        <v>45114.0</v>
      </c>
      <c r="P49" s="67">
        <f>273/175</f>
        <v>1.56</v>
      </c>
      <c r="Q49" s="64" t="s">
        <v>33</v>
      </c>
      <c r="R49" s="68">
        <f t="shared" si="1"/>
        <v>0.196</v>
      </c>
      <c r="S49" s="68">
        <f t="shared" si="4"/>
        <v>-0.5528785</v>
      </c>
    </row>
    <row r="50">
      <c r="A50" s="64">
        <f t="shared" si="3"/>
        <v>49</v>
      </c>
      <c r="B50" s="64" t="s">
        <v>19</v>
      </c>
      <c r="C50" s="64" t="s">
        <v>2766</v>
      </c>
      <c r="D50" s="64" t="s">
        <v>5565</v>
      </c>
      <c r="E50" s="64" t="s">
        <v>2556</v>
      </c>
      <c r="F50" s="64">
        <f>1</f>
        <v>1</v>
      </c>
      <c r="G50" s="64" t="s">
        <v>5709</v>
      </c>
      <c r="H50" s="64" t="s">
        <v>2674</v>
      </c>
      <c r="I50" s="64" t="s">
        <v>22</v>
      </c>
      <c r="J50" s="64" t="s">
        <v>225</v>
      </c>
      <c r="K50" s="64" t="s">
        <v>39</v>
      </c>
      <c r="L50" s="65">
        <v>1.5</v>
      </c>
      <c r="M50" s="65">
        <v>0.35</v>
      </c>
      <c r="N50" s="65">
        <v>0.35</v>
      </c>
      <c r="O50" s="66">
        <v>45114.0</v>
      </c>
      <c r="P50" s="67">
        <v>1.95</v>
      </c>
      <c r="Q50" s="64" t="s">
        <v>25</v>
      </c>
      <c r="R50" s="68">
        <f t="shared" si="1"/>
        <v>-0.35</v>
      </c>
      <c r="S50" s="68">
        <f t="shared" si="4"/>
        <v>-0.9028785</v>
      </c>
    </row>
    <row r="51">
      <c r="A51" s="64">
        <f t="shared" si="3"/>
        <v>50</v>
      </c>
      <c r="B51" s="64" t="s">
        <v>19</v>
      </c>
      <c r="C51" s="64" t="s">
        <v>2767</v>
      </c>
      <c r="D51" s="64"/>
      <c r="E51" s="64"/>
      <c r="F51" s="64" t="s">
        <v>2567</v>
      </c>
      <c r="G51" s="64" t="s">
        <v>2567</v>
      </c>
      <c r="H51" s="64" t="s">
        <v>78</v>
      </c>
      <c r="I51" s="64" t="s">
        <v>22</v>
      </c>
      <c r="J51" s="64" t="s">
        <v>29</v>
      </c>
      <c r="K51" s="64" t="s">
        <v>24</v>
      </c>
      <c r="L51" s="65">
        <v>-1.5</v>
      </c>
      <c r="M51" s="65">
        <v>0.35</v>
      </c>
      <c r="N51" s="65">
        <v>0.35</v>
      </c>
      <c r="O51" s="66">
        <v>45114.0</v>
      </c>
      <c r="P51" s="67">
        <v>1.75</v>
      </c>
      <c r="Q51" s="64" t="s">
        <v>33</v>
      </c>
      <c r="R51" s="68">
        <f t="shared" si="1"/>
        <v>0.2625</v>
      </c>
      <c r="S51" s="68">
        <f t="shared" si="4"/>
        <v>-0.6403785</v>
      </c>
    </row>
    <row r="52">
      <c r="A52" s="64">
        <f t="shared" si="3"/>
        <v>51</v>
      </c>
      <c r="B52" s="64" t="s">
        <v>40</v>
      </c>
      <c r="C52" s="64" t="s">
        <v>2768</v>
      </c>
      <c r="D52" s="64" t="s">
        <v>5692</v>
      </c>
      <c r="E52" s="64" t="s">
        <v>2755</v>
      </c>
      <c r="F52" s="64">
        <v>0.0</v>
      </c>
      <c r="G52" s="64" t="s">
        <v>5702</v>
      </c>
      <c r="H52" s="64" t="s">
        <v>794</v>
      </c>
      <c r="I52" s="64" t="s">
        <v>22</v>
      </c>
      <c r="J52" s="64" t="s">
        <v>225</v>
      </c>
      <c r="K52" s="64" t="s">
        <v>39</v>
      </c>
      <c r="L52" s="65">
        <v>1.75</v>
      </c>
      <c r="M52" s="65">
        <v>0.35</v>
      </c>
      <c r="N52" s="65">
        <v>0.35</v>
      </c>
      <c r="O52" s="66">
        <v>45114.0</v>
      </c>
      <c r="P52" s="67">
        <v>1.825</v>
      </c>
      <c r="Q52" s="64" t="s">
        <v>33</v>
      </c>
      <c r="R52" s="68">
        <f t="shared" si="1"/>
        <v>0.28875</v>
      </c>
      <c r="S52" s="68">
        <f t="shared" si="4"/>
        <v>-0.3516285</v>
      </c>
    </row>
    <row r="53">
      <c r="A53" s="64">
        <f t="shared" si="3"/>
        <v>52</v>
      </c>
      <c r="B53" s="64" t="s">
        <v>19</v>
      </c>
      <c r="C53" s="64" t="s">
        <v>2769</v>
      </c>
      <c r="D53" s="64" t="s">
        <v>5692</v>
      </c>
      <c r="E53" s="64" t="s">
        <v>2755</v>
      </c>
      <c r="F53" s="64">
        <v>-2.0</v>
      </c>
      <c r="G53" s="64" t="s">
        <v>5707</v>
      </c>
      <c r="H53" s="64" t="s">
        <v>28</v>
      </c>
      <c r="I53" s="64" t="s">
        <v>22</v>
      </c>
      <c r="J53" s="64" t="s">
        <v>225</v>
      </c>
      <c r="K53" s="64" t="s">
        <v>24</v>
      </c>
      <c r="L53" s="65">
        <v>0.25</v>
      </c>
      <c r="M53" s="65">
        <v>0.35</v>
      </c>
      <c r="N53" s="65">
        <v>0.35</v>
      </c>
      <c r="O53" s="66">
        <v>45115.0</v>
      </c>
      <c r="P53" s="67">
        <v>1.825</v>
      </c>
      <c r="Q53" s="64" t="s">
        <v>25</v>
      </c>
      <c r="R53" s="68">
        <f t="shared" si="1"/>
        <v>-0.35</v>
      </c>
      <c r="S53" s="68">
        <f t="shared" si="4"/>
        <v>-0.7016285</v>
      </c>
    </row>
    <row r="54">
      <c r="A54" s="64">
        <f t="shared" si="3"/>
        <v>53</v>
      </c>
      <c r="B54" s="64" t="s">
        <v>19</v>
      </c>
      <c r="C54" s="64" t="s">
        <v>2770</v>
      </c>
      <c r="D54" s="64" t="s">
        <v>5692</v>
      </c>
      <c r="E54" s="64" t="s">
        <v>2755</v>
      </c>
      <c r="F54" s="64">
        <v>3</v>
      </c>
      <c r="G54" s="64" t="s">
        <v>5711</v>
      </c>
      <c r="H54" s="64" t="s">
        <v>920</v>
      </c>
      <c r="I54" s="64" t="s">
        <v>22</v>
      </c>
      <c r="J54" s="64" t="s">
        <v>225</v>
      </c>
      <c r="K54" s="64" t="s">
        <v>1522</v>
      </c>
      <c r="L54" s="65">
        <v>0.25</v>
      </c>
      <c r="M54" s="65">
        <v>0.35</v>
      </c>
      <c r="N54" s="65">
        <v>0.35</v>
      </c>
      <c r="O54" s="66">
        <v>45115.0</v>
      </c>
      <c r="P54" s="67">
        <v>1.8</v>
      </c>
      <c r="Q54" s="64" t="s">
        <v>30</v>
      </c>
      <c r="R54" s="68">
        <f t="shared" si="1"/>
        <v>0.14</v>
      </c>
      <c r="S54" s="68">
        <f t="shared" si="4"/>
        <v>-0.5616285</v>
      </c>
    </row>
    <row r="55">
      <c r="A55" s="64">
        <f t="shared" si="3"/>
        <v>54</v>
      </c>
      <c r="B55" s="64" t="s">
        <v>19</v>
      </c>
      <c r="C55" s="64" t="s">
        <v>2771</v>
      </c>
      <c r="D55" s="64" t="s">
        <v>5565</v>
      </c>
      <c r="E55" s="64" t="s">
        <v>2660</v>
      </c>
      <c r="F55" s="64">
        <v>-2.0</v>
      </c>
      <c r="G55" s="64" t="s">
        <v>5712</v>
      </c>
      <c r="H55" s="64" t="s">
        <v>513</v>
      </c>
      <c r="I55" s="64" t="s">
        <v>22</v>
      </c>
      <c r="J55" s="64" t="s">
        <v>892</v>
      </c>
      <c r="K55" s="64" t="s">
        <v>1851</v>
      </c>
      <c r="L55" s="65">
        <v>0.0</v>
      </c>
      <c r="M55" s="65">
        <v>0.35</v>
      </c>
      <c r="N55" s="65">
        <v>0.35</v>
      </c>
      <c r="O55" s="66">
        <v>45115.0</v>
      </c>
      <c r="P55" s="67">
        <v>1.725</v>
      </c>
      <c r="Q55" s="64" t="s">
        <v>33</v>
      </c>
      <c r="R55" s="68">
        <f t="shared" si="1"/>
        <v>0.25375</v>
      </c>
      <c r="S55" s="68">
        <f t="shared" si="4"/>
        <v>-0.3078785</v>
      </c>
    </row>
    <row r="56">
      <c r="A56" s="64">
        <f t="shared" si="3"/>
        <v>55</v>
      </c>
      <c r="B56" s="64" t="s">
        <v>19</v>
      </c>
      <c r="C56" s="64" t="s">
        <v>2772</v>
      </c>
      <c r="D56" s="64" t="s">
        <v>5692</v>
      </c>
      <c r="E56" s="64" t="s">
        <v>2755</v>
      </c>
      <c r="F56" s="64">
        <f>1</f>
        <v>1</v>
      </c>
      <c r="G56" s="64" t="s">
        <v>5705</v>
      </c>
      <c r="H56" s="64" t="s">
        <v>28</v>
      </c>
      <c r="I56" s="64" t="s">
        <v>22</v>
      </c>
      <c r="J56" s="64" t="s">
        <v>892</v>
      </c>
      <c r="K56" s="64" t="s">
        <v>24</v>
      </c>
      <c r="L56" s="65">
        <v>0.0</v>
      </c>
      <c r="M56" s="65">
        <v>0.35</v>
      </c>
      <c r="N56" s="65">
        <v>0.35</v>
      </c>
      <c r="O56" s="66">
        <v>45115.0</v>
      </c>
      <c r="P56" s="67">
        <v>2.1</v>
      </c>
      <c r="Q56" s="64" t="s">
        <v>70</v>
      </c>
      <c r="R56" s="68">
        <f t="shared" si="1"/>
        <v>0</v>
      </c>
      <c r="S56" s="68">
        <f t="shared" si="4"/>
        <v>-0.3078785</v>
      </c>
    </row>
    <row r="57">
      <c r="A57" s="64">
        <f t="shared" si="3"/>
        <v>56</v>
      </c>
      <c r="B57" s="64" t="s">
        <v>19</v>
      </c>
      <c r="C57" s="64" t="s">
        <v>2773</v>
      </c>
      <c r="D57" s="64" t="s">
        <v>5692</v>
      </c>
      <c r="E57" s="64" t="s">
        <v>2755</v>
      </c>
      <c r="F57" s="64">
        <v>-1.0</v>
      </c>
      <c r="G57" s="64" t="s">
        <v>5706</v>
      </c>
      <c r="H57" s="64" t="s">
        <v>28</v>
      </c>
      <c r="I57" s="64" t="s">
        <v>22</v>
      </c>
      <c r="J57" s="64" t="s">
        <v>225</v>
      </c>
      <c r="K57" s="64" t="s">
        <v>24</v>
      </c>
      <c r="L57" s="65">
        <v>0.25</v>
      </c>
      <c r="M57" s="65">
        <v>0.35</v>
      </c>
      <c r="N57" s="65">
        <v>0.35</v>
      </c>
      <c r="O57" s="66">
        <v>45115.0</v>
      </c>
      <c r="P57" s="67">
        <f>186.83/175</f>
        <v>1.0676</v>
      </c>
      <c r="Q57" s="64" t="s">
        <v>33</v>
      </c>
      <c r="R57" s="68">
        <f t="shared" si="1"/>
        <v>0.02366</v>
      </c>
      <c r="S57" s="68">
        <f t="shared" si="4"/>
        <v>-0.2842185</v>
      </c>
    </row>
    <row r="58">
      <c r="A58" s="64">
        <f t="shared" si="3"/>
        <v>57</v>
      </c>
      <c r="B58" s="64" t="s">
        <v>40</v>
      </c>
      <c r="C58" s="64" t="s">
        <v>2774</v>
      </c>
      <c r="D58" s="64" t="s">
        <v>5692</v>
      </c>
      <c r="E58" s="64" t="s">
        <v>2755</v>
      </c>
      <c r="F58" s="64">
        <v>0.0</v>
      </c>
      <c r="G58" s="64" t="s">
        <v>5702</v>
      </c>
      <c r="H58" s="64" t="s">
        <v>1549</v>
      </c>
      <c r="I58" s="64" t="s">
        <v>22</v>
      </c>
      <c r="J58" s="64" t="s">
        <v>225</v>
      </c>
      <c r="K58" s="64" t="s">
        <v>39</v>
      </c>
      <c r="L58" s="65">
        <v>0.5</v>
      </c>
      <c r="M58" s="65">
        <v>0.35</v>
      </c>
      <c r="N58" s="65">
        <v>0.35</v>
      </c>
      <c r="O58" s="66">
        <v>45115.0</v>
      </c>
      <c r="P58" s="67">
        <v>1.85</v>
      </c>
      <c r="Q58" s="64" t="s">
        <v>33</v>
      </c>
      <c r="R58" s="68">
        <f t="shared" si="1"/>
        <v>0.2975</v>
      </c>
      <c r="S58" s="68">
        <f t="shared" si="4"/>
        <v>0.0132815</v>
      </c>
    </row>
    <row r="59">
      <c r="A59" s="64">
        <f t="shared" si="3"/>
        <v>58</v>
      </c>
      <c r="B59" s="64" t="s">
        <v>19</v>
      </c>
      <c r="C59" s="64" t="s">
        <v>2775</v>
      </c>
      <c r="D59" s="64"/>
      <c r="E59" s="64"/>
      <c r="F59" s="64" t="s">
        <v>2613</v>
      </c>
      <c r="G59" s="64" t="s">
        <v>2613</v>
      </c>
      <c r="H59" s="64" t="s">
        <v>82</v>
      </c>
      <c r="I59" s="64" t="s">
        <v>598</v>
      </c>
      <c r="J59" s="64" t="s">
        <v>2776</v>
      </c>
      <c r="K59" s="64" t="s">
        <v>39</v>
      </c>
      <c r="L59" s="65">
        <v>5.5</v>
      </c>
      <c r="M59" s="65">
        <v>0.35</v>
      </c>
      <c r="N59" s="65">
        <v>0.35</v>
      </c>
      <c r="O59" s="66">
        <v>45115.0</v>
      </c>
      <c r="P59" s="67">
        <v>2.075</v>
      </c>
      <c r="Q59" s="64" t="s">
        <v>25</v>
      </c>
      <c r="R59" s="68">
        <f t="shared" si="1"/>
        <v>-0.35</v>
      </c>
      <c r="S59" s="68">
        <f t="shared" si="4"/>
        <v>-0.3367185</v>
      </c>
    </row>
    <row r="60">
      <c r="A60" s="64">
        <f t="shared" si="3"/>
        <v>59</v>
      </c>
      <c r="B60" s="64" t="s">
        <v>19</v>
      </c>
      <c r="C60" s="64" t="s">
        <v>2777</v>
      </c>
      <c r="D60" s="64" t="s">
        <v>5565</v>
      </c>
      <c r="E60" s="64" t="s">
        <v>2556</v>
      </c>
      <c r="F60" s="64">
        <f>1</f>
        <v>1</v>
      </c>
      <c r="G60" s="64" t="s">
        <v>5709</v>
      </c>
      <c r="H60" s="64" t="s">
        <v>794</v>
      </c>
      <c r="I60" s="64" t="s">
        <v>22</v>
      </c>
      <c r="J60" s="64" t="s">
        <v>225</v>
      </c>
      <c r="K60" s="64" t="s">
        <v>39</v>
      </c>
      <c r="L60" s="65">
        <v>0.25</v>
      </c>
      <c r="M60" s="65">
        <v>0.35</v>
      </c>
      <c r="N60" s="65">
        <v>0.35</v>
      </c>
      <c r="O60" s="66">
        <v>45115.0</v>
      </c>
      <c r="P60" s="67">
        <v>1.8</v>
      </c>
      <c r="Q60" s="64" t="s">
        <v>25</v>
      </c>
      <c r="R60" s="68">
        <f t="shared" si="1"/>
        <v>-0.35</v>
      </c>
      <c r="S60" s="68">
        <f t="shared" si="4"/>
        <v>-0.6867185</v>
      </c>
    </row>
    <row r="61">
      <c r="A61" s="64">
        <f t="shared" si="3"/>
        <v>60</v>
      </c>
      <c r="B61" s="64" t="s">
        <v>40</v>
      </c>
      <c r="C61" s="64" t="s">
        <v>2778</v>
      </c>
      <c r="D61" s="64" t="s">
        <v>5565</v>
      </c>
      <c r="E61" s="64" t="s">
        <v>2660</v>
      </c>
      <c r="F61" s="64">
        <v>-1.0</v>
      </c>
      <c r="G61" s="64" t="s">
        <v>5713</v>
      </c>
      <c r="H61" s="64" t="s">
        <v>1549</v>
      </c>
      <c r="I61" s="64" t="s">
        <v>22</v>
      </c>
      <c r="J61" s="64" t="s">
        <v>892</v>
      </c>
      <c r="K61" s="64" t="s">
        <v>1522</v>
      </c>
      <c r="L61" s="65">
        <v>0.0</v>
      </c>
      <c r="M61" s="65">
        <v>0.35</v>
      </c>
      <c r="N61" s="65">
        <v>0.35</v>
      </c>
      <c r="O61" s="66">
        <v>45115.0</v>
      </c>
      <c r="P61" s="67">
        <f>185/175</f>
        <v>1.057142857</v>
      </c>
      <c r="Q61" s="64" t="s">
        <v>33</v>
      </c>
      <c r="R61" s="68">
        <f t="shared" si="1"/>
        <v>0.02</v>
      </c>
      <c r="S61" s="68">
        <f t="shared" si="4"/>
        <v>-0.6667185</v>
      </c>
    </row>
    <row r="62">
      <c r="A62" s="64">
        <f t="shared" si="3"/>
        <v>61</v>
      </c>
      <c r="B62" s="64" t="s">
        <v>19</v>
      </c>
      <c r="C62" s="64" t="s">
        <v>2779</v>
      </c>
      <c r="D62" s="64" t="s">
        <v>5564</v>
      </c>
      <c r="E62" s="64" t="s">
        <v>2556</v>
      </c>
      <c r="F62" s="64">
        <f>1</f>
        <v>1</v>
      </c>
      <c r="G62" s="64" t="s">
        <v>5705</v>
      </c>
      <c r="H62" s="64" t="s">
        <v>28</v>
      </c>
      <c r="I62" s="64" t="s">
        <v>22</v>
      </c>
      <c r="J62" s="64" t="s">
        <v>225</v>
      </c>
      <c r="K62" s="64" t="s">
        <v>24</v>
      </c>
      <c r="L62" s="65">
        <v>0.5</v>
      </c>
      <c r="M62" s="65">
        <v>0.7</v>
      </c>
      <c r="N62" s="65">
        <v>0.7</v>
      </c>
      <c r="O62" s="66">
        <v>45115.0</v>
      </c>
      <c r="P62" s="67">
        <v>1.825</v>
      </c>
      <c r="Q62" s="64" t="s">
        <v>25</v>
      </c>
      <c r="R62" s="68">
        <f t="shared" si="1"/>
        <v>-0.7</v>
      </c>
      <c r="S62" s="68">
        <f t="shared" si="4"/>
        <v>-1.3667185</v>
      </c>
    </row>
    <row r="63">
      <c r="A63" s="64">
        <f t="shared" si="3"/>
        <v>62</v>
      </c>
      <c r="B63" s="64" t="s">
        <v>19</v>
      </c>
      <c r="C63" s="64" t="s">
        <v>2780</v>
      </c>
      <c r="D63" s="64"/>
      <c r="E63" s="64"/>
      <c r="F63" s="64" t="s">
        <v>2613</v>
      </c>
      <c r="G63" s="64" t="s">
        <v>2613</v>
      </c>
      <c r="H63" s="64" t="s">
        <v>82</v>
      </c>
      <c r="I63" s="64" t="s">
        <v>22</v>
      </c>
      <c r="J63" s="64" t="s">
        <v>2634</v>
      </c>
      <c r="K63" s="64" t="s">
        <v>39</v>
      </c>
      <c r="L63" s="65"/>
      <c r="M63" s="65">
        <v>0.35</v>
      </c>
      <c r="N63" s="65">
        <v>0.2</v>
      </c>
      <c r="O63" s="66">
        <v>45115.0</v>
      </c>
      <c r="P63" s="67">
        <v>1.9</v>
      </c>
      <c r="Q63" s="64" t="s">
        <v>25</v>
      </c>
      <c r="R63" s="68">
        <f t="shared" si="1"/>
        <v>-0.2</v>
      </c>
      <c r="S63" s="68">
        <f t="shared" si="4"/>
        <v>-1.5667185</v>
      </c>
    </row>
    <row r="64">
      <c r="A64" s="64">
        <f t="shared" si="3"/>
        <v>63</v>
      </c>
      <c r="B64" s="64" t="s">
        <v>19</v>
      </c>
      <c r="C64" s="64" t="s">
        <v>2781</v>
      </c>
      <c r="D64" s="64" t="s">
        <v>5565</v>
      </c>
      <c r="E64" s="64" t="s">
        <v>2660</v>
      </c>
      <c r="F64" s="64">
        <v>0.0</v>
      </c>
      <c r="G64" s="64" t="s">
        <v>5714</v>
      </c>
      <c r="H64" s="64" t="s">
        <v>82</v>
      </c>
      <c r="I64" s="64" t="s">
        <v>22</v>
      </c>
      <c r="J64" s="64" t="s">
        <v>892</v>
      </c>
      <c r="K64" s="64" t="s">
        <v>24</v>
      </c>
      <c r="L64" s="65">
        <v>0.0</v>
      </c>
      <c r="M64" s="65">
        <v>0.5</v>
      </c>
      <c r="N64" s="65">
        <v>0.5</v>
      </c>
      <c r="O64" s="66">
        <v>45115.0</v>
      </c>
      <c r="P64" s="67">
        <f>260.59/250</f>
        <v>1.04236</v>
      </c>
      <c r="Q64" s="64" t="s">
        <v>33</v>
      </c>
      <c r="R64" s="68">
        <f t="shared" si="1"/>
        <v>0.02118</v>
      </c>
      <c r="S64" s="68">
        <f t="shared" si="4"/>
        <v>-1.5455385</v>
      </c>
    </row>
    <row r="65">
      <c r="A65" s="64">
        <f t="shared" si="3"/>
        <v>64</v>
      </c>
      <c r="B65" s="64" t="s">
        <v>19</v>
      </c>
      <c r="C65" s="64" t="s">
        <v>2782</v>
      </c>
      <c r="D65" s="64" t="s">
        <v>5564</v>
      </c>
      <c r="E65" s="64" t="s">
        <v>2556</v>
      </c>
      <c r="F65" s="64">
        <v>0.0</v>
      </c>
      <c r="G65" s="64" t="s">
        <v>5702</v>
      </c>
      <c r="H65" s="64" t="s">
        <v>82</v>
      </c>
      <c r="I65" s="64" t="s">
        <v>22</v>
      </c>
      <c r="J65" s="64" t="s">
        <v>225</v>
      </c>
      <c r="K65" s="64" t="s">
        <v>39</v>
      </c>
      <c r="L65" s="65">
        <v>0.5</v>
      </c>
      <c r="M65" s="65">
        <v>0.5</v>
      </c>
      <c r="N65" s="65">
        <v>0.5</v>
      </c>
      <c r="O65" s="66">
        <v>45115.0</v>
      </c>
      <c r="P65" s="67">
        <f>420.5/250</f>
        <v>1.682</v>
      </c>
      <c r="Q65" s="64" t="s">
        <v>33</v>
      </c>
      <c r="R65" s="68">
        <f t="shared" si="1"/>
        <v>0.341</v>
      </c>
      <c r="S65" s="68">
        <f t="shared" si="4"/>
        <v>-1.2045385</v>
      </c>
    </row>
    <row r="66">
      <c r="A66" s="64">
        <f t="shared" si="3"/>
        <v>65</v>
      </c>
      <c r="B66" s="64" t="s">
        <v>19</v>
      </c>
      <c r="C66" s="64" t="s">
        <v>2783</v>
      </c>
      <c r="D66" s="64" t="s">
        <v>5564</v>
      </c>
      <c r="E66" s="64" t="s">
        <v>2556</v>
      </c>
      <c r="F66" s="64">
        <v>0.0</v>
      </c>
      <c r="G66" s="64" t="s">
        <v>5702</v>
      </c>
      <c r="H66" s="64" t="s">
        <v>82</v>
      </c>
      <c r="I66" s="64" t="s">
        <v>22</v>
      </c>
      <c r="J66" s="64" t="s">
        <v>225</v>
      </c>
      <c r="K66" s="64" t="s">
        <v>1851</v>
      </c>
      <c r="L66" s="65">
        <v>0.25</v>
      </c>
      <c r="M66" s="65">
        <v>0.5</v>
      </c>
      <c r="N66" s="65">
        <v>0.5</v>
      </c>
      <c r="O66" s="66">
        <v>45115.0</v>
      </c>
      <c r="P66" s="67">
        <v>1.825</v>
      </c>
      <c r="Q66" s="64" t="s">
        <v>33</v>
      </c>
      <c r="R66" s="68">
        <f t="shared" si="1"/>
        <v>0.4125</v>
      </c>
      <c r="S66" s="68">
        <f t="shared" si="4"/>
        <v>-0.7920385</v>
      </c>
    </row>
    <row r="67">
      <c r="A67" s="64">
        <f t="shared" si="3"/>
        <v>66</v>
      </c>
      <c r="B67" s="64" t="s">
        <v>19</v>
      </c>
      <c r="C67" s="64" t="s">
        <v>2784</v>
      </c>
      <c r="D67" s="64" t="s">
        <v>5564</v>
      </c>
      <c r="E67" s="64" t="s">
        <v>2556</v>
      </c>
      <c r="F67" s="64">
        <v>0.0</v>
      </c>
      <c r="G67" s="64" t="s">
        <v>5702</v>
      </c>
      <c r="H67" s="64" t="s">
        <v>82</v>
      </c>
      <c r="I67" s="64" t="s">
        <v>22</v>
      </c>
      <c r="J67" s="64" t="s">
        <v>941</v>
      </c>
      <c r="K67" s="64" t="s">
        <v>24</v>
      </c>
      <c r="L67" s="65">
        <v>0.0</v>
      </c>
      <c r="M67" s="65">
        <v>0.5</v>
      </c>
      <c r="N67" s="65">
        <v>0.5</v>
      </c>
      <c r="O67" s="66">
        <v>45115.0</v>
      </c>
      <c r="P67" s="67">
        <v>2.1</v>
      </c>
      <c r="Q67" s="64" t="s">
        <v>33</v>
      </c>
      <c r="R67" s="68">
        <f t="shared" si="1"/>
        <v>0.55</v>
      </c>
      <c r="S67" s="68">
        <f t="shared" si="4"/>
        <v>-0.2420385</v>
      </c>
    </row>
    <row r="68">
      <c r="A68" s="64">
        <f t="shared" si="3"/>
        <v>67</v>
      </c>
      <c r="B68" s="64" t="s">
        <v>19</v>
      </c>
      <c r="C68" s="64" t="s">
        <v>2785</v>
      </c>
      <c r="D68" s="64" t="s">
        <v>5564</v>
      </c>
      <c r="E68" s="64" t="s">
        <v>2556</v>
      </c>
      <c r="F68" s="64">
        <f>1</f>
        <v>1</v>
      </c>
      <c r="G68" s="64" t="s">
        <v>5705</v>
      </c>
      <c r="H68" s="64" t="s">
        <v>82</v>
      </c>
      <c r="I68" s="64" t="s">
        <v>22</v>
      </c>
      <c r="J68" s="64" t="s">
        <v>892</v>
      </c>
      <c r="K68" s="64" t="s">
        <v>39</v>
      </c>
      <c r="L68" s="65">
        <v>0.0</v>
      </c>
      <c r="M68" s="65">
        <v>0.5</v>
      </c>
      <c r="N68" s="65">
        <v>0.5</v>
      </c>
      <c r="O68" s="66">
        <v>45115.0</v>
      </c>
      <c r="P68" s="67">
        <v>1.825</v>
      </c>
      <c r="Q68" s="64" t="s">
        <v>70</v>
      </c>
      <c r="R68" s="68">
        <f t="shared" si="1"/>
        <v>0</v>
      </c>
      <c r="S68" s="68">
        <f t="shared" si="4"/>
        <v>-0.2420385</v>
      </c>
    </row>
    <row r="69">
      <c r="A69" s="64">
        <f t="shared" si="3"/>
        <v>68</v>
      </c>
      <c r="B69" s="64" t="s">
        <v>19</v>
      </c>
      <c r="C69" s="64" t="s">
        <v>2786</v>
      </c>
      <c r="D69" s="64"/>
      <c r="E69" s="64"/>
      <c r="F69" s="64" t="s">
        <v>2567</v>
      </c>
      <c r="G69" s="64" t="s">
        <v>2567</v>
      </c>
      <c r="H69" s="64" t="s">
        <v>28</v>
      </c>
      <c r="I69" s="64" t="s">
        <v>22</v>
      </c>
      <c r="J69" s="64" t="s">
        <v>29</v>
      </c>
      <c r="K69" s="64" t="s">
        <v>39</v>
      </c>
      <c r="L69" s="65">
        <v>-4.75</v>
      </c>
      <c r="M69" s="65">
        <v>0.35</v>
      </c>
      <c r="N69" s="65">
        <f>0.7*0.35</f>
        <v>0.245</v>
      </c>
      <c r="O69" s="66">
        <v>45116.0</v>
      </c>
      <c r="P69" s="67">
        <v>1.8</v>
      </c>
      <c r="Q69" s="64" t="s">
        <v>33</v>
      </c>
      <c r="R69" s="68">
        <f t="shared" si="1"/>
        <v>0.196</v>
      </c>
      <c r="S69" s="68">
        <f t="shared" si="4"/>
        <v>-0.0460385</v>
      </c>
    </row>
    <row r="70">
      <c r="A70" s="64">
        <f t="shared" si="3"/>
        <v>69</v>
      </c>
      <c r="B70" s="64" t="s">
        <v>40</v>
      </c>
      <c r="C70" s="64" t="s">
        <v>2787</v>
      </c>
      <c r="D70" s="64"/>
      <c r="E70" s="64"/>
      <c r="F70" s="64" t="s">
        <v>2615</v>
      </c>
      <c r="G70" s="64" t="s">
        <v>2615</v>
      </c>
      <c r="H70" s="64" t="s">
        <v>189</v>
      </c>
      <c r="I70" s="64" t="s">
        <v>22</v>
      </c>
      <c r="J70" s="64" t="s">
        <v>29</v>
      </c>
      <c r="K70" s="64" t="s">
        <v>1803</v>
      </c>
      <c r="L70" s="65">
        <v>-3.0</v>
      </c>
      <c r="M70" s="65">
        <v>0.5</v>
      </c>
      <c r="N70" s="65">
        <f>0.65*0.5</f>
        <v>0.325</v>
      </c>
      <c r="O70" s="66">
        <v>45116.0</v>
      </c>
      <c r="P70" s="67">
        <v>1.95</v>
      </c>
      <c r="Q70" s="64" t="s">
        <v>25</v>
      </c>
      <c r="R70" s="68">
        <f t="shared" si="1"/>
        <v>-0.325</v>
      </c>
      <c r="S70" s="68">
        <f t="shared" si="4"/>
        <v>-0.3710385</v>
      </c>
    </row>
    <row r="71">
      <c r="A71" s="64">
        <f t="shared" si="3"/>
        <v>70</v>
      </c>
      <c r="B71" s="64" t="s">
        <v>40</v>
      </c>
      <c r="C71" s="64" t="s">
        <v>2788</v>
      </c>
      <c r="D71" s="64"/>
      <c r="E71" s="64"/>
      <c r="F71" s="64" t="s">
        <v>2615</v>
      </c>
      <c r="G71" s="64" t="s">
        <v>2615</v>
      </c>
      <c r="H71" s="64" t="s">
        <v>189</v>
      </c>
      <c r="I71" s="64" t="s">
        <v>22</v>
      </c>
      <c r="J71" s="64" t="s">
        <v>29</v>
      </c>
      <c r="K71" s="64" t="s">
        <v>1803</v>
      </c>
      <c r="L71" s="65">
        <v>-2.75</v>
      </c>
      <c r="M71" s="65">
        <v>0.5</v>
      </c>
      <c r="N71" s="65">
        <f>0.275*0.5</f>
        <v>0.1375</v>
      </c>
      <c r="O71" s="66">
        <v>45116.0</v>
      </c>
      <c r="P71" s="67">
        <v>2.0</v>
      </c>
      <c r="Q71" s="64" t="s">
        <v>25</v>
      </c>
      <c r="R71" s="68">
        <f t="shared" si="1"/>
        <v>-0.1375</v>
      </c>
      <c r="S71" s="68">
        <f t="shared" si="4"/>
        <v>-0.5085385</v>
      </c>
    </row>
    <row r="72">
      <c r="A72" s="64">
        <f t="shared" si="3"/>
        <v>71</v>
      </c>
      <c r="B72" s="64" t="s">
        <v>19</v>
      </c>
      <c r="C72" s="64" t="s">
        <v>2789</v>
      </c>
      <c r="D72" s="64" t="s">
        <v>5565</v>
      </c>
      <c r="E72" s="64" t="s">
        <v>2556</v>
      </c>
      <c r="F72" s="64">
        <f>1</f>
        <v>1</v>
      </c>
      <c r="G72" s="64" t="s">
        <v>5709</v>
      </c>
      <c r="H72" s="64" t="s">
        <v>82</v>
      </c>
      <c r="I72" s="64" t="s">
        <v>22</v>
      </c>
      <c r="J72" s="64" t="s">
        <v>225</v>
      </c>
      <c r="K72" s="64" t="s">
        <v>39</v>
      </c>
      <c r="L72" s="65">
        <v>0.5</v>
      </c>
      <c r="M72" s="65">
        <v>0.5</v>
      </c>
      <c r="N72" s="65">
        <v>0.5</v>
      </c>
      <c r="O72" s="66">
        <v>45116.0</v>
      </c>
      <c r="P72" s="67">
        <f>300/250</f>
        <v>1.2</v>
      </c>
      <c r="Q72" s="64" t="s">
        <v>33</v>
      </c>
      <c r="R72" s="68">
        <f t="shared" si="1"/>
        <v>0.1</v>
      </c>
      <c r="S72" s="68">
        <f t="shared" si="4"/>
        <v>-0.4085385</v>
      </c>
    </row>
    <row r="73">
      <c r="A73" s="64">
        <f t="shared" si="3"/>
        <v>72</v>
      </c>
      <c r="B73" s="64" t="s">
        <v>19</v>
      </c>
      <c r="C73" s="64" t="s">
        <v>2790</v>
      </c>
      <c r="D73" s="64"/>
      <c r="E73" s="64"/>
      <c r="F73" s="64" t="s">
        <v>2613</v>
      </c>
      <c r="G73" s="64" t="s">
        <v>2613</v>
      </c>
      <c r="H73" s="64" t="s">
        <v>82</v>
      </c>
      <c r="I73" s="64" t="s">
        <v>598</v>
      </c>
      <c r="J73" s="64" t="s">
        <v>894</v>
      </c>
      <c r="K73" s="64" t="s">
        <v>39</v>
      </c>
      <c r="L73" s="65">
        <v>-0.75</v>
      </c>
      <c r="M73" s="65">
        <v>0.35</v>
      </c>
      <c r="N73" s="65">
        <v>0.35</v>
      </c>
      <c r="O73" s="66">
        <v>45116.0</v>
      </c>
      <c r="P73" s="67">
        <v>1.8</v>
      </c>
      <c r="Q73" s="64" t="s">
        <v>30</v>
      </c>
      <c r="R73" s="68">
        <f t="shared" si="1"/>
        <v>0.14</v>
      </c>
      <c r="S73" s="68">
        <f t="shared" si="4"/>
        <v>-0.2685385</v>
      </c>
    </row>
    <row r="74">
      <c r="A74" s="64">
        <f t="shared" si="3"/>
        <v>73</v>
      </c>
      <c r="B74" s="64" t="s">
        <v>40</v>
      </c>
      <c r="C74" s="64" t="s">
        <v>2791</v>
      </c>
      <c r="D74" s="64"/>
      <c r="E74" s="64"/>
      <c r="F74" s="64" t="s">
        <v>2615</v>
      </c>
      <c r="G74" s="64" t="s">
        <v>2615</v>
      </c>
      <c r="H74" s="64" t="s">
        <v>1085</v>
      </c>
      <c r="I74" s="64" t="s">
        <v>22</v>
      </c>
      <c r="J74" s="64" t="s">
        <v>29</v>
      </c>
      <c r="K74" s="64" t="s">
        <v>24</v>
      </c>
      <c r="L74" s="65">
        <v>-3.25</v>
      </c>
      <c r="M74" s="65">
        <v>0.5</v>
      </c>
      <c r="N74" s="65">
        <f>0.7*0.5</f>
        <v>0.35</v>
      </c>
      <c r="O74" s="66">
        <v>45116.0</v>
      </c>
      <c r="P74" s="67">
        <f>425.18/250</f>
        <v>1.70072</v>
      </c>
      <c r="Q74" s="64" t="s">
        <v>33</v>
      </c>
      <c r="R74" s="68">
        <f t="shared" si="1"/>
        <v>0.245252</v>
      </c>
      <c r="S74" s="68">
        <f t="shared" si="4"/>
        <v>-0.0232865</v>
      </c>
    </row>
    <row r="75">
      <c r="A75" s="64">
        <f t="shared" si="3"/>
        <v>74</v>
      </c>
      <c r="B75" s="64" t="s">
        <v>40</v>
      </c>
      <c r="C75" s="64" t="s">
        <v>2792</v>
      </c>
      <c r="D75" s="64"/>
      <c r="E75" s="64"/>
      <c r="F75" s="64" t="s">
        <v>2615</v>
      </c>
      <c r="G75" s="64" t="s">
        <v>2615</v>
      </c>
      <c r="H75" s="64" t="s">
        <v>1085</v>
      </c>
      <c r="I75" s="64" t="s">
        <v>22</v>
      </c>
      <c r="J75" s="64" t="s">
        <v>29</v>
      </c>
      <c r="K75" s="64" t="s">
        <v>24</v>
      </c>
      <c r="L75" s="65">
        <v>-3.5</v>
      </c>
      <c r="M75" s="65">
        <v>0.5</v>
      </c>
      <c r="N75" s="65">
        <f>0.3*0.5</f>
        <v>0.15</v>
      </c>
      <c r="O75" s="66">
        <v>45116.0</v>
      </c>
      <c r="P75" s="67">
        <v>1.72</v>
      </c>
      <c r="Q75" s="64" t="s">
        <v>33</v>
      </c>
      <c r="R75" s="68">
        <f t="shared" si="1"/>
        <v>0.108</v>
      </c>
      <c r="S75" s="68">
        <f t="shared" si="4"/>
        <v>0.0847135</v>
      </c>
    </row>
    <row r="76">
      <c r="A76" s="64">
        <f t="shared" si="3"/>
        <v>75</v>
      </c>
      <c r="B76" s="64" t="s">
        <v>19</v>
      </c>
      <c r="C76" s="64" t="s">
        <v>2793</v>
      </c>
      <c r="D76" s="64"/>
      <c r="E76" s="64"/>
      <c r="F76" s="64" t="s">
        <v>2613</v>
      </c>
      <c r="G76" s="64" t="s">
        <v>2613</v>
      </c>
      <c r="H76" s="64" t="s">
        <v>82</v>
      </c>
      <c r="I76" s="64" t="s">
        <v>598</v>
      </c>
      <c r="J76" s="64" t="s">
        <v>1847</v>
      </c>
      <c r="K76" s="64" t="s">
        <v>1851</v>
      </c>
      <c r="L76" s="65">
        <v>-0.5</v>
      </c>
      <c r="M76" s="65">
        <v>0.35</v>
      </c>
      <c r="N76" s="65">
        <v>0.35</v>
      </c>
      <c r="O76" s="66">
        <v>45116.0</v>
      </c>
      <c r="P76" s="67">
        <v>1.72</v>
      </c>
      <c r="Q76" s="64" t="s">
        <v>25</v>
      </c>
      <c r="R76" s="68">
        <f t="shared" si="1"/>
        <v>-0.35</v>
      </c>
      <c r="S76" s="68">
        <f t="shared" si="4"/>
        <v>-0.2652865</v>
      </c>
    </row>
    <row r="77">
      <c r="A77" s="64">
        <f t="shared" si="3"/>
        <v>76</v>
      </c>
      <c r="B77" s="64" t="s">
        <v>40</v>
      </c>
      <c r="C77" s="64" t="s">
        <v>2794</v>
      </c>
      <c r="D77" s="64" t="s">
        <v>5565</v>
      </c>
      <c r="E77" s="64" t="s">
        <v>2556</v>
      </c>
      <c r="F77" s="64">
        <v>0.0</v>
      </c>
      <c r="G77" s="64" t="s">
        <v>5699</v>
      </c>
      <c r="H77" s="64" t="s">
        <v>78</v>
      </c>
      <c r="I77" s="64" t="s">
        <v>22</v>
      </c>
      <c r="J77" s="64" t="s">
        <v>225</v>
      </c>
      <c r="K77" s="64" t="s">
        <v>24</v>
      </c>
      <c r="L77" s="65">
        <v>0.5</v>
      </c>
      <c r="M77" s="65">
        <v>0.5</v>
      </c>
      <c r="N77" s="65">
        <f>0.75*0.5</f>
        <v>0.375</v>
      </c>
      <c r="O77" s="66">
        <v>45116.0</v>
      </c>
      <c r="P77" s="67">
        <f>308.83/250</f>
        <v>1.23532</v>
      </c>
      <c r="Q77" s="64" t="s">
        <v>33</v>
      </c>
      <c r="R77" s="68">
        <f t="shared" si="1"/>
        <v>0.088245</v>
      </c>
      <c r="S77" s="68">
        <f t="shared" si="4"/>
        <v>-0.1770415</v>
      </c>
    </row>
    <row r="78">
      <c r="A78" s="64">
        <f t="shared" si="3"/>
        <v>77</v>
      </c>
      <c r="B78" s="64" t="s">
        <v>19</v>
      </c>
      <c r="C78" s="64" t="s">
        <v>2795</v>
      </c>
      <c r="D78" s="64" t="s">
        <v>5564</v>
      </c>
      <c r="E78" s="64" t="s">
        <v>2556</v>
      </c>
      <c r="F78" s="64">
        <v>0.0</v>
      </c>
      <c r="G78" s="64" t="s">
        <v>5702</v>
      </c>
      <c r="H78" s="64" t="s">
        <v>82</v>
      </c>
      <c r="I78" s="64" t="s">
        <v>22</v>
      </c>
      <c r="J78" s="64" t="s">
        <v>225</v>
      </c>
      <c r="K78" s="64" t="s">
        <v>1851</v>
      </c>
      <c r="L78" s="65">
        <v>0.5</v>
      </c>
      <c r="M78" s="65">
        <v>0.5</v>
      </c>
      <c r="N78" s="65">
        <v>0.5</v>
      </c>
      <c r="O78" s="66">
        <v>45116.0</v>
      </c>
      <c r="P78" s="67">
        <v>1.8</v>
      </c>
      <c r="Q78" s="64" t="s">
        <v>25</v>
      </c>
      <c r="R78" s="68">
        <f t="shared" si="1"/>
        <v>-0.5</v>
      </c>
      <c r="S78" s="68">
        <f t="shared" si="4"/>
        <v>-0.6770415</v>
      </c>
    </row>
    <row r="79">
      <c r="A79" s="64">
        <f t="shared" si="3"/>
        <v>78</v>
      </c>
      <c r="B79" s="64" t="s">
        <v>19</v>
      </c>
      <c r="C79" s="64" t="s">
        <v>2796</v>
      </c>
      <c r="D79" s="64" t="s">
        <v>5564</v>
      </c>
      <c r="E79" s="64" t="s">
        <v>2556</v>
      </c>
      <c r="F79" s="64">
        <v>2</v>
      </c>
      <c r="G79" s="64" t="s">
        <v>5715</v>
      </c>
      <c r="H79" s="64" t="s">
        <v>21</v>
      </c>
      <c r="I79" s="64" t="s">
        <v>22</v>
      </c>
      <c r="J79" s="64" t="s">
        <v>225</v>
      </c>
      <c r="K79" s="64" t="s">
        <v>39</v>
      </c>
      <c r="L79" s="65">
        <v>0.5</v>
      </c>
      <c r="M79" s="65">
        <v>0.5</v>
      </c>
      <c r="N79" s="65">
        <v>0.5</v>
      </c>
      <c r="O79" s="66">
        <v>45118.0</v>
      </c>
      <c r="P79" s="67">
        <f>387/250</f>
        <v>1.548</v>
      </c>
      <c r="Q79" s="64" t="s">
        <v>33</v>
      </c>
      <c r="R79" s="68">
        <f t="shared" si="1"/>
        <v>0.274</v>
      </c>
      <c r="S79" s="68">
        <f t="shared" si="4"/>
        <v>-0.4030415</v>
      </c>
    </row>
    <row r="80">
      <c r="A80" s="64">
        <f t="shared" si="3"/>
        <v>79</v>
      </c>
      <c r="B80" s="64" t="s">
        <v>19</v>
      </c>
      <c r="C80" s="64" t="s">
        <v>2797</v>
      </c>
      <c r="D80" s="64" t="s">
        <v>5564</v>
      </c>
      <c r="E80" s="64" t="s">
        <v>2556</v>
      </c>
      <c r="F80" s="64">
        <v>0.0</v>
      </c>
      <c r="G80" s="64" t="s">
        <v>5702</v>
      </c>
      <c r="H80" s="64" t="s">
        <v>28</v>
      </c>
      <c r="I80" s="64" t="s">
        <v>22</v>
      </c>
      <c r="J80" s="64" t="s">
        <v>225</v>
      </c>
      <c r="K80" s="64" t="s">
        <v>1851</v>
      </c>
      <c r="L80" s="65">
        <v>0.25</v>
      </c>
      <c r="M80" s="65">
        <v>0.5</v>
      </c>
      <c r="N80" s="65">
        <f>0.825*0.5</f>
        <v>0.4125</v>
      </c>
      <c r="O80" s="66">
        <v>45118.0</v>
      </c>
      <c r="P80" s="67">
        <v>1.725</v>
      </c>
      <c r="Q80" s="64" t="s">
        <v>30</v>
      </c>
      <c r="R80" s="68">
        <f t="shared" si="1"/>
        <v>0.14953125</v>
      </c>
      <c r="S80" s="68">
        <f t="shared" si="4"/>
        <v>-0.25351025</v>
      </c>
    </row>
    <row r="81">
      <c r="A81" s="64">
        <f t="shared" si="3"/>
        <v>80</v>
      </c>
      <c r="B81" s="64" t="s">
        <v>19</v>
      </c>
      <c r="C81" s="64" t="s">
        <v>2798</v>
      </c>
      <c r="D81" s="64"/>
      <c r="E81" s="64"/>
      <c r="F81" s="64" t="s">
        <v>2615</v>
      </c>
      <c r="G81" s="64" t="s">
        <v>2615</v>
      </c>
      <c r="H81" s="64" t="s">
        <v>28</v>
      </c>
      <c r="I81" s="64" t="s">
        <v>22</v>
      </c>
      <c r="J81" s="64" t="s">
        <v>29</v>
      </c>
      <c r="K81" s="64" t="s">
        <v>24</v>
      </c>
      <c r="L81" s="65">
        <v>-6.5</v>
      </c>
      <c r="M81" s="65">
        <v>0.25</v>
      </c>
      <c r="N81" s="65">
        <f>0.2*0.25</f>
        <v>0.05</v>
      </c>
      <c r="O81" s="66">
        <v>45118.0</v>
      </c>
      <c r="P81" s="67">
        <v>1.75</v>
      </c>
      <c r="Q81" s="64" t="s">
        <v>33</v>
      </c>
      <c r="R81" s="68">
        <f t="shared" si="1"/>
        <v>0.0375</v>
      </c>
      <c r="S81" s="68">
        <f t="shared" si="4"/>
        <v>-0.21601025</v>
      </c>
    </row>
    <row r="82">
      <c r="A82" s="64">
        <f t="shared" si="3"/>
        <v>81</v>
      </c>
      <c r="B82" s="64" t="s">
        <v>19</v>
      </c>
      <c r="C82" s="64" t="s">
        <v>2799</v>
      </c>
      <c r="D82" s="64"/>
      <c r="E82" s="64"/>
      <c r="F82" s="64" t="s">
        <v>2615</v>
      </c>
      <c r="G82" s="64" t="s">
        <v>2615</v>
      </c>
      <c r="H82" s="64" t="s">
        <v>28</v>
      </c>
      <c r="I82" s="64" t="s">
        <v>22</v>
      </c>
      <c r="J82" s="64" t="s">
        <v>29</v>
      </c>
      <c r="K82" s="64" t="s">
        <v>24</v>
      </c>
      <c r="L82" s="65">
        <v>-6.25</v>
      </c>
      <c r="M82" s="65">
        <v>0.25</v>
      </c>
      <c r="N82" s="65">
        <f>0.425*0.25</f>
        <v>0.10625</v>
      </c>
      <c r="O82" s="66">
        <v>45118.0</v>
      </c>
      <c r="P82" s="67">
        <v>1.925</v>
      </c>
      <c r="Q82" s="64" t="s">
        <v>30</v>
      </c>
      <c r="R82" s="68">
        <f t="shared" si="1"/>
        <v>0.049140625</v>
      </c>
      <c r="S82" s="68">
        <f t="shared" si="4"/>
        <v>-0.166869625</v>
      </c>
    </row>
    <row r="83">
      <c r="A83" s="64">
        <f t="shared" si="3"/>
        <v>82</v>
      </c>
      <c r="B83" s="64" t="s">
        <v>40</v>
      </c>
      <c r="C83" s="64" t="s">
        <v>2800</v>
      </c>
      <c r="D83" s="64" t="s">
        <v>5708</v>
      </c>
      <c r="E83" s="64" t="s">
        <v>2556</v>
      </c>
      <c r="F83" s="64">
        <f>1</f>
        <v>1</v>
      </c>
      <c r="G83" s="64" t="s">
        <v>5709</v>
      </c>
      <c r="H83" s="64" t="s">
        <v>487</v>
      </c>
      <c r="I83" s="64" t="s">
        <v>22</v>
      </c>
      <c r="J83" s="64" t="s">
        <v>1847</v>
      </c>
      <c r="K83" s="64" t="s">
        <v>24</v>
      </c>
      <c r="L83" s="65">
        <v>-0.5</v>
      </c>
      <c r="M83" s="65">
        <v>0.5</v>
      </c>
      <c r="N83" s="65">
        <v>0.5</v>
      </c>
      <c r="O83" s="66">
        <v>45119.0</v>
      </c>
      <c r="P83" s="67">
        <f>274.8/250</f>
        <v>1.0992</v>
      </c>
      <c r="Q83" s="64" t="s">
        <v>33</v>
      </c>
      <c r="R83" s="68">
        <f t="shared" si="1"/>
        <v>0.0496</v>
      </c>
      <c r="S83" s="68">
        <f t="shared" si="4"/>
        <v>-0.117269625</v>
      </c>
    </row>
    <row r="84">
      <c r="A84" s="64">
        <f t="shared" si="3"/>
        <v>83</v>
      </c>
      <c r="B84" s="64" t="s">
        <v>19</v>
      </c>
      <c r="C84" s="64" t="s">
        <v>2801</v>
      </c>
      <c r="D84" s="64"/>
      <c r="E84" s="64"/>
      <c r="F84" s="64" t="s">
        <v>2613</v>
      </c>
      <c r="G84" s="64" t="s">
        <v>2613</v>
      </c>
      <c r="H84" s="64" t="s">
        <v>82</v>
      </c>
      <c r="I84" s="64" t="s">
        <v>598</v>
      </c>
      <c r="J84" s="64" t="s">
        <v>23</v>
      </c>
      <c r="K84" s="64" t="s">
        <v>39</v>
      </c>
      <c r="L84" s="65">
        <v>-0.5</v>
      </c>
      <c r="M84" s="65">
        <v>0.25</v>
      </c>
      <c r="N84" s="65">
        <v>0.25</v>
      </c>
      <c r="O84" s="66">
        <v>45119.0</v>
      </c>
      <c r="P84" s="67">
        <v>1.7</v>
      </c>
      <c r="Q84" s="64" t="s">
        <v>33</v>
      </c>
      <c r="R84" s="68">
        <f t="shared" si="1"/>
        <v>0.175</v>
      </c>
      <c r="S84" s="68">
        <f t="shared" si="4"/>
        <v>0.057730375</v>
      </c>
    </row>
    <row r="85">
      <c r="A85" s="64">
        <f t="shared" si="3"/>
        <v>84</v>
      </c>
      <c r="B85" s="64" t="s">
        <v>19</v>
      </c>
      <c r="C85" s="64" t="s">
        <v>2802</v>
      </c>
      <c r="D85" s="64" t="s">
        <v>5564</v>
      </c>
      <c r="E85" s="64" t="s">
        <v>2660</v>
      </c>
      <c r="F85" s="64">
        <v>0.0</v>
      </c>
      <c r="G85" s="64" t="s">
        <v>5716</v>
      </c>
      <c r="H85" s="64" t="s">
        <v>28</v>
      </c>
      <c r="I85" s="64" t="s">
        <v>22</v>
      </c>
      <c r="J85" s="64" t="s">
        <v>892</v>
      </c>
      <c r="K85" s="64" t="s">
        <v>24</v>
      </c>
      <c r="L85" s="65">
        <v>0.0</v>
      </c>
      <c r="M85" s="65">
        <v>0.5</v>
      </c>
      <c r="N85" s="65">
        <v>0.5</v>
      </c>
      <c r="O85" s="66">
        <v>45119.0</v>
      </c>
      <c r="P85" s="67">
        <v>2.0</v>
      </c>
      <c r="Q85" s="64" t="s">
        <v>70</v>
      </c>
      <c r="R85" s="68">
        <f t="shared" si="1"/>
        <v>0</v>
      </c>
      <c r="S85" s="68">
        <f t="shared" si="4"/>
        <v>0.057730375</v>
      </c>
    </row>
    <row r="86">
      <c r="A86" s="64">
        <f t="shared" si="3"/>
        <v>85</v>
      </c>
      <c r="B86" s="64" t="s">
        <v>19</v>
      </c>
      <c r="C86" s="64" t="s">
        <v>2803</v>
      </c>
      <c r="D86" s="64" t="s">
        <v>5565</v>
      </c>
      <c r="E86" s="64" t="s">
        <v>2660</v>
      </c>
      <c r="F86" s="64">
        <f>1</f>
        <v>1</v>
      </c>
      <c r="G86" s="64" t="s">
        <v>5717</v>
      </c>
      <c r="H86" s="64" t="s">
        <v>28</v>
      </c>
      <c r="I86" s="64" t="s">
        <v>22</v>
      </c>
      <c r="J86" s="64" t="s">
        <v>892</v>
      </c>
      <c r="K86" s="64" t="s">
        <v>2688</v>
      </c>
      <c r="L86" s="65">
        <v>0.0</v>
      </c>
      <c r="M86" s="65">
        <v>0.03</v>
      </c>
      <c r="N86" s="65">
        <v>0.03</v>
      </c>
      <c r="O86" s="66">
        <v>45119.0</v>
      </c>
      <c r="P86" s="67">
        <v>1.725</v>
      </c>
      <c r="Q86" s="64" t="s">
        <v>25</v>
      </c>
      <c r="R86" s="68">
        <f t="shared" si="1"/>
        <v>-0.03</v>
      </c>
      <c r="S86" s="68">
        <f t="shared" si="4"/>
        <v>0.027730375</v>
      </c>
    </row>
    <row r="87">
      <c r="A87" s="64">
        <f t="shared" si="3"/>
        <v>86</v>
      </c>
      <c r="B87" s="64" t="s">
        <v>19</v>
      </c>
      <c r="C87" s="64" t="s">
        <v>2804</v>
      </c>
      <c r="D87" s="64" t="s">
        <v>5565</v>
      </c>
      <c r="E87" s="64" t="s">
        <v>2660</v>
      </c>
      <c r="F87" s="64">
        <v>-2.0</v>
      </c>
      <c r="G87" s="64" t="s">
        <v>5712</v>
      </c>
      <c r="H87" s="64" t="s">
        <v>28</v>
      </c>
      <c r="I87" s="64" t="s">
        <v>22</v>
      </c>
      <c r="J87" s="64" t="s">
        <v>2805</v>
      </c>
      <c r="K87" s="64" t="s">
        <v>24</v>
      </c>
      <c r="L87" s="65">
        <v>0.0</v>
      </c>
      <c r="M87" s="65">
        <v>0.5</v>
      </c>
      <c r="N87" s="65">
        <f>0.4*0.5</f>
        <v>0.2</v>
      </c>
      <c r="O87" s="66">
        <v>45119.0</v>
      </c>
      <c r="P87" s="67">
        <v>1.8</v>
      </c>
      <c r="Q87" s="64" t="s">
        <v>33</v>
      </c>
      <c r="R87" s="68">
        <f t="shared" si="1"/>
        <v>0.16</v>
      </c>
      <c r="S87" s="68">
        <f t="shared" si="4"/>
        <v>0.187730375</v>
      </c>
    </row>
    <row r="88">
      <c r="A88" s="64">
        <f t="shared" si="3"/>
        <v>87</v>
      </c>
      <c r="B88" s="64" t="s">
        <v>19</v>
      </c>
      <c r="C88" s="64" t="s">
        <v>2806</v>
      </c>
      <c r="D88" s="64" t="s">
        <v>5565</v>
      </c>
      <c r="E88" s="64" t="s">
        <v>2660</v>
      </c>
      <c r="F88" s="64">
        <v>-1.0</v>
      </c>
      <c r="G88" s="64" t="s">
        <v>5713</v>
      </c>
      <c r="H88" s="64" t="s">
        <v>28</v>
      </c>
      <c r="I88" s="64" t="s">
        <v>22</v>
      </c>
      <c r="J88" s="64" t="s">
        <v>892</v>
      </c>
      <c r="K88" s="64" t="s">
        <v>24</v>
      </c>
      <c r="L88" s="65">
        <v>0.0</v>
      </c>
      <c r="M88" s="65">
        <v>0.5</v>
      </c>
      <c r="N88" s="65">
        <f>0.275*0.5</f>
        <v>0.1375</v>
      </c>
      <c r="O88" s="66">
        <v>45119.0</v>
      </c>
      <c r="P88" s="67">
        <v>1.7</v>
      </c>
      <c r="Q88" s="64" t="s">
        <v>33</v>
      </c>
      <c r="R88" s="68">
        <f t="shared" si="1"/>
        <v>0.09625</v>
      </c>
      <c r="S88" s="68">
        <f t="shared" si="4"/>
        <v>0.283980375</v>
      </c>
    </row>
    <row r="89">
      <c r="A89" s="64">
        <f t="shared" si="3"/>
        <v>88</v>
      </c>
      <c r="B89" s="64" t="s">
        <v>19</v>
      </c>
      <c r="C89" s="64" t="s">
        <v>2807</v>
      </c>
      <c r="D89" s="64" t="s">
        <v>5564</v>
      </c>
      <c r="E89" s="64" t="s">
        <v>2556</v>
      </c>
      <c r="F89" s="64">
        <v>0.0</v>
      </c>
      <c r="G89" s="64" t="s">
        <v>5702</v>
      </c>
      <c r="H89" s="64" t="s">
        <v>82</v>
      </c>
      <c r="I89" s="64" t="s">
        <v>22</v>
      </c>
      <c r="J89" s="64" t="s">
        <v>225</v>
      </c>
      <c r="K89" s="64" t="s">
        <v>1522</v>
      </c>
      <c r="L89" s="65">
        <v>0.25</v>
      </c>
      <c r="M89" s="65">
        <v>0.5</v>
      </c>
      <c r="N89" s="65">
        <v>0.5</v>
      </c>
      <c r="O89" s="66">
        <v>45119.0</v>
      </c>
      <c r="P89" s="67">
        <v>1.725</v>
      </c>
      <c r="Q89" s="64" t="s">
        <v>33</v>
      </c>
      <c r="R89" s="68">
        <f t="shared" si="1"/>
        <v>0.3625</v>
      </c>
      <c r="S89" s="68">
        <f t="shared" si="4"/>
        <v>0.646480375</v>
      </c>
    </row>
    <row r="90">
      <c r="A90" s="64">
        <f t="shared" si="3"/>
        <v>89</v>
      </c>
      <c r="B90" s="64" t="s">
        <v>19</v>
      </c>
      <c r="C90" s="64" t="s">
        <v>2808</v>
      </c>
      <c r="D90" s="64"/>
      <c r="E90" s="64"/>
      <c r="F90" s="64" t="s">
        <v>2567</v>
      </c>
      <c r="G90" s="64" t="s">
        <v>2567</v>
      </c>
      <c r="H90" s="64" t="s">
        <v>513</v>
      </c>
      <c r="I90" s="64" t="s">
        <v>22</v>
      </c>
      <c r="J90" s="64" t="s">
        <v>29</v>
      </c>
      <c r="K90" s="64" t="s">
        <v>24</v>
      </c>
      <c r="L90" s="65">
        <v>-0.5</v>
      </c>
      <c r="M90" s="65">
        <v>0.25</v>
      </c>
      <c r="N90" s="65">
        <v>0.25</v>
      </c>
      <c r="O90" s="66">
        <v>45120.0</v>
      </c>
      <c r="P90" s="67">
        <v>1.925</v>
      </c>
      <c r="Q90" s="64" t="s">
        <v>25</v>
      </c>
      <c r="R90" s="68">
        <f t="shared" si="1"/>
        <v>-0.25</v>
      </c>
      <c r="S90" s="68">
        <f t="shared" si="4"/>
        <v>0.396480375</v>
      </c>
    </row>
    <row r="91">
      <c r="A91" s="64">
        <f t="shared" si="3"/>
        <v>90</v>
      </c>
      <c r="B91" s="64" t="s">
        <v>19</v>
      </c>
      <c r="C91" s="64" t="s">
        <v>2809</v>
      </c>
      <c r="D91" s="64" t="s">
        <v>5565</v>
      </c>
      <c r="E91" s="64" t="s">
        <v>2660</v>
      </c>
      <c r="F91" s="64">
        <f>1</f>
        <v>1</v>
      </c>
      <c r="G91" s="64" t="s">
        <v>5717</v>
      </c>
      <c r="H91" s="64" t="s">
        <v>28</v>
      </c>
      <c r="I91" s="64" t="s">
        <v>22</v>
      </c>
      <c r="J91" s="64" t="s">
        <v>892</v>
      </c>
      <c r="K91" s="64" t="s">
        <v>24</v>
      </c>
      <c r="L91" s="65">
        <v>0.0</v>
      </c>
      <c r="M91" s="65">
        <v>0.5</v>
      </c>
      <c r="N91" s="65">
        <f>0.359*0.5</f>
        <v>0.1795</v>
      </c>
      <c r="O91" s="66">
        <v>45120.0</v>
      </c>
      <c r="P91" s="67">
        <v>1.75</v>
      </c>
      <c r="Q91" s="64" t="s">
        <v>33</v>
      </c>
      <c r="R91" s="68">
        <f t="shared" si="1"/>
        <v>0.134625</v>
      </c>
      <c r="S91" s="68">
        <f t="shared" si="4"/>
        <v>0.531105375</v>
      </c>
    </row>
    <row r="92">
      <c r="A92" s="64">
        <f t="shared" si="3"/>
        <v>91</v>
      </c>
      <c r="B92" s="64" t="s">
        <v>19</v>
      </c>
      <c r="C92" s="64" t="s">
        <v>2810</v>
      </c>
      <c r="D92" s="64"/>
      <c r="E92" s="64"/>
      <c r="F92" s="64" t="s">
        <v>2615</v>
      </c>
      <c r="G92" s="64" t="s">
        <v>2615</v>
      </c>
      <c r="H92" s="64" t="s">
        <v>82</v>
      </c>
      <c r="I92" s="64" t="s">
        <v>22</v>
      </c>
      <c r="J92" s="64" t="s">
        <v>29</v>
      </c>
      <c r="K92" s="64" t="s">
        <v>1522</v>
      </c>
      <c r="L92" s="65">
        <v>-3.25</v>
      </c>
      <c r="M92" s="65">
        <v>0.25</v>
      </c>
      <c r="N92" s="65">
        <f>0.41*0.25</f>
        <v>0.1025</v>
      </c>
      <c r="O92" s="66">
        <v>45120.0</v>
      </c>
      <c r="P92" s="67">
        <v>1.8</v>
      </c>
      <c r="Q92" s="64" t="s">
        <v>25</v>
      </c>
      <c r="R92" s="68">
        <f t="shared" si="1"/>
        <v>-0.1025</v>
      </c>
      <c r="S92" s="68">
        <f t="shared" si="4"/>
        <v>0.428605375</v>
      </c>
    </row>
    <row r="93">
      <c r="A93" s="64">
        <f t="shared" si="3"/>
        <v>92</v>
      </c>
      <c r="B93" s="64" t="s">
        <v>19</v>
      </c>
      <c r="C93" s="64" t="s">
        <v>2811</v>
      </c>
      <c r="D93" s="64"/>
      <c r="E93" s="64"/>
      <c r="F93" s="64" t="s">
        <v>2615</v>
      </c>
      <c r="G93" s="64" t="s">
        <v>2615</v>
      </c>
      <c r="H93" s="64" t="s">
        <v>82</v>
      </c>
      <c r="I93" s="64" t="s">
        <v>22</v>
      </c>
      <c r="J93" s="64" t="s">
        <v>29</v>
      </c>
      <c r="K93" s="64" t="s">
        <v>39</v>
      </c>
      <c r="L93" s="65">
        <v>-1.5</v>
      </c>
      <c r="M93" s="65">
        <v>0.25</v>
      </c>
      <c r="N93" s="65">
        <f>0.462*0.25</f>
        <v>0.1155</v>
      </c>
      <c r="O93" s="66">
        <v>45120.0</v>
      </c>
      <c r="P93" s="67">
        <v>1.8</v>
      </c>
      <c r="Q93" s="64" t="s">
        <v>25</v>
      </c>
      <c r="R93" s="68">
        <f t="shared" si="1"/>
        <v>-0.1155</v>
      </c>
      <c r="S93" s="68">
        <f t="shared" si="4"/>
        <v>0.313105375</v>
      </c>
    </row>
    <row r="94">
      <c r="A94" s="64">
        <f t="shared" si="3"/>
        <v>93</v>
      </c>
      <c r="B94" s="64" t="s">
        <v>19</v>
      </c>
      <c r="C94" s="64" t="s">
        <v>2812</v>
      </c>
      <c r="D94" s="64" t="s">
        <v>5564</v>
      </c>
      <c r="E94" s="64" t="s">
        <v>2556</v>
      </c>
      <c r="F94" s="64">
        <f>1</f>
        <v>1</v>
      </c>
      <c r="G94" s="64" t="s">
        <v>5705</v>
      </c>
      <c r="H94" s="64" t="s">
        <v>82</v>
      </c>
      <c r="I94" s="64" t="s">
        <v>22</v>
      </c>
      <c r="J94" s="64" t="s">
        <v>225</v>
      </c>
      <c r="K94" s="64" t="s">
        <v>39</v>
      </c>
      <c r="L94" s="65">
        <v>0.75</v>
      </c>
      <c r="M94" s="65">
        <v>0.6</v>
      </c>
      <c r="N94" s="65">
        <v>0.6</v>
      </c>
      <c r="O94" s="66">
        <v>45121.0</v>
      </c>
      <c r="P94" s="67">
        <v>1.775</v>
      </c>
      <c r="Q94" s="64" t="s">
        <v>79</v>
      </c>
      <c r="R94" s="68">
        <f t="shared" si="1"/>
        <v>-0.3</v>
      </c>
      <c r="S94" s="68">
        <f t="shared" si="4"/>
        <v>0.013105375</v>
      </c>
    </row>
    <row r="95">
      <c r="A95" s="64">
        <f t="shared" si="3"/>
        <v>94</v>
      </c>
      <c r="B95" s="64" t="s">
        <v>19</v>
      </c>
      <c r="C95" s="64" t="s">
        <v>2813</v>
      </c>
      <c r="D95" s="64"/>
      <c r="E95" s="64"/>
      <c r="F95" s="64" t="s">
        <v>2613</v>
      </c>
      <c r="G95" s="64" t="s">
        <v>2613</v>
      </c>
      <c r="H95" s="64" t="s">
        <v>82</v>
      </c>
      <c r="I95" s="64" t="s">
        <v>598</v>
      </c>
      <c r="J95" s="64" t="s">
        <v>894</v>
      </c>
      <c r="K95" s="64" t="s">
        <v>39</v>
      </c>
      <c r="L95" s="65">
        <v>-0.25</v>
      </c>
      <c r="M95" s="65">
        <v>0.3</v>
      </c>
      <c r="N95" s="65">
        <v>0.3</v>
      </c>
      <c r="O95" s="66">
        <v>45122.0</v>
      </c>
      <c r="P95" s="67">
        <v>1.85</v>
      </c>
      <c r="Q95" s="64" t="s">
        <v>33</v>
      </c>
      <c r="R95" s="68">
        <f t="shared" si="1"/>
        <v>0.255</v>
      </c>
      <c r="S95" s="68">
        <f t="shared" si="4"/>
        <v>0.268105375</v>
      </c>
    </row>
    <row r="96">
      <c r="A96" s="64">
        <f t="shared" si="3"/>
        <v>95</v>
      </c>
      <c r="B96" s="64" t="s">
        <v>19</v>
      </c>
      <c r="C96" s="64" t="s">
        <v>2814</v>
      </c>
      <c r="D96" s="64" t="s">
        <v>5565</v>
      </c>
      <c r="E96" s="64" t="s">
        <v>2556</v>
      </c>
      <c r="F96" s="64">
        <v>2</v>
      </c>
      <c r="G96" s="64" t="s">
        <v>5718</v>
      </c>
      <c r="H96" s="64" t="s">
        <v>28</v>
      </c>
      <c r="I96" s="64" t="s">
        <v>22</v>
      </c>
      <c r="J96" s="64" t="s">
        <v>2725</v>
      </c>
      <c r="K96" s="64" t="s">
        <v>24</v>
      </c>
      <c r="L96" s="65">
        <v>0.25</v>
      </c>
      <c r="M96" s="65">
        <v>0.6</v>
      </c>
      <c r="N96" s="65">
        <v>0.6</v>
      </c>
      <c r="O96" s="66">
        <v>45121.0</v>
      </c>
      <c r="P96" s="67">
        <v>1.725</v>
      </c>
      <c r="Q96" s="64" t="s">
        <v>33</v>
      </c>
      <c r="R96" s="68">
        <f t="shared" si="1"/>
        <v>0.435</v>
      </c>
      <c r="S96" s="68">
        <f t="shared" si="4"/>
        <v>0.703105375</v>
      </c>
    </row>
    <row r="97">
      <c r="A97" s="64">
        <f t="shared" si="3"/>
        <v>96</v>
      </c>
      <c r="B97" s="64" t="s">
        <v>19</v>
      </c>
      <c r="C97" s="64" t="s">
        <v>2815</v>
      </c>
      <c r="D97" s="64" t="s">
        <v>5565</v>
      </c>
      <c r="E97" s="64" t="s">
        <v>2556</v>
      </c>
      <c r="F97" s="64">
        <f>1</f>
        <v>1</v>
      </c>
      <c r="G97" s="64" t="s">
        <v>5709</v>
      </c>
      <c r="H97" s="64" t="s">
        <v>172</v>
      </c>
      <c r="I97" s="64" t="s">
        <v>22</v>
      </c>
      <c r="J97" s="64" t="s">
        <v>1847</v>
      </c>
      <c r="K97" s="64" t="s">
        <v>24</v>
      </c>
      <c r="L97" s="65">
        <v>-0.5</v>
      </c>
      <c r="M97" s="65">
        <v>0.3</v>
      </c>
      <c r="N97" s="65">
        <v>0.3</v>
      </c>
      <c r="O97" s="66">
        <v>45121.0</v>
      </c>
      <c r="P97" s="67">
        <v>1.72</v>
      </c>
      <c r="Q97" s="64" t="s">
        <v>33</v>
      </c>
      <c r="R97" s="68">
        <f t="shared" si="1"/>
        <v>0.216</v>
      </c>
      <c r="S97" s="68">
        <f t="shared" si="4"/>
        <v>0.919105375</v>
      </c>
    </row>
    <row r="98">
      <c r="A98" s="64">
        <f t="shared" si="3"/>
        <v>97</v>
      </c>
      <c r="B98" s="64" t="s">
        <v>19</v>
      </c>
      <c r="C98" s="64" t="s">
        <v>2816</v>
      </c>
      <c r="D98" s="64" t="s">
        <v>5564</v>
      </c>
      <c r="E98" s="64" t="s">
        <v>2556</v>
      </c>
      <c r="F98" s="64">
        <v>2</v>
      </c>
      <c r="G98" s="64" t="s">
        <v>5715</v>
      </c>
      <c r="H98" s="64" t="s">
        <v>28</v>
      </c>
      <c r="I98" s="64" t="s">
        <v>22</v>
      </c>
      <c r="J98" s="64" t="s">
        <v>1150</v>
      </c>
      <c r="K98" s="64" t="s">
        <v>24</v>
      </c>
      <c r="L98" s="65">
        <v>0.0</v>
      </c>
      <c r="M98" s="65">
        <v>0.3</v>
      </c>
      <c r="N98" s="65">
        <v>0.3</v>
      </c>
      <c r="O98" s="66">
        <v>45121.0</v>
      </c>
      <c r="P98" s="67">
        <v>2.35</v>
      </c>
      <c r="Q98" s="64" t="s">
        <v>25</v>
      </c>
      <c r="R98" s="68">
        <f t="shared" si="1"/>
        <v>-0.3</v>
      </c>
      <c r="S98" s="68">
        <f t="shared" si="4"/>
        <v>0.619105375</v>
      </c>
    </row>
    <row r="99">
      <c r="A99" s="64">
        <f t="shared" si="3"/>
        <v>98</v>
      </c>
      <c r="B99" s="64" t="s">
        <v>19</v>
      </c>
      <c r="C99" s="64" t="s">
        <v>2817</v>
      </c>
      <c r="D99" s="64" t="s">
        <v>5565</v>
      </c>
      <c r="E99" s="64" t="s">
        <v>2556</v>
      </c>
      <c r="F99" s="64">
        <v>0.0</v>
      </c>
      <c r="G99" s="64" t="s">
        <v>5699</v>
      </c>
      <c r="H99" s="64" t="s">
        <v>28</v>
      </c>
      <c r="I99" s="64" t="s">
        <v>22</v>
      </c>
      <c r="J99" s="64" t="s">
        <v>2725</v>
      </c>
      <c r="K99" s="64" t="s">
        <v>1851</v>
      </c>
      <c r="L99" s="65">
        <v>1.0</v>
      </c>
      <c r="M99" s="65">
        <v>0.6</v>
      </c>
      <c r="N99" s="65">
        <f>0.641*0.6</f>
        <v>0.3846</v>
      </c>
      <c r="O99" s="66">
        <v>45121.0</v>
      </c>
      <c r="P99" s="67">
        <f>454.89/300</f>
        <v>1.5163</v>
      </c>
      <c r="Q99" s="64" t="s">
        <v>33</v>
      </c>
      <c r="R99" s="68">
        <f t="shared" si="1"/>
        <v>0.19856898</v>
      </c>
      <c r="S99" s="68">
        <f t="shared" si="4"/>
        <v>0.817674355</v>
      </c>
    </row>
    <row r="100">
      <c r="A100" s="64">
        <f t="shared" si="3"/>
        <v>99</v>
      </c>
      <c r="B100" s="64" t="s">
        <v>19</v>
      </c>
      <c r="C100" s="64" t="s">
        <v>2818</v>
      </c>
      <c r="D100" s="64" t="s">
        <v>5565</v>
      </c>
      <c r="E100" s="64" t="s">
        <v>2556</v>
      </c>
      <c r="F100" s="64">
        <v>0.0</v>
      </c>
      <c r="G100" s="64" t="s">
        <v>5699</v>
      </c>
      <c r="H100" s="64" t="s">
        <v>28</v>
      </c>
      <c r="I100" s="64" t="s">
        <v>22</v>
      </c>
      <c r="J100" s="64" t="s">
        <v>2725</v>
      </c>
      <c r="K100" s="64" t="s">
        <v>1851</v>
      </c>
      <c r="L100" s="65">
        <v>0.75</v>
      </c>
      <c r="M100" s="65">
        <v>0.3</v>
      </c>
      <c r="N100" s="65">
        <f>0.359*0.3</f>
        <v>0.1077</v>
      </c>
      <c r="O100" s="66">
        <v>45121.0</v>
      </c>
      <c r="P100" s="67">
        <f>243.91/150</f>
        <v>1.626066667</v>
      </c>
      <c r="Q100" s="64" t="s">
        <v>33</v>
      </c>
      <c r="R100" s="68">
        <f t="shared" si="1"/>
        <v>0.06742738</v>
      </c>
      <c r="S100" s="68">
        <f t="shared" si="4"/>
        <v>0.885101735</v>
      </c>
    </row>
    <row r="101">
      <c r="A101" s="64">
        <f t="shared" si="3"/>
        <v>100</v>
      </c>
      <c r="B101" s="64" t="s">
        <v>19</v>
      </c>
      <c r="C101" s="64" t="s">
        <v>2819</v>
      </c>
      <c r="D101" s="64" t="s">
        <v>5565</v>
      </c>
      <c r="E101" s="64" t="s">
        <v>2556</v>
      </c>
      <c r="F101" s="64">
        <v>-4.0</v>
      </c>
      <c r="G101" s="64" t="s">
        <v>5719</v>
      </c>
      <c r="H101" s="64" t="s">
        <v>78</v>
      </c>
      <c r="I101" s="64" t="s">
        <v>22</v>
      </c>
      <c r="J101" s="64" t="s">
        <v>225</v>
      </c>
      <c r="K101" s="64" t="s">
        <v>24</v>
      </c>
      <c r="L101" s="65">
        <v>0.75</v>
      </c>
      <c r="M101" s="65">
        <v>0.6</v>
      </c>
      <c r="N101" s="65">
        <v>0.6</v>
      </c>
      <c r="O101" s="66">
        <v>45121.0</v>
      </c>
      <c r="P101" s="67">
        <f>461.51/300</f>
        <v>1.538366667</v>
      </c>
      <c r="Q101" s="64" t="s">
        <v>33</v>
      </c>
      <c r="R101" s="68">
        <f t="shared" si="1"/>
        <v>0.32302</v>
      </c>
      <c r="S101" s="68">
        <f t="shared" si="4"/>
        <v>1.208121735</v>
      </c>
    </row>
    <row r="102">
      <c r="A102" s="64">
        <f t="shared" si="3"/>
        <v>101</v>
      </c>
      <c r="B102" s="64" t="s">
        <v>19</v>
      </c>
      <c r="C102" s="64" t="s">
        <v>2820</v>
      </c>
      <c r="D102" s="64" t="s">
        <v>5565</v>
      </c>
      <c r="E102" s="64" t="s">
        <v>2556</v>
      </c>
      <c r="F102" s="64">
        <v>0.0</v>
      </c>
      <c r="G102" s="64" t="s">
        <v>5699</v>
      </c>
      <c r="H102" s="64" t="s">
        <v>82</v>
      </c>
      <c r="I102" s="64" t="s">
        <v>22</v>
      </c>
      <c r="J102" s="64" t="s">
        <v>225</v>
      </c>
      <c r="K102" s="64" t="s">
        <v>39</v>
      </c>
      <c r="L102" s="65">
        <v>0.25</v>
      </c>
      <c r="M102" s="65">
        <v>0.3</v>
      </c>
      <c r="N102" s="65">
        <f>0.95*0.3</f>
        <v>0.285</v>
      </c>
      <c r="O102" s="66">
        <v>45121.0</v>
      </c>
      <c r="P102" s="67">
        <v>1.8</v>
      </c>
      <c r="Q102" s="64" t="s">
        <v>25</v>
      </c>
      <c r="R102" s="68">
        <f t="shared" si="1"/>
        <v>-0.285</v>
      </c>
      <c r="S102" s="68">
        <f t="shared" si="4"/>
        <v>0.923121735</v>
      </c>
    </row>
    <row r="103">
      <c r="A103" s="64">
        <f t="shared" si="3"/>
        <v>102</v>
      </c>
      <c r="B103" s="64" t="s">
        <v>19</v>
      </c>
      <c r="C103" s="64" t="s">
        <v>2821</v>
      </c>
      <c r="D103" s="64" t="s">
        <v>5565</v>
      </c>
      <c r="E103" s="64" t="s">
        <v>2556</v>
      </c>
      <c r="F103" s="64">
        <v>2</v>
      </c>
      <c r="G103" s="64" t="s">
        <v>5718</v>
      </c>
      <c r="H103" s="64" t="s">
        <v>863</v>
      </c>
      <c r="I103" s="64" t="s">
        <v>22</v>
      </c>
      <c r="J103" s="64" t="s">
        <v>225</v>
      </c>
      <c r="K103" s="64" t="s">
        <v>39</v>
      </c>
      <c r="L103" s="65">
        <v>0.5</v>
      </c>
      <c r="M103" s="65">
        <v>0.3</v>
      </c>
      <c r="N103" s="65">
        <v>0.3</v>
      </c>
      <c r="O103" s="69">
        <v>45122.0</v>
      </c>
      <c r="P103" s="67">
        <v>1.8</v>
      </c>
      <c r="Q103" s="64" t="s">
        <v>25</v>
      </c>
      <c r="R103" s="68">
        <f t="shared" si="1"/>
        <v>-0.3</v>
      </c>
      <c r="S103" s="68">
        <f t="shared" si="4"/>
        <v>0.623121735</v>
      </c>
    </row>
    <row r="104">
      <c r="A104" s="64">
        <f t="shared" si="3"/>
        <v>103</v>
      </c>
      <c r="B104" s="64" t="s">
        <v>19</v>
      </c>
      <c r="C104" s="64" t="s">
        <v>2822</v>
      </c>
      <c r="D104" s="64" t="s">
        <v>5564</v>
      </c>
      <c r="E104" s="64" t="s">
        <v>2556</v>
      </c>
      <c r="F104" s="64">
        <v>-4.0</v>
      </c>
      <c r="G104" s="64" t="s">
        <v>5720</v>
      </c>
      <c r="H104" s="64" t="s">
        <v>78</v>
      </c>
      <c r="I104" s="64" t="s">
        <v>22</v>
      </c>
      <c r="J104" s="64" t="s">
        <v>225</v>
      </c>
      <c r="K104" s="64" t="s">
        <v>1522</v>
      </c>
      <c r="L104" s="65">
        <v>0.25</v>
      </c>
      <c r="M104" s="65">
        <v>0.6</v>
      </c>
      <c r="N104" s="65">
        <v>0.6</v>
      </c>
      <c r="O104" s="66">
        <v>45122.0</v>
      </c>
      <c r="P104" s="67">
        <v>2.025</v>
      </c>
      <c r="Q104" s="64" t="s">
        <v>70</v>
      </c>
      <c r="R104" s="68">
        <f t="shared" si="1"/>
        <v>0</v>
      </c>
      <c r="S104" s="68">
        <f t="shared" si="4"/>
        <v>0.623121735</v>
      </c>
    </row>
    <row r="105">
      <c r="A105" s="64">
        <f t="shared" si="3"/>
        <v>104</v>
      </c>
      <c r="B105" s="64" t="s">
        <v>19</v>
      </c>
      <c r="C105" s="64" t="s">
        <v>2823</v>
      </c>
      <c r="D105" s="64" t="s">
        <v>5565</v>
      </c>
      <c r="E105" s="64" t="s">
        <v>2556</v>
      </c>
      <c r="F105" s="64">
        <v>0.0</v>
      </c>
      <c r="G105" s="64" t="s">
        <v>5699</v>
      </c>
      <c r="H105" s="64" t="s">
        <v>82</v>
      </c>
      <c r="I105" s="64" t="s">
        <v>22</v>
      </c>
      <c r="J105" s="64" t="s">
        <v>225</v>
      </c>
      <c r="K105" s="64" t="s">
        <v>39</v>
      </c>
      <c r="L105" s="65">
        <v>0.25</v>
      </c>
      <c r="M105" s="65">
        <v>0.3</v>
      </c>
      <c r="N105" s="65">
        <f>0.41*0.3</f>
        <v>0.123</v>
      </c>
      <c r="O105" s="66">
        <v>45122.0</v>
      </c>
      <c r="P105" s="67">
        <v>1.775</v>
      </c>
      <c r="Q105" s="64" t="s">
        <v>33</v>
      </c>
      <c r="R105" s="68">
        <f t="shared" si="1"/>
        <v>0.095325</v>
      </c>
      <c r="S105" s="68">
        <f t="shared" si="4"/>
        <v>0.718446735</v>
      </c>
    </row>
    <row r="106">
      <c r="A106" s="64">
        <f t="shared" si="3"/>
        <v>105</v>
      </c>
      <c r="B106" s="64" t="s">
        <v>19</v>
      </c>
      <c r="C106" s="64" t="s">
        <v>2824</v>
      </c>
      <c r="D106" s="64" t="s">
        <v>5565</v>
      </c>
      <c r="E106" s="64" t="s">
        <v>2556</v>
      </c>
      <c r="F106" s="64">
        <v>-1.0</v>
      </c>
      <c r="G106" s="64" t="s">
        <v>5703</v>
      </c>
      <c r="H106" s="64" t="s">
        <v>2674</v>
      </c>
      <c r="I106" s="64" t="s">
        <v>22</v>
      </c>
      <c r="J106" s="64" t="s">
        <v>892</v>
      </c>
      <c r="K106" s="64" t="s">
        <v>1851</v>
      </c>
      <c r="L106" s="65">
        <v>0.0</v>
      </c>
      <c r="M106" s="65">
        <v>0.3</v>
      </c>
      <c r="N106" s="65">
        <v>0.3</v>
      </c>
      <c r="O106" s="66">
        <v>45122.0</v>
      </c>
      <c r="P106" s="67">
        <v>1.75</v>
      </c>
      <c r="Q106" s="64" t="s">
        <v>70</v>
      </c>
      <c r="R106" s="68">
        <f t="shared" si="1"/>
        <v>0</v>
      </c>
      <c r="S106" s="68">
        <f t="shared" si="4"/>
        <v>0.718446735</v>
      </c>
    </row>
    <row r="107">
      <c r="A107" s="64">
        <f t="shared" si="3"/>
        <v>106</v>
      </c>
      <c r="B107" s="64" t="s">
        <v>40</v>
      </c>
      <c r="C107" s="64" t="s">
        <v>2825</v>
      </c>
      <c r="D107" s="64"/>
      <c r="E107" s="64"/>
      <c r="F107" s="64" t="s">
        <v>2618</v>
      </c>
      <c r="G107" s="64" t="s">
        <v>5721</v>
      </c>
      <c r="H107" s="64" t="s">
        <v>189</v>
      </c>
      <c r="I107" s="64" t="s">
        <v>22</v>
      </c>
      <c r="J107" s="64" t="s">
        <v>440</v>
      </c>
      <c r="K107" s="64" t="s">
        <v>24</v>
      </c>
      <c r="L107" s="65">
        <v>0.5</v>
      </c>
      <c r="M107" s="65">
        <v>0.3</v>
      </c>
      <c r="N107" s="65">
        <v>0.3</v>
      </c>
      <c r="O107" s="66">
        <v>45122.0</v>
      </c>
      <c r="P107" s="67">
        <v>1.8</v>
      </c>
      <c r="Q107" s="64" t="s">
        <v>33</v>
      </c>
      <c r="R107" s="68">
        <f t="shared" si="1"/>
        <v>0.24</v>
      </c>
      <c r="S107" s="68">
        <f t="shared" si="4"/>
        <v>0.958446735</v>
      </c>
    </row>
    <row r="108">
      <c r="A108" s="64">
        <f t="shared" si="3"/>
        <v>107</v>
      </c>
      <c r="B108" s="64" t="s">
        <v>19</v>
      </c>
      <c r="C108" s="64" t="s">
        <v>2826</v>
      </c>
      <c r="D108" s="64"/>
      <c r="E108" s="64"/>
      <c r="F108" s="64" t="s">
        <v>2613</v>
      </c>
      <c r="G108" s="64" t="s">
        <v>2613</v>
      </c>
      <c r="H108" s="64" t="s">
        <v>82</v>
      </c>
      <c r="I108" s="64" t="s">
        <v>598</v>
      </c>
      <c r="J108" s="64" t="s">
        <v>1847</v>
      </c>
      <c r="K108" s="64" t="s">
        <v>39</v>
      </c>
      <c r="L108" s="65">
        <v>-0.5</v>
      </c>
      <c r="M108" s="65">
        <v>0.3</v>
      </c>
      <c r="N108" s="65">
        <v>0.3</v>
      </c>
      <c r="O108" s="66">
        <v>45122.0</v>
      </c>
      <c r="P108" s="67">
        <v>1.7</v>
      </c>
      <c r="Q108" s="64" t="s">
        <v>33</v>
      </c>
      <c r="R108" s="68">
        <f t="shared" si="1"/>
        <v>0.21</v>
      </c>
      <c r="S108" s="68">
        <f t="shared" si="4"/>
        <v>1.168446735</v>
      </c>
    </row>
    <row r="109">
      <c r="A109" s="64">
        <f t="shared" si="3"/>
        <v>108</v>
      </c>
      <c r="B109" s="64" t="s">
        <v>19</v>
      </c>
      <c r="C109" s="64" t="s">
        <v>2827</v>
      </c>
      <c r="D109" s="64" t="s">
        <v>5564</v>
      </c>
      <c r="E109" s="64" t="s">
        <v>2556</v>
      </c>
      <c r="F109" s="64">
        <v>0.0</v>
      </c>
      <c r="G109" s="64" t="s">
        <v>5702</v>
      </c>
      <c r="H109" s="64" t="s">
        <v>28</v>
      </c>
      <c r="I109" s="64" t="s">
        <v>22</v>
      </c>
      <c r="J109" s="64" t="s">
        <v>1150</v>
      </c>
      <c r="K109" s="64" t="s">
        <v>24</v>
      </c>
      <c r="L109" s="65">
        <v>0.0</v>
      </c>
      <c r="M109" s="65">
        <v>0.3</v>
      </c>
      <c r="N109" s="65">
        <v>0.3</v>
      </c>
      <c r="O109" s="66">
        <v>45122.0</v>
      </c>
      <c r="P109" s="67">
        <f>273.58/150</f>
        <v>1.823866667</v>
      </c>
      <c r="Q109" s="64" t="s">
        <v>33</v>
      </c>
      <c r="R109" s="68">
        <f t="shared" si="1"/>
        <v>0.24716</v>
      </c>
      <c r="S109" s="68">
        <f t="shared" si="4"/>
        <v>1.415606735</v>
      </c>
    </row>
    <row r="110">
      <c r="A110" s="64">
        <f t="shared" si="3"/>
        <v>109</v>
      </c>
      <c r="B110" s="64" t="s">
        <v>19</v>
      </c>
      <c r="C110" s="64" t="s">
        <v>2828</v>
      </c>
      <c r="D110" s="64" t="s">
        <v>5564</v>
      </c>
      <c r="E110" s="64" t="s">
        <v>2556</v>
      </c>
      <c r="F110" s="64">
        <v>0.0</v>
      </c>
      <c r="G110" s="64" t="s">
        <v>5702</v>
      </c>
      <c r="H110" s="64" t="s">
        <v>28</v>
      </c>
      <c r="I110" s="64" t="s">
        <v>22</v>
      </c>
      <c r="J110" s="64" t="s">
        <v>892</v>
      </c>
      <c r="K110" s="64" t="s">
        <v>39</v>
      </c>
      <c r="L110" s="65">
        <v>0.0</v>
      </c>
      <c r="M110" s="65">
        <v>0.3</v>
      </c>
      <c r="N110" s="65">
        <v>0.3</v>
      </c>
      <c r="O110" s="66">
        <v>45122.0</v>
      </c>
      <c r="P110" s="67">
        <v>2.075</v>
      </c>
      <c r="Q110" s="64" t="s">
        <v>70</v>
      </c>
      <c r="R110" s="68">
        <f t="shared" si="1"/>
        <v>0</v>
      </c>
      <c r="S110" s="68">
        <f t="shared" si="4"/>
        <v>1.415606735</v>
      </c>
    </row>
    <row r="111">
      <c r="A111" s="64">
        <f t="shared" si="3"/>
        <v>110</v>
      </c>
      <c r="B111" s="64" t="s">
        <v>19</v>
      </c>
      <c r="C111" s="64" t="s">
        <v>2829</v>
      </c>
      <c r="D111" s="64" t="s">
        <v>5564</v>
      </c>
      <c r="E111" s="64" t="s">
        <v>2556</v>
      </c>
      <c r="F111" s="64">
        <v>0.0</v>
      </c>
      <c r="G111" s="64" t="s">
        <v>5702</v>
      </c>
      <c r="H111" s="64" t="s">
        <v>28</v>
      </c>
      <c r="I111" s="64" t="s">
        <v>22</v>
      </c>
      <c r="J111" s="64" t="s">
        <v>892</v>
      </c>
      <c r="K111" s="64" t="s">
        <v>24</v>
      </c>
      <c r="L111" s="65">
        <v>0.0</v>
      </c>
      <c r="M111" s="65">
        <v>0.3</v>
      </c>
      <c r="N111" s="65">
        <f>0.718*0.3</f>
        <v>0.2154</v>
      </c>
      <c r="O111" s="66">
        <v>45122.0</v>
      </c>
      <c r="P111" s="67">
        <f>244.1/150</f>
        <v>1.627333333</v>
      </c>
      <c r="Q111" s="64" t="s">
        <v>33</v>
      </c>
      <c r="R111" s="68">
        <f t="shared" si="1"/>
        <v>0.1351276</v>
      </c>
      <c r="S111" s="68">
        <f t="shared" si="4"/>
        <v>1.550734335</v>
      </c>
    </row>
    <row r="112">
      <c r="A112" s="64">
        <f t="shared" si="3"/>
        <v>111</v>
      </c>
      <c r="B112" s="64" t="s">
        <v>19</v>
      </c>
      <c r="C112" s="64" t="s">
        <v>2830</v>
      </c>
      <c r="D112" s="64" t="s">
        <v>5564</v>
      </c>
      <c r="E112" s="64" t="s">
        <v>2556</v>
      </c>
      <c r="F112" s="64">
        <v>0.0</v>
      </c>
      <c r="G112" s="64" t="s">
        <v>5702</v>
      </c>
      <c r="H112" s="64" t="s">
        <v>82</v>
      </c>
      <c r="I112" s="64" t="s">
        <v>22</v>
      </c>
      <c r="J112" s="64" t="s">
        <v>225</v>
      </c>
      <c r="K112" s="64" t="s">
        <v>24</v>
      </c>
      <c r="L112" s="65">
        <v>0.5</v>
      </c>
      <c r="M112" s="65">
        <v>0.3</v>
      </c>
      <c r="N112" s="65">
        <v>0.3</v>
      </c>
      <c r="O112" s="66">
        <v>45122.0</v>
      </c>
      <c r="P112" s="67">
        <f>236.25/150</f>
        <v>1.575</v>
      </c>
      <c r="Q112" s="64" t="s">
        <v>33</v>
      </c>
      <c r="R112" s="68">
        <f t="shared" si="1"/>
        <v>0.1725</v>
      </c>
      <c r="S112" s="68">
        <f t="shared" si="4"/>
        <v>1.723234335</v>
      </c>
    </row>
    <row r="113">
      <c r="A113" s="64">
        <f t="shared" si="3"/>
        <v>112</v>
      </c>
      <c r="B113" s="64" t="s">
        <v>19</v>
      </c>
      <c r="C113" s="64" t="s">
        <v>2831</v>
      </c>
      <c r="D113" s="64" t="s">
        <v>5564</v>
      </c>
      <c r="E113" s="64" t="s">
        <v>2556</v>
      </c>
      <c r="F113" s="64">
        <v>0.0</v>
      </c>
      <c r="G113" s="64" t="s">
        <v>5702</v>
      </c>
      <c r="H113" s="64" t="s">
        <v>82</v>
      </c>
      <c r="I113" s="64" t="s">
        <v>22</v>
      </c>
      <c r="J113" s="64" t="s">
        <v>225</v>
      </c>
      <c r="K113" s="64" t="s">
        <v>1522</v>
      </c>
      <c r="L113" s="65">
        <v>0.5</v>
      </c>
      <c r="M113" s="65">
        <v>0.3</v>
      </c>
      <c r="N113" s="65">
        <v>0.3</v>
      </c>
      <c r="O113" s="66">
        <v>45122.0</v>
      </c>
      <c r="P113" s="67">
        <v>1.825</v>
      </c>
      <c r="Q113" s="64" t="s">
        <v>70</v>
      </c>
      <c r="R113" s="68">
        <f t="shared" si="1"/>
        <v>0</v>
      </c>
      <c r="S113" s="68">
        <f t="shared" si="4"/>
        <v>1.723234335</v>
      </c>
    </row>
    <row r="114">
      <c r="A114" s="64">
        <f t="shared" si="3"/>
        <v>113</v>
      </c>
      <c r="B114" s="64" t="s">
        <v>19</v>
      </c>
      <c r="C114" s="64" t="s">
        <v>2789</v>
      </c>
      <c r="D114" s="64" t="s">
        <v>5564</v>
      </c>
      <c r="E114" s="64" t="s">
        <v>2556</v>
      </c>
      <c r="F114" s="64">
        <v>0.0</v>
      </c>
      <c r="G114" s="64" t="s">
        <v>5702</v>
      </c>
      <c r="H114" s="64" t="s">
        <v>82</v>
      </c>
      <c r="I114" s="64" t="s">
        <v>22</v>
      </c>
      <c r="J114" s="64" t="s">
        <v>225</v>
      </c>
      <c r="K114" s="64" t="s">
        <v>39</v>
      </c>
      <c r="L114" s="65">
        <v>0.5</v>
      </c>
      <c r="M114" s="65">
        <v>0.5</v>
      </c>
      <c r="N114" s="65">
        <v>0.5</v>
      </c>
      <c r="O114" s="66">
        <v>45123.0</v>
      </c>
      <c r="P114" s="67">
        <v>1.85</v>
      </c>
      <c r="Q114" s="64" t="s">
        <v>25</v>
      </c>
      <c r="R114" s="68">
        <f t="shared" si="1"/>
        <v>-0.5</v>
      </c>
      <c r="S114" s="68">
        <f t="shared" si="4"/>
        <v>1.223234335</v>
      </c>
    </row>
    <row r="115">
      <c r="A115" s="64">
        <f t="shared" si="3"/>
        <v>114</v>
      </c>
      <c r="B115" s="64" t="s">
        <v>19</v>
      </c>
      <c r="C115" s="64" t="s">
        <v>2832</v>
      </c>
      <c r="D115" s="64" t="s">
        <v>5564</v>
      </c>
      <c r="E115" s="64" t="s">
        <v>2702</v>
      </c>
      <c r="F115" s="64">
        <v>0.0</v>
      </c>
      <c r="G115" s="64" t="s">
        <v>5700</v>
      </c>
      <c r="H115" s="64" t="s">
        <v>2380</v>
      </c>
      <c r="I115" s="64" t="s">
        <v>22</v>
      </c>
      <c r="J115" s="64" t="s">
        <v>892</v>
      </c>
      <c r="K115" s="64" t="s">
        <v>39</v>
      </c>
      <c r="L115" s="65">
        <v>0.0</v>
      </c>
      <c r="M115" s="65">
        <v>0.5</v>
      </c>
      <c r="N115" s="65">
        <v>0.5</v>
      </c>
      <c r="O115" s="66">
        <v>45123.0</v>
      </c>
      <c r="P115" s="67">
        <v>1.925</v>
      </c>
      <c r="Q115" s="64" t="s">
        <v>33</v>
      </c>
      <c r="R115" s="68">
        <f t="shared" si="1"/>
        <v>0.4625</v>
      </c>
      <c r="S115" s="68">
        <f t="shared" si="4"/>
        <v>1.685734335</v>
      </c>
    </row>
    <row r="116">
      <c r="A116" s="64">
        <f t="shared" si="3"/>
        <v>115</v>
      </c>
      <c r="B116" s="64" t="s">
        <v>19</v>
      </c>
      <c r="C116" s="64" t="s">
        <v>2833</v>
      </c>
      <c r="D116" s="64"/>
      <c r="E116" s="64"/>
      <c r="F116" s="64" t="s">
        <v>2615</v>
      </c>
      <c r="G116" s="64" t="s">
        <v>2615</v>
      </c>
      <c r="H116" s="64" t="s">
        <v>82</v>
      </c>
      <c r="I116" s="64" t="s">
        <v>22</v>
      </c>
      <c r="J116" s="64" t="s">
        <v>29</v>
      </c>
      <c r="K116" s="64" t="s">
        <v>24</v>
      </c>
      <c r="L116" s="65">
        <v>-3.5</v>
      </c>
      <c r="M116" s="65">
        <v>0.25</v>
      </c>
      <c r="N116" s="65">
        <f>0.256*0.25</f>
        <v>0.064</v>
      </c>
      <c r="O116" s="66">
        <v>45123.0</v>
      </c>
      <c r="P116" s="67">
        <f>230.12/150</f>
        <v>1.534133333</v>
      </c>
      <c r="Q116" s="64" t="s">
        <v>33</v>
      </c>
      <c r="R116" s="68">
        <f t="shared" si="1"/>
        <v>0.03418453333</v>
      </c>
      <c r="S116" s="68">
        <f t="shared" si="4"/>
        <v>1.719918868</v>
      </c>
    </row>
    <row r="117">
      <c r="A117" s="64">
        <f t="shared" si="3"/>
        <v>116</v>
      </c>
      <c r="B117" s="64" t="s">
        <v>19</v>
      </c>
      <c r="C117" s="64" t="s">
        <v>2834</v>
      </c>
      <c r="D117" s="64"/>
      <c r="E117" s="64"/>
      <c r="F117" s="64" t="s">
        <v>2615</v>
      </c>
      <c r="G117" s="64" t="s">
        <v>2615</v>
      </c>
      <c r="H117" s="64" t="s">
        <v>82</v>
      </c>
      <c r="I117" s="64" t="s">
        <v>22</v>
      </c>
      <c r="J117" s="64" t="s">
        <v>29</v>
      </c>
      <c r="K117" s="64" t="s">
        <v>24</v>
      </c>
      <c r="L117" s="65">
        <v>-3.25</v>
      </c>
      <c r="M117" s="65">
        <v>0.25</v>
      </c>
      <c r="N117" s="65">
        <f>0.667*0.25</f>
        <v>0.16675</v>
      </c>
      <c r="O117" s="66">
        <v>45123.0</v>
      </c>
      <c r="P117" s="67">
        <f>178.82/125</f>
        <v>1.43056</v>
      </c>
      <c r="Q117" s="64" t="s">
        <v>33</v>
      </c>
      <c r="R117" s="68">
        <f t="shared" si="1"/>
        <v>0.07179588</v>
      </c>
      <c r="S117" s="68">
        <f t="shared" si="4"/>
        <v>1.791714748</v>
      </c>
    </row>
    <row r="118">
      <c r="A118" s="64">
        <f t="shared" si="3"/>
        <v>117</v>
      </c>
      <c r="B118" s="64" t="s">
        <v>19</v>
      </c>
      <c r="C118" s="64" t="s">
        <v>2835</v>
      </c>
      <c r="D118" s="64" t="s">
        <v>5565</v>
      </c>
      <c r="E118" s="64" t="s">
        <v>2556</v>
      </c>
      <c r="F118" s="64">
        <v>3</v>
      </c>
      <c r="G118" s="64" t="s">
        <v>5722</v>
      </c>
      <c r="H118" s="64" t="s">
        <v>513</v>
      </c>
      <c r="I118" s="64" t="s">
        <v>22</v>
      </c>
      <c r="J118" s="64" t="s">
        <v>225</v>
      </c>
      <c r="K118" s="64" t="s">
        <v>24</v>
      </c>
      <c r="L118" s="65">
        <v>0.75</v>
      </c>
      <c r="M118" s="65">
        <v>0.6</v>
      </c>
      <c r="N118" s="65">
        <v>0.6</v>
      </c>
      <c r="O118" s="66">
        <v>45125.0</v>
      </c>
      <c r="P118" s="67">
        <v>1.9</v>
      </c>
      <c r="Q118" s="64" t="s">
        <v>33</v>
      </c>
      <c r="R118" s="68">
        <f t="shared" si="1"/>
        <v>0.54</v>
      </c>
      <c r="S118" s="68">
        <f t="shared" si="4"/>
        <v>2.331714748</v>
      </c>
    </row>
    <row r="119">
      <c r="A119" s="64">
        <f t="shared" si="3"/>
        <v>118</v>
      </c>
      <c r="B119" s="64" t="s">
        <v>19</v>
      </c>
      <c r="C119" s="64" t="s">
        <v>2836</v>
      </c>
      <c r="D119" s="64" t="s">
        <v>5564</v>
      </c>
      <c r="E119" s="64" t="s">
        <v>2556</v>
      </c>
      <c r="F119" s="64">
        <v>0.0</v>
      </c>
      <c r="G119" s="64" t="s">
        <v>5700</v>
      </c>
      <c r="H119" s="64" t="s">
        <v>820</v>
      </c>
      <c r="I119" s="64" t="s">
        <v>22</v>
      </c>
      <c r="J119" s="64" t="s">
        <v>892</v>
      </c>
      <c r="K119" s="64" t="s">
        <v>24</v>
      </c>
      <c r="L119" s="65">
        <v>0.0</v>
      </c>
      <c r="M119" s="65">
        <v>0.3</v>
      </c>
      <c r="N119" s="65">
        <v>0.3</v>
      </c>
      <c r="O119" s="66">
        <v>45125.0</v>
      </c>
      <c r="P119" s="67">
        <v>2.05</v>
      </c>
      <c r="Q119" s="64" t="s">
        <v>70</v>
      </c>
      <c r="R119" s="68">
        <f t="shared" si="1"/>
        <v>0</v>
      </c>
      <c r="S119" s="68">
        <f t="shared" si="4"/>
        <v>2.331714748</v>
      </c>
    </row>
    <row r="120">
      <c r="A120" s="64">
        <f t="shared" si="3"/>
        <v>119</v>
      </c>
      <c r="B120" s="64" t="s">
        <v>19</v>
      </c>
      <c r="C120" s="64" t="s">
        <v>2837</v>
      </c>
      <c r="D120" s="64" t="s">
        <v>5564</v>
      </c>
      <c r="E120" s="64" t="s">
        <v>2556</v>
      </c>
      <c r="F120" s="64">
        <f>1</f>
        <v>1</v>
      </c>
      <c r="G120" s="64" t="s">
        <v>5705</v>
      </c>
      <c r="H120" s="64" t="s">
        <v>28</v>
      </c>
      <c r="I120" s="64" t="s">
        <v>22</v>
      </c>
      <c r="J120" s="64" t="s">
        <v>1150</v>
      </c>
      <c r="K120" s="64" t="s">
        <v>24</v>
      </c>
      <c r="L120" s="65">
        <v>0.0</v>
      </c>
      <c r="M120" s="65">
        <v>0.6</v>
      </c>
      <c r="N120" s="65">
        <v>0.01</v>
      </c>
      <c r="O120" s="66">
        <v>45125.0</v>
      </c>
      <c r="P120" s="67">
        <v>1.8</v>
      </c>
      <c r="Q120" s="64" t="s">
        <v>25</v>
      </c>
      <c r="R120" s="68">
        <f t="shared" si="1"/>
        <v>-0.01</v>
      </c>
      <c r="S120" s="68">
        <f t="shared" si="4"/>
        <v>2.321714748</v>
      </c>
    </row>
    <row r="121">
      <c r="A121" s="64">
        <f t="shared" si="3"/>
        <v>120</v>
      </c>
      <c r="B121" s="64" t="s">
        <v>19</v>
      </c>
      <c r="C121" s="64" t="s">
        <v>2838</v>
      </c>
      <c r="D121" s="64"/>
      <c r="E121" s="64"/>
      <c r="F121" s="64" t="s">
        <v>2613</v>
      </c>
      <c r="G121" s="64" t="s">
        <v>2613</v>
      </c>
      <c r="H121" s="64" t="s">
        <v>1961</v>
      </c>
      <c r="I121" s="64" t="s">
        <v>598</v>
      </c>
      <c r="J121" s="64" t="s">
        <v>225</v>
      </c>
      <c r="K121" s="64" t="s">
        <v>24</v>
      </c>
      <c r="L121" s="65">
        <v>0.75</v>
      </c>
      <c r="M121" s="65">
        <v>0.3</v>
      </c>
      <c r="N121" s="65">
        <v>0.3</v>
      </c>
      <c r="O121" s="69">
        <v>45126.0</v>
      </c>
      <c r="P121" s="67">
        <v>1.725</v>
      </c>
      <c r="Q121" s="64" t="s">
        <v>79</v>
      </c>
      <c r="R121" s="68">
        <f t="shared" si="1"/>
        <v>-0.15</v>
      </c>
      <c r="S121" s="68">
        <f t="shared" si="4"/>
        <v>2.171714748</v>
      </c>
    </row>
    <row r="122">
      <c r="A122" s="64">
        <f t="shared" si="3"/>
        <v>121</v>
      </c>
      <c r="B122" s="64" t="s">
        <v>19</v>
      </c>
      <c r="C122" s="64" t="s">
        <v>2839</v>
      </c>
      <c r="D122" s="64" t="s">
        <v>5708</v>
      </c>
      <c r="E122" s="64" t="s">
        <v>2573</v>
      </c>
      <c r="F122" s="64">
        <v>4</v>
      </c>
      <c r="G122" s="64" t="s">
        <v>5723</v>
      </c>
      <c r="H122" s="64" t="s">
        <v>28</v>
      </c>
      <c r="I122" s="64" t="s">
        <v>22</v>
      </c>
      <c r="J122" s="64" t="s">
        <v>892</v>
      </c>
      <c r="K122" s="64" t="s">
        <v>24</v>
      </c>
      <c r="L122" s="65">
        <v>0.0</v>
      </c>
      <c r="M122" s="65">
        <v>0.6</v>
      </c>
      <c r="N122" s="65">
        <f>0.744*0.6</f>
        <v>0.4464</v>
      </c>
      <c r="O122" s="66">
        <v>45126.0</v>
      </c>
      <c r="P122" s="67">
        <v>1.725</v>
      </c>
      <c r="Q122" s="64" t="s">
        <v>70</v>
      </c>
      <c r="R122" s="68">
        <f t="shared" si="1"/>
        <v>0</v>
      </c>
      <c r="S122" s="68">
        <f t="shared" si="4"/>
        <v>2.171714748</v>
      </c>
    </row>
    <row r="123">
      <c r="A123" s="64">
        <f t="shared" si="3"/>
        <v>122</v>
      </c>
      <c r="B123" s="64" t="s">
        <v>19</v>
      </c>
      <c r="C123" s="64" t="s">
        <v>2840</v>
      </c>
      <c r="D123" s="64" t="s">
        <v>5708</v>
      </c>
      <c r="E123" s="64" t="s">
        <v>2556</v>
      </c>
      <c r="F123" s="64">
        <f t="shared" ref="F123:F124" si="6">1</f>
        <v>1</v>
      </c>
      <c r="G123" s="64" t="s">
        <v>5709</v>
      </c>
      <c r="H123" s="64" t="s">
        <v>28</v>
      </c>
      <c r="I123" s="64" t="s">
        <v>22</v>
      </c>
      <c r="J123" s="64" t="s">
        <v>1847</v>
      </c>
      <c r="K123" s="64" t="s">
        <v>24</v>
      </c>
      <c r="L123" s="65">
        <v>-0.5</v>
      </c>
      <c r="M123" s="65">
        <v>0.6</v>
      </c>
      <c r="N123" s="65">
        <f>0.385*0.6</f>
        <v>0.231</v>
      </c>
      <c r="O123" s="66">
        <v>45126.0</v>
      </c>
      <c r="P123" s="67">
        <v>2.05</v>
      </c>
      <c r="Q123" s="64" t="s">
        <v>33</v>
      </c>
      <c r="R123" s="68">
        <f t="shared" si="1"/>
        <v>0.24255</v>
      </c>
      <c r="S123" s="68">
        <f t="shared" si="4"/>
        <v>2.414264748</v>
      </c>
    </row>
    <row r="124">
      <c r="A124" s="64">
        <f t="shared" si="3"/>
        <v>123</v>
      </c>
      <c r="B124" s="64" t="s">
        <v>19</v>
      </c>
      <c r="C124" s="64" t="s">
        <v>2841</v>
      </c>
      <c r="D124" s="64" t="s">
        <v>5564</v>
      </c>
      <c r="E124" s="64" t="s">
        <v>2556</v>
      </c>
      <c r="F124" s="64">
        <f t="shared" si="6"/>
        <v>1</v>
      </c>
      <c r="G124" s="64" t="s">
        <v>5705</v>
      </c>
      <c r="H124" s="64" t="s">
        <v>28</v>
      </c>
      <c r="I124" s="64" t="s">
        <v>22</v>
      </c>
      <c r="J124" s="64" t="s">
        <v>225</v>
      </c>
      <c r="K124" s="64" t="s">
        <v>24</v>
      </c>
      <c r="L124" s="65">
        <v>0.5</v>
      </c>
      <c r="M124" s="65">
        <v>0.6</v>
      </c>
      <c r="N124" s="65">
        <v>0.6</v>
      </c>
      <c r="O124" s="69">
        <v>45126.0</v>
      </c>
      <c r="P124" s="67">
        <v>1.775</v>
      </c>
      <c r="Q124" s="64" t="s">
        <v>25</v>
      </c>
      <c r="R124" s="68">
        <f t="shared" si="1"/>
        <v>-0.6</v>
      </c>
      <c r="S124" s="68">
        <f t="shared" si="4"/>
        <v>1.814264748</v>
      </c>
    </row>
    <row r="125">
      <c r="A125" s="64">
        <f t="shared" si="3"/>
        <v>124</v>
      </c>
      <c r="B125" s="64" t="s">
        <v>19</v>
      </c>
      <c r="C125" s="64" t="s">
        <v>2842</v>
      </c>
      <c r="D125" s="64" t="s">
        <v>5708</v>
      </c>
      <c r="E125" s="64" t="s">
        <v>2556</v>
      </c>
      <c r="F125" s="64">
        <v>-1.0</v>
      </c>
      <c r="G125" s="64" t="s">
        <v>5703</v>
      </c>
      <c r="H125" s="64" t="s">
        <v>28</v>
      </c>
      <c r="I125" s="64" t="s">
        <v>22</v>
      </c>
      <c r="J125" s="64" t="s">
        <v>225</v>
      </c>
      <c r="K125" s="64" t="s">
        <v>24</v>
      </c>
      <c r="L125" s="65">
        <v>3.25</v>
      </c>
      <c r="M125" s="65">
        <v>0.3</v>
      </c>
      <c r="N125" s="65">
        <v>0.3</v>
      </c>
      <c r="O125" s="66">
        <v>45126.0</v>
      </c>
      <c r="P125" s="67">
        <v>1.9</v>
      </c>
      <c r="Q125" s="64" t="s">
        <v>30</v>
      </c>
      <c r="R125" s="68">
        <f t="shared" si="1"/>
        <v>0.135</v>
      </c>
      <c r="S125" s="68">
        <f t="shared" si="4"/>
        <v>1.949264748</v>
      </c>
    </row>
    <row r="126">
      <c r="A126" s="64">
        <f t="shared" si="3"/>
        <v>125</v>
      </c>
      <c r="B126" s="64" t="s">
        <v>19</v>
      </c>
      <c r="C126" s="64" t="s">
        <v>2843</v>
      </c>
      <c r="D126" s="64" t="s">
        <v>5708</v>
      </c>
      <c r="E126" s="64" t="s">
        <v>2702</v>
      </c>
      <c r="F126" s="64">
        <v>0.0</v>
      </c>
      <c r="G126" s="64" t="s">
        <v>5724</v>
      </c>
      <c r="H126" s="64" t="s">
        <v>28</v>
      </c>
      <c r="I126" s="64" t="s">
        <v>22</v>
      </c>
      <c r="J126" s="64" t="s">
        <v>892</v>
      </c>
      <c r="K126" s="64" t="s">
        <v>24</v>
      </c>
      <c r="L126" s="65">
        <v>0.0</v>
      </c>
      <c r="M126" s="65">
        <v>0.6</v>
      </c>
      <c r="N126" s="65">
        <v>0.6</v>
      </c>
      <c r="O126" s="66">
        <v>45126.0</v>
      </c>
      <c r="P126" s="67">
        <v>1.825</v>
      </c>
      <c r="Q126" s="64" t="s">
        <v>33</v>
      </c>
      <c r="R126" s="68">
        <f t="shared" si="1"/>
        <v>0.495</v>
      </c>
      <c r="S126" s="68">
        <f t="shared" si="4"/>
        <v>2.444264748</v>
      </c>
    </row>
    <row r="127">
      <c r="A127" s="64">
        <f t="shared" si="3"/>
        <v>126</v>
      </c>
      <c r="B127" s="64" t="s">
        <v>19</v>
      </c>
      <c r="C127" s="64" t="s">
        <v>2844</v>
      </c>
      <c r="D127" s="64" t="s">
        <v>5564</v>
      </c>
      <c r="E127" s="64" t="s">
        <v>2556</v>
      </c>
      <c r="F127" s="64">
        <v>0.0</v>
      </c>
      <c r="G127" s="64" t="s">
        <v>5702</v>
      </c>
      <c r="H127" s="64" t="s">
        <v>28</v>
      </c>
      <c r="I127" s="64" t="s">
        <v>22</v>
      </c>
      <c r="J127" s="64" t="s">
        <v>225</v>
      </c>
      <c r="K127" s="64" t="s">
        <v>1851</v>
      </c>
      <c r="L127" s="65">
        <v>0.5</v>
      </c>
      <c r="M127" s="65">
        <v>0.6</v>
      </c>
      <c r="N127" s="65">
        <v>0.6</v>
      </c>
      <c r="O127" s="66">
        <v>45126.0</v>
      </c>
      <c r="P127" s="67">
        <f>395/300</f>
        <v>1.316666667</v>
      </c>
      <c r="Q127" s="64" t="s">
        <v>33</v>
      </c>
      <c r="R127" s="68">
        <f t="shared" si="1"/>
        <v>0.19</v>
      </c>
      <c r="S127" s="68">
        <f t="shared" si="4"/>
        <v>2.634264748</v>
      </c>
    </row>
    <row r="128">
      <c r="A128" s="64">
        <f t="shared" si="3"/>
        <v>127</v>
      </c>
      <c r="B128" s="64" t="s">
        <v>19</v>
      </c>
      <c r="C128" s="64" t="s">
        <v>2845</v>
      </c>
      <c r="D128" s="64" t="s">
        <v>5564</v>
      </c>
      <c r="E128" s="64" t="s">
        <v>2556</v>
      </c>
      <c r="F128" s="64">
        <v>-2.0</v>
      </c>
      <c r="G128" s="64" t="s">
        <v>5707</v>
      </c>
      <c r="H128" s="64" t="s">
        <v>28</v>
      </c>
      <c r="I128" s="64" t="s">
        <v>22</v>
      </c>
      <c r="J128" s="64" t="s">
        <v>892</v>
      </c>
      <c r="K128" s="64" t="s">
        <v>1522</v>
      </c>
      <c r="L128" s="65">
        <v>0.0</v>
      </c>
      <c r="M128" s="65">
        <v>0.3</v>
      </c>
      <c r="N128" s="65">
        <v>0.3</v>
      </c>
      <c r="O128" s="66">
        <v>45126.0</v>
      </c>
      <c r="P128" s="67">
        <v>1.925</v>
      </c>
      <c r="Q128" s="64" t="s">
        <v>70</v>
      </c>
      <c r="R128" s="68">
        <f t="shared" si="1"/>
        <v>0</v>
      </c>
      <c r="S128" s="68">
        <f t="shared" si="4"/>
        <v>2.634264748</v>
      </c>
    </row>
    <row r="129">
      <c r="A129" s="64">
        <f t="shared" si="3"/>
        <v>128</v>
      </c>
      <c r="B129" s="64" t="s">
        <v>19</v>
      </c>
      <c r="C129" s="64" t="s">
        <v>2846</v>
      </c>
      <c r="D129" s="64" t="s">
        <v>5564</v>
      </c>
      <c r="E129" s="64" t="s">
        <v>2702</v>
      </c>
      <c r="F129" s="64">
        <v>0.0</v>
      </c>
      <c r="G129" s="64" t="s">
        <v>5700</v>
      </c>
      <c r="H129" s="64" t="s">
        <v>28</v>
      </c>
      <c r="I129" s="64" t="s">
        <v>22</v>
      </c>
      <c r="J129" s="64" t="s">
        <v>1150</v>
      </c>
      <c r="K129" s="64" t="s">
        <v>1803</v>
      </c>
      <c r="L129" s="65">
        <v>0.0</v>
      </c>
      <c r="M129" s="65">
        <v>0.3</v>
      </c>
      <c r="N129" s="65">
        <v>0.3</v>
      </c>
      <c r="O129" s="66">
        <v>45127.0</v>
      </c>
      <c r="P129" s="67">
        <v>1.925</v>
      </c>
      <c r="Q129" s="64" t="s">
        <v>70</v>
      </c>
      <c r="R129" s="68">
        <f t="shared" si="1"/>
        <v>0</v>
      </c>
      <c r="S129" s="68">
        <f t="shared" si="4"/>
        <v>2.634264748</v>
      </c>
    </row>
    <row r="130">
      <c r="A130" s="64">
        <f t="shared" si="3"/>
        <v>129</v>
      </c>
      <c r="B130" s="64" t="s">
        <v>19</v>
      </c>
      <c r="C130" s="64" t="s">
        <v>2847</v>
      </c>
      <c r="D130" s="64" t="s">
        <v>5708</v>
      </c>
      <c r="E130" s="64" t="s">
        <v>2702</v>
      </c>
      <c r="F130" s="64">
        <v>0.0</v>
      </c>
      <c r="G130" s="64" t="s">
        <v>5724</v>
      </c>
      <c r="H130" s="64" t="s">
        <v>28</v>
      </c>
      <c r="I130" s="64" t="s">
        <v>22</v>
      </c>
      <c r="J130" s="64" t="s">
        <v>892</v>
      </c>
      <c r="K130" s="64" t="s">
        <v>24</v>
      </c>
      <c r="L130" s="65">
        <v>0.0</v>
      </c>
      <c r="M130" s="65">
        <v>0.6</v>
      </c>
      <c r="N130" s="65">
        <f>0.842*0.6</f>
        <v>0.5052</v>
      </c>
      <c r="O130" s="66">
        <v>45127.0</v>
      </c>
      <c r="P130" s="67">
        <f>315.1/300</f>
        <v>1.050333333</v>
      </c>
      <c r="Q130" s="64" t="s">
        <v>33</v>
      </c>
      <c r="R130" s="68">
        <f t="shared" si="1"/>
        <v>0.0254284</v>
      </c>
      <c r="S130" s="68">
        <f t="shared" si="4"/>
        <v>2.659693148</v>
      </c>
    </row>
    <row r="131">
      <c r="A131" s="64">
        <f t="shared" si="3"/>
        <v>130</v>
      </c>
      <c r="B131" s="64" t="s">
        <v>19</v>
      </c>
      <c r="C131" s="64" t="s">
        <v>2848</v>
      </c>
      <c r="D131" s="64" t="s">
        <v>5708</v>
      </c>
      <c r="E131" s="64" t="s">
        <v>2556</v>
      </c>
      <c r="F131" s="64">
        <v>0.0</v>
      </c>
      <c r="G131" s="64" t="s">
        <v>5699</v>
      </c>
      <c r="H131" s="64" t="s">
        <v>82</v>
      </c>
      <c r="I131" s="64" t="s">
        <v>22</v>
      </c>
      <c r="J131" s="64" t="s">
        <v>225</v>
      </c>
      <c r="K131" s="64" t="s">
        <v>24</v>
      </c>
      <c r="L131" s="65">
        <v>0.5</v>
      </c>
      <c r="M131" s="65">
        <v>0.3</v>
      </c>
      <c r="N131" s="65">
        <v>0.3</v>
      </c>
      <c r="O131" s="66">
        <v>45127.0</v>
      </c>
      <c r="P131" s="67">
        <f>217.25/150</f>
        <v>1.448333333</v>
      </c>
      <c r="Q131" s="64" t="s">
        <v>33</v>
      </c>
      <c r="R131" s="68">
        <f t="shared" si="1"/>
        <v>0.1345</v>
      </c>
      <c r="S131" s="68">
        <f t="shared" si="4"/>
        <v>2.794193148</v>
      </c>
    </row>
    <row r="132">
      <c r="A132" s="64">
        <f t="shared" si="3"/>
        <v>131</v>
      </c>
      <c r="B132" s="64" t="s">
        <v>19</v>
      </c>
      <c r="C132" s="64" t="s">
        <v>2849</v>
      </c>
      <c r="D132" s="64" t="s">
        <v>5708</v>
      </c>
      <c r="E132" s="64" t="s">
        <v>2556</v>
      </c>
      <c r="F132" s="64">
        <v>0.0</v>
      </c>
      <c r="G132" s="64" t="s">
        <v>5699</v>
      </c>
      <c r="H132" s="64" t="s">
        <v>82</v>
      </c>
      <c r="I132" s="64" t="s">
        <v>22</v>
      </c>
      <c r="J132" s="64" t="s">
        <v>225</v>
      </c>
      <c r="K132" s="64" t="s">
        <v>39</v>
      </c>
      <c r="L132" s="65">
        <v>0.5</v>
      </c>
      <c r="M132" s="65">
        <v>0.4</v>
      </c>
      <c r="N132" s="65">
        <v>0.4</v>
      </c>
      <c r="O132" s="66">
        <v>45128.0</v>
      </c>
      <c r="P132" s="67">
        <f>230/200</f>
        <v>1.15</v>
      </c>
      <c r="Q132" s="64" t="s">
        <v>33</v>
      </c>
      <c r="R132" s="68">
        <f t="shared" si="1"/>
        <v>0.06</v>
      </c>
      <c r="S132" s="68">
        <f t="shared" si="4"/>
        <v>2.854193148</v>
      </c>
    </row>
    <row r="133">
      <c r="A133" s="64">
        <f t="shared" si="3"/>
        <v>132</v>
      </c>
      <c r="B133" s="64" t="s">
        <v>19</v>
      </c>
      <c r="C133" s="64" t="s">
        <v>2850</v>
      </c>
      <c r="D133" s="64"/>
      <c r="E133" s="64"/>
      <c r="F133" s="64" t="s">
        <v>2613</v>
      </c>
      <c r="G133" s="64" t="s">
        <v>2613</v>
      </c>
      <c r="H133" s="64" t="s">
        <v>82</v>
      </c>
      <c r="I133" s="64" t="s">
        <v>598</v>
      </c>
      <c r="J133" s="64" t="s">
        <v>892</v>
      </c>
      <c r="K133" s="64" t="s">
        <v>39</v>
      </c>
      <c r="L133" s="65">
        <v>0.0</v>
      </c>
      <c r="M133" s="65">
        <v>0.4</v>
      </c>
      <c r="N133" s="65">
        <v>0.4</v>
      </c>
      <c r="O133" s="66">
        <v>45129.0</v>
      </c>
      <c r="P133" s="67">
        <v>1.775</v>
      </c>
      <c r="Q133" s="64" t="s">
        <v>25</v>
      </c>
      <c r="R133" s="68">
        <f t="shared" si="1"/>
        <v>-0.4</v>
      </c>
      <c r="S133" s="68">
        <f t="shared" si="4"/>
        <v>2.454193148</v>
      </c>
    </row>
    <row r="134">
      <c r="A134" s="64">
        <f t="shared" si="3"/>
        <v>133</v>
      </c>
      <c r="B134" s="64" t="s">
        <v>40</v>
      </c>
      <c r="C134" s="64" t="s">
        <v>2851</v>
      </c>
      <c r="D134" s="64"/>
      <c r="E134" s="64"/>
      <c r="F134" s="64" t="s">
        <v>2613</v>
      </c>
      <c r="G134" s="64" t="s">
        <v>2613</v>
      </c>
      <c r="H134" s="64" t="s">
        <v>2852</v>
      </c>
      <c r="I134" s="64" t="s">
        <v>598</v>
      </c>
      <c r="J134" s="64" t="s">
        <v>225</v>
      </c>
      <c r="K134" s="64" t="s">
        <v>39</v>
      </c>
      <c r="L134" s="65">
        <v>1.75</v>
      </c>
      <c r="M134" s="65">
        <v>0.4</v>
      </c>
      <c r="N134" s="65">
        <v>0.4</v>
      </c>
      <c r="O134" s="66">
        <v>45129.0</v>
      </c>
      <c r="P134" s="67">
        <v>1.875</v>
      </c>
      <c r="Q134" s="64" t="s">
        <v>25</v>
      </c>
      <c r="R134" s="68">
        <f t="shared" si="1"/>
        <v>-0.4</v>
      </c>
      <c r="S134" s="68">
        <f t="shared" si="4"/>
        <v>2.054193148</v>
      </c>
    </row>
    <row r="135">
      <c r="A135" s="64">
        <f t="shared" si="3"/>
        <v>134</v>
      </c>
      <c r="B135" s="64" t="s">
        <v>19</v>
      </c>
      <c r="C135" s="64" t="s">
        <v>2853</v>
      </c>
      <c r="D135" s="64" t="s">
        <v>5564</v>
      </c>
      <c r="E135" s="64" t="s">
        <v>2660</v>
      </c>
      <c r="F135" s="64">
        <v>0.0</v>
      </c>
      <c r="G135" s="64" t="s">
        <v>5700</v>
      </c>
      <c r="H135" s="64" t="s">
        <v>28</v>
      </c>
      <c r="I135" s="64" t="s">
        <v>22</v>
      </c>
      <c r="J135" s="64" t="s">
        <v>892</v>
      </c>
      <c r="K135" s="64" t="s">
        <v>39</v>
      </c>
      <c r="L135" s="65">
        <v>0.0</v>
      </c>
      <c r="M135" s="65">
        <v>0.4</v>
      </c>
      <c r="N135" s="65">
        <f>0.324*0.4</f>
        <v>0.1296</v>
      </c>
      <c r="O135" s="66">
        <v>45128.0</v>
      </c>
      <c r="P135" s="67">
        <v>1.925</v>
      </c>
      <c r="Q135" s="64" t="s">
        <v>33</v>
      </c>
      <c r="R135" s="68">
        <f t="shared" si="1"/>
        <v>0.11988</v>
      </c>
      <c r="S135" s="68">
        <f t="shared" si="4"/>
        <v>2.174073148</v>
      </c>
    </row>
    <row r="136">
      <c r="A136" s="64">
        <f t="shared" si="3"/>
        <v>135</v>
      </c>
      <c r="B136" s="64" t="s">
        <v>19</v>
      </c>
      <c r="C136" s="64" t="s">
        <v>2854</v>
      </c>
      <c r="D136" s="64" t="s">
        <v>5564</v>
      </c>
      <c r="E136" s="64" t="s">
        <v>2660</v>
      </c>
      <c r="F136" s="64">
        <v>-2.0</v>
      </c>
      <c r="G136" s="64" t="s">
        <v>5725</v>
      </c>
      <c r="H136" s="64" t="s">
        <v>28</v>
      </c>
      <c r="I136" s="64" t="s">
        <v>22</v>
      </c>
      <c r="J136" s="64" t="s">
        <v>892</v>
      </c>
      <c r="K136" s="64" t="s">
        <v>24</v>
      </c>
      <c r="L136" s="65">
        <v>0.0</v>
      </c>
      <c r="M136" s="65">
        <v>0.4</v>
      </c>
      <c r="N136" s="65">
        <v>0.4</v>
      </c>
      <c r="O136" s="66">
        <v>45128.0</v>
      </c>
      <c r="P136" s="67">
        <v>1.85</v>
      </c>
      <c r="Q136" s="64" t="s">
        <v>70</v>
      </c>
      <c r="R136" s="68">
        <f t="shared" si="1"/>
        <v>0</v>
      </c>
      <c r="S136" s="68">
        <f t="shared" si="4"/>
        <v>2.174073148</v>
      </c>
    </row>
    <row r="137">
      <c r="A137" s="64">
        <f t="shared" si="3"/>
        <v>136</v>
      </c>
      <c r="B137" s="64" t="s">
        <v>19</v>
      </c>
      <c r="C137" s="64" t="s">
        <v>2855</v>
      </c>
      <c r="D137" s="64"/>
      <c r="E137" s="64"/>
      <c r="F137" s="64" t="s">
        <v>2615</v>
      </c>
      <c r="G137" s="64" t="s">
        <v>2615</v>
      </c>
      <c r="H137" s="64" t="s">
        <v>82</v>
      </c>
      <c r="I137" s="64" t="s">
        <v>22</v>
      </c>
      <c r="J137" s="64" t="s">
        <v>29</v>
      </c>
      <c r="K137" s="64" t="s">
        <v>24</v>
      </c>
      <c r="L137" s="65">
        <v>-2.5</v>
      </c>
      <c r="M137" s="65">
        <v>0.4</v>
      </c>
      <c r="N137" s="65">
        <f>0.514*0.4</f>
        <v>0.2056</v>
      </c>
      <c r="O137" s="66">
        <v>45128.0</v>
      </c>
      <c r="P137" s="67">
        <f>295/200</f>
        <v>1.475</v>
      </c>
      <c r="Q137" s="64" t="s">
        <v>33</v>
      </c>
      <c r="R137" s="68">
        <f t="shared" si="1"/>
        <v>0.09766</v>
      </c>
      <c r="S137" s="68">
        <f t="shared" si="4"/>
        <v>2.271733148</v>
      </c>
    </row>
    <row r="138">
      <c r="A138" s="64">
        <f t="shared" si="3"/>
        <v>137</v>
      </c>
      <c r="B138" s="64" t="s">
        <v>19</v>
      </c>
      <c r="C138" s="64" t="s">
        <v>2856</v>
      </c>
      <c r="D138" s="64" t="s">
        <v>5564</v>
      </c>
      <c r="E138" s="64" t="s">
        <v>2556</v>
      </c>
      <c r="F138" s="64">
        <v>0.0</v>
      </c>
      <c r="G138" s="64" t="s">
        <v>5702</v>
      </c>
      <c r="H138" s="64" t="s">
        <v>2516</v>
      </c>
      <c r="I138" s="64" t="s">
        <v>22</v>
      </c>
      <c r="J138" s="64" t="s">
        <v>225</v>
      </c>
      <c r="K138" s="64" t="s">
        <v>39</v>
      </c>
      <c r="L138" s="65">
        <v>0.5</v>
      </c>
      <c r="M138" s="65">
        <v>0.8</v>
      </c>
      <c r="N138" s="65">
        <f>0.297*0.8</f>
        <v>0.2376</v>
      </c>
      <c r="O138" s="66">
        <v>45129.0</v>
      </c>
      <c r="P138" s="67">
        <v>1.875</v>
      </c>
      <c r="Q138" s="64" t="s">
        <v>33</v>
      </c>
      <c r="R138" s="68">
        <f t="shared" si="1"/>
        <v>0.2079</v>
      </c>
      <c r="S138" s="68">
        <f t="shared" si="4"/>
        <v>2.479633148</v>
      </c>
    </row>
    <row r="139">
      <c r="A139" s="64">
        <f t="shared" si="3"/>
        <v>138</v>
      </c>
      <c r="B139" s="64" t="s">
        <v>19</v>
      </c>
      <c r="C139" s="64" t="s">
        <v>2857</v>
      </c>
      <c r="D139" s="64" t="s">
        <v>5565</v>
      </c>
      <c r="E139" s="64" t="s">
        <v>2660</v>
      </c>
      <c r="F139" s="64">
        <f t="shared" ref="F139:F140" si="7">1</f>
        <v>1</v>
      </c>
      <c r="G139" s="64" t="s">
        <v>5726</v>
      </c>
      <c r="H139" s="64" t="s">
        <v>28</v>
      </c>
      <c r="I139" s="64" t="s">
        <v>22</v>
      </c>
      <c r="J139" s="64" t="s">
        <v>892</v>
      </c>
      <c r="K139" s="64" t="s">
        <v>1851</v>
      </c>
      <c r="L139" s="65">
        <v>0.0</v>
      </c>
      <c r="M139" s="65">
        <v>0.8</v>
      </c>
      <c r="N139" s="65">
        <v>0.8</v>
      </c>
      <c r="O139" s="66">
        <v>45129.0</v>
      </c>
      <c r="P139" s="67">
        <v>1.7</v>
      </c>
      <c r="Q139" s="64" t="s">
        <v>70</v>
      </c>
      <c r="R139" s="68">
        <f t="shared" si="1"/>
        <v>0</v>
      </c>
      <c r="S139" s="68">
        <f t="shared" si="4"/>
        <v>2.479633148</v>
      </c>
    </row>
    <row r="140">
      <c r="A140" s="64">
        <f t="shared" si="3"/>
        <v>139</v>
      </c>
      <c r="B140" s="64" t="s">
        <v>19</v>
      </c>
      <c r="C140" s="64" t="s">
        <v>2858</v>
      </c>
      <c r="D140" s="64" t="s">
        <v>5564</v>
      </c>
      <c r="E140" s="64" t="s">
        <v>2660</v>
      </c>
      <c r="F140" s="64">
        <f t="shared" si="7"/>
        <v>1</v>
      </c>
      <c r="G140" s="64" t="s">
        <v>5727</v>
      </c>
      <c r="H140" s="64" t="s">
        <v>513</v>
      </c>
      <c r="I140" s="64" t="s">
        <v>22</v>
      </c>
      <c r="J140" s="64" t="s">
        <v>892</v>
      </c>
      <c r="K140" s="64" t="s">
        <v>1851</v>
      </c>
      <c r="L140" s="65">
        <v>0.0</v>
      </c>
      <c r="M140" s="65">
        <v>0.8</v>
      </c>
      <c r="N140" s="65">
        <v>0.8</v>
      </c>
      <c r="O140" s="66">
        <v>45129.0</v>
      </c>
      <c r="P140" s="67">
        <v>1.975</v>
      </c>
      <c r="Q140" s="64" t="s">
        <v>33</v>
      </c>
      <c r="R140" s="68">
        <f t="shared" si="1"/>
        <v>0.78</v>
      </c>
      <c r="S140" s="68">
        <f t="shared" si="4"/>
        <v>3.259633148</v>
      </c>
    </row>
    <row r="141">
      <c r="A141" s="64">
        <f t="shared" si="3"/>
        <v>140</v>
      </c>
      <c r="B141" s="64" t="s">
        <v>19</v>
      </c>
      <c r="C141" s="64" t="s">
        <v>2859</v>
      </c>
      <c r="D141" s="64" t="s">
        <v>5564</v>
      </c>
      <c r="E141" s="64" t="s">
        <v>2660</v>
      </c>
      <c r="F141" s="64">
        <v>0.0</v>
      </c>
      <c r="G141" s="64" t="s">
        <v>5700</v>
      </c>
      <c r="H141" s="64" t="s">
        <v>28</v>
      </c>
      <c r="I141" s="64" t="s">
        <v>22</v>
      </c>
      <c r="J141" s="64" t="s">
        <v>941</v>
      </c>
      <c r="K141" s="64" t="s">
        <v>24</v>
      </c>
      <c r="L141" s="65">
        <v>0.0</v>
      </c>
      <c r="M141" s="65">
        <v>0.8</v>
      </c>
      <c r="N141" s="65">
        <v>0.8</v>
      </c>
      <c r="O141" s="66">
        <v>45129.0</v>
      </c>
      <c r="P141" s="67">
        <v>2.0</v>
      </c>
      <c r="Q141" s="64" t="s">
        <v>25</v>
      </c>
      <c r="R141" s="68">
        <f t="shared" si="1"/>
        <v>-0.8</v>
      </c>
      <c r="S141" s="68">
        <f t="shared" si="4"/>
        <v>2.459633148</v>
      </c>
    </row>
    <row r="142">
      <c r="A142" s="64">
        <f t="shared" si="3"/>
        <v>141</v>
      </c>
      <c r="B142" s="64" t="s">
        <v>19</v>
      </c>
      <c r="C142" s="64" t="s">
        <v>2860</v>
      </c>
      <c r="D142" s="64" t="s">
        <v>5564</v>
      </c>
      <c r="E142" s="64" t="s">
        <v>2556</v>
      </c>
      <c r="F142" s="64">
        <f>1</f>
        <v>1</v>
      </c>
      <c r="G142" s="64" t="s">
        <v>5705</v>
      </c>
      <c r="H142" s="64" t="s">
        <v>82</v>
      </c>
      <c r="I142" s="64" t="s">
        <v>22</v>
      </c>
      <c r="J142" s="64" t="s">
        <v>225</v>
      </c>
      <c r="K142" s="64" t="s">
        <v>1522</v>
      </c>
      <c r="L142" s="65">
        <v>1.0</v>
      </c>
      <c r="M142" s="65">
        <v>0.8</v>
      </c>
      <c r="N142" s="65">
        <f>0.73*0.8</f>
        <v>0.584</v>
      </c>
      <c r="O142" s="66">
        <v>45129.0</v>
      </c>
      <c r="P142" s="67">
        <v>1.825</v>
      </c>
      <c r="Q142" s="64" t="s">
        <v>70</v>
      </c>
      <c r="R142" s="68">
        <f t="shared" si="1"/>
        <v>0</v>
      </c>
      <c r="S142" s="68">
        <f t="shared" si="4"/>
        <v>2.459633148</v>
      </c>
    </row>
    <row r="143">
      <c r="A143" s="64">
        <f t="shared" si="3"/>
        <v>142</v>
      </c>
      <c r="B143" s="64" t="s">
        <v>19</v>
      </c>
      <c r="C143" s="64" t="s">
        <v>2861</v>
      </c>
      <c r="D143" s="64" t="s">
        <v>5564</v>
      </c>
      <c r="E143" s="64" t="s">
        <v>2556</v>
      </c>
      <c r="F143" s="64">
        <v>0.0</v>
      </c>
      <c r="G143" s="64" t="s">
        <v>5702</v>
      </c>
      <c r="H143" s="64" t="s">
        <v>58</v>
      </c>
      <c r="I143" s="64" t="s">
        <v>22</v>
      </c>
      <c r="J143" s="64" t="s">
        <v>225</v>
      </c>
      <c r="K143" s="64" t="s">
        <v>1851</v>
      </c>
      <c r="L143" s="65">
        <v>0.25</v>
      </c>
      <c r="M143" s="65">
        <v>0.8</v>
      </c>
      <c r="N143" s="65">
        <v>0.8</v>
      </c>
      <c r="O143" s="66">
        <v>45129.0</v>
      </c>
      <c r="P143" s="67">
        <v>1.875</v>
      </c>
      <c r="Q143" s="64" t="s">
        <v>33</v>
      </c>
      <c r="R143" s="68">
        <f t="shared" si="1"/>
        <v>0.7</v>
      </c>
      <c r="S143" s="68">
        <f t="shared" si="4"/>
        <v>3.159633148</v>
      </c>
    </row>
    <row r="144">
      <c r="A144" s="64">
        <f t="shared" si="3"/>
        <v>143</v>
      </c>
      <c r="B144" s="64" t="s">
        <v>40</v>
      </c>
      <c r="C144" s="64" t="s">
        <v>2862</v>
      </c>
      <c r="D144" s="64" t="s">
        <v>5564</v>
      </c>
      <c r="E144" s="64" t="s">
        <v>2660</v>
      </c>
      <c r="F144" s="64">
        <v>0.0</v>
      </c>
      <c r="G144" s="64" t="s">
        <v>5700</v>
      </c>
      <c r="H144" s="64" t="s">
        <v>513</v>
      </c>
      <c r="I144" s="64" t="s">
        <v>22</v>
      </c>
      <c r="J144" s="64" t="s">
        <v>892</v>
      </c>
      <c r="K144" s="64" t="s">
        <v>24</v>
      </c>
      <c r="L144" s="65">
        <v>0.0</v>
      </c>
      <c r="M144" s="65">
        <v>0.4</v>
      </c>
      <c r="N144" s="65">
        <v>0.4</v>
      </c>
      <c r="O144" s="66">
        <v>45129.0</v>
      </c>
      <c r="P144" s="67">
        <v>2.3</v>
      </c>
      <c r="Q144" s="64" t="s">
        <v>70</v>
      </c>
      <c r="R144" s="68">
        <f t="shared" si="1"/>
        <v>0</v>
      </c>
      <c r="S144" s="68">
        <f t="shared" si="4"/>
        <v>3.159633148</v>
      </c>
    </row>
    <row r="145">
      <c r="A145" s="64">
        <f t="shared" si="3"/>
        <v>144</v>
      </c>
      <c r="B145" s="64" t="s">
        <v>19</v>
      </c>
      <c r="C145" s="64" t="s">
        <v>2863</v>
      </c>
      <c r="D145" s="64" t="s">
        <v>5565</v>
      </c>
      <c r="E145" s="64" t="s">
        <v>2556</v>
      </c>
      <c r="F145" s="64">
        <v>0.0</v>
      </c>
      <c r="G145" s="64" t="s">
        <v>5699</v>
      </c>
      <c r="H145" s="64" t="s">
        <v>1006</v>
      </c>
      <c r="I145" s="64" t="s">
        <v>22</v>
      </c>
      <c r="J145" s="64" t="s">
        <v>1023</v>
      </c>
      <c r="K145" s="64" t="s">
        <v>24</v>
      </c>
      <c r="L145" s="65">
        <v>0.5</v>
      </c>
      <c r="M145" s="65">
        <v>0.4</v>
      </c>
      <c r="N145" s="65">
        <f>0.432*0.4</f>
        <v>0.1728</v>
      </c>
      <c r="O145" s="66">
        <v>45129.0</v>
      </c>
      <c r="P145" s="67">
        <v>1.72</v>
      </c>
      <c r="Q145" s="64" t="s">
        <v>25</v>
      </c>
      <c r="R145" s="68">
        <f t="shared" si="1"/>
        <v>-0.1728</v>
      </c>
      <c r="S145" s="68">
        <f t="shared" si="4"/>
        <v>2.986833148</v>
      </c>
    </row>
    <row r="146">
      <c r="A146" s="64">
        <f t="shared" si="3"/>
        <v>145</v>
      </c>
      <c r="B146" s="64" t="s">
        <v>19</v>
      </c>
      <c r="C146" s="64" t="s">
        <v>2864</v>
      </c>
      <c r="D146" s="64" t="s">
        <v>5565</v>
      </c>
      <c r="E146" s="64" t="s">
        <v>2556</v>
      </c>
      <c r="F146" s="64">
        <v>-1.0</v>
      </c>
      <c r="G146" s="64" t="s">
        <v>5703</v>
      </c>
      <c r="H146" s="64" t="s">
        <v>28</v>
      </c>
      <c r="I146" s="64" t="s">
        <v>22</v>
      </c>
      <c r="J146" s="64" t="s">
        <v>225</v>
      </c>
      <c r="K146" s="64" t="s">
        <v>24</v>
      </c>
      <c r="L146" s="65">
        <v>0.5</v>
      </c>
      <c r="M146" s="65">
        <v>0.8</v>
      </c>
      <c r="N146" s="65">
        <f>0.676*0.8</f>
        <v>0.5408</v>
      </c>
      <c r="O146" s="66">
        <v>45129.0</v>
      </c>
      <c r="P146" s="67">
        <v>1.85</v>
      </c>
      <c r="Q146" s="64" t="s">
        <v>25</v>
      </c>
      <c r="R146" s="68">
        <f t="shared" si="1"/>
        <v>-0.5408</v>
      </c>
      <c r="S146" s="68">
        <f t="shared" si="4"/>
        <v>2.446033148</v>
      </c>
    </row>
    <row r="147">
      <c r="A147" s="64">
        <f t="shared" si="3"/>
        <v>146</v>
      </c>
      <c r="B147" s="64" t="s">
        <v>19</v>
      </c>
      <c r="C147" s="64" t="s">
        <v>2865</v>
      </c>
      <c r="D147" s="64" t="s">
        <v>5565</v>
      </c>
      <c r="E147" s="64" t="s">
        <v>2556</v>
      </c>
      <c r="F147" s="64">
        <f>1</f>
        <v>1</v>
      </c>
      <c r="G147" s="64" t="s">
        <v>5709</v>
      </c>
      <c r="H147" s="64" t="s">
        <v>316</v>
      </c>
      <c r="I147" s="64" t="s">
        <v>22</v>
      </c>
      <c r="J147" s="64" t="s">
        <v>225</v>
      </c>
      <c r="K147" s="64" t="s">
        <v>24</v>
      </c>
      <c r="L147" s="65">
        <v>0.25</v>
      </c>
      <c r="M147" s="65">
        <v>0.8</v>
      </c>
      <c r="N147" s="65">
        <f>0.27*0.8</f>
        <v>0.216</v>
      </c>
      <c r="O147" s="66">
        <v>45129.0</v>
      </c>
      <c r="P147" s="67">
        <v>1.08</v>
      </c>
      <c r="Q147" s="64" t="s">
        <v>33</v>
      </c>
      <c r="R147" s="68">
        <f t="shared" si="1"/>
        <v>0.01728</v>
      </c>
      <c r="S147" s="68">
        <f t="shared" si="4"/>
        <v>2.463313148</v>
      </c>
    </row>
    <row r="148">
      <c r="A148" s="64">
        <f t="shared" si="3"/>
        <v>147</v>
      </c>
      <c r="B148" s="64" t="s">
        <v>19</v>
      </c>
      <c r="C148" s="64" t="s">
        <v>2866</v>
      </c>
      <c r="D148" s="64" t="s">
        <v>5564</v>
      </c>
      <c r="E148" s="64" t="s">
        <v>2556</v>
      </c>
      <c r="F148" s="64">
        <v>0.0</v>
      </c>
      <c r="G148" s="64" t="s">
        <v>5702</v>
      </c>
      <c r="H148" s="64" t="s">
        <v>432</v>
      </c>
      <c r="I148" s="64" t="s">
        <v>22</v>
      </c>
      <c r="J148" s="64" t="s">
        <v>941</v>
      </c>
      <c r="K148" s="64" t="s">
        <v>1851</v>
      </c>
      <c r="L148" s="65">
        <v>0.0</v>
      </c>
      <c r="M148" s="65">
        <v>0.8</v>
      </c>
      <c r="N148" s="65">
        <v>0.8</v>
      </c>
      <c r="O148" s="66">
        <v>45129.0</v>
      </c>
      <c r="P148" s="67">
        <v>2.2</v>
      </c>
      <c r="Q148" s="64" t="s">
        <v>70</v>
      </c>
      <c r="R148" s="68">
        <f t="shared" si="1"/>
        <v>0</v>
      </c>
      <c r="S148" s="68">
        <f t="shared" si="4"/>
        <v>2.463313148</v>
      </c>
    </row>
    <row r="149">
      <c r="A149" s="64">
        <f t="shared" si="3"/>
        <v>148</v>
      </c>
      <c r="B149" s="64" t="s">
        <v>19</v>
      </c>
      <c r="C149" s="64" t="s">
        <v>2867</v>
      </c>
      <c r="D149" s="64"/>
      <c r="E149" s="64"/>
      <c r="F149" s="64" t="s">
        <v>2868</v>
      </c>
      <c r="G149" s="64" t="s">
        <v>2868</v>
      </c>
      <c r="H149" s="64" t="s">
        <v>316</v>
      </c>
      <c r="I149" s="64" t="s">
        <v>22</v>
      </c>
      <c r="J149" s="64" t="s">
        <v>29</v>
      </c>
      <c r="K149" s="64" t="s">
        <v>24</v>
      </c>
      <c r="L149" s="65">
        <v>-9.5</v>
      </c>
      <c r="M149" s="65">
        <v>0.4</v>
      </c>
      <c r="N149" s="65">
        <f>0.486*0.4</f>
        <v>0.1944</v>
      </c>
      <c r="O149" s="66">
        <v>45129.0</v>
      </c>
      <c r="P149" s="67">
        <v>1.72</v>
      </c>
      <c r="Q149" s="64" t="s">
        <v>33</v>
      </c>
      <c r="R149" s="68">
        <f t="shared" si="1"/>
        <v>0.139968</v>
      </c>
      <c r="S149" s="68">
        <f t="shared" si="4"/>
        <v>2.603281148</v>
      </c>
    </row>
    <row r="150">
      <c r="A150" s="64">
        <f t="shared" si="3"/>
        <v>149</v>
      </c>
      <c r="B150" s="64" t="s">
        <v>19</v>
      </c>
      <c r="C150" s="64" t="s">
        <v>2869</v>
      </c>
      <c r="D150" s="64"/>
      <c r="E150" s="64"/>
      <c r="F150" s="64" t="s">
        <v>2608</v>
      </c>
      <c r="G150" s="64" t="s">
        <v>2608</v>
      </c>
      <c r="H150" s="64" t="s">
        <v>82</v>
      </c>
      <c r="I150" s="64" t="s">
        <v>22</v>
      </c>
      <c r="J150" s="64" t="s">
        <v>440</v>
      </c>
      <c r="K150" s="64" t="s">
        <v>39</v>
      </c>
      <c r="L150" s="65">
        <v>2.5</v>
      </c>
      <c r="M150" s="65">
        <v>0.4</v>
      </c>
      <c r="N150" s="65">
        <v>0.4</v>
      </c>
      <c r="O150" s="66">
        <v>45129.0</v>
      </c>
      <c r="P150" s="67">
        <v>1.72</v>
      </c>
      <c r="Q150" s="64" t="s">
        <v>25</v>
      </c>
      <c r="R150" s="68">
        <f t="shared" si="1"/>
        <v>-0.4</v>
      </c>
      <c r="S150" s="68">
        <f t="shared" si="4"/>
        <v>2.203281148</v>
      </c>
    </row>
    <row r="151">
      <c r="A151" s="64">
        <f t="shared" si="3"/>
        <v>150</v>
      </c>
      <c r="B151" s="64" t="s">
        <v>19</v>
      </c>
      <c r="C151" s="64" t="s">
        <v>2870</v>
      </c>
      <c r="D151" s="64" t="s">
        <v>5564</v>
      </c>
      <c r="E151" s="64" t="s">
        <v>2660</v>
      </c>
      <c r="F151" s="64">
        <v>0.0</v>
      </c>
      <c r="G151" s="64" t="s">
        <v>5700</v>
      </c>
      <c r="H151" s="64" t="s">
        <v>82</v>
      </c>
      <c r="I151" s="64" t="s">
        <v>22</v>
      </c>
      <c r="J151" s="64" t="s">
        <v>892</v>
      </c>
      <c r="K151" s="64" t="s">
        <v>39</v>
      </c>
      <c r="L151" s="65">
        <v>0.0</v>
      </c>
      <c r="M151" s="65">
        <v>0.8</v>
      </c>
      <c r="N151" s="65">
        <v>0.8</v>
      </c>
      <c r="O151" s="66">
        <v>45129.0</v>
      </c>
      <c r="P151" s="67">
        <v>1.8</v>
      </c>
      <c r="Q151" s="64" t="s">
        <v>25</v>
      </c>
      <c r="R151" s="68">
        <f t="shared" si="1"/>
        <v>-0.8</v>
      </c>
      <c r="S151" s="68">
        <f t="shared" si="4"/>
        <v>1.403281148</v>
      </c>
    </row>
    <row r="152">
      <c r="A152" s="64">
        <f t="shared" si="3"/>
        <v>151</v>
      </c>
      <c r="B152" s="64" t="s">
        <v>19</v>
      </c>
      <c r="C152" s="64" t="s">
        <v>2871</v>
      </c>
      <c r="D152" s="64" t="s">
        <v>5564</v>
      </c>
      <c r="E152" s="64" t="s">
        <v>2573</v>
      </c>
      <c r="F152" s="64">
        <f t="shared" ref="F152:F153" si="8">1</f>
        <v>1</v>
      </c>
      <c r="G152" s="64" t="s">
        <v>5728</v>
      </c>
      <c r="H152" s="64" t="s">
        <v>28</v>
      </c>
      <c r="I152" s="64" t="s">
        <v>22</v>
      </c>
      <c r="J152" s="64" t="s">
        <v>894</v>
      </c>
      <c r="K152" s="64" t="s">
        <v>39</v>
      </c>
      <c r="L152" s="65">
        <v>-0.75</v>
      </c>
      <c r="M152" s="65">
        <v>0.4</v>
      </c>
      <c r="N152" s="65">
        <f>0.842*0.4</f>
        <v>0.3368</v>
      </c>
      <c r="O152" s="66">
        <v>45130.0</v>
      </c>
      <c r="P152" s="67">
        <v>1.925</v>
      </c>
      <c r="Q152" s="64" t="s">
        <v>30</v>
      </c>
      <c r="R152" s="68">
        <f t="shared" si="1"/>
        <v>0.15577</v>
      </c>
      <c r="S152" s="68">
        <f t="shared" si="4"/>
        <v>1.559051148</v>
      </c>
    </row>
    <row r="153">
      <c r="A153" s="64">
        <f t="shared" si="3"/>
        <v>152</v>
      </c>
      <c r="B153" s="64" t="s">
        <v>19</v>
      </c>
      <c r="C153" s="64" t="s">
        <v>2872</v>
      </c>
      <c r="D153" s="64" t="s">
        <v>5564</v>
      </c>
      <c r="E153" s="64" t="s">
        <v>2556</v>
      </c>
      <c r="F153" s="64">
        <f t="shared" si="8"/>
        <v>1</v>
      </c>
      <c r="G153" s="64" t="s">
        <v>5705</v>
      </c>
      <c r="H153" s="64" t="s">
        <v>2873</v>
      </c>
      <c r="I153" s="64" t="s">
        <v>22</v>
      </c>
      <c r="J153" s="64" t="s">
        <v>225</v>
      </c>
      <c r="K153" s="64" t="s">
        <v>24</v>
      </c>
      <c r="L153" s="65">
        <v>1.25</v>
      </c>
      <c r="M153" s="65">
        <f t="shared" ref="M153:N153" si="9">15/500</f>
        <v>0.03</v>
      </c>
      <c r="N153" s="65">
        <f t="shared" si="9"/>
        <v>0.03</v>
      </c>
      <c r="O153" s="66">
        <v>45130.0</v>
      </c>
      <c r="P153" s="67">
        <v>1.75</v>
      </c>
      <c r="Q153" s="64" t="s">
        <v>25</v>
      </c>
      <c r="R153" s="68">
        <f t="shared" si="1"/>
        <v>-0.03</v>
      </c>
      <c r="S153" s="68">
        <f t="shared" si="4"/>
        <v>1.529051148</v>
      </c>
    </row>
    <row r="154">
      <c r="A154" s="64">
        <f t="shared" si="3"/>
        <v>153</v>
      </c>
      <c r="B154" s="64" t="s">
        <v>19</v>
      </c>
      <c r="C154" s="64" t="s">
        <v>2874</v>
      </c>
      <c r="D154" s="64" t="s">
        <v>5564</v>
      </c>
      <c r="E154" s="64" t="s">
        <v>2556</v>
      </c>
      <c r="F154" s="64">
        <v>0.0</v>
      </c>
      <c r="G154" s="64" t="s">
        <v>5702</v>
      </c>
      <c r="H154" s="64" t="s">
        <v>1006</v>
      </c>
      <c r="I154" s="64" t="s">
        <v>22</v>
      </c>
      <c r="J154" s="64" t="s">
        <v>225</v>
      </c>
      <c r="K154" s="64" t="s">
        <v>24</v>
      </c>
      <c r="L154" s="65">
        <v>0.5</v>
      </c>
      <c r="M154" s="65">
        <v>0.8</v>
      </c>
      <c r="N154" s="65">
        <f>0.526*0.8</f>
        <v>0.4208</v>
      </c>
      <c r="O154" s="66">
        <v>45130.0</v>
      </c>
      <c r="P154" s="67">
        <f>640/400</f>
        <v>1.6</v>
      </c>
      <c r="Q154" s="64" t="s">
        <v>33</v>
      </c>
      <c r="R154" s="68">
        <f t="shared" si="1"/>
        <v>0.25248</v>
      </c>
      <c r="S154" s="68">
        <f t="shared" si="4"/>
        <v>1.781531148</v>
      </c>
    </row>
    <row r="155">
      <c r="A155" s="64">
        <f t="shared" si="3"/>
        <v>154</v>
      </c>
      <c r="B155" s="64" t="s">
        <v>19</v>
      </c>
      <c r="C155" s="64" t="s">
        <v>2875</v>
      </c>
      <c r="D155" s="64"/>
      <c r="E155" s="64"/>
      <c r="F155" s="64" t="s">
        <v>2613</v>
      </c>
      <c r="G155" s="64" t="s">
        <v>2613</v>
      </c>
      <c r="H155" s="64" t="s">
        <v>82</v>
      </c>
      <c r="I155" s="64" t="s">
        <v>598</v>
      </c>
      <c r="J155" s="64" t="s">
        <v>2415</v>
      </c>
      <c r="K155" s="64" t="s">
        <v>1522</v>
      </c>
      <c r="L155" s="65">
        <v>4.0</v>
      </c>
      <c r="M155" s="65">
        <v>0.4</v>
      </c>
      <c r="N155" s="65">
        <f>0.342*0.4</f>
        <v>0.1368</v>
      </c>
      <c r="O155" s="66">
        <v>45130.0</v>
      </c>
      <c r="P155" s="67">
        <v>1.9</v>
      </c>
      <c r="Q155" s="64" t="s">
        <v>25</v>
      </c>
      <c r="R155" s="68">
        <f t="shared" si="1"/>
        <v>-0.1368</v>
      </c>
      <c r="S155" s="68">
        <f t="shared" si="4"/>
        <v>1.644731148</v>
      </c>
    </row>
    <row r="156">
      <c r="A156" s="64">
        <f t="shared" si="3"/>
        <v>155</v>
      </c>
      <c r="B156" s="64" t="s">
        <v>19</v>
      </c>
      <c r="C156" s="64" t="s">
        <v>2876</v>
      </c>
      <c r="D156" s="64"/>
      <c r="E156" s="64"/>
      <c r="F156" s="64" t="s">
        <v>2613</v>
      </c>
      <c r="G156" s="64" t="s">
        <v>2613</v>
      </c>
      <c r="H156" s="64" t="s">
        <v>82</v>
      </c>
      <c r="I156" s="64" t="s">
        <v>598</v>
      </c>
      <c r="J156" s="64" t="s">
        <v>892</v>
      </c>
      <c r="K156" s="64" t="s">
        <v>39</v>
      </c>
      <c r="L156" s="65">
        <v>0.0</v>
      </c>
      <c r="M156" s="65">
        <v>0.4</v>
      </c>
      <c r="N156" s="65">
        <v>0.4</v>
      </c>
      <c r="O156" s="66">
        <v>45130.0</v>
      </c>
      <c r="P156" s="67">
        <v>1.83</v>
      </c>
      <c r="Q156" s="64" t="s">
        <v>70</v>
      </c>
      <c r="R156" s="68">
        <f t="shared" si="1"/>
        <v>0</v>
      </c>
      <c r="S156" s="68">
        <f t="shared" si="4"/>
        <v>1.644731148</v>
      </c>
    </row>
    <row r="157">
      <c r="A157" s="64">
        <f t="shared" si="3"/>
        <v>156</v>
      </c>
      <c r="B157" s="64" t="s">
        <v>19</v>
      </c>
      <c r="C157" s="64" t="s">
        <v>2877</v>
      </c>
      <c r="D157" s="64" t="s">
        <v>5564</v>
      </c>
      <c r="E157" s="64" t="s">
        <v>2556</v>
      </c>
      <c r="F157" s="64">
        <v>0.0</v>
      </c>
      <c r="G157" s="64" t="s">
        <v>5702</v>
      </c>
      <c r="H157" s="64" t="s">
        <v>82</v>
      </c>
      <c r="I157" s="64" t="s">
        <v>22</v>
      </c>
      <c r="J157" s="64" t="s">
        <v>225</v>
      </c>
      <c r="K157" s="64" t="s">
        <v>1522</v>
      </c>
      <c r="L157" s="65">
        <v>0.75</v>
      </c>
      <c r="M157" s="65">
        <v>0.4</v>
      </c>
      <c r="N157" s="65">
        <v>0.4</v>
      </c>
      <c r="O157" s="66">
        <v>45130.0</v>
      </c>
      <c r="P157" s="67">
        <f>335/200</f>
        <v>1.675</v>
      </c>
      <c r="Q157" s="64" t="s">
        <v>33</v>
      </c>
      <c r="R157" s="68">
        <f t="shared" si="1"/>
        <v>0.27</v>
      </c>
      <c r="S157" s="68">
        <f t="shared" si="4"/>
        <v>1.914731148</v>
      </c>
    </row>
    <row r="158">
      <c r="A158" s="64">
        <f t="shared" si="3"/>
        <v>157</v>
      </c>
      <c r="B158" s="64" t="s">
        <v>19</v>
      </c>
      <c r="C158" s="147" t="s">
        <v>2876</v>
      </c>
      <c r="D158" s="187"/>
      <c r="E158" s="187"/>
      <c r="F158" s="187" t="s">
        <v>2613</v>
      </c>
      <c r="G158" s="64" t="s">
        <v>2613</v>
      </c>
      <c r="H158" s="64" t="s">
        <v>82</v>
      </c>
      <c r="I158" s="64" t="s">
        <v>598</v>
      </c>
      <c r="J158" s="64" t="s">
        <v>892</v>
      </c>
      <c r="K158" s="64" t="s">
        <v>39</v>
      </c>
      <c r="L158" s="65">
        <v>0.0</v>
      </c>
      <c r="M158" s="65">
        <v>0.4</v>
      </c>
      <c r="N158" s="65">
        <f>0.868*0.4</f>
        <v>0.3472</v>
      </c>
      <c r="O158" s="66">
        <v>45130.0</v>
      </c>
      <c r="P158" s="67">
        <v>1.78</v>
      </c>
      <c r="Q158" s="64" t="s">
        <v>70</v>
      </c>
      <c r="R158" s="68">
        <f t="shared" si="1"/>
        <v>0</v>
      </c>
      <c r="S158" s="68">
        <f t="shared" si="4"/>
        <v>1.914731148</v>
      </c>
    </row>
    <row r="159">
      <c r="A159" s="64">
        <f t="shared" si="3"/>
        <v>158</v>
      </c>
      <c r="B159" s="64" t="s">
        <v>19</v>
      </c>
      <c r="C159" s="64" t="s">
        <v>2878</v>
      </c>
      <c r="D159" s="64" t="s">
        <v>5565</v>
      </c>
      <c r="E159" s="64" t="s">
        <v>2660</v>
      </c>
      <c r="F159" s="64">
        <v>0.0</v>
      </c>
      <c r="G159" s="64" t="s">
        <v>5729</v>
      </c>
      <c r="H159" s="64" t="s">
        <v>28</v>
      </c>
      <c r="I159" s="64" t="s">
        <v>22</v>
      </c>
      <c r="J159" s="64" t="s">
        <v>892</v>
      </c>
      <c r="K159" s="64" t="s">
        <v>1851</v>
      </c>
      <c r="L159" s="65">
        <v>0.0</v>
      </c>
      <c r="M159" s="65">
        <v>0.4</v>
      </c>
      <c r="N159" s="65">
        <v>0.4</v>
      </c>
      <c r="O159" s="66">
        <v>45130.0</v>
      </c>
      <c r="P159" s="67">
        <v>1.7</v>
      </c>
      <c r="Q159" s="64" t="s">
        <v>70</v>
      </c>
      <c r="R159" s="68">
        <f t="shared" si="1"/>
        <v>0</v>
      </c>
      <c r="S159" s="68">
        <f t="shared" si="4"/>
        <v>1.914731148</v>
      </c>
    </row>
    <row r="160">
      <c r="A160" s="64">
        <f t="shared" si="3"/>
        <v>159</v>
      </c>
      <c r="B160" s="64" t="s">
        <v>40</v>
      </c>
      <c r="C160" s="64" t="s">
        <v>2879</v>
      </c>
      <c r="D160" s="64"/>
      <c r="E160" s="64"/>
      <c r="F160" s="64" t="s">
        <v>2615</v>
      </c>
      <c r="G160" s="64" t="s">
        <v>2615</v>
      </c>
      <c r="H160" s="64" t="s">
        <v>1085</v>
      </c>
      <c r="I160" s="64" t="s">
        <v>22</v>
      </c>
      <c r="J160" s="64" t="s">
        <v>29</v>
      </c>
      <c r="K160" s="64" t="s">
        <v>39</v>
      </c>
      <c r="L160" s="65">
        <v>-4.25</v>
      </c>
      <c r="M160" s="65">
        <v>0.4</v>
      </c>
      <c r="N160" s="65">
        <v>0.4</v>
      </c>
      <c r="O160" s="66">
        <v>45130.0</v>
      </c>
      <c r="P160" s="67">
        <f>229.31/200</f>
        <v>1.14655</v>
      </c>
      <c r="Q160" s="64" t="s">
        <v>33</v>
      </c>
      <c r="R160" s="68">
        <f t="shared" si="1"/>
        <v>0.05862</v>
      </c>
      <c r="S160" s="68">
        <f t="shared" si="4"/>
        <v>1.973351148</v>
      </c>
    </row>
    <row r="161">
      <c r="A161" s="64">
        <f t="shared" si="3"/>
        <v>160</v>
      </c>
      <c r="B161" s="64" t="s">
        <v>19</v>
      </c>
      <c r="C161" s="64" t="s">
        <v>2880</v>
      </c>
      <c r="D161" s="64"/>
      <c r="E161" s="64"/>
      <c r="F161" s="64" t="s">
        <v>2613</v>
      </c>
      <c r="G161" s="64" t="s">
        <v>2613</v>
      </c>
      <c r="H161" s="64" t="s">
        <v>82</v>
      </c>
      <c r="I161" s="64" t="s">
        <v>598</v>
      </c>
      <c r="J161" s="64" t="s">
        <v>225</v>
      </c>
      <c r="K161" s="64" t="s">
        <v>39</v>
      </c>
      <c r="L161" s="65">
        <v>0.75</v>
      </c>
      <c r="M161" s="65">
        <v>0.4</v>
      </c>
      <c r="N161" s="65">
        <v>0.4</v>
      </c>
      <c r="O161" s="66">
        <v>45130.0</v>
      </c>
      <c r="P161" s="67">
        <v>1.8</v>
      </c>
      <c r="Q161" s="64" t="s">
        <v>33</v>
      </c>
      <c r="R161" s="68">
        <f t="shared" si="1"/>
        <v>0.32</v>
      </c>
      <c r="S161" s="68">
        <f t="shared" si="4"/>
        <v>2.293351148</v>
      </c>
    </row>
    <row r="162">
      <c r="A162" s="64">
        <f t="shared" si="3"/>
        <v>161</v>
      </c>
      <c r="B162" s="64" t="s">
        <v>19</v>
      </c>
      <c r="C162" s="64" t="s">
        <v>2881</v>
      </c>
      <c r="D162" s="64" t="s">
        <v>5564</v>
      </c>
      <c r="E162" s="64" t="s">
        <v>2660</v>
      </c>
      <c r="F162" s="64">
        <v>-1.0</v>
      </c>
      <c r="G162" s="64" t="s">
        <v>5730</v>
      </c>
      <c r="H162" s="64" t="s">
        <v>28</v>
      </c>
      <c r="I162" s="64" t="s">
        <v>22</v>
      </c>
      <c r="J162" s="64" t="s">
        <v>892</v>
      </c>
      <c r="K162" s="64" t="s">
        <v>24</v>
      </c>
      <c r="L162" s="65">
        <v>0.0</v>
      </c>
      <c r="M162" s="65">
        <v>0.4</v>
      </c>
      <c r="N162" s="65">
        <v>0.4</v>
      </c>
      <c r="O162" s="66">
        <v>45130.0</v>
      </c>
      <c r="P162" s="67">
        <v>1.8</v>
      </c>
      <c r="Q162" s="64" t="s">
        <v>33</v>
      </c>
      <c r="R162" s="68">
        <f t="shared" si="1"/>
        <v>0.32</v>
      </c>
      <c r="S162" s="68">
        <f t="shared" si="4"/>
        <v>2.613351148</v>
      </c>
    </row>
    <row r="163">
      <c r="A163" s="64">
        <f t="shared" si="3"/>
        <v>162</v>
      </c>
      <c r="B163" s="64" t="s">
        <v>19</v>
      </c>
      <c r="C163" s="64" t="s">
        <v>2882</v>
      </c>
      <c r="D163" s="64" t="s">
        <v>5564</v>
      </c>
      <c r="E163" s="64" t="s">
        <v>2556</v>
      </c>
      <c r="F163" s="64">
        <v>0.0</v>
      </c>
      <c r="G163" s="64" t="s">
        <v>5702</v>
      </c>
      <c r="H163" s="64" t="s">
        <v>82</v>
      </c>
      <c r="I163" s="64" t="s">
        <v>22</v>
      </c>
      <c r="J163" s="64" t="s">
        <v>225</v>
      </c>
      <c r="K163" s="64" t="s">
        <v>1522</v>
      </c>
      <c r="L163" s="65">
        <v>1.0</v>
      </c>
      <c r="M163" s="65">
        <v>0.4</v>
      </c>
      <c r="N163" s="65">
        <v>0.4</v>
      </c>
      <c r="O163" s="66">
        <v>45130.0</v>
      </c>
      <c r="P163" s="67">
        <v>1.85</v>
      </c>
      <c r="Q163" s="64" t="s">
        <v>25</v>
      </c>
      <c r="R163" s="68">
        <f t="shared" si="1"/>
        <v>-0.4</v>
      </c>
      <c r="S163" s="68">
        <f t="shared" si="4"/>
        <v>2.213351148</v>
      </c>
    </row>
    <row r="164">
      <c r="A164" s="64">
        <f t="shared" si="3"/>
        <v>163</v>
      </c>
      <c r="B164" s="64" t="s">
        <v>19</v>
      </c>
      <c r="C164" s="64" t="s">
        <v>2883</v>
      </c>
      <c r="D164" s="64" t="s">
        <v>5565</v>
      </c>
      <c r="E164" s="64" t="s">
        <v>2556</v>
      </c>
      <c r="F164" s="64">
        <v>0.0</v>
      </c>
      <c r="G164" s="64" t="s">
        <v>5699</v>
      </c>
      <c r="H164" s="64" t="s">
        <v>82</v>
      </c>
      <c r="I164" s="64" t="s">
        <v>22</v>
      </c>
      <c r="J164" s="64" t="s">
        <v>225</v>
      </c>
      <c r="K164" s="64" t="s">
        <v>1522</v>
      </c>
      <c r="L164" s="65">
        <v>0.5</v>
      </c>
      <c r="M164" s="65">
        <f t="shared" ref="M164:N164" si="10">17/500*31/40</f>
        <v>0.02635</v>
      </c>
      <c r="N164" s="65">
        <f t="shared" si="10"/>
        <v>0.02635</v>
      </c>
      <c r="O164" s="66">
        <v>45130.0</v>
      </c>
      <c r="P164" s="67">
        <v>1.75</v>
      </c>
      <c r="Q164" s="64" t="s">
        <v>25</v>
      </c>
      <c r="R164" s="68">
        <f t="shared" si="1"/>
        <v>-0.02635</v>
      </c>
      <c r="S164" s="68">
        <f t="shared" si="4"/>
        <v>2.187001148</v>
      </c>
    </row>
    <row r="165">
      <c r="A165" s="64">
        <f t="shared" si="3"/>
        <v>164</v>
      </c>
      <c r="B165" s="64" t="s">
        <v>19</v>
      </c>
      <c r="C165" s="64" t="s">
        <v>2884</v>
      </c>
      <c r="D165" s="64" t="s">
        <v>5565</v>
      </c>
      <c r="E165" s="64" t="s">
        <v>2660</v>
      </c>
      <c r="F165" s="64">
        <v>2</v>
      </c>
      <c r="G165" s="64" t="s">
        <v>5731</v>
      </c>
      <c r="H165" s="64" t="s">
        <v>319</v>
      </c>
      <c r="I165" s="64" t="s">
        <v>22</v>
      </c>
      <c r="J165" s="64" t="s">
        <v>892</v>
      </c>
      <c r="K165" s="64" t="s">
        <v>39</v>
      </c>
      <c r="L165" s="65">
        <v>0.0</v>
      </c>
      <c r="M165" s="65">
        <v>0.4</v>
      </c>
      <c r="N165" s="65">
        <v>0.4</v>
      </c>
      <c r="O165" s="66">
        <v>45132.0</v>
      </c>
      <c r="P165" s="67">
        <v>1.41</v>
      </c>
      <c r="Q165" s="64" t="s">
        <v>33</v>
      </c>
      <c r="R165" s="68">
        <f t="shared" si="1"/>
        <v>0.164</v>
      </c>
      <c r="S165" s="68">
        <f t="shared" si="4"/>
        <v>2.351001148</v>
      </c>
    </row>
    <row r="166">
      <c r="A166" s="64">
        <f t="shared" si="3"/>
        <v>165</v>
      </c>
      <c r="B166" s="64" t="s">
        <v>19</v>
      </c>
      <c r="C166" s="64" t="s">
        <v>2885</v>
      </c>
      <c r="D166" s="64" t="s">
        <v>5565</v>
      </c>
      <c r="E166" s="64" t="s">
        <v>2556</v>
      </c>
      <c r="F166" s="64">
        <v>0.0</v>
      </c>
      <c r="G166" s="64" t="s">
        <v>5699</v>
      </c>
      <c r="H166" s="64" t="s">
        <v>28</v>
      </c>
      <c r="I166" s="64" t="s">
        <v>22</v>
      </c>
      <c r="J166" s="64" t="s">
        <v>225</v>
      </c>
      <c r="K166" s="64" t="s">
        <v>2688</v>
      </c>
      <c r="L166" s="65">
        <v>3.0</v>
      </c>
      <c r="M166" s="65">
        <v>0.15</v>
      </c>
      <c r="N166" s="65">
        <v>0.15</v>
      </c>
      <c r="O166" s="66">
        <v>45133.0</v>
      </c>
      <c r="P166" s="67">
        <v>1.7</v>
      </c>
      <c r="Q166" s="64" t="s">
        <v>25</v>
      </c>
      <c r="R166" s="68">
        <f t="shared" si="1"/>
        <v>-0.15</v>
      </c>
      <c r="S166" s="68">
        <f t="shared" si="4"/>
        <v>2.201001148</v>
      </c>
    </row>
    <row r="167">
      <c r="A167" s="64">
        <f t="shared" si="3"/>
        <v>166</v>
      </c>
      <c r="B167" s="64" t="s">
        <v>40</v>
      </c>
      <c r="C167" s="64" t="s">
        <v>2886</v>
      </c>
      <c r="D167" s="64" t="s">
        <v>5564</v>
      </c>
      <c r="E167" s="64" t="s">
        <v>2556</v>
      </c>
      <c r="F167" s="64">
        <v>0.0</v>
      </c>
      <c r="G167" s="64" t="s">
        <v>5702</v>
      </c>
      <c r="H167" s="64" t="s">
        <v>224</v>
      </c>
      <c r="I167" s="64" t="s">
        <v>22</v>
      </c>
      <c r="J167" s="64" t="s">
        <v>225</v>
      </c>
      <c r="K167" s="64" t="s">
        <v>24</v>
      </c>
      <c r="L167" s="65">
        <v>0.5</v>
      </c>
      <c r="M167" s="65">
        <v>0.5</v>
      </c>
      <c r="N167" s="65">
        <v>0.5</v>
      </c>
      <c r="O167" s="66">
        <v>45133.0</v>
      </c>
      <c r="P167" s="67">
        <v>1.8</v>
      </c>
      <c r="Q167" s="64" t="s">
        <v>33</v>
      </c>
      <c r="R167" s="68">
        <f t="shared" si="1"/>
        <v>0.4</v>
      </c>
      <c r="S167" s="68">
        <f t="shared" si="4"/>
        <v>2.601001148</v>
      </c>
    </row>
    <row r="168">
      <c r="A168" s="64">
        <f t="shared" si="3"/>
        <v>167</v>
      </c>
      <c r="B168" s="64" t="s">
        <v>19</v>
      </c>
      <c r="C168" s="64" t="s">
        <v>2887</v>
      </c>
      <c r="D168" s="64"/>
      <c r="E168" s="64"/>
      <c r="F168" s="64" t="s">
        <v>2615</v>
      </c>
      <c r="G168" s="64" t="s">
        <v>2615</v>
      </c>
      <c r="H168" s="64" t="s">
        <v>82</v>
      </c>
      <c r="I168" s="64" t="s">
        <v>22</v>
      </c>
      <c r="J168" s="64" t="s">
        <v>29</v>
      </c>
      <c r="K168" s="64" t="s">
        <v>1522</v>
      </c>
      <c r="L168" s="65">
        <v>-3.5</v>
      </c>
      <c r="M168" s="65">
        <v>0.5</v>
      </c>
      <c r="N168" s="65">
        <f>0.421*0.5</f>
        <v>0.2105</v>
      </c>
      <c r="O168" s="66">
        <v>45133.0</v>
      </c>
      <c r="P168" s="67">
        <v>1.875</v>
      </c>
      <c r="Q168" s="64" t="s">
        <v>70</v>
      </c>
      <c r="R168" s="68">
        <f t="shared" si="1"/>
        <v>0</v>
      </c>
      <c r="S168" s="68">
        <f t="shared" si="4"/>
        <v>2.601001148</v>
      </c>
    </row>
    <row r="169">
      <c r="A169" s="64">
        <f t="shared" si="3"/>
        <v>168</v>
      </c>
      <c r="B169" s="64" t="s">
        <v>19</v>
      </c>
      <c r="C169" s="64" t="s">
        <v>2888</v>
      </c>
      <c r="D169" s="64" t="s">
        <v>5565</v>
      </c>
      <c r="E169" s="64" t="s">
        <v>2556</v>
      </c>
      <c r="F169" s="64">
        <f t="shared" ref="F169:F170" si="11">1</f>
        <v>1</v>
      </c>
      <c r="G169" s="64" t="s">
        <v>5709</v>
      </c>
      <c r="H169" s="64" t="s">
        <v>2889</v>
      </c>
      <c r="I169" s="64" t="s">
        <v>22</v>
      </c>
      <c r="J169" s="64" t="s">
        <v>1847</v>
      </c>
      <c r="K169" s="64" t="s">
        <v>39</v>
      </c>
      <c r="L169" s="65">
        <v>-0.5</v>
      </c>
      <c r="M169" s="65">
        <v>0.5</v>
      </c>
      <c r="N169" s="65">
        <v>0.5</v>
      </c>
      <c r="O169" s="66">
        <v>45135.0</v>
      </c>
      <c r="P169" s="67">
        <v>1.8</v>
      </c>
      <c r="Q169" s="64" t="s">
        <v>25</v>
      </c>
      <c r="R169" s="68">
        <f t="shared" si="1"/>
        <v>-0.5</v>
      </c>
      <c r="S169" s="68">
        <f t="shared" si="4"/>
        <v>2.101001148</v>
      </c>
    </row>
    <row r="170">
      <c r="A170" s="64">
        <f t="shared" si="3"/>
        <v>169</v>
      </c>
      <c r="B170" s="64" t="s">
        <v>19</v>
      </c>
      <c r="C170" s="64" t="s">
        <v>2890</v>
      </c>
      <c r="D170" s="64" t="s">
        <v>5564</v>
      </c>
      <c r="E170" s="64" t="s">
        <v>2556</v>
      </c>
      <c r="F170" s="64">
        <f t="shared" si="11"/>
        <v>1</v>
      </c>
      <c r="G170" s="64" t="s">
        <v>5705</v>
      </c>
      <c r="H170" s="64" t="s">
        <v>28</v>
      </c>
      <c r="I170" s="64" t="s">
        <v>22</v>
      </c>
      <c r="J170" s="64" t="s">
        <v>225</v>
      </c>
      <c r="K170" s="64" t="s">
        <v>24</v>
      </c>
      <c r="L170" s="65">
        <v>0.5</v>
      </c>
      <c r="M170" s="65">
        <v>0.5</v>
      </c>
      <c r="N170" s="65">
        <v>0.5</v>
      </c>
      <c r="O170" s="66">
        <v>45135.0</v>
      </c>
      <c r="P170" s="67">
        <v>1.8</v>
      </c>
      <c r="Q170" s="64" t="s">
        <v>33</v>
      </c>
      <c r="R170" s="68">
        <f t="shared" si="1"/>
        <v>0.4</v>
      </c>
      <c r="S170" s="68">
        <f t="shared" si="4"/>
        <v>2.501001148</v>
      </c>
    </row>
    <row r="171">
      <c r="A171" s="64">
        <f t="shared" si="3"/>
        <v>170</v>
      </c>
      <c r="B171" s="64" t="s">
        <v>19</v>
      </c>
      <c r="C171" s="64" t="s">
        <v>2891</v>
      </c>
      <c r="D171" s="64" t="s">
        <v>5565</v>
      </c>
      <c r="E171" s="64" t="s">
        <v>2556</v>
      </c>
      <c r="F171" s="64">
        <v>0.0</v>
      </c>
      <c r="G171" s="64" t="s">
        <v>5699</v>
      </c>
      <c r="H171" s="64" t="s">
        <v>82</v>
      </c>
      <c r="I171" s="64" t="s">
        <v>22</v>
      </c>
      <c r="J171" s="64" t="s">
        <v>2725</v>
      </c>
      <c r="K171" s="64" t="s">
        <v>24</v>
      </c>
      <c r="L171" s="65">
        <v>0.5</v>
      </c>
      <c r="M171" s="65">
        <v>0.5</v>
      </c>
      <c r="N171" s="65">
        <v>0.5</v>
      </c>
      <c r="O171" s="66">
        <v>45135.0</v>
      </c>
      <c r="P171" s="67">
        <v>1.85</v>
      </c>
      <c r="Q171" s="64" t="s">
        <v>33</v>
      </c>
      <c r="R171" s="68">
        <f t="shared" si="1"/>
        <v>0.425</v>
      </c>
      <c r="S171" s="68">
        <f t="shared" si="4"/>
        <v>2.926001148</v>
      </c>
    </row>
    <row r="172">
      <c r="A172" s="64">
        <f t="shared" si="3"/>
        <v>171</v>
      </c>
      <c r="B172" s="64" t="s">
        <v>19</v>
      </c>
      <c r="C172" s="64" t="s">
        <v>2892</v>
      </c>
      <c r="D172" s="64" t="s">
        <v>5564</v>
      </c>
      <c r="E172" s="64" t="s">
        <v>2556</v>
      </c>
      <c r="F172" s="64">
        <f>1</f>
        <v>1</v>
      </c>
      <c r="G172" s="64" t="s">
        <v>5705</v>
      </c>
      <c r="H172" s="64" t="s">
        <v>316</v>
      </c>
      <c r="I172" s="64" t="s">
        <v>22</v>
      </c>
      <c r="J172" s="64" t="s">
        <v>225</v>
      </c>
      <c r="K172" s="64" t="s">
        <v>24</v>
      </c>
      <c r="L172" s="65">
        <v>0.25</v>
      </c>
      <c r="M172" s="65">
        <v>0.5</v>
      </c>
      <c r="N172" s="65">
        <v>0.5</v>
      </c>
      <c r="O172" s="66">
        <v>45135.0</v>
      </c>
      <c r="P172" s="67">
        <v>1.85</v>
      </c>
      <c r="Q172" s="64" t="s">
        <v>25</v>
      </c>
      <c r="R172" s="68">
        <f t="shared" si="1"/>
        <v>-0.5</v>
      </c>
      <c r="S172" s="68">
        <f t="shared" si="4"/>
        <v>2.426001148</v>
      </c>
    </row>
    <row r="173">
      <c r="A173" s="64">
        <f t="shared" si="3"/>
        <v>172</v>
      </c>
      <c r="B173" s="64" t="s">
        <v>19</v>
      </c>
      <c r="C173" s="64" t="s">
        <v>2893</v>
      </c>
      <c r="D173" s="64" t="s">
        <v>5564</v>
      </c>
      <c r="E173" s="64" t="s">
        <v>2556</v>
      </c>
      <c r="F173" s="64">
        <v>-1.0</v>
      </c>
      <c r="G173" s="64" t="s">
        <v>5706</v>
      </c>
      <c r="H173" s="64" t="s">
        <v>82</v>
      </c>
      <c r="I173" s="64" t="s">
        <v>22</v>
      </c>
      <c r="J173" s="64" t="s">
        <v>225</v>
      </c>
      <c r="K173" s="64" t="s">
        <v>1522</v>
      </c>
      <c r="L173" s="65">
        <v>0.5</v>
      </c>
      <c r="M173" s="65">
        <v>0.5</v>
      </c>
      <c r="N173" s="65">
        <v>0.5</v>
      </c>
      <c r="O173" s="66">
        <v>45135.0</v>
      </c>
      <c r="P173" s="67">
        <v>1.8</v>
      </c>
      <c r="Q173" s="64" t="s">
        <v>33</v>
      </c>
      <c r="R173" s="68">
        <f t="shared" si="1"/>
        <v>0.4</v>
      </c>
      <c r="S173" s="68">
        <f t="shared" si="4"/>
        <v>2.826001148</v>
      </c>
    </row>
    <row r="174">
      <c r="A174" s="64">
        <f t="shared" si="3"/>
        <v>173</v>
      </c>
      <c r="B174" s="64" t="s">
        <v>19</v>
      </c>
      <c r="C174" s="64" t="s">
        <v>2894</v>
      </c>
      <c r="D174" s="64" t="s">
        <v>5564</v>
      </c>
      <c r="E174" s="64" t="s">
        <v>2556</v>
      </c>
      <c r="F174" s="64">
        <v>-2.0</v>
      </c>
      <c r="G174" s="64" t="s">
        <v>5707</v>
      </c>
      <c r="H174" s="64" t="s">
        <v>44</v>
      </c>
      <c r="I174" s="64" t="s">
        <v>22</v>
      </c>
      <c r="J174" s="64" t="s">
        <v>892</v>
      </c>
      <c r="K174" s="64" t="s">
        <v>1803</v>
      </c>
      <c r="L174" s="65">
        <v>0.0</v>
      </c>
      <c r="M174" s="65">
        <f t="shared" ref="M174:N174" si="12">10/500</f>
        <v>0.02</v>
      </c>
      <c r="N174" s="65">
        <f t="shared" si="12"/>
        <v>0.02</v>
      </c>
      <c r="O174" s="66">
        <v>45135.0</v>
      </c>
      <c r="P174" s="67">
        <v>2.0</v>
      </c>
      <c r="Q174" s="64" t="s">
        <v>25</v>
      </c>
      <c r="R174" s="68">
        <f t="shared" si="1"/>
        <v>-0.02</v>
      </c>
      <c r="S174" s="68">
        <f t="shared" si="4"/>
        <v>2.806001148</v>
      </c>
    </row>
    <row r="175">
      <c r="A175" s="64">
        <f t="shared" si="3"/>
        <v>174</v>
      </c>
      <c r="B175" s="64" t="s">
        <v>19</v>
      </c>
      <c r="C175" s="64" t="s">
        <v>2895</v>
      </c>
      <c r="D175" s="64" t="s">
        <v>5564</v>
      </c>
      <c r="E175" s="64" t="s">
        <v>2556</v>
      </c>
      <c r="F175" s="64">
        <v>0.0</v>
      </c>
      <c r="G175" s="64" t="s">
        <v>5702</v>
      </c>
      <c r="H175" s="64" t="s">
        <v>44</v>
      </c>
      <c r="I175" s="64" t="s">
        <v>22</v>
      </c>
      <c r="J175" s="64" t="s">
        <v>225</v>
      </c>
      <c r="K175" s="64" t="s">
        <v>24</v>
      </c>
      <c r="L175" s="65">
        <v>0.75</v>
      </c>
      <c r="M175" s="65">
        <v>0.5</v>
      </c>
      <c r="N175" s="65">
        <v>0.5</v>
      </c>
      <c r="O175" s="66">
        <v>45136.0</v>
      </c>
      <c r="P175" s="67">
        <v>1.975</v>
      </c>
      <c r="Q175" s="64" t="s">
        <v>25</v>
      </c>
      <c r="R175" s="68">
        <f t="shared" si="1"/>
        <v>-0.5</v>
      </c>
      <c r="S175" s="68">
        <f t="shared" si="4"/>
        <v>2.306001148</v>
      </c>
    </row>
    <row r="176">
      <c r="A176" s="64">
        <f t="shared" si="3"/>
        <v>175</v>
      </c>
      <c r="B176" s="64" t="s">
        <v>19</v>
      </c>
      <c r="C176" s="64" t="s">
        <v>2896</v>
      </c>
      <c r="D176" s="64" t="s">
        <v>5565</v>
      </c>
      <c r="E176" s="64" t="s">
        <v>2556</v>
      </c>
      <c r="F176" s="64">
        <v>0.0</v>
      </c>
      <c r="G176" s="64" t="s">
        <v>5699</v>
      </c>
      <c r="H176" s="64" t="s">
        <v>28</v>
      </c>
      <c r="I176" s="64" t="s">
        <v>22</v>
      </c>
      <c r="J176" s="64" t="s">
        <v>225</v>
      </c>
      <c r="K176" s="64" t="s">
        <v>24</v>
      </c>
      <c r="L176" s="65">
        <v>0.25</v>
      </c>
      <c r="M176" s="65">
        <v>0.5</v>
      </c>
      <c r="N176" s="65">
        <v>0.5</v>
      </c>
      <c r="O176" s="66">
        <v>45136.0</v>
      </c>
      <c r="P176" s="67">
        <v>1.8</v>
      </c>
      <c r="Q176" s="64" t="s">
        <v>30</v>
      </c>
      <c r="R176" s="68">
        <f t="shared" si="1"/>
        <v>0.2</v>
      </c>
      <c r="S176" s="68">
        <f t="shared" si="4"/>
        <v>2.506001148</v>
      </c>
    </row>
    <row r="177">
      <c r="A177" s="64">
        <f t="shared" si="3"/>
        <v>176</v>
      </c>
      <c r="B177" s="64" t="s">
        <v>19</v>
      </c>
      <c r="C177" s="64" t="s">
        <v>2897</v>
      </c>
      <c r="D177" s="64" t="s">
        <v>5564</v>
      </c>
      <c r="E177" s="64" t="s">
        <v>2556</v>
      </c>
      <c r="F177" s="64">
        <v>0.0</v>
      </c>
      <c r="G177" s="64" t="s">
        <v>5702</v>
      </c>
      <c r="H177" s="64" t="s">
        <v>2898</v>
      </c>
      <c r="I177" s="64" t="s">
        <v>22</v>
      </c>
      <c r="J177" s="64" t="s">
        <v>225</v>
      </c>
      <c r="K177" s="64" t="s">
        <v>39</v>
      </c>
      <c r="L177" s="65">
        <v>0.5</v>
      </c>
      <c r="M177" s="65">
        <v>0.5</v>
      </c>
      <c r="N177" s="65">
        <v>0.5</v>
      </c>
      <c r="O177" s="66">
        <v>45136.0</v>
      </c>
      <c r="P177" s="67">
        <v>1.7</v>
      </c>
      <c r="Q177" s="64" t="s">
        <v>33</v>
      </c>
      <c r="R177" s="68">
        <f t="shared" si="1"/>
        <v>0.35</v>
      </c>
      <c r="S177" s="68">
        <f t="shared" si="4"/>
        <v>2.856001148</v>
      </c>
    </row>
    <row r="178">
      <c r="A178" s="64">
        <f t="shared" si="3"/>
        <v>177</v>
      </c>
      <c r="B178" s="64" t="s">
        <v>19</v>
      </c>
      <c r="C178" s="64" t="s">
        <v>2899</v>
      </c>
      <c r="D178" s="64"/>
      <c r="E178" s="64"/>
      <c r="F178" s="64" t="s">
        <v>981</v>
      </c>
      <c r="G178" s="64" t="s">
        <v>981</v>
      </c>
      <c r="H178" s="64" t="s">
        <v>2898</v>
      </c>
      <c r="I178" s="64" t="s">
        <v>22</v>
      </c>
      <c r="J178" s="64" t="s">
        <v>440</v>
      </c>
      <c r="K178" s="64" t="s">
        <v>39</v>
      </c>
      <c r="L178" s="65">
        <v>0.5</v>
      </c>
      <c r="M178" s="65">
        <v>0.2</v>
      </c>
      <c r="N178" s="65">
        <v>0.2</v>
      </c>
      <c r="O178" s="66">
        <v>45136.0</v>
      </c>
      <c r="P178" s="67">
        <v>2.425</v>
      </c>
      <c r="Q178" s="64" t="s">
        <v>25</v>
      </c>
      <c r="R178" s="68">
        <f t="shared" si="1"/>
        <v>-0.2</v>
      </c>
      <c r="S178" s="68">
        <f t="shared" si="4"/>
        <v>2.656001148</v>
      </c>
    </row>
    <row r="179">
      <c r="A179" s="64">
        <f t="shared" si="3"/>
        <v>178</v>
      </c>
      <c r="B179" s="64" t="s">
        <v>19</v>
      </c>
      <c r="C179" s="64" t="s">
        <v>2900</v>
      </c>
      <c r="D179" s="64" t="s">
        <v>5564</v>
      </c>
      <c r="E179" s="64" t="s">
        <v>2556</v>
      </c>
      <c r="F179" s="64">
        <v>-1.0</v>
      </c>
      <c r="G179" s="64" t="s">
        <v>5706</v>
      </c>
      <c r="H179" s="64" t="s">
        <v>44</v>
      </c>
      <c r="I179" s="64" t="s">
        <v>22</v>
      </c>
      <c r="J179" s="64" t="s">
        <v>225</v>
      </c>
      <c r="K179" s="64" t="s">
        <v>24</v>
      </c>
      <c r="L179" s="65">
        <v>1.0</v>
      </c>
      <c r="M179" s="65">
        <v>0.5</v>
      </c>
      <c r="N179" s="65">
        <f>0.632*0.5</f>
        <v>0.316</v>
      </c>
      <c r="O179" s="66">
        <v>45136.0</v>
      </c>
      <c r="P179" s="67">
        <v>1.7</v>
      </c>
      <c r="Q179" s="64" t="s">
        <v>33</v>
      </c>
      <c r="R179" s="68">
        <f t="shared" si="1"/>
        <v>0.2212</v>
      </c>
      <c r="S179" s="68">
        <f t="shared" si="4"/>
        <v>2.877201148</v>
      </c>
    </row>
    <row r="180">
      <c r="A180" s="64">
        <f t="shared" si="3"/>
        <v>179</v>
      </c>
      <c r="B180" s="64" t="s">
        <v>19</v>
      </c>
      <c r="C180" s="64" t="s">
        <v>2901</v>
      </c>
      <c r="D180" s="64" t="s">
        <v>5564</v>
      </c>
      <c r="E180" s="64" t="s">
        <v>2660</v>
      </c>
      <c r="F180" s="64">
        <v>-3.0</v>
      </c>
      <c r="G180" s="64" t="s">
        <v>5732</v>
      </c>
      <c r="H180" s="64" t="s">
        <v>28</v>
      </c>
      <c r="I180" s="64" t="s">
        <v>22</v>
      </c>
      <c r="J180" s="64" t="s">
        <v>892</v>
      </c>
      <c r="K180" s="64" t="s">
        <v>2688</v>
      </c>
      <c r="L180" s="65">
        <v>0.0</v>
      </c>
      <c r="M180" s="65">
        <v>0.5</v>
      </c>
      <c r="N180" s="65">
        <v>0.5</v>
      </c>
      <c r="O180" s="66">
        <v>45136.0</v>
      </c>
      <c r="P180" s="67">
        <v>1.9</v>
      </c>
      <c r="Q180" s="64" t="s">
        <v>33</v>
      </c>
      <c r="R180" s="68">
        <f t="shared" si="1"/>
        <v>0.45</v>
      </c>
      <c r="S180" s="68">
        <f t="shared" si="4"/>
        <v>3.327201148</v>
      </c>
    </row>
    <row r="181">
      <c r="A181" s="64">
        <f t="shared" si="3"/>
        <v>180</v>
      </c>
      <c r="B181" s="64" t="s">
        <v>19</v>
      </c>
      <c r="C181" s="64" t="s">
        <v>2902</v>
      </c>
      <c r="D181" s="64"/>
      <c r="E181" s="64"/>
      <c r="F181" s="64" t="s">
        <v>2615</v>
      </c>
      <c r="G181" s="64" t="s">
        <v>2615</v>
      </c>
      <c r="H181" s="64" t="s">
        <v>2873</v>
      </c>
      <c r="I181" s="64" t="s">
        <v>22</v>
      </c>
      <c r="J181" s="64" t="s">
        <v>29</v>
      </c>
      <c r="K181" s="64" t="s">
        <v>24</v>
      </c>
      <c r="L181" s="65">
        <v>-5.5</v>
      </c>
      <c r="M181" s="65">
        <v>0.25</v>
      </c>
      <c r="N181" s="65">
        <v>0.07</v>
      </c>
      <c r="O181" s="66">
        <v>45136.0</v>
      </c>
      <c r="P181" s="67">
        <v>1.725</v>
      </c>
      <c r="Q181" s="64" t="s">
        <v>25</v>
      </c>
      <c r="R181" s="68">
        <f t="shared" si="1"/>
        <v>-0.07</v>
      </c>
      <c r="S181" s="68">
        <f t="shared" si="4"/>
        <v>3.257201148</v>
      </c>
    </row>
    <row r="182">
      <c r="A182" s="64">
        <f t="shared" si="3"/>
        <v>181</v>
      </c>
      <c r="B182" s="64" t="s">
        <v>19</v>
      </c>
      <c r="C182" s="64" t="s">
        <v>2903</v>
      </c>
      <c r="D182" s="64" t="s">
        <v>5564</v>
      </c>
      <c r="E182" s="64" t="s">
        <v>2556</v>
      </c>
      <c r="F182" s="64">
        <v>0.0</v>
      </c>
      <c r="G182" s="64" t="s">
        <v>5702</v>
      </c>
      <c r="H182" s="64" t="s">
        <v>513</v>
      </c>
      <c r="I182" s="64" t="s">
        <v>22</v>
      </c>
      <c r="J182" s="64" t="s">
        <v>225</v>
      </c>
      <c r="K182" s="64" t="s">
        <v>1851</v>
      </c>
      <c r="L182" s="65">
        <v>1.5</v>
      </c>
      <c r="M182" s="65">
        <f t="shared" ref="M182:N182" si="13">0.289*0.5</f>
        <v>0.1445</v>
      </c>
      <c r="N182" s="65">
        <f t="shared" si="13"/>
        <v>0.1445</v>
      </c>
      <c r="O182" s="66">
        <v>45136.0</v>
      </c>
      <c r="P182" s="67">
        <v>1.825</v>
      </c>
      <c r="Q182" s="64" t="s">
        <v>33</v>
      </c>
      <c r="R182" s="68">
        <f t="shared" si="1"/>
        <v>0.1192125</v>
      </c>
      <c r="S182" s="68">
        <f t="shared" si="4"/>
        <v>3.376413648</v>
      </c>
    </row>
    <row r="183">
      <c r="A183" s="64">
        <f t="shared" si="3"/>
        <v>182</v>
      </c>
      <c r="B183" s="64" t="s">
        <v>19</v>
      </c>
      <c r="C183" s="64" t="s">
        <v>2904</v>
      </c>
      <c r="D183" s="64" t="s">
        <v>5565</v>
      </c>
      <c r="E183" s="64" t="s">
        <v>2556</v>
      </c>
      <c r="F183" s="64">
        <v>2</v>
      </c>
      <c r="G183" s="64" t="s">
        <v>5718</v>
      </c>
      <c r="H183" s="64" t="s">
        <v>463</v>
      </c>
      <c r="I183" s="64" t="s">
        <v>22</v>
      </c>
      <c r="J183" s="64" t="s">
        <v>225</v>
      </c>
      <c r="K183" s="64" t="s">
        <v>39</v>
      </c>
      <c r="L183" s="65">
        <v>0.5</v>
      </c>
      <c r="M183" s="65">
        <v>0.5</v>
      </c>
      <c r="N183" s="65">
        <f>0.421*0.5</f>
        <v>0.2105</v>
      </c>
      <c r="O183" s="66">
        <v>45136.0</v>
      </c>
      <c r="P183" s="67">
        <v>1.7</v>
      </c>
      <c r="Q183" s="64" t="s">
        <v>25</v>
      </c>
      <c r="R183" s="68">
        <f t="shared" si="1"/>
        <v>-0.2105</v>
      </c>
      <c r="S183" s="68">
        <f t="shared" si="4"/>
        <v>3.165913648</v>
      </c>
    </row>
    <row r="184">
      <c r="A184" s="64">
        <f t="shared" si="3"/>
        <v>183</v>
      </c>
      <c r="B184" s="64" t="s">
        <v>19</v>
      </c>
      <c r="C184" s="64" t="s">
        <v>2905</v>
      </c>
      <c r="D184" s="64" t="s">
        <v>5564</v>
      </c>
      <c r="E184" s="64" t="s">
        <v>2556</v>
      </c>
      <c r="F184" s="64">
        <v>0.0</v>
      </c>
      <c r="G184" s="64" t="s">
        <v>5702</v>
      </c>
      <c r="H184" s="64" t="s">
        <v>28</v>
      </c>
      <c r="I184" s="64" t="s">
        <v>22</v>
      </c>
      <c r="J184" s="64" t="s">
        <v>225</v>
      </c>
      <c r="K184" s="64" t="s">
        <v>1522</v>
      </c>
      <c r="L184" s="65">
        <v>0.75</v>
      </c>
      <c r="M184" s="65">
        <v>0.5</v>
      </c>
      <c r="N184" s="65">
        <v>0.5</v>
      </c>
      <c r="O184" s="66">
        <v>45136.0</v>
      </c>
      <c r="P184" s="67">
        <v>1.8</v>
      </c>
      <c r="Q184" s="64" t="s">
        <v>33</v>
      </c>
      <c r="R184" s="68">
        <f t="shared" si="1"/>
        <v>0.4</v>
      </c>
      <c r="S184" s="68">
        <f t="shared" si="4"/>
        <v>3.565913648</v>
      </c>
    </row>
    <row r="185">
      <c r="A185" s="64">
        <f t="shared" si="3"/>
        <v>184</v>
      </c>
      <c r="B185" s="64" t="s">
        <v>19</v>
      </c>
      <c r="C185" s="64" t="s">
        <v>2906</v>
      </c>
      <c r="D185" s="64" t="s">
        <v>5564</v>
      </c>
      <c r="E185" s="64" t="s">
        <v>2660</v>
      </c>
      <c r="F185" s="64">
        <f>1</f>
        <v>1</v>
      </c>
      <c r="G185" s="64" t="s">
        <v>5727</v>
      </c>
      <c r="H185" s="64" t="s">
        <v>44</v>
      </c>
      <c r="I185" s="64" t="s">
        <v>22</v>
      </c>
      <c r="J185" s="64" t="s">
        <v>892</v>
      </c>
      <c r="K185" s="64" t="s">
        <v>24</v>
      </c>
      <c r="L185" s="65">
        <v>0.0</v>
      </c>
      <c r="M185" s="65">
        <v>0.75</v>
      </c>
      <c r="N185" s="65">
        <v>0.75</v>
      </c>
      <c r="O185" s="66">
        <v>45136.0</v>
      </c>
      <c r="P185" s="67">
        <v>1.825</v>
      </c>
      <c r="Q185" s="64" t="s">
        <v>70</v>
      </c>
      <c r="R185" s="68">
        <f t="shared" si="1"/>
        <v>0</v>
      </c>
      <c r="S185" s="68">
        <f t="shared" si="4"/>
        <v>3.565913648</v>
      </c>
    </row>
    <row r="186">
      <c r="A186" s="64">
        <f t="shared" si="3"/>
        <v>185</v>
      </c>
      <c r="B186" s="64" t="s">
        <v>19</v>
      </c>
      <c r="C186" s="64" t="s">
        <v>2907</v>
      </c>
      <c r="D186" s="64" t="s">
        <v>5564</v>
      </c>
      <c r="E186" s="64" t="s">
        <v>2660</v>
      </c>
      <c r="F186" s="64">
        <v>-2.0</v>
      </c>
      <c r="G186" s="64" t="s">
        <v>5725</v>
      </c>
      <c r="H186" s="64" t="s">
        <v>28</v>
      </c>
      <c r="I186" s="64" t="s">
        <v>22</v>
      </c>
      <c r="J186" s="64" t="s">
        <v>892</v>
      </c>
      <c r="K186" s="64" t="s">
        <v>24</v>
      </c>
      <c r="L186" s="65">
        <v>0.0</v>
      </c>
      <c r="M186" s="65">
        <v>0.5</v>
      </c>
      <c r="N186" s="65">
        <f>0.342*0.5</f>
        <v>0.171</v>
      </c>
      <c r="O186" s="66">
        <v>45136.0</v>
      </c>
      <c r="P186" s="67">
        <v>1.75</v>
      </c>
      <c r="Q186" s="64" t="s">
        <v>33</v>
      </c>
      <c r="R186" s="68">
        <f t="shared" si="1"/>
        <v>0.12825</v>
      </c>
      <c r="S186" s="68">
        <f t="shared" si="4"/>
        <v>3.694163648</v>
      </c>
    </row>
    <row r="187">
      <c r="A187" s="64">
        <f t="shared" si="3"/>
        <v>186</v>
      </c>
      <c r="B187" s="64" t="s">
        <v>19</v>
      </c>
      <c r="C187" s="64" t="s">
        <v>2908</v>
      </c>
      <c r="D187" s="64"/>
      <c r="E187" s="64"/>
      <c r="F187" s="64" t="s">
        <v>2613</v>
      </c>
      <c r="G187" s="64" t="s">
        <v>2613</v>
      </c>
      <c r="H187" s="64" t="s">
        <v>82</v>
      </c>
      <c r="I187" s="64" t="s">
        <v>598</v>
      </c>
      <c r="J187" s="64" t="s">
        <v>1847</v>
      </c>
      <c r="K187" s="64" t="s">
        <v>24</v>
      </c>
      <c r="L187" s="65">
        <v>-0.5</v>
      </c>
      <c r="M187" s="65">
        <v>0.25</v>
      </c>
      <c r="N187" s="65">
        <v>0.25</v>
      </c>
      <c r="O187" s="66">
        <v>45136.0</v>
      </c>
      <c r="P187" s="67">
        <v>1.8</v>
      </c>
      <c r="Q187" s="64" t="s">
        <v>33</v>
      </c>
      <c r="R187" s="68">
        <f t="shared" si="1"/>
        <v>0.2</v>
      </c>
      <c r="S187" s="68">
        <f t="shared" si="4"/>
        <v>3.894163648</v>
      </c>
    </row>
    <row r="188">
      <c r="A188" s="64">
        <f t="shared" si="3"/>
        <v>187</v>
      </c>
      <c r="B188" s="64" t="s">
        <v>19</v>
      </c>
      <c r="C188" s="64" t="s">
        <v>2909</v>
      </c>
      <c r="D188" s="64" t="s">
        <v>5564</v>
      </c>
      <c r="E188" s="64" t="s">
        <v>2556</v>
      </c>
      <c r="F188" s="64">
        <v>-1.0</v>
      </c>
      <c r="G188" s="64" t="s">
        <v>5706</v>
      </c>
      <c r="H188" s="64" t="s">
        <v>703</v>
      </c>
      <c r="I188" s="64" t="s">
        <v>22</v>
      </c>
      <c r="J188" s="64" t="s">
        <v>225</v>
      </c>
      <c r="K188" s="64" t="s">
        <v>1522</v>
      </c>
      <c r="L188" s="65">
        <v>0.25</v>
      </c>
      <c r="M188" s="65">
        <v>0.5</v>
      </c>
      <c r="N188" s="65">
        <v>0.5</v>
      </c>
      <c r="O188" s="66">
        <v>45136.0</v>
      </c>
      <c r="P188" s="67">
        <v>1.6</v>
      </c>
      <c r="Q188" s="64" t="s">
        <v>30</v>
      </c>
      <c r="R188" s="68">
        <f t="shared" si="1"/>
        <v>0.15</v>
      </c>
      <c r="S188" s="68">
        <f t="shared" si="4"/>
        <v>4.044163648</v>
      </c>
    </row>
    <row r="189">
      <c r="A189" s="64">
        <f t="shared" si="3"/>
        <v>188</v>
      </c>
      <c r="B189" s="64" t="s">
        <v>19</v>
      </c>
      <c r="C189" s="64" t="s">
        <v>2910</v>
      </c>
      <c r="D189" s="64"/>
      <c r="E189" s="64"/>
      <c r="F189" s="64" t="s">
        <v>2613</v>
      </c>
      <c r="G189" s="64" t="s">
        <v>2613</v>
      </c>
      <c r="H189" s="64" t="s">
        <v>82</v>
      </c>
      <c r="I189" s="64" t="s">
        <v>598</v>
      </c>
      <c r="J189" s="64" t="s">
        <v>1847</v>
      </c>
      <c r="K189" s="64" t="s">
        <v>39</v>
      </c>
      <c r="L189" s="65">
        <v>-0.5</v>
      </c>
      <c r="M189" s="65">
        <v>0.25</v>
      </c>
      <c r="N189" s="65">
        <v>0.25</v>
      </c>
      <c r="O189" s="66">
        <v>45136.0</v>
      </c>
      <c r="P189" s="67">
        <v>1.83</v>
      </c>
      <c r="Q189" s="64" t="s">
        <v>25</v>
      </c>
      <c r="R189" s="68">
        <f t="shared" si="1"/>
        <v>-0.25</v>
      </c>
      <c r="S189" s="68">
        <f t="shared" si="4"/>
        <v>3.794163648</v>
      </c>
    </row>
    <row r="190">
      <c r="A190" s="64">
        <f t="shared" si="3"/>
        <v>189</v>
      </c>
      <c r="B190" s="64" t="s">
        <v>19</v>
      </c>
      <c r="C190" s="64" t="s">
        <v>2911</v>
      </c>
      <c r="D190" s="64" t="s">
        <v>5564</v>
      </c>
      <c r="E190" s="64" t="s">
        <v>2556</v>
      </c>
      <c r="F190" s="64">
        <v>2</v>
      </c>
      <c r="G190" s="64" t="s">
        <v>5715</v>
      </c>
      <c r="H190" s="64" t="s">
        <v>44</v>
      </c>
      <c r="I190" s="64" t="s">
        <v>22</v>
      </c>
      <c r="J190" s="64" t="s">
        <v>225</v>
      </c>
      <c r="K190" s="64" t="s">
        <v>24</v>
      </c>
      <c r="L190" s="65">
        <v>0.5</v>
      </c>
      <c r="M190" s="65">
        <v>0.5</v>
      </c>
      <c r="N190" s="65">
        <v>0.5</v>
      </c>
      <c r="O190" s="66">
        <v>45137.0</v>
      </c>
      <c r="P190" s="67">
        <v>1.725</v>
      </c>
      <c r="Q190" s="64" t="s">
        <v>70</v>
      </c>
      <c r="R190" s="68">
        <f t="shared" si="1"/>
        <v>0</v>
      </c>
      <c r="S190" s="68">
        <f t="shared" si="4"/>
        <v>3.794163648</v>
      </c>
    </row>
    <row r="191">
      <c r="A191" s="64">
        <f t="shared" si="3"/>
        <v>190</v>
      </c>
      <c r="B191" s="64" t="s">
        <v>19</v>
      </c>
      <c r="C191" s="64" t="s">
        <v>2912</v>
      </c>
      <c r="D191" s="64" t="s">
        <v>5564</v>
      </c>
      <c r="E191" s="64" t="s">
        <v>2556</v>
      </c>
      <c r="F191" s="64">
        <f t="shared" ref="F191:F192" si="14">1</f>
        <v>1</v>
      </c>
      <c r="G191" s="64" t="s">
        <v>5705</v>
      </c>
      <c r="H191" s="64" t="s">
        <v>1025</v>
      </c>
      <c r="I191" s="64" t="s">
        <v>22</v>
      </c>
      <c r="J191" s="64" t="s">
        <v>225</v>
      </c>
      <c r="K191" s="64" t="s">
        <v>24</v>
      </c>
      <c r="L191" s="65">
        <v>0.25</v>
      </c>
      <c r="M191" s="65">
        <v>0.5</v>
      </c>
      <c r="N191" s="65">
        <v>0.5</v>
      </c>
      <c r="O191" s="66">
        <v>45137.0</v>
      </c>
      <c r="P191" s="67">
        <v>1.8</v>
      </c>
      <c r="Q191" s="64" t="s">
        <v>70</v>
      </c>
      <c r="R191" s="68">
        <f t="shared" si="1"/>
        <v>0</v>
      </c>
      <c r="S191" s="68">
        <f t="shared" si="4"/>
        <v>3.794163648</v>
      </c>
    </row>
    <row r="192">
      <c r="A192" s="64">
        <f t="shared" si="3"/>
        <v>191</v>
      </c>
      <c r="B192" s="64" t="s">
        <v>19</v>
      </c>
      <c r="C192" s="64" t="s">
        <v>2913</v>
      </c>
      <c r="D192" s="64" t="s">
        <v>5564</v>
      </c>
      <c r="E192" s="64" t="s">
        <v>2556</v>
      </c>
      <c r="F192" s="64">
        <f t="shared" si="14"/>
        <v>1</v>
      </c>
      <c r="G192" s="64" t="s">
        <v>5705</v>
      </c>
      <c r="H192" s="64" t="s">
        <v>44</v>
      </c>
      <c r="I192" s="64" t="s">
        <v>22</v>
      </c>
      <c r="J192" s="64" t="s">
        <v>225</v>
      </c>
      <c r="K192" s="64" t="s">
        <v>24</v>
      </c>
      <c r="L192" s="65">
        <v>0.5</v>
      </c>
      <c r="M192" s="65">
        <v>0.5</v>
      </c>
      <c r="N192" s="65">
        <v>0.5</v>
      </c>
      <c r="O192" s="66">
        <v>45137.0</v>
      </c>
      <c r="P192" s="67">
        <f>400/250</f>
        <v>1.6</v>
      </c>
      <c r="Q192" s="64" t="s">
        <v>33</v>
      </c>
      <c r="R192" s="68">
        <f t="shared" si="1"/>
        <v>0.3</v>
      </c>
      <c r="S192" s="68">
        <f t="shared" si="4"/>
        <v>4.094163648</v>
      </c>
    </row>
    <row r="193">
      <c r="A193" s="64">
        <f t="shared" si="3"/>
        <v>192</v>
      </c>
      <c r="B193" s="64" t="s">
        <v>19</v>
      </c>
      <c r="C193" s="64" t="s">
        <v>2914</v>
      </c>
      <c r="D193" s="64"/>
      <c r="E193" s="64"/>
      <c r="F193" s="64" t="s">
        <v>2613</v>
      </c>
      <c r="G193" s="64" t="s">
        <v>2613</v>
      </c>
      <c r="H193" s="64" t="s">
        <v>82</v>
      </c>
      <c r="I193" s="64" t="s">
        <v>22</v>
      </c>
      <c r="J193" s="64" t="s">
        <v>2776</v>
      </c>
      <c r="K193" s="64" t="s">
        <v>24</v>
      </c>
      <c r="L193" s="65">
        <v>6.5</v>
      </c>
      <c r="M193" s="65">
        <v>0.25</v>
      </c>
      <c r="N193" s="65">
        <v>0.25</v>
      </c>
      <c r="O193" s="66">
        <v>45137.0</v>
      </c>
      <c r="P193" s="67">
        <v>1.72</v>
      </c>
      <c r="Q193" s="64" t="s">
        <v>25</v>
      </c>
      <c r="R193" s="68">
        <f t="shared" si="1"/>
        <v>-0.25</v>
      </c>
      <c r="S193" s="68">
        <f t="shared" si="4"/>
        <v>3.844163648</v>
      </c>
    </row>
    <row r="194">
      <c r="A194" s="64">
        <f t="shared" si="3"/>
        <v>193</v>
      </c>
      <c r="B194" s="64" t="s">
        <v>19</v>
      </c>
      <c r="C194" s="64" t="s">
        <v>2915</v>
      </c>
      <c r="D194" s="64" t="s">
        <v>5692</v>
      </c>
      <c r="E194" s="64" t="s">
        <v>2660</v>
      </c>
      <c r="F194" s="64">
        <v>0.0</v>
      </c>
      <c r="G194" s="64" t="s">
        <v>5700</v>
      </c>
      <c r="H194" s="64" t="s">
        <v>463</v>
      </c>
      <c r="I194" s="64" t="s">
        <v>22</v>
      </c>
      <c r="J194" s="64" t="s">
        <v>892</v>
      </c>
      <c r="K194" s="64" t="s">
        <v>1851</v>
      </c>
      <c r="L194" s="65">
        <v>0.0</v>
      </c>
      <c r="M194" s="65">
        <v>0.25</v>
      </c>
      <c r="N194" s="65">
        <v>0.25</v>
      </c>
      <c r="O194" s="66">
        <v>45137.0</v>
      </c>
      <c r="P194" s="67">
        <v>2.2</v>
      </c>
      <c r="Q194" s="64" t="s">
        <v>70</v>
      </c>
      <c r="R194" s="68">
        <f t="shared" si="1"/>
        <v>0</v>
      </c>
      <c r="S194" s="68">
        <f t="shared" si="4"/>
        <v>3.844163648</v>
      </c>
    </row>
    <row r="195">
      <c r="A195" s="64">
        <f t="shared" si="3"/>
        <v>194</v>
      </c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5"/>
      <c r="M195" s="65"/>
      <c r="N195" s="65"/>
      <c r="O195" s="66"/>
      <c r="P195" s="67">
        <v>1.7</v>
      </c>
      <c r="Q195" s="64"/>
      <c r="R195" s="68" t="str">
        <f t="shared" si="1"/>
        <v/>
      </c>
      <c r="S195" s="68">
        <f t="shared" si="4"/>
        <v>3.844163648</v>
      </c>
    </row>
    <row r="196">
      <c r="A196" s="64">
        <f t="shared" si="3"/>
        <v>195</v>
      </c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5"/>
      <c r="M196" s="65"/>
      <c r="N196" s="65"/>
      <c r="O196" s="66"/>
      <c r="P196" s="67"/>
      <c r="Q196" s="64"/>
      <c r="R196" s="68" t="str">
        <f t="shared" si="1"/>
        <v/>
      </c>
      <c r="S196" s="68">
        <f t="shared" si="4"/>
        <v>3.844163648</v>
      </c>
    </row>
    <row r="197">
      <c r="A197" s="64">
        <f t="shared" si="3"/>
        <v>196</v>
      </c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5"/>
      <c r="M197" s="65"/>
      <c r="N197" s="65"/>
      <c r="O197" s="66"/>
      <c r="P197" s="67"/>
      <c r="Q197" s="64"/>
      <c r="R197" s="68" t="str">
        <f t="shared" si="1"/>
        <v/>
      </c>
      <c r="S197" s="68">
        <f t="shared" si="4"/>
        <v>3.844163648</v>
      </c>
    </row>
    <row r="198">
      <c r="A198" s="64">
        <f t="shared" si="3"/>
        <v>197</v>
      </c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5"/>
      <c r="M198" s="65"/>
      <c r="N198" s="65"/>
      <c r="O198" s="66"/>
      <c r="P198" s="67"/>
      <c r="Q198" s="64"/>
      <c r="R198" s="68" t="str">
        <f t="shared" si="1"/>
        <v/>
      </c>
      <c r="S198" s="68">
        <f t="shared" si="4"/>
        <v>3.844163648</v>
      </c>
    </row>
    <row r="199">
      <c r="A199" s="64">
        <f t="shared" si="3"/>
        <v>198</v>
      </c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5"/>
      <c r="M199" s="65"/>
      <c r="N199" s="65"/>
      <c r="O199" s="66"/>
      <c r="P199" s="67"/>
      <c r="Q199" s="64"/>
      <c r="R199" s="68" t="str">
        <f t="shared" si="1"/>
        <v/>
      </c>
      <c r="S199" s="68">
        <f t="shared" si="4"/>
        <v>3.844163648</v>
      </c>
    </row>
    <row r="200">
      <c r="A200" s="64">
        <f t="shared" si="3"/>
        <v>199</v>
      </c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5"/>
      <c r="M200" s="65"/>
      <c r="N200" s="65"/>
      <c r="O200" s="66"/>
      <c r="P200" s="67"/>
      <c r="Q200" s="64"/>
      <c r="R200" s="68" t="str">
        <f t="shared" si="1"/>
        <v/>
      </c>
      <c r="S200" s="68">
        <f t="shared" si="4"/>
        <v>3.844163648</v>
      </c>
    </row>
    <row r="201">
      <c r="A201" s="64">
        <f t="shared" si="3"/>
        <v>200</v>
      </c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5"/>
      <c r="M201" s="65"/>
      <c r="N201" s="65"/>
      <c r="O201" s="66"/>
      <c r="P201" s="67"/>
      <c r="Q201" s="64"/>
      <c r="R201" s="68" t="str">
        <f t="shared" si="1"/>
        <v/>
      </c>
      <c r="S201" s="68">
        <f t="shared" si="4"/>
        <v>3.844163648</v>
      </c>
    </row>
    <row r="202">
      <c r="A202" s="64">
        <f t="shared" si="3"/>
        <v>201</v>
      </c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5"/>
      <c r="M202" s="65"/>
      <c r="N202" s="65"/>
      <c r="O202" s="66"/>
      <c r="P202" s="67"/>
      <c r="Q202" s="64"/>
      <c r="R202" s="68" t="str">
        <f t="shared" si="1"/>
        <v/>
      </c>
      <c r="S202" s="68">
        <f t="shared" si="4"/>
        <v>3.844163648</v>
      </c>
    </row>
    <row r="203">
      <c r="A203" s="64">
        <f t="shared" si="3"/>
        <v>202</v>
      </c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5"/>
      <c r="M203" s="65"/>
      <c r="N203" s="65"/>
      <c r="O203" s="66"/>
      <c r="P203" s="67"/>
      <c r="Q203" s="64"/>
      <c r="R203" s="68" t="str">
        <f t="shared" si="1"/>
        <v/>
      </c>
      <c r="S203" s="68">
        <f t="shared" si="4"/>
        <v>3.844163648</v>
      </c>
    </row>
    <row r="204">
      <c r="A204" s="64">
        <f t="shared" si="3"/>
        <v>203</v>
      </c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5"/>
      <c r="M204" s="65"/>
      <c r="N204" s="65"/>
      <c r="O204" s="66"/>
      <c r="P204" s="67"/>
      <c r="Q204" s="64"/>
      <c r="R204" s="68" t="str">
        <f t="shared" si="1"/>
        <v/>
      </c>
      <c r="S204" s="68">
        <f t="shared" si="4"/>
        <v>3.844163648</v>
      </c>
    </row>
    <row r="205">
      <c r="A205" s="64">
        <f t="shared" si="3"/>
        <v>204</v>
      </c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5"/>
      <c r="M205" s="65"/>
      <c r="N205" s="65"/>
      <c r="O205" s="66"/>
      <c r="P205" s="67"/>
      <c r="Q205" s="64"/>
      <c r="R205" s="68" t="str">
        <f t="shared" si="1"/>
        <v/>
      </c>
      <c r="S205" s="68">
        <f t="shared" si="4"/>
        <v>3.844163648</v>
      </c>
    </row>
    <row r="206">
      <c r="A206" s="64">
        <f t="shared" si="3"/>
        <v>205</v>
      </c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5"/>
      <c r="M206" s="65"/>
      <c r="N206" s="65"/>
      <c r="O206" s="66"/>
      <c r="P206" s="67"/>
      <c r="Q206" s="64"/>
      <c r="R206" s="68" t="str">
        <f t="shared" si="1"/>
        <v/>
      </c>
      <c r="S206" s="68">
        <f t="shared" si="4"/>
        <v>3.844163648</v>
      </c>
    </row>
    <row r="207">
      <c r="A207" s="64">
        <f t="shared" si="3"/>
        <v>206</v>
      </c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5"/>
      <c r="M207" s="65"/>
      <c r="N207" s="65"/>
      <c r="O207" s="66"/>
      <c r="P207" s="67"/>
      <c r="Q207" s="64"/>
      <c r="R207" s="68" t="str">
        <f t="shared" si="1"/>
        <v/>
      </c>
      <c r="S207" s="68">
        <f t="shared" si="4"/>
        <v>3.844163648</v>
      </c>
    </row>
    <row r="208">
      <c r="A208" s="64">
        <f t="shared" si="3"/>
        <v>207</v>
      </c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5"/>
      <c r="M208" s="65"/>
      <c r="N208" s="65"/>
      <c r="O208" s="66"/>
      <c r="P208" s="67"/>
      <c r="Q208" s="64"/>
      <c r="R208" s="68" t="str">
        <f t="shared" si="1"/>
        <v/>
      </c>
      <c r="S208" s="68">
        <f t="shared" si="4"/>
        <v>3.844163648</v>
      </c>
    </row>
    <row r="209">
      <c r="A209" s="64">
        <f t="shared" si="3"/>
        <v>208</v>
      </c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5"/>
      <c r="M209" s="65"/>
      <c r="N209" s="65"/>
      <c r="O209" s="66"/>
      <c r="P209" s="67"/>
      <c r="Q209" s="64"/>
      <c r="R209" s="68" t="str">
        <f t="shared" si="1"/>
        <v/>
      </c>
      <c r="S209" s="68">
        <f t="shared" si="4"/>
        <v>3.844163648</v>
      </c>
    </row>
    <row r="210">
      <c r="A210" s="64">
        <f t="shared" si="3"/>
        <v>209</v>
      </c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5"/>
      <c r="M210" s="65"/>
      <c r="N210" s="65"/>
      <c r="O210" s="66"/>
      <c r="P210" s="67"/>
      <c r="Q210" s="64"/>
      <c r="R210" s="68" t="str">
        <f t="shared" si="1"/>
        <v/>
      </c>
      <c r="S210" s="68">
        <f t="shared" si="4"/>
        <v>3.844163648</v>
      </c>
    </row>
    <row r="211">
      <c r="A211" s="64">
        <f t="shared" si="3"/>
        <v>210</v>
      </c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5"/>
      <c r="M211" s="65"/>
      <c r="N211" s="65"/>
      <c r="O211" s="66"/>
      <c r="P211" s="67"/>
      <c r="Q211" s="64"/>
      <c r="R211" s="68" t="str">
        <f t="shared" si="1"/>
        <v/>
      </c>
      <c r="S211" s="68">
        <f t="shared" si="4"/>
        <v>3.844163648</v>
      </c>
    </row>
    <row r="212">
      <c r="A212" s="64">
        <f t="shared" si="3"/>
        <v>211</v>
      </c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5"/>
      <c r="M212" s="65"/>
      <c r="N212" s="65"/>
      <c r="O212" s="66"/>
      <c r="P212" s="67"/>
      <c r="Q212" s="64"/>
      <c r="R212" s="68" t="str">
        <f t="shared" si="1"/>
        <v/>
      </c>
      <c r="S212" s="68">
        <f t="shared" si="4"/>
        <v>3.844163648</v>
      </c>
    </row>
    <row r="213">
      <c r="A213" s="64">
        <f t="shared" si="3"/>
        <v>212</v>
      </c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5"/>
      <c r="M213" s="65"/>
      <c r="N213" s="65"/>
      <c r="O213" s="66"/>
      <c r="P213" s="67"/>
      <c r="Q213" s="64"/>
      <c r="R213" s="68" t="str">
        <f t="shared" si="1"/>
        <v/>
      </c>
      <c r="S213" s="68">
        <f t="shared" si="4"/>
        <v>3.844163648</v>
      </c>
    </row>
    <row r="214">
      <c r="A214" s="64">
        <f t="shared" si="3"/>
        <v>213</v>
      </c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5"/>
      <c r="M214" s="65"/>
      <c r="N214" s="65"/>
      <c r="O214" s="66"/>
      <c r="P214" s="67"/>
      <c r="Q214" s="64"/>
      <c r="R214" s="68" t="str">
        <f t="shared" si="1"/>
        <v/>
      </c>
      <c r="S214" s="68">
        <f t="shared" si="4"/>
        <v>3.844163648</v>
      </c>
    </row>
    <row r="215">
      <c r="A215" s="64">
        <f t="shared" si="3"/>
        <v>214</v>
      </c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5"/>
      <c r="M215" s="65"/>
      <c r="N215" s="65"/>
      <c r="O215" s="66"/>
      <c r="P215" s="67"/>
      <c r="Q215" s="64"/>
      <c r="R215" s="68" t="str">
        <f t="shared" si="1"/>
        <v/>
      </c>
      <c r="S215" s="68">
        <f t="shared" si="4"/>
        <v>3.844163648</v>
      </c>
    </row>
    <row r="216">
      <c r="A216" s="64">
        <f t="shared" si="3"/>
        <v>215</v>
      </c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5"/>
      <c r="M216" s="65"/>
      <c r="N216" s="65"/>
      <c r="O216" s="66"/>
      <c r="P216" s="67"/>
      <c r="Q216" s="64"/>
      <c r="R216" s="68" t="str">
        <f t="shared" si="1"/>
        <v/>
      </c>
      <c r="S216" s="68">
        <f t="shared" si="4"/>
        <v>3.844163648</v>
      </c>
    </row>
    <row r="217">
      <c r="A217" s="64">
        <f t="shared" si="3"/>
        <v>216</v>
      </c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5"/>
      <c r="M217" s="65"/>
      <c r="N217" s="65"/>
      <c r="O217" s="66"/>
      <c r="P217" s="67"/>
      <c r="Q217" s="64"/>
      <c r="R217" s="68" t="str">
        <f t="shared" si="1"/>
        <v/>
      </c>
      <c r="S217" s="68">
        <f t="shared" si="4"/>
        <v>3.844163648</v>
      </c>
    </row>
    <row r="218">
      <c r="A218" s="64">
        <f t="shared" si="3"/>
        <v>217</v>
      </c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5"/>
      <c r="M218" s="65"/>
      <c r="N218" s="65"/>
      <c r="O218" s="66"/>
      <c r="P218" s="67"/>
      <c r="Q218" s="64"/>
      <c r="R218" s="68" t="str">
        <f t="shared" si="1"/>
        <v/>
      </c>
      <c r="S218" s="68">
        <f t="shared" si="4"/>
        <v>3.844163648</v>
      </c>
    </row>
    <row r="219">
      <c r="A219" s="64">
        <f t="shared" si="3"/>
        <v>218</v>
      </c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5"/>
      <c r="M219" s="65"/>
      <c r="N219" s="65"/>
      <c r="O219" s="66"/>
      <c r="P219" s="67"/>
      <c r="Q219" s="64"/>
      <c r="R219" s="68" t="str">
        <f t="shared" si="1"/>
        <v/>
      </c>
      <c r="S219" s="68">
        <f t="shared" si="4"/>
        <v>3.844163648</v>
      </c>
    </row>
    <row r="220">
      <c r="A220" s="64">
        <f t="shared" si="3"/>
        <v>219</v>
      </c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5"/>
      <c r="M220" s="65"/>
      <c r="N220" s="65"/>
      <c r="O220" s="66"/>
      <c r="P220" s="67"/>
      <c r="Q220" s="64"/>
      <c r="R220" s="68" t="str">
        <f t="shared" si="1"/>
        <v/>
      </c>
      <c r="S220" s="68">
        <f t="shared" si="4"/>
        <v>3.844163648</v>
      </c>
    </row>
    <row r="221">
      <c r="A221" s="64">
        <f t="shared" si="3"/>
        <v>220</v>
      </c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5"/>
      <c r="M221" s="65"/>
      <c r="N221" s="65"/>
      <c r="O221" s="66"/>
      <c r="P221" s="67"/>
      <c r="Q221" s="64"/>
      <c r="R221" s="68" t="str">
        <f t="shared" si="1"/>
        <v/>
      </c>
      <c r="S221" s="68">
        <f t="shared" si="4"/>
        <v>3.844163648</v>
      </c>
    </row>
    <row r="222">
      <c r="A222" s="64">
        <f t="shared" si="3"/>
        <v>221</v>
      </c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5"/>
      <c r="M222" s="65"/>
      <c r="N222" s="65"/>
      <c r="O222" s="66"/>
      <c r="P222" s="67"/>
      <c r="Q222" s="64"/>
      <c r="R222" s="68" t="str">
        <f t="shared" si="1"/>
        <v/>
      </c>
      <c r="S222" s="68">
        <f t="shared" si="4"/>
        <v>3.844163648</v>
      </c>
    </row>
    <row r="223">
      <c r="A223" s="64">
        <f t="shared" si="3"/>
        <v>222</v>
      </c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5"/>
      <c r="M223" s="65"/>
      <c r="N223" s="65"/>
      <c r="O223" s="66"/>
      <c r="P223" s="67"/>
      <c r="Q223" s="64"/>
      <c r="R223" s="68" t="str">
        <f t="shared" si="1"/>
        <v/>
      </c>
      <c r="S223" s="68">
        <f t="shared" si="4"/>
        <v>3.844163648</v>
      </c>
    </row>
    <row r="224">
      <c r="A224" s="64">
        <f t="shared" si="3"/>
        <v>223</v>
      </c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5"/>
      <c r="M224" s="65"/>
      <c r="N224" s="65"/>
      <c r="O224" s="66"/>
      <c r="P224" s="67"/>
      <c r="Q224" s="64"/>
      <c r="R224" s="68" t="str">
        <f t="shared" si="1"/>
        <v/>
      </c>
      <c r="S224" s="68">
        <f t="shared" si="4"/>
        <v>3.844163648</v>
      </c>
    </row>
    <row r="225">
      <c r="A225" s="64">
        <f t="shared" si="3"/>
        <v>224</v>
      </c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5"/>
      <c r="M225" s="65"/>
      <c r="N225" s="65"/>
      <c r="O225" s="66"/>
      <c r="P225" s="67"/>
      <c r="Q225" s="64"/>
      <c r="R225" s="68" t="str">
        <f t="shared" si="1"/>
        <v/>
      </c>
      <c r="S225" s="68">
        <f t="shared" si="4"/>
        <v>3.844163648</v>
      </c>
    </row>
    <row r="226">
      <c r="A226" s="64">
        <f t="shared" si="3"/>
        <v>225</v>
      </c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5"/>
      <c r="M226" s="65"/>
      <c r="N226" s="65"/>
      <c r="O226" s="66"/>
      <c r="P226" s="67"/>
      <c r="Q226" s="64"/>
      <c r="R226" s="68" t="str">
        <f t="shared" si="1"/>
        <v/>
      </c>
      <c r="S226" s="68">
        <f t="shared" si="4"/>
        <v>3.844163648</v>
      </c>
    </row>
    <row r="227">
      <c r="A227" s="64">
        <f t="shared" si="3"/>
        <v>226</v>
      </c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5"/>
      <c r="M227" s="65"/>
      <c r="N227" s="65"/>
      <c r="O227" s="66"/>
      <c r="P227" s="67"/>
      <c r="Q227" s="64"/>
      <c r="R227" s="68" t="str">
        <f t="shared" si="1"/>
        <v/>
      </c>
      <c r="S227" s="68">
        <f t="shared" si="4"/>
        <v>3.844163648</v>
      </c>
    </row>
    <row r="228">
      <c r="A228" s="64">
        <f t="shared" si="3"/>
        <v>227</v>
      </c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5"/>
      <c r="M228" s="65"/>
      <c r="N228" s="65"/>
      <c r="O228" s="66"/>
      <c r="P228" s="67"/>
      <c r="Q228" s="64"/>
      <c r="R228" s="68" t="str">
        <f t="shared" si="1"/>
        <v/>
      </c>
      <c r="S228" s="68">
        <f t="shared" si="4"/>
        <v>3.844163648</v>
      </c>
    </row>
    <row r="229">
      <c r="A229" s="64">
        <f t="shared" si="3"/>
        <v>228</v>
      </c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5"/>
      <c r="M229" s="65"/>
      <c r="N229" s="65"/>
      <c r="O229" s="66"/>
      <c r="P229" s="67"/>
      <c r="Q229" s="64"/>
      <c r="R229" s="68" t="str">
        <f t="shared" si="1"/>
        <v/>
      </c>
      <c r="S229" s="68">
        <f t="shared" si="4"/>
        <v>3.844163648</v>
      </c>
    </row>
    <row r="230">
      <c r="A230" s="64">
        <f t="shared" si="3"/>
        <v>229</v>
      </c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5"/>
      <c r="M230" s="65"/>
      <c r="N230" s="65"/>
      <c r="O230" s="66"/>
      <c r="P230" s="67"/>
      <c r="Q230" s="64"/>
      <c r="R230" s="68" t="str">
        <f t="shared" si="1"/>
        <v/>
      </c>
      <c r="S230" s="68">
        <f t="shared" si="4"/>
        <v>3.844163648</v>
      </c>
    </row>
    <row r="231">
      <c r="A231" s="64">
        <f t="shared" si="3"/>
        <v>230</v>
      </c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5"/>
      <c r="M231" s="65"/>
      <c r="N231" s="65"/>
      <c r="O231" s="66"/>
      <c r="P231" s="67"/>
      <c r="Q231" s="64"/>
      <c r="R231" s="68" t="str">
        <f t="shared" si="1"/>
        <v/>
      </c>
      <c r="S231" s="68">
        <f t="shared" si="4"/>
        <v>3.844163648</v>
      </c>
    </row>
    <row r="232">
      <c r="A232" s="64">
        <f t="shared" si="3"/>
        <v>231</v>
      </c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5"/>
      <c r="M232" s="65"/>
      <c r="N232" s="65"/>
      <c r="O232" s="66"/>
      <c r="P232" s="67"/>
      <c r="Q232" s="64"/>
      <c r="R232" s="68" t="str">
        <f t="shared" si="1"/>
        <v/>
      </c>
      <c r="S232" s="68">
        <f t="shared" si="4"/>
        <v>3.844163648</v>
      </c>
    </row>
    <row r="233">
      <c r="A233" s="64">
        <f t="shared" si="3"/>
        <v>232</v>
      </c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5"/>
      <c r="M233" s="65"/>
      <c r="N233" s="65"/>
      <c r="O233" s="66"/>
      <c r="P233" s="67"/>
      <c r="Q233" s="64"/>
      <c r="R233" s="68" t="str">
        <f t="shared" si="1"/>
        <v/>
      </c>
      <c r="S233" s="68">
        <f t="shared" si="4"/>
        <v>3.844163648</v>
      </c>
    </row>
    <row r="234">
      <c r="A234" s="64">
        <f t="shared" si="3"/>
        <v>233</v>
      </c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5"/>
      <c r="M234" s="65"/>
      <c r="N234" s="65"/>
      <c r="O234" s="66"/>
      <c r="P234" s="67"/>
      <c r="Q234" s="64"/>
      <c r="R234" s="68" t="str">
        <f t="shared" si="1"/>
        <v/>
      </c>
      <c r="S234" s="68">
        <f t="shared" si="4"/>
        <v>3.844163648</v>
      </c>
    </row>
    <row r="235">
      <c r="A235" s="64">
        <f t="shared" si="3"/>
        <v>234</v>
      </c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5"/>
      <c r="M235" s="65"/>
      <c r="N235" s="65"/>
      <c r="O235" s="66"/>
      <c r="P235" s="67"/>
      <c r="Q235" s="64"/>
      <c r="R235" s="68" t="str">
        <f t="shared" si="1"/>
        <v/>
      </c>
      <c r="S235" s="68">
        <f t="shared" si="4"/>
        <v>3.844163648</v>
      </c>
    </row>
    <row r="236">
      <c r="A236" s="64">
        <f t="shared" si="3"/>
        <v>235</v>
      </c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5"/>
      <c r="M236" s="65"/>
      <c r="N236" s="65"/>
      <c r="O236" s="66"/>
      <c r="P236" s="67"/>
      <c r="Q236" s="64"/>
      <c r="R236" s="68" t="str">
        <f t="shared" si="1"/>
        <v/>
      </c>
      <c r="S236" s="68">
        <f t="shared" si="4"/>
        <v>3.844163648</v>
      </c>
    </row>
    <row r="237">
      <c r="A237" s="64">
        <f t="shared" si="3"/>
        <v>236</v>
      </c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5"/>
      <c r="M237" s="65"/>
      <c r="N237" s="65"/>
      <c r="O237" s="66"/>
      <c r="P237" s="67"/>
      <c r="Q237" s="64"/>
      <c r="R237" s="68" t="str">
        <f t="shared" si="1"/>
        <v/>
      </c>
      <c r="S237" s="68">
        <f t="shared" si="4"/>
        <v>3.844163648</v>
      </c>
    </row>
    <row r="238">
      <c r="A238" s="64">
        <f t="shared" si="3"/>
        <v>237</v>
      </c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5"/>
      <c r="M238" s="65"/>
      <c r="N238" s="65"/>
      <c r="O238" s="66"/>
      <c r="P238" s="67"/>
      <c r="Q238" s="64"/>
      <c r="R238" s="68" t="str">
        <f t="shared" si="1"/>
        <v/>
      </c>
      <c r="S238" s="68">
        <f t="shared" si="4"/>
        <v>3.844163648</v>
      </c>
    </row>
    <row r="239">
      <c r="A239" s="64">
        <f t="shared" si="3"/>
        <v>238</v>
      </c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5"/>
      <c r="M239" s="65"/>
      <c r="N239" s="65"/>
      <c r="O239" s="66"/>
      <c r="P239" s="67"/>
      <c r="Q239" s="64"/>
      <c r="R239" s="68" t="str">
        <f t="shared" si="1"/>
        <v/>
      </c>
      <c r="S239" s="68">
        <f t="shared" si="4"/>
        <v>3.844163648</v>
      </c>
    </row>
    <row r="240">
      <c r="A240" s="64">
        <f t="shared" si="3"/>
        <v>239</v>
      </c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5"/>
      <c r="M240" s="65"/>
      <c r="N240" s="65"/>
      <c r="O240" s="66"/>
      <c r="P240" s="67"/>
      <c r="Q240" s="64"/>
      <c r="R240" s="68" t="str">
        <f t="shared" si="1"/>
        <v/>
      </c>
      <c r="S240" s="68">
        <f t="shared" si="4"/>
        <v>3.844163648</v>
      </c>
    </row>
    <row r="241">
      <c r="A241" s="64">
        <f t="shared" si="3"/>
        <v>240</v>
      </c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5"/>
      <c r="M241" s="65"/>
      <c r="N241" s="65"/>
      <c r="O241" s="66"/>
      <c r="P241" s="67"/>
      <c r="Q241" s="64"/>
      <c r="R241" s="68" t="str">
        <f t="shared" si="1"/>
        <v/>
      </c>
      <c r="S241" s="68">
        <f t="shared" si="4"/>
        <v>3.844163648</v>
      </c>
    </row>
    <row r="242">
      <c r="A242" s="64">
        <f t="shared" si="3"/>
        <v>241</v>
      </c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5"/>
      <c r="M242" s="65"/>
      <c r="N242" s="65"/>
      <c r="O242" s="66"/>
      <c r="P242" s="67"/>
      <c r="Q242" s="64"/>
      <c r="R242" s="68" t="str">
        <f t="shared" si="1"/>
        <v/>
      </c>
      <c r="S242" s="68">
        <f t="shared" si="4"/>
        <v>3.844163648</v>
      </c>
    </row>
    <row r="243">
      <c r="A243" s="64">
        <f t="shared" si="3"/>
        <v>242</v>
      </c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5"/>
      <c r="M243" s="65"/>
      <c r="N243" s="65"/>
      <c r="O243" s="66"/>
      <c r="P243" s="67"/>
      <c r="Q243" s="64"/>
      <c r="R243" s="68" t="str">
        <f t="shared" si="1"/>
        <v/>
      </c>
      <c r="S243" s="68">
        <f t="shared" si="4"/>
        <v>3.844163648</v>
      </c>
    </row>
    <row r="244">
      <c r="A244" s="64">
        <f t="shared" si="3"/>
        <v>243</v>
      </c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5"/>
      <c r="M244" s="65"/>
      <c r="N244" s="65"/>
      <c r="O244" s="66"/>
      <c r="P244" s="67"/>
      <c r="Q244" s="64"/>
      <c r="R244" s="68" t="str">
        <f t="shared" si="1"/>
        <v/>
      </c>
      <c r="S244" s="68">
        <f t="shared" si="4"/>
        <v>3.844163648</v>
      </c>
    </row>
    <row r="245">
      <c r="A245" s="64">
        <f t="shared" si="3"/>
        <v>244</v>
      </c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5"/>
      <c r="M245" s="65"/>
      <c r="N245" s="65"/>
      <c r="O245" s="66"/>
      <c r="P245" s="67"/>
      <c r="Q245" s="64"/>
      <c r="R245" s="68" t="str">
        <f t="shared" si="1"/>
        <v/>
      </c>
      <c r="S245" s="68">
        <f t="shared" si="4"/>
        <v>3.844163648</v>
      </c>
    </row>
    <row r="246">
      <c r="A246" s="64">
        <f t="shared" si="3"/>
        <v>245</v>
      </c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5"/>
      <c r="M246" s="65"/>
      <c r="N246" s="65"/>
      <c r="O246" s="66"/>
      <c r="P246" s="67"/>
      <c r="Q246" s="64"/>
      <c r="R246" s="68" t="str">
        <f t="shared" si="1"/>
        <v/>
      </c>
      <c r="S246" s="68">
        <f t="shared" si="4"/>
        <v>3.844163648</v>
      </c>
    </row>
    <row r="247">
      <c r="A247" s="64">
        <f t="shared" si="3"/>
        <v>246</v>
      </c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5"/>
      <c r="M247" s="65"/>
      <c r="N247" s="65"/>
      <c r="O247" s="66"/>
      <c r="P247" s="67"/>
      <c r="Q247" s="64"/>
      <c r="R247" s="68" t="str">
        <f t="shared" si="1"/>
        <v/>
      </c>
      <c r="S247" s="68">
        <f t="shared" si="4"/>
        <v>3.844163648</v>
      </c>
    </row>
    <row r="248">
      <c r="A248" s="64">
        <f t="shared" si="3"/>
        <v>247</v>
      </c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5"/>
      <c r="M248" s="65"/>
      <c r="N248" s="65"/>
      <c r="O248" s="66"/>
      <c r="P248" s="67"/>
      <c r="Q248" s="64"/>
      <c r="R248" s="68" t="str">
        <f t="shared" si="1"/>
        <v/>
      </c>
      <c r="S248" s="68">
        <f t="shared" si="4"/>
        <v>3.844163648</v>
      </c>
    </row>
    <row r="249">
      <c r="A249" s="64">
        <f t="shared" si="3"/>
        <v>248</v>
      </c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5"/>
      <c r="M249" s="65"/>
      <c r="N249" s="65"/>
      <c r="O249" s="66"/>
      <c r="P249" s="67"/>
      <c r="Q249" s="64"/>
      <c r="R249" s="68" t="str">
        <f t="shared" si="1"/>
        <v/>
      </c>
      <c r="S249" s="68">
        <f t="shared" si="4"/>
        <v>3.844163648</v>
      </c>
    </row>
    <row r="250">
      <c r="A250" s="64">
        <f t="shared" si="3"/>
        <v>249</v>
      </c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5"/>
      <c r="M250" s="65"/>
      <c r="N250" s="65"/>
      <c r="O250" s="66"/>
      <c r="P250" s="67"/>
      <c r="Q250" s="64"/>
      <c r="R250" s="68" t="str">
        <f t="shared" si="1"/>
        <v/>
      </c>
      <c r="S250" s="68">
        <f t="shared" si="4"/>
        <v>3.844163648</v>
      </c>
    </row>
    <row r="251">
      <c r="A251" s="64">
        <f t="shared" si="3"/>
        <v>250</v>
      </c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5"/>
      <c r="M251" s="65"/>
      <c r="N251" s="65"/>
      <c r="O251" s="66"/>
      <c r="P251" s="67"/>
      <c r="Q251" s="64"/>
      <c r="R251" s="68" t="str">
        <f t="shared" si="1"/>
        <v/>
      </c>
      <c r="S251" s="68">
        <f t="shared" si="4"/>
        <v>3.844163648</v>
      </c>
    </row>
    <row r="252">
      <c r="A252" s="64">
        <f t="shared" si="3"/>
        <v>251</v>
      </c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5"/>
      <c r="M252" s="65"/>
      <c r="N252" s="65"/>
      <c r="O252" s="66"/>
      <c r="P252" s="67"/>
      <c r="Q252" s="64"/>
      <c r="R252" s="68" t="str">
        <f t="shared" si="1"/>
        <v/>
      </c>
      <c r="S252" s="68">
        <f t="shared" si="4"/>
        <v>3.844163648</v>
      </c>
    </row>
    <row r="253">
      <c r="A253" s="64">
        <f t="shared" si="3"/>
        <v>252</v>
      </c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5"/>
      <c r="M253" s="65"/>
      <c r="N253" s="65"/>
      <c r="O253" s="66"/>
      <c r="P253" s="67"/>
      <c r="Q253" s="64"/>
      <c r="R253" s="68" t="str">
        <f t="shared" si="1"/>
        <v/>
      </c>
      <c r="S253" s="68">
        <f t="shared" si="4"/>
        <v>3.844163648</v>
      </c>
    </row>
    <row r="254">
      <c r="A254" s="64">
        <f t="shared" si="3"/>
        <v>253</v>
      </c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5"/>
      <c r="M254" s="65"/>
      <c r="N254" s="65"/>
      <c r="O254" s="66"/>
      <c r="P254" s="67"/>
      <c r="Q254" s="64"/>
      <c r="R254" s="68" t="str">
        <f t="shared" si="1"/>
        <v/>
      </c>
      <c r="S254" s="68">
        <f t="shared" si="4"/>
        <v>3.844163648</v>
      </c>
    </row>
    <row r="255">
      <c r="A255" s="64">
        <f t="shared" si="3"/>
        <v>254</v>
      </c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5"/>
      <c r="M255" s="65"/>
      <c r="N255" s="65"/>
      <c r="O255" s="66"/>
      <c r="P255" s="67"/>
      <c r="Q255" s="64"/>
      <c r="R255" s="68" t="str">
        <f t="shared" si="1"/>
        <v/>
      </c>
      <c r="S255" s="68">
        <f t="shared" si="4"/>
        <v>3.844163648</v>
      </c>
    </row>
    <row r="256">
      <c r="A256" s="64">
        <f t="shared" si="3"/>
        <v>255</v>
      </c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5"/>
      <c r="M256" s="65"/>
      <c r="N256" s="65"/>
      <c r="O256" s="66"/>
      <c r="P256" s="67"/>
      <c r="Q256" s="64"/>
      <c r="R256" s="68" t="str">
        <f t="shared" si="1"/>
        <v/>
      </c>
      <c r="S256" s="68">
        <f t="shared" si="4"/>
        <v>3.844163648</v>
      </c>
    </row>
    <row r="257">
      <c r="A257" s="64">
        <f t="shared" si="3"/>
        <v>256</v>
      </c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5"/>
      <c r="M257" s="65"/>
      <c r="N257" s="65"/>
      <c r="O257" s="66"/>
      <c r="P257" s="67"/>
      <c r="Q257" s="64"/>
      <c r="R257" s="68" t="str">
        <f t="shared" si="1"/>
        <v/>
      </c>
      <c r="S257" s="68">
        <f t="shared" si="4"/>
        <v>3.844163648</v>
      </c>
    </row>
    <row r="258">
      <c r="A258" s="64">
        <f t="shared" si="3"/>
        <v>257</v>
      </c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5"/>
      <c r="M258" s="65"/>
      <c r="N258" s="65"/>
      <c r="O258" s="66"/>
      <c r="P258" s="67"/>
      <c r="Q258" s="64"/>
      <c r="R258" s="68" t="str">
        <f t="shared" si="1"/>
        <v/>
      </c>
      <c r="S258" s="68">
        <f t="shared" si="4"/>
        <v>3.844163648</v>
      </c>
    </row>
    <row r="259">
      <c r="A259" s="64">
        <f t="shared" si="3"/>
        <v>258</v>
      </c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5"/>
      <c r="M259" s="65"/>
      <c r="N259" s="65"/>
      <c r="O259" s="66"/>
      <c r="P259" s="67"/>
      <c r="Q259" s="64"/>
      <c r="R259" s="68" t="str">
        <f t="shared" si="1"/>
        <v/>
      </c>
      <c r="S259" s="68">
        <f t="shared" si="4"/>
        <v>3.844163648</v>
      </c>
    </row>
    <row r="260">
      <c r="A260" s="64">
        <f t="shared" si="3"/>
        <v>259</v>
      </c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5"/>
      <c r="M260" s="65"/>
      <c r="N260" s="65"/>
      <c r="O260" s="66"/>
      <c r="P260" s="67"/>
      <c r="Q260" s="64"/>
      <c r="R260" s="68" t="str">
        <f t="shared" si="1"/>
        <v/>
      </c>
      <c r="S260" s="68">
        <f t="shared" si="4"/>
        <v>3.844163648</v>
      </c>
    </row>
    <row r="261">
      <c r="A261" s="64">
        <f t="shared" si="3"/>
        <v>260</v>
      </c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5"/>
      <c r="M261" s="65"/>
      <c r="N261" s="65"/>
      <c r="O261" s="66"/>
      <c r="P261" s="67"/>
      <c r="Q261" s="64"/>
      <c r="R261" s="68" t="str">
        <f t="shared" si="1"/>
        <v/>
      </c>
      <c r="S261" s="68">
        <f t="shared" si="4"/>
        <v>3.844163648</v>
      </c>
    </row>
    <row r="262">
      <c r="A262" s="64">
        <f t="shared" si="3"/>
        <v>261</v>
      </c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5"/>
      <c r="M262" s="65"/>
      <c r="N262" s="65"/>
      <c r="O262" s="66"/>
      <c r="P262" s="67"/>
      <c r="Q262" s="64"/>
      <c r="R262" s="68" t="str">
        <f t="shared" si="1"/>
        <v/>
      </c>
      <c r="S262" s="68">
        <f t="shared" si="4"/>
        <v>3.844163648</v>
      </c>
    </row>
    <row r="263">
      <c r="A263" s="64">
        <f t="shared" si="3"/>
        <v>262</v>
      </c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5"/>
      <c r="M263" s="65"/>
      <c r="N263" s="65"/>
      <c r="O263" s="66"/>
      <c r="P263" s="67"/>
      <c r="Q263" s="64"/>
      <c r="R263" s="68" t="str">
        <f t="shared" si="1"/>
        <v/>
      </c>
      <c r="S263" s="68">
        <f t="shared" si="4"/>
        <v>3.844163648</v>
      </c>
    </row>
    <row r="264">
      <c r="A264" s="64">
        <f t="shared" si="3"/>
        <v>263</v>
      </c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5"/>
      <c r="M264" s="65"/>
      <c r="N264" s="65"/>
      <c r="O264" s="66"/>
      <c r="P264" s="67"/>
      <c r="Q264" s="64"/>
      <c r="R264" s="68" t="str">
        <f t="shared" si="1"/>
        <v/>
      </c>
      <c r="S264" s="68">
        <f t="shared" si="4"/>
        <v>3.844163648</v>
      </c>
    </row>
    <row r="265">
      <c r="A265" s="64">
        <f t="shared" si="3"/>
        <v>264</v>
      </c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5"/>
      <c r="M265" s="65"/>
      <c r="N265" s="65"/>
      <c r="O265" s="66"/>
      <c r="P265" s="67"/>
      <c r="Q265" s="64"/>
      <c r="R265" s="68" t="str">
        <f t="shared" si="1"/>
        <v/>
      </c>
      <c r="S265" s="68">
        <f t="shared" si="4"/>
        <v>3.844163648</v>
      </c>
    </row>
    <row r="266">
      <c r="A266" s="64">
        <f t="shared" si="3"/>
        <v>265</v>
      </c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5"/>
      <c r="M266" s="65"/>
      <c r="N266" s="65"/>
      <c r="O266" s="66"/>
      <c r="P266" s="67"/>
      <c r="Q266" s="64"/>
      <c r="R266" s="68" t="str">
        <f t="shared" si="1"/>
        <v/>
      </c>
      <c r="S266" s="68">
        <f t="shared" si="4"/>
        <v>3.844163648</v>
      </c>
    </row>
    <row r="267">
      <c r="A267" s="64">
        <f t="shared" si="3"/>
        <v>266</v>
      </c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5"/>
      <c r="M267" s="65"/>
      <c r="N267" s="65"/>
      <c r="O267" s="66"/>
      <c r="P267" s="64"/>
      <c r="Q267" s="64"/>
      <c r="R267" s="68" t="str">
        <f t="shared" si="1"/>
        <v/>
      </c>
      <c r="S267" s="68">
        <f t="shared" si="4"/>
        <v>3.844163648</v>
      </c>
    </row>
    <row r="268">
      <c r="A268" s="64">
        <f t="shared" si="3"/>
        <v>267</v>
      </c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5"/>
      <c r="M268" s="65"/>
      <c r="N268" s="65"/>
      <c r="O268" s="66"/>
      <c r="P268" s="67"/>
      <c r="Q268" s="64"/>
      <c r="R268" s="68" t="str">
        <f t="shared" si="1"/>
        <v/>
      </c>
      <c r="S268" s="68">
        <f t="shared" si="4"/>
        <v>3.844163648</v>
      </c>
    </row>
    <row r="269">
      <c r="A269" s="64">
        <f t="shared" si="3"/>
        <v>268</v>
      </c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5"/>
      <c r="M269" s="65"/>
      <c r="N269" s="65"/>
      <c r="O269" s="66"/>
      <c r="P269" s="67"/>
      <c r="Q269" s="64"/>
      <c r="R269" s="68" t="str">
        <f t="shared" si="1"/>
        <v/>
      </c>
      <c r="S269" s="68">
        <f t="shared" si="4"/>
        <v>3.844163648</v>
      </c>
    </row>
    <row r="270">
      <c r="A270" s="64">
        <f t="shared" si="3"/>
        <v>269</v>
      </c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5"/>
      <c r="M270" s="65"/>
      <c r="N270" s="65"/>
      <c r="O270" s="66"/>
      <c r="P270" s="64"/>
      <c r="Q270" s="64"/>
      <c r="R270" s="68" t="str">
        <f t="shared" si="1"/>
        <v/>
      </c>
      <c r="S270" s="68">
        <f t="shared" si="4"/>
        <v>3.844163648</v>
      </c>
    </row>
    <row r="271">
      <c r="A271" s="64">
        <f t="shared" si="3"/>
        <v>270</v>
      </c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5"/>
      <c r="M271" s="65"/>
      <c r="N271" s="65"/>
      <c r="O271" s="66"/>
      <c r="P271" s="64"/>
      <c r="Q271" s="64"/>
      <c r="R271" s="68" t="str">
        <f t="shared" si="1"/>
        <v/>
      </c>
      <c r="S271" s="68">
        <f t="shared" si="4"/>
        <v>3.844163648</v>
      </c>
    </row>
    <row r="272">
      <c r="A272" s="64">
        <f t="shared" si="3"/>
        <v>271</v>
      </c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5"/>
      <c r="M272" s="65"/>
      <c r="N272" s="65"/>
      <c r="O272" s="66"/>
      <c r="P272" s="67"/>
      <c r="Q272" s="64"/>
      <c r="R272" s="68" t="str">
        <f t="shared" si="1"/>
        <v/>
      </c>
      <c r="S272" s="68">
        <f t="shared" si="4"/>
        <v>3.844163648</v>
      </c>
    </row>
    <row r="273">
      <c r="A273" s="64">
        <f t="shared" si="3"/>
        <v>272</v>
      </c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5"/>
      <c r="M273" s="65"/>
      <c r="N273" s="65"/>
      <c r="O273" s="66"/>
      <c r="P273" s="64"/>
      <c r="Q273" s="64"/>
      <c r="R273" s="68" t="str">
        <f t="shared" si="1"/>
        <v/>
      </c>
      <c r="S273" s="68">
        <f t="shared" si="4"/>
        <v>3.844163648</v>
      </c>
    </row>
    <row r="274">
      <c r="A274" s="64">
        <f t="shared" si="3"/>
        <v>273</v>
      </c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5"/>
      <c r="M274" s="65"/>
      <c r="N274" s="65"/>
      <c r="O274" s="66"/>
      <c r="P274" s="67"/>
      <c r="Q274" s="64"/>
      <c r="R274" s="68" t="str">
        <f t="shared" si="1"/>
        <v/>
      </c>
      <c r="S274" s="68">
        <f t="shared" si="4"/>
        <v>3.844163648</v>
      </c>
    </row>
    <row r="275">
      <c r="A275" s="64">
        <f t="shared" si="3"/>
        <v>274</v>
      </c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5"/>
      <c r="M275" s="65"/>
      <c r="N275" s="65"/>
      <c r="O275" s="66"/>
      <c r="P275" s="64"/>
      <c r="Q275" s="64"/>
      <c r="R275" s="68" t="str">
        <f t="shared" si="1"/>
        <v/>
      </c>
      <c r="S275" s="68">
        <f t="shared" si="4"/>
        <v>3.844163648</v>
      </c>
    </row>
    <row r="276">
      <c r="A276" s="64">
        <f t="shared" si="3"/>
        <v>275</v>
      </c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5"/>
      <c r="M276" s="65"/>
      <c r="N276" s="65"/>
      <c r="O276" s="66"/>
      <c r="P276" s="67"/>
      <c r="Q276" s="64"/>
      <c r="R276" s="68" t="str">
        <f t="shared" si="1"/>
        <v/>
      </c>
      <c r="S276" s="68">
        <f t="shared" si="4"/>
        <v>3.844163648</v>
      </c>
    </row>
    <row r="277">
      <c r="A277" s="64">
        <f t="shared" si="3"/>
        <v>276</v>
      </c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5"/>
      <c r="M277" s="65"/>
      <c r="N277" s="65"/>
      <c r="O277" s="66"/>
      <c r="P277" s="64"/>
      <c r="Q277" s="64"/>
      <c r="R277" s="68" t="str">
        <f t="shared" si="1"/>
        <v/>
      </c>
      <c r="S277" s="68">
        <f t="shared" si="4"/>
        <v>3.844163648</v>
      </c>
    </row>
    <row r="278">
      <c r="A278" s="64">
        <f t="shared" si="3"/>
        <v>277</v>
      </c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5"/>
      <c r="M278" s="65"/>
      <c r="N278" s="65"/>
      <c r="O278" s="66"/>
      <c r="P278" s="67"/>
      <c r="Q278" s="64"/>
      <c r="R278" s="68" t="str">
        <f t="shared" si="1"/>
        <v/>
      </c>
      <c r="S278" s="68">
        <f t="shared" si="4"/>
        <v>3.844163648</v>
      </c>
    </row>
    <row r="279">
      <c r="A279" s="64">
        <f t="shared" si="3"/>
        <v>278</v>
      </c>
      <c r="B279" s="64"/>
      <c r="C279" s="96"/>
      <c r="D279" s="187"/>
      <c r="E279" s="187"/>
      <c r="F279" s="187"/>
      <c r="G279" s="64"/>
      <c r="H279" s="64"/>
      <c r="I279" s="64"/>
      <c r="J279" s="64"/>
      <c r="K279" s="64"/>
      <c r="L279" s="65"/>
      <c r="M279" s="65"/>
      <c r="N279" s="65"/>
      <c r="O279" s="66"/>
      <c r="P279" s="67"/>
      <c r="Q279" s="64"/>
      <c r="R279" s="68" t="str">
        <f t="shared" si="1"/>
        <v/>
      </c>
      <c r="S279" s="68">
        <f t="shared" si="4"/>
        <v>3.844163648</v>
      </c>
    </row>
    <row r="280">
      <c r="A280" s="64">
        <f t="shared" si="3"/>
        <v>279</v>
      </c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5"/>
      <c r="M280" s="65"/>
      <c r="N280" s="65"/>
      <c r="O280" s="66"/>
      <c r="P280" s="67"/>
      <c r="Q280" s="64"/>
      <c r="R280" s="68" t="str">
        <f t="shared" si="1"/>
        <v/>
      </c>
      <c r="S280" s="68">
        <f t="shared" si="4"/>
        <v>3.844163648</v>
      </c>
    </row>
    <row r="281">
      <c r="A281" s="64">
        <f t="shared" si="3"/>
        <v>280</v>
      </c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5"/>
      <c r="M281" s="65"/>
      <c r="N281" s="65"/>
      <c r="O281" s="66"/>
      <c r="P281" s="64"/>
      <c r="Q281" s="64"/>
      <c r="R281" s="68" t="str">
        <f t="shared" si="1"/>
        <v/>
      </c>
      <c r="S281" s="68">
        <f t="shared" si="4"/>
        <v>3.844163648</v>
      </c>
    </row>
    <row r="282">
      <c r="A282" s="64">
        <f t="shared" si="3"/>
        <v>281</v>
      </c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5"/>
      <c r="M282" s="65"/>
      <c r="N282" s="65"/>
      <c r="O282" s="66"/>
      <c r="P282" s="67"/>
      <c r="Q282" s="64"/>
      <c r="R282" s="68" t="str">
        <f t="shared" si="1"/>
        <v/>
      </c>
      <c r="S282" s="68">
        <f t="shared" si="4"/>
        <v>3.844163648</v>
      </c>
    </row>
    <row r="283">
      <c r="A283" s="64">
        <f t="shared" si="3"/>
        <v>282</v>
      </c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5"/>
      <c r="M283" s="65"/>
      <c r="N283" s="65"/>
      <c r="O283" s="66"/>
      <c r="P283" s="64"/>
      <c r="Q283" s="64"/>
      <c r="R283" s="68" t="str">
        <f t="shared" si="1"/>
        <v/>
      </c>
      <c r="S283" s="68">
        <f t="shared" si="4"/>
        <v>3.844163648</v>
      </c>
    </row>
    <row r="284">
      <c r="A284" s="64">
        <f t="shared" si="3"/>
        <v>283</v>
      </c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5"/>
      <c r="M284" s="65"/>
      <c r="N284" s="65"/>
      <c r="O284" s="66"/>
      <c r="P284" s="64"/>
      <c r="Q284" s="64"/>
      <c r="R284" s="68" t="str">
        <f t="shared" si="1"/>
        <v/>
      </c>
      <c r="S284" s="68">
        <f t="shared" si="4"/>
        <v>3.844163648</v>
      </c>
    </row>
    <row r="285">
      <c r="A285" s="64">
        <f t="shared" si="3"/>
        <v>284</v>
      </c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5"/>
      <c r="M285" s="65"/>
      <c r="N285" s="65"/>
      <c r="O285" s="66"/>
      <c r="P285" s="67"/>
      <c r="Q285" s="64"/>
      <c r="R285" s="68" t="str">
        <f t="shared" si="1"/>
        <v/>
      </c>
      <c r="S285" s="68">
        <f t="shared" si="4"/>
        <v>3.844163648</v>
      </c>
    </row>
    <row r="286">
      <c r="A286" s="64">
        <f t="shared" si="3"/>
        <v>285</v>
      </c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5"/>
      <c r="M286" s="65"/>
      <c r="N286" s="65"/>
      <c r="O286" s="66"/>
      <c r="P286" s="67"/>
      <c r="Q286" s="64"/>
      <c r="R286" s="68" t="str">
        <f t="shared" si="1"/>
        <v/>
      </c>
      <c r="S286" s="68">
        <f t="shared" si="4"/>
        <v>3.844163648</v>
      </c>
    </row>
    <row r="287">
      <c r="A287" s="64">
        <f t="shared" si="3"/>
        <v>286</v>
      </c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5"/>
      <c r="M287" s="65"/>
      <c r="N287" s="65"/>
      <c r="O287" s="66"/>
      <c r="P287" s="67"/>
      <c r="Q287" s="64"/>
      <c r="R287" s="68" t="str">
        <f t="shared" si="1"/>
        <v/>
      </c>
      <c r="S287" s="68">
        <f t="shared" si="4"/>
        <v>3.844163648</v>
      </c>
    </row>
    <row r="288">
      <c r="A288" s="64">
        <f t="shared" si="3"/>
        <v>287</v>
      </c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5"/>
      <c r="M288" s="65"/>
      <c r="N288" s="65"/>
      <c r="O288" s="66"/>
      <c r="P288" s="64"/>
      <c r="Q288" s="64"/>
      <c r="R288" s="68" t="str">
        <f t="shared" si="1"/>
        <v/>
      </c>
      <c r="S288" s="68">
        <f t="shared" si="4"/>
        <v>3.844163648</v>
      </c>
    </row>
    <row r="289">
      <c r="A289" s="64">
        <f t="shared" si="3"/>
        <v>288</v>
      </c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5"/>
      <c r="M289" s="65"/>
      <c r="N289" s="65"/>
      <c r="O289" s="66"/>
      <c r="P289" s="64"/>
      <c r="Q289" s="64"/>
      <c r="R289" s="68" t="str">
        <f t="shared" si="1"/>
        <v/>
      </c>
      <c r="S289" s="68">
        <f t="shared" si="4"/>
        <v>3.844163648</v>
      </c>
    </row>
    <row r="290">
      <c r="A290" s="64">
        <f t="shared" si="3"/>
        <v>289</v>
      </c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5"/>
      <c r="M290" s="65"/>
      <c r="N290" s="65"/>
      <c r="O290" s="66"/>
      <c r="P290" s="67"/>
      <c r="Q290" s="64"/>
      <c r="R290" s="68" t="str">
        <f t="shared" si="1"/>
        <v/>
      </c>
      <c r="S290" s="68">
        <f t="shared" si="4"/>
        <v>3.844163648</v>
      </c>
    </row>
    <row r="291">
      <c r="A291" s="64">
        <f t="shared" si="3"/>
        <v>290</v>
      </c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5"/>
      <c r="M291" s="65"/>
      <c r="N291" s="65"/>
      <c r="O291" s="66"/>
      <c r="P291" s="67"/>
      <c r="Q291" s="64"/>
      <c r="R291" s="68" t="str">
        <f t="shared" si="1"/>
        <v/>
      </c>
      <c r="S291" s="68">
        <f t="shared" si="4"/>
        <v>3.844163648</v>
      </c>
    </row>
    <row r="292">
      <c r="A292" s="64">
        <f t="shared" si="3"/>
        <v>291</v>
      </c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5"/>
      <c r="M292" s="65"/>
      <c r="N292" s="65"/>
      <c r="O292" s="66"/>
      <c r="P292" s="67"/>
      <c r="Q292" s="64"/>
      <c r="R292" s="68" t="str">
        <f t="shared" si="1"/>
        <v/>
      </c>
      <c r="S292" s="68">
        <f t="shared" si="4"/>
        <v>3.844163648</v>
      </c>
    </row>
    <row r="293">
      <c r="A293" s="64">
        <f t="shared" si="3"/>
        <v>292</v>
      </c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5"/>
      <c r="M293" s="65"/>
      <c r="N293" s="65"/>
      <c r="O293" s="66"/>
      <c r="P293" s="67"/>
      <c r="Q293" s="64"/>
      <c r="R293" s="68" t="str">
        <f t="shared" si="1"/>
        <v/>
      </c>
      <c r="S293" s="68">
        <f t="shared" si="4"/>
        <v>3.844163648</v>
      </c>
    </row>
    <row r="294">
      <c r="A294" s="64">
        <f t="shared" si="3"/>
        <v>293</v>
      </c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5"/>
      <c r="M294" s="65"/>
      <c r="N294" s="65"/>
      <c r="O294" s="66"/>
      <c r="P294" s="64"/>
      <c r="Q294" s="64"/>
      <c r="R294" s="68" t="str">
        <f t="shared" si="1"/>
        <v/>
      </c>
      <c r="S294" s="68">
        <f t="shared" si="4"/>
        <v>3.844163648</v>
      </c>
    </row>
    <row r="295">
      <c r="A295" s="64">
        <f t="shared" si="3"/>
        <v>294</v>
      </c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5"/>
      <c r="M295" s="65"/>
      <c r="N295" s="65"/>
      <c r="O295" s="66"/>
      <c r="P295" s="64"/>
      <c r="Q295" s="64"/>
      <c r="R295" s="68" t="str">
        <f t="shared" si="1"/>
        <v/>
      </c>
      <c r="S295" s="68">
        <f t="shared" si="4"/>
        <v>3.844163648</v>
      </c>
    </row>
    <row r="296">
      <c r="A296" s="64">
        <f t="shared" si="3"/>
        <v>295</v>
      </c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5"/>
      <c r="M296" s="65"/>
      <c r="N296" s="65"/>
      <c r="O296" s="66"/>
      <c r="P296" s="64"/>
      <c r="Q296" s="64"/>
      <c r="R296" s="68" t="str">
        <f t="shared" si="1"/>
        <v/>
      </c>
      <c r="S296" s="68">
        <f t="shared" si="4"/>
        <v>3.844163648</v>
      </c>
    </row>
    <row r="297">
      <c r="A297" s="64">
        <f t="shared" si="3"/>
        <v>296</v>
      </c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5"/>
      <c r="M297" s="65"/>
      <c r="N297" s="65"/>
      <c r="O297" s="66"/>
      <c r="P297" s="64"/>
      <c r="Q297" s="64"/>
      <c r="R297" s="68" t="str">
        <f t="shared" si="1"/>
        <v/>
      </c>
      <c r="S297" s="68">
        <f t="shared" si="4"/>
        <v>3.844163648</v>
      </c>
    </row>
    <row r="298">
      <c r="A298" s="64">
        <f t="shared" si="3"/>
        <v>297</v>
      </c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5"/>
      <c r="M298" s="65"/>
      <c r="N298" s="65"/>
      <c r="O298" s="66"/>
      <c r="P298" s="64"/>
      <c r="Q298" s="64"/>
      <c r="R298" s="68" t="str">
        <f t="shared" si="1"/>
        <v/>
      </c>
      <c r="S298" s="68">
        <f t="shared" si="4"/>
        <v>3.844163648</v>
      </c>
    </row>
    <row r="299">
      <c r="A299" s="64">
        <f t="shared" si="3"/>
        <v>298</v>
      </c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5"/>
      <c r="M299" s="65"/>
      <c r="N299" s="65"/>
      <c r="O299" s="66"/>
      <c r="P299" s="64"/>
      <c r="Q299" s="64"/>
      <c r="R299" s="68" t="str">
        <f t="shared" si="1"/>
        <v/>
      </c>
      <c r="S299" s="68">
        <f t="shared" si="4"/>
        <v>3.844163648</v>
      </c>
    </row>
    <row r="300">
      <c r="A300" s="64">
        <f t="shared" si="3"/>
        <v>299</v>
      </c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5"/>
      <c r="M300" s="65"/>
      <c r="N300" s="65"/>
      <c r="O300" s="66"/>
      <c r="P300" s="64"/>
      <c r="Q300" s="64"/>
      <c r="R300" s="68" t="str">
        <f t="shared" si="1"/>
        <v/>
      </c>
      <c r="S300" s="68">
        <f t="shared" si="4"/>
        <v>3.844163648</v>
      </c>
    </row>
    <row r="301">
      <c r="A301" s="64">
        <f t="shared" si="3"/>
        <v>300</v>
      </c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5"/>
      <c r="M301" s="65"/>
      <c r="N301" s="65"/>
      <c r="O301" s="66"/>
      <c r="P301" s="64"/>
      <c r="Q301" s="64"/>
      <c r="R301" s="68" t="str">
        <f t="shared" si="1"/>
        <v/>
      </c>
      <c r="S301" s="68">
        <f t="shared" si="4"/>
        <v>3.844163648</v>
      </c>
    </row>
    <row r="302">
      <c r="A302" s="64">
        <f t="shared" si="3"/>
        <v>301</v>
      </c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5"/>
      <c r="M302" s="65"/>
      <c r="N302" s="65"/>
      <c r="O302" s="66"/>
      <c r="P302" s="64"/>
      <c r="Q302" s="64"/>
      <c r="R302" s="68" t="str">
        <f t="shared" si="1"/>
        <v/>
      </c>
      <c r="S302" s="68">
        <f t="shared" si="4"/>
        <v>3.844163648</v>
      </c>
    </row>
    <row r="303">
      <c r="A303" s="64">
        <f t="shared" si="3"/>
        <v>302</v>
      </c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5"/>
      <c r="M303" s="65"/>
      <c r="N303" s="65"/>
      <c r="O303" s="66"/>
      <c r="P303" s="64"/>
      <c r="Q303" s="64"/>
      <c r="R303" s="68" t="str">
        <f t="shared" si="1"/>
        <v/>
      </c>
      <c r="S303" s="68">
        <f t="shared" si="4"/>
        <v>3.844163648</v>
      </c>
    </row>
    <row r="304">
      <c r="A304" s="64">
        <f t="shared" si="3"/>
        <v>303</v>
      </c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5"/>
      <c r="M304" s="65"/>
      <c r="N304" s="65"/>
      <c r="O304" s="66"/>
      <c r="P304" s="64"/>
      <c r="Q304" s="64"/>
      <c r="R304" s="68" t="str">
        <f t="shared" si="1"/>
        <v/>
      </c>
      <c r="S304" s="68">
        <f t="shared" si="4"/>
        <v>3.844163648</v>
      </c>
    </row>
    <row r="305">
      <c r="A305" s="64">
        <f t="shared" si="3"/>
        <v>304</v>
      </c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5"/>
      <c r="M305" s="65"/>
      <c r="N305" s="65"/>
      <c r="O305" s="66"/>
      <c r="P305" s="64"/>
      <c r="Q305" s="64"/>
      <c r="R305" s="68" t="str">
        <f t="shared" si="1"/>
        <v/>
      </c>
      <c r="S305" s="68">
        <f t="shared" si="4"/>
        <v>3.844163648</v>
      </c>
    </row>
    <row r="306">
      <c r="A306" s="64">
        <f t="shared" si="3"/>
        <v>305</v>
      </c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5"/>
      <c r="M306" s="65"/>
      <c r="N306" s="65"/>
      <c r="O306" s="66"/>
      <c r="P306" s="64"/>
      <c r="Q306" s="64"/>
      <c r="R306" s="68" t="str">
        <f t="shared" si="1"/>
        <v/>
      </c>
      <c r="S306" s="68">
        <f t="shared" si="4"/>
        <v>3.844163648</v>
      </c>
    </row>
    <row r="307">
      <c r="A307" s="64">
        <f t="shared" si="3"/>
        <v>306</v>
      </c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5"/>
      <c r="M307" s="65"/>
      <c r="N307" s="65"/>
      <c r="O307" s="66"/>
      <c r="P307" s="64"/>
      <c r="Q307" s="64"/>
      <c r="R307" s="68" t="str">
        <f t="shared" si="1"/>
        <v/>
      </c>
      <c r="S307" s="68">
        <f t="shared" si="4"/>
        <v>3.844163648</v>
      </c>
    </row>
    <row r="308">
      <c r="A308" s="64">
        <f t="shared" si="3"/>
        <v>307</v>
      </c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5"/>
      <c r="M308" s="65"/>
      <c r="N308" s="65"/>
      <c r="O308" s="66"/>
      <c r="P308" s="64"/>
      <c r="Q308" s="64"/>
      <c r="R308" s="68" t="str">
        <f t="shared" si="1"/>
        <v/>
      </c>
      <c r="S308" s="68">
        <f t="shared" si="4"/>
        <v>3.844163648</v>
      </c>
    </row>
    <row r="309">
      <c r="A309" s="64">
        <f t="shared" si="3"/>
        <v>308</v>
      </c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5"/>
      <c r="M309" s="65"/>
      <c r="N309" s="65"/>
      <c r="O309" s="66"/>
      <c r="P309" s="64"/>
      <c r="Q309" s="64"/>
      <c r="R309" s="68" t="str">
        <f t="shared" si="1"/>
        <v/>
      </c>
      <c r="S309" s="68">
        <f t="shared" si="4"/>
        <v>3.844163648</v>
      </c>
    </row>
    <row r="310">
      <c r="A310" s="64">
        <f t="shared" si="3"/>
        <v>309</v>
      </c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5"/>
      <c r="M310" s="65"/>
      <c r="N310" s="65"/>
      <c r="O310" s="66"/>
      <c r="P310" s="64"/>
      <c r="Q310" s="64"/>
      <c r="R310" s="68" t="str">
        <f t="shared" si="1"/>
        <v/>
      </c>
      <c r="S310" s="68">
        <f t="shared" si="4"/>
        <v>3.844163648</v>
      </c>
    </row>
    <row r="311">
      <c r="A311" s="64">
        <f t="shared" si="3"/>
        <v>310</v>
      </c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5"/>
      <c r="M311" s="65"/>
      <c r="N311" s="65"/>
      <c r="O311" s="66"/>
      <c r="P311" s="64"/>
      <c r="Q311" s="64"/>
      <c r="R311" s="68" t="str">
        <f t="shared" si="1"/>
        <v/>
      </c>
      <c r="S311" s="68">
        <f t="shared" si="4"/>
        <v>3.844163648</v>
      </c>
    </row>
    <row r="312">
      <c r="A312" s="64">
        <f t="shared" si="3"/>
        <v>311</v>
      </c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5"/>
      <c r="M312" s="65"/>
      <c r="N312" s="65"/>
      <c r="O312" s="66"/>
      <c r="P312" s="64"/>
      <c r="Q312" s="64"/>
      <c r="R312" s="68" t="str">
        <f t="shared" si="1"/>
        <v/>
      </c>
      <c r="S312" s="68">
        <f t="shared" si="4"/>
        <v>3.844163648</v>
      </c>
    </row>
    <row r="313">
      <c r="A313" s="64">
        <f t="shared" si="3"/>
        <v>312</v>
      </c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5"/>
      <c r="M313" s="65"/>
      <c r="N313" s="65"/>
      <c r="O313" s="66"/>
      <c r="P313" s="64"/>
      <c r="Q313" s="64"/>
      <c r="R313" s="68" t="str">
        <f t="shared" si="1"/>
        <v/>
      </c>
      <c r="S313" s="68">
        <f t="shared" si="4"/>
        <v>3.844163648</v>
      </c>
    </row>
    <row r="314">
      <c r="A314" s="64">
        <f t="shared" si="3"/>
        <v>313</v>
      </c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5"/>
      <c r="M314" s="65"/>
      <c r="N314" s="65"/>
      <c r="O314" s="66"/>
      <c r="P314" s="64"/>
      <c r="Q314" s="64"/>
      <c r="R314" s="68" t="str">
        <f t="shared" si="1"/>
        <v/>
      </c>
      <c r="S314" s="68">
        <f t="shared" si="4"/>
        <v>3.844163648</v>
      </c>
    </row>
    <row r="315">
      <c r="A315" s="64">
        <f t="shared" si="3"/>
        <v>314</v>
      </c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5"/>
      <c r="M315" s="65"/>
      <c r="N315" s="65"/>
      <c r="O315" s="66"/>
      <c r="P315" s="64"/>
      <c r="Q315" s="64"/>
      <c r="R315" s="68" t="str">
        <f t="shared" si="1"/>
        <v/>
      </c>
      <c r="S315" s="68">
        <f t="shared" si="4"/>
        <v>3.844163648</v>
      </c>
    </row>
    <row r="316">
      <c r="A316" s="64">
        <f t="shared" si="3"/>
        <v>315</v>
      </c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5"/>
      <c r="M316" s="65"/>
      <c r="N316" s="65"/>
      <c r="O316" s="66"/>
      <c r="P316" s="64"/>
      <c r="Q316" s="64"/>
      <c r="R316" s="68"/>
      <c r="S316" s="188"/>
    </row>
    <row r="317">
      <c r="A317" s="64">
        <f t="shared" si="3"/>
        <v>316</v>
      </c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5"/>
      <c r="M317" s="65"/>
      <c r="N317" s="65"/>
      <c r="O317" s="66"/>
      <c r="P317" s="64"/>
      <c r="Q317" s="64"/>
      <c r="R317" s="68"/>
      <c r="S317" s="188"/>
    </row>
    <row r="318">
      <c r="A318" s="64">
        <f t="shared" si="3"/>
        <v>317</v>
      </c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188"/>
      <c r="M318" s="65"/>
      <c r="N318" s="65"/>
      <c r="O318" s="66"/>
      <c r="P318" s="64"/>
      <c r="Q318" s="64"/>
      <c r="R318" s="68"/>
      <c r="S318" s="188"/>
    </row>
    <row r="319">
      <c r="A319" s="64">
        <f t="shared" si="3"/>
        <v>318</v>
      </c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188"/>
      <c r="M319" s="65"/>
      <c r="N319" s="65"/>
      <c r="O319" s="66"/>
      <c r="P319" s="64"/>
      <c r="Q319" s="64"/>
      <c r="R319" s="68"/>
      <c r="S319" s="188"/>
    </row>
    <row r="320">
      <c r="A320" s="64">
        <f t="shared" si="3"/>
        <v>319</v>
      </c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188"/>
      <c r="M320" s="65"/>
      <c r="N320" s="65"/>
      <c r="O320" s="66"/>
      <c r="P320" s="64"/>
      <c r="Q320" s="64"/>
      <c r="R320" s="68"/>
      <c r="S320" s="188"/>
    </row>
    <row r="321">
      <c r="A321" s="64">
        <f t="shared" si="3"/>
        <v>320</v>
      </c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188"/>
      <c r="M321" s="65"/>
      <c r="N321" s="65"/>
      <c r="O321" s="66"/>
      <c r="P321" s="64"/>
      <c r="Q321" s="64"/>
      <c r="R321" s="68"/>
      <c r="S321" s="188"/>
    </row>
    <row r="322">
      <c r="A322" s="64">
        <f t="shared" si="3"/>
        <v>321</v>
      </c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188"/>
      <c r="M322" s="65"/>
      <c r="N322" s="65"/>
      <c r="O322" s="66"/>
      <c r="P322" s="64"/>
      <c r="Q322" s="64"/>
      <c r="R322" s="68"/>
      <c r="S322" s="188"/>
    </row>
    <row r="323">
      <c r="A323" s="64">
        <f t="shared" si="3"/>
        <v>322</v>
      </c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188"/>
      <c r="M323" s="65"/>
      <c r="N323" s="65"/>
      <c r="O323" s="66"/>
      <c r="P323" s="64"/>
      <c r="Q323" s="64"/>
      <c r="R323" s="68"/>
      <c r="S323" s="188"/>
    </row>
    <row r="324">
      <c r="A324" s="64">
        <f t="shared" si="3"/>
        <v>323</v>
      </c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188"/>
      <c r="M324" s="65"/>
      <c r="N324" s="65"/>
      <c r="O324" s="66"/>
      <c r="P324" s="64"/>
      <c r="Q324" s="64"/>
      <c r="R324" s="68"/>
      <c r="S324" s="188"/>
    </row>
    <row r="325">
      <c r="A325" s="64">
        <f t="shared" si="3"/>
        <v>324</v>
      </c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188"/>
      <c r="M325" s="65"/>
      <c r="N325" s="65"/>
      <c r="O325" s="66"/>
      <c r="P325" s="64"/>
      <c r="Q325" s="64"/>
      <c r="R325" s="68"/>
      <c r="S325" s="188"/>
    </row>
    <row r="326">
      <c r="A326" s="64">
        <f t="shared" si="3"/>
        <v>325</v>
      </c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188"/>
      <c r="M326" s="65"/>
      <c r="N326" s="65"/>
      <c r="O326" s="66"/>
      <c r="P326" s="64"/>
      <c r="Q326" s="64"/>
      <c r="R326" s="68"/>
      <c r="S326" s="188"/>
    </row>
    <row r="327">
      <c r="A327" s="64">
        <f t="shared" si="3"/>
        <v>326</v>
      </c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188"/>
      <c r="M327" s="65"/>
      <c r="N327" s="65"/>
      <c r="O327" s="66"/>
      <c r="P327" s="64"/>
      <c r="Q327" s="64"/>
      <c r="R327" s="68"/>
      <c r="S327" s="188"/>
    </row>
    <row r="328">
      <c r="A328" s="64">
        <f t="shared" si="3"/>
        <v>327</v>
      </c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188"/>
      <c r="M328" s="65"/>
      <c r="N328" s="65"/>
      <c r="O328" s="66"/>
      <c r="P328" s="64"/>
      <c r="Q328" s="64"/>
      <c r="R328" s="68"/>
      <c r="S328" s="188"/>
    </row>
    <row r="329">
      <c r="A329" s="64">
        <f t="shared" si="3"/>
        <v>328</v>
      </c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188"/>
      <c r="M329" s="65"/>
      <c r="N329" s="65"/>
      <c r="O329" s="66"/>
      <c r="P329" s="64"/>
      <c r="Q329" s="64"/>
      <c r="R329" s="68"/>
      <c r="S329" s="188"/>
    </row>
    <row r="330">
      <c r="A330" s="64">
        <f t="shared" si="3"/>
        <v>329</v>
      </c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188"/>
      <c r="M330" s="65"/>
      <c r="N330" s="65"/>
      <c r="O330" s="66"/>
      <c r="P330" s="64"/>
      <c r="Q330" s="64"/>
      <c r="R330" s="68"/>
      <c r="S330" s="188"/>
    </row>
    <row r="331">
      <c r="A331" s="64">
        <f t="shared" si="3"/>
        <v>330</v>
      </c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188"/>
      <c r="M331" s="65"/>
      <c r="N331" s="65"/>
      <c r="O331" s="66"/>
      <c r="P331" s="64"/>
      <c r="Q331" s="64"/>
      <c r="R331" s="68"/>
      <c r="S331" s="188"/>
    </row>
    <row r="332">
      <c r="A332" s="64">
        <f t="shared" si="3"/>
        <v>331</v>
      </c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188"/>
      <c r="M332" s="65"/>
      <c r="N332" s="65"/>
      <c r="O332" s="66"/>
      <c r="P332" s="64"/>
      <c r="Q332" s="64"/>
      <c r="R332" s="68"/>
      <c r="S332" s="188"/>
    </row>
    <row r="333">
      <c r="A333" s="64">
        <f t="shared" si="3"/>
        <v>332</v>
      </c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188"/>
      <c r="M333" s="65"/>
      <c r="N333" s="65"/>
      <c r="O333" s="66"/>
      <c r="P333" s="64"/>
      <c r="Q333" s="64"/>
      <c r="R333" s="68"/>
      <c r="S333" s="188"/>
    </row>
    <row r="334">
      <c r="A334" s="64">
        <f t="shared" si="3"/>
        <v>333</v>
      </c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188"/>
      <c r="M334" s="65"/>
      <c r="N334" s="65"/>
      <c r="O334" s="66"/>
      <c r="P334" s="64"/>
      <c r="Q334" s="64"/>
      <c r="R334" s="68"/>
      <c r="S334" s="188"/>
    </row>
    <row r="335">
      <c r="A335" s="64">
        <f t="shared" si="3"/>
        <v>334</v>
      </c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188"/>
      <c r="M335" s="65"/>
      <c r="N335" s="65"/>
      <c r="O335" s="66"/>
      <c r="P335" s="64"/>
      <c r="Q335" s="64"/>
      <c r="R335" s="68"/>
      <c r="S335" s="188"/>
    </row>
    <row r="336">
      <c r="A336" s="64">
        <f t="shared" si="3"/>
        <v>335</v>
      </c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188"/>
      <c r="M336" s="65"/>
      <c r="N336" s="65"/>
      <c r="O336" s="66"/>
      <c r="P336" s="64"/>
      <c r="Q336" s="64"/>
      <c r="R336" s="68"/>
      <c r="S336" s="188"/>
    </row>
    <row r="337">
      <c r="A337" s="64">
        <f t="shared" si="3"/>
        <v>336</v>
      </c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188"/>
      <c r="M337" s="65"/>
      <c r="N337" s="65"/>
      <c r="O337" s="66"/>
      <c r="P337" s="64"/>
      <c r="Q337" s="64"/>
      <c r="R337" s="68"/>
      <c r="S337" s="188"/>
    </row>
    <row r="338">
      <c r="A338" s="64">
        <f t="shared" si="3"/>
        <v>337</v>
      </c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188"/>
      <c r="M338" s="65"/>
      <c r="N338" s="65"/>
      <c r="O338" s="66"/>
      <c r="P338" s="64"/>
      <c r="Q338" s="64"/>
      <c r="R338" s="68"/>
      <c r="S338" s="188"/>
    </row>
    <row r="339">
      <c r="A339" s="64">
        <f t="shared" si="3"/>
        <v>338</v>
      </c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188"/>
      <c r="M339" s="65"/>
      <c r="N339" s="65"/>
      <c r="O339" s="66"/>
      <c r="P339" s="64"/>
      <c r="Q339" s="64"/>
      <c r="R339" s="68"/>
      <c r="S339" s="188"/>
    </row>
    <row r="340">
      <c r="A340" s="64">
        <f t="shared" si="3"/>
        <v>339</v>
      </c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188"/>
      <c r="M340" s="65"/>
      <c r="N340" s="65"/>
      <c r="O340" s="66"/>
      <c r="P340" s="64"/>
      <c r="Q340" s="64"/>
      <c r="R340" s="68"/>
      <c r="S340" s="188"/>
    </row>
    <row r="341">
      <c r="A341" s="64">
        <f t="shared" si="3"/>
        <v>340</v>
      </c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188"/>
      <c r="M341" s="65"/>
      <c r="N341" s="65"/>
      <c r="O341" s="66"/>
      <c r="P341" s="64"/>
      <c r="Q341" s="64"/>
      <c r="R341" s="68"/>
      <c r="S341" s="188"/>
    </row>
    <row r="342">
      <c r="A342" s="64">
        <f t="shared" si="3"/>
        <v>341</v>
      </c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188"/>
      <c r="M342" s="65"/>
      <c r="N342" s="65"/>
      <c r="O342" s="66"/>
      <c r="P342" s="64"/>
      <c r="Q342" s="64"/>
      <c r="R342" s="68"/>
      <c r="S342" s="188"/>
    </row>
    <row r="343">
      <c r="A343" s="64">
        <f t="shared" si="3"/>
        <v>342</v>
      </c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188"/>
      <c r="M343" s="65"/>
      <c r="N343" s="65"/>
      <c r="O343" s="66"/>
      <c r="P343" s="64"/>
      <c r="Q343" s="64"/>
      <c r="R343" s="68"/>
      <c r="S343" s="188"/>
    </row>
    <row r="344">
      <c r="A344" s="64">
        <f t="shared" si="3"/>
        <v>343</v>
      </c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188"/>
      <c r="M344" s="65"/>
      <c r="N344" s="65"/>
      <c r="O344" s="66"/>
      <c r="P344" s="64"/>
      <c r="Q344" s="64"/>
      <c r="R344" s="188"/>
      <c r="S344" s="188"/>
    </row>
    <row r="345">
      <c r="A345" s="64">
        <f t="shared" si="3"/>
        <v>344</v>
      </c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188"/>
      <c r="M345" s="65"/>
      <c r="N345" s="65"/>
      <c r="O345" s="66"/>
      <c r="P345" s="64"/>
      <c r="Q345" s="64"/>
      <c r="R345" s="188"/>
      <c r="S345" s="188"/>
    </row>
    <row r="346">
      <c r="A346" s="64">
        <f t="shared" si="3"/>
        <v>345</v>
      </c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188"/>
      <c r="M346" s="65"/>
      <c r="N346" s="65"/>
      <c r="O346" s="66"/>
      <c r="P346" s="64"/>
      <c r="Q346" s="64"/>
      <c r="R346" s="188"/>
      <c r="S346" s="188"/>
    </row>
    <row r="347">
      <c r="A347" s="64">
        <f t="shared" si="3"/>
        <v>346</v>
      </c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188"/>
      <c r="M347" s="65"/>
      <c r="N347" s="65"/>
      <c r="O347" s="66"/>
      <c r="P347" s="64"/>
      <c r="Q347" s="64"/>
      <c r="R347" s="188"/>
      <c r="S347" s="188"/>
    </row>
    <row r="348">
      <c r="A348" s="64">
        <f t="shared" si="3"/>
        <v>347</v>
      </c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188"/>
      <c r="M348" s="65"/>
      <c r="N348" s="65"/>
      <c r="O348" s="66"/>
      <c r="P348" s="64"/>
      <c r="Q348" s="64"/>
      <c r="R348" s="188"/>
      <c r="S348" s="188"/>
    </row>
    <row r="349">
      <c r="A349" s="64">
        <f t="shared" si="3"/>
        <v>348</v>
      </c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188"/>
      <c r="M349" s="65"/>
      <c r="N349" s="65"/>
      <c r="O349" s="66"/>
      <c r="P349" s="64"/>
      <c r="Q349" s="64"/>
      <c r="R349" s="188"/>
      <c r="S349" s="188"/>
    </row>
    <row r="350">
      <c r="A350" s="64">
        <f t="shared" si="3"/>
        <v>349</v>
      </c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188"/>
      <c r="M350" s="65"/>
      <c r="N350" s="65"/>
      <c r="O350" s="66"/>
      <c r="P350" s="64"/>
      <c r="Q350" s="64"/>
      <c r="R350" s="188"/>
      <c r="S350" s="188"/>
    </row>
    <row r="351">
      <c r="A351" s="64">
        <f t="shared" si="3"/>
        <v>350</v>
      </c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188"/>
      <c r="M351" s="65"/>
      <c r="N351" s="65"/>
      <c r="O351" s="66"/>
      <c r="P351" s="64"/>
      <c r="Q351" s="64"/>
      <c r="R351" s="188"/>
      <c r="S351" s="188"/>
    </row>
    <row r="352">
      <c r="A352" s="64">
        <f t="shared" si="3"/>
        <v>351</v>
      </c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188"/>
      <c r="M352" s="65"/>
      <c r="N352" s="65"/>
      <c r="O352" s="66"/>
      <c r="P352" s="64"/>
      <c r="Q352" s="64"/>
      <c r="R352" s="188"/>
      <c r="S352" s="188"/>
    </row>
    <row r="353">
      <c r="A353" s="64">
        <f t="shared" si="3"/>
        <v>352</v>
      </c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188"/>
      <c r="M353" s="65"/>
      <c r="N353" s="65"/>
      <c r="O353" s="66"/>
      <c r="P353" s="64"/>
      <c r="Q353" s="64"/>
      <c r="R353" s="188"/>
      <c r="S353" s="188"/>
    </row>
    <row r="354">
      <c r="A354" s="64">
        <f t="shared" si="3"/>
        <v>353</v>
      </c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188"/>
      <c r="M354" s="65"/>
      <c r="N354" s="65"/>
      <c r="O354" s="66"/>
      <c r="P354" s="64"/>
      <c r="Q354" s="64"/>
      <c r="R354" s="188"/>
      <c r="S354" s="188"/>
    </row>
    <row r="355">
      <c r="A355" s="64">
        <f t="shared" si="3"/>
        <v>354</v>
      </c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188"/>
      <c r="M355" s="65"/>
      <c r="N355" s="65"/>
      <c r="O355" s="66"/>
      <c r="P355" s="64"/>
      <c r="Q355" s="64"/>
      <c r="R355" s="188"/>
      <c r="S355" s="188"/>
    </row>
    <row r="356">
      <c r="A356" s="64">
        <f t="shared" si="3"/>
        <v>355</v>
      </c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188"/>
      <c r="M356" s="65"/>
      <c r="N356" s="65"/>
      <c r="O356" s="66"/>
      <c r="P356" s="64"/>
      <c r="Q356" s="64"/>
      <c r="R356" s="188"/>
      <c r="S356" s="188"/>
    </row>
    <row r="357">
      <c r="A357" s="64">
        <f t="shared" si="3"/>
        <v>356</v>
      </c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188"/>
      <c r="M357" s="65"/>
      <c r="N357" s="65"/>
      <c r="O357" s="66"/>
      <c r="P357" s="64"/>
      <c r="Q357" s="64"/>
      <c r="R357" s="188"/>
      <c r="S357" s="188"/>
    </row>
    <row r="358">
      <c r="A358" s="64">
        <f t="shared" si="3"/>
        <v>357</v>
      </c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188"/>
      <c r="M358" s="65"/>
      <c r="N358" s="65"/>
      <c r="O358" s="66"/>
      <c r="P358" s="64"/>
      <c r="Q358" s="64"/>
      <c r="R358" s="188"/>
      <c r="S358" s="188"/>
    </row>
    <row r="359">
      <c r="A359" s="64">
        <f t="shared" si="3"/>
        <v>358</v>
      </c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188"/>
      <c r="M359" s="65"/>
      <c r="N359" s="65"/>
      <c r="O359" s="66"/>
      <c r="P359" s="64"/>
      <c r="Q359" s="64"/>
      <c r="R359" s="188"/>
      <c r="S359" s="188"/>
    </row>
    <row r="360">
      <c r="A360" s="64">
        <f t="shared" si="3"/>
        <v>359</v>
      </c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188"/>
      <c r="M360" s="65"/>
      <c r="N360" s="65"/>
      <c r="O360" s="66"/>
      <c r="P360" s="64"/>
      <c r="Q360" s="64"/>
      <c r="R360" s="188"/>
      <c r="S360" s="188"/>
    </row>
    <row r="361">
      <c r="A361" s="64">
        <f t="shared" si="3"/>
        <v>360</v>
      </c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188"/>
      <c r="M361" s="65"/>
      <c r="N361" s="65"/>
      <c r="O361" s="66"/>
      <c r="P361" s="64"/>
      <c r="Q361" s="64"/>
      <c r="R361" s="188"/>
      <c r="S361" s="188"/>
    </row>
    <row r="362">
      <c r="A362" s="64">
        <f t="shared" si="3"/>
        <v>361</v>
      </c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188"/>
      <c r="M362" s="65"/>
      <c r="N362" s="65"/>
      <c r="O362" s="66"/>
      <c r="P362" s="64"/>
      <c r="Q362" s="64"/>
      <c r="R362" s="188"/>
      <c r="S362" s="188"/>
    </row>
    <row r="363">
      <c r="A363" s="64">
        <f t="shared" si="3"/>
        <v>362</v>
      </c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188"/>
      <c r="M363" s="65"/>
      <c r="N363" s="65"/>
      <c r="O363" s="66"/>
      <c r="P363" s="64"/>
      <c r="Q363" s="64"/>
      <c r="R363" s="188"/>
      <c r="S363" s="188"/>
    </row>
    <row r="364">
      <c r="A364" s="64">
        <f t="shared" si="3"/>
        <v>363</v>
      </c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188"/>
      <c r="M364" s="65"/>
      <c r="N364" s="65"/>
      <c r="O364" s="66"/>
      <c r="P364" s="64"/>
      <c r="Q364" s="64"/>
      <c r="R364" s="188"/>
      <c r="S364" s="188"/>
    </row>
    <row r="365">
      <c r="A365" s="64">
        <f t="shared" si="3"/>
        <v>364</v>
      </c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188"/>
      <c r="M365" s="65"/>
      <c r="N365" s="65"/>
      <c r="O365" s="66"/>
      <c r="P365" s="64"/>
      <c r="Q365" s="64"/>
      <c r="R365" s="188"/>
      <c r="S365" s="188"/>
    </row>
    <row r="366">
      <c r="A366" s="64">
        <f t="shared" si="3"/>
        <v>365</v>
      </c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188"/>
      <c r="M366" s="65"/>
      <c r="N366" s="65"/>
      <c r="O366" s="66"/>
      <c r="P366" s="64"/>
      <c r="Q366" s="64"/>
      <c r="R366" s="188"/>
      <c r="S366" s="188"/>
    </row>
    <row r="367">
      <c r="A367" s="64">
        <f t="shared" si="3"/>
        <v>366</v>
      </c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188"/>
      <c r="M367" s="65"/>
      <c r="N367" s="65"/>
      <c r="O367" s="66"/>
      <c r="P367" s="64"/>
      <c r="Q367" s="64"/>
      <c r="R367" s="188"/>
      <c r="S367" s="188"/>
    </row>
    <row r="368">
      <c r="A368" s="64">
        <f t="shared" si="3"/>
        <v>367</v>
      </c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188"/>
      <c r="M368" s="65"/>
      <c r="N368" s="65"/>
      <c r="O368" s="66"/>
      <c r="P368" s="64"/>
      <c r="Q368" s="64"/>
      <c r="R368" s="188"/>
      <c r="S368" s="188"/>
    </row>
    <row r="369">
      <c r="A369" s="64">
        <f t="shared" si="3"/>
        <v>368</v>
      </c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188"/>
      <c r="M369" s="65"/>
      <c r="N369" s="65"/>
      <c r="O369" s="66"/>
      <c r="P369" s="64"/>
      <c r="Q369" s="64"/>
      <c r="R369" s="188"/>
      <c r="S369" s="188"/>
    </row>
    <row r="370">
      <c r="A370" s="64">
        <f t="shared" si="3"/>
        <v>369</v>
      </c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188"/>
      <c r="M370" s="65"/>
      <c r="N370" s="65"/>
      <c r="O370" s="66"/>
      <c r="P370" s="64"/>
      <c r="Q370" s="64"/>
      <c r="R370" s="188"/>
      <c r="S370" s="188"/>
    </row>
    <row r="371">
      <c r="A371" s="64">
        <f t="shared" si="3"/>
        <v>370</v>
      </c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188"/>
      <c r="M371" s="65"/>
      <c r="N371" s="65"/>
      <c r="O371" s="66"/>
      <c r="P371" s="64"/>
      <c r="Q371" s="64"/>
      <c r="R371" s="188"/>
      <c r="S371" s="188"/>
    </row>
    <row r="372">
      <c r="A372" s="64">
        <f t="shared" si="3"/>
        <v>371</v>
      </c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188"/>
      <c r="M372" s="65"/>
      <c r="N372" s="65"/>
      <c r="O372" s="66"/>
      <c r="P372" s="64"/>
      <c r="Q372" s="64"/>
      <c r="R372" s="188"/>
      <c r="S372" s="188"/>
    </row>
    <row r="373">
      <c r="A373" s="64">
        <f t="shared" si="3"/>
        <v>372</v>
      </c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188"/>
      <c r="M373" s="65"/>
      <c r="N373" s="65"/>
      <c r="O373" s="66"/>
      <c r="P373" s="64"/>
      <c r="Q373" s="64"/>
      <c r="R373" s="188"/>
      <c r="S373" s="188"/>
    </row>
    <row r="374">
      <c r="A374" s="64">
        <f t="shared" si="3"/>
        <v>373</v>
      </c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188"/>
      <c r="M374" s="65"/>
      <c r="N374" s="65"/>
      <c r="O374" s="66"/>
      <c r="P374" s="64"/>
      <c r="Q374" s="64"/>
      <c r="R374" s="188"/>
      <c r="S374" s="188"/>
    </row>
    <row r="375">
      <c r="A375" s="64">
        <f t="shared" si="3"/>
        <v>374</v>
      </c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188"/>
      <c r="M375" s="65"/>
      <c r="N375" s="65"/>
      <c r="O375" s="66"/>
      <c r="P375" s="64"/>
      <c r="Q375" s="64"/>
      <c r="R375" s="188"/>
      <c r="S375" s="188"/>
    </row>
    <row r="376">
      <c r="A376" s="64">
        <f t="shared" si="3"/>
        <v>375</v>
      </c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188"/>
      <c r="M376" s="65"/>
      <c r="N376" s="65"/>
      <c r="O376" s="66"/>
      <c r="P376" s="64"/>
      <c r="Q376" s="64"/>
      <c r="R376" s="188"/>
      <c r="S376" s="188"/>
    </row>
    <row r="377">
      <c r="A377" s="64">
        <f t="shared" si="3"/>
        <v>376</v>
      </c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188"/>
      <c r="M377" s="65"/>
      <c r="N377" s="65"/>
      <c r="O377" s="66"/>
      <c r="P377" s="64"/>
      <c r="Q377" s="64"/>
      <c r="R377" s="188"/>
      <c r="S377" s="188"/>
    </row>
    <row r="378">
      <c r="A378" s="64">
        <f t="shared" si="3"/>
        <v>377</v>
      </c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188"/>
      <c r="M378" s="65"/>
      <c r="N378" s="65"/>
      <c r="O378" s="66"/>
      <c r="P378" s="64"/>
      <c r="Q378" s="64"/>
      <c r="R378" s="188"/>
      <c r="S378" s="188"/>
    </row>
    <row r="379">
      <c r="A379" s="64">
        <f t="shared" si="3"/>
        <v>378</v>
      </c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188"/>
      <c r="M379" s="65"/>
      <c r="N379" s="65"/>
      <c r="O379" s="66"/>
      <c r="P379" s="64"/>
      <c r="Q379" s="64"/>
      <c r="R379" s="188"/>
      <c r="S379" s="188"/>
    </row>
    <row r="380">
      <c r="A380" s="64">
        <f t="shared" si="3"/>
        <v>379</v>
      </c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188"/>
      <c r="M380" s="65"/>
      <c r="N380" s="65"/>
      <c r="O380" s="66"/>
      <c r="P380" s="64"/>
      <c r="Q380" s="64"/>
      <c r="R380" s="188"/>
      <c r="S380" s="188"/>
    </row>
    <row r="381">
      <c r="A381" s="64">
        <f t="shared" si="3"/>
        <v>380</v>
      </c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188"/>
      <c r="M381" s="65"/>
      <c r="N381" s="65"/>
      <c r="O381" s="66"/>
      <c r="P381" s="64"/>
      <c r="Q381" s="64"/>
      <c r="R381" s="188"/>
      <c r="S381" s="188"/>
    </row>
    <row r="382">
      <c r="A382" s="64">
        <f t="shared" si="3"/>
        <v>381</v>
      </c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188"/>
      <c r="M382" s="65"/>
      <c r="N382" s="65"/>
      <c r="O382" s="66"/>
      <c r="P382" s="64"/>
      <c r="Q382" s="64"/>
      <c r="R382" s="188"/>
      <c r="S382" s="188"/>
    </row>
    <row r="383">
      <c r="A383" s="64">
        <f t="shared" si="3"/>
        <v>382</v>
      </c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188"/>
      <c r="M383" s="65"/>
      <c r="N383" s="65"/>
      <c r="O383" s="66"/>
      <c r="P383" s="64"/>
      <c r="Q383" s="64"/>
      <c r="R383" s="188"/>
      <c r="S383" s="188"/>
    </row>
    <row r="384">
      <c r="A384" s="64">
        <f t="shared" si="3"/>
        <v>383</v>
      </c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188"/>
      <c r="M384" s="65"/>
      <c r="N384" s="65"/>
      <c r="O384" s="66"/>
      <c r="P384" s="64"/>
      <c r="Q384" s="64"/>
      <c r="R384" s="188"/>
      <c r="S384" s="188"/>
    </row>
    <row r="385">
      <c r="A385" s="64">
        <f t="shared" si="3"/>
        <v>384</v>
      </c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188"/>
      <c r="M385" s="65"/>
      <c r="N385" s="65"/>
      <c r="O385" s="66"/>
      <c r="P385" s="64"/>
      <c r="Q385" s="64"/>
      <c r="R385" s="188"/>
      <c r="S385" s="188"/>
    </row>
    <row r="386">
      <c r="A386" s="64">
        <f t="shared" si="3"/>
        <v>385</v>
      </c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188"/>
      <c r="M386" s="65"/>
      <c r="N386" s="65"/>
      <c r="O386" s="66"/>
      <c r="P386" s="64"/>
      <c r="Q386" s="64"/>
      <c r="R386" s="188"/>
      <c r="S386" s="188"/>
    </row>
    <row r="387">
      <c r="A387" s="64">
        <f t="shared" si="3"/>
        <v>386</v>
      </c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188"/>
      <c r="M387" s="65"/>
      <c r="N387" s="65"/>
      <c r="O387" s="66"/>
      <c r="P387" s="64"/>
      <c r="Q387" s="64"/>
      <c r="R387" s="188"/>
      <c r="S387" s="188"/>
    </row>
    <row r="388">
      <c r="A388" s="64">
        <f t="shared" si="3"/>
        <v>387</v>
      </c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188"/>
      <c r="M388" s="65"/>
      <c r="N388" s="65"/>
      <c r="O388" s="66"/>
      <c r="P388" s="64"/>
      <c r="Q388" s="64"/>
      <c r="R388" s="188"/>
      <c r="S388" s="188"/>
    </row>
    <row r="389">
      <c r="A389" s="64">
        <f t="shared" si="3"/>
        <v>388</v>
      </c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188"/>
      <c r="M389" s="65"/>
      <c r="N389" s="65"/>
      <c r="O389" s="66"/>
      <c r="P389" s="64"/>
      <c r="Q389" s="64"/>
      <c r="R389" s="188"/>
      <c r="S389" s="188"/>
    </row>
    <row r="390">
      <c r="A390" s="64">
        <f t="shared" si="3"/>
        <v>389</v>
      </c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188"/>
      <c r="M390" s="65"/>
      <c r="N390" s="65"/>
      <c r="O390" s="66"/>
      <c r="P390" s="64"/>
      <c r="Q390" s="64"/>
      <c r="R390" s="188"/>
      <c r="S390" s="188"/>
    </row>
    <row r="391">
      <c r="A391" s="64">
        <f t="shared" si="3"/>
        <v>390</v>
      </c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188"/>
      <c r="M391" s="65"/>
      <c r="N391" s="65"/>
      <c r="O391" s="66"/>
      <c r="P391" s="64"/>
      <c r="Q391" s="64"/>
      <c r="R391" s="188"/>
      <c r="S391" s="188"/>
    </row>
    <row r="392">
      <c r="A392" s="64">
        <f t="shared" si="3"/>
        <v>391</v>
      </c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188"/>
      <c r="M392" s="65"/>
      <c r="N392" s="65"/>
      <c r="O392" s="66"/>
      <c r="P392" s="64"/>
      <c r="Q392" s="64"/>
      <c r="R392" s="188"/>
      <c r="S392" s="188"/>
    </row>
    <row r="393">
      <c r="A393" s="64">
        <f t="shared" si="3"/>
        <v>392</v>
      </c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188"/>
      <c r="M393" s="65"/>
      <c r="N393" s="65"/>
      <c r="O393" s="66"/>
      <c r="P393" s="64"/>
      <c r="Q393" s="64"/>
      <c r="R393" s="188"/>
      <c r="S393" s="188"/>
    </row>
    <row r="394">
      <c r="A394" s="64">
        <f t="shared" si="3"/>
        <v>393</v>
      </c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188"/>
      <c r="M394" s="65"/>
      <c r="N394" s="65"/>
      <c r="O394" s="66"/>
      <c r="P394" s="64"/>
      <c r="Q394" s="64"/>
      <c r="R394" s="188"/>
      <c r="S394" s="188"/>
    </row>
    <row r="395">
      <c r="A395" s="64">
        <f t="shared" si="3"/>
        <v>394</v>
      </c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188"/>
      <c r="M395" s="65"/>
      <c r="N395" s="65"/>
      <c r="O395" s="66"/>
      <c r="P395" s="64"/>
      <c r="Q395" s="64"/>
      <c r="R395" s="188"/>
      <c r="S395" s="188"/>
    </row>
    <row r="396">
      <c r="A396" s="64">
        <f t="shared" si="3"/>
        <v>395</v>
      </c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188"/>
      <c r="M396" s="65"/>
      <c r="N396" s="65"/>
      <c r="O396" s="66"/>
      <c r="P396" s="64"/>
      <c r="Q396" s="64"/>
      <c r="R396" s="188"/>
      <c r="S396" s="188"/>
    </row>
    <row r="397">
      <c r="A397" s="64">
        <f t="shared" si="3"/>
        <v>396</v>
      </c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188"/>
      <c r="M397" s="65"/>
      <c r="N397" s="65"/>
      <c r="O397" s="66"/>
      <c r="P397" s="64"/>
      <c r="Q397" s="64"/>
      <c r="R397" s="188"/>
      <c r="S397" s="188"/>
    </row>
    <row r="398">
      <c r="A398" s="64">
        <f t="shared" si="3"/>
        <v>397</v>
      </c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188"/>
      <c r="M398" s="65"/>
      <c r="N398" s="65"/>
      <c r="O398" s="66"/>
      <c r="P398" s="64"/>
      <c r="Q398" s="64"/>
      <c r="R398" s="188"/>
      <c r="S398" s="188"/>
    </row>
    <row r="399">
      <c r="A399" s="64">
        <f t="shared" si="3"/>
        <v>398</v>
      </c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188"/>
      <c r="M399" s="65"/>
      <c r="N399" s="65"/>
      <c r="O399" s="66"/>
      <c r="P399" s="64"/>
      <c r="Q399" s="64"/>
      <c r="R399" s="188"/>
      <c r="S399" s="188"/>
    </row>
    <row r="400">
      <c r="A400" s="64">
        <f t="shared" si="3"/>
        <v>399</v>
      </c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188"/>
      <c r="M400" s="65"/>
      <c r="N400" s="65"/>
      <c r="O400" s="66"/>
      <c r="P400" s="64"/>
      <c r="Q400" s="64"/>
      <c r="R400" s="188"/>
      <c r="S400" s="188"/>
    </row>
    <row r="401">
      <c r="A401" s="64">
        <f t="shared" si="3"/>
        <v>400</v>
      </c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188"/>
      <c r="M401" s="65"/>
      <c r="N401" s="65"/>
      <c r="O401" s="66"/>
      <c r="P401" s="64"/>
      <c r="Q401" s="64"/>
      <c r="R401" s="188"/>
      <c r="S401" s="188"/>
    </row>
    <row r="402">
      <c r="A402" s="64">
        <f t="shared" si="3"/>
        <v>401</v>
      </c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188"/>
      <c r="M402" s="65"/>
      <c r="N402" s="65"/>
      <c r="O402" s="66"/>
      <c r="P402" s="64"/>
      <c r="Q402" s="64"/>
      <c r="R402" s="188"/>
      <c r="S402" s="188"/>
    </row>
    <row r="403">
      <c r="A403" s="64">
        <f t="shared" si="3"/>
        <v>402</v>
      </c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188"/>
      <c r="M403" s="65"/>
      <c r="N403" s="65"/>
      <c r="O403" s="66"/>
      <c r="P403" s="64"/>
      <c r="Q403" s="64"/>
      <c r="R403" s="188"/>
      <c r="S403" s="188"/>
    </row>
    <row r="404">
      <c r="A404" s="64">
        <f t="shared" si="3"/>
        <v>403</v>
      </c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188"/>
      <c r="M404" s="65"/>
      <c r="N404" s="65"/>
      <c r="O404" s="66"/>
      <c r="P404" s="64"/>
      <c r="Q404" s="64"/>
      <c r="R404" s="188"/>
      <c r="S404" s="188"/>
    </row>
    <row r="405">
      <c r="A405" s="64">
        <f t="shared" si="3"/>
        <v>404</v>
      </c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188"/>
      <c r="M405" s="65"/>
      <c r="N405" s="65"/>
      <c r="O405" s="66"/>
      <c r="P405" s="64"/>
      <c r="Q405" s="64"/>
      <c r="R405" s="188"/>
      <c r="S405" s="188"/>
    </row>
    <row r="406">
      <c r="A406" s="64">
        <f t="shared" si="3"/>
        <v>405</v>
      </c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188"/>
      <c r="M406" s="65"/>
      <c r="N406" s="65"/>
      <c r="O406" s="66"/>
      <c r="P406" s="64"/>
      <c r="Q406" s="64"/>
      <c r="R406" s="188"/>
      <c r="S406" s="188"/>
    </row>
    <row r="407">
      <c r="A407" s="189"/>
      <c r="B407" s="189"/>
      <c r="C407" s="189"/>
      <c r="D407" s="189"/>
      <c r="E407" s="189"/>
      <c r="F407" s="189"/>
      <c r="G407" s="189"/>
      <c r="H407" s="189"/>
      <c r="I407" s="189"/>
      <c r="J407" s="189"/>
      <c r="K407" s="189"/>
      <c r="L407" s="190"/>
      <c r="M407" s="191"/>
      <c r="N407" s="191"/>
      <c r="O407" s="192"/>
      <c r="P407" s="189"/>
      <c r="Q407" s="189"/>
      <c r="R407" s="190"/>
      <c r="S407" s="190"/>
    </row>
    <row r="408">
      <c r="A408" s="189"/>
      <c r="B408" s="189"/>
      <c r="C408" s="189"/>
      <c r="D408" s="189"/>
      <c r="E408" s="189"/>
      <c r="F408" s="189"/>
      <c r="G408" s="189"/>
      <c r="H408" s="189"/>
      <c r="I408" s="189"/>
      <c r="J408" s="189"/>
      <c r="K408" s="189"/>
      <c r="L408" s="190"/>
      <c r="M408" s="191"/>
      <c r="N408" s="191"/>
      <c r="O408" s="192"/>
      <c r="P408" s="189"/>
      <c r="Q408" s="189"/>
      <c r="R408" s="190"/>
      <c r="S408" s="190"/>
    </row>
    <row r="409">
      <c r="A409" s="189"/>
      <c r="B409" s="189"/>
      <c r="C409" s="189"/>
      <c r="D409" s="189"/>
      <c r="E409" s="189"/>
      <c r="F409" s="189"/>
      <c r="G409" s="189"/>
      <c r="H409" s="189"/>
      <c r="I409" s="189"/>
      <c r="J409" s="189"/>
      <c r="K409" s="189"/>
      <c r="L409" s="190"/>
      <c r="M409" s="191"/>
      <c r="N409" s="191"/>
      <c r="O409" s="192"/>
      <c r="P409" s="189"/>
      <c r="Q409" s="189"/>
      <c r="R409" s="190"/>
      <c r="S409" s="190"/>
    </row>
    <row r="410">
      <c r="A410" s="189"/>
      <c r="B410" s="189"/>
      <c r="C410" s="189"/>
      <c r="D410" s="189"/>
      <c r="E410" s="189"/>
      <c r="F410" s="189"/>
      <c r="G410" s="189"/>
      <c r="H410" s="189"/>
      <c r="I410" s="189"/>
      <c r="J410" s="189"/>
      <c r="K410" s="189"/>
      <c r="L410" s="190"/>
      <c r="M410" s="191"/>
      <c r="N410" s="191"/>
      <c r="O410" s="192"/>
      <c r="P410" s="189"/>
      <c r="Q410" s="189"/>
      <c r="R410" s="190"/>
      <c r="S410" s="190"/>
    </row>
    <row r="411">
      <c r="A411" s="189"/>
      <c r="B411" s="189"/>
      <c r="C411" s="189"/>
      <c r="D411" s="189"/>
      <c r="E411" s="189"/>
      <c r="F411" s="189"/>
      <c r="G411" s="189"/>
      <c r="H411" s="189"/>
      <c r="I411" s="189"/>
      <c r="J411" s="189"/>
      <c r="K411" s="189"/>
      <c r="L411" s="190"/>
      <c r="M411" s="191"/>
      <c r="N411" s="191"/>
      <c r="O411" s="192"/>
      <c r="P411" s="189"/>
      <c r="Q411" s="189"/>
      <c r="R411" s="190"/>
      <c r="S411" s="190"/>
    </row>
    <row r="412">
      <c r="A412" s="189"/>
      <c r="B412" s="189"/>
      <c r="C412" s="189"/>
      <c r="D412" s="189"/>
      <c r="E412" s="189"/>
      <c r="F412" s="189"/>
      <c r="G412" s="189"/>
      <c r="H412" s="189"/>
      <c r="I412" s="189"/>
      <c r="J412" s="189"/>
      <c r="K412" s="189"/>
      <c r="L412" s="190"/>
      <c r="M412" s="191"/>
      <c r="N412" s="191"/>
      <c r="O412" s="192"/>
      <c r="P412" s="189"/>
      <c r="Q412" s="189"/>
      <c r="R412" s="190"/>
      <c r="S412" s="190"/>
    </row>
    <row r="413">
      <c r="A413" s="189"/>
      <c r="B413" s="189"/>
      <c r="C413" s="189"/>
      <c r="D413" s="189"/>
      <c r="E413" s="189"/>
      <c r="F413" s="189"/>
      <c r="G413" s="189"/>
      <c r="H413" s="189"/>
      <c r="I413" s="189"/>
      <c r="J413" s="189"/>
      <c r="K413" s="189"/>
      <c r="L413" s="190"/>
      <c r="M413" s="191"/>
      <c r="N413" s="191"/>
      <c r="O413" s="192"/>
      <c r="P413" s="189"/>
      <c r="Q413" s="189"/>
      <c r="R413" s="190"/>
      <c r="S413" s="190"/>
    </row>
    <row r="414">
      <c r="A414" s="189"/>
      <c r="B414" s="189"/>
      <c r="C414" s="189"/>
      <c r="D414" s="189"/>
      <c r="E414" s="189"/>
      <c r="F414" s="189"/>
      <c r="G414" s="189"/>
      <c r="H414" s="189"/>
      <c r="I414" s="189"/>
      <c r="J414" s="189"/>
      <c r="K414" s="189"/>
      <c r="L414" s="190"/>
      <c r="M414" s="191"/>
      <c r="N414" s="191"/>
      <c r="O414" s="192"/>
      <c r="P414" s="189"/>
      <c r="Q414" s="189"/>
      <c r="R414" s="190"/>
      <c r="S414" s="190"/>
    </row>
    <row r="415">
      <c r="A415" s="189"/>
      <c r="B415" s="189"/>
      <c r="C415" s="189"/>
      <c r="D415" s="189"/>
      <c r="E415" s="189"/>
      <c r="F415" s="189"/>
      <c r="G415" s="189"/>
      <c r="H415" s="189"/>
      <c r="I415" s="189"/>
      <c r="J415" s="189"/>
      <c r="K415" s="189"/>
      <c r="L415" s="190"/>
      <c r="M415" s="191"/>
      <c r="N415" s="191"/>
      <c r="O415" s="192"/>
      <c r="P415" s="189"/>
      <c r="Q415" s="189"/>
      <c r="R415" s="190"/>
      <c r="S415" s="190"/>
    </row>
    <row r="416">
      <c r="A416" s="189"/>
      <c r="B416" s="189"/>
      <c r="C416" s="189"/>
      <c r="D416" s="189"/>
      <c r="E416" s="189"/>
      <c r="F416" s="189"/>
      <c r="G416" s="189"/>
      <c r="H416" s="189"/>
      <c r="I416" s="189"/>
      <c r="J416" s="189"/>
      <c r="K416" s="189"/>
      <c r="L416" s="190"/>
      <c r="M416" s="191"/>
      <c r="N416" s="191"/>
      <c r="O416" s="192"/>
      <c r="P416" s="189"/>
      <c r="Q416" s="189"/>
      <c r="R416" s="190"/>
      <c r="S416" s="190"/>
    </row>
    <row r="417">
      <c r="A417" s="189"/>
      <c r="B417" s="189"/>
      <c r="C417" s="189"/>
      <c r="D417" s="189"/>
      <c r="E417" s="189"/>
      <c r="F417" s="189"/>
      <c r="G417" s="189"/>
      <c r="H417" s="189"/>
      <c r="I417" s="189"/>
      <c r="J417" s="189"/>
      <c r="K417" s="189"/>
      <c r="L417" s="190"/>
      <c r="M417" s="191"/>
      <c r="N417" s="191"/>
      <c r="O417" s="192"/>
      <c r="P417" s="189"/>
      <c r="Q417" s="189"/>
      <c r="R417" s="190"/>
      <c r="S417" s="190"/>
    </row>
    <row r="418">
      <c r="A418" s="189"/>
      <c r="B418" s="189"/>
      <c r="C418" s="189"/>
      <c r="D418" s="189"/>
      <c r="E418" s="189"/>
      <c r="F418" s="189"/>
      <c r="G418" s="189"/>
      <c r="H418" s="189"/>
      <c r="I418" s="189"/>
      <c r="J418" s="189"/>
      <c r="K418" s="189"/>
      <c r="L418" s="190"/>
      <c r="M418" s="191"/>
      <c r="N418" s="191"/>
      <c r="O418" s="192"/>
      <c r="P418" s="189"/>
      <c r="Q418" s="189"/>
      <c r="R418" s="190"/>
      <c r="S418" s="190"/>
    </row>
    <row r="419">
      <c r="A419" s="189"/>
      <c r="B419" s="189"/>
      <c r="C419" s="189"/>
      <c r="D419" s="189"/>
      <c r="E419" s="189"/>
      <c r="F419" s="189"/>
      <c r="G419" s="189"/>
      <c r="H419" s="189"/>
      <c r="I419" s="189"/>
      <c r="J419" s="189"/>
      <c r="K419" s="189"/>
      <c r="L419" s="190"/>
      <c r="M419" s="191"/>
      <c r="N419" s="191"/>
      <c r="O419" s="192"/>
      <c r="P419" s="189"/>
      <c r="Q419" s="189"/>
      <c r="R419" s="190"/>
      <c r="S419" s="190"/>
    </row>
    <row r="420">
      <c r="A420" s="189"/>
      <c r="B420" s="189"/>
      <c r="C420" s="189"/>
      <c r="D420" s="189"/>
      <c r="E420" s="189"/>
      <c r="F420" s="189"/>
      <c r="G420" s="189"/>
      <c r="H420" s="189"/>
      <c r="I420" s="189"/>
      <c r="J420" s="189"/>
      <c r="K420" s="189"/>
      <c r="L420" s="190"/>
      <c r="M420" s="191"/>
      <c r="N420" s="191"/>
      <c r="O420" s="192"/>
      <c r="P420" s="189"/>
      <c r="Q420" s="189"/>
      <c r="R420" s="190"/>
      <c r="S420" s="190"/>
    </row>
    <row r="421">
      <c r="A421" s="189"/>
      <c r="B421" s="189"/>
      <c r="C421" s="189"/>
      <c r="D421" s="189"/>
      <c r="E421" s="189"/>
      <c r="F421" s="189"/>
      <c r="G421" s="189"/>
      <c r="H421" s="189"/>
      <c r="I421" s="189"/>
      <c r="J421" s="189"/>
      <c r="K421" s="189"/>
      <c r="L421" s="190"/>
      <c r="M421" s="191"/>
      <c r="N421" s="191"/>
      <c r="O421" s="192"/>
      <c r="P421" s="189"/>
      <c r="Q421" s="189"/>
      <c r="R421" s="190"/>
      <c r="S421" s="190"/>
    </row>
    <row r="422">
      <c r="A422" s="189"/>
      <c r="B422" s="189"/>
      <c r="C422" s="189"/>
      <c r="D422" s="189"/>
      <c r="E422" s="189"/>
      <c r="F422" s="189"/>
      <c r="G422" s="189"/>
      <c r="H422" s="189"/>
      <c r="I422" s="189"/>
      <c r="J422" s="189"/>
      <c r="K422" s="189"/>
      <c r="L422" s="190"/>
      <c r="M422" s="191"/>
      <c r="N422" s="191"/>
      <c r="O422" s="192"/>
      <c r="P422" s="189"/>
      <c r="Q422" s="189"/>
      <c r="R422" s="190"/>
      <c r="S422" s="190"/>
    </row>
    <row r="423">
      <c r="A423" s="189"/>
      <c r="B423" s="189"/>
      <c r="C423" s="189"/>
      <c r="D423" s="189"/>
      <c r="E423" s="189"/>
      <c r="F423" s="189"/>
      <c r="G423" s="189"/>
      <c r="H423" s="189"/>
      <c r="I423" s="189"/>
      <c r="J423" s="189"/>
      <c r="K423" s="189"/>
      <c r="L423" s="190"/>
      <c r="M423" s="191"/>
      <c r="N423" s="191"/>
      <c r="O423" s="192"/>
      <c r="P423" s="189"/>
      <c r="Q423" s="189"/>
      <c r="R423" s="190"/>
      <c r="S423" s="190"/>
    </row>
    <row r="424">
      <c r="A424" s="189"/>
      <c r="B424" s="189"/>
      <c r="C424" s="189"/>
      <c r="D424" s="189"/>
      <c r="E424" s="189"/>
      <c r="F424" s="189"/>
      <c r="G424" s="189"/>
      <c r="H424" s="189"/>
      <c r="I424" s="189"/>
      <c r="J424" s="189"/>
      <c r="K424" s="189"/>
      <c r="L424" s="190"/>
      <c r="M424" s="191"/>
      <c r="N424" s="191"/>
      <c r="O424" s="192"/>
      <c r="P424" s="189"/>
      <c r="Q424" s="189"/>
      <c r="R424" s="190"/>
      <c r="S424" s="190"/>
    </row>
    <row r="425">
      <c r="A425" s="189"/>
      <c r="B425" s="189"/>
      <c r="C425" s="189"/>
      <c r="D425" s="189"/>
      <c r="E425" s="189"/>
      <c r="F425" s="189"/>
      <c r="G425" s="189"/>
      <c r="H425" s="189"/>
      <c r="I425" s="189"/>
      <c r="J425" s="189"/>
      <c r="K425" s="189"/>
      <c r="L425" s="190"/>
      <c r="M425" s="191"/>
      <c r="N425" s="191"/>
      <c r="O425" s="192"/>
      <c r="P425" s="189"/>
      <c r="Q425" s="189"/>
      <c r="R425" s="190"/>
      <c r="S425" s="190"/>
    </row>
    <row r="426">
      <c r="A426" s="189"/>
      <c r="B426" s="189"/>
      <c r="C426" s="189"/>
      <c r="D426" s="189"/>
      <c r="E426" s="189"/>
      <c r="F426" s="189"/>
      <c r="G426" s="189"/>
      <c r="H426" s="189"/>
      <c r="I426" s="189"/>
      <c r="J426" s="189"/>
      <c r="K426" s="189"/>
      <c r="L426" s="190"/>
      <c r="M426" s="191"/>
      <c r="N426" s="191"/>
      <c r="O426" s="192"/>
      <c r="P426" s="189"/>
      <c r="Q426" s="189"/>
      <c r="R426" s="190"/>
      <c r="S426" s="190"/>
    </row>
    <row r="427">
      <c r="A427" s="189"/>
      <c r="B427" s="189"/>
      <c r="C427" s="189"/>
      <c r="D427" s="189"/>
      <c r="E427" s="189"/>
      <c r="F427" s="189"/>
      <c r="G427" s="189"/>
      <c r="H427" s="189"/>
      <c r="I427" s="189"/>
      <c r="J427" s="189"/>
      <c r="K427" s="189"/>
      <c r="L427" s="190"/>
      <c r="M427" s="191"/>
      <c r="N427" s="191"/>
      <c r="O427" s="192"/>
      <c r="P427" s="189"/>
      <c r="Q427" s="189"/>
      <c r="R427" s="190"/>
      <c r="S427" s="190"/>
    </row>
    <row r="428">
      <c r="A428" s="189"/>
      <c r="B428" s="189"/>
      <c r="C428" s="189"/>
      <c r="D428" s="189"/>
      <c r="E428" s="189"/>
      <c r="F428" s="189"/>
      <c r="G428" s="189"/>
      <c r="H428" s="189"/>
      <c r="I428" s="189"/>
      <c r="J428" s="189"/>
      <c r="K428" s="189"/>
      <c r="L428" s="190"/>
      <c r="M428" s="191"/>
      <c r="N428" s="191"/>
      <c r="O428" s="192"/>
      <c r="P428" s="189"/>
      <c r="Q428" s="189"/>
      <c r="R428" s="190"/>
      <c r="S428" s="190"/>
    </row>
    <row r="429">
      <c r="A429" s="189"/>
      <c r="B429" s="189"/>
      <c r="C429" s="189"/>
      <c r="D429" s="189"/>
      <c r="E429" s="189"/>
      <c r="F429" s="189"/>
      <c r="G429" s="189"/>
      <c r="H429" s="189"/>
      <c r="I429" s="189"/>
      <c r="J429" s="189"/>
      <c r="K429" s="189"/>
      <c r="L429" s="190"/>
      <c r="M429" s="191"/>
      <c r="N429" s="191"/>
      <c r="O429" s="192"/>
      <c r="P429" s="189"/>
      <c r="Q429" s="189"/>
      <c r="R429" s="190"/>
      <c r="S429" s="190"/>
    </row>
    <row r="430">
      <c r="A430" s="189"/>
      <c r="B430" s="189"/>
      <c r="C430" s="189"/>
      <c r="D430" s="189"/>
      <c r="E430" s="189"/>
      <c r="F430" s="189"/>
      <c r="G430" s="189"/>
      <c r="H430" s="189"/>
      <c r="I430" s="189"/>
      <c r="J430" s="189"/>
      <c r="K430" s="189"/>
      <c r="L430" s="190"/>
      <c r="M430" s="191"/>
      <c r="N430" s="191"/>
      <c r="O430" s="192"/>
      <c r="P430" s="189"/>
      <c r="Q430" s="189"/>
      <c r="R430" s="190"/>
      <c r="S430" s="190"/>
    </row>
    <row r="431">
      <c r="A431" s="189"/>
      <c r="B431" s="189"/>
      <c r="C431" s="189"/>
      <c r="D431" s="189"/>
      <c r="E431" s="189"/>
      <c r="F431" s="189"/>
      <c r="G431" s="189"/>
      <c r="H431" s="189"/>
      <c r="I431" s="189"/>
      <c r="J431" s="189"/>
      <c r="K431" s="189"/>
      <c r="L431" s="190"/>
      <c r="M431" s="191"/>
      <c r="N431" s="191"/>
      <c r="O431" s="192"/>
      <c r="P431" s="189"/>
      <c r="Q431" s="189"/>
      <c r="R431" s="190"/>
      <c r="S431" s="190"/>
    </row>
    <row r="432">
      <c r="A432" s="189"/>
      <c r="B432" s="189"/>
      <c r="C432" s="189"/>
      <c r="D432" s="189"/>
      <c r="E432" s="189"/>
      <c r="F432" s="189"/>
      <c r="G432" s="189"/>
      <c r="H432" s="189"/>
      <c r="I432" s="189"/>
      <c r="J432" s="189"/>
      <c r="K432" s="189"/>
      <c r="L432" s="190"/>
      <c r="M432" s="191"/>
      <c r="N432" s="191"/>
      <c r="O432" s="192"/>
      <c r="P432" s="189"/>
      <c r="Q432" s="189"/>
      <c r="R432" s="190"/>
      <c r="S432" s="190"/>
    </row>
    <row r="433">
      <c r="A433" s="189"/>
      <c r="B433" s="189"/>
      <c r="C433" s="189"/>
      <c r="D433" s="189"/>
      <c r="E433" s="189"/>
      <c r="F433" s="189"/>
      <c r="G433" s="189"/>
      <c r="H433" s="189"/>
      <c r="I433" s="189"/>
      <c r="J433" s="189"/>
      <c r="K433" s="189"/>
      <c r="L433" s="190"/>
      <c r="M433" s="191"/>
      <c r="N433" s="191"/>
      <c r="O433" s="192"/>
      <c r="P433" s="189"/>
      <c r="Q433" s="189"/>
      <c r="R433" s="190"/>
      <c r="S433" s="190"/>
    </row>
    <row r="434">
      <c r="A434" s="189"/>
      <c r="B434" s="189"/>
      <c r="C434" s="189"/>
      <c r="D434" s="189"/>
      <c r="E434" s="189"/>
      <c r="F434" s="189"/>
      <c r="G434" s="189"/>
      <c r="H434" s="189"/>
      <c r="I434" s="189"/>
      <c r="J434" s="189"/>
      <c r="K434" s="189"/>
      <c r="L434" s="190"/>
      <c r="M434" s="191"/>
      <c r="N434" s="191"/>
      <c r="O434" s="192"/>
      <c r="P434" s="189"/>
      <c r="Q434" s="189"/>
      <c r="R434" s="190"/>
      <c r="S434" s="190"/>
    </row>
    <row r="435">
      <c r="A435" s="189"/>
      <c r="B435" s="189"/>
      <c r="C435" s="189"/>
      <c r="D435" s="189"/>
      <c r="E435" s="189"/>
      <c r="F435" s="189"/>
      <c r="G435" s="189"/>
      <c r="H435" s="189"/>
      <c r="I435" s="189"/>
      <c r="J435" s="189"/>
      <c r="K435" s="189"/>
      <c r="L435" s="190"/>
      <c r="M435" s="191"/>
      <c r="N435" s="191"/>
      <c r="O435" s="192"/>
      <c r="P435" s="189"/>
      <c r="Q435" s="189"/>
      <c r="R435" s="190"/>
      <c r="S435" s="190"/>
    </row>
    <row r="436">
      <c r="A436" s="189"/>
      <c r="B436" s="189"/>
      <c r="C436" s="189"/>
      <c r="D436" s="189"/>
      <c r="E436" s="189"/>
      <c r="F436" s="189"/>
      <c r="G436" s="189"/>
      <c r="H436" s="189"/>
      <c r="I436" s="189"/>
      <c r="J436" s="189"/>
      <c r="K436" s="189"/>
      <c r="L436" s="190"/>
      <c r="M436" s="191"/>
      <c r="N436" s="191"/>
      <c r="O436" s="192"/>
      <c r="P436" s="189"/>
      <c r="Q436" s="189"/>
      <c r="R436" s="190"/>
      <c r="S436" s="190"/>
    </row>
    <row r="437">
      <c r="A437" s="189"/>
      <c r="B437" s="189"/>
      <c r="C437" s="189"/>
      <c r="D437" s="189"/>
      <c r="E437" s="189"/>
      <c r="F437" s="189"/>
      <c r="G437" s="189"/>
      <c r="H437" s="189"/>
      <c r="I437" s="189"/>
      <c r="J437" s="189"/>
      <c r="K437" s="189"/>
      <c r="L437" s="190"/>
      <c r="M437" s="191"/>
      <c r="N437" s="191"/>
      <c r="O437" s="192"/>
      <c r="P437" s="189"/>
      <c r="Q437" s="189"/>
      <c r="R437" s="190"/>
      <c r="S437" s="190"/>
    </row>
    <row r="438">
      <c r="A438" s="189"/>
      <c r="B438" s="189"/>
      <c r="C438" s="189"/>
      <c r="D438" s="189"/>
      <c r="E438" s="189"/>
      <c r="F438" s="189"/>
      <c r="G438" s="189"/>
      <c r="H438" s="189"/>
      <c r="I438" s="189"/>
      <c r="J438" s="189"/>
      <c r="K438" s="189"/>
      <c r="L438" s="190"/>
      <c r="M438" s="191"/>
      <c r="N438" s="191"/>
      <c r="O438" s="192"/>
      <c r="P438" s="189"/>
      <c r="Q438" s="189"/>
      <c r="R438" s="190"/>
      <c r="S438" s="190"/>
    </row>
    <row r="439">
      <c r="A439" s="189"/>
      <c r="B439" s="189"/>
      <c r="C439" s="189"/>
      <c r="D439" s="189"/>
      <c r="E439" s="189"/>
      <c r="F439" s="189"/>
      <c r="G439" s="189"/>
      <c r="H439" s="189"/>
      <c r="I439" s="189"/>
      <c r="J439" s="189"/>
      <c r="K439" s="189"/>
      <c r="L439" s="190"/>
      <c r="M439" s="191"/>
      <c r="N439" s="191"/>
      <c r="O439" s="192"/>
      <c r="P439" s="189"/>
      <c r="Q439" s="189"/>
      <c r="R439" s="190"/>
      <c r="S439" s="190"/>
    </row>
    <row r="440">
      <c r="A440" s="189"/>
      <c r="B440" s="189"/>
      <c r="C440" s="189"/>
      <c r="D440" s="189"/>
      <c r="E440" s="189"/>
      <c r="F440" s="189"/>
      <c r="G440" s="189"/>
      <c r="H440" s="189"/>
      <c r="I440" s="189"/>
      <c r="J440" s="189"/>
      <c r="K440" s="189"/>
      <c r="L440" s="190"/>
      <c r="M440" s="191"/>
      <c r="N440" s="191"/>
      <c r="O440" s="192"/>
      <c r="P440" s="189"/>
      <c r="Q440" s="189"/>
      <c r="R440" s="190"/>
      <c r="S440" s="190"/>
    </row>
    <row r="441">
      <c r="A441" s="189"/>
      <c r="B441" s="189"/>
      <c r="C441" s="189"/>
      <c r="D441" s="189"/>
      <c r="E441" s="189"/>
      <c r="F441" s="189"/>
      <c r="G441" s="189"/>
      <c r="H441" s="189"/>
      <c r="I441" s="189"/>
      <c r="J441" s="189"/>
      <c r="K441" s="189"/>
      <c r="L441" s="190"/>
      <c r="M441" s="191"/>
      <c r="N441" s="191"/>
      <c r="O441" s="192"/>
      <c r="P441" s="189"/>
      <c r="Q441" s="189"/>
      <c r="R441" s="190"/>
      <c r="S441" s="190"/>
    </row>
    <row r="442">
      <c r="A442" s="189"/>
      <c r="B442" s="189"/>
      <c r="C442" s="189"/>
      <c r="D442" s="189"/>
      <c r="E442" s="189"/>
      <c r="F442" s="189"/>
      <c r="G442" s="189"/>
      <c r="H442" s="189"/>
      <c r="I442" s="189"/>
      <c r="J442" s="189"/>
      <c r="K442" s="189"/>
      <c r="L442" s="190"/>
      <c r="M442" s="191"/>
      <c r="N442" s="191"/>
      <c r="O442" s="192"/>
      <c r="P442" s="189"/>
      <c r="Q442" s="189"/>
      <c r="R442" s="190"/>
      <c r="S442" s="190"/>
    </row>
    <row r="443">
      <c r="A443" s="189"/>
      <c r="B443" s="189"/>
      <c r="C443" s="189"/>
      <c r="D443" s="189"/>
      <c r="E443" s="189"/>
      <c r="F443" s="189"/>
      <c r="G443" s="189"/>
      <c r="H443" s="189"/>
      <c r="I443" s="189"/>
      <c r="J443" s="189"/>
      <c r="K443" s="189"/>
      <c r="L443" s="190"/>
      <c r="M443" s="191"/>
      <c r="N443" s="191"/>
      <c r="O443" s="192"/>
      <c r="P443" s="189"/>
      <c r="Q443" s="189"/>
      <c r="R443" s="190"/>
      <c r="S443" s="190"/>
    </row>
    <row r="444">
      <c r="A444" s="189"/>
      <c r="B444" s="189"/>
      <c r="C444" s="189"/>
      <c r="D444" s="189"/>
      <c r="E444" s="189"/>
      <c r="F444" s="189"/>
      <c r="G444" s="189"/>
      <c r="H444" s="189"/>
      <c r="I444" s="189"/>
      <c r="J444" s="189"/>
      <c r="K444" s="189"/>
      <c r="L444" s="190"/>
      <c r="M444" s="191"/>
      <c r="N444" s="191"/>
      <c r="O444" s="192"/>
      <c r="P444" s="189"/>
      <c r="Q444" s="189"/>
      <c r="R444" s="190"/>
      <c r="S444" s="190"/>
    </row>
    <row r="445">
      <c r="A445" s="189"/>
      <c r="B445" s="189"/>
      <c r="C445" s="189"/>
      <c r="D445" s="189"/>
      <c r="E445" s="189"/>
      <c r="F445" s="189"/>
      <c r="G445" s="189"/>
      <c r="H445" s="189"/>
      <c r="I445" s="189"/>
      <c r="J445" s="189"/>
      <c r="K445" s="189"/>
      <c r="L445" s="190"/>
      <c r="M445" s="191"/>
      <c r="N445" s="191"/>
      <c r="O445" s="192"/>
      <c r="P445" s="189"/>
      <c r="Q445" s="189"/>
      <c r="R445" s="190"/>
      <c r="S445" s="190"/>
    </row>
    <row r="446">
      <c r="A446" s="189"/>
      <c r="B446" s="189"/>
      <c r="C446" s="189"/>
      <c r="D446" s="189"/>
      <c r="E446" s="189"/>
      <c r="F446" s="189"/>
      <c r="G446" s="189"/>
      <c r="H446" s="189"/>
      <c r="I446" s="189"/>
      <c r="J446" s="189"/>
      <c r="K446" s="189"/>
      <c r="L446" s="190"/>
      <c r="M446" s="191"/>
      <c r="N446" s="191"/>
      <c r="O446" s="192"/>
      <c r="P446" s="189"/>
      <c r="Q446" s="189"/>
      <c r="R446" s="190"/>
      <c r="S446" s="190"/>
    </row>
    <row r="447">
      <c r="A447" s="189"/>
      <c r="B447" s="189"/>
      <c r="C447" s="189"/>
      <c r="D447" s="189"/>
      <c r="E447" s="189"/>
      <c r="F447" s="189"/>
      <c r="G447" s="189"/>
      <c r="H447" s="189"/>
      <c r="I447" s="189"/>
      <c r="J447" s="189"/>
      <c r="K447" s="189"/>
      <c r="L447" s="190"/>
      <c r="M447" s="191"/>
      <c r="N447" s="191"/>
      <c r="O447" s="192"/>
      <c r="P447" s="189"/>
      <c r="Q447" s="189"/>
      <c r="R447" s="190"/>
      <c r="S447" s="190"/>
    </row>
    <row r="448">
      <c r="A448" s="189"/>
      <c r="B448" s="189"/>
      <c r="C448" s="189"/>
      <c r="D448" s="189"/>
      <c r="E448" s="189"/>
      <c r="F448" s="189"/>
      <c r="G448" s="189"/>
      <c r="H448" s="189"/>
      <c r="I448" s="189"/>
      <c r="J448" s="189"/>
      <c r="K448" s="189"/>
      <c r="L448" s="190"/>
      <c r="M448" s="191"/>
      <c r="N448" s="191"/>
      <c r="O448" s="192"/>
      <c r="P448" s="189"/>
      <c r="Q448" s="189"/>
      <c r="R448" s="190"/>
      <c r="S448" s="190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190"/>
      <c r="S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190"/>
      <c r="S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190"/>
      <c r="S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190"/>
      <c r="S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190"/>
      <c r="S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190"/>
      <c r="S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190"/>
      <c r="S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190"/>
      <c r="S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190"/>
      <c r="S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</row>
  </sheetData>
  <conditionalFormatting sqref="Q2:Q499">
    <cfRule type="cellIs" dxfId="0" priority="1" operator="equal">
      <formula>"Ganha"</formula>
    </cfRule>
  </conditionalFormatting>
  <conditionalFormatting sqref="Q2:Q499">
    <cfRule type="cellIs" dxfId="1" priority="2" operator="equal">
      <formula>"Ganha/devolvida"</formula>
    </cfRule>
  </conditionalFormatting>
  <conditionalFormatting sqref="Q2:Q499">
    <cfRule type="cellIs" dxfId="2" priority="3" operator="equal">
      <formula>"Devolvida"</formula>
    </cfRule>
  </conditionalFormatting>
  <conditionalFormatting sqref="Q2:Q499">
    <cfRule type="cellIs" dxfId="3" priority="4" operator="equal">
      <formula>"Perdida/devolvida"</formula>
    </cfRule>
  </conditionalFormatting>
  <conditionalFormatting sqref="Q2:Q499">
    <cfRule type="cellIs" dxfId="4" priority="5" operator="equal">
      <formula>"Perdida"</formula>
    </cfRule>
  </conditionalFormatting>
  <conditionalFormatting sqref="R2:R457 S2:S998 V2:V33">
    <cfRule type="cellIs" dxfId="0" priority="6" operator="greaterThan">
      <formula>0</formula>
    </cfRule>
  </conditionalFormatting>
  <conditionalFormatting sqref="R2:R457 S2:S998 V2:V33">
    <cfRule type="cellIs" dxfId="4" priority="7" operator="lessThan">
      <formula>0</formula>
    </cfRule>
  </conditionalFormatting>
  <conditionalFormatting sqref="R2:R998 V2:V33">
    <cfRule type="cellIs" dxfId="2" priority="8" operator="equal">
      <formula>0</formula>
    </cfRule>
  </conditionalFormatting>
  <drawing r:id="rId1"/>
  <tableParts count="3">
    <tablePart r:id="rId5"/>
    <tablePart r:id="rId6"/>
    <tablePart r:id="rId7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0"/>
    <col customWidth="1" min="2" max="2" width="3.88"/>
    <col customWidth="1" min="3" max="3" width="60.38"/>
    <col customWidth="1" min="4" max="4" width="22.0"/>
    <col customWidth="1" min="5" max="5" width="12.88"/>
    <col customWidth="1" min="6" max="6" width="20.63"/>
    <col customWidth="1" min="7" max="7" width="31.0"/>
    <col customWidth="1" min="8" max="8" width="11.5"/>
    <col customWidth="1" min="9" max="9" width="4.5"/>
    <col customWidth="1" min="10" max="10" width="9.0"/>
    <col customWidth="1" min="11" max="11" width="9.5"/>
    <col customWidth="1" min="12" max="15" width="5.88"/>
    <col customWidth="1" min="16" max="16" width="6.5"/>
    <col customWidth="1" min="17" max="17" width="14.75"/>
    <col customWidth="1" min="18" max="18" width="10.75"/>
    <col customWidth="1" min="19" max="19" width="7.25"/>
    <col customWidth="1" min="20" max="20" width="4.13"/>
    <col customWidth="1" min="21" max="21" width="6.25"/>
    <col customWidth="1" min="22" max="22" width="6.5"/>
    <col customWidth="1" min="23" max="23" width="11.25"/>
  </cols>
  <sheetData>
    <row r="1">
      <c r="A1" s="3" t="s">
        <v>0</v>
      </c>
      <c r="B1" s="2" t="s">
        <v>2</v>
      </c>
      <c r="C1" s="3" t="s">
        <v>3</v>
      </c>
      <c r="D1" s="2" t="s">
        <v>1466</v>
      </c>
      <c r="E1" s="2" t="s">
        <v>1467</v>
      </c>
      <c r="F1" s="2" t="s">
        <v>1468</v>
      </c>
      <c r="G1" s="2" t="s">
        <v>5690</v>
      </c>
      <c r="H1" s="3" t="s">
        <v>4</v>
      </c>
      <c r="I1" s="3" t="s">
        <v>5</v>
      </c>
      <c r="J1" s="3" t="s">
        <v>6</v>
      </c>
      <c r="K1" s="2" t="s">
        <v>7</v>
      </c>
      <c r="L1" s="4" t="s">
        <v>8</v>
      </c>
      <c r="M1" s="5" t="s">
        <v>9</v>
      </c>
      <c r="N1" s="4" t="s">
        <v>10</v>
      </c>
      <c r="O1" s="6" t="s">
        <v>11</v>
      </c>
      <c r="P1" s="97" t="s">
        <v>12</v>
      </c>
      <c r="Q1" s="3" t="s">
        <v>13</v>
      </c>
      <c r="R1" s="4" t="s">
        <v>2372</v>
      </c>
      <c r="S1" s="4" t="s">
        <v>15</v>
      </c>
      <c r="U1" s="3" t="s">
        <v>16</v>
      </c>
      <c r="V1" s="3" t="s">
        <v>15</v>
      </c>
      <c r="W1" s="3" t="s">
        <v>17</v>
      </c>
    </row>
    <row r="2">
      <c r="A2" s="64">
        <f>1</f>
        <v>1</v>
      </c>
      <c r="B2" s="64" t="s">
        <v>19</v>
      </c>
      <c r="C2" s="64" t="s">
        <v>2377</v>
      </c>
      <c r="D2" s="64"/>
      <c r="E2" s="64"/>
      <c r="F2" s="64"/>
      <c r="G2" s="64"/>
      <c r="H2" s="64" t="s">
        <v>2378</v>
      </c>
      <c r="I2" s="64" t="s">
        <v>22</v>
      </c>
      <c r="J2" s="64" t="s">
        <v>225</v>
      </c>
      <c r="K2" s="64" t="s">
        <v>24</v>
      </c>
      <c r="L2" s="65">
        <v>0.25</v>
      </c>
      <c r="M2" s="65">
        <v>0.5</v>
      </c>
      <c r="N2" s="65">
        <v>0.3</v>
      </c>
      <c r="O2" s="66">
        <v>45078.0</v>
      </c>
      <c r="P2" s="67">
        <v>1.75</v>
      </c>
      <c r="Q2" s="64" t="s">
        <v>25</v>
      </c>
      <c r="R2" s="68">
        <f t="shared" ref="R2:R315" si="1">IF(Q2="ganha",(N2*(P2-1)),IF(Q2="perdida",-N2,IF(Q2="devolvida",0,IF(Q2="ganha/devolvida",((N2*(P2-1)))/2,IF(Q2="perdida/devolvida",-N2/2,IF(Q2="Aguardando",0,""))))))</f>
        <v>-0.3</v>
      </c>
      <c r="S2" s="68">
        <f>R2</f>
        <v>-0.3</v>
      </c>
      <c r="U2" s="66">
        <v>45078.0</v>
      </c>
      <c r="V2" s="13">
        <f t="shared" ref="V2:V32" si="2">SUMIF($O$2:$O$2981,U2,$R$2:$R$2981)</f>
        <v>0.2875733333</v>
      </c>
      <c r="W2" s="14">
        <f>SUMIF($Q$2:$Q$2981,"Aguardando",$N$2:$N$2981)</f>
        <v>0</v>
      </c>
    </row>
    <row r="3">
      <c r="A3" s="64">
        <f t="shared" ref="A3:A406" si="3">A2+1</f>
        <v>2</v>
      </c>
      <c r="B3" s="64" t="s">
        <v>19</v>
      </c>
      <c r="C3" s="64" t="s">
        <v>2379</v>
      </c>
      <c r="D3" s="64"/>
      <c r="E3" s="64"/>
      <c r="F3" s="64"/>
      <c r="G3" s="64"/>
      <c r="H3" s="64" t="s">
        <v>2380</v>
      </c>
      <c r="I3" s="64" t="s">
        <v>22</v>
      </c>
      <c r="J3" s="64" t="s">
        <v>225</v>
      </c>
      <c r="K3" s="64" t="s">
        <v>24</v>
      </c>
      <c r="L3" s="65">
        <v>1.25</v>
      </c>
      <c r="M3" s="65">
        <v>1.0</v>
      </c>
      <c r="N3" s="65">
        <v>0.37</v>
      </c>
      <c r="O3" s="66">
        <v>45078.0</v>
      </c>
      <c r="P3" s="67">
        <v>1.75</v>
      </c>
      <c r="Q3" s="64" t="s">
        <v>25</v>
      </c>
      <c r="R3" s="68">
        <f t="shared" si="1"/>
        <v>-0.37</v>
      </c>
      <c r="S3" s="68">
        <f t="shared" ref="S3:S315" si="4">S2+R3</f>
        <v>-0.67</v>
      </c>
      <c r="U3" s="66">
        <v>45079.0</v>
      </c>
      <c r="V3" s="13">
        <f t="shared" si="2"/>
        <v>0.53736</v>
      </c>
    </row>
    <row r="4">
      <c r="A4" s="64">
        <f t="shared" si="3"/>
        <v>3</v>
      </c>
      <c r="B4" s="64" t="s">
        <v>19</v>
      </c>
      <c r="C4" s="64" t="s">
        <v>2381</v>
      </c>
      <c r="D4" s="64"/>
      <c r="E4" s="64"/>
      <c r="F4" s="64"/>
      <c r="G4" s="64"/>
      <c r="H4" s="64" t="s">
        <v>1006</v>
      </c>
      <c r="I4" s="64" t="s">
        <v>22</v>
      </c>
      <c r="J4" s="64" t="s">
        <v>225</v>
      </c>
      <c r="K4" s="64" t="s">
        <v>2201</v>
      </c>
      <c r="L4" s="65">
        <v>1.0</v>
      </c>
      <c r="M4" s="65">
        <v>1.0</v>
      </c>
      <c r="N4" s="65">
        <v>0.8</v>
      </c>
      <c r="O4" s="66">
        <v>45078.0</v>
      </c>
      <c r="P4" s="67">
        <v>2.0</v>
      </c>
      <c r="Q4" s="64" t="s">
        <v>70</v>
      </c>
      <c r="R4" s="68">
        <f t="shared" si="1"/>
        <v>0</v>
      </c>
      <c r="S4" s="68">
        <f t="shared" si="4"/>
        <v>-0.67</v>
      </c>
      <c r="U4" s="66">
        <v>45080.0</v>
      </c>
      <c r="V4" s="13">
        <f t="shared" si="2"/>
        <v>0.68338</v>
      </c>
      <c r="W4" s="3" t="s">
        <v>34</v>
      </c>
    </row>
    <row r="5">
      <c r="A5" s="64">
        <f t="shared" si="3"/>
        <v>4</v>
      </c>
      <c r="B5" s="64" t="s">
        <v>19</v>
      </c>
      <c r="C5" s="64" t="s">
        <v>2382</v>
      </c>
      <c r="D5" s="64"/>
      <c r="E5" s="64"/>
      <c r="F5" s="64"/>
      <c r="G5" s="64"/>
      <c r="H5" s="64" t="s">
        <v>463</v>
      </c>
      <c r="I5" s="64" t="s">
        <v>22</v>
      </c>
      <c r="J5" s="64" t="s">
        <v>225</v>
      </c>
      <c r="K5" s="64" t="s">
        <v>2201</v>
      </c>
      <c r="L5" s="65">
        <v>0.5</v>
      </c>
      <c r="M5" s="65">
        <v>1.0</v>
      </c>
      <c r="N5" s="65">
        <v>0.22</v>
      </c>
      <c r="O5" s="66">
        <v>45078.0</v>
      </c>
      <c r="P5" s="67">
        <v>1.775</v>
      </c>
      <c r="Q5" s="64" t="s">
        <v>25</v>
      </c>
      <c r="R5" s="68">
        <f t="shared" si="1"/>
        <v>-0.22</v>
      </c>
      <c r="S5" s="68">
        <f t="shared" si="4"/>
        <v>-0.89</v>
      </c>
      <c r="U5" s="66">
        <v>45081.0</v>
      </c>
      <c r="V5" s="13">
        <f t="shared" si="2"/>
        <v>1.704405556</v>
      </c>
      <c r="W5" s="20">
        <f>sum(N2:N1014)</f>
        <v>158.9159</v>
      </c>
    </row>
    <row r="6">
      <c r="A6" s="64">
        <f t="shared" si="3"/>
        <v>5</v>
      </c>
      <c r="B6" s="64" t="s">
        <v>19</v>
      </c>
      <c r="C6" s="64" t="s">
        <v>2383</v>
      </c>
      <c r="D6" s="64"/>
      <c r="E6" s="64"/>
      <c r="F6" s="64"/>
      <c r="G6" s="64"/>
      <c r="H6" s="64" t="s">
        <v>463</v>
      </c>
      <c r="I6" s="64" t="s">
        <v>22</v>
      </c>
      <c r="J6" s="64" t="s">
        <v>225</v>
      </c>
      <c r="K6" s="64" t="s">
        <v>2201</v>
      </c>
      <c r="L6" s="65">
        <v>0.5</v>
      </c>
      <c r="M6" s="65">
        <v>1.0</v>
      </c>
      <c r="N6" s="65">
        <v>1.0</v>
      </c>
      <c r="O6" s="66">
        <v>45078.0</v>
      </c>
      <c r="P6" s="67">
        <f>584.62/500</f>
        <v>1.16924</v>
      </c>
      <c r="Q6" s="64" t="s">
        <v>33</v>
      </c>
      <c r="R6" s="68">
        <f t="shared" si="1"/>
        <v>0.16924</v>
      </c>
      <c r="S6" s="68">
        <f t="shared" si="4"/>
        <v>-0.72076</v>
      </c>
      <c r="U6" s="66">
        <v>45082.0</v>
      </c>
      <c r="V6" s="13">
        <f t="shared" si="2"/>
        <v>0</v>
      </c>
    </row>
    <row r="7">
      <c r="A7" s="64">
        <f t="shared" si="3"/>
        <v>6</v>
      </c>
      <c r="B7" s="64" t="s">
        <v>19</v>
      </c>
      <c r="C7" s="64" t="s">
        <v>2384</v>
      </c>
      <c r="D7" s="64"/>
      <c r="E7" s="64"/>
      <c r="F7" s="64"/>
      <c r="G7" s="64"/>
      <c r="H7" s="64" t="s">
        <v>513</v>
      </c>
      <c r="I7" s="64" t="s">
        <v>22</v>
      </c>
      <c r="J7" s="64" t="s">
        <v>225</v>
      </c>
      <c r="K7" s="64" t="s">
        <v>39</v>
      </c>
      <c r="L7" s="65">
        <v>0.5</v>
      </c>
      <c r="M7" s="65">
        <v>1.0</v>
      </c>
      <c r="N7" s="65">
        <v>1.0</v>
      </c>
      <c r="O7" s="66">
        <v>45078.0</v>
      </c>
      <c r="P7" s="67">
        <v>1.75</v>
      </c>
      <c r="Q7" s="64" t="s">
        <v>33</v>
      </c>
      <c r="R7" s="68">
        <f t="shared" si="1"/>
        <v>0.75</v>
      </c>
      <c r="S7" s="68">
        <f t="shared" si="4"/>
        <v>0.02924</v>
      </c>
      <c r="U7" s="66">
        <v>45083.0</v>
      </c>
      <c r="V7" s="13">
        <f t="shared" si="2"/>
        <v>0.03489444444</v>
      </c>
      <c r="W7" s="3" t="s">
        <v>45</v>
      </c>
    </row>
    <row r="8">
      <c r="A8" s="64">
        <f t="shared" si="3"/>
        <v>7</v>
      </c>
      <c r="B8" s="64" t="s">
        <v>19</v>
      </c>
      <c r="C8" s="64" t="s">
        <v>2385</v>
      </c>
      <c r="D8" s="64"/>
      <c r="E8" s="64"/>
      <c r="F8" s="64"/>
      <c r="G8" s="64"/>
      <c r="H8" s="64" t="s">
        <v>2386</v>
      </c>
      <c r="I8" s="64" t="s">
        <v>22</v>
      </c>
      <c r="J8" s="64" t="s">
        <v>440</v>
      </c>
      <c r="K8" s="64" t="s">
        <v>39</v>
      </c>
      <c r="L8" s="65">
        <v>1.0</v>
      </c>
      <c r="M8" s="65">
        <v>0.25</v>
      </c>
      <c r="N8" s="65">
        <v>0.25</v>
      </c>
      <c r="O8" s="66">
        <v>45078.0</v>
      </c>
      <c r="P8" s="67">
        <v>2.05</v>
      </c>
      <c r="Q8" s="64" t="s">
        <v>70</v>
      </c>
      <c r="R8" s="68">
        <f t="shared" si="1"/>
        <v>0</v>
      </c>
      <c r="S8" s="68">
        <f t="shared" si="4"/>
        <v>0.02924</v>
      </c>
      <c r="U8" s="66">
        <v>45084.0</v>
      </c>
      <c r="V8" s="13">
        <f t="shared" si="2"/>
        <v>2.74</v>
      </c>
      <c r="W8" s="21">
        <f>V33/(SUM(N3:N4934)-W2)</f>
        <v>-0.02206498615</v>
      </c>
    </row>
    <row r="9">
      <c r="A9" s="64">
        <f t="shared" si="3"/>
        <v>8</v>
      </c>
      <c r="B9" s="64" t="s">
        <v>19</v>
      </c>
      <c r="C9" s="64" t="s">
        <v>2387</v>
      </c>
      <c r="D9" s="64"/>
      <c r="E9" s="64"/>
      <c r="F9" s="64"/>
      <c r="G9" s="64"/>
      <c r="H9" s="64" t="s">
        <v>82</v>
      </c>
      <c r="I9" s="64" t="s">
        <v>22</v>
      </c>
      <c r="J9" s="64" t="s">
        <v>225</v>
      </c>
      <c r="K9" s="64" t="s">
        <v>1803</v>
      </c>
      <c r="L9" s="65">
        <v>0.25</v>
      </c>
      <c r="M9" s="65">
        <v>1.0</v>
      </c>
      <c r="N9" s="65">
        <v>1.0</v>
      </c>
      <c r="O9" s="66">
        <v>45078.0</v>
      </c>
      <c r="P9" s="67">
        <v>1.7</v>
      </c>
      <c r="Q9" s="64" t="s">
        <v>25</v>
      </c>
      <c r="R9" s="68">
        <f t="shared" si="1"/>
        <v>-1</v>
      </c>
      <c r="S9" s="68">
        <f t="shared" si="4"/>
        <v>-0.97076</v>
      </c>
      <c r="U9" s="66">
        <v>45085.0</v>
      </c>
      <c r="V9" s="13">
        <f t="shared" si="2"/>
        <v>0.76875</v>
      </c>
    </row>
    <row r="10">
      <c r="A10" s="64">
        <f t="shared" si="3"/>
        <v>9</v>
      </c>
      <c r="B10" s="64" t="s">
        <v>19</v>
      </c>
      <c r="C10" s="64" t="s">
        <v>2388</v>
      </c>
      <c r="D10" s="64"/>
      <c r="E10" s="64"/>
      <c r="F10" s="64"/>
      <c r="G10" s="64"/>
      <c r="H10" s="64" t="s">
        <v>82</v>
      </c>
      <c r="I10" s="64" t="s">
        <v>22</v>
      </c>
      <c r="J10" s="64" t="s">
        <v>225</v>
      </c>
      <c r="K10" s="64" t="s">
        <v>24</v>
      </c>
      <c r="L10" s="65">
        <v>0.5</v>
      </c>
      <c r="M10" s="65">
        <v>1.0</v>
      </c>
      <c r="N10" s="65">
        <v>1.0</v>
      </c>
      <c r="O10" s="66">
        <v>45078.0</v>
      </c>
      <c r="P10" s="67">
        <f>800/600</f>
        <v>1.333333333</v>
      </c>
      <c r="Q10" s="64" t="s">
        <v>33</v>
      </c>
      <c r="R10" s="68">
        <f t="shared" si="1"/>
        <v>0.3333333333</v>
      </c>
      <c r="S10" s="68">
        <f t="shared" si="4"/>
        <v>-0.6374266667</v>
      </c>
      <c r="U10" s="66">
        <v>45086.0</v>
      </c>
      <c r="V10" s="13">
        <f t="shared" si="2"/>
        <v>0.08879</v>
      </c>
      <c r="W10" s="2" t="s">
        <v>55</v>
      </c>
    </row>
    <row r="11">
      <c r="A11" s="64">
        <f t="shared" si="3"/>
        <v>10</v>
      </c>
      <c r="B11" s="64" t="s">
        <v>40</v>
      </c>
      <c r="C11" s="64" t="s">
        <v>2389</v>
      </c>
      <c r="D11" s="64"/>
      <c r="E11" s="64"/>
      <c r="F11" s="64"/>
      <c r="G11" s="64"/>
      <c r="H11" s="64" t="s">
        <v>319</v>
      </c>
      <c r="I11" s="64" t="s">
        <v>22</v>
      </c>
      <c r="J11" s="64" t="s">
        <v>225</v>
      </c>
      <c r="K11" s="64" t="s">
        <v>2201</v>
      </c>
      <c r="L11" s="65">
        <v>0.25</v>
      </c>
      <c r="M11" s="65">
        <v>1.0</v>
      </c>
      <c r="N11" s="65">
        <v>1.0</v>
      </c>
      <c r="O11" s="66">
        <v>45078.0</v>
      </c>
      <c r="P11" s="67">
        <v>1.925</v>
      </c>
      <c r="Q11" s="64" t="s">
        <v>33</v>
      </c>
      <c r="R11" s="68">
        <f t="shared" si="1"/>
        <v>0.925</v>
      </c>
      <c r="S11" s="68">
        <f t="shared" si="4"/>
        <v>0.2875733333</v>
      </c>
      <c r="U11" s="66">
        <v>45087.0</v>
      </c>
      <c r="V11" s="13">
        <f t="shared" si="2"/>
        <v>0.76025</v>
      </c>
      <c r="W11" s="21">
        <f>(SUMPRODUCT(--(M2:M1000 = N2:N1000))-countif(M2:M1000,""))/countif(M2:M1000,"&gt;0")</f>
        <v>0.6723549488</v>
      </c>
    </row>
    <row r="12">
      <c r="A12" s="64">
        <f t="shared" si="3"/>
        <v>11</v>
      </c>
      <c r="B12" s="64" t="s">
        <v>19</v>
      </c>
      <c r="C12" s="64" t="s">
        <v>2390</v>
      </c>
      <c r="D12" s="64"/>
      <c r="E12" s="64"/>
      <c r="F12" s="64"/>
      <c r="G12" s="64"/>
      <c r="H12" s="64" t="s">
        <v>2380</v>
      </c>
      <c r="I12" s="64" t="s">
        <v>22</v>
      </c>
      <c r="J12" s="64" t="s">
        <v>225</v>
      </c>
      <c r="K12" s="64" t="s">
        <v>24</v>
      </c>
      <c r="L12" s="65">
        <v>0.75</v>
      </c>
      <c r="M12" s="65">
        <v>1.0</v>
      </c>
      <c r="N12" s="65">
        <v>1.0</v>
      </c>
      <c r="O12" s="66">
        <v>45079.0</v>
      </c>
      <c r="P12" s="67">
        <v>1.85</v>
      </c>
      <c r="Q12" s="64" t="s">
        <v>25</v>
      </c>
      <c r="R12" s="68">
        <f t="shared" si="1"/>
        <v>-1</v>
      </c>
      <c r="S12" s="68">
        <f t="shared" si="4"/>
        <v>-0.7124266667</v>
      </c>
      <c r="U12" s="66">
        <v>45088.0</v>
      </c>
      <c r="V12" s="13">
        <f t="shared" si="2"/>
        <v>-1.48167</v>
      </c>
    </row>
    <row r="13">
      <c r="A13" s="64">
        <f t="shared" si="3"/>
        <v>12</v>
      </c>
      <c r="B13" s="64" t="s">
        <v>19</v>
      </c>
      <c r="C13" s="64" t="s">
        <v>2391</v>
      </c>
      <c r="D13" s="64"/>
      <c r="E13" s="64"/>
      <c r="F13" s="64"/>
      <c r="G13" s="64"/>
      <c r="H13" s="64" t="s">
        <v>316</v>
      </c>
      <c r="I13" s="64" t="s">
        <v>22</v>
      </c>
      <c r="J13" s="64" t="s">
        <v>225</v>
      </c>
      <c r="K13" s="64" t="s">
        <v>24</v>
      </c>
      <c r="L13" s="65">
        <v>0.75</v>
      </c>
      <c r="M13" s="65">
        <v>1.0</v>
      </c>
      <c r="N13" s="65">
        <v>1.0</v>
      </c>
      <c r="O13" s="66">
        <v>45079.0</v>
      </c>
      <c r="P13" s="67">
        <f>755/500</f>
        <v>1.51</v>
      </c>
      <c r="Q13" s="64" t="s">
        <v>33</v>
      </c>
      <c r="R13" s="68">
        <f t="shared" si="1"/>
        <v>0.51</v>
      </c>
      <c r="S13" s="68">
        <f t="shared" si="4"/>
        <v>-0.2024266667</v>
      </c>
      <c r="U13" s="66">
        <v>45089.0</v>
      </c>
      <c r="V13" s="13">
        <f t="shared" si="2"/>
        <v>0</v>
      </c>
      <c r="W13" s="2" t="s">
        <v>61</v>
      </c>
    </row>
    <row r="14">
      <c r="A14" s="64">
        <f t="shared" si="3"/>
        <v>13</v>
      </c>
      <c r="B14" s="64" t="s">
        <v>40</v>
      </c>
      <c r="C14" s="64" t="s">
        <v>2392</v>
      </c>
      <c r="D14" s="64"/>
      <c r="E14" s="64"/>
      <c r="F14" s="64"/>
      <c r="G14" s="64"/>
      <c r="H14" s="64" t="s">
        <v>229</v>
      </c>
      <c r="I14" s="64" t="s">
        <v>22</v>
      </c>
      <c r="J14" s="64" t="s">
        <v>225</v>
      </c>
      <c r="K14" s="64" t="s">
        <v>24</v>
      </c>
      <c r="L14" s="65">
        <v>0.25</v>
      </c>
      <c r="M14" s="65">
        <v>1.0</v>
      </c>
      <c r="N14" s="65">
        <v>1.0</v>
      </c>
      <c r="O14" s="66">
        <v>45079.0</v>
      </c>
      <c r="P14" s="67">
        <f>542.18/500</f>
        <v>1.08436</v>
      </c>
      <c r="Q14" s="64" t="s">
        <v>33</v>
      </c>
      <c r="R14" s="68">
        <f t="shared" si="1"/>
        <v>0.08436</v>
      </c>
      <c r="S14" s="68">
        <f t="shared" si="4"/>
        <v>-0.1180666667</v>
      </c>
      <c r="U14" s="66">
        <v>45090.0</v>
      </c>
      <c r="V14" s="13">
        <f t="shared" si="2"/>
        <v>0.4125</v>
      </c>
      <c r="W14" s="22">
        <f>average(P2:P1000)</f>
        <v>1.902017774</v>
      </c>
    </row>
    <row r="15">
      <c r="A15" s="64">
        <f t="shared" si="3"/>
        <v>14</v>
      </c>
      <c r="B15" s="64" t="s">
        <v>19</v>
      </c>
      <c r="C15" s="64" t="s">
        <v>2393</v>
      </c>
      <c r="D15" s="64"/>
      <c r="E15" s="64"/>
      <c r="F15" s="64"/>
      <c r="G15" s="64"/>
      <c r="H15" s="64" t="s">
        <v>101</v>
      </c>
      <c r="I15" s="64" t="s">
        <v>22</v>
      </c>
      <c r="J15" s="64" t="s">
        <v>225</v>
      </c>
      <c r="K15" s="64" t="s">
        <v>24</v>
      </c>
      <c r="L15" s="65">
        <v>0.5</v>
      </c>
      <c r="M15" s="65">
        <v>1.0</v>
      </c>
      <c r="N15" s="65">
        <v>0.54</v>
      </c>
      <c r="O15" s="66">
        <v>45079.0</v>
      </c>
      <c r="P15" s="67">
        <v>1.95</v>
      </c>
      <c r="Q15" s="64" t="s">
        <v>33</v>
      </c>
      <c r="R15" s="68">
        <f t="shared" si="1"/>
        <v>0.513</v>
      </c>
      <c r="S15" s="68">
        <f t="shared" si="4"/>
        <v>0.3949333333</v>
      </c>
      <c r="U15" s="66">
        <v>45091.0</v>
      </c>
      <c r="V15" s="13">
        <f t="shared" si="2"/>
        <v>-0.55684</v>
      </c>
    </row>
    <row r="16">
      <c r="A16" s="64">
        <f t="shared" si="3"/>
        <v>15</v>
      </c>
      <c r="B16" s="64" t="s">
        <v>19</v>
      </c>
      <c r="C16" s="64" t="s">
        <v>2394</v>
      </c>
      <c r="D16" s="64"/>
      <c r="E16" s="64"/>
      <c r="F16" s="64"/>
      <c r="G16" s="64"/>
      <c r="H16" s="64" t="s">
        <v>513</v>
      </c>
      <c r="I16" s="64" t="s">
        <v>22</v>
      </c>
      <c r="J16" s="64" t="s">
        <v>225</v>
      </c>
      <c r="K16" s="64" t="s">
        <v>2201</v>
      </c>
      <c r="L16" s="65">
        <v>0.75</v>
      </c>
      <c r="M16" s="65">
        <v>1.0</v>
      </c>
      <c r="N16" s="65">
        <v>0.45</v>
      </c>
      <c r="O16" s="66">
        <v>45079.0</v>
      </c>
      <c r="P16" s="67">
        <v>1.8</v>
      </c>
      <c r="Q16" s="64" t="s">
        <v>33</v>
      </c>
      <c r="R16" s="68">
        <f t="shared" si="1"/>
        <v>0.36</v>
      </c>
      <c r="S16" s="68">
        <f t="shared" si="4"/>
        <v>0.7549333333</v>
      </c>
      <c r="U16" s="66">
        <v>45092.0</v>
      </c>
      <c r="V16" s="13">
        <f t="shared" si="2"/>
        <v>-0.61317</v>
      </c>
    </row>
    <row r="17">
      <c r="A17" s="64">
        <f t="shared" si="3"/>
        <v>16</v>
      </c>
      <c r="B17" s="64" t="s">
        <v>19</v>
      </c>
      <c r="C17" s="64" t="s">
        <v>2395</v>
      </c>
      <c r="D17" s="64"/>
      <c r="E17" s="64"/>
      <c r="F17" s="64"/>
      <c r="G17" s="64"/>
      <c r="H17" s="64" t="s">
        <v>513</v>
      </c>
      <c r="I17" s="64" t="s">
        <v>22</v>
      </c>
      <c r="J17" s="64" t="s">
        <v>225</v>
      </c>
      <c r="K17" s="64" t="s">
        <v>2201</v>
      </c>
      <c r="L17" s="65">
        <v>0.5</v>
      </c>
      <c r="M17" s="65">
        <v>1.0</v>
      </c>
      <c r="N17" s="65">
        <v>0.3</v>
      </c>
      <c r="O17" s="66">
        <v>45079.0</v>
      </c>
      <c r="P17" s="67">
        <v>1.725</v>
      </c>
      <c r="Q17" s="64" t="s">
        <v>33</v>
      </c>
      <c r="R17" s="68">
        <f t="shared" si="1"/>
        <v>0.2175</v>
      </c>
      <c r="S17" s="68">
        <f t="shared" si="4"/>
        <v>0.9724333333</v>
      </c>
      <c r="U17" s="66">
        <v>45093.0</v>
      </c>
      <c r="V17" s="13">
        <f t="shared" si="2"/>
        <v>-0.3015</v>
      </c>
    </row>
    <row r="18">
      <c r="A18" s="64">
        <f t="shared" si="3"/>
        <v>17</v>
      </c>
      <c r="B18" s="64" t="s">
        <v>19</v>
      </c>
      <c r="C18" s="64" t="s">
        <v>2396</v>
      </c>
      <c r="D18" s="64"/>
      <c r="E18" s="64"/>
      <c r="F18" s="64"/>
      <c r="G18" s="64"/>
      <c r="H18" s="64" t="s">
        <v>908</v>
      </c>
      <c r="I18" s="64" t="s">
        <v>22</v>
      </c>
      <c r="J18" s="64" t="s">
        <v>225</v>
      </c>
      <c r="K18" s="64" t="s">
        <v>2201</v>
      </c>
      <c r="L18" s="65">
        <v>0.25</v>
      </c>
      <c r="M18" s="65">
        <v>1.0</v>
      </c>
      <c r="N18" s="65">
        <v>1.0</v>
      </c>
      <c r="O18" s="66">
        <v>45079.0</v>
      </c>
      <c r="P18" s="67">
        <v>1.725</v>
      </c>
      <c r="Q18" s="64" t="s">
        <v>30</v>
      </c>
      <c r="R18" s="68">
        <f t="shared" si="1"/>
        <v>0.3625</v>
      </c>
      <c r="S18" s="68">
        <f t="shared" si="4"/>
        <v>1.334933333</v>
      </c>
      <c r="U18" s="66">
        <v>45094.0</v>
      </c>
      <c r="V18" s="13">
        <f t="shared" si="2"/>
        <v>-1.78225</v>
      </c>
    </row>
    <row r="19">
      <c r="A19" s="64">
        <f t="shared" si="3"/>
        <v>18</v>
      </c>
      <c r="B19" s="64" t="s">
        <v>40</v>
      </c>
      <c r="C19" s="64" t="s">
        <v>2397</v>
      </c>
      <c r="D19" s="64"/>
      <c r="E19" s="64"/>
      <c r="F19" s="64"/>
      <c r="G19" s="64"/>
      <c r="H19" s="64" t="s">
        <v>78</v>
      </c>
      <c r="I19" s="64" t="s">
        <v>22</v>
      </c>
      <c r="J19" s="64" t="s">
        <v>225</v>
      </c>
      <c r="K19" s="64" t="s">
        <v>2201</v>
      </c>
      <c r="L19" s="65">
        <v>0.5</v>
      </c>
      <c r="M19" s="65">
        <v>1.0</v>
      </c>
      <c r="N19" s="65">
        <v>0.51</v>
      </c>
      <c r="O19" s="66">
        <v>45079.0</v>
      </c>
      <c r="P19" s="67">
        <v>1.9</v>
      </c>
      <c r="Q19" s="64" t="s">
        <v>25</v>
      </c>
      <c r="R19" s="68">
        <f t="shared" si="1"/>
        <v>-0.51</v>
      </c>
      <c r="S19" s="68">
        <f t="shared" si="4"/>
        <v>0.8249333333</v>
      </c>
      <c r="U19" s="66">
        <v>45095.0</v>
      </c>
      <c r="V19" s="13">
        <f t="shared" si="2"/>
        <v>-1.39290385</v>
      </c>
    </row>
    <row r="20">
      <c r="A20" s="64">
        <f t="shared" si="3"/>
        <v>19</v>
      </c>
      <c r="B20" s="64" t="s">
        <v>19</v>
      </c>
      <c r="C20" s="64" t="s">
        <v>2398</v>
      </c>
      <c r="D20" s="64"/>
      <c r="E20" s="64"/>
      <c r="F20" s="64"/>
      <c r="G20" s="64"/>
      <c r="H20" s="64" t="s">
        <v>432</v>
      </c>
      <c r="I20" s="64" t="s">
        <v>22</v>
      </c>
      <c r="J20" s="64" t="s">
        <v>225</v>
      </c>
      <c r="K20" s="64" t="s">
        <v>24</v>
      </c>
      <c r="L20" s="65">
        <v>0.25</v>
      </c>
      <c r="M20" s="65">
        <v>1.0</v>
      </c>
      <c r="N20" s="65">
        <v>1.0</v>
      </c>
      <c r="O20" s="66">
        <v>45080.0</v>
      </c>
      <c r="P20" s="67">
        <v>1.875</v>
      </c>
      <c r="Q20" s="64" t="s">
        <v>25</v>
      </c>
      <c r="R20" s="68">
        <f t="shared" si="1"/>
        <v>-1</v>
      </c>
      <c r="S20" s="68">
        <f t="shared" si="4"/>
        <v>-0.1750666667</v>
      </c>
      <c r="U20" s="66">
        <v>45096.0</v>
      </c>
      <c r="V20" s="13">
        <f t="shared" si="2"/>
        <v>0</v>
      </c>
    </row>
    <row r="21">
      <c r="A21" s="64">
        <f t="shared" si="3"/>
        <v>20</v>
      </c>
      <c r="B21" s="64" t="s">
        <v>19</v>
      </c>
      <c r="C21" s="64" t="s">
        <v>2399</v>
      </c>
      <c r="D21" s="64"/>
      <c r="E21" s="64"/>
      <c r="F21" s="64"/>
      <c r="G21" s="64"/>
      <c r="H21" s="64" t="s">
        <v>245</v>
      </c>
      <c r="I21" s="64" t="s">
        <v>22</v>
      </c>
      <c r="J21" s="64" t="s">
        <v>225</v>
      </c>
      <c r="K21" s="64" t="s">
        <v>24</v>
      </c>
      <c r="L21" s="65">
        <v>0.25</v>
      </c>
      <c r="M21" s="65">
        <v>1.0</v>
      </c>
      <c r="N21" s="65">
        <v>0.9</v>
      </c>
      <c r="O21" s="66">
        <v>45080.0</v>
      </c>
      <c r="P21" s="67">
        <v>1.95</v>
      </c>
      <c r="Q21" s="64" t="s">
        <v>33</v>
      </c>
      <c r="R21" s="68">
        <f t="shared" si="1"/>
        <v>0.855</v>
      </c>
      <c r="S21" s="68">
        <f t="shared" si="4"/>
        <v>0.6799333333</v>
      </c>
      <c r="U21" s="66">
        <v>45097.0</v>
      </c>
      <c r="V21" s="13">
        <f t="shared" si="2"/>
        <v>-0.7125</v>
      </c>
    </row>
    <row r="22">
      <c r="A22" s="64">
        <f t="shared" si="3"/>
        <v>21</v>
      </c>
      <c r="B22" s="64" t="s">
        <v>19</v>
      </c>
      <c r="C22" s="64" t="s">
        <v>2400</v>
      </c>
      <c r="D22" s="64"/>
      <c r="E22" s="64"/>
      <c r="F22" s="64"/>
      <c r="G22" s="64"/>
      <c r="H22" s="64" t="s">
        <v>316</v>
      </c>
      <c r="I22" s="64" t="s">
        <v>22</v>
      </c>
      <c r="J22" s="64" t="s">
        <v>1847</v>
      </c>
      <c r="K22" s="64" t="s">
        <v>24</v>
      </c>
      <c r="L22" s="65">
        <v>-0.5</v>
      </c>
      <c r="M22" s="65">
        <v>1.0</v>
      </c>
      <c r="N22" s="65">
        <v>1.0</v>
      </c>
      <c r="O22" s="66">
        <v>45080.0</v>
      </c>
      <c r="P22" s="67">
        <v>1.72</v>
      </c>
      <c r="Q22" s="64" t="s">
        <v>33</v>
      </c>
      <c r="R22" s="68">
        <f t="shared" si="1"/>
        <v>0.72</v>
      </c>
      <c r="S22" s="68">
        <f t="shared" si="4"/>
        <v>1.399933333</v>
      </c>
      <c r="U22" s="66">
        <v>45098.0</v>
      </c>
      <c r="V22" s="13">
        <f t="shared" si="2"/>
        <v>-3.284</v>
      </c>
    </row>
    <row r="23">
      <c r="A23" s="64">
        <f t="shared" si="3"/>
        <v>22</v>
      </c>
      <c r="B23" s="64" t="s">
        <v>19</v>
      </c>
      <c r="C23" s="64" t="s">
        <v>2401</v>
      </c>
      <c r="D23" s="64"/>
      <c r="E23" s="64"/>
      <c r="F23" s="64"/>
      <c r="G23" s="64"/>
      <c r="H23" s="64" t="s">
        <v>940</v>
      </c>
      <c r="I23" s="64" t="s">
        <v>22</v>
      </c>
      <c r="J23" s="64" t="s">
        <v>225</v>
      </c>
      <c r="K23" s="64" t="s">
        <v>24</v>
      </c>
      <c r="L23" s="65">
        <v>0.75</v>
      </c>
      <c r="M23" s="65">
        <v>1.0</v>
      </c>
      <c r="N23" s="65">
        <v>0.37</v>
      </c>
      <c r="O23" s="66">
        <v>45080.0</v>
      </c>
      <c r="P23" s="67">
        <v>1.8</v>
      </c>
      <c r="Q23" s="64" t="s">
        <v>33</v>
      </c>
      <c r="R23" s="68">
        <f t="shared" si="1"/>
        <v>0.296</v>
      </c>
      <c r="S23" s="68">
        <f t="shared" si="4"/>
        <v>1.695933333</v>
      </c>
      <c r="U23" s="66">
        <v>45099.0</v>
      </c>
      <c r="V23" s="13">
        <f t="shared" si="2"/>
        <v>0.21875</v>
      </c>
    </row>
    <row r="24">
      <c r="A24" s="64">
        <f t="shared" si="3"/>
        <v>23</v>
      </c>
      <c r="B24" s="64" t="s">
        <v>19</v>
      </c>
      <c r="C24" s="64" t="s">
        <v>2402</v>
      </c>
      <c r="D24" s="64"/>
      <c r="E24" s="64"/>
      <c r="F24" s="64"/>
      <c r="G24" s="64"/>
      <c r="H24" s="64" t="s">
        <v>940</v>
      </c>
      <c r="I24" s="64" t="s">
        <v>22</v>
      </c>
      <c r="J24" s="64" t="s">
        <v>225</v>
      </c>
      <c r="K24" s="64" t="s">
        <v>24</v>
      </c>
      <c r="L24" s="65">
        <v>0.5</v>
      </c>
      <c r="M24" s="65">
        <v>1.0</v>
      </c>
      <c r="N24" s="65">
        <v>0.34</v>
      </c>
      <c r="O24" s="66">
        <v>45080.0</v>
      </c>
      <c r="P24" s="67">
        <v>1.9</v>
      </c>
      <c r="Q24" s="64" t="s">
        <v>33</v>
      </c>
      <c r="R24" s="68">
        <f t="shared" si="1"/>
        <v>0.306</v>
      </c>
      <c r="S24" s="68">
        <f t="shared" si="4"/>
        <v>2.001933333</v>
      </c>
      <c r="U24" s="66">
        <v>45100.0</v>
      </c>
      <c r="V24" s="13">
        <f t="shared" si="2"/>
        <v>0.9</v>
      </c>
    </row>
    <row r="25">
      <c r="A25" s="64">
        <f t="shared" si="3"/>
        <v>24</v>
      </c>
      <c r="B25" s="64" t="s">
        <v>19</v>
      </c>
      <c r="C25" s="64" t="s">
        <v>2403</v>
      </c>
      <c r="D25" s="64"/>
      <c r="E25" s="64"/>
      <c r="F25" s="64"/>
      <c r="G25" s="64"/>
      <c r="H25" s="64" t="s">
        <v>940</v>
      </c>
      <c r="I25" s="64" t="s">
        <v>22</v>
      </c>
      <c r="J25" s="64" t="s">
        <v>225</v>
      </c>
      <c r="K25" s="64" t="s">
        <v>24</v>
      </c>
      <c r="L25" s="65">
        <v>0.25</v>
      </c>
      <c r="M25" s="65">
        <v>0.17</v>
      </c>
      <c r="N25" s="65">
        <v>0.17</v>
      </c>
      <c r="O25" s="66">
        <v>45080.0</v>
      </c>
      <c r="P25" s="67">
        <v>2.0</v>
      </c>
      <c r="Q25" s="64" t="s">
        <v>30</v>
      </c>
      <c r="R25" s="68">
        <f t="shared" si="1"/>
        <v>0.085</v>
      </c>
      <c r="S25" s="68">
        <f t="shared" si="4"/>
        <v>2.086933333</v>
      </c>
      <c r="U25" s="66">
        <v>45101.0</v>
      </c>
      <c r="V25" s="13">
        <f t="shared" si="2"/>
        <v>1.21449888</v>
      </c>
    </row>
    <row r="26">
      <c r="A26" s="64">
        <f t="shared" si="3"/>
        <v>25</v>
      </c>
      <c r="B26" s="64" t="s">
        <v>19</v>
      </c>
      <c r="C26" s="64" t="s">
        <v>2404</v>
      </c>
      <c r="D26" s="64"/>
      <c r="E26" s="64"/>
      <c r="F26" s="64"/>
      <c r="G26" s="64"/>
      <c r="H26" s="64" t="s">
        <v>44</v>
      </c>
      <c r="I26" s="64" t="s">
        <v>22</v>
      </c>
      <c r="J26" s="64" t="s">
        <v>225</v>
      </c>
      <c r="K26" s="64" t="s">
        <v>2201</v>
      </c>
      <c r="L26" s="65">
        <v>0.5</v>
      </c>
      <c r="M26" s="65">
        <v>1.0</v>
      </c>
      <c r="N26" s="65">
        <v>0.71</v>
      </c>
      <c r="O26" s="66">
        <v>45080.0</v>
      </c>
      <c r="P26" s="67">
        <v>1.9</v>
      </c>
      <c r="Q26" s="64" t="s">
        <v>25</v>
      </c>
      <c r="R26" s="68">
        <f t="shared" si="1"/>
        <v>-0.71</v>
      </c>
      <c r="S26" s="68">
        <f t="shared" si="4"/>
        <v>1.376933333</v>
      </c>
      <c r="U26" s="66">
        <v>45102.0</v>
      </c>
      <c r="V26" s="13">
        <f t="shared" si="2"/>
        <v>-0.63945</v>
      </c>
    </row>
    <row r="27">
      <c r="A27" s="64">
        <f t="shared" si="3"/>
        <v>26</v>
      </c>
      <c r="B27" s="64" t="s">
        <v>40</v>
      </c>
      <c r="C27" s="64" t="s">
        <v>2405</v>
      </c>
      <c r="D27" s="64"/>
      <c r="E27" s="64"/>
      <c r="F27" s="64"/>
      <c r="G27" s="64"/>
      <c r="H27" s="64" t="s">
        <v>316</v>
      </c>
      <c r="I27" s="64" t="s">
        <v>22</v>
      </c>
      <c r="J27" s="64" t="s">
        <v>225</v>
      </c>
      <c r="K27" s="64" t="s">
        <v>24</v>
      </c>
      <c r="L27" s="65">
        <v>0.75</v>
      </c>
      <c r="M27" s="65">
        <v>1.0</v>
      </c>
      <c r="N27" s="65">
        <v>1.0</v>
      </c>
      <c r="O27" s="66">
        <v>45080.0</v>
      </c>
      <c r="P27" s="67">
        <v>1.8</v>
      </c>
      <c r="Q27" s="64" t="s">
        <v>33</v>
      </c>
      <c r="R27" s="68">
        <f t="shared" si="1"/>
        <v>0.8</v>
      </c>
      <c r="S27" s="68">
        <f t="shared" si="4"/>
        <v>2.176933333</v>
      </c>
      <c r="U27" s="66">
        <v>45103.0</v>
      </c>
      <c r="V27" s="13">
        <f t="shared" si="2"/>
        <v>0</v>
      </c>
    </row>
    <row r="28">
      <c r="A28" s="64">
        <f t="shared" si="3"/>
        <v>27</v>
      </c>
      <c r="B28" s="64" t="s">
        <v>40</v>
      </c>
      <c r="C28" s="64" t="s">
        <v>2406</v>
      </c>
      <c r="D28" s="64"/>
      <c r="E28" s="64"/>
      <c r="F28" s="64"/>
      <c r="G28" s="64"/>
      <c r="H28" s="64" t="s">
        <v>908</v>
      </c>
      <c r="I28" s="64" t="s">
        <v>22</v>
      </c>
      <c r="J28" s="64" t="s">
        <v>29</v>
      </c>
      <c r="K28" s="64" t="s">
        <v>24</v>
      </c>
      <c r="L28" s="65">
        <v>-1.75</v>
      </c>
      <c r="M28" s="65">
        <v>0.5</v>
      </c>
      <c r="N28" s="65">
        <v>0.45</v>
      </c>
      <c r="O28" s="66">
        <v>45080.0</v>
      </c>
      <c r="P28" s="67">
        <v>1.825</v>
      </c>
      <c r="Q28" s="64" t="s">
        <v>25</v>
      </c>
      <c r="R28" s="68">
        <f t="shared" si="1"/>
        <v>-0.45</v>
      </c>
      <c r="S28" s="68">
        <f t="shared" si="4"/>
        <v>1.726933333</v>
      </c>
      <c r="U28" s="66">
        <v>45104.0</v>
      </c>
      <c r="V28" s="13">
        <f t="shared" si="2"/>
        <v>0.7452</v>
      </c>
    </row>
    <row r="29">
      <c r="A29" s="64">
        <f t="shared" si="3"/>
        <v>28</v>
      </c>
      <c r="B29" s="64" t="s">
        <v>40</v>
      </c>
      <c r="C29" s="64" t="s">
        <v>2407</v>
      </c>
      <c r="D29" s="64"/>
      <c r="E29" s="64"/>
      <c r="F29" s="64"/>
      <c r="G29" s="64"/>
      <c r="H29" s="64" t="s">
        <v>908</v>
      </c>
      <c r="I29" s="64" t="s">
        <v>22</v>
      </c>
      <c r="J29" s="64" t="s">
        <v>225</v>
      </c>
      <c r="K29" s="64" t="s">
        <v>24</v>
      </c>
      <c r="L29" s="65">
        <v>1.25</v>
      </c>
      <c r="M29" s="65">
        <v>0.5</v>
      </c>
      <c r="N29" s="65">
        <v>0.1</v>
      </c>
      <c r="O29" s="66">
        <v>45080.0</v>
      </c>
      <c r="P29" s="67">
        <v>1.775</v>
      </c>
      <c r="Q29" s="64" t="s">
        <v>30</v>
      </c>
      <c r="R29" s="68">
        <f t="shared" si="1"/>
        <v>0.03875</v>
      </c>
      <c r="S29" s="68">
        <f t="shared" si="4"/>
        <v>1.765683333</v>
      </c>
      <c r="U29" s="66">
        <v>45105.0</v>
      </c>
      <c r="V29" s="13">
        <f t="shared" si="2"/>
        <v>0.03276</v>
      </c>
    </row>
    <row r="30">
      <c r="A30" s="64">
        <f t="shared" si="3"/>
        <v>29</v>
      </c>
      <c r="B30" s="64" t="s">
        <v>19</v>
      </c>
      <c r="C30" s="64" t="s">
        <v>2408</v>
      </c>
      <c r="D30" s="64"/>
      <c r="E30" s="64"/>
      <c r="F30" s="64"/>
      <c r="G30" s="64"/>
      <c r="H30" s="64" t="s">
        <v>513</v>
      </c>
      <c r="I30" s="64" t="s">
        <v>22</v>
      </c>
      <c r="J30" s="64" t="s">
        <v>225</v>
      </c>
      <c r="K30" s="64" t="s">
        <v>24</v>
      </c>
      <c r="L30" s="65">
        <v>1.5</v>
      </c>
      <c r="M30" s="65">
        <v>1.0</v>
      </c>
      <c r="N30" s="65">
        <v>0.29</v>
      </c>
      <c r="O30" s="66">
        <v>45080.0</v>
      </c>
      <c r="P30" s="67">
        <v>1.825</v>
      </c>
      <c r="Q30" s="64" t="s">
        <v>33</v>
      </c>
      <c r="R30" s="68">
        <f t="shared" si="1"/>
        <v>0.23925</v>
      </c>
      <c r="S30" s="68">
        <f t="shared" si="4"/>
        <v>2.004933333</v>
      </c>
      <c r="U30" s="66">
        <v>45106.0</v>
      </c>
      <c r="V30" s="13">
        <f t="shared" si="2"/>
        <v>-2.92</v>
      </c>
    </row>
    <row r="31">
      <c r="A31" s="64">
        <f t="shared" si="3"/>
        <v>30</v>
      </c>
      <c r="B31" s="64" t="s">
        <v>19</v>
      </c>
      <c r="C31" s="64" t="s">
        <v>2409</v>
      </c>
      <c r="D31" s="64"/>
      <c r="E31" s="64"/>
      <c r="F31" s="64"/>
      <c r="G31" s="64"/>
      <c r="H31" s="64" t="s">
        <v>50</v>
      </c>
      <c r="I31" s="64" t="s">
        <v>22</v>
      </c>
      <c r="J31" s="64" t="s">
        <v>1847</v>
      </c>
      <c r="K31" s="64" t="s">
        <v>2201</v>
      </c>
      <c r="L31" s="65">
        <v>-0.5</v>
      </c>
      <c r="M31" s="65">
        <v>1.0</v>
      </c>
      <c r="N31" s="65">
        <v>1.0</v>
      </c>
      <c r="O31" s="66">
        <v>45080.0</v>
      </c>
      <c r="P31" s="67">
        <f>822.52/500</f>
        <v>1.64504</v>
      </c>
      <c r="Q31" s="64" t="s">
        <v>33</v>
      </c>
      <c r="R31" s="68">
        <f t="shared" si="1"/>
        <v>0.64504</v>
      </c>
      <c r="S31" s="68">
        <f t="shared" si="4"/>
        <v>2.649973333</v>
      </c>
      <c r="U31" s="66">
        <v>45107.0</v>
      </c>
      <c r="V31" s="13">
        <f t="shared" si="2"/>
        <v>-0.944686</v>
      </c>
    </row>
    <row r="32">
      <c r="A32" s="64">
        <f t="shared" si="3"/>
        <v>31</v>
      </c>
      <c r="B32" s="64" t="s">
        <v>19</v>
      </c>
      <c r="C32" s="64" t="s">
        <v>2410</v>
      </c>
      <c r="D32" s="64"/>
      <c r="E32" s="64"/>
      <c r="F32" s="64"/>
      <c r="G32" s="64"/>
      <c r="H32" s="64" t="s">
        <v>82</v>
      </c>
      <c r="I32" s="64" t="s">
        <v>598</v>
      </c>
      <c r="J32" s="64" t="s">
        <v>440</v>
      </c>
      <c r="K32" s="64" t="s">
        <v>24</v>
      </c>
      <c r="L32" s="65">
        <v>2.5</v>
      </c>
      <c r="M32" s="65">
        <v>0.5</v>
      </c>
      <c r="N32" s="65">
        <v>0.5</v>
      </c>
      <c r="O32" s="66">
        <v>45081.0</v>
      </c>
      <c r="P32" s="67">
        <v>1.83</v>
      </c>
      <c r="Q32" s="64" t="s">
        <v>33</v>
      </c>
      <c r="R32" s="68">
        <f t="shared" si="1"/>
        <v>0.415</v>
      </c>
      <c r="S32" s="68">
        <f t="shared" si="4"/>
        <v>3.064973333</v>
      </c>
      <c r="U32" s="66"/>
      <c r="V32" s="13">
        <f t="shared" si="2"/>
        <v>0</v>
      </c>
    </row>
    <row r="33">
      <c r="A33" s="64">
        <f t="shared" si="3"/>
        <v>32</v>
      </c>
      <c r="B33" s="64" t="s">
        <v>19</v>
      </c>
      <c r="C33" s="64" t="s">
        <v>2411</v>
      </c>
      <c r="D33" s="64"/>
      <c r="E33" s="64"/>
      <c r="F33" s="64"/>
      <c r="G33" s="64"/>
      <c r="H33" s="64" t="s">
        <v>42</v>
      </c>
      <c r="I33" s="64" t="s">
        <v>22</v>
      </c>
      <c r="J33" s="64" t="s">
        <v>225</v>
      </c>
      <c r="K33" s="64" t="s">
        <v>24</v>
      </c>
      <c r="L33" s="65">
        <v>0.25</v>
      </c>
      <c r="M33" s="65">
        <v>1.0</v>
      </c>
      <c r="N33" s="65">
        <v>0.47</v>
      </c>
      <c r="O33" s="66">
        <v>45080.0</v>
      </c>
      <c r="P33" s="67">
        <v>2.0</v>
      </c>
      <c r="Q33" s="64" t="s">
        <v>30</v>
      </c>
      <c r="R33" s="68">
        <f t="shared" si="1"/>
        <v>0.235</v>
      </c>
      <c r="S33" s="68">
        <f t="shared" si="4"/>
        <v>3.299973333</v>
      </c>
      <c r="U33" s="94" t="s">
        <v>89</v>
      </c>
      <c r="V33" s="28">
        <f>SUM(V2:V32)</f>
        <v>-3.499857637</v>
      </c>
    </row>
    <row r="34">
      <c r="A34" s="64">
        <f t="shared" si="3"/>
        <v>33</v>
      </c>
      <c r="B34" s="64" t="s">
        <v>19</v>
      </c>
      <c r="C34" s="64" t="s">
        <v>2412</v>
      </c>
      <c r="D34" s="64"/>
      <c r="E34" s="64"/>
      <c r="F34" s="64"/>
      <c r="G34" s="64"/>
      <c r="H34" s="64" t="s">
        <v>42</v>
      </c>
      <c r="I34" s="64" t="s">
        <v>22</v>
      </c>
      <c r="J34" s="64" t="s">
        <v>225</v>
      </c>
      <c r="K34" s="64" t="s">
        <v>24</v>
      </c>
      <c r="L34" s="65">
        <v>0.75</v>
      </c>
      <c r="M34" s="65">
        <v>1.0</v>
      </c>
      <c r="N34" s="65">
        <v>0.43</v>
      </c>
      <c r="O34" s="66">
        <v>45080.0</v>
      </c>
      <c r="P34" s="67">
        <v>1.975</v>
      </c>
      <c r="Q34" s="64" t="s">
        <v>79</v>
      </c>
      <c r="R34" s="68">
        <f t="shared" si="1"/>
        <v>-0.215</v>
      </c>
      <c r="S34" s="68">
        <f t="shared" si="4"/>
        <v>3.084973333</v>
      </c>
      <c r="U34" s="30"/>
    </row>
    <row r="35">
      <c r="A35" s="64">
        <f t="shared" si="3"/>
        <v>34</v>
      </c>
      <c r="B35" s="64" t="s">
        <v>19</v>
      </c>
      <c r="C35" s="64" t="s">
        <v>2413</v>
      </c>
      <c r="D35" s="64"/>
      <c r="E35" s="64"/>
      <c r="F35" s="64"/>
      <c r="G35" s="64"/>
      <c r="H35" s="64" t="s">
        <v>448</v>
      </c>
      <c r="I35" s="64" t="s">
        <v>22</v>
      </c>
      <c r="J35" s="64" t="s">
        <v>225</v>
      </c>
      <c r="K35" s="64" t="s">
        <v>24</v>
      </c>
      <c r="L35" s="65">
        <v>0.25</v>
      </c>
      <c r="M35" s="65">
        <v>0.5</v>
      </c>
      <c r="N35" s="65">
        <v>0.05</v>
      </c>
      <c r="O35" s="66">
        <v>45080.0</v>
      </c>
      <c r="P35" s="67">
        <v>1.975</v>
      </c>
      <c r="Q35" s="64" t="s">
        <v>33</v>
      </c>
      <c r="R35" s="68">
        <f t="shared" si="1"/>
        <v>0.04875</v>
      </c>
      <c r="S35" s="68">
        <f t="shared" si="4"/>
        <v>3.133723333</v>
      </c>
      <c r="U35" s="30"/>
    </row>
    <row r="36">
      <c r="A36" s="64">
        <f t="shared" si="3"/>
        <v>35</v>
      </c>
      <c r="B36" s="64" t="s">
        <v>19</v>
      </c>
      <c r="C36" s="64" t="s">
        <v>2414</v>
      </c>
      <c r="D36" s="64"/>
      <c r="E36" s="64"/>
      <c r="F36" s="64"/>
      <c r="G36" s="64"/>
      <c r="H36" s="64" t="s">
        <v>2386</v>
      </c>
      <c r="I36" s="64" t="s">
        <v>598</v>
      </c>
      <c r="J36" s="64" t="s">
        <v>2415</v>
      </c>
      <c r="K36" s="64" t="s">
        <v>39</v>
      </c>
      <c r="L36" s="65">
        <v>5.5</v>
      </c>
      <c r="M36" s="65">
        <v>0.25</v>
      </c>
      <c r="N36" s="65">
        <v>0.25</v>
      </c>
      <c r="O36" s="66">
        <v>45080.0</v>
      </c>
      <c r="P36" s="67">
        <v>1.825</v>
      </c>
      <c r="Q36" s="64" t="s">
        <v>33</v>
      </c>
      <c r="R36" s="68">
        <f t="shared" si="1"/>
        <v>0.20625</v>
      </c>
      <c r="S36" s="68">
        <f t="shared" si="4"/>
        <v>3.339973333</v>
      </c>
      <c r="U36" s="30"/>
    </row>
    <row r="37">
      <c r="A37" s="64">
        <f t="shared" si="3"/>
        <v>36</v>
      </c>
      <c r="B37" s="64" t="s">
        <v>40</v>
      </c>
      <c r="C37" s="64" t="s">
        <v>2416</v>
      </c>
      <c r="D37" s="64"/>
      <c r="E37" s="64"/>
      <c r="F37" s="64"/>
      <c r="G37" s="64"/>
      <c r="H37" s="64" t="s">
        <v>1549</v>
      </c>
      <c r="I37" s="64" t="s">
        <v>22</v>
      </c>
      <c r="J37" s="64" t="s">
        <v>1847</v>
      </c>
      <c r="K37" s="64" t="s">
        <v>24</v>
      </c>
      <c r="L37" s="65">
        <v>-0.5</v>
      </c>
      <c r="M37" s="65">
        <v>0.5</v>
      </c>
      <c r="N37" s="65">
        <v>0.5</v>
      </c>
      <c r="O37" s="66">
        <v>45080.0</v>
      </c>
      <c r="P37" s="67">
        <f>291.67/250</f>
        <v>1.16668</v>
      </c>
      <c r="Q37" s="64" t="s">
        <v>33</v>
      </c>
      <c r="R37" s="68">
        <f t="shared" si="1"/>
        <v>0.08334</v>
      </c>
      <c r="S37" s="68">
        <f t="shared" si="4"/>
        <v>3.423313333</v>
      </c>
      <c r="U37" s="30"/>
    </row>
    <row r="38">
      <c r="A38" s="64">
        <f t="shared" si="3"/>
        <v>37</v>
      </c>
      <c r="B38" s="64" t="s">
        <v>19</v>
      </c>
      <c r="C38" s="64" t="s">
        <v>2417</v>
      </c>
      <c r="D38" s="64"/>
      <c r="E38" s="64"/>
      <c r="F38" s="64"/>
      <c r="G38" s="64"/>
      <c r="H38" s="64" t="s">
        <v>248</v>
      </c>
      <c r="I38" s="64" t="s">
        <v>22</v>
      </c>
      <c r="J38" s="64" t="s">
        <v>225</v>
      </c>
      <c r="K38" s="64" t="s">
        <v>24</v>
      </c>
      <c r="L38" s="65">
        <v>0.25</v>
      </c>
      <c r="M38" s="65">
        <v>0.5</v>
      </c>
      <c r="N38" s="65">
        <v>0.5</v>
      </c>
      <c r="O38" s="66">
        <v>45080.0</v>
      </c>
      <c r="P38" s="67">
        <v>1.925</v>
      </c>
      <c r="Q38" s="64" t="s">
        <v>25</v>
      </c>
      <c r="R38" s="68">
        <f t="shared" si="1"/>
        <v>-0.5</v>
      </c>
      <c r="S38" s="68">
        <f t="shared" si="4"/>
        <v>2.923313333</v>
      </c>
      <c r="U38" s="30"/>
    </row>
    <row r="39">
      <c r="A39" s="64">
        <f t="shared" si="3"/>
        <v>38</v>
      </c>
      <c r="B39" s="64" t="s">
        <v>19</v>
      </c>
      <c r="C39" s="64" t="s">
        <v>2418</v>
      </c>
      <c r="D39" s="64"/>
      <c r="E39" s="64"/>
      <c r="F39" s="64"/>
      <c r="G39" s="64"/>
      <c r="H39" s="64" t="s">
        <v>44</v>
      </c>
      <c r="I39" s="64" t="s">
        <v>22</v>
      </c>
      <c r="J39" s="64" t="s">
        <v>225</v>
      </c>
      <c r="K39" s="64" t="s">
        <v>2201</v>
      </c>
      <c r="L39" s="65">
        <v>0.5</v>
      </c>
      <c r="M39" s="65">
        <v>0.5</v>
      </c>
      <c r="N39" s="65">
        <v>0.5</v>
      </c>
      <c r="O39" s="66">
        <v>45080.0</v>
      </c>
      <c r="P39" s="67">
        <v>1.85</v>
      </c>
      <c r="Q39" s="64" t="s">
        <v>25</v>
      </c>
      <c r="R39" s="68">
        <f t="shared" si="1"/>
        <v>-0.5</v>
      </c>
      <c r="S39" s="68">
        <f t="shared" si="4"/>
        <v>2.423313333</v>
      </c>
      <c r="U39" s="30"/>
    </row>
    <row r="40">
      <c r="A40" s="64">
        <f t="shared" si="3"/>
        <v>39</v>
      </c>
      <c r="B40" s="64" t="s">
        <v>19</v>
      </c>
      <c r="C40" s="64" t="s">
        <v>2419</v>
      </c>
      <c r="D40" s="64"/>
      <c r="E40" s="64"/>
      <c r="F40" s="64"/>
      <c r="G40" s="64"/>
      <c r="H40" s="64" t="s">
        <v>78</v>
      </c>
      <c r="I40" s="64" t="s">
        <v>22</v>
      </c>
      <c r="J40" s="64" t="s">
        <v>225</v>
      </c>
      <c r="K40" s="64" t="s">
        <v>2201</v>
      </c>
      <c r="L40" s="65">
        <v>1.0</v>
      </c>
      <c r="M40" s="65">
        <v>0.5</v>
      </c>
      <c r="N40" s="65">
        <v>0.5</v>
      </c>
      <c r="O40" s="66">
        <v>45080.0</v>
      </c>
      <c r="P40" s="67">
        <v>1.8</v>
      </c>
      <c r="Q40" s="64" t="s">
        <v>70</v>
      </c>
      <c r="R40" s="68">
        <f t="shared" si="1"/>
        <v>0</v>
      </c>
      <c r="S40" s="68">
        <f t="shared" si="4"/>
        <v>2.423313333</v>
      </c>
      <c r="U40" s="30"/>
    </row>
    <row r="41">
      <c r="A41" s="64">
        <f t="shared" si="3"/>
        <v>40</v>
      </c>
      <c r="B41" s="64" t="s">
        <v>19</v>
      </c>
      <c r="C41" s="64" t="s">
        <v>2420</v>
      </c>
      <c r="D41" s="64"/>
      <c r="E41" s="64"/>
      <c r="F41" s="64"/>
      <c r="G41" s="64"/>
      <c r="H41" s="64" t="s">
        <v>635</v>
      </c>
      <c r="I41" s="64" t="s">
        <v>22</v>
      </c>
      <c r="J41" s="64" t="s">
        <v>225</v>
      </c>
      <c r="K41" s="64" t="s">
        <v>24</v>
      </c>
      <c r="L41" s="65">
        <v>0.5</v>
      </c>
      <c r="M41" s="65">
        <v>0.5</v>
      </c>
      <c r="N41" s="65">
        <v>0.5</v>
      </c>
      <c r="O41" s="66">
        <v>45080.0</v>
      </c>
      <c r="P41" s="67">
        <v>1.85</v>
      </c>
      <c r="Q41" s="64" t="s">
        <v>25</v>
      </c>
      <c r="R41" s="68">
        <f t="shared" si="1"/>
        <v>-0.5</v>
      </c>
      <c r="S41" s="68">
        <f t="shared" si="4"/>
        <v>1.923313333</v>
      </c>
      <c r="U41" s="30"/>
    </row>
    <row r="42">
      <c r="A42" s="64">
        <f t="shared" si="3"/>
        <v>41</v>
      </c>
      <c r="B42" s="64" t="s">
        <v>19</v>
      </c>
      <c r="C42" s="64" t="s">
        <v>2421</v>
      </c>
      <c r="D42" s="64"/>
      <c r="E42" s="64"/>
      <c r="F42" s="64"/>
      <c r="G42" s="64"/>
      <c r="H42" s="64" t="s">
        <v>218</v>
      </c>
      <c r="I42" s="64" t="s">
        <v>22</v>
      </c>
      <c r="J42" s="64" t="s">
        <v>225</v>
      </c>
      <c r="K42" s="64" t="s">
        <v>24</v>
      </c>
      <c r="L42" s="65">
        <v>0.5</v>
      </c>
      <c r="M42" s="65">
        <v>1.0</v>
      </c>
      <c r="N42" s="65">
        <v>0.77</v>
      </c>
      <c r="O42" s="66">
        <v>45081.0</v>
      </c>
      <c r="P42" s="67">
        <v>1.8</v>
      </c>
      <c r="Q42" s="64" t="s">
        <v>25</v>
      </c>
      <c r="R42" s="68">
        <f t="shared" si="1"/>
        <v>-0.77</v>
      </c>
      <c r="S42" s="68">
        <f t="shared" si="4"/>
        <v>1.153313333</v>
      </c>
      <c r="U42" s="30"/>
    </row>
    <row r="43">
      <c r="A43" s="64">
        <f t="shared" si="3"/>
        <v>42</v>
      </c>
      <c r="B43" s="64" t="s">
        <v>19</v>
      </c>
      <c r="C43" s="64" t="s">
        <v>2421</v>
      </c>
      <c r="D43" s="64"/>
      <c r="E43" s="64"/>
      <c r="F43" s="64"/>
      <c r="G43" s="64"/>
      <c r="H43" s="64" t="s">
        <v>218</v>
      </c>
      <c r="I43" s="64" t="s">
        <v>22</v>
      </c>
      <c r="J43" s="64" t="s">
        <v>225</v>
      </c>
      <c r="K43" s="64" t="s">
        <v>24</v>
      </c>
      <c r="L43" s="65">
        <v>0.5</v>
      </c>
      <c r="M43" s="65">
        <v>0.5</v>
      </c>
      <c r="N43" s="65">
        <v>0.13</v>
      </c>
      <c r="O43" s="66">
        <v>45081.0</v>
      </c>
      <c r="P43" s="67">
        <v>1.95</v>
      </c>
      <c r="Q43" s="64" t="s">
        <v>25</v>
      </c>
      <c r="R43" s="68">
        <f t="shared" si="1"/>
        <v>-0.13</v>
      </c>
      <c r="S43" s="68">
        <f t="shared" si="4"/>
        <v>1.023313333</v>
      </c>
    </row>
    <row r="44">
      <c r="A44" s="64">
        <f t="shared" si="3"/>
        <v>43</v>
      </c>
      <c r="B44" s="64" t="s">
        <v>19</v>
      </c>
      <c r="C44" s="64" t="s">
        <v>2422</v>
      </c>
      <c r="D44" s="64"/>
      <c r="E44" s="64"/>
      <c r="F44" s="64"/>
      <c r="G44" s="64"/>
      <c r="H44" s="64" t="s">
        <v>908</v>
      </c>
      <c r="I44" s="64" t="s">
        <v>22</v>
      </c>
      <c r="J44" s="64" t="s">
        <v>225</v>
      </c>
      <c r="K44" s="64" t="s">
        <v>1803</v>
      </c>
      <c r="L44" s="65">
        <v>0.5</v>
      </c>
      <c r="M44" s="65">
        <v>1.0</v>
      </c>
      <c r="N44" s="65">
        <v>1.0</v>
      </c>
      <c r="O44" s="66">
        <v>45081.0</v>
      </c>
      <c r="P44" s="67">
        <v>1.9</v>
      </c>
      <c r="Q44" s="64" t="s">
        <v>33</v>
      </c>
      <c r="R44" s="68">
        <f t="shared" si="1"/>
        <v>0.9</v>
      </c>
      <c r="S44" s="68">
        <f t="shared" si="4"/>
        <v>1.923313333</v>
      </c>
    </row>
    <row r="45">
      <c r="A45" s="64">
        <f t="shared" si="3"/>
        <v>44</v>
      </c>
      <c r="B45" s="64" t="s">
        <v>19</v>
      </c>
      <c r="C45" s="64" t="s">
        <v>2423</v>
      </c>
      <c r="D45" s="64"/>
      <c r="E45" s="64"/>
      <c r="F45" s="64"/>
      <c r="G45" s="64"/>
      <c r="H45" s="64" t="s">
        <v>82</v>
      </c>
      <c r="I45" s="64" t="s">
        <v>598</v>
      </c>
      <c r="J45" s="64" t="s">
        <v>2415</v>
      </c>
      <c r="K45" s="64" t="s">
        <v>39</v>
      </c>
      <c r="L45" s="65">
        <v>4.5</v>
      </c>
      <c r="M45" s="65">
        <v>0.25</v>
      </c>
      <c r="N45" s="65">
        <v>0.25</v>
      </c>
      <c r="O45" s="66">
        <v>45081.0</v>
      </c>
      <c r="P45" s="67">
        <v>1.9</v>
      </c>
      <c r="Q45" s="64" t="s">
        <v>25</v>
      </c>
      <c r="R45" s="68">
        <f t="shared" si="1"/>
        <v>-0.25</v>
      </c>
      <c r="S45" s="68">
        <f t="shared" si="4"/>
        <v>1.673313333</v>
      </c>
    </row>
    <row r="46">
      <c r="A46" s="64">
        <f t="shared" si="3"/>
        <v>45</v>
      </c>
      <c r="B46" s="64" t="s">
        <v>19</v>
      </c>
      <c r="C46" s="64" t="s">
        <v>2424</v>
      </c>
      <c r="D46" s="64"/>
      <c r="E46" s="64"/>
      <c r="F46" s="64"/>
      <c r="G46" s="64"/>
      <c r="H46" s="64" t="s">
        <v>218</v>
      </c>
      <c r="I46" s="64" t="s">
        <v>22</v>
      </c>
      <c r="J46" s="64" t="s">
        <v>225</v>
      </c>
      <c r="K46" s="64" t="s">
        <v>24</v>
      </c>
      <c r="L46" s="65">
        <v>0.5</v>
      </c>
      <c r="M46" s="65">
        <v>0.5</v>
      </c>
      <c r="N46" s="65">
        <v>0.5</v>
      </c>
      <c r="O46" s="66">
        <v>45081.0</v>
      </c>
      <c r="P46" s="67">
        <f>675/450</f>
        <v>1.5</v>
      </c>
      <c r="Q46" s="64" t="s">
        <v>33</v>
      </c>
      <c r="R46" s="68">
        <f t="shared" si="1"/>
        <v>0.25</v>
      </c>
      <c r="S46" s="68">
        <f t="shared" si="4"/>
        <v>1.923313333</v>
      </c>
    </row>
    <row r="47">
      <c r="A47" s="64">
        <f t="shared" si="3"/>
        <v>46</v>
      </c>
      <c r="B47" s="64" t="s">
        <v>19</v>
      </c>
      <c r="C47" s="64" t="s">
        <v>2425</v>
      </c>
      <c r="D47" s="64"/>
      <c r="E47" s="64"/>
      <c r="F47" s="64"/>
      <c r="G47" s="64"/>
      <c r="H47" s="64" t="s">
        <v>316</v>
      </c>
      <c r="I47" s="64" t="s">
        <v>22</v>
      </c>
      <c r="J47" s="64" t="s">
        <v>1847</v>
      </c>
      <c r="K47" s="64" t="s">
        <v>2201</v>
      </c>
      <c r="L47" s="65">
        <v>-0.5</v>
      </c>
      <c r="M47" s="65">
        <v>0.5</v>
      </c>
      <c r="N47" s="65">
        <v>0.5</v>
      </c>
      <c r="O47" s="66">
        <v>45081.0</v>
      </c>
      <c r="P47" s="67">
        <v>1.8</v>
      </c>
      <c r="Q47" s="64" t="s">
        <v>25</v>
      </c>
      <c r="R47" s="68">
        <f t="shared" si="1"/>
        <v>-0.5</v>
      </c>
      <c r="S47" s="68">
        <f t="shared" si="4"/>
        <v>1.423313333</v>
      </c>
    </row>
    <row r="48">
      <c r="A48" s="64">
        <f t="shared" si="3"/>
        <v>47</v>
      </c>
      <c r="B48" s="64" t="s">
        <v>19</v>
      </c>
      <c r="C48" s="64" t="s">
        <v>2426</v>
      </c>
      <c r="D48" s="64"/>
      <c r="E48" s="64"/>
      <c r="F48" s="64"/>
      <c r="G48" s="64"/>
      <c r="H48" s="64" t="s">
        <v>121</v>
      </c>
      <c r="I48" s="64" t="s">
        <v>22</v>
      </c>
      <c r="J48" s="64" t="s">
        <v>225</v>
      </c>
      <c r="K48" s="64" t="s">
        <v>1803</v>
      </c>
      <c r="L48" s="65">
        <v>0.25</v>
      </c>
      <c r="M48" s="65">
        <v>1.0</v>
      </c>
      <c r="N48" s="65">
        <v>0.77</v>
      </c>
      <c r="O48" s="66">
        <v>45081.0</v>
      </c>
      <c r="P48" s="67">
        <v>1.775</v>
      </c>
      <c r="Q48" s="64" t="s">
        <v>25</v>
      </c>
      <c r="R48" s="68">
        <f t="shared" si="1"/>
        <v>-0.77</v>
      </c>
      <c r="S48" s="68">
        <f t="shared" si="4"/>
        <v>0.6533133333</v>
      </c>
    </row>
    <row r="49">
      <c r="A49" s="64">
        <f t="shared" si="3"/>
        <v>48</v>
      </c>
      <c r="B49" s="64" t="s">
        <v>19</v>
      </c>
      <c r="C49" s="64" t="s">
        <v>2427</v>
      </c>
      <c r="D49" s="64"/>
      <c r="E49" s="64"/>
      <c r="F49" s="64"/>
      <c r="G49" s="64"/>
      <c r="H49" s="64" t="s">
        <v>218</v>
      </c>
      <c r="I49" s="64" t="s">
        <v>22</v>
      </c>
      <c r="J49" s="64" t="s">
        <v>1847</v>
      </c>
      <c r="K49" s="64" t="s">
        <v>24</v>
      </c>
      <c r="L49" s="65">
        <v>-0.5</v>
      </c>
      <c r="M49" s="65">
        <v>0.1</v>
      </c>
      <c r="N49" s="65">
        <v>0.1</v>
      </c>
      <c r="O49" s="66">
        <v>45081.0</v>
      </c>
      <c r="P49" s="67">
        <v>6.5</v>
      </c>
      <c r="Q49" s="64" t="s">
        <v>33</v>
      </c>
      <c r="R49" s="68">
        <f t="shared" si="1"/>
        <v>0.55</v>
      </c>
      <c r="S49" s="68">
        <f t="shared" si="4"/>
        <v>1.203313333</v>
      </c>
    </row>
    <row r="50">
      <c r="A50" s="64">
        <f t="shared" si="3"/>
        <v>49</v>
      </c>
      <c r="B50" s="64" t="s">
        <v>19</v>
      </c>
      <c r="C50" s="64" t="s">
        <v>2428</v>
      </c>
      <c r="D50" s="64"/>
      <c r="E50" s="64"/>
      <c r="F50" s="64"/>
      <c r="G50" s="64"/>
      <c r="H50" s="64" t="s">
        <v>82</v>
      </c>
      <c r="I50" s="64" t="s">
        <v>22</v>
      </c>
      <c r="J50" s="64" t="s">
        <v>225</v>
      </c>
      <c r="K50" s="64" t="s">
        <v>24</v>
      </c>
      <c r="L50" s="65">
        <v>0.5</v>
      </c>
      <c r="M50" s="65">
        <v>0.5</v>
      </c>
      <c r="N50" s="65">
        <v>0.5</v>
      </c>
      <c r="O50" s="66">
        <v>45081.0</v>
      </c>
      <c r="P50" s="67">
        <v>1.8</v>
      </c>
      <c r="Q50" s="64" t="s">
        <v>25</v>
      </c>
      <c r="R50" s="68">
        <f t="shared" si="1"/>
        <v>-0.5</v>
      </c>
      <c r="S50" s="68">
        <f t="shared" si="4"/>
        <v>0.7033133333</v>
      </c>
    </row>
    <row r="51">
      <c r="A51" s="64">
        <f t="shared" si="3"/>
        <v>50</v>
      </c>
      <c r="B51" s="64" t="s">
        <v>19</v>
      </c>
      <c r="C51" s="64" t="s">
        <v>2429</v>
      </c>
      <c r="D51" s="64"/>
      <c r="E51" s="64"/>
      <c r="F51" s="64"/>
      <c r="G51" s="64"/>
      <c r="H51" s="64" t="s">
        <v>82</v>
      </c>
      <c r="I51" s="64" t="s">
        <v>22</v>
      </c>
      <c r="J51" s="64" t="s">
        <v>29</v>
      </c>
      <c r="K51" s="64" t="s">
        <v>24</v>
      </c>
      <c r="L51" s="65">
        <v>-2.0</v>
      </c>
      <c r="M51" s="65">
        <v>0.5</v>
      </c>
      <c r="N51" s="65">
        <v>0.5</v>
      </c>
      <c r="O51" s="66">
        <v>45081.0</v>
      </c>
      <c r="P51" s="67">
        <v>1.75</v>
      </c>
      <c r="Q51" s="64" t="s">
        <v>25</v>
      </c>
      <c r="R51" s="68">
        <f t="shared" si="1"/>
        <v>-0.5</v>
      </c>
      <c r="S51" s="68">
        <f t="shared" si="4"/>
        <v>0.2033133333</v>
      </c>
    </row>
    <row r="52">
      <c r="A52" s="64">
        <f t="shared" si="3"/>
        <v>51</v>
      </c>
      <c r="B52" s="64" t="s">
        <v>19</v>
      </c>
      <c r="C52" s="64" t="s">
        <v>2430</v>
      </c>
      <c r="D52" s="64"/>
      <c r="E52" s="64"/>
      <c r="F52" s="64"/>
      <c r="G52" s="64"/>
      <c r="H52" s="64" t="s">
        <v>463</v>
      </c>
      <c r="I52" s="64" t="s">
        <v>22</v>
      </c>
      <c r="J52" s="64" t="s">
        <v>225</v>
      </c>
      <c r="K52" s="64" t="s">
        <v>24</v>
      </c>
      <c r="L52" s="65">
        <v>0.25</v>
      </c>
      <c r="M52" s="65">
        <v>1.0</v>
      </c>
      <c r="N52" s="65">
        <v>1.0</v>
      </c>
      <c r="O52" s="66">
        <v>45081.0</v>
      </c>
      <c r="P52" s="67">
        <v>1.825</v>
      </c>
      <c r="Q52" s="64" t="s">
        <v>33</v>
      </c>
      <c r="R52" s="68">
        <f t="shared" si="1"/>
        <v>0.825</v>
      </c>
      <c r="S52" s="68">
        <f t="shared" si="4"/>
        <v>1.028313333</v>
      </c>
    </row>
    <row r="53">
      <c r="A53" s="64">
        <f t="shared" si="3"/>
        <v>52</v>
      </c>
      <c r="B53" s="64" t="s">
        <v>40</v>
      </c>
      <c r="C53" s="64" t="s">
        <v>2431</v>
      </c>
      <c r="D53" s="64"/>
      <c r="E53" s="64"/>
      <c r="F53" s="64"/>
      <c r="G53" s="64"/>
      <c r="H53" s="64" t="s">
        <v>82</v>
      </c>
      <c r="I53" s="64" t="s">
        <v>22</v>
      </c>
      <c r="J53" s="64" t="s">
        <v>225</v>
      </c>
      <c r="K53" s="64" t="s">
        <v>2201</v>
      </c>
      <c r="L53" s="65">
        <v>0.5</v>
      </c>
      <c r="M53" s="65">
        <v>1.0</v>
      </c>
      <c r="N53" s="65">
        <v>1.0</v>
      </c>
      <c r="O53" s="66">
        <v>45081.0</v>
      </c>
      <c r="P53" s="67">
        <v>1.8</v>
      </c>
      <c r="Q53" s="64" t="s">
        <v>33</v>
      </c>
      <c r="R53" s="68">
        <f t="shared" si="1"/>
        <v>0.8</v>
      </c>
      <c r="S53" s="68">
        <f t="shared" si="4"/>
        <v>1.828313333</v>
      </c>
    </row>
    <row r="54">
      <c r="A54" s="64">
        <f t="shared" si="3"/>
        <v>53</v>
      </c>
      <c r="B54" s="64" t="s">
        <v>19</v>
      </c>
      <c r="C54" s="64" t="s">
        <v>2432</v>
      </c>
      <c r="D54" s="64"/>
      <c r="E54" s="64"/>
      <c r="F54" s="64"/>
      <c r="G54" s="64"/>
      <c r="H54" s="64" t="s">
        <v>82</v>
      </c>
      <c r="I54" s="64" t="s">
        <v>22</v>
      </c>
      <c r="J54" s="64" t="s">
        <v>225</v>
      </c>
      <c r="K54" s="64" t="s">
        <v>2201</v>
      </c>
      <c r="L54" s="65">
        <v>0.5</v>
      </c>
      <c r="M54" s="65">
        <v>1.0</v>
      </c>
      <c r="N54" s="65">
        <v>1.0</v>
      </c>
      <c r="O54" s="66">
        <v>45081.0</v>
      </c>
      <c r="P54" s="67">
        <f>1.65</f>
        <v>1.65</v>
      </c>
      <c r="Q54" s="64" t="s">
        <v>33</v>
      </c>
      <c r="R54" s="68">
        <f t="shared" si="1"/>
        <v>0.65</v>
      </c>
      <c r="S54" s="68">
        <f t="shared" si="4"/>
        <v>2.478313333</v>
      </c>
    </row>
    <row r="55">
      <c r="A55" s="64">
        <f t="shared" si="3"/>
        <v>54</v>
      </c>
      <c r="B55" s="64" t="s">
        <v>19</v>
      </c>
      <c r="C55" s="64" t="s">
        <v>2433</v>
      </c>
      <c r="D55" s="64"/>
      <c r="E55" s="64"/>
      <c r="F55" s="64"/>
      <c r="G55" s="64"/>
      <c r="H55" s="64" t="s">
        <v>940</v>
      </c>
      <c r="I55" s="64" t="s">
        <v>22</v>
      </c>
      <c r="J55" s="64" t="s">
        <v>225</v>
      </c>
      <c r="K55" s="64" t="s">
        <v>39</v>
      </c>
      <c r="L55" s="65">
        <v>0.5</v>
      </c>
      <c r="M55" s="65">
        <v>1.0</v>
      </c>
      <c r="N55" s="65">
        <v>1.0</v>
      </c>
      <c r="O55" s="66">
        <v>45081.0</v>
      </c>
      <c r="P55" s="67">
        <f>1764.71/900</f>
        <v>1.960788889</v>
      </c>
      <c r="Q55" s="64" t="s">
        <v>33</v>
      </c>
      <c r="R55" s="68">
        <f t="shared" si="1"/>
        <v>0.9607888889</v>
      </c>
      <c r="S55" s="68">
        <f t="shared" si="4"/>
        <v>3.439102222</v>
      </c>
    </row>
    <row r="56">
      <c r="A56" s="64">
        <f t="shared" si="3"/>
        <v>55</v>
      </c>
      <c r="B56" s="64" t="s">
        <v>19</v>
      </c>
      <c r="C56" s="64" t="s">
        <v>2434</v>
      </c>
      <c r="D56" s="64"/>
      <c r="E56" s="64"/>
      <c r="F56" s="64"/>
      <c r="G56" s="64"/>
      <c r="H56" s="64" t="s">
        <v>463</v>
      </c>
      <c r="I56" s="64" t="s">
        <v>22</v>
      </c>
      <c r="J56" s="64" t="s">
        <v>941</v>
      </c>
      <c r="K56" s="64" t="s">
        <v>24</v>
      </c>
      <c r="L56" s="65">
        <v>0.0</v>
      </c>
      <c r="M56" s="65">
        <v>0.5</v>
      </c>
      <c r="N56" s="65">
        <v>0.5</v>
      </c>
      <c r="O56" s="66">
        <v>45081.0</v>
      </c>
      <c r="P56" s="67">
        <v>2.37</v>
      </c>
      <c r="Q56" s="64" t="s">
        <v>25</v>
      </c>
      <c r="R56" s="68">
        <f t="shared" si="1"/>
        <v>-0.5</v>
      </c>
      <c r="S56" s="68">
        <f t="shared" si="4"/>
        <v>2.939102222</v>
      </c>
    </row>
    <row r="57">
      <c r="A57" s="64">
        <f t="shared" si="3"/>
        <v>56</v>
      </c>
      <c r="B57" s="64" t="s">
        <v>19</v>
      </c>
      <c r="C57" s="64" t="s">
        <v>2435</v>
      </c>
      <c r="D57" s="64"/>
      <c r="E57" s="64"/>
      <c r="F57" s="64"/>
      <c r="G57" s="64"/>
      <c r="H57" s="64" t="s">
        <v>121</v>
      </c>
      <c r="I57" s="64" t="s">
        <v>22</v>
      </c>
      <c r="J57" s="64" t="s">
        <v>225</v>
      </c>
      <c r="K57" s="64" t="s">
        <v>39</v>
      </c>
      <c r="L57" s="65">
        <v>0.5</v>
      </c>
      <c r="M57" s="65">
        <v>1.0</v>
      </c>
      <c r="N57" s="65">
        <v>1.0</v>
      </c>
      <c r="O57" s="66">
        <v>45081.0</v>
      </c>
      <c r="P57" s="67">
        <f>1472.73/900</f>
        <v>1.636366667</v>
      </c>
      <c r="Q57" s="64" t="s">
        <v>33</v>
      </c>
      <c r="R57" s="68">
        <f t="shared" si="1"/>
        <v>0.6363666667</v>
      </c>
      <c r="S57" s="68">
        <f t="shared" si="4"/>
        <v>3.575468889</v>
      </c>
    </row>
    <row r="58">
      <c r="A58" s="64">
        <f t="shared" si="3"/>
        <v>57</v>
      </c>
      <c r="B58" s="64" t="s">
        <v>19</v>
      </c>
      <c r="C58" s="64" t="s">
        <v>2436</v>
      </c>
      <c r="D58" s="64"/>
      <c r="E58" s="64"/>
      <c r="F58" s="64"/>
      <c r="G58" s="64"/>
      <c r="H58" s="64" t="s">
        <v>93</v>
      </c>
      <c r="I58" s="64" t="s">
        <v>22</v>
      </c>
      <c r="J58" s="64" t="s">
        <v>894</v>
      </c>
      <c r="K58" s="64" t="s">
        <v>2201</v>
      </c>
      <c r="L58" s="65">
        <v>-0.75</v>
      </c>
      <c r="M58" s="65">
        <v>0.25</v>
      </c>
      <c r="N58" s="65">
        <v>0.25</v>
      </c>
      <c r="O58" s="66">
        <v>45081.0</v>
      </c>
      <c r="P58" s="67">
        <v>1.9</v>
      </c>
      <c r="Q58" s="64" t="s">
        <v>25</v>
      </c>
      <c r="R58" s="68">
        <f t="shared" si="1"/>
        <v>-0.25</v>
      </c>
      <c r="S58" s="68">
        <f t="shared" si="4"/>
        <v>3.325468889</v>
      </c>
    </row>
    <row r="59">
      <c r="A59" s="64">
        <f t="shared" si="3"/>
        <v>58</v>
      </c>
      <c r="B59" s="64" t="s">
        <v>40</v>
      </c>
      <c r="C59" s="64" t="s">
        <v>2437</v>
      </c>
      <c r="D59" s="64"/>
      <c r="E59" s="64"/>
      <c r="F59" s="64"/>
      <c r="G59" s="64"/>
      <c r="H59" s="64" t="s">
        <v>1260</v>
      </c>
      <c r="I59" s="64" t="s">
        <v>22</v>
      </c>
      <c r="J59" s="64" t="s">
        <v>225</v>
      </c>
      <c r="K59" s="64" t="s">
        <v>24</v>
      </c>
      <c r="L59" s="65">
        <v>1.25</v>
      </c>
      <c r="M59" s="65">
        <v>0.5</v>
      </c>
      <c r="N59" s="65">
        <v>0.12</v>
      </c>
      <c r="O59" s="66">
        <v>45081.0</v>
      </c>
      <c r="P59" s="67">
        <v>1.975</v>
      </c>
      <c r="Q59" s="64" t="s">
        <v>33</v>
      </c>
      <c r="R59" s="68">
        <f t="shared" si="1"/>
        <v>0.117</v>
      </c>
      <c r="S59" s="68">
        <f t="shared" si="4"/>
        <v>3.442468889</v>
      </c>
    </row>
    <row r="60">
      <c r="A60" s="64">
        <f t="shared" si="3"/>
        <v>59</v>
      </c>
      <c r="B60" s="64" t="s">
        <v>19</v>
      </c>
      <c r="C60" s="64" t="s">
        <v>2438</v>
      </c>
      <c r="D60" s="64"/>
      <c r="E60" s="64"/>
      <c r="F60" s="64"/>
      <c r="G60" s="64"/>
      <c r="H60" s="64" t="s">
        <v>374</v>
      </c>
      <c r="I60" s="64" t="s">
        <v>22</v>
      </c>
      <c r="J60" s="64" t="s">
        <v>225</v>
      </c>
      <c r="K60" s="64" t="s">
        <v>2201</v>
      </c>
      <c r="L60" s="65">
        <v>0.5</v>
      </c>
      <c r="M60" s="65">
        <v>0.5</v>
      </c>
      <c r="N60" s="65">
        <v>0.17</v>
      </c>
      <c r="O60" s="66">
        <v>45081.0</v>
      </c>
      <c r="P60" s="67">
        <v>1.825</v>
      </c>
      <c r="Q60" s="64" t="s">
        <v>33</v>
      </c>
      <c r="R60" s="68">
        <f t="shared" si="1"/>
        <v>0.14025</v>
      </c>
      <c r="S60" s="68">
        <f t="shared" si="4"/>
        <v>3.582718889</v>
      </c>
    </row>
    <row r="61">
      <c r="A61" s="64">
        <f t="shared" si="3"/>
        <v>60</v>
      </c>
      <c r="B61" s="64" t="s">
        <v>19</v>
      </c>
      <c r="C61" s="64" t="s">
        <v>2439</v>
      </c>
      <c r="D61" s="64"/>
      <c r="E61" s="64"/>
      <c r="F61" s="64"/>
      <c r="G61" s="64"/>
      <c r="H61" s="64" t="s">
        <v>82</v>
      </c>
      <c r="I61" s="64" t="s">
        <v>22</v>
      </c>
      <c r="J61" s="64" t="s">
        <v>225</v>
      </c>
      <c r="K61" s="64" t="s">
        <v>24</v>
      </c>
      <c r="L61" s="65">
        <v>2.75</v>
      </c>
      <c r="M61" s="65">
        <v>0.5</v>
      </c>
      <c r="N61" s="65">
        <v>0.26</v>
      </c>
      <c r="O61" s="66">
        <v>45081.0</v>
      </c>
      <c r="P61" s="67">
        <v>1.825</v>
      </c>
      <c r="Q61" s="64" t="s">
        <v>79</v>
      </c>
      <c r="R61" s="68">
        <f t="shared" si="1"/>
        <v>-0.13</v>
      </c>
      <c r="S61" s="68">
        <f t="shared" si="4"/>
        <v>3.452718889</v>
      </c>
    </row>
    <row r="62">
      <c r="A62" s="64">
        <f t="shared" si="3"/>
        <v>61</v>
      </c>
      <c r="B62" s="64" t="s">
        <v>19</v>
      </c>
      <c r="C62" s="64" t="s">
        <v>2440</v>
      </c>
      <c r="D62" s="64"/>
      <c r="E62" s="64"/>
      <c r="F62" s="64"/>
      <c r="G62" s="64"/>
      <c r="H62" s="64" t="s">
        <v>82</v>
      </c>
      <c r="I62" s="64" t="s">
        <v>22</v>
      </c>
      <c r="J62" s="64" t="s">
        <v>225</v>
      </c>
      <c r="K62" s="64" t="s">
        <v>24</v>
      </c>
      <c r="L62" s="65">
        <v>2.5</v>
      </c>
      <c r="M62" s="65">
        <v>0.24</v>
      </c>
      <c r="N62" s="65">
        <v>0.24</v>
      </c>
      <c r="O62" s="66">
        <v>45081.0</v>
      </c>
      <c r="P62" s="67">
        <v>2.0</v>
      </c>
      <c r="Q62" s="64" t="s">
        <v>25</v>
      </c>
      <c r="R62" s="68">
        <f t="shared" si="1"/>
        <v>-0.24</v>
      </c>
      <c r="S62" s="68">
        <f t="shared" si="4"/>
        <v>3.212718889</v>
      </c>
    </row>
    <row r="63">
      <c r="A63" s="64">
        <f t="shared" si="3"/>
        <v>62</v>
      </c>
      <c r="B63" s="64" t="s">
        <v>19</v>
      </c>
      <c r="C63" s="64" t="s">
        <v>2441</v>
      </c>
      <c r="D63" s="64"/>
      <c r="E63" s="64"/>
      <c r="F63" s="64"/>
      <c r="G63" s="64"/>
      <c r="H63" s="64" t="s">
        <v>794</v>
      </c>
      <c r="I63" s="64" t="s">
        <v>22</v>
      </c>
      <c r="J63" s="64" t="s">
        <v>29</v>
      </c>
      <c r="K63" s="64" t="s">
        <v>39</v>
      </c>
      <c r="L63" s="65">
        <v>-1.5</v>
      </c>
      <c r="M63" s="65">
        <v>0.5</v>
      </c>
      <c r="N63" s="65">
        <v>0.5</v>
      </c>
      <c r="O63" s="66">
        <v>45083.0</v>
      </c>
      <c r="P63" s="67">
        <v>1.775</v>
      </c>
      <c r="Q63" s="64" t="s">
        <v>33</v>
      </c>
      <c r="R63" s="68">
        <f t="shared" si="1"/>
        <v>0.3875</v>
      </c>
      <c r="S63" s="68">
        <f t="shared" si="4"/>
        <v>3.600218889</v>
      </c>
    </row>
    <row r="64">
      <c r="A64" s="64">
        <f t="shared" si="3"/>
        <v>63</v>
      </c>
      <c r="B64" s="64" t="s">
        <v>19</v>
      </c>
      <c r="C64" s="64" t="s">
        <v>2442</v>
      </c>
      <c r="D64" s="64"/>
      <c r="E64" s="64"/>
      <c r="F64" s="64"/>
      <c r="G64" s="64"/>
      <c r="H64" s="64" t="s">
        <v>853</v>
      </c>
      <c r="I64" s="64" t="s">
        <v>22</v>
      </c>
      <c r="J64" s="64" t="s">
        <v>225</v>
      </c>
      <c r="K64" s="64" t="s">
        <v>24</v>
      </c>
      <c r="L64" s="65">
        <v>0.5</v>
      </c>
      <c r="M64" s="65">
        <v>1.0</v>
      </c>
      <c r="N64" s="65">
        <v>0.46</v>
      </c>
      <c r="O64" s="66">
        <v>45083.0</v>
      </c>
      <c r="P64" s="67">
        <v>2.0</v>
      </c>
      <c r="Q64" s="64" t="s">
        <v>25</v>
      </c>
      <c r="R64" s="68">
        <f t="shared" si="1"/>
        <v>-0.46</v>
      </c>
      <c r="S64" s="68">
        <f t="shared" si="4"/>
        <v>3.140218889</v>
      </c>
    </row>
    <row r="65">
      <c r="A65" s="64">
        <f t="shared" si="3"/>
        <v>64</v>
      </c>
      <c r="B65" s="64" t="s">
        <v>19</v>
      </c>
      <c r="C65" s="64" t="s">
        <v>2443</v>
      </c>
      <c r="D65" s="64"/>
      <c r="E65" s="64"/>
      <c r="F65" s="64"/>
      <c r="G65" s="64"/>
      <c r="H65" s="64" t="s">
        <v>853</v>
      </c>
      <c r="I65" s="64" t="s">
        <v>22</v>
      </c>
      <c r="J65" s="64" t="s">
        <v>225</v>
      </c>
      <c r="K65" s="64" t="s">
        <v>24</v>
      </c>
      <c r="L65" s="65">
        <v>0.25</v>
      </c>
      <c r="M65" s="65">
        <v>1.0</v>
      </c>
      <c r="N65" s="65">
        <v>0.22</v>
      </c>
      <c r="O65" s="66">
        <v>45083.0</v>
      </c>
      <c r="P65" s="67">
        <v>1.725</v>
      </c>
      <c r="Q65" s="64" t="s">
        <v>30</v>
      </c>
      <c r="R65" s="68">
        <f t="shared" si="1"/>
        <v>0.07975</v>
      </c>
      <c r="S65" s="68">
        <f t="shared" si="4"/>
        <v>3.219968889</v>
      </c>
    </row>
    <row r="66">
      <c r="A66" s="64">
        <f t="shared" si="3"/>
        <v>65</v>
      </c>
      <c r="B66" s="64" t="s">
        <v>40</v>
      </c>
      <c r="C66" s="64" t="s">
        <v>2444</v>
      </c>
      <c r="D66" s="64"/>
      <c r="E66" s="64"/>
      <c r="F66" s="64"/>
      <c r="G66" s="64"/>
      <c r="H66" s="64" t="s">
        <v>42</v>
      </c>
      <c r="I66" s="64" t="s">
        <v>22</v>
      </c>
      <c r="J66" s="64" t="s">
        <v>225</v>
      </c>
      <c r="K66" s="64" t="s">
        <v>24</v>
      </c>
      <c r="L66" s="65">
        <v>0.5</v>
      </c>
      <c r="M66" s="65">
        <v>0.5</v>
      </c>
      <c r="N66" s="65">
        <v>0.15</v>
      </c>
      <c r="O66" s="66">
        <v>45083.0</v>
      </c>
      <c r="P66" s="67">
        <v>1.75</v>
      </c>
      <c r="Q66" s="64" t="s">
        <v>25</v>
      </c>
      <c r="R66" s="68">
        <f t="shared" si="1"/>
        <v>-0.15</v>
      </c>
      <c r="S66" s="68">
        <f t="shared" si="4"/>
        <v>3.069968889</v>
      </c>
    </row>
    <row r="67">
      <c r="A67" s="64">
        <f t="shared" si="3"/>
        <v>66</v>
      </c>
      <c r="B67" s="64" t="s">
        <v>19</v>
      </c>
      <c r="C67" s="64" t="s">
        <v>2445</v>
      </c>
      <c r="D67" s="64"/>
      <c r="E67" s="64"/>
      <c r="F67" s="64"/>
      <c r="G67" s="64"/>
      <c r="H67" s="64" t="s">
        <v>432</v>
      </c>
      <c r="I67" s="64" t="s">
        <v>22</v>
      </c>
      <c r="J67" s="64" t="s">
        <v>225</v>
      </c>
      <c r="K67" s="64" t="s">
        <v>24</v>
      </c>
      <c r="L67" s="65">
        <v>0.5</v>
      </c>
      <c r="M67" s="65">
        <v>0.5</v>
      </c>
      <c r="N67" s="65">
        <v>0.5</v>
      </c>
      <c r="O67" s="66">
        <v>45083.0</v>
      </c>
      <c r="P67" s="67">
        <f>787.18/450</f>
        <v>1.749288889</v>
      </c>
      <c r="Q67" s="64" t="s">
        <v>33</v>
      </c>
      <c r="R67" s="68">
        <f t="shared" si="1"/>
        <v>0.3746444444</v>
      </c>
      <c r="S67" s="68">
        <f t="shared" si="4"/>
        <v>3.444613333</v>
      </c>
    </row>
    <row r="68">
      <c r="A68" s="64">
        <f t="shared" si="3"/>
        <v>67</v>
      </c>
      <c r="B68" s="64" t="s">
        <v>19</v>
      </c>
      <c r="C68" s="64" t="s">
        <v>2446</v>
      </c>
      <c r="D68" s="64"/>
      <c r="E68" s="64"/>
      <c r="F68" s="64"/>
      <c r="G68" s="64"/>
      <c r="H68" s="64" t="s">
        <v>432</v>
      </c>
      <c r="I68" s="64" t="s">
        <v>22</v>
      </c>
      <c r="J68" s="64" t="s">
        <v>2415</v>
      </c>
      <c r="K68" s="64" t="s">
        <v>24</v>
      </c>
      <c r="L68" s="65">
        <v>17.5</v>
      </c>
      <c r="M68" s="65">
        <v>0.25</v>
      </c>
      <c r="N68" s="65">
        <v>0.25</v>
      </c>
      <c r="O68" s="66">
        <v>45083.0</v>
      </c>
      <c r="P68" s="67">
        <v>2.05</v>
      </c>
      <c r="Q68" s="64" t="s">
        <v>33</v>
      </c>
      <c r="R68" s="68">
        <f t="shared" si="1"/>
        <v>0.2625</v>
      </c>
      <c r="S68" s="68">
        <f t="shared" si="4"/>
        <v>3.707113333</v>
      </c>
    </row>
    <row r="69">
      <c r="A69" s="64">
        <f t="shared" si="3"/>
        <v>68</v>
      </c>
      <c r="B69" s="64" t="s">
        <v>19</v>
      </c>
      <c r="C69" s="64" t="s">
        <v>2447</v>
      </c>
      <c r="D69" s="64"/>
      <c r="E69" s="64"/>
      <c r="F69" s="64"/>
      <c r="G69" s="64"/>
      <c r="H69" s="64" t="s">
        <v>853</v>
      </c>
      <c r="I69" s="64" t="s">
        <v>22</v>
      </c>
      <c r="J69" s="64" t="s">
        <v>225</v>
      </c>
      <c r="K69" s="64" t="s">
        <v>24</v>
      </c>
      <c r="L69" s="65">
        <v>0.25</v>
      </c>
      <c r="M69" s="65">
        <v>1.0</v>
      </c>
      <c r="N69" s="65">
        <v>0.29</v>
      </c>
      <c r="O69" s="66">
        <v>45083.0</v>
      </c>
      <c r="P69" s="67">
        <v>1.7</v>
      </c>
      <c r="Q69" s="64" t="s">
        <v>33</v>
      </c>
      <c r="R69" s="68">
        <f t="shared" si="1"/>
        <v>0.203</v>
      </c>
      <c r="S69" s="68">
        <f t="shared" si="4"/>
        <v>3.910113333</v>
      </c>
    </row>
    <row r="70">
      <c r="A70" s="64">
        <f t="shared" si="3"/>
        <v>69</v>
      </c>
      <c r="B70" s="64" t="s">
        <v>19</v>
      </c>
      <c r="C70" s="64" t="s">
        <v>2448</v>
      </c>
      <c r="D70" s="64"/>
      <c r="E70" s="64"/>
      <c r="F70" s="64"/>
      <c r="G70" s="64"/>
      <c r="H70" s="64" t="s">
        <v>2449</v>
      </c>
      <c r="I70" s="64" t="s">
        <v>598</v>
      </c>
      <c r="J70" s="64" t="s">
        <v>2450</v>
      </c>
      <c r="K70" s="64" t="s">
        <v>2201</v>
      </c>
      <c r="L70" s="65">
        <v>-0.5</v>
      </c>
      <c r="M70" s="65">
        <v>0.25</v>
      </c>
      <c r="N70" s="65">
        <v>0.25</v>
      </c>
      <c r="O70" s="66">
        <v>45083.0</v>
      </c>
      <c r="P70" s="67">
        <v>1.825</v>
      </c>
      <c r="Q70" s="64" t="s">
        <v>25</v>
      </c>
      <c r="R70" s="68">
        <f t="shared" si="1"/>
        <v>-0.25</v>
      </c>
      <c r="S70" s="68">
        <f t="shared" si="4"/>
        <v>3.660113333</v>
      </c>
    </row>
    <row r="71">
      <c r="A71" s="64">
        <f t="shared" si="3"/>
        <v>70</v>
      </c>
      <c r="B71" s="64" t="s">
        <v>40</v>
      </c>
      <c r="C71" s="64" t="s">
        <v>2451</v>
      </c>
      <c r="D71" s="64"/>
      <c r="E71" s="64"/>
      <c r="F71" s="64"/>
      <c r="G71" s="64"/>
      <c r="H71" s="64" t="s">
        <v>82</v>
      </c>
      <c r="I71" s="64" t="s">
        <v>22</v>
      </c>
      <c r="J71" s="64" t="s">
        <v>225</v>
      </c>
      <c r="K71" s="64" t="s">
        <v>2201</v>
      </c>
      <c r="L71" s="65">
        <v>0.5</v>
      </c>
      <c r="M71" s="65">
        <v>0.5</v>
      </c>
      <c r="N71" s="65">
        <v>0.5</v>
      </c>
      <c r="O71" s="66">
        <v>45083.0</v>
      </c>
      <c r="P71" s="67">
        <v>2.025</v>
      </c>
      <c r="Q71" s="64" t="s">
        <v>25</v>
      </c>
      <c r="R71" s="68">
        <f t="shared" si="1"/>
        <v>-0.5</v>
      </c>
      <c r="S71" s="68">
        <f t="shared" si="4"/>
        <v>3.160113333</v>
      </c>
    </row>
    <row r="72">
      <c r="A72" s="64">
        <f t="shared" si="3"/>
        <v>71</v>
      </c>
      <c r="B72" s="64" t="s">
        <v>19</v>
      </c>
      <c r="C72" s="64" t="s">
        <v>2452</v>
      </c>
      <c r="D72" s="64"/>
      <c r="E72" s="64"/>
      <c r="F72" s="64"/>
      <c r="G72" s="64"/>
      <c r="H72" s="64" t="s">
        <v>2453</v>
      </c>
      <c r="I72" s="64" t="s">
        <v>598</v>
      </c>
      <c r="J72" s="64" t="s">
        <v>1847</v>
      </c>
      <c r="K72" s="64" t="s">
        <v>2201</v>
      </c>
      <c r="L72" s="65">
        <v>-0.5</v>
      </c>
      <c r="M72" s="65">
        <v>0.25</v>
      </c>
      <c r="N72" s="65">
        <v>0.25</v>
      </c>
      <c r="O72" s="66">
        <v>45083.0</v>
      </c>
      <c r="P72" s="67">
        <v>1.75</v>
      </c>
      <c r="Q72" s="64" t="s">
        <v>33</v>
      </c>
      <c r="R72" s="68">
        <f t="shared" si="1"/>
        <v>0.1875</v>
      </c>
      <c r="S72" s="68">
        <f t="shared" si="4"/>
        <v>3.347613333</v>
      </c>
    </row>
    <row r="73">
      <c r="A73" s="64">
        <f t="shared" si="3"/>
        <v>72</v>
      </c>
      <c r="B73" s="64" t="s">
        <v>19</v>
      </c>
      <c r="C73" s="64" t="s">
        <v>2454</v>
      </c>
      <c r="D73" s="64"/>
      <c r="E73" s="64"/>
      <c r="F73" s="64"/>
      <c r="G73" s="64"/>
      <c r="H73" s="64" t="s">
        <v>319</v>
      </c>
      <c r="I73" s="64" t="s">
        <v>22</v>
      </c>
      <c r="J73" s="64" t="s">
        <v>1847</v>
      </c>
      <c r="K73" s="64" t="s">
        <v>39</v>
      </c>
      <c r="L73" s="65">
        <v>-0.5</v>
      </c>
      <c r="M73" s="65">
        <v>0.1</v>
      </c>
      <c r="N73" s="65">
        <v>0.1</v>
      </c>
      <c r="O73" s="66">
        <v>45083.0</v>
      </c>
      <c r="P73" s="67">
        <v>7.0</v>
      </c>
      <c r="Q73" s="64" t="s">
        <v>25</v>
      </c>
      <c r="R73" s="68">
        <f t="shared" si="1"/>
        <v>-0.1</v>
      </c>
      <c r="S73" s="68">
        <f t="shared" si="4"/>
        <v>3.247613333</v>
      </c>
    </row>
    <row r="74">
      <c r="A74" s="64">
        <f t="shared" si="3"/>
        <v>73</v>
      </c>
      <c r="B74" s="64" t="s">
        <v>19</v>
      </c>
      <c r="C74" s="64" t="s">
        <v>2455</v>
      </c>
      <c r="D74" s="64"/>
      <c r="E74" s="64"/>
      <c r="F74" s="64"/>
      <c r="G74" s="64"/>
      <c r="H74" s="64" t="s">
        <v>2456</v>
      </c>
      <c r="I74" s="64" t="s">
        <v>22</v>
      </c>
      <c r="J74" s="64" t="s">
        <v>225</v>
      </c>
      <c r="K74" s="64" t="s">
        <v>2201</v>
      </c>
      <c r="L74" s="65">
        <v>0.25</v>
      </c>
      <c r="M74" s="65">
        <v>1.0</v>
      </c>
      <c r="N74" s="65">
        <v>1.0</v>
      </c>
      <c r="O74" s="66">
        <v>45084.0</v>
      </c>
      <c r="P74" s="67">
        <v>1.8</v>
      </c>
      <c r="Q74" s="64" t="s">
        <v>33</v>
      </c>
      <c r="R74" s="68">
        <f t="shared" si="1"/>
        <v>0.8</v>
      </c>
      <c r="S74" s="68">
        <f t="shared" si="4"/>
        <v>4.047613333</v>
      </c>
    </row>
    <row r="75">
      <c r="A75" s="64">
        <f t="shared" si="3"/>
        <v>74</v>
      </c>
      <c r="B75" s="64" t="s">
        <v>40</v>
      </c>
      <c r="C75" s="64" t="s">
        <v>2457</v>
      </c>
      <c r="D75" s="64"/>
      <c r="E75" s="64"/>
      <c r="F75" s="64"/>
      <c r="G75" s="64"/>
      <c r="H75" s="64" t="s">
        <v>189</v>
      </c>
      <c r="I75" s="64" t="s">
        <v>22</v>
      </c>
      <c r="J75" s="64" t="s">
        <v>225</v>
      </c>
      <c r="K75" s="64" t="s">
        <v>2201</v>
      </c>
      <c r="L75" s="65">
        <v>1.5</v>
      </c>
      <c r="M75" s="65">
        <v>1.0</v>
      </c>
      <c r="N75" s="65">
        <v>0.35</v>
      </c>
      <c r="O75" s="66">
        <v>45084.0</v>
      </c>
      <c r="P75" s="67">
        <v>1.8</v>
      </c>
      <c r="Q75" s="64" t="s">
        <v>25</v>
      </c>
      <c r="R75" s="68">
        <f t="shared" si="1"/>
        <v>-0.35</v>
      </c>
      <c r="S75" s="68">
        <f t="shared" si="4"/>
        <v>3.697613333</v>
      </c>
    </row>
    <row r="76">
      <c r="A76" s="64">
        <f t="shared" si="3"/>
        <v>75</v>
      </c>
      <c r="B76" s="64" t="s">
        <v>40</v>
      </c>
      <c r="C76" s="64" t="s">
        <v>2458</v>
      </c>
      <c r="D76" s="64"/>
      <c r="E76" s="64"/>
      <c r="F76" s="64"/>
      <c r="G76" s="64"/>
      <c r="H76" s="64" t="s">
        <v>189</v>
      </c>
      <c r="I76" s="64" t="s">
        <v>22</v>
      </c>
      <c r="J76" s="64" t="s">
        <v>225</v>
      </c>
      <c r="K76" s="64" t="s">
        <v>2201</v>
      </c>
      <c r="L76" s="65">
        <v>1.25</v>
      </c>
      <c r="M76" s="65">
        <v>0.33</v>
      </c>
      <c r="N76" s="65">
        <v>0.325</v>
      </c>
      <c r="O76" s="66">
        <v>45084.0</v>
      </c>
      <c r="P76" s="67">
        <v>2.0</v>
      </c>
      <c r="Q76" s="64" t="s">
        <v>25</v>
      </c>
      <c r="R76" s="68">
        <f t="shared" si="1"/>
        <v>-0.325</v>
      </c>
      <c r="S76" s="68">
        <f t="shared" si="4"/>
        <v>3.372613333</v>
      </c>
    </row>
    <row r="77">
      <c r="A77" s="64">
        <f t="shared" si="3"/>
        <v>76</v>
      </c>
      <c r="B77" s="64" t="s">
        <v>19</v>
      </c>
      <c r="C77" s="64" t="s">
        <v>2459</v>
      </c>
      <c r="D77" s="64"/>
      <c r="E77" s="64"/>
      <c r="F77" s="64"/>
      <c r="G77" s="64"/>
      <c r="H77" s="64" t="s">
        <v>115</v>
      </c>
      <c r="I77" s="64" t="s">
        <v>22</v>
      </c>
      <c r="J77" s="64" t="s">
        <v>225</v>
      </c>
      <c r="K77" s="64" t="s">
        <v>39</v>
      </c>
      <c r="L77" s="65">
        <v>0.5</v>
      </c>
      <c r="M77" s="65">
        <v>1.0</v>
      </c>
      <c r="N77" s="65">
        <v>1.0</v>
      </c>
      <c r="O77" s="66">
        <v>45084.0</v>
      </c>
      <c r="P77" s="67">
        <v>1.78</v>
      </c>
      <c r="Q77" s="64" t="s">
        <v>33</v>
      </c>
      <c r="R77" s="68">
        <f t="shared" si="1"/>
        <v>0.78</v>
      </c>
      <c r="S77" s="68">
        <f t="shared" si="4"/>
        <v>4.152613333</v>
      </c>
    </row>
    <row r="78">
      <c r="A78" s="64">
        <f t="shared" si="3"/>
        <v>77</v>
      </c>
      <c r="B78" s="64" t="s">
        <v>19</v>
      </c>
      <c r="C78" s="64" t="s">
        <v>2460</v>
      </c>
      <c r="D78" s="64"/>
      <c r="E78" s="64"/>
      <c r="F78" s="64"/>
      <c r="G78" s="64"/>
      <c r="H78" s="64" t="s">
        <v>2453</v>
      </c>
      <c r="I78" s="64" t="s">
        <v>598</v>
      </c>
      <c r="J78" s="64" t="s">
        <v>1847</v>
      </c>
      <c r="K78" s="64" t="s">
        <v>2201</v>
      </c>
      <c r="L78" s="65">
        <v>-0.5</v>
      </c>
      <c r="M78" s="65">
        <v>0.25</v>
      </c>
      <c r="N78" s="65">
        <v>0.25</v>
      </c>
      <c r="O78" s="66">
        <v>45084.0</v>
      </c>
      <c r="P78" s="67">
        <v>1.7</v>
      </c>
      <c r="Q78" s="64" t="s">
        <v>33</v>
      </c>
      <c r="R78" s="68">
        <f t="shared" si="1"/>
        <v>0.175</v>
      </c>
      <c r="S78" s="68">
        <f t="shared" si="4"/>
        <v>4.327613333</v>
      </c>
    </row>
    <row r="79">
      <c r="A79" s="64">
        <f t="shared" si="3"/>
        <v>78</v>
      </c>
      <c r="B79" s="64" t="s">
        <v>19</v>
      </c>
      <c r="C79" s="64" t="s">
        <v>2461</v>
      </c>
      <c r="D79" s="64"/>
      <c r="E79" s="64"/>
      <c r="F79" s="64"/>
      <c r="G79" s="64"/>
      <c r="H79" s="64" t="s">
        <v>191</v>
      </c>
      <c r="I79" s="64" t="s">
        <v>22</v>
      </c>
      <c r="J79" s="64" t="s">
        <v>440</v>
      </c>
      <c r="K79" s="64" t="s">
        <v>39</v>
      </c>
      <c r="L79" s="65">
        <v>3.0</v>
      </c>
      <c r="M79" s="65">
        <v>0.5</v>
      </c>
      <c r="N79" s="65">
        <v>0.5</v>
      </c>
      <c r="O79" s="66">
        <v>45084.0</v>
      </c>
      <c r="P79" s="67">
        <v>1.95</v>
      </c>
      <c r="Q79" s="64" t="s">
        <v>25</v>
      </c>
      <c r="R79" s="68">
        <f t="shared" si="1"/>
        <v>-0.5</v>
      </c>
      <c r="S79" s="68">
        <f t="shared" si="4"/>
        <v>3.827613333</v>
      </c>
    </row>
    <row r="80">
      <c r="A80" s="64">
        <f t="shared" si="3"/>
        <v>79</v>
      </c>
      <c r="B80" s="64" t="s">
        <v>19</v>
      </c>
      <c r="C80" s="64" t="s">
        <v>2462</v>
      </c>
      <c r="D80" s="64"/>
      <c r="E80" s="64"/>
      <c r="F80" s="64"/>
      <c r="G80" s="64"/>
      <c r="H80" s="64" t="s">
        <v>2380</v>
      </c>
      <c r="I80" s="64" t="s">
        <v>22</v>
      </c>
      <c r="J80" s="64" t="s">
        <v>225</v>
      </c>
      <c r="K80" s="64" t="s">
        <v>1803</v>
      </c>
      <c r="L80" s="65">
        <v>0.5</v>
      </c>
      <c r="M80" s="65">
        <v>0.5</v>
      </c>
      <c r="N80" s="65">
        <v>0.5</v>
      </c>
      <c r="O80" s="66">
        <v>45084.0</v>
      </c>
      <c r="P80" s="67">
        <v>1.875</v>
      </c>
      <c r="Q80" s="64" t="s">
        <v>33</v>
      </c>
      <c r="R80" s="68">
        <f t="shared" si="1"/>
        <v>0.4375</v>
      </c>
      <c r="S80" s="68">
        <f t="shared" si="4"/>
        <v>4.265113333</v>
      </c>
    </row>
    <row r="81">
      <c r="A81" s="64">
        <f t="shared" si="3"/>
        <v>80</v>
      </c>
      <c r="B81" s="64" t="s">
        <v>19</v>
      </c>
      <c r="C81" s="64" t="s">
        <v>2463</v>
      </c>
      <c r="D81" s="64"/>
      <c r="E81" s="64"/>
      <c r="F81" s="64"/>
      <c r="G81" s="64"/>
      <c r="H81" s="64" t="s">
        <v>78</v>
      </c>
      <c r="I81" s="64" t="s">
        <v>22</v>
      </c>
      <c r="J81" s="64" t="s">
        <v>892</v>
      </c>
      <c r="K81" s="64" t="s">
        <v>2201</v>
      </c>
      <c r="L81" s="65">
        <v>0.0</v>
      </c>
      <c r="M81" s="65">
        <v>1.0</v>
      </c>
      <c r="N81" s="65">
        <v>1.0</v>
      </c>
      <c r="O81" s="66">
        <v>45084.0</v>
      </c>
      <c r="P81" s="67">
        <v>2.0</v>
      </c>
      <c r="Q81" s="64" t="s">
        <v>33</v>
      </c>
      <c r="R81" s="68">
        <f t="shared" si="1"/>
        <v>1</v>
      </c>
      <c r="S81" s="68">
        <f t="shared" si="4"/>
        <v>5.265113333</v>
      </c>
    </row>
    <row r="82">
      <c r="A82" s="64">
        <f t="shared" si="3"/>
        <v>81</v>
      </c>
      <c r="B82" s="64" t="s">
        <v>19</v>
      </c>
      <c r="C82" s="64" t="s">
        <v>2464</v>
      </c>
      <c r="D82" s="64"/>
      <c r="E82" s="64"/>
      <c r="F82" s="64"/>
      <c r="G82" s="64"/>
      <c r="H82" s="64" t="s">
        <v>463</v>
      </c>
      <c r="I82" s="64" t="s">
        <v>22</v>
      </c>
      <c r="J82" s="64" t="s">
        <v>225</v>
      </c>
      <c r="K82" s="64" t="s">
        <v>2201</v>
      </c>
      <c r="L82" s="65">
        <v>0.5</v>
      </c>
      <c r="M82" s="65">
        <v>0.5</v>
      </c>
      <c r="N82" s="65">
        <v>0.5</v>
      </c>
      <c r="O82" s="66">
        <v>45084.0</v>
      </c>
      <c r="P82" s="67">
        <v>1.85</v>
      </c>
      <c r="Q82" s="64" t="s">
        <v>33</v>
      </c>
      <c r="R82" s="68">
        <f t="shared" si="1"/>
        <v>0.425</v>
      </c>
      <c r="S82" s="68">
        <f t="shared" si="4"/>
        <v>5.690113333</v>
      </c>
    </row>
    <row r="83">
      <c r="A83" s="64">
        <f t="shared" si="3"/>
        <v>82</v>
      </c>
      <c r="B83" s="64" t="s">
        <v>40</v>
      </c>
      <c r="C83" s="64" t="s">
        <v>2465</v>
      </c>
      <c r="D83" s="64"/>
      <c r="E83" s="64"/>
      <c r="F83" s="64"/>
      <c r="G83" s="64"/>
      <c r="H83" s="64" t="s">
        <v>78</v>
      </c>
      <c r="I83" s="64" t="s">
        <v>22</v>
      </c>
      <c r="J83" s="64" t="s">
        <v>2415</v>
      </c>
      <c r="K83" s="64" t="s">
        <v>24</v>
      </c>
      <c r="L83" s="65">
        <v>2.0</v>
      </c>
      <c r="M83" s="65">
        <v>0.25</v>
      </c>
      <c r="N83" s="65">
        <v>0.25</v>
      </c>
      <c r="O83" s="66">
        <v>45084.0</v>
      </c>
      <c r="P83" s="67">
        <v>1.775</v>
      </c>
      <c r="Q83" s="64" t="s">
        <v>70</v>
      </c>
      <c r="R83" s="68">
        <f t="shared" si="1"/>
        <v>0</v>
      </c>
      <c r="S83" s="68">
        <f t="shared" si="4"/>
        <v>5.690113333</v>
      </c>
    </row>
    <row r="84">
      <c r="A84" s="64">
        <f t="shared" si="3"/>
        <v>83</v>
      </c>
      <c r="B84" s="64" t="s">
        <v>40</v>
      </c>
      <c r="C84" s="64" t="s">
        <v>2466</v>
      </c>
      <c r="D84" s="64"/>
      <c r="E84" s="64"/>
      <c r="F84" s="64"/>
      <c r="G84" s="64"/>
      <c r="H84" s="64" t="s">
        <v>683</v>
      </c>
      <c r="I84" s="64" t="s">
        <v>22</v>
      </c>
      <c r="J84" s="64" t="s">
        <v>29</v>
      </c>
      <c r="K84" s="64" t="s">
        <v>24</v>
      </c>
      <c r="L84" s="65">
        <v>-4.25</v>
      </c>
      <c r="M84" s="65">
        <v>0.5</v>
      </c>
      <c r="N84" s="65">
        <v>0.34</v>
      </c>
      <c r="O84" s="66">
        <v>45084.0</v>
      </c>
      <c r="P84" s="67">
        <v>1.875</v>
      </c>
      <c r="Q84" s="64" t="s">
        <v>33</v>
      </c>
      <c r="R84" s="68">
        <f t="shared" si="1"/>
        <v>0.2975</v>
      </c>
      <c r="S84" s="68">
        <f t="shared" si="4"/>
        <v>5.987613333</v>
      </c>
    </row>
    <row r="85">
      <c r="A85" s="64">
        <f t="shared" si="3"/>
        <v>84</v>
      </c>
      <c r="B85" s="64" t="s">
        <v>19</v>
      </c>
      <c r="C85" s="64" t="s">
        <v>2467</v>
      </c>
      <c r="D85" s="64"/>
      <c r="E85" s="64"/>
      <c r="F85" s="64"/>
      <c r="G85" s="64"/>
      <c r="H85" s="64" t="s">
        <v>2468</v>
      </c>
      <c r="I85" s="64" t="s">
        <v>22</v>
      </c>
      <c r="J85" s="64" t="s">
        <v>892</v>
      </c>
      <c r="K85" s="64" t="s">
        <v>2201</v>
      </c>
      <c r="L85" s="65">
        <v>0.0</v>
      </c>
      <c r="M85" s="65">
        <v>0.5</v>
      </c>
      <c r="N85" s="65">
        <v>0.5</v>
      </c>
      <c r="O85" s="66">
        <v>45085.0</v>
      </c>
      <c r="P85" s="67">
        <v>2.025</v>
      </c>
      <c r="Q85" s="64" t="s">
        <v>70</v>
      </c>
      <c r="R85" s="68">
        <f t="shared" si="1"/>
        <v>0</v>
      </c>
      <c r="S85" s="68">
        <f t="shared" si="4"/>
        <v>5.987613333</v>
      </c>
    </row>
    <row r="86">
      <c r="A86" s="64">
        <f t="shared" si="3"/>
        <v>85</v>
      </c>
      <c r="B86" s="64" t="s">
        <v>19</v>
      </c>
      <c r="C86" s="64" t="s">
        <v>2469</v>
      </c>
      <c r="D86" s="64"/>
      <c r="E86" s="64"/>
      <c r="F86" s="64"/>
      <c r="G86" s="64"/>
      <c r="H86" s="64" t="s">
        <v>2380</v>
      </c>
      <c r="I86" s="64" t="s">
        <v>22</v>
      </c>
      <c r="J86" s="64" t="s">
        <v>225</v>
      </c>
      <c r="K86" s="64" t="s">
        <v>1803</v>
      </c>
      <c r="L86" s="65">
        <v>0.5</v>
      </c>
      <c r="M86" s="65">
        <v>0.5</v>
      </c>
      <c r="N86" s="65">
        <v>0.5</v>
      </c>
      <c r="O86" s="66">
        <v>45085.0</v>
      </c>
      <c r="P86" s="67">
        <v>1.925</v>
      </c>
      <c r="Q86" s="64" t="s">
        <v>70</v>
      </c>
      <c r="R86" s="68">
        <f t="shared" si="1"/>
        <v>0</v>
      </c>
      <c r="S86" s="68">
        <f t="shared" si="4"/>
        <v>5.987613333</v>
      </c>
    </row>
    <row r="87">
      <c r="A87" s="64">
        <f t="shared" si="3"/>
        <v>86</v>
      </c>
      <c r="B87" s="64" t="s">
        <v>19</v>
      </c>
      <c r="C87" s="64" t="s">
        <v>2470</v>
      </c>
      <c r="D87" s="64"/>
      <c r="E87" s="64"/>
      <c r="F87" s="64"/>
      <c r="G87" s="64"/>
      <c r="H87" s="64" t="s">
        <v>2468</v>
      </c>
      <c r="I87" s="64" t="s">
        <v>22</v>
      </c>
      <c r="J87" s="64" t="s">
        <v>892</v>
      </c>
      <c r="K87" s="64" t="s">
        <v>2201</v>
      </c>
      <c r="L87" s="65">
        <v>0.0</v>
      </c>
      <c r="M87" s="65">
        <v>0.5</v>
      </c>
      <c r="N87" s="65">
        <v>0.5</v>
      </c>
      <c r="O87" s="66">
        <v>45085.0</v>
      </c>
      <c r="P87" s="67">
        <v>1.5</v>
      </c>
      <c r="Q87" s="64" t="s">
        <v>70</v>
      </c>
      <c r="R87" s="68">
        <f t="shared" si="1"/>
        <v>0</v>
      </c>
      <c r="S87" s="68">
        <f t="shared" si="4"/>
        <v>5.987613333</v>
      </c>
    </row>
    <row r="88">
      <c r="A88" s="64">
        <f t="shared" si="3"/>
        <v>87</v>
      </c>
      <c r="B88" s="64" t="s">
        <v>19</v>
      </c>
      <c r="C88" s="64" t="s">
        <v>2471</v>
      </c>
      <c r="D88" s="64"/>
      <c r="E88" s="64"/>
      <c r="F88" s="64"/>
      <c r="G88" s="64"/>
      <c r="H88" s="64" t="s">
        <v>513</v>
      </c>
      <c r="I88" s="64" t="s">
        <v>22</v>
      </c>
      <c r="J88" s="64" t="s">
        <v>440</v>
      </c>
      <c r="K88" s="64" t="s">
        <v>39</v>
      </c>
      <c r="L88" s="65">
        <v>1.0</v>
      </c>
      <c r="M88" s="65">
        <v>0.25</v>
      </c>
      <c r="N88" s="65">
        <v>0.25</v>
      </c>
      <c r="O88" s="66">
        <v>45085.0</v>
      </c>
      <c r="P88" s="67">
        <v>1.7</v>
      </c>
      <c r="Q88" s="64" t="s">
        <v>70</v>
      </c>
      <c r="R88" s="68">
        <f t="shared" si="1"/>
        <v>0</v>
      </c>
      <c r="S88" s="68">
        <f t="shared" si="4"/>
        <v>5.987613333</v>
      </c>
    </row>
    <row r="89">
      <c r="A89" s="64">
        <f t="shared" si="3"/>
        <v>88</v>
      </c>
      <c r="B89" s="64" t="s">
        <v>19</v>
      </c>
      <c r="C89" s="64" t="s">
        <v>2472</v>
      </c>
      <c r="D89" s="64"/>
      <c r="E89" s="64"/>
      <c r="F89" s="64"/>
      <c r="G89" s="64"/>
      <c r="H89" s="64" t="s">
        <v>248</v>
      </c>
      <c r="I89" s="64" t="s">
        <v>22</v>
      </c>
      <c r="J89" s="64" t="s">
        <v>225</v>
      </c>
      <c r="K89" s="64" t="s">
        <v>24</v>
      </c>
      <c r="L89" s="65">
        <v>0.25</v>
      </c>
      <c r="M89" s="65">
        <v>0.5</v>
      </c>
      <c r="N89" s="65">
        <v>0.5</v>
      </c>
      <c r="O89" s="66">
        <v>45085.0</v>
      </c>
      <c r="P89" s="67">
        <v>1.775</v>
      </c>
      <c r="Q89" s="64" t="s">
        <v>30</v>
      </c>
      <c r="R89" s="68">
        <f t="shared" si="1"/>
        <v>0.19375</v>
      </c>
      <c r="S89" s="68">
        <f t="shared" si="4"/>
        <v>6.181363333</v>
      </c>
    </row>
    <row r="90">
      <c r="A90" s="64">
        <f t="shared" si="3"/>
        <v>89</v>
      </c>
      <c r="B90" s="64" t="s">
        <v>19</v>
      </c>
      <c r="C90" s="64" t="s">
        <v>2473</v>
      </c>
      <c r="D90" s="64"/>
      <c r="E90" s="64"/>
      <c r="F90" s="64"/>
      <c r="G90" s="64"/>
      <c r="H90" s="64" t="s">
        <v>513</v>
      </c>
      <c r="I90" s="64" t="s">
        <v>22</v>
      </c>
      <c r="J90" s="64" t="s">
        <v>892</v>
      </c>
      <c r="K90" s="64" t="s">
        <v>2201</v>
      </c>
      <c r="L90" s="65">
        <v>0.0</v>
      </c>
      <c r="M90" s="65">
        <v>0.5</v>
      </c>
      <c r="N90" s="65">
        <v>0.5</v>
      </c>
      <c r="O90" s="66">
        <v>45085.0</v>
      </c>
      <c r="P90" s="67">
        <v>1.95</v>
      </c>
      <c r="Q90" s="64" t="s">
        <v>33</v>
      </c>
      <c r="R90" s="68">
        <f t="shared" si="1"/>
        <v>0.475</v>
      </c>
      <c r="S90" s="68">
        <f t="shared" si="4"/>
        <v>6.656363333</v>
      </c>
    </row>
    <row r="91">
      <c r="A91" s="64">
        <f t="shared" si="3"/>
        <v>90</v>
      </c>
      <c r="B91" s="64" t="s">
        <v>19</v>
      </c>
      <c r="C91" s="64" t="s">
        <v>2474</v>
      </c>
      <c r="D91" s="64"/>
      <c r="E91" s="64"/>
      <c r="F91" s="64"/>
      <c r="G91" s="64"/>
      <c r="H91" s="64" t="s">
        <v>920</v>
      </c>
      <c r="I91" s="64" t="s">
        <v>22</v>
      </c>
      <c r="J91" s="64" t="s">
        <v>941</v>
      </c>
      <c r="K91" s="64" t="s">
        <v>2201</v>
      </c>
      <c r="L91" s="65">
        <v>0.0</v>
      </c>
      <c r="M91" s="65">
        <v>0.5</v>
      </c>
      <c r="N91" s="65">
        <v>0.5</v>
      </c>
      <c r="O91" s="66">
        <v>45085.0</v>
      </c>
      <c r="P91" s="67">
        <v>2.2</v>
      </c>
      <c r="Q91" s="64" t="s">
        <v>33</v>
      </c>
      <c r="R91" s="68">
        <f t="shared" si="1"/>
        <v>0.6</v>
      </c>
      <c r="S91" s="68">
        <f t="shared" si="4"/>
        <v>7.256363333</v>
      </c>
    </row>
    <row r="92">
      <c r="A92" s="64">
        <f t="shared" si="3"/>
        <v>91</v>
      </c>
      <c r="B92" s="64" t="s">
        <v>19</v>
      </c>
      <c r="C92" s="64" t="s">
        <v>2475</v>
      </c>
      <c r="D92" s="64"/>
      <c r="E92" s="64"/>
      <c r="F92" s="64"/>
      <c r="G92" s="64"/>
      <c r="H92" s="64" t="s">
        <v>2386</v>
      </c>
      <c r="I92" s="64" t="s">
        <v>22</v>
      </c>
      <c r="J92" s="64" t="s">
        <v>225</v>
      </c>
      <c r="K92" s="64" t="s">
        <v>2201</v>
      </c>
      <c r="L92" s="65">
        <v>0.5</v>
      </c>
      <c r="M92" s="65">
        <v>0.5</v>
      </c>
      <c r="N92" s="65">
        <v>0.5</v>
      </c>
      <c r="O92" s="66">
        <v>45085.0</v>
      </c>
      <c r="P92" s="67">
        <v>1.85</v>
      </c>
      <c r="Q92" s="64" t="s">
        <v>25</v>
      </c>
      <c r="R92" s="68">
        <f t="shared" si="1"/>
        <v>-0.5</v>
      </c>
      <c r="S92" s="68">
        <f t="shared" si="4"/>
        <v>6.756363333</v>
      </c>
    </row>
    <row r="93">
      <c r="A93" s="64">
        <f t="shared" si="3"/>
        <v>92</v>
      </c>
      <c r="B93" s="64" t="s">
        <v>19</v>
      </c>
      <c r="C93" s="64" t="s">
        <v>2476</v>
      </c>
      <c r="D93" s="64"/>
      <c r="E93" s="64"/>
      <c r="F93" s="64"/>
      <c r="G93" s="64"/>
      <c r="H93" s="64" t="s">
        <v>2380</v>
      </c>
      <c r="I93" s="64" t="s">
        <v>22</v>
      </c>
      <c r="J93" s="64" t="s">
        <v>225</v>
      </c>
      <c r="K93" s="64" t="s">
        <v>24</v>
      </c>
      <c r="L93" s="65">
        <v>1.75</v>
      </c>
      <c r="M93" s="65">
        <v>0.5</v>
      </c>
      <c r="N93" s="65">
        <v>0.26</v>
      </c>
      <c r="O93" s="66">
        <v>45086.0</v>
      </c>
      <c r="P93" s="67">
        <v>1.8</v>
      </c>
      <c r="Q93" s="64" t="s">
        <v>79</v>
      </c>
      <c r="R93" s="68">
        <f t="shared" si="1"/>
        <v>-0.13</v>
      </c>
      <c r="S93" s="68">
        <f t="shared" si="4"/>
        <v>6.626363333</v>
      </c>
    </row>
    <row r="94">
      <c r="A94" s="64">
        <f t="shared" si="3"/>
        <v>93</v>
      </c>
      <c r="B94" s="64" t="s">
        <v>19</v>
      </c>
      <c r="C94" s="64" t="s">
        <v>2477</v>
      </c>
      <c r="D94" s="64"/>
      <c r="E94" s="64"/>
      <c r="F94" s="64"/>
      <c r="G94" s="64"/>
      <c r="H94" s="64" t="s">
        <v>2380</v>
      </c>
      <c r="I94" s="64" t="s">
        <v>22</v>
      </c>
      <c r="J94" s="64" t="s">
        <v>225</v>
      </c>
      <c r="K94" s="64" t="s">
        <v>24</v>
      </c>
      <c r="L94" s="65">
        <v>1.5</v>
      </c>
      <c r="M94" s="65">
        <v>0.24</v>
      </c>
      <c r="N94" s="65">
        <v>0.24</v>
      </c>
      <c r="O94" s="66">
        <v>45086.0</v>
      </c>
      <c r="P94" s="67">
        <v>1.95</v>
      </c>
      <c r="Q94" s="64" t="s">
        <v>25</v>
      </c>
      <c r="R94" s="68">
        <f t="shared" si="1"/>
        <v>-0.24</v>
      </c>
      <c r="S94" s="68">
        <f t="shared" si="4"/>
        <v>6.386363333</v>
      </c>
    </row>
    <row r="95">
      <c r="A95" s="64">
        <f t="shared" si="3"/>
        <v>94</v>
      </c>
      <c r="B95" s="64" t="s">
        <v>19</v>
      </c>
      <c r="C95" s="64" t="s">
        <v>2478</v>
      </c>
      <c r="D95" s="64"/>
      <c r="E95" s="64"/>
      <c r="F95" s="64"/>
      <c r="G95" s="64"/>
      <c r="H95" s="64" t="s">
        <v>2380</v>
      </c>
      <c r="I95" s="64" t="s">
        <v>22</v>
      </c>
      <c r="J95" s="64" t="s">
        <v>1165</v>
      </c>
      <c r="K95" s="64" t="s">
        <v>24</v>
      </c>
      <c r="L95" s="65"/>
      <c r="M95" s="65">
        <v>0.1</v>
      </c>
      <c r="N95" s="65">
        <v>0.1</v>
      </c>
      <c r="O95" s="66">
        <v>45086.0</v>
      </c>
      <c r="P95" s="67">
        <v>6.5</v>
      </c>
      <c r="Q95" s="64" t="s">
        <v>25</v>
      </c>
      <c r="R95" s="68">
        <f t="shared" si="1"/>
        <v>-0.1</v>
      </c>
      <c r="S95" s="68">
        <f t="shared" si="4"/>
        <v>6.286363333</v>
      </c>
    </row>
    <row r="96">
      <c r="A96" s="64">
        <f t="shared" si="3"/>
        <v>95</v>
      </c>
      <c r="B96" s="64" t="s">
        <v>19</v>
      </c>
      <c r="C96" s="64" t="s">
        <v>2479</v>
      </c>
      <c r="D96" s="64"/>
      <c r="E96" s="64"/>
      <c r="F96" s="64"/>
      <c r="G96" s="64"/>
      <c r="H96" s="64" t="s">
        <v>82</v>
      </c>
      <c r="I96" s="64" t="s">
        <v>22</v>
      </c>
      <c r="J96" s="64" t="s">
        <v>1847</v>
      </c>
      <c r="K96" s="64" t="s">
        <v>24</v>
      </c>
      <c r="L96" s="65">
        <v>-0.5</v>
      </c>
      <c r="M96" s="65">
        <v>0.5</v>
      </c>
      <c r="N96" s="65">
        <v>0.5</v>
      </c>
      <c r="O96" s="66">
        <v>45086.0</v>
      </c>
      <c r="P96" s="67">
        <v>2.2</v>
      </c>
      <c r="Q96" s="64" t="s">
        <v>25</v>
      </c>
      <c r="R96" s="68">
        <f t="shared" si="1"/>
        <v>-0.5</v>
      </c>
      <c r="S96" s="68">
        <f t="shared" si="4"/>
        <v>5.786363333</v>
      </c>
    </row>
    <row r="97">
      <c r="A97" s="64">
        <f t="shared" si="3"/>
        <v>96</v>
      </c>
      <c r="B97" s="64" t="s">
        <v>19</v>
      </c>
      <c r="C97" s="64" t="s">
        <v>2480</v>
      </c>
      <c r="D97" s="64"/>
      <c r="E97" s="64"/>
      <c r="F97" s="64"/>
      <c r="G97" s="64"/>
      <c r="H97" s="64" t="s">
        <v>683</v>
      </c>
      <c r="I97" s="64" t="s">
        <v>22</v>
      </c>
      <c r="J97" s="64" t="s">
        <v>892</v>
      </c>
      <c r="K97" s="64" t="s">
        <v>24</v>
      </c>
      <c r="L97" s="65">
        <v>0.0</v>
      </c>
      <c r="M97" s="65">
        <v>1.0</v>
      </c>
      <c r="N97" s="65">
        <v>1.0</v>
      </c>
      <c r="O97" s="66">
        <v>45086.0</v>
      </c>
      <c r="P97" s="67">
        <v>1.75</v>
      </c>
      <c r="Q97" s="64" t="s">
        <v>33</v>
      </c>
      <c r="R97" s="68">
        <f t="shared" si="1"/>
        <v>0.75</v>
      </c>
      <c r="S97" s="68">
        <f t="shared" si="4"/>
        <v>6.536363333</v>
      </c>
    </row>
    <row r="98">
      <c r="A98" s="64">
        <f t="shared" si="3"/>
        <v>97</v>
      </c>
      <c r="B98" s="64" t="s">
        <v>19</v>
      </c>
      <c r="C98" s="64" t="s">
        <v>2481</v>
      </c>
      <c r="D98" s="64"/>
      <c r="E98" s="64"/>
      <c r="F98" s="64"/>
      <c r="G98" s="64"/>
      <c r="H98" s="64" t="s">
        <v>923</v>
      </c>
      <c r="I98" s="64" t="s">
        <v>22</v>
      </c>
      <c r="J98" s="64" t="s">
        <v>892</v>
      </c>
      <c r="K98" s="64" t="s">
        <v>24</v>
      </c>
      <c r="L98" s="65">
        <v>0.0</v>
      </c>
      <c r="M98" s="65">
        <v>1.0</v>
      </c>
      <c r="N98" s="65">
        <v>0.68</v>
      </c>
      <c r="O98" s="66">
        <v>45086.0</v>
      </c>
      <c r="P98" s="67">
        <v>1.75</v>
      </c>
      <c r="Q98" s="64" t="s">
        <v>70</v>
      </c>
      <c r="R98" s="68">
        <f t="shared" si="1"/>
        <v>0</v>
      </c>
      <c r="S98" s="68">
        <f t="shared" si="4"/>
        <v>6.536363333</v>
      </c>
    </row>
    <row r="99">
      <c r="A99" s="64">
        <f t="shared" si="3"/>
        <v>98</v>
      </c>
      <c r="B99" s="64" t="s">
        <v>19</v>
      </c>
      <c r="C99" s="64" t="s">
        <v>2482</v>
      </c>
      <c r="D99" s="64"/>
      <c r="E99" s="64"/>
      <c r="F99" s="64"/>
      <c r="G99" s="64"/>
      <c r="H99" s="64" t="s">
        <v>794</v>
      </c>
      <c r="I99" s="64" t="s">
        <v>22</v>
      </c>
      <c r="J99" s="64" t="s">
        <v>894</v>
      </c>
      <c r="K99" s="64" t="s">
        <v>2201</v>
      </c>
      <c r="L99" s="65">
        <v>-0.5</v>
      </c>
      <c r="M99" s="65">
        <v>0.5</v>
      </c>
      <c r="N99" s="65">
        <v>0.5</v>
      </c>
      <c r="O99" s="66">
        <v>45086.0</v>
      </c>
      <c r="P99" s="67">
        <v>1.925</v>
      </c>
      <c r="Q99" s="64" t="s">
        <v>33</v>
      </c>
      <c r="R99" s="68">
        <f t="shared" si="1"/>
        <v>0.4625</v>
      </c>
      <c r="S99" s="68">
        <f t="shared" si="4"/>
        <v>6.998863333</v>
      </c>
    </row>
    <row r="100">
      <c r="A100" s="64">
        <f t="shared" si="3"/>
        <v>99</v>
      </c>
      <c r="B100" s="64" t="s">
        <v>19</v>
      </c>
      <c r="C100" s="64" t="s">
        <v>2483</v>
      </c>
      <c r="D100" s="64"/>
      <c r="E100" s="64"/>
      <c r="F100" s="64"/>
      <c r="G100" s="64"/>
      <c r="H100" s="64" t="s">
        <v>191</v>
      </c>
      <c r="I100" s="64" t="s">
        <v>22</v>
      </c>
      <c r="J100" s="64" t="s">
        <v>225</v>
      </c>
      <c r="K100" s="64" t="s">
        <v>39</v>
      </c>
      <c r="L100" s="65">
        <v>0.5</v>
      </c>
      <c r="M100" s="65">
        <v>1.0</v>
      </c>
      <c r="N100" s="65">
        <v>0.91</v>
      </c>
      <c r="O100" s="66">
        <v>45086.0</v>
      </c>
      <c r="P100" s="67">
        <v>1.75</v>
      </c>
      <c r="Q100" s="64" t="s">
        <v>33</v>
      </c>
      <c r="R100" s="68">
        <f t="shared" si="1"/>
        <v>0.6825</v>
      </c>
      <c r="S100" s="68">
        <f t="shared" si="4"/>
        <v>7.681363333</v>
      </c>
    </row>
    <row r="101">
      <c r="A101" s="64">
        <f t="shared" si="3"/>
        <v>100</v>
      </c>
      <c r="B101" s="64" t="s">
        <v>19</v>
      </c>
      <c r="C101" s="64" t="s">
        <v>2484</v>
      </c>
      <c r="D101" s="64"/>
      <c r="E101" s="64"/>
      <c r="F101" s="64"/>
      <c r="G101" s="64"/>
      <c r="H101" s="64" t="s">
        <v>463</v>
      </c>
      <c r="I101" s="64" t="s">
        <v>22</v>
      </c>
      <c r="J101" s="64" t="s">
        <v>892</v>
      </c>
      <c r="K101" s="64" t="s">
        <v>2201</v>
      </c>
      <c r="L101" s="65">
        <v>0.0</v>
      </c>
      <c r="M101" s="65">
        <v>1.0</v>
      </c>
      <c r="N101" s="65">
        <v>1.0</v>
      </c>
      <c r="O101" s="66">
        <v>45086.0</v>
      </c>
      <c r="P101" s="67">
        <v>1.9</v>
      </c>
      <c r="Q101" s="64" t="s">
        <v>25</v>
      </c>
      <c r="R101" s="68">
        <f t="shared" si="1"/>
        <v>-1</v>
      </c>
      <c r="S101" s="68">
        <f t="shared" si="4"/>
        <v>6.681363333</v>
      </c>
    </row>
    <row r="102">
      <c r="A102" s="64">
        <f t="shared" si="3"/>
        <v>101</v>
      </c>
      <c r="B102" s="64" t="s">
        <v>19</v>
      </c>
      <c r="C102" s="64" t="s">
        <v>2485</v>
      </c>
      <c r="D102" s="64"/>
      <c r="E102" s="64"/>
      <c r="F102" s="64"/>
      <c r="G102" s="64"/>
      <c r="H102" s="64" t="s">
        <v>432</v>
      </c>
      <c r="I102" s="64" t="s">
        <v>22</v>
      </c>
      <c r="J102" s="64" t="s">
        <v>225</v>
      </c>
      <c r="K102" s="64" t="s">
        <v>1803</v>
      </c>
      <c r="L102" s="65">
        <v>0.5</v>
      </c>
      <c r="M102" s="65">
        <v>1.0</v>
      </c>
      <c r="N102" s="65">
        <v>1.0</v>
      </c>
      <c r="O102" s="66">
        <v>45086.0</v>
      </c>
      <c r="P102" s="67">
        <v>1.95</v>
      </c>
      <c r="Q102" s="64" t="s">
        <v>25</v>
      </c>
      <c r="R102" s="68">
        <f t="shared" si="1"/>
        <v>-1</v>
      </c>
      <c r="S102" s="68">
        <f t="shared" si="4"/>
        <v>5.681363333</v>
      </c>
    </row>
    <row r="103">
      <c r="A103" s="64">
        <f t="shared" si="3"/>
        <v>102</v>
      </c>
      <c r="B103" s="64" t="s">
        <v>19</v>
      </c>
      <c r="C103" s="64" t="s">
        <v>2486</v>
      </c>
      <c r="D103" s="64"/>
      <c r="E103" s="64"/>
      <c r="F103" s="64"/>
      <c r="G103" s="64"/>
      <c r="H103" s="64" t="s">
        <v>231</v>
      </c>
      <c r="I103" s="64" t="s">
        <v>22</v>
      </c>
      <c r="J103" s="64" t="s">
        <v>892</v>
      </c>
      <c r="K103" s="64" t="s">
        <v>24</v>
      </c>
      <c r="L103" s="65">
        <v>0.0</v>
      </c>
      <c r="M103" s="65">
        <v>1.0</v>
      </c>
      <c r="N103" s="65">
        <v>1.0</v>
      </c>
      <c r="O103" s="69">
        <v>45086.0</v>
      </c>
      <c r="P103" s="67">
        <v>1.95</v>
      </c>
      <c r="Q103" s="64" t="s">
        <v>33</v>
      </c>
      <c r="R103" s="68">
        <f t="shared" si="1"/>
        <v>0.95</v>
      </c>
      <c r="S103" s="68">
        <f t="shared" si="4"/>
        <v>6.631363333</v>
      </c>
    </row>
    <row r="104">
      <c r="A104" s="64">
        <f t="shared" si="3"/>
        <v>103</v>
      </c>
      <c r="B104" s="64" t="s">
        <v>40</v>
      </c>
      <c r="C104" s="64" t="s">
        <v>2487</v>
      </c>
      <c r="D104" s="64"/>
      <c r="E104" s="64"/>
      <c r="F104" s="64"/>
      <c r="G104" s="64"/>
      <c r="H104" s="64" t="s">
        <v>58</v>
      </c>
      <c r="I104" s="64" t="s">
        <v>22</v>
      </c>
      <c r="J104" s="64" t="s">
        <v>225</v>
      </c>
      <c r="K104" s="64" t="s">
        <v>24</v>
      </c>
      <c r="L104" s="65">
        <v>2.25</v>
      </c>
      <c r="M104" s="65">
        <v>0.5</v>
      </c>
      <c r="N104" s="65">
        <v>0.5</v>
      </c>
      <c r="O104" s="66">
        <v>45086.0</v>
      </c>
      <c r="P104" s="67">
        <v>1.9</v>
      </c>
      <c r="Q104" s="64" t="s">
        <v>33</v>
      </c>
      <c r="R104" s="68">
        <f t="shared" si="1"/>
        <v>0.45</v>
      </c>
      <c r="S104" s="68">
        <f t="shared" si="4"/>
        <v>7.081363333</v>
      </c>
    </row>
    <row r="105">
      <c r="A105" s="64">
        <f t="shared" si="3"/>
        <v>104</v>
      </c>
      <c r="B105" s="64" t="s">
        <v>19</v>
      </c>
      <c r="C105" s="64" t="s">
        <v>2488</v>
      </c>
      <c r="D105" s="64"/>
      <c r="E105" s="64"/>
      <c r="F105" s="64"/>
      <c r="G105" s="64"/>
      <c r="H105" s="64" t="s">
        <v>513</v>
      </c>
      <c r="I105" s="64" t="s">
        <v>22</v>
      </c>
      <c r="J105" s="64" t="s">
        <v>894</v>
      </c>
      <c r="K105" s="64" t="s">
        <v>2201</v>
      </c>
      <c r="L105" s="65">
        <v>-0.25</v>
      </c>
      <c r="M105" s="65">
        <v>0.5</v>
      </c>
      <c r="N105" s="65">
        <v>0.5</v>
      </c>
      <c r="O105" s="66">
        <v>45086.0</v>
      </c>
      <c r="P105" s="67">
        <v>1.75</v>
      </c>
      <c r="Q105" s="64" t="s">
        <v>79</v>
      </c>
      <c r="R105" s="68">
        <f t="shared" si="1"/>
        <v>-0.25</v>
      </c>
      <c r="S105" s="68">
        <f t="shared" si="4"/>
        <v>6.831363333</v>
      </c>
    </row>
    <row r="106">
      <c r="A106" s="64">
        <f t="shared" si="3"/>
        <v>105</v>
      </c>
      <c r="B106" s="64" t="s">
        <v>40</v>
      </c>
      <c r="C106" s="64" t="s">
        <v>2489</v>
      </c>
      <c r="D106" s="64"/>
      <c r="E106" s="64"/>
      <c r="F106" s="64"/>
      <c r="G106" s="64"/>
      <c r="H106" s="64" t="s">
        <v>683</v>
      </c>
      <c r="I106" s="64" t="s">
        <v>22</v>
      </c>
      <c r="J106" s="64" t="s">
        <v>225</v>
      </c>
      <c r="K106" s="64" t="s">
        <v>24</v>
      </c>
      <c r="L106" s="65">
        <v>2.75</v>
      </c>
      <c r="M106" s="65">
        <v>0.5</v>
      </c>
      <c r="N106" s="65">
        <v>0.5</v>
      </c>
      <c r="O106" s="66">
        <v>45086.0</v>
      </c>
      <c r="P106" s="67">
        <f>285.02/250</f>
        <v>1.14008</v>
      </c>
      <c r="Q106" s="64" t="s">
        <v>33</v>
      </c>
      <c r="R106" s="68">
        <f t="shared" si="1"/>
        <v>0.07004</v>
      </c>
      <c r="S106" s="68">
        <f t="shared" si="4"/>
        <v>6.901403333</v>
      </c>
    </row>
    <row r="107">
      <c r="A107" s="64">
        <f t="shared" si="3"/>
        <v>106</v>
      </c>
      <c r="B107" s="64" t="s">
        <v>19</v>
      </c>
      <c r="C107" s="64" t="s">
        <v>2490</v>
      </c>
      <c r="D107" s="64"/>
      <c r="E107" s="64"/>
      <c r="F107" s="64"/>
      <c r="G107" s="64"/>
      <c r="H107" s="64" t="s">
        <v>82</v>
      </c>
      <c r="I107" s="64" t="s">
        <v>22</v>
      </c>
      <c r="J107" s="64" t="s">
        <v>225</v>
      </c>
      <c r="K107" s="64" t="s">
        <v>2201</v>
      </c>
      <c r="L107" s="65">
        <v>0.25</v>
      </c>
      <c r="M107" s="65">
        <v>0.5</v>
      </c>
      <c r="N107" s="65">
        <v>0.5</v>
      </c>
      <c r="O107" s="66">
        <v>45086.0</v>
      </c>
      <c r="P107" s="67">
        <v>1.775</v>
      </c>
      <c r="Q107" s="64" t="s">
        <v>30</v>
      </c>
      <c r="R107" s="68">
        <f t="shared" si="1"/>
        <v>0.19375</v>
      </c>
      <c r="S107" s="68">
        <f t="shared" si="4"/>
        <v>7.095153333</v>
      </c>
    </row>
    <row r="108">
      <c r="A108" s="64">
        <f t="shared" si="3"/>
        <v>107</v>
      </c>
      <c r="B108" s="64" t="s">
        <v>19</v>
      </c>
      <c r="C108" s="64" t="s">
        <v>2491</v>
      </c>
      <c r="D108" s="64"/>
      <c r="E108" s="64"/>
      <c r="F108" s="64"/>
      <c r="G108" s="64"/>
      <c r="H108" s="64" t="s">
        <v>794</v>
      </c>
      <c r="I108" s="64" t="s">
        <v>22</v>
      </c>
      <c r="J108" s="64" t="s">
        <v>1847</v>
      </c>
      <c r="K108" s="64" t="s">
        <v>2201</v>
      </c>
      <c r="L108" s="65">
        <v>-0.5</v>
      </c>
      <c r="M108" s="65">
        <v>0.25</v>
      </c>
      <c r="N108" s="65">
        <v>0.25</v>
      </c>
      <c r="O108" s="66">
        <v>45086.0</v>
      </c>
      <c r="P108" s="67">
        <v>1.72</v>
      </c>
      <c r="Q108" s="64" t="s">
        <v>25</v>
      </c>
      <c r="R108" s="68">
        <f t="shared" si="1"/>
        <v>-0.25</v>
      </c>
      <c r="S108" s="68">
        <f t="shared" si="4"/>
        <v>6.845153333</v>
      </c>
    </row>
    <row r="109">
      <c r="A109" s="64">
        <f t="shared" si="3"/>
        <v>108</v>
      </c>
      <c r="B109" s="64" t="s">
        <v>19</v>
      </c>
      <c r="C109" s="64" t="s">
        <v>2492</v>
      </c>
      <c r="D109" s="64"/>
      <c r="E109" s="64"/>
      <c r="F109" s="64"/>
      <c r="G109" s="64"/>
      <c r="H109" s="64" t="s">
        <v>82</v>
      </c>
      <c r="I109" s="64" t="s">
        <v>598</v>
      </c>
      <c r="J109" s="64" t="s">
        <v>892</v>
      </c>
      <c r="K109" s="64" t="s">
        <v>39</v>
      </c>
      <c r="L109" s="65">
        <v>0.0</v>
      </c>
      <c r="M109" s="65">
        <v>0.5</v>
      </c>
      <c r="N109" s="65">
        <v>0.5</v>
      </c>
      <c r="O109" s="66">
        <v>45087.0</v>
      </c>
      <c r="P109" s="67">
        <v>1.825</v>
      </c>
      <c r="Q109" s="64" t="s">
        <v>70</v>
      </c>
      <c r="R109" s="68">
        <f t="shared" si="1"/>
        <v>0</v>
      </c>
      <c r="S109" s="68">
        <f t="shared" si="4"/>
        <v>6.845153333</v>
      </c>
    </row>
    <row r="110">
      <c r="A110" s="64">
        <f t="shared" si="3"/>
        <v>109</v>
      </c>
      <c r="B110" s="64" t="s">
        <v>19</v>
      </c>
      <c r="C110" s="64" t="s">
        <v>2493</v>
      </c>
      <c r="D110" s="64"/>
      <c r="E110" s="64"/>
      <c r="F110" s="64"/>
      <c r="G110" s="64"/>
      <c r="H110" s="64" t="s">
        <v>940</v>
      </c>
      <c r="I110" s="64" t="s">
        <v>22</v>
      </c>
      <c r="J110" s="64" t="s">
        <v>225</v>
      </c>
      <c r="K110" s="64" t="s">
        <v>39</v>
      </c>
      <c r="L110" s="65">
        <v>0.5</v>
      </c>
      <c r="M110" s="65">
        <v>0.5</v>
      </c>
      <c r="N110" s="65">
        <v>0.5</v>
      </c>
      <c r="O110" s="66">
        <v>45087.0</v>
      </c>
      <c r="P110" s="67">
        <v>1.775</v>
      </c>
      <c r="Q110" s="64" t="s">
        <v>25</v>
      </c>
      <c r="R110" s="68">
        <f t="shared" si="1"/>
        <v>-0.5</v>
      </c>
      <c r="S110" s="68">
        <f t="shared" si="4"/>
        <v>6.345153333</v>
      </c>
    </row>
    <row r="111">
      <c r="A111" s="64">
        <f t="shared" si="3"/>
        <v>110</v>
      </c>
      <c r="B111" s="64" t="s">
        <v>40</v>
      </c>
      <c r="C111" s="64" t="s">
        <v>2494</v>
      </c>
      <c r="D111" s="64"/>
      <c r="E111" s="64"/>
      <c r="F111" s="64"/>
      <c r="G111" s="64"/>
      <c r="H111" s="64" t="s">
        <v>463</v>
      </c>
      <c r="I111" s="64" t="s">
        <v>22</v>
      </c>
      <c r="J111" s="64" t="s">
        <v>225</v>
      </c>
      <c r="K111" s="64" t="s">
        <v>24</v>
      </c>
      <c r="L111" s="65">
        <v>0.5</v>
      </c>
      <c r="M111" s="65">
        <v>1.0</v>
      </c>
      <c r="N111" s="65">
        <v>0.09</v>
      </c>
      <c r="O111" s="66">
        <v>45087.0</v>
      </c>
      <c r="P111" s="67">
        <v>1.95</v>
      </c>
      <c r="Q111" s="64" t="s">
        <v>33</v>
      </c>
      <c r="R111" s="68">
        <f t="shared" si="1"/>
        <v>0.0855</v>
      </c>
      <c r="S111" s="68">
        <f t="shared" si="4"/>
        <v>6.430653333</v>
      </c>
    </row>
    <row r="112">
      <c r="A112" s="64">
        <f t="shared" si="3"/>
        <v>111</v>
      </c>
      <c r="B112" s="64" t="s">
        <v>19</v>
      </c>
      <c r="C112" s="64" t="s">
        <v>2495</v>
      </c>
      <c r="D112" s="64"/>
      <c r="E112" s="64"/>
      <c r="F112" s="64"/>
      <c r="G112" s="64"/>
      <c r="H112" s="64" t="s">
        <v>940</v>
      </c>
      <c r="I112" s="64" t="s">
        <v>22</v>
      </c>
      <c r="J112" s="64" t="s">
        <v>225</v>
      </c>
      <c r="K112" s="64" t="s">
        <v>2201</v>
      </c>
      <c r="L112" s="65">
        <v>0.25</v>
      </c>
      <c r="M112" s="65">
        <v>1.0</v>
      </c>
      <c r="N112" s="65">
        <v>1.0</v>
      </c>
      <c r="O112" s="66">
        <v>45087.0</v>
      </c>
      <c r="P112" s="67">
        <v>1.75</v>
      </c>
      <c r="Q112" s="64" t="s">
        <v>25</v>
      </c>
      <c r="R112" s="68">
        <f t="shared" si="1"/>
        <v>-1</v>
      </c>
      <c r="S112" s="68">
        <f t="shared" si="4"/>
        <v>5.430653333</v>
      </c>
    </row>
    <row r="113">
      <c r="A113" s="64">
        <f t="shared" si="3"/>
        <v>112</v>
      </c>
      <c r="B113" s="64" t="s">
        <v>40</v>
      </c>
      <c r="C113" s="64" t="s">
        <v>2496</v>
      </c>
      <c r="D113" s="64"/>
      <c r="E113" s="64"/>
      <c r="F113" s="64"/>
      <c r="G113" s="64"/>
      <c r="H113" s="64" t="s">
        <v>513</v>
      </c>
      <c r="I113" s="64" t="s">
        <v>22</v>
      </c>
      <c r="J113" s="64" t="s">
        <v>225</v>
      </c>
      <c r="K113" s="64" t="s">
        <v>24</v>
      </c>
      <c r="L113" s="65">
        <v>0.25</v>
      </c>
      <c r="M113" s="65">
        <v>1.0</v>
      </c>
      <c r="N113" s="65">
        <v>1.0</v>
      </c>
      <c r="O113" s="66">
        <v>45087.0</v>
      </c>
      <c r="P113" s="67">
        <v>1.8</v>
      </c>
      <c r="Q113" s="64" t="s">
        <v>25</v>
      </c>
      <c r="R113" s="68">
        <f t="shared" si="1"/>
        <v>-1</v>
      </c>
      <c r="S113" s="68">
        <f t="shared" si="4"/>
        <v>4.430653333</v>
      </c>
    </row>
    <row r="114">
      <c r="A114" s="64">
        <f t="shared" si="3"/>
        <v>113</v>
      </c>
      <c r="B114" s="64" t="s">
        <v>40</v>
      </c>
      <c r="C114" s="64" t="s">
        <v>2497</v>
      </c>
      <c r="D114" s="64"/>
      <c r="E114" s="64"/>
      <c r="F114" s="64"/>
      <c r="G114" s="64"/>
      <c r="H114" s="64" t="s">
        <v>908</v>
      </c>
      <c r="I114" s="64" t="s">
        <v>22</v>
      </c>
      <c r="J114" s="64" t="s">
        <v>225</v>
      </c>
      <c r="K114" s="64" t="s">
        <v>2201</v>
      </c>
      <c r="L114" s="65">
        <v>0.5</v>
      </c>
      <c r="M114" s="65">
        <v>1.0</v>
      </c>
      <c r="N114" s="65">
        <v>1.0</v>
      </c>
      <c r="O114" s="66">
        <v>45087.0</v>
      </c>
      <c r="P114" s="67">
        <v>1.775</v>
      </c>
      <c r="Q114" s="64" t="s">
        <v>25</v>
      </c>
      <c r="R114" s="68">
        <f t="shared" si="1"/>
        <v>-1</v>
      </c>
      <c r="S114" s="68">
        <f t="shared" si="4"/>
        <v>3.430653333</v>
      </c>
    </row>
    <row r="115">
      <c r="A115" s="64">
        <f t="shared" si="3"/>
        <v>114</v>
      </c>
      <c r="B115" s="64" t="s">
        <v>19</v>
      </c>
      <c r="C115" s="64" t="s">
        <v>2498</v>
      </c>
      <c r="D115" s="64"/>
      <c r="E115" s="64"/>
      <c r="F115" s="64"/>
      <c r="G115" s="64"/>
      <c r="H115" s="64" t="s">
        <v>44</v>
      </c>
      <c r="I115" s="64" t="s">
        <v>22</v>
      </c>
      <c r="J115" s="64" t="s">
        <v>225</v>
      </c>
      <c r="K115" s="64" t="s">
        <v>2201</v>
      </c>
      <c r="L115" s="65">
        <v>0.5</v>
      </c>
      <c r="M115" s="65">
        <v>1.0</v>
      </c>
      <c r="N115" s="65">
        <v>0.71</v>
      </c>
      <c r="O115" s="66">
        <v>45087.0</v>
      </c>
      <c r="P115" s="67">
        <v>1.775</v>
      </c>
      <c r="Q115" s="64" t="s">
        <v>33</v>
      </c>
      <c r="R115" s="68">
        <f t="shared" si="1"/>
        <v>0.55025</v>
      </c>
      <c r="S115" s="68">
        <f t="shared" si="4"/>
        <v>3.980903333</v>
      </c>
    </row>
    <row r="116">
      <c r="A116" s="64">
        <f t="shared" si="3"/>
        <v>115</v>
      </c>
      <c r="B116" s="64" t="s">
        <v>19</v>
      </c>
      <c r="C116" s="64" t="s">
        <v>2499</v>
      </c>
      <c r="D116" s="64"/>
      <c r="E116" s="64"/>
      <c r="F116" s="64"/>
      <c r="G116" s="64"/>
      <c r="H116" s="64" t="s">
        <v>463</v>
      </c>
      <c r="I116" s="64" t="s">
        <v>22</v>
      </c>
      <c r="J116" s="64" t="s">
        <v>225</v>
      </c>
      <c r="K116" s="64" t="s">
        <v>24</v>
      </c>
      <c r="L116" s="65">
        <v>0.5</v>
      </c>
      <c r="M116" s="65">
        <v>1.0</v>
      </c>
      <c r="N116" s="65">
        <v>1.0</v>
      </c>
      <c r="O116" s="66">
        <v>45087.0</v>
      </c>
      <c r="P116" s="67">
        <v>1.05</v>
      </c>
      <c r="Q116" s="64" t="s">
        <v>33</v>
      </c>
      <c r="R116" s="68">
        <f t="shared" si="1"/>
        <v>0.05</v>
      </c>
      <c r="S116" s="68">
        <f t="shared" si="4"/>
        <v>4.030903333</v>
      </c>
    </row>
    <row r="117">
      <c r="A117" s="64">
        <f t="shared" si="3"/>
        <v>116</v>
      </c>
      <c r="B117" s="64" t="s">
        <v>19</v>
      </c>
      <c r="C117" s="64" t="s">
        <v>2500</v>
      </c>
      <c r="D117" s="64"/>
      <c r="E117" s="64"/>
      <c r="F117" s="64"/>
      <c r="G117" s="64"/>
      <c r="H117" s="64" t="s">
        <v>463</v>
      </c>
      <c r="I117" s="64" t="s">
        <v>22</v>
      </c>
      <c r="J117" s="64" t="s">
        <v>225</v>
      </c>
      <c r="K117" s="64" t="s">
        <v>24</v>
      </c>
      <c r="L117" s="65">
        <v>0.5</v>
      </c>
      <c r="M117" s="65">
        <v>1.0</v>
      </c>
      <c r="N117" s="65">
        <v>1.0</v>
      </c>
      <c r="O117" s="66">
        <v>45087.0</v>
      </c>
      <c r="P117" s="67">
        <v>1.9</v>
      </c>
      <c r="Q117" s="64" t="s">
        <v>33</v>
      </c>
      <c r="R117" s="68">
        <f t="shared" si="1"/>
        <v>0.9</v>
      </c>
      <c r="S117" s="68">
        <f t="shared" si="4"/>
        <v>4.930903333</v>
      </c>
    </row>
    <row r="118">
      <c r="A118" s="64">
        <f t="shared" si="3"/>
        <v>117</v>
      </c>
      <c r="B118" s="64" t="s">
        <v>19</v>
      </c>
      <c r="C118" s="64" t="s">
        <v>2501</v>
      </c>
      <c r="D118" s="64"/>
      <c r="E118" s="64"/>
      <c r="F118" s="64"/>
      <c r="G118" s="64"/>
      <c r="H118" s="64" t="s">
        <v>1470</v>
      </c>
      <c r="I118" s="64" t="s">
        <v>22</v>
      </c>
      <c r="J118" s="64" t="s">
        <v>225</v>
      </c>
      <c r="K118" s="64" t="s">
        <v>24</v>
      </c>
      <c r="L118" s="65">
        <v>0.5</v>
      </c>
      <c r="M118" s="65">
        <v>1.0</v>
      </c>
      <c r="N118" s="65">
        <v>0.38</v>
      </c>
      <c r="O118" s="66">
        <v>45087.0</v>
      </c>
      <c r="P118" s="67">
        <v>1.9</v>
      </c>
      <c r="Q118" s="64" t="s">
        <v>25</v>
      </c>
      <c r="R118" s="68">
        <f t="shared" si="1"/>
        <v>-0.38</v>
      </c>
      <c r="S118" s="68">
        <f t="shared" si="4"/>
        <v>4.550903333</v>
      </c>
    </row>
    <row r="119">
      <c r="A119" s="64">
        <f t="shared" si="3"/>
        <v>118</v>
      </c>
      <c r="B119" s="64" t="s">
        <v>19</v>
      </c>
      <c r="C119" s="64" t="s">
        <v>2502</v>
      </c>
      <c r="D119" s="64"/>
      <c r="E119" s="64"/>
      <c r="F119" s="64"/>
      <c r="G119" s="64"/>
      <c r="H119" s="64" t="s">
        <v>193</v>
      </c>
      <c r="I119" s="64" t="s">
        <v>22</v>
      </c>
      <c r="J119" s="64" t="s">
        <v>225</v>
      </c>
      <c r="K119" s="64" t="s">
        <v>1803</v>
      </c>
      <c r="L119" s="65">
        <v>0.25</v>
      </c>
      <c r="M119" s="65">
        <v>1.0</v>
      </c>
      <c r="N119" s="65">
        <v>0.36</v>
      </c>
      <c r="O119" s="66">
        <v>45087.0</v>
      </c>
      <c r="P119" s="67">
        <v>1.9</v>
      </c>
      <c r="Q119" s="64" t="s">
        <v>30</v>
      </c>
      <c r="R119" s="68">
        <f t="shared" si="1"/>
        <v>0.162</v>
      </c>
      <c r="S119" s="68">
        <f t="shared" si="4"/>
        <v>4.712903333</v>
      </c>
    </row>
    <row r="120">
      <c r="A120" s="64">
        <f t="shared" si="3"/>
        <v>119</v>
      </c>
      <c r="B120" s="64" t="s">
        <v>19</v>
      </c>
      <c r="C120" s="64" t="s">
        <v>2503</v>
      </c>
      <c r="D120" s="64"/>
      <c r="E120" s="64"/>
      <c r="F120" s="64"/>
      <c r="G120" s="64"/>
      <c r="H120" s="64" t="s">
        <v>923</v>
      </c>
      <c r="I120" s="64" t="s">
        <v>22</v>
      </c>
      <c r="J120" s="64" t="s">
        <v>225</v>
      </c>
      <c r="K120" s="64" t="s">
        <v>24</v>
      </c>
      <c r="L120" s="65">
        <v>0.5</v>
      </c>
      <c r="M120" s="65">
        <v>1.0</v>
      </c>
      <c r="N120" s="65">
        <v>1.0</v>
      </c>
      <c r="O120" s="66">
        <v>45087.0</v>
      </c>
      <c r="P120" s="67">
        <v>1.85</v>
      </c>
      <c r="Q120" s="64" t="s">
        <v>33</v>
      </c>
      <c r="R120" s="68">
        <f t="shared" si="1"/>
        <v>0.85</v>
      </c>
      <c r="S120" s="68">
        <f t="shared" si="4"/>
        <v>5.562903333</v>
      </c>
    </row>
    <row r="121">
      <c r="A121" s="64">
        <f t="shared" si="3"/>
        <v>120</v>
      </c>
      <c r="B121" s="64" t="s">
        <v>40</v>
      </c>
      <c r="C121" s="64" t="s">
        <v>2504</v>
      </c>
      <c r="D121" s="64"/>
      <c r="E121" s="64"/>
      <c r="F121" s="64"/>
      <c r="G121" s="64"/>
      <c r="H121" s="64" t="s">
        <v>683</v>
      </c>
      <c r="I121" s="64" t="s">
        <v>22</v>
      </c>
      <c r="J121" s="64" t="s">
        <v>225</v>
      </c>
      <c r="K121" s="64" t="s">
        <v>24</v>
      </c>
      <c r="L121" s="65">
        <v>0.25</v>
      </c>
      <c r="M121" s="65">
        <v>1.0</v>
      </c>
      <c r="N121" s="65">
        <v>0.3</v>
      </c>
      <c r="O121" s="69">
        <v>45087.0</v>
      </c>
      <c r="P121" s="67">
        <v>2.0</v>
      </c>
      <c r="Q121" s="64" t="s">
        <v>33</v>
      </c>
      <c r="R121" s="68">
        <f t="shared" si="1"/>
        <v>0.3</v>
      </c>
      <c r="S121" s="68">
        <f t="shared" si="4"/>
        <v>5.862903333</v>
      </c>
    </row>
    <row r="122">
      <c r="A122" s="64">
        <f t="shared" si="3"/>
        <v>121</v>
      </c>
      <c r="B122" s="64" t="s">
        <v>19</v>
      </c>
      <c r="C122" s="64" t="s">
        <v>2505</v>
      </c>
      <c r="D122" s="64"/>
      <c r="E122" s="64"/>
      <c r="F122" s="64"/>
      <c r="G122" s="64"/>
      <c r="H122" s="64" t="s">
        <v>432</v>
      </c>
      <c r="I122" s="64" t="s">
        <v>22</v>
      </c>
      <c r="J122" s="64" t="s">
        <v>225</v>
      </c>
      <c r="K122" s="64" t="s">
        <v>1803</v>
      </c>
      <c r="L122" s="65">
        <v>0.5</v>
      </c>
      <c r="M122" s="65">
        <v>1.0</v>
      </c>
      <c r="N122" s="65">
        <v>1.0</v>
      </c>
      <c r="O122" s="66">
        <v>45087.0</v>
      </c>
      <c r="P122" s="67">
        <v>1.8</v>
      </c>
      <c r="Q122" s="64" t="s">
        <v>33</v>
      </c>
      <c r="R122" s="68">
        <f t="shared" si="1"/>
        <v>0.8</v>
      </c>
      <c r="S122" s="68">
        <f t="shared" si="4"/>
        <v>6.662903333</v>
      </c>
    </row>
    <row r="123">
      <c r="A123" s="64">
        <f t="shared" si="3"/>
        <v>122</v>
      </c>
      <c r="B123" s="64" t="s">
        <v>19</v>
      </c>
      <c r="C123" s="64" t="s">
        <v>2506</v>
      </c>
      <c r="D123" s="64"/>
      <c r="E123" s="64"/>
      <c r="F123" s="64"/>
      <c r="G123" s="64"/>
      <c r="H123" s="64" t="s">
        <v>432</v>
      </c>
      <c r="I123" s="64" t="s">
        <v>22</v>
      </c>
      <c r="J123" s="64" t="s">
        <v>892</v>
      </c>
      <c r="K123" s="64" t="s">
        <v>1803</v>
      </c>
      <c r="L123" s="65">
        <v>0.0</v>
      </c>
      <c r="M123" s="65">
        <v>1.0</v>
      </c>
      <c r="N123" s="65">
        <v>1.0</v>
      </c>
      <c r="O123" s="66">
        <v>45087.0</v>
      </c>
      <c r="P123" s="67">
        <v>1.725</v>
      </c>
      <c r="Q123" s="64" t="s">
        <v>33</v>
      </c>
      <c r="R123" s="68">
        <f t="shared" si="1"/>
        <v>0.725</v>
      </c>
      <c r="S123" s="68">
        <f t="shared" si="4"/>
        <v>7.387903333</v>
      </c>
    </row>
    <row r="124">
      <c r="A124" s="64">
        <f t="shared" si="3"/>
        <v>123</v>
      </c>
      <c r="B124" s="64" t="s">
        <v>19</v>
      </c>
      <c r="C124" s="64" t="s">
        <v>2507</v>
      </c>
      <c r="D124" s="64"/>
      <c r="E124" s="64"/>
      <c r="F124" s="64"/>
      <c r="G124" s="64"/>
      <c r="H124" s="64" t="s">
        <v>1961</v>
      </c>
      <c r="I124" s="64" t="s">
        <v>598</v>
      </c>
      <c r="J124" s="64" t="s">
        <v>2508</v>
      </c>
      <c r="K124" s="64" t="s">
        <v>39</v>
      </c>
      <c r="L124" s="65"/>
      <c r="M124" s="65">
        <v>0.25</v>
      </c>
      <c r="N124" s="65">
        <v>0.25</v>
      </c>
      <c r="O124" s="69">
        <v>45087.0</v>
      </c>
      <c r="P124" s="67">
        <v>1.87</v>
      </c>
      <c r="Q124" s="64" t="s">
        <v>33</v>
      </c>
      <c r="R124" s="68">
        <f t="shared" si="1"/>
        <v>0.2175</v>
      </c>
      <c r="S124" s="68">
        <f t="shared" si="4"/>
        <v>7.605403333</v>
      </c>
    </row>
    <row r="125">
      <c r="A125" s="64">
        <f t="shared" si="3"/>
        <v>124</v>
      </c>
      <c r="B125" s="64" t="s">
        <v>40</v>
      </c>
      <c r="C125" s="64" t="s">
        <v>2509</v>
      </c>
      <c r="D125" s="64"/>
      <c r="E125" s="64"/>
      <c r="F125" s="64"/>
      <c r="G125" s="64"/>
      <c r="H125" s="64" t="s">
        <v>683</v>
      </c>
      <c r="I125" s="64" t="s">
        <v>22</v>
      </c>
      <c r="J125" s="64" t="s">
        <v>225</v>
      </c>
      <c r="K125" s="64" t="s">
        <v>24</v>
      </c>
      <c r="L125" s="65">
        <v>0.25</v>
      </c>
      <c r="M125" s="65">
        <v>0.5</v>
      </c>
      <c r="N125" s="65">
        <v>0.5</v>
      </c>
      <c r="O125" s="66">
        <v>45088.0</v>
      </c>
      <c r="P125" s="67">
        <v>1.85</v>
      </c>
      <c r="Q125" s="64" t="s">
        <v>30</v>
      </c>
      <c r="R125" s="68">
        <f t="shared" si="1"/>
        <v>0.2125</v>
      </c>
      <c r="S125" s="68">
        <f t="shared" si="4"/>
        <v>7.817903333</v>
      </c>
    </row>
    <row r="126">
      <c r="A126" s="64">
        <f t="shared" si="3"/>
        <v>125</v>
      </c>
      <c r="B126" s="64" t="s">
        <v>40</v>
      </c>
      <c r="C126" s="64" t="s">
        <v>2510</v>
      </c>
      <c r="D126" s="64"/>
      <c r="E126" s="64"/>
      <c r="F126" s="64"/>
      <c r="G126" s="64"/>
      <c r="H126" s="64" t="s">
        <v>683</v>
      </c>
      <c r="I126" s="64" t="s">
        <v>22</v>
      </c>
      <c r="J126" s="64" t="s">
        <v>892</v>
      </c>
      <c r="K126" s="64" t="s">
        <v>24</v>
      </c>
      <c r="L126" s="65">
        <v>0.0</v>
      </c>
      <c r="M126" s="65">
        <v>0.5</v>
      </c>
      <c r="N126" s="65">
        <v>0.5</v>
      </c>
      <c r="O126" s="66">
        <v>45088.0</v>
      </c>
      <c r="P126" s="67">
        <v>1.75</v>
      </c>
      <c r="Q126" s="64" t="s">
        <v>70</v>
      </c>
      <c r="R126" s="68">
        <f t="shared" si="1"/>
        <v>0</v>
      </c>
      <c r="S126" s="68">
        <f t="shared" si="4"/>
        <v>7.817903333</v>
      </c>
    </row>
    <row r="127">
      <c r="A127" s="64">
        <f t="shared" si="3"/>
        <v>126</v>
      </c>
      <c r="B127" s="64" t="s">
        <v>19</v>
      </c>
      <c r="C127" s="64" t="s">
        <v>2511</v>
      </c>
      <c r="D127" s="64"/>
      <c r="E127" s="64"/>
      <c r="F127" s="64"/>
      <c r="G127" s="64"/>
      <c r="H127" s="64" t="s">
        <v>82</v>
      </c>
      <c r="I127" s="64" t="s">
        <v>598</v>
      </c>
      <c r="J127" s="64" t="s">
        <v>2512</v>
      </c>
      <c r="K127" s="64" t="s">
        <v>24</v>
      </c>
      <c r="L127" s="65">
        <v>-7.0</v>
      </c>
      <c r="M127" s="65">
        <v>0.25</v>
      </c>
      <c r="N127" s="65">
        <v>0.25</v>
      </c>
      <c r="O127" s="66">
        <v>45088.0</v>
      </c>
      <c r="P127" s="67">
        <v>1.775</v>
      </c>
      <c r="Q127" s="64" t="s">
        <v>33</v>
      </c>
      <c r="R127" s="68">
        <f t="shared" si="1"/>
        <v>0.19375</v>
      </c>
      <c r="S127" s="68">
        <f t="shared" si="4"/>
        <v>8.011653333</v>
      </c>
    </row>
    <row r="128">
      <c r="A128" s="64">
        <f t="shared" si="3"/>
        <v>127</v>
      </c>
      <c r="B128" s="64" t="s">
        <v>19</v>
      </c>
      <c r="C128" s="64" t="s">
        <v>2513</v>
      </c>
      <c r="D128" s="64"/>
      <c r="E128" s="64"/>
      <c r="F128" s="64"/>
      <c r="G128" s="64"/>
      <c r="H128" s="64" t="s">
        <v>1470</v>
      </c>
      <c r="I128" s="64" t="s">
        <v>22</v>
      </c>
      <c r="J128" s="64" t="s">
        <v>225</v>
      </c>
      <c r="K128" s="64" t="s">
        <v>24</v>
      </c>
      <c r="L128" s="65">
        <v>0.5</v>
      </c>
      <c r="M128" s="65">
        <v>1.0</v>
      </c>
      <c r="N128" s="65">
        <v>1.0</v>
      </c>
      <c r="O128" s="66">
        <v>45088.0</v>
      </c>
      <c r="P128" s="67">
        <v>1.975</v>
      </c>
      <c r="Q128" s="64" t="s">
        <v>25</v>
      </c>
      <c r="R128" s="68">
        <f t="shared" si="1"/>
        <v>-1</v>
      </c>
      <c r="S128" s="68">
        <f t="shared" si="4"/>
        <v>7.011653333</v>
      </c>
    </row>
    <row r="129">
      <c r="A129" s="64">
        <f t="shared" si="3"/>
        <v>128</v>
      </c>
      <c r="B129" s="64" t="s">
        <v>19</v>
      </c>
      <c r="C129" s="64" t="s">
        <v>2514</v>
      </c>
      <c r="D129" s="64"/>
      <c r="E129" s="64"/>
      <c r="F129" s="64"/>
      <c r="G129" s="64"/>
      <c r="H129" s="64" t="s">
        <v>513</v>
      </c>
      <c r="I129" s="64" t="s">
        <v>22</v>
      </c>
      <c r="J129" s="64" t="s">
        <v>225</v>
      </c>
      <c r="K129" s="64" t="s">
        <v>24</v>
      </c>
      <c r="L129" s="65">
        <v>2.0</v>
      </c>
      <c r="M129" s="65">
        <v>0.5</v>
      </c>
      <c r="N129" s="65">
        <v>0.5</v>
      </c>
      <c r="O129" s="66">
        <v>45088.0</v>
      </c>
      <c r="P129" s="67">
        <v>1.95</v>
      </c>
      <c r="Q129" s="64" t="s">
        <v>33</v>
      </c>
      <c r="R129" s="68">
        <f t="shared" si="1"/>
        <v>0.475</v>
      </c>
      <c r="S129" s="68">
        <f t="shared" si="4"/>
        <v>7.486653333</v>
      </c>
    </row>
    <row r="130">
      <c r="A130" s="64">
        <f t="shared" si="3"/>
        <v>129</v>
      </c>
      <c r="B130" s="64" t="s">
        <v>19</v>
      </c>
      <c r="C130" s="64" t="s">
        <v>2515</v>
      </c>
      <c r="D130" s="64"/>
      <c r="E130" s="64"/>
      <c r="F130" s="64"/>
      <c r="G130" s="64"/>
      <c r="H130" s="64" t="s">
        <v>2516</v>
      </c>
      <c r="I130" s="64" t="s">
        <v>22</v>
      </c>
      <c r="J130" s="64" t="s">
        <v>29</v>
      </c>
      <c r="K130" s="64" t="s">
        <v>24</v>
      </c>
      <c r="L130" s="65">
        <v>-4.0</v>
      </c>
      <c r="M130" s="65">
        <v>0.5</v>
      </c>
      <c r="N130" s="65">
        <v>0.5</v>
      </c>
      <c r="O130" s="66">
        <v>45088.0</v>
      </c>
      <c r="P130" s="67">
        <v>1.95</v>
      </c>
      <c r="Q130" s="64" t="s">
        <v>33</v>
      </c>
      <c r="R130" s="68">
        <f t="shared" si="1"/>
        <v>0.475</v>
      </c>
      <c r="S130" s="68">
        <f t="shared" si="4"/>
        <v>7.961653333</v>
      </c>
    </row>
    <row r="131">
      <c r="A131" s="64">
        <f t="shared" si="3"/>
        <v>130</v>
      </c>
      <c r="B131" s="64" t="s">
        <v>19</v>
      </c>
      <c r="C131" s="64" t="s">
        <v>2517</v>
      </c>
      <c r="D131" s="64"/>
      <c r="E131" s="64"/>
      <c r="F131" s="64"/>
      <c r="G131" s="64"/>
      <c r="H131" s="64" t="s">
        <v>44</v>
      </c>
      <c r="I131" s="64" t="s">
        <v>22</v>
      </c>
      <c r="J131" s="64" t="s">
        <v>29</v>
      </c>
      <c r="K131" s="64" t="s">
        <v>1803</v>
      </c>
      <c r="L131" s="65">
        <v>-4.5</v>
      </c>
      <c r="M131" s="65">
        <v>0.5</v>
      </c>
      <c r="N131" s="65">
        <v>0.44</v>
      </c>
      <c r="O131" s="66">
        <v>45088.0</v>
      </c>
      <c r="P131" s="67">
        <v>1.727</v>
      </c>
      <c r="Q131" s="64" t="s">
        <v>33</v>
      </c>
      <c r="R131" s="68">
        <f t="shared" si="1"/>
        <v>0.31988</v>
      </c>
      <c r="S131" s="68">
        <f t="shared" si="4"/>
        <v>8.281533333</v>
      </c>
    </row>
    <row r="132">
      <c r="A132" s="64">
        <f t="shared" si="3"/>
        <v>131</v>
      </c>
      <c r="B132" s="64" t="s">
        <v>19</v>
      </c>
      <c r="C132" s="64" t="s">
        <v>2518</v>
      </c>
      <c r="D132" s="64"/>
      <c r="E132" s="64"/>
      <c r="F132" s="64"/>
      <c r="G132" s="64"/>
      <c r="H132" s="64" t="s">
        <v>1470</v>
      </c>
      <c r="I132" s="64" t="s">
        <v>22</v>
      </c>
      <c r="J132" s="64" t="s">
        <v>225</v>
      </c>
      <c r="K132" s="64" t="s">
        <v>24</v>
      </c>
      <c r="L132" s="65">
        <v>0.25</v>
      </c>
      <c r="M132" s="65">
        <v>1.0</v>
      </c>
      <c r="N132" s="65">
        <v>0.51</v>
      </c>
      <c r="O132" s="66">
        <v>45088.0</v>
      </c>
      <c r="P132" s="67">
        <v>1.8</v>
      </c>
      <c r="Q132" s="64" t="s">
        <v>25</v>
      </c>
      <c r="R132" s="68">
        <f t="shared" si="1"/>
        <v>-0.51</v>
      </c>
      <c r="S132" s="68">
        <f t="shared" si="4"/>
        <v>7.771533333</v>
      </c>
    </row>
    <row r="133">
      <c r="A133" s="64">
        <f t="shared" si="3"/>
        <v>132</v>
      </c>
      <c r="B133" s="64" t="s">
        <v>40</v>
      </c>
      <c r="C133" s="64" t="s">
        <v>2519</v>
      </c>
      <c r="D133" s="64"/>
      <c r="E133" s="64"/>
      <c r="F133" s="64"/>
      <c r="G133" s="64"/>
      <c r="H133" s="64" t="s">
        <v>940</v>
      </c>
      <c r="I133" s="64" t="s">
        <v>22</v>
      </c>
      <c r="J133" s="64" t="s">
        <v>225</v>
      </c>
      <c r="K133" s="64" t="s">
        <v>24</v>
      </c>
      <c r="L133" s="65">
        <v>0.25</v>
      </c>
      <c r="M133" s="65">
        <v>1.0</v>
      </c>
      <c r="N133" s="65">
        <v>1.0</v>
      </c>
      <c r="O133" s="66">
        <v>45088.0</v>
      </c>
      <c r="P133" s="67">
        <f>537/500</f>
        <v>1.074</v>
      </c>
      <c r="Q133" s="64" t="s">
        <v>33</v>
      </c>
      <c r="R133" s="68">
        <f t="shared" si="1"/>
        <v>0.074</v>
      </c>
      <c r="S133" s="68">
        <f t="shared" si="4"/>
        <v>7.845533333</v>
      </c>
    </row>
    <row r="134">
      <c r="A134" s="64">
        <f t="shared" si="3"/>
        <v>133</v>
      </c>
      <c r="B134" s="64" t="s">
        <v>19</v>
      </c>
      <c r="C134" s="64" t="s">
        <v>2520</v>
      </c>
      <c r="D134" s="64"/>
      <c r="E134" s="64"/>
      <c r="F134" s="64"/>
      <c r="G134" s="64"/>
      <c r="H134" s="64" t="s">
        <v>513</v>
      </c>
      <c r="I134" s="64" t="s">
        <v>22</v>
      </c>
      <c r="J134" s="64" t="s">
        <v>892</v>
      </c>
      <c r="K134" s="64" t="s">
        <v>2201</v>
      </c>
      <c r="L134" s="65">
        <v>0.0</v>
      </c>
      <c r="M134" s="65">
        <v>0.5</v>
      </c>
      <c r="N134" s="65">
        <v>0.5</v>
      </c>
      <c r="O134" s="66">
        <v>45088.0</v>
      </c>
      <c r="P134" s="67">
        <v>2.0</v>
      </c>
      <c r="Q134" s="64" t="s">
        <v>25</v>
      </c>
      <c r="R134" s="68">
        <f t="shared" si="1"/>
        <v>-0.5</v>
      </c>
      <c r="S134" s="68">
        <f t="shared" si="4"/>
        <v>7.345533333</v>
      </c>
    </row>
    <row r="135">
      <c r="A135" s="64">
        <f t="shared" si="3"/>
        <v>134</v>
      </c>
      <c r="B135" s="64" t="s">
        <v>19</v>
      </c>
      <c r="C135" s="64" t="s">
        <v>2521</v>
      </c>
      <c r="D135" s="64"/>
      <c r="E135" s="64"/>
      <c r="F135" s="64"/>
      <c r="G135" s="64"/>
      <c r="H135" s="64" t="s">
        <v>82</v>
      </c>
      <c r="I135" s="64" t="s">
        <v>22</v>
      </c>
      <c r="J135" s="64" t="s">
        <v>23</v>
      </c>
      <c r="K135" s="64" t="s">
        <v>24</v>
      </c>
      <c r="L135" s="65">
        <v>-11.0</v>
      </c>
      <c r="M135" s="65">
        <v>1.0</v>
      </c>
      <c r="N135" s="65">
        <v>0.29</v>
      </c>
      <c r="O135" s="66">
        <v>45088.0</v>
      </c>
      <c r="P135" s="67">
        <v>1.83</v>
      </c>
      <c r="Q135" s="64" t="s">
        <v>33</v>
      </c>
      <c r="R135" s="68">
        <f t="shared" si="1"/>
        <v>0.2407</v>
      </c>
      <c r="S135" s="68">
        <f t="shared" si="4"/>
        <v>7.586233333</v>
      </c>
    </row>
    <row r="136">
      <c r="A136" s="64">
        <f t="shared" si="3"/>
        <v>135</v>
      </c>
      <c r="B136" s="64" t="s">
        <v>19</v>
      </c>
      <c r="C136" s="64" t="s">
        <v>2522</v>
      </c>
      <c r="D136" s="64"/>
      <c r="E136" s="64"/>
      <c r="F136" s="64"/>
      <c r="G136" s="64"/>
      <c r="H136" s="64" t="s">
        <v>117</v>
      </c>
      <c r="I136" s="64" t="s">
        <v>22</v>
      </c>
      <c r="J136" s="64" t="s">
        <v>225</v>
      </c>
      <c r="K136" s="64" t="s">
        <v>39</v>
      </c>
      <c r="L136" s="65">
        <v>0.25</v>
      </c>
      <c r="M136" s="65">
        <v>1.0</v>
      </c>
      <c r="N136" s="65">
        <v>1.0</v>
      </c>
      <c r="O136" s="66">
        <v>45088.0</v>
      </c>
      <c r="P136" s="67">
        <v>1.825</v>
      </c>
      <c r="Q136" s="64" t="s">
        <v>33</v>
      </c>
      <c r="R136" s="68">
        <f t="shared" si="1"/>
        <v>0.825</v>
      </c>
      <c r="S136" s="68">
        <f t="shared" si="4"/>
        <v>8.411233333</v>
      </c>
    </row>
    <row r="137">
      <c r="A137" s="64">
        <f t="shared" si="3"/>
        <v>136</v>
      </c>
      <c r="B137" s="64" t="s">
        <v>19</v>
      </c>
      <c r="C137" s="64" t="s">
        <v>2523</v>
      </c>
      <c r="D137" s="64"/>
      <c r="E137" s="64"/>
      <c r="F137" s="64"/>
      <c r="G137" s="64"/>
      <c r="H137" s="64" t="s">
        <v>513</v>
      </c>
      <c r="I137" s="64" t="s">
        <v>22</v>
      </c>
      <c r="J137" s="64" t="s">
        <v>894</v>
      </c>
      <c r="K137" s="64" t="s">
        <v>39</v>
      </c>
      <c r="L137" s="65">
        <v>-0.75</v>
      </c>
      <c r="M137" s="65">
        <v>1.0</v>
      </c>
      <c r="N137" s="65">
        <v>1.0</v>
      </c>
      <c r="O137" s="66">
        <v>45088.0</v>
      </c>
      <c r="P137" s="67">
        <v>1.725</v>
      </c>
      <c r="Q137" s="64" t="s">
        <v>30</v>
      </c>
      <c r="R137" s="68">
        <f t="shared" si="1"/>
        <v>0.3625</v>
      </c>
      <c r="S137" s="68">
        <f t="shared" si="4"/>
        <v>8.773733333</v>
      </c>
    </row>
    <row r="138">
      <c r="A138" s="64">
        <f t="shared" si="3"/>
        <v>137</v>
      </c>
      <c r="B138" s="64" t="s">
        <v>40</v>
      </c>
      <c r="C138" s="64" t="s">
        <v>2524</v>
      </c>
      <c r="D138" s="64"/>
      <c r="E138" s="64"/>
      <c r="F138" s="64"/>
      <c r="G138" s="64"/>
      <c r="H138" s="64" t="s">
        <v>372</v>
      </c>
      <c r="I138" s="64" t="s">
        <v>22</v>
      </c>
      <c r="J138" s="64" t="s">
        <v>225</v>
      </c>
      <c r="K138" s="64" t="s">
        <v>24</v>
      </c>
      <c r="L138" s="65">
        <v>0.25</v>
      </c>
      <c r="M138" s="65">
        <v>1.0</v>
      </c>
      <c r="N138" s="65">
        <v>1.0</v>
      </c>
      <c r="O138" s="66">
        <v>45088.0</v>
      </c>
      <c r="P138" s="67">
        <v>1.975</v>
      </c>
      <c r="Q138" s="64" t="s">
        <v>25</v>
      </c>
      <c r="R138" s="68">
        <f t="shared" si="1"/>
        <v>-1</v>
      </c>
      <c r="S138" s="68">
        <f t="shared" si="4"/>
        <v>7.773733333</v>
      </c>
    </row>
    <row r="139">
      <c r="A139" s="64">
        <f t="shared" si="3"/>
        <v>138</v>
      </c>
      <c r="B139" s="64" t="s">
        <v>19</v>
      </c>
      <c r="C139" s="64" t="s">
        <v>2525</v>
      </c>
      <c r="D139" s="64"/>
      <c r="E139" s="64"/>
      <c r="F139" s="64"/>
      <c r="G139" s="64"/>
      <c r="H139" s="64" t="s">
        <v>93</v>
      </c>
      <c r="I139" s="64" t="s">
        <v>22</v>
      </c>
      <c r="J139" s="64" t="s">
        <v>225</v>
      </c>
      <c r="K139" s="64" t="s">
        <v>2201</v>
      </c>
      <c r="L139" s="65">
        <v>0.25</v>
      </c>
      <c r="M139" s="65">
        <v>1.0</v>
      </c>
      <c r="N139" s="65">
        <v>0.65</v>
      </c>
      <c r="O139" s="66">
        <v>45088.0</v>
      </c>
      <c r="P139" s="67">
        <v>1.95</v>
      </c>
      <c r="Q139" s="64" t="s">
        <v>25</v>
      </c>
      <c r="R139" s="68">
        <f t="shared" si="1"/>
        <v>-0.65</v>
      </c>
      <c r="S139" s="68">
        <f t="shared" si="4"/>
        <v>7.123733333</v>
      </c>
    </row>
    <row r="140">
      <c r="A140" s="64">
        <f t="shared" si="3"/>
        <v>139</v>
      </c>
      <c r="B140" s="64" t="s">
        <v>19</v>
      </c>
      <c r="C140" s="64" t="s">
        <v>2526</v>
      </c>
      <c r="D140" s="64"/>
      <c r="E140" s="64"/>
      <c r="F140" s="64"/>
      <c r="G140" s="64"/>
      <c r="H140" s="64" t="s">
        <v>229</v>
      </c>
      <c r="I140" s="64" t="s">
        <v>22</v>
      </c>
      <c r="J140" s="64" t="s">
        <v>225</v>
      </c>
      <c r="K140" s="64" t="s">
        <v>39</v>
      </c>
      <c r="L140" s="65">
        <v>0.25</v>
      </c>
      <c r="M140" s="65">
        <v>1.0</v>
      </c>
      <c r="N140" s="65">
        <v>1.0</v>
      </c>
      <c r="O140" s="66">
        <v>45088.0</v>
      </c>
      <c r="P140" s="67">
        <v>1.7</v>
      </c>
      <c r="Q140" s="64" t="s">
        <v>25</v>
      </c>
      <c r="R140" s="68">
        <f t="shared" si="1"/>
        <v>-1</v>
      </c>
      <c r="S140" s="68">
        <f t="shared" si="4"/>
        <v>6.123733333</v>
      </c>
    </row>
    <row r="141">
      <c r="A141" s="64">
        <f t="shared" si="3"/>
        <v>140</v>
      </c>
      <c r="B141" s="64" t="s">
        <v>19</v>
      </c>
      <c r="C141" s="64" t="s">
        <v>2527</v>
      </c>
      <c r="D141" s="64"/>
      <c r="E141" s="64"/>
      <c r="F141" s="64"/>
      <c r="G141" s="64"/>
      <c r="H141" s="64" t="s">
        <v>642</v>
      </c>
      <c r="I141" s="64" t="s">
        <v>22</v>
      </c>
      <c r="J141" s="64" t="s">
        <v>225</v>
      </c>
      <c r="K141" s="64" t="s">
        <v>2201</v>
      </c>
      <c r="L141" s="65">
        <v>0.25</v>
      </c>
      <c r="M141" s="65">
        <v>0.5</v>
      </c>
      <c r="N141" s="65">
        <v>0.5</v>
      </c>
      <c r="O141" s="66">
        <v>45090.0</v>
      </c>
      <c r="P141" s="67">
        <v>1.975</v>
      </c>
      <c r="Q141" s="64" t="s">
        <v>33</v>
      </c>
      <c r="R141" s="68">
        <f t="shared" si="1"/>
        <v>0.4875</v>
      </c>
      <c r="S141" s="68">
        <f t="shared" si="4"/>
        <v>6.611233333</v>
      </c>
    </row>
    <row r="142">
      <c r="A142" s="64">
        <f t="shared" si="3"/>
        <v>141</v>
      </c>
      <c r="B142" s="64" t="s">
        <v>40</v>
      </c>
      <c r="C142" s="64" t="s">
        <v>2528</v>
      </c>
      <c r="D142" s="64"/>
      <c r="E142" s="64"/>
      <c r="F142" s="64"/>
      <c r="G142" s="64"/>
      <c r="H142" s="64" t="s">
        <v>78</v>
      </c>
      <c r="I142" s="64" t="s">
        <v>22</v>
      </c>
      <c r="J142" s="64" t="s">
        <v>894</v>
      </c>
      <c r="K142" s="64" t="s">
        <v>2201</v>
      </c>
      <c r="L142" s="65">
        <v>-0.5</v>
      </c>
      <c r="M142" s="65">
        <v>0.5</v>
      </c>
      <c r="N142" s="65">
        <v>0.5</v>
      </c>
      <c r="O142" s="66">
        <v>45090.0</v>
      </c>
      <c r="P142" s="67">
        <v>1.85</v>
      </c>
      <c r="Q142" s="64" t="s">
        <v>33</v>
      </c>
      <c r="R142" s="68">
        <f t="shared" si="1"/>
        <v>0.425</v>
      </c>
      <c r="S142" s="68">
        <f t="shared" si="4"/>
        <v>7.036233333</v>
      </c>
    </row>
    <row r="143">
      <c r="A143" s="64">
        <f t="shared" si="3"/>
        <v>142</v>
      </c>
      <c r="B143" s="64" t="s">
        <v>19</v>
      </c>
      <c r="C143" s="64" t="s">
        <v>2529</v>
      </c>
      <c r="D143" s="64"/>
      <c r="E143" s="64"/>
      <c r="F143" s="64"/>
      <c r="G143" s="64"/>
      <c r="H143" s="64" t="s">
        <v>463</v>
      </c>
      <c r="I143" s="64" t="s">
        <v>22</v>
      </c>
      <c r="J143" s="64" t="s">
        <v>29</v>
      </c>
      <c r="K143" s="64" t="s">
        <v>1803</v>
      </c>
      <c r="L143" s="65">
        <v>-7.5</v>
      </c>
      <c r="M143" s="65">
        <v>0.5</v>
      </c>
      <c r="N143" s="65">
        <v>0.5</v>
      </c>
      <c r="O143" s="66">
        <v>45090.0</v>
      </c>
      <c r="P143" s="67">
        <v>1.825</v>
      </c>
      <c r="Q143" s="64" t="s">
        <v>25</v>
      </c>
      <c r="R143" s="68">
        <f t="shared" si="1"/>
        <v>-0.5</v>
      </c>
      <c r="S143" s="68">
        <f t="shared" si="4"/>
        <v>6.536233333</v>
      </c>
    </row>
    <row r="144">
      <c r="A144" s="64">
        <f t="shared" si="3"/>
        <v>143</v>
      </c>
      <c r="B144" s="64" t="s">
        <v>19</v>
      </c>
      <c r="C144" s="64" t="s">
        <v>2530</v>
      </c>
      <c r="D144" s="64"/>
      <c r="E144" s="64"/>
      <c r="F144" s="64"/>
      <c r="G144" s="64"/>
      <c r="H144" s="64" t="s">
        <v>1961</v>
      </c>
      <c r="I144" s="64" t="s">
        <v>598</v>
      </c>
      <c r="J144" s="64" t="s">
        <v>1272</v>
      </c>
      <c r="K144" s="64" t="s">
        <v>2201</v>
      </c>
      <c r="L144" s="65"/>
      <c r="M144" s="65">
        <v>0.25</v>
      </c>
      <c r="N144" s="65">
        <v>0.25</v>
      </c>
      <c r="O144" s="66">
        <v>45091.0</v>
      </c>
      <c r="P144" s="67">
        <v>3.78</v>
      </c>
      <c r="Q144" s="64" t="s">
        <v>25</v>
      </c>
      <c r="R144" s="68">
        <f t="shared" si="1"/>
        <v>-0.25</v>
      </c>
      <c r="S144" s="68">
        <f t="shared" si="4"/>
        <v>6.286233333</v>
      </c>
    </row>
    <row r="145">
      <c r="A145" s="64">
        <f t="shared" si="3"/>
        <v>144</v>
      </c>
      <c r="B145" s="64" t="s">
        <v>19</v>
      </c>
      <c r="C145" s="64" t="s">
        <v>2531</v>
      </c>
      <c r="D145" s="64"/>
      <c r="E145" s="64"/>
      <c r="F145" s="64"/>
      <c r="G145" s="64"/>
      <c r="H145" s="64" t="s">
        <v>794</v>
      </c>
      <c r="I145" s="64" t="s">
        <v>22</v>
      </c>
      <c r="J145" s="64" t="s">
        <v>225</v>
      </c>
      <c r="K145" s="64" t="s">
        <v>2201</v>
      </c>
      <c r="L145" s="65">
        <v>0.25</v>
      </c>
      <c r="M145" s="65">
        <v>0.5</v>
      </c>
      <c r="N145" s="65">
        <v>0.5</v>
      </c>
      <c r="O145" s="66">
        <v>45091.0</v>
      </c>
      <c r="P145" s="67">
        <v>1.9</v>
      </c>
      <c r="Q145" s="64" t="s">
        <v>30</v>
      </c>
      <c r="R145" s="68">
        <f t="shared" si="1"/>
        <v>0.225</v>
      </c>
      <c r="S145" s="68">
        <f t="shared" si="4"/>
        <v>6.511233333</v>
      </c>
    </row>
    <row r="146">
      <c r="A146" s="64">
        <f t="shared" si="3"/>
        <v>145</v>
      </c>
      <c r="B146" s="64" t="s">
        <v>19</v>
      </c>
      <c r="C146" s="64" t="s">
        <v>2532</v>
      </c>
      <c r="D146" s="64"/>
      <c r="E146" s="64"/>
      <c r="F146" s="64"/>
      <c r="G146" s="64"/>
      <c r="H146" s="64" t="s">
        <v>794</v>
      </c>
      <c r="I146" s="64" t="s">
        <v>22</v>
      </c>
      <c r="J146" s="64" t="s">
        <v>1847</v>
      </c>
      <c r="K146" s="64" t="s">
        <v>2201</v>
      </c>
      <c r="L146" s="65">
        <v>-0.5</v>
      </c>
      <c r="M146" s="65">
        <v>0.25</v>
      </c>
      <c r="N146" s="65">
        <v>0.25</v>
      </c>
      <c r="O146" s="66">
        <v>45091.0</v>
      </c>
      <c r="P146" s="67">
        <v>1.833</v>
      </c>
      <c r="Q146" s="64" t="s">
        <v>33</v>
      </c>
      <c r="R146" s="68">
        <f t="shared" si="1"/>
        <v>0.20825</v>
      </c>
      <c r="S146" s="68">
        <f t="shared" si="4"/>
        <v>6.719483333</v>
      </c>
    </row>
    <row r="147">
      <c r="A147" s="64">
        <f t="shared" si="3"/>
        <v>146</v>
      </c>
      <c r="B147" s="64" t="s">
        <v>19</v>
      </c>
      <c r="C147" s="64" t="s">
        <v>2533</v>
      </c>
      <c r="D147" s="64"/>
      <c r="E147" s="64"/>
      <c r="F147" s="64"/>
      <c r="G147" s="64"/>
      <c r="H147" s="64" t="s">
        <v>82</v>
      </c>
      <c r="I147" s="64" t="s">
        <v>22</v>
      </c>
      <c r="J147" s="64" t="s">
        <v>225</v>
      </c>
      <c r="K147" s="64" t="s">
        <v>24</v>
      </c>
      <c r="L147" s="65">
        <v>0.5</v>
      </c>
      <c r="M147" s="65">
        <v>0.5</v>
      </c>
      <c r="N147" s="65">
        <v>0.5</v>
      </c>
      <c r="O147" s="66">
        <v>45091.0</v>
      </c>
      <c r="P147" s="67">
        <v>1.85</v>
      </c>
      <c r="Q147" s="64" t="s">
        <v>25</v>
      </c>
      <c r="R147" s="68">
        <f t="shared" si="1"/>
        <v>-0.5</v>
      </c>
      <c r="S147" s="68">
        <f t="shared" si="4"/>
        <v>6.219483333</v>
      </c>
    </row>
    <row r="148">
      <c r="A148" s="64">
        <f t="shared" si="3"/>
        <v>147</v>
      </c>
      <c r="B148" s="64" t="s">
        <v>19</v>
      </c>
      <c r="C148" s="64" t="s">
        <v>2534</v>
      </c>
      <c r="D148" s="64"/>
      <c r="E148" s="64"/>
      <c r="F148" s="64"/>
      <c r="G148" s="64"/>
      <c r="H148" s="64" t="s">
        <v>432</v>
      </c>
      <c r="I148" s="64" t="s">
        <v>22</v>
      </c>
      <c r="J148" s="64" t="s">
        <v>29</v>
      </c>
      <c r="K148" s="64" t="s">
        <v>1803</v>
      </c>
      <c r="L148" s="65">
        <v>-2.5</v>
      </c>
      <c r="M148" s="65">
        <v>0.5</v>
      </c>
      <c r="N148" s="65">
        <v>0.5</v>
      </c>
      <c r="O148" s="66">
        <v>45091.0</v>
      </c>
      <c r="P148" s="67">
        <v>1.825</v>
      </c>
      <c r="Q148" s="64" t="s">
        <v>25</v>
      </c>
      <c r="R148" s="68">
        <f t="shared" si="1"/>
        <v>-0.5</v>
      </c>
      <c r="S148" s="68">
        <f t="shared" si="4"/>
        <v>5.719483333</v>
      </c>
    </row>
    <row r="149">
      <c r="A149" s="64">
        <f t="shared" si="3"/>
        <v>148</v>
      </c>
      <c r="B149" s="64" t="s">
        <v>19</v>
      </c>
      <c r="C149" s="64" t="s">
        <v>2535</v>
      </c>
      <c r="D149" s="64"/>
      <c r="E149" s="64"/>
      <c r="F149" s="64"/>
      <c r="G149" s="64"/>
      <c r="H149" s="64" t="s">
        <v>794</v>
      </c>
      <c r="I149" s="64" t="s">
        <v>22</v>
      </c>
      <c r="J149" s="64" t="s">
        <v>225</v>
      </c>
      <c r="K149" s="64" t="s">
        <v>39</v>
      </c>
      <c r="L149" s="65">
        <v>0.25</v>
      </c>
      <c r="M149" s="65">
        <v>0.5</v>
      </c>
      <c r="N149" s="65">
        <v>0.5</v>
      </c>
      <c r="O149" s="66">
        <v>45091.0</v>
      </c>
      <c r="P149" s="67">
        <v>1.775</v>
      </c>
      <c r="Q149" s="64" t="s">
        <v>30</v>
      </c>
      <c r="R149" s="68">
        <f t="shared" si="1"/>
        <v>0.19375</v>
      </c>
      <c r="S149" s="68">
        <f t="shared" si="4"/>
        <v>5.913233333</v>
      </c>
    </row>
    <row r="150">
      <c r="A150" s="64">
        <f t="shared" si="3"/>
        <v>149</v>
      </c>
      <c r="B150" s="64" t="s">
        <v>40</v>
      </c>
      <c r="C150" s="64" t="s">
        <v>2536</v>
      </c>
      <c r="D150" s="64"/>
      <c r="E150" s="64"/>
      <c r="F150" s="64"/>
      <c r="G150" s="64"/>
      <c r="H150" s="64" t="s">
        <v>1501</v>
      </c>
      <c r="I150" s="64" t="s">
        <v>22</v>
      </c>
      <c r="J150" s="64" t="s">
        <v>29</v>
      </c>
      <c r="K150" s="64" t="s">
        <v>24</v>
      </c>
      <c r="L150" s="65">
        <v>-3.5</v>
      </c>
      <c r="M150" s="65">
        <v>0.5</v>
      </c>
      <c r="N150" s="65">
        <v>0.5</v>
      </c>
      <c r="O150" s="66">
        <v>45091.0</v>
      </c>
      <c r="P150" s="67">
        <v>1.825</v>
      </c>
      <c r="Q150" s="64" t="s">
        <v>33</v>
      </c>
      <c r="R150" s="68">
        <f t="shared" si="1"/>
        <v>0.4125</v>
      </c>
      <c r="S150" s="68">
        <f t="shared" si="4"/>
        <v>6.325733333</v>
      </c>
    </row>
    <row r="151">
      <c r="A151" s="64">
        <f t="shared" si="3"/>
        <v>150</v>
      </c>
      <c r="B151" s="64" t="s">
        <v>19</v>
      </c>
      <c r="C151" s="64" t="s">
        <v>2537</v>
      </c>
      <c r="D151" s="64"/>
      <c r="E151" s="64"/>
      <c r="F151" s="64"/>
      <c r="G151" s="64"/>
      <c r="H151" s="64" t="s">
        <v>794</v>
      </c>
      <c r="I151" s="64" t="s">
        <v>598</v>
      </c>
      <c r="J151" s="64" t="s">
        <v>23</v>
      </c>
      <c r="K151" s="64" t="s">
        <v>2201</v>
      </c>
      <c r="L151" s="65">
        <v>-9.0</v>
      </c>
      <c r="M151" s="65">
        <v>0.5</v>
      </c>
      <c r="N151" s="65">
        <v>0.5</v>
      </c>
      <c r="O151" s="66">
        <v>45091.0</v>
      </c>
      <c r="P151" s="67">
        <v>2.025</v>
      </c>
      <c r="Q151" s="64" t="s">
        <v>33</v>
      </c>
      <c r="R151" s="68">
        <f t="shared" si="1"/>
        <v>0.5125</v>
      </c>
      <c r="S151" s="68">
        <f t="shared" si="4"/>
        <v>6.838233333</v>
      </c>
    </row>
    <row r="152">
      <c r="A152" s="64">
        <f t="shared" si="3"/>
        <v>151</v>
      </c>
      <c r="B152" s="64" t="s">
        <v>19</v>
      </c>
      <c r="C152" s="64" t="s">
        <v>2538</v>
      </c>
      <c r="D152" s="64"/>
      <c r="E152" s="64"/>
      <c r="F152" s="64"/>
      <c r="G152" s="64"/>
      <c r="H152" s="64" t="s">
        <v>432</v>
      </c>
      <c r="I152" s="64" t="s">
        <v>22</v>
      </c>
      <c r="J152" s="64" t="s">
        <v>225</v>
      </c>
      <c r="K152" s="64" t="s">
        <v>24</v>
      </c>
      <c r="L152" s="65">
        <v>0.5</v>
      </c>
      <c r="M152" s="65">
        <v>0.5</v>
      </c>
      <c r="N152" s="65">
        <v>0.5</v>
      </c>
      <c r="O152" s="66">
        <v>45091.0</v>
      </c>
      <c r="P152" s="67">
        <v>1.775</v>
      </c>
      <c r="Q152" s="64" t="s">
        <v>25</v>
      </c>
      <c r="R152" s="68">
        <f t="shared" si="1"/>
        <v>-0.5</v>
      </c>
      <c r="S152" s="68">
        <f t="shared" si="4"/>
        <v>6.338233333</v>
      </c>
    </row>
    <row r="153">
      <c r="A153" s="64">
        <f t="shared" si="3"/>
        <v>152</v>
      </c>
      <c r="B153" s="64" t="s">
        <v>19</v>
      </c>
      <c r="C153" s="64" t="s">
        <v>2539</v>
      </c>
      <c r="D153" s="64"/>
      <c r="E153" s="64"/>
      <c r="F153" s="64"/>
      <c r="G153" s="64"/>
      <c r="H153" s="64" t="s">
        <v>2540</v>
      </c>
      <c r="I153" s="64" t="s">
        <v>22</v>
      </c>
      <c r="J153" s="64" t="s">
        <v>2415</v>
      </c>
      <c r="K153" s="64" t="s">
        <v>24</v>
      </c>
      <c r="L153" s="65">
        <v>14.5</v>
      </c>
      <c r="M153" s="65">
        <v>0.25</v>
      </c>
      <c r="N153" s="65">
        <v>0.25</v>
      </c>
      <c r="O153" s="66">
        <v>45091.0</v>
      </c>
      <c r="P153" s="67">
        <v>2.0</v>
      </c>
      <c r="Q153" s="64" t="s">
        <v>25</v>
      </c>
      <c r="R153" s="68">
        <f t="shared" si="1"/>
        <v>-0.25</v>
      </c>
      <c r="S153" s="68">
        <f t="shared" si="4"/>
        <v>6.088233333</v>
      </c>
    </row>
    <row r="154">
      <c r="A154" s="64">
        <f t="shared" si="3"/>
        <v>153</v>
      </c>
      <c r="B154" s="64" t="s">
        <v>19</v>
      </c>
      <c r="C154" s="64" t="s">
        <v>2541</v>
      </c>
      <c r="D154" s="64"/>
      <c r="E154" s="64"/>
      <c r="F154" s="64"/>
      <c r="G154" s="64"/>
      <c r="H154" s="64" t="s">
        <v>1961</v>
      </c>
      <c r="I154" s="64" t="s">
        <v>22</v>
      </c>
      <c r="J154" s="64" t="s">
        <v>225</v>
      </c>
      <c r="K154" s="64" t="s">
        <v>24</v>
      </c>
      <c r="L154" s="65">
        <v>0.5</v>
      </c>
      <c r="M154" s="65">
        <v>0.5</v>
      </c>
      <c r="N154" s="65">
        <v>0.5</v>
      </c>
      <c r="O154" s="66">
        <v>45091.0</v>
      </c>
      <c r="P154" s="67">
        <v>1.825</v>
      </c>
      <c r="Q154" s="64" t="s">
        <v>33</v>
      </c>
      <c r="R154" s="68">
        <f t="shared" si="1"/>
        <v>0.4125</v>
      </c>
      <c r="S154" s="68">
        <f t="shared" si="4"/>
        <v>6.500733333</v>
      </c>
    </row>
    <row r="155">
      <c r="A155" s="64">
        <f t="shared" si="3"/>
        <v>154</v>
      </c>
      <c r="B155" s="64" t="s">
        <v>19</v>
      </c>
      <c r="C155" s="64" t="s">
        <v>2542</v>
      </c>
      <c r="D155" s="64"/>
      <c r="E155" s="64"/>
      <c r="F155" s="64"/>
      <c r="G155" s="64"/>
      <c r="H155" s="64" t="s">
        <v>82</v>
      </c>
      <c r="I155" s="64" t="s">
        <v>22</v>
      </c>
      <c r="J155" s="64" t="s">
        <v>225</v>
      </c>
      <c r="K155" s="64" t="s">
        <v>39</v>
      </c>
      <c r="L155" s="65">
        <v>0.25</v>
      </c>
      <c r="M155" s="65">
        <v>0.5</v>
      </c>
      <c r="N155" s="65">
        <v>0.5</v>
      </c>
      <c r="O155" s="66">
        <v>45091.0</v>
      </c>
      <c r="P155" s="67">
        <v>1.925</v>
      </c>
      <c r="Q155" s="64" t="s">
        <v>25</v>
      </c>
      <c r="R155" s="68">
        <f t="shared" si="1"/>
        <v>-0.5</v>
      </c>
      <c r="S155" s="68">
        <f t="shared" si="4"/>
        <v>6.000733333</v>
      </c>
    </row>
    <row r="156">
      <c r="A156" s="64">
        <f t="shared" si="3"/>
        <v>155</v>
      </c>
      <c r="B156" s="64" t="s">
        <v>19</v>
      </c>
      <c r="C156" s="64" t="s">
        <v>2543</v>
      </c>
      <c r="D156" s="64"/>
      <c r="E156" s="64"/>
      <c r="F156" s="64"/>
      <c r="G156" s="64"/>
      <c r="H156" s="64" t="s">
        <v>2456</v>
      </c>
      <c r="I156" s="64" t="s">
        <v>22</v>
      </c>
      <c r="J156" s="64" t="s">
        <v>892</v>
      </c>
      <c r="K156" s="64" t="s">
        <v>2201</v>
      </c>
      <c r="L156" s="65">
        <v>0.0</v>
      </c>
      <c r="M156" s="65">
        <v>0.5</v>
      </c>
      <c r="N156" s="65">
        <v>0.5</v>
      </c>
      <c r="O156" s="66">
        <v>45091.0</v>
      </c>
      <c r="P156" s="67">
        <v>1.85</v>
      </c>
      <c r="Q156" s="64" t="s">
        <v>25</v>
      </c>
      <c r="R156" s="68">
        <f t="shared" si="1"/>
        <v>-0.5</v>
      </c>
      <c r="S156" s="68">
        <f t="shared" si="4"/>
        <v>5.500733333</v>
      </c>
    </row>
    <row r="157">
      <c r="A157" s="64">
        <f t="shared" si="3"/>
        <v>156</v>
      </c>
      <c r="B157" s="64" t="s">
        <v>40</v>
      </c>
      <c r="C157" s="64" t="s">
        <v>2544</v>
      </c>
      <c r="D157" s="64"/>
      <c r="E157" s="64"/>
      <c r="F157" s="64"/>
      <c r="G157" s="64"/>
      <c r="H157" s="64" t="s">
        <v>78</v>
      </c>
      <c r="I157" s="64" t="s">
        <v>22</v>
      </c>
      <c r="J157" s="64" t="s">
        <v>2545</v>
      </c>
      <c r="K157" s="64" t="s">
        <v>24</v>
      </c>
      <c r="L157" s="65">
        <v>7.0</v>
      </c>
      <c r="M157" s="65">
        <v>0.5</v>
      </c>
      <c r="N157" s="65">
        <v>0.5</v>
      </c>
      <c r="O157" s="66">
        <v>45091.0</v>
      </c>
      <c r="P157" s="67">
        <v>1.8</v>
      </c>
      <c r="Q157" s="64" t="s">
        <v>25</v>
      </c>
      <c r="R157" s="68">
        <f t="shared" si="1"/>
        <v>-0.5</v>
      </c>
      <c r="S157" s="68">
        <f t="shared" si="4"/>
        <v>5.000733333</v>
      </c>
    </row>
    <row r="158">
      <c r="A158" s="64">
        <f t="shared" si="3"/>
        <v>157</v>
      </c>
      <c r="B158" s="64" t="s">
        <v>19</v>
      </c>
      <c r="C158" s="64" t="s">
        <v>2546</v>
      </c>
      <c r="D158" s="64"/>
      <c r="E158" s="64"/>
      <c r="F158" s="64"/>
      <c r="G158" s="64"/>
      <c r="H158" s="64" t="s">
        <v>78</v>
      </c>
      <c r="I158" s="64" t="s">
        <v>22</v>
      </c>
      <c r="J158" s="64" t="s">
        <v>892</v>
      </c>
      <c r="K158" s="64" t="s">
        <v>24</v>
      </c>
      <c r="L158" s="65">
        <v>0.0</v>
      </c>
      <c r="M158" s="65">
        <v>0.5</v>
      </c>
      <c r="N158" s="65">
        <v>0.5</v>
      </c>
      <c r="O158" s="66">
        <v>45091.0</v>
      </c>
      <c r="P158" s="67">
        <f>368.08/250</f>
        <v>1.47232</v>
      </c>
      <c r="Q158" s="64" t="s">
        <v>33</v>
      </c>
      <c r="R158" s="68">
        <f t="shared" si="1"/>
        <v>0.23616</v>
      </c>
      <c r="S158" s="68">
        <f t="shared" si="4"/>
        <v>5.236893333</v>
      </c>
    </row>
    <row r="159">
      <c r="A159" s="64">
        <f t="shared" si="3"/>
        <v>158</v>
      </c>
      <c r="B159" s="64" t="s">
        <v>19</v>
      </c>
      <c r="C159" s="64" t="s">
        <v>2547</v>
      </c>
      <c r="D159" s="64"/>
      <c r="E159" s="64"/>
      <c r="F159" s="64"/>
      <c r="G159" s="64"/>
      <c r="H159" s="64" t="s">
        <v>82</v>
      </c>
      <c r="I159" s="64" t="s">
        <v>22</v>
      </c>
      <c r="J159" s="64" t="s">
        <v>1150</v>
      </c>
      <c r="K159" s="64" t="s">
        <v>24</v>
      </c>
      <c r="L159" s="65">
        <v>0.0</v>
      </c>
      <c r="M159" s="65">
        <v>0.5</v>
      </c>
      <c r="N159" s="65">
        <v>0.5</v>
      </c>
      <c r="O159" s="66">
        <v>45091.0</v>
      </c>
      <c r="P159" s="67">
        <v>1.8</v>
      </c>
      <c r="Q159" s="64" t="s">
        <v>70</v>
      </c>
      <c r="R159" s="68">
        <f t="shared" si="1"/>
        <v>0</v>
      </c>
      <c r="S159" s="68">
        <f t="shared" si="4"/>
        <v>5.236893333</v>
      </c>
    </row>
    <row r="160">
      <c r="A160" s="64">
        <f t="shared" si="3"/>
        <v>159</v>
      </c>
      <c r="B160" s="64" t="s">
        <v>40</v>
      </c>
      <c r="C160" s="64" t="s">
        <v>2548</v>
      </c>
      <c r="D160" s="64"/>
      <c r="E160" s="64"/>
      <c r="F160" s="64"/>
      <c r="G160" s="64"/>
      <c r="H160" s="64" t="s">
        <v>78</v>
      </c>
      <c r="I160" s="64" t="s">
        <v>22</v>
      </c>
      <c r="J160" s="64" t="s">
        <v>440</v>
      </c>
      <c r="K160" s="64" t="s">
        <v>39</v>
      </c>
      <c r="L160" s="65">
        <v>1.75</v>
      </c>
      <c r="M160" s="65">
        <v>0.5</v>
      </c>
      <c r="N160" s="65">
        <v>0.3</v>
      </c>
      <c r="O160" s="66">
        <v>45091.0</v>
      </c>
      <c r="P160" s="67">
        <v>1.975</v>
      </c>
      <c r="Q160" s="64" t="s">
        <v>33</v>
      </c>
      <c r="R160" s="68">
        <f t="shared" si="1"/>
        <v>0.2925</v>
      </c>
      <c r="S160" s="68">
        <f t="shared" si="4"/>
        <v>5.529393333</v>
      </c>
    </row>
    <row r="161">
      <c r="A161" s="64">
        <f t="shared" si="3"/>
        <v>160</v>
      </c>
      <c r="B161" s="64" t="s">
        <v>19</v>
      </c>
      <c r="C161" s="64" t="s">
        <v>2549</v>
      </c>
      <c r="D161" s="64"/>
      <c r="E161" s="64"/>
      <c r="F161" s="64"/>
      <c r="G161" s="64"/>
      <c r="H161" s="64" t="s">
        <v>82</v>
      </c>
      <c r="I161" s="64" t="s">
        <v>22</v>
      </c>
      <c r="J161" s="64" t="s">
        <v>892</v>
      </c>
      <c r="K161" s="64" t="s">
        <v>24</v>
      </c>
      <c r="L161" s="65">
        <v>0.0</v>
      </c>
      <c r="M161" s="65">
        <v>0.5</v>
      </c>
      <c r="N161" s="65">
        <v>0.5</v>
      </c>
      <c r="O161" s="66">
        <v>45091.0</v>
      </c>
      <c r="P161" s="67">
        <v>1.9</v>
      </c>
      <c r="Q161" s="64" t="s">
        <v>33</v>
      </c>
      <c r="R161" s="68">
        <f t="shared" si="1"/>
        <v>0.45</v>
      </c>
      <c r="S161" s="68">
        <f t="shared" si="4"/>
        <v>5.979393333</v>
      </c>
    </row>
    <row r="162">
      <c r="A162" s="64">
        <f t="shared" si="3"/>
        <v>161</v>
      </c>
      <c r="B162" s="64" t="s">
        <v>19</v>
      </c>
      <c r="C162" s="64" t="s">
        <v>2550</v>
      </c>
      <c r="D162" s="64"/>
      <c r="E162" s="64"/>
      <c r="F162" s="64"/>
      <c r="G162" s="64"/>
      <c r="H162" s="64" t="s">
        <v>794</v>
      </c>
      <c r="I162" s="64" t="s">
        <v>22</v>
      </c>
      <c r="J162" s="64" t="s">
        <v>225</v>
      </c>
      <c r="K162" s="64" t="s">
        <v>39</v>
      </c>
      <c r="L162" s="65">
        <v>0.5</v>
      </c>
      <c r="M162" s="65">
        <v>0.5</v>
      </c>
      <c r="N162" s="65">
        <v>0.45</v>
      </c>
      <c r="O162" s="66">
        <v>45092.0</v>
      </c>
      <c r="P162" s="67">
        <v>1.75</v>
      </c>
      <c r="Q162" s="64" t="s">
        <v>25</v>
      </c>
      <c r="R162" s="68">
        <f t="shared" si="1"/>
        <v>-0.45</v>
      </c>
      <c r="S162" s="68">
        <f t="shared" si="4"/>
        <v>5.529393333</v>
      </c>
    </row>
    <row r="163">
      <c r="A163" s="64">
        <f t="shared" si="3"/>
        <v>162</v>
      </c>
      <c r="B163" s="64" t="s">
        <v>19</v>
      </c>
      <c r="C163" s="64" t="s">
        <v>2551</v>
      </c>
      <c r="D163" s="64"/>
      <c r="E163" s="64"/>
      <c r="F163" s="64"/>
      <c r="G163" s="64"/>
      <c r="H163" s="64" t="s">
        <v>794</v>
      </c>
      <c r="I163" s="64" t="s">
        <v>598</v>
      </c>
      <c r="J163" s="64" t="s">
        <v>892</v>
      </c>
      <c r="K163" s="64" t="s">
        <v>2201</v>
      </c>
      <c r="L163" s="65">
        <v>0.0</v>
      </c>
      <c r="M163" s="65">
        <v>0.5</v>
      </c>
      <c r="N163" s="65">
        <v>0.5</v>
      </c>
      <c r="O163" s="66">
        <v>45092.0</v>
      </c>
      <c r="P163" s="67">
        <v>1.75</v>
      </c>
      <c r="Q163" s="64" t="s">
        <v>70</v>
      </c>
      <c r="R163" s="68">
        <f t="shared" si="1"/>
        <v>0</v>
      </c>
      <c r="S163" s="68">
        <f t="shared" si="4"/>
        <v>5.529393333</v>
      </c>
    </row>
    <row r="164">
      <c r="A164" s="64">
        <f t="shared" si="3"/>
        <v>163</v>
      </c>
      <c r="B164" s="64" t="s">
        <v>19</v>
      </c>
      <c r="C164" s="64" t="s">
        <v>2552</v>
      </c>
      <c r="D164" s="64"/>
      <c r="E164" s="64"/>
      <c r="F164" s="64"/>
      <c r="G164" s="64"/>
      <c r="H164" s="64" t="s">
        <v>82</v>
      </c>
      <c r="I164" s="64" t="s">
        <v>22</v>
      </c>
      <c r="J164" s="64" t="s">
        <v>225</v>
      </c>
      <c r="K164" s="64" t="s">
        <v>39</v>
      </c>
      <c r="L164" s="65">
        <v>0.25</v>
      </c>
      <c r="M164" s="65">
        <v>0.5</v>
      </c>
      <c r="N164" s="65">
        <v>0.5</v>
      </c>
      <c r="O164" s="66">
        <v>45092.0</v>
      </c>
      <c r="P164" s="67">
        <v>1.725</v>
      </c>
      <c r="Q164" s="64" t="s">
        <v>30</v>
      </c>
      <c r="R164" s="68">
        <f t="shared" si="1"/>
        <v>0.18125</v>
      </c>
      <c r="S164" s="68">
        <f t="shared" si="4"/>
        <v>5.710643333</v>
      </c>
    </row>
    <row r="165">
      <c r="A165" s="64">
        <f t="shared" si="3"/>
        <v>164</v>
      </c>
      <c r="B165" s="64" t="s">
        <v>19</v>
      </c>
      <c r="C165" s="64" t="s">
        <v>2553</v>
      </c>
      <c r="D165" s="64" t="s">
        <v>5565</v>
      </c>
      <c r="E165" s="64" t="s">
        <v>2554</v>
      </c>
      <c r="F165" s="64">
        <f>1</f>
        <v>1</v>
      </c>
      <c r="G165" s="64" t="s">
        <v>5733</v>
      </c>
      <c r="H165" s="64" t="s">
        <v>82</v>
      </c>
      <c r="I165" s="64" t="s">
        <v>22</v>
      </c>
      <c r="J165" s="64" t="s">
        <v>892</v>
      </c>
      <c r="K165" s="64" t="s">
        <v>39</v>
      </c>
      <c r="L165" s="65">
        <v>0.0</v>
      </c>
      <c r="M165" s="65">
        <v>0.5</v>
      </c>
      <c r="N165" s="65">
        <v>0.5</v>
      </c>
      <c r="O165" s="66">
        <v>45092.0</v>
      </c>
      <c r="P165" s="67">
        <v>1.975</v>
      </c>
      <c r="Q165" s="64" t="s">
        <v>33</v>
      </c>
      <c r="R165" s="68">
        <f t="shared" si="1"/>
        <v>0.4875</v>
      </c>
      <c r="S165" s="68">
        <f t="shared" si="4"/>
        <v>6.198143333</v>
      </c>
    </row>
    <row r="166">
      <c r="A166" s="64">
        <f t="shared" si="3"/>
        <v>165</v>
      </c>
      <c r="B166" s="64" t="s">
        <v>19</v>
      </c>
      <c r="C166" s="64" t="s">
        <v>2555</v>
      </c>
      <c r="D166" s="64" t="s">
        <v>5564</v>
      </c>
      <c r="E166" s="64" t="s">
        <v>2556</v>
      </c>
      <c r="F166" s="64">
        <v>0.0</v>
      </c>
      <c r="G166" s="64" t="s">
        <v>5691</v>
      </c>
      <c r="H166" s="64" t="s">
        <v>78</v>
      </c>
      <c r="I166" s="64" t="s">
        <v>22</v>
      </c>
      <c r="J166" s="64" t="s">
        <v>225</v>
      </c>
      <c r="K166" s="64" t="s">
        <v>24</v>
      </c>
      <c r="L166" s="65">
        <v>0.25</v>
      </c>
      <c r="M166" s="65">
        <v>0.5</v>
      </c>
      <c r="N166" s="65">
        <v>0.5</v>
      </c>
      <c r="O166" s="66">
        <v>45092.0</v>
      </c>
      <c r="P166" s="67">
        <v>1.875</v>
      </c>
      <c r="Q166" s="64" t="s">
        <v>33</v>
      </c>
      <c r="R166" s="68">
        <f t="shared" si="1"/>
        <v>0.4375</v>
      </c>
      <c r="S166" s="68">
        <f t="shared" si="4"/>
        <v>6.635643333</v>
      </c>
    </row>
    <row r="167">
      <c r="A167" s="64">
        <f t="shared" si="3"/>
        <v>166</v>
      </c>
      <c r="B167" s="64" t="s">
        <v>19</v>
      </c>
      <c r="C167" s="64" t="s">
        <v>2557</v>
      </c>
      <c r="D167" s="64" t="s">
        <v>5564</v>
      </c>
      <c r="E167" s="64" t="s">
        <v>2556</v>
      </c>
      <c r="F167" s="64">
        <f>1</f>
        <v>1</v>
      </c>
      <c r="G167" s="64" t="s">
        <v>5734</v>
      </c>
      <c r="H167" s="64" t="s">
        <v>513</v>
      </c>
      <c r="I167" s="64" t="s">
        <v>22</v>
      </c>
      <c r="J167" s="64" t="s">
        <v>225</v>
      </c>
      <c r="K167" s="64" t="s">
        <v>1803</v>
      </c>
      <c r="L167" s="65">
        <v>1.5</v>
      </c>
      <c r="M167" s="65">
        <v>0.5</v>
      </c>
      <c r="N167" s="65">
        <v>0.5</v>
      </c>
      <c r="O167" s="66">
        <v>45092.0</v>
      </c>
      <c r="P167" s="67">
        <v>1.85</v>
      </c>
      <c r="Q167" s="64" t="s">
        <v>25</v>
      </c>
      <c r="R167" s="68">
        <f t="shared" si="1"/>
        <v>-0.5</v>
      </c>
      <c r="S167" s="68">
        <f t="shared" si="4"/>
        <v>6.135643333</v>
      </c>
    </row>
    <row r="168">
      <c r="A168" s="64">
        <f t="shared" si="3"/>
        <v>167</v>
      </c>
      <c r="B168" s="64" t="s">
        <v>19</v>
      </c>
      <c r="C168" s="64" t="s">
        <v>2558</v>
      </c>
      <c r="D168" s="64" t="s">
        <v>5564</v>
      </c>
      <c r="E168" s="64" t="s">
        <v>2556</v>
      </c>
      <c r="F168" s="64">
        <v>0.0</v>
      </c>
      <c r="G168" s="64" t="s">
        <v>5691</v>
      </c>
      <c r="H168" s="64" t="s">
        <v>463</v>
      </c>
      <c r="I168" s="64" t="s">
        <v>22</v>
      </c>
      <c r="J168" s="64" t="s">
        <v>225</v>
      </c>
      <c r="K168" s="64" t="s">
        <v>24</v>
      </c>
      <c r="L168" s="65">
        <v>1.25</v>
      </c>
      <c r="M168" s="65">
        <v>0.5</v>
      </c>
      <c r="N168" s="65">
        <v>0.5</v>
      </c>
      <c r="O168" s="66">
        <v>45092.0</v>
      </c>
      <c r="P168" s="67">
        <f>321.54/250</f>
        <v>1.28616</v>
      </c>
      <c r="Q168" s="64" t="s">
        <v>33</v>
      </c>
      <c r="R168" s="68">
        <f t="shared" si="1"/>
        <v>0.14308</v>
      </c>
      <c r="S168" s="68">
        <f t="shared" si="4"/>
        <v>6.278723333</v>
      </c>
    </row>
    <row r="169">
      <c r="A169" s="64">
        <f t="shared" si="3"/>
        <v>168</v>
      </c>
      <c r="B169" s="64" t="s">
        <v>19</v>
      </c>
      <c r="C169" s="64" t="s">
        <v>2559</v>
      </c>
      <c r="D169" s="64" t="s">
        <v>5565</v>
      </c>
      <c r="E169" s="64" t="s">
        <v>2556</v>
      </c>
      <c r="F169" s="64">
        <v>-1.0</v>
      </c>
      <c r="G169" s="64" t="s">
        <v>5697</v>
      </c>
      <c r="H169" s="64" t="s">
        <v>513</v>
      </c>
      <c r="I169" s="64" t="s">
        <v>22</v>
      </c>
      <c r="J169" s="64" t="s">
        <v>225</v>
      </c>
      <c r="K169" s="64" t="s">
        <v>24</v>
      </c>
      <c r="L169" s="65">
        <v>0.5</v>
      </c>
      <c r="M169" s="65">
        <v>0.5</v>
      </c>
      <c r="N169" s="65">
        <v>0.5</v>
      </c>
      <c r="O169" s="66">
        <v>45092.0</v>
      </c>
      <c r="P169" s="67">
        <v>2.0</v>
      </c>
      <c r="Q169" s="64" t="s">
        <v>25</v>
      </c>
      <c r="R169" s="68">
        <f t="shared" si="1"/>
        <v>-0.5</v>
      </c>
      <c r="S169" s="68">
        <f t="shared" si="4"/>
        <v>5.778723333</v>
      </c>
    </row>
    <row r="170">
      <c r="A170" s="64">
        <f t="shared" si="3"/>
        <v>169</v>
      </c>
      <c r="B170" s="64" t="s">
        <v>19</v>
      </c>
      <c r="C170" s="64" t="s">
        <v>2560</v>
      </c>
      <c r="D170" s="64" t="s">
        <v>5564</v>
      </c>
      <c r="E170" s="64" t="s">
        <v>2556</v>
      </c>
      <c r="F170" s="64">
        <v>-1.0</v>
      </c>
      <c r="G170" s="64" t="s">
        <v>5701</v>
      </c>
      <c r="H170" s="64" t="s">
        <v>513</v>
      </c>
      <c r="I170" s="64" t="s">
        <v>22</v>
      </c>
      <c r="J170" s="64" t="s">
        <v>225</v>
      </c>
      <c r="K170" s="64" t="s">
        <v>24</v>
      </c>
      <c r="L170" s="65">
        <v>0.5</v>
      </c>
      <c r="M170" s="65">
        <v>0.5</v>
      </c>
      <c r="N170" s="65">
        <v>0.5</v>
      </c>
      <c r="O170" s="66">
        <v>45092.0</v>
      </c>
      <c r="P170" s="67">
        <v>1.775</v>
      </c>
      <c r="Q170" s="64" t="s">
        <v>25</v>
      </c>
      <c r="R170" s="68">
        <f t="shared" si="1"/>
        <v>-0.5</v>
      </c>
      <c r="S170" s="68">
        <f t="shared" si="4"/>
        <v>5.278723333</v>
      </c>
    </row>
    <row r="171">
      <c r="A171" s="64">
        <f t="shared" si="3"/>
        <v>170</v>
      </c>
      <c r="B171" s="64" t="s">
        <v>19</v>
      </c>
      <c r="C171" s="64" t="s">
        <v>2561</v>
      </c>
      <c r="D171" s="64" t="s">
        <v>5564</v>
      </c>
      <c r="E171" s="64" t="s">
        <v>2556</v>
      </c>
      <c r="F171" s="64">
        <f>1</f>
        <v>1</v>
      </c>
      <c r="G171" s="64" t="s">
        <v>5734</v>
      </c>
      <c r="H171" s="64" t="s">
        <v>82</v>
      </c>
      <c r="I171" s="64" t="s">
        <v>22</v>
      </c>
      <c r="J171" s="64" t="s">
        <v>225</v>
      </c>
      <c r="K171" s="64" t="s">
        <v>39</v>
      </c>
      <c r="L171" s="65">
        <v>1.0</v>
      </c>
      <c r="M171" s="65">
        <v>0.5</v>
      </c>
      <c r="N171" s="65">
        <v>0.5</v>
      </c>
      <c r="O171" s="66">
        <v>45092.0</v>
      </c>
      <c r="P171" s="67">
        <v>1.775</v>
      </c>
      <c r="Q171" s="64" t="s">
        <v>33</v>
      </c>
      <c r="R171" s="68">
        <f t="shared" si="1"/>
        <v>0.3875</v>
      </c>
      <c r="S171" s="68">
        <f t="shared" si="4"/>
        <v>5.666223333</v>
      </c>
    </row>
    <row r="172">
      <c r="A172" s="64">
        <f t="shared" si="3"/>
        <v>171</v>
      </c>
      <c r="B172" s="64" t="s">
        <v>19</v>
      </c>
      <c r="C172" s="64" t="s">
        <v>2562</v>
      </c>
      <c r="D172" s="64" t="s">
        <v>5565</v>
      </c>
      <c r="E172" s="64" t="s">
        <v>2556</v>
      </c>
      <c r="F172" s="64">
        <v>0.0</v>
      </c>
      <c r="G172" s="64" t="s">
        <v>5698</v>
      </c>
      <c r="H172" s="64" t="s">
        <v>513</v>
      </c>
      <c r="I172" s="64" t="s">
        <v>22</v>
      </c>
      <c r="J172" s="64" t="s">
        <v>225</v>
      </c>
      <c r="K172" s="64" t="s">
        <v>24</v>
      </c>
      <c r="L172" s="65">
        <v>0.5</v>
      </c>
      <c r="M172" s="65">
        <v>0.5</v>
      </c>
      <c r="N172" s="65">
        <v>0.5</v>
      </c>
      <c r="O172" s="66">
        <v>45092.0</v>
      </c>
      <c r="P172" s="67">
        <v>1.85</v>
      </c>
      <c r="Q172" s="64" t="s">
        <v>25</v>
      </c>
      <c r="R172" s="68">
        <f t="shared" si="1"/>
        <v>-0.5</v>
      </c>
      <c r="S172" s="68">
        <f t="shared" si="4"/>
        <v>5.166223333</v>
      </c>
    </row>
    <row r="173">
      <c r="A173" s="64">
        <f t="shared" si="3"/>
        <v>172</v>
      </c>
      <c r="B173" s="64" t="s">
        <v>19</v>
      </c>
      <c r="C173" s="64" t="s">
        <v>2563</v>
      </c>
      <c r="D173" s="64" t="s">
        <v>5565</v>
      </c>
      <c r="E173" s="64" t="s">
        <v>2556</v>
      </c>
      <c r="F173" s="64">
        <v>-1.0</v>
      </c>
      <c r="G173" s="64" t="s">
        <v>5697</v>
      </c>
      <c r="H173" s="64" t="s">
        <v>82</v>
      </c>
      <c r="I173" s="64" t="s">
        <v>22</v>
      </c>
      <c r="J173" s="64" t="s">
        <v>225</v>
      </c>
      <c r="K173" s="64" t="s">
        <v>24</v>
      </c>
      <c r="L173" s="65">
        <v>0.25</v>
      </c>
      <c r="M173" s="65">
        <v>0.5</v>
      </c>
      <c r="N173" s="65">
        <v>0.5</v>
      </c>
      <c r="O173" s="66">
        <v>45092.0</v>
      </c>
      <c r="P173" s="67">
        <v>1.8</v>
      </c>
      <c r="Q173" s="64" t="s">
        <v>30</v>
      </c>
      <c r="R173" s="68">
        <f t="shared" si="1"/>
        <v>0.2</v>
      </c>
      <c r="S173" s="68">
        <f t="shared" si="4"/>
        <v>5.366223333</v>
      </c>
    </row>
    <row r="174">
      <c r="A174" s="64">
        <f t="shared" si="3"/>
        <v>173</v>
      </c>
      <c r="B174" s="64" t="s">
        <v>19</v>
      </c>
      <c r="C174" s="64" t="s">
        <v>2564</v>
      </c>
      <c r="D174" s="64"/>
      <c r="E174" s="64"/>
      <c r="F174" s="64"/>
      <c r="G174" s="64"/>
      <c r="H174" s="64" t="s">
        <v>182</v>
      </c>
      <c r="I174" s="64" t="s">
        <v>22</v>
      </c>
      <c r="J174" s="64" t="s">
        <v>440</v>
      </c>
      <c r="K174" s="64" t="s">
        <v>39</v>
      </c>
      <c r="L174" s="65">
        <v>3.0</v>
      </c>
      <c r="M174" s="65">
        <v>0.25</v>
      </c>
      <c r="N174" s="65">
        <v>0.25</v>
      </c>
      <c r="O174" s="66">
        <v>45092.0</v>
      </c>
      <c r="P174" s="67">
        <v>1.625</v>
      </c>
      <c r="Q174" s="64" t="s">
        <v>70</v>
      </c>
      <c r="R174" s="68">
        <f t="shared" si="1"/>
        <v>0</v>
      </c>
      <c r="S174" s="68">
        <f t="shared" si="4"/>
        <v>5.366223333</v>
      </c>
    </row>
    <row r="175">
      <c r="A175" s="64">
        <f t="shared" si="3"/>
        <v>174</v>
      </c>
      <c r="B175" s="64" t="s">
        <v>40</v>
      </c>
      <c r="C175" s="64" t="s">
        <v>2565</v>
      </c>
      <c r="D175" s="64" t="s">
        <v>5564</v>
      </c>
      <c r="E175" s="64" t="s">
        <v>2556</v>
      </c>
      <c r="F175" s="64">
        <v>2</v>
      </c>
      <c r="G175" s="64" t="s">
        <v>5694</v>
      </c>
      <c r="H175" s="64" t="s">
        <v>157</v>
      </c>
      <c r="I175" s="64" t="s">
        <v>22</v>
      </c>
      <c r="J175" s="64" t="s">
        <v>225</v>
      </c>
      <c r="K175" s="64" t="s">
        <v>24</v>
      </c>
      <c r="L175" s="65">
        <v>0.5</v>
      </c>
      <c r="M175" s="65">
        <v>1.0</v>
      </c>
      <c r="N175" s="65">
        <v>0.31</v>
      </c>
      <c r="O175" s="66">
        <v>45093.0</v>
      </c>
      <c r="P175" s="67">
        <v>1.8</v>
      </c>
      <c r="Q175" s="64" t="s">
        <v>25</v>
      </c>
      <c r="R175" s="68">
        <f t="shared" si="1"/>
        <v>-0.31</v>
      </c>
      <c r="S175" s="68">
        <f t="shared" si="4"/>
        <v>5.056223333</v>
      </c>
    </row>
    <row r="176">
      <c r="A176" s="64">
        <f t="shared" si="3"/>
        <v>175</v>
      </c>
      <c r="B176" s="64" t="s">
        <v>19</v>
      </c>
      <c r="C176" s="64" t="s">
        <v>2566</v>
      </c>
      <c r="D176" s="64"/>
      <c r="E176" s="64"/>
      <c r="F176" s="64" t="s">
        <v>2567</v>
      </c>
      <c r="G176" s="64" t="s">
        <v>2567</v>
      </c>
      <c r="H176" s="64" t="s">
        <v>82</v>
      </c>
      <c r="I176" s="64" t="s">
        <v>22</v>
      </c>
      <c r="J176" s="64" t="s">
        <v>29</v>
      </c>
      <c r="K176" s="64" t="s">
        <v>1522</v>
      </c>
      <c r="L176" s="65">
        <v>-3.25</v>
      </c>
      <c r="M176" s="65">
        <v>1.0</v>
      </c>
      <c r="N176" s="65">
        <v>0.61</v>
      </c>
      <c r="O176" s="66">
        <v>45093.0</v>
      </c>
      <c r="P176" s="67">
        <v>1.8</v>
      </c>
      <c r="Q176" s="64" t="s">
        <v>33</v>
      </c>
      <c r="R176" s="68">
        <f t="shared" si="1"/>
        <v>0.488</v>
      </c>
      <c r="S176" s="68">
        <f t="shared" si="4"/>
        <v>5.544223333</v>
      </c>
    </row>
    <row r="177">
      <c r="A177" s="64">
        <f t="shared" si="3"/>
        <v>176</v>
      </c>
      <c r="B177" s="64" t="s">
        <v>19</v>
      </c>
      <c r="C177" s="64" t="s">
        <v>2568</v>
      </c>
      <c r="D177" s="64"/>
      <c r="E177" s="64"/>
      <c r="F177" s="64" t="s">
        <v>2567</v>
      </c>
      <c r="G177" s="64" t="s">
        <v>2567</v>
      </c>
      <c r="H177" s="64" t="s">
        <v>82</v>
      </c>
      <c r="I177" s="64" t="s">
        <v>22</v>
      </c>
      <c r="J177" s="64" t="s">
        <v>29</v>
      </c>
      <c r="K177" s="64" t="s">
        <v>1522</v>
      </c>
      <c r="L177" s="65">
        <v>-3.0</v>
      </c>
      <c r="M177" s="65">
        <v>1.0</v>
      </c>
      <c r="N177" s="65">
        <v>0.23</v>
      </c>
      <c r="O177" s="66">
        <v>45093.0</v>
      </c>
      <c r="P177" s="67">
        <v>1.85</v>
      </c>
      <c r="Q177" s="64" t="s">
        <v>33</v>
      </c>
      <c r="R177" s="68">
        <f t="shared" si="1"/>
        <v>0.1955</v>
      </c>
      <c r="S177" s="68">
        <f t="shared" si="4"/>
        <v>5.739723333</v>
      </c>
    </row>
    <row r="178">
      <c r="A178" s="64">
        <f t="shared" si="3"/>
        <v>177</v>
      </c>
      <c r="B178" s="64" t="s">
        <v>19</v>
      </c>
      <c r="C178" s="64" t="s">
        <v>2569</v>
      </c>
      <c r="D178" s="64" t="s">
        <v>5565</v>
      </c>
      <c r="E178" s="64" t="s">
        <v>2554</v>
      </c>
      <c r="F178" s="64">
        <v>0.0</v>
      </c>
      <c r="G178" s="64" t="s">
        <v>5735</v>
      </c>
      <c r="H178" s="64" t="s">
        <v>794</v>
      </c>
      <c r="I178" s="64" t="s">
        <v>22</v>
      </c>
      <c r="J178" s="64" t="s">
        <v>892</v>
      </c>
      <c r="K178" s="64" t="s">
        <v>1803</v>
      </c>
      <c r="L178" s="65">
        <v>0.0</v>
      </c>
      <c r="M178" s="65">
        <v>0.5</v>
      </c>
      <c r="N178" s="65">
        <v>0.5</v>
      </c>
      <c r="O178" s="66">
        <v>45093.0</v>
      </c>
      <c r="P178" s="67">
        <v>1.8</v>
      </c>
      <c r="Q178" s="64" t="s">
        <v>33</v>
      </c>
      <c r="R178" s="68">
        <f t="shared" si="1"/>
        <v>0.4</v>
      </c>
      <c r="S178" s="68">
        <f t="shared" si="4"/>
        <v>6.139723333</v>
      </c>
    </row>
    <row r="179">
      <c r="A179" s="64">
        <f t="shared" si="3"/>
        <v>178</v>
      </c>
      <c r="B179" s="64" t="s">
        <v>19</v>
      </c>
      <c r="C179" s="64" t="s">
        <v>2570</v>
      </c>
      <c r="D179" s="64"/>
      <c r="E179" s="64"/>
      <c r="F179" s="64"/>
      <c r="G179" s="64"/>
      <c r="H179" s="64" t="s">
        <v>794</v>
      </c>
      <c r="I179" s="64" t="s">
        <v>598</v>
      </c>
      <c r="J179" s="64" t="s">
        <v>2508</v>
      </c>
      <c r="K179" s="64" t="s">
        <v>24</v>
      </c>
      <c r="L179" s="65"/>
      <c r="M179" s="65">
        <v>1.0</v>
      </c>
      <c r="N179" s="65">
        <v>1.0</v>
      </c>
      <c r="O179" s="66">
        <v>45093.0</v>
      </c>
      <c r="P179" s="67">
        <v>1.8</v>
      </c>
      <c r="Q179" s="64" t="s">
        <v>25</v>
      </c>
      <c r="R179" s="68">
        <f t="shared" si="1"/>
        <v>-1</v>
      </c>
      <c r="S179" s="68">
        <f t="shared" si="4"/>
        <v>5.139723333</v>
      </c>
    </row>
    <row r="180">
      <c r="A180" s="64">
        <f t="shared" si="3"/>
        <v>179</v>
      </c>
      <c r="B180" s="64" t="s">
        <v>19</v>
      </c>
      <c r="C180" s="64" t="s">
        <v>2571</v>
      </c>
      <c r="D180" s="64" t="s">
        <v>5564</v>
      </c>
      <c r="E180" s="64" t="s">
        <v>2556</v>
      </c>
      <c r="F180" s="64">
        <v>2</v>
      </c>
      <c r="G180" s="64" t="s">
        <v>5694</v>
      </c>
      <c r="H180" s="64" t="s">
        <v>463</v>
      </c>
      <c r="I180" s="64" t="s">
        <v>22</v>
      </c>
      <c r="J180" s="64" t="s">
        <v>225</v>
      </c>
      <c r="K180" s="64" t="s">
        <v>39</v>
      </c>
      <c r="L180" s="65">
        <v>0.5</v>
      </c>
      <c r="M180" s="65">
        <v>0.46</v>
      </c>
      <c r="N180" s="65">
        <v>0.46</v>
      </c>
      <c r="O180" s="66">
        <v>45093.0</v>
      </c>
      <c r="P180" s="67">
        <v>1.975</v>
      </c>
      <c r="Q180" s="64" t="s">
        <v>25</v>
      </c>
      <c r="R180" s="68">
        <f t="shared" si="1"/>
        <v>-0.46</v>
      </c>
      <c r="S180" s="68">
        <f t="shared" si="4"/>
        <v>4.679723333</v>
      </c>
    </row>
    <row r="181">
      <c r="A181" s="64">
        <f t="shared" si="3"/>
        <v>180</v>
      </c>
      <c r="B181" s="64" t="s">
        <v>19</v>
      </c>
      <c r="C181" s="64" t="s">
        <v>2572</v>
      </c>
      <c r="D181" s="64" t="s">
        <v>5565</v>
      </c>
      <c r="E181" s="64" t="s">
        <v>2573</v>
      </c>
      <c r="F181" s="64">
        <v>2</v>
      </c>
      <c r="G181" s="64" t="s">
        <v>5736</v>
      </c>
      <c r="H181" s="64" t="s">
        <v>513</v>
      </c>
      <c r="I181" s="64" t="s">
        <v>22</v>
      </c>
      <c r="J181" s="64" t="s">
        <v>894</v>
      </c>
      <c r="K181" s="64" t="s">
        <v>1522</v>
      </c>
      <c r="L181" s="65">
        <v>-0.75</v>
      </c>
      <c r="M181" s="65">
        <v>0.5</v>
      </c>
      <c r="N181" s="65">
        <v>0.5</v>
      </c>
      <c r="O181" s="66">
        <v>45093.0</v>
      </c>
      <c r="P181" s="67">
        <v>1.825</v>
      </c>
      <c r="Q181" s="64" t="s">
        <v>33</v>
      </c>
      <c r="R181" s="68">
        <f t="shared" si="1"/>
        <v>0.4125</v>
      </c>
      <c r="S181" s="68">
        <f t="shared" si="4"/>
        <v>5.092223333</v>
      </c>
    </row>
    <row r="182">
      <c r="A182" s="64">
        <f t="shared" si="3"/>
        <v>181</v>
      </c>
      <c r="B182" s="64" t="s">
        <v>19</v>
      </c>
      <c r="C182" s="64" t="s">
        <v>2574</v>
      </c>
      <c r="D182" s="64" t="s">
        <v>5565</v>
      </c>
      <c r="E182" s="64" t="s">
        <v>2573</v>
      </c>
      <c r="F182" s="64">
        <v>-1.0</v>
      </c>
      <c r="G182" s="64" t="s">
        <v>5737</v>
      </c>
      <c r="H182" s="64" t="s">
        <v>182</v>
      </c>
      <c r="I182" s="64" t="s">
        <v>22</v>
      </c>
      <c r="J182" s="64" t="s">
        <v>2415</v>
      </c>
      <c r="K182" s="64" t="s">
        <v>2575</v>
      </c>
      <c r="L182" s="65">
        <v>10.0</v>
      </c>
      <c r="M182" s="65">
        <v>0.25</v>
      </c>
      <c r="N182" s="65">
        <v>0.25</v>
      </c>
      <c r="O182" s="66">
        <v>45093.0</v>
      </c>
      <c r="P182" s="67">
        <v>1.85</v>
      </c>
      <c r="Q182" s="64" t="s">
        <v>70</v>
      </c>
      <c r="R182" s="68">
        <f t="shared" si="1"/>
        <v>0</v>
      </c>
      <c r="S182" s="68">
        <f t="shared" si="4"/>
        <v>5.092223333</v>
      </c>
    </row>
    <row r="183">
      <c r="A183" s="64">
        <f t="shared" si="3"/>
        <v>182</v>
      </c>
      <c r="B183" s="64" t="s">
        <v>19</v>
      </c>
      <c r="C183" s="64" t="s">
        <v>2576</v>
      </c>
      <c r="D183" s="64"/>
      <c r="E183" s="64"/>
      <c r="F183" s="64"/>
      <c r="G183" s="64"/>
      <c r="H183" s="64" t="s">
        <v>182</v>
      </c>
      <c r="I183" s="64" t="s">
        <v>598</v>
      </c>
      <c r="J183" s="64" t="s">
        <v>1272</v>
      </c>
      <c r="K183" s="64" t="s">
        <v>1522</v>
      </c>
      <c r="L183" s="65"/>
      <c r="M183" s="65">
        <v>0.25</v>
      </c>
      <c r="N183" s="65">
        <v>0.25</v>
      </c>
      <c r="O183" s="66">
        <v>45093.0</v>
      </c>
      <c r="P183" s="67">
        <v>3.89</v>
      </c>
      <c r="Q183" s="64" t="s">
        <v>33</v>
      </c>
      <c r="R183" s="68">
        <f t="shared" si="1"/>
        <v>0.7225</v>
      </c>
      <c r="S183" s="68">
        <f t="shared" si="4"/>
        <v>5.814723333</v>
      </c>
    </row>
    <row r="184">
      <c r="A184" s="64">
        <f t="shared" si="3"/>
        <v>183</v>
      </c>
      <c r="B184" s="64" t="s">
        <v>19</v>
      </c>
      <c r="C184" s="64" t="s">
        <v>2577</v>
      </c>
      <c r="D184" s="64" t="s">
        <v>5564</v>
      </c>
      <c r="E184" s="64" t="s">
        <v>2556</v>
      </c>
      <c r="F184" s="64">
        <v>0.0</v>
      </c>
      <c r="G184" s="64" t="s">
        <v>5691</v>
      </c>
      <c r="H184" s="64" t="s">
        <v>1085</v>
      </c>
      <c r="I184" s="64" t="s">
        <v>22</v>
      </c>
      <c r="J184" s="64" t="s">
        <v>225</v>
      </c>
      <c r="K184" s="64" t="s">
        <v>2201</v>
      </c>
      <c r="L184" s="65">
        <v>1.0</v>
      </c>
      <c r="M184" s="65">
        <v>0.5</v>
      </c>
      <c r="N184" s="65">
        <v>0.5</v>
      </c>
      <c r="O184" s="66">
        <v>45093.0</v>
      </c>
      <c r="P184" s="67">
        <v>1.85</v>
      </c>
      <c r="Q184" s="64" t="s">
        <v>70</v>
      </c>
      <c r="R184" s="68">
        <f t="shared" si="1"/>
        <v>0</v>
      </c>
      <c r="S184" s="68">
        <f t="shared" si="4"/>
        <v>5.814723333</v>
      </c>
    </row>
    <row r="185">
      <c r="A185" s="64">
        <f t="shared" si="3"/>
        <v>184</v>
      </c>
      <c r="B185" s="64" t="s">
        <v>19</v>
      </c>
      <c r="C185" s="64" t="s">
        <v>2578</v>
      </c>
      <c r="D185" s="64" t="s">
        <v>5564</v>
      </c>
      <c r="E185" s="64" t="s">
        <v>2556</v>
      </c>
      <c r="F185" s="64">
        <v>0.0</v>
      </c>
      <c r="G185" s="64" t="s">
        <v>5691</v>
      </c>
      <c r="H185" s="64" t="s">
        <v>463</v>
      </c>
      <c r="I185" s="64" t="s">
        <v>22</v>
      </c>
      <c r="J185" s="64" t="s">
        <v>225</v>
      </c>
      <c r="K185" s="64" t="s">
        <v>1522</v>
      </c>
      <c r="L185" s="65">
        <v>1.25</v>
      </c>
      <c r="M185" s="65">
        <v>0.5</v>
      </c>
      <c r="N185" s="65">
        <v>0.5</v>
      </c>
      <c r="O185" s="66">
        <v>45093.0</v>
      </c>
      <c r="P185" s="67">
        <v>1.9</v>
      </c>
      <c r="Q185" s="64" t="s">
        <v>25</v>
      </c>
      <c r="R185" s="68">
        <f t="shared" si="1"/>
        <v>-0.5</v>
      </c>
      <c r="S185" s="68">
        <f t="shared" si="4"/>
        <v>5.314723333</v>
      </c>
    </row>
    <row r="186">
      <c r="A186" s="64">
        <f t="shared" si="3"/>
        <v>185</v>
      </c>
      <c r="B186" s="64" t="s">
        <v>19</v>
      </c>
      <c r="C186" s="64" t="s">
        <v>2579</v>
      </c>
      <c r="D186" s="64" t="s">
        <v>5565</v>
      </c>
      <c r="E186" s="64" t="s">
        <v>2556</v>
      </c>
      <c r="F186" s="64">
        <f t="shared" ref="F186:F187" si="5">1</f>
        <v>1</v>
      </c>
      <c r="G186" s="64" t="s">
        <v>5738</v>
      </c>
      <c r="H186" s="64" t="s">
        <v>182</v>
      </c>
      <c r="I186" s="64" t="s">
        <v>22</v>
      </c>
      <c r="J186" s="64" t="s">
        <v>225</v>
      </c>
      <c r="K186" s="64" t="s">
        <v>39</v>
      </c>
      <c r="L186" s="65">
        <v>0.25</v>
      </c>
      <c r="M186" s="65">
        <v>0.25</v>
      </c>
      <c r="N186" s="65">
        <v>0.25</v>
      </c>
      <c r="O186" s="66">
        <v>45093.0</v>
      </c>
      <c r="P186" s="67">
        <v>1.825</v>
      </c>
      <c r="Q186" s="64" t="s">
        <v>25</v>
      </c>
      <c r="R186" s="68">
        <f t="shared" si="1"/>
        <v>-0.25</v>
      </c>
      <c r="S186" s="68">
        <f t="shared" si="4"/>
        <v>5.064723333</v>
      </c>
    </row>
    <row r="187">
      <c r="A187" s="64">
        <f t="shared" si="3"/>
        <v>186</v>
      </c>
      <c r="B187" s="64" t="s">
        <v>40</v>
      </c>
      <c r="C187" s="64" t="s">
        <v>2580</v>
      </c>
      <c r="D187" s="64" t="s">
        <v>5564</v>
      </c>
      <c r="E187" s="64" t="s">
        <v>2554</v>
      </c>
      <c r="F187" s="64">
        <f t="shared" si="5"/>
        <v>1</v>
      </c>
      <c r="G187" s="64" t="s">
        <v>5739</v>
      </c>
      <c r="H187" s="64" t="s">
        <v>683</v>
      </c>
      <c r="I187" s="64" t="s">
        <v>22</v>
      </c>
      <c r="J187" s="64" t="s">
        <v>892</v>
      </c>
      <c r="K187" s="64" t="s">
        <v>24</v>
      </c>
      <c r="L187" s="65">
        <v>0.0</v>
      </c>
      <c r="M187" s="65">
        <v>1.0</v>
      </c>
      <c r="N187" s="65">
        <v>0.27</v>
      </c>
      <c r="O187" s="66">
        <v>45094.0</v>
      </c>
      <c r="P187" s="67">
        <v>2.0</v>
      </c>
      <c r="Q187" s="64" t="s">
        <v>70</v>
      </c>
      <c r="R187" s="68">
        <f t="shared" si="1"/>
        <v>0</v>
      </c>
      <c r="S187" s="68">
        <f t="shared" si="4"/>
        <v>5.064723333</v>
      </c>
    </row>
    <row r="188">
      <c r="A188" s="64">
        <f t="shared" si="3"/>
        <v>187</v>
      </c>
      <c r="B188" s="64" t="s">
        <v>40</v>
      </c>
      <c r="C188" s="64" t="s">
        <v>2581</v>
      </c>
      <c r="D188" s="64"/>
      <c r="E188" s="64"/>
      <c r="F188" s="64" t="s">
        <v>2567</v>
      </c>
      <c r="G188" s="64" t="s">
        <v>2567</v>
      </c>
      <c r="H188" s="64" t="s">
        <v>683</v>
      </c>
      <c r="I188" s="64" t="s">
        <v>22</v>
      </c>
      <c r="J188" s="64" t="s">
        <v>29</v>
      </c>
      <c r="K188" s="64" t="s">
        <v>24</v>
      </c>
      <c r="L188" s="65">
        <v>-3.5</v>
      </c>
      <c r="M188" s="65">
        <v>1.0</v>
      </c>
      <c r="N188" s="65">
        <v>0.22</v>
      </c>
      <c r="O188" s="66">
        <v>45094.0</v>
      </c>
      <c r="P188" s="67">
        <v>1.825</v>
      </c>
      <c r="Q188" s="64" t="s">
        <v>25</v>
      </c>
      <c r="R188" s="68">
        <f t="shared" si="1"/>
        <v>-0.22</v>
      </c>
      <c r="S188" s="68">
        <f t="shared" si="4"/>
        <v>4.844723333</v>
      </c>
    </row>
    <row r="189">
      <c r="A189" s="64">
        <f t="shared" si="3"/>
        <v>188</v>
      </c>
      <c r="B189" s="64" t="s">
        <v>19</v>
      </c>
      <c r="C189" s="64" t="s">
        <v>2582</v>
      </c>
      <c r="D189" s="64"/>
      <c r="E189" s="64"/>
      <c r="F189" s="64" t="s">
        <v>2583</v>
      </c>
      <c r="G189" s="64" t="s">
        <v>2583</v>
      </c>
      <c r="H189" s="64" t="s">
        <v>794</v>
      </c>
      <c r="I189" s="64" t="s">
        <v>598</v>
      </c>
      <c r="J189" s="64" t="s">
        <v>1272</v>
      </c>
      <c r="K189" s="64" t="s">
        <v>1522</v>
      </c>
      <c r="L189" s="65"/>
      <c r="M189" s="65">
        <v>0.25</v>
      </c>
      <c r="N189" s="65">
        <v>0.25</v>
      </c>
      <c r="O189" s="66">
        <v>45094.0</v>
      </c>
      <c r="P189" s="67">
        <v>3.7</v>
      </c>
      <c r="Q189" s="64" t="s">
        <v>25</v>
      </c>
      <c r="R189" s="68">
        <f t="shared" si="1"/>
        <v>-0.25</v>
      </c>
      <c r="S189" s="68">
        <f t="shared" si="4"/>
        <v>4.594723333</v>
      </c>
    </row>
    <row r="190">
      <c r="A190" s="64">
        <f t="shared" si="3"/>
        <v>189</v>
      </c>
      <c r="B190" s="64" t="s">
        <v>19</v>
      </c>
      <c r="C190" s="64" t="s">
        <v>2584</v>
      </c>
      <c r="D190" s="64" t="s">
        <v>5565</v>
      </c>
      <c r="E190" s="64" t="s">
        <v>2556</v>
      </c>
      <c r="F190" s="64">
        <v>-1.0</v>
      </c>
      <c r="G190" s="64" t="s">
        <v>5697</v>
      </c>
      <c r="H190" s="64" t="s">
        <v>182</v>
      </c>
      <c r="I190" s="64" t="s">
        <v>22</v>
      </c>
      <c r="J190" s="64" t="s">
        <v>225</v>
      </c>
      <c r="K190" s="64" t="s">
        <v>1522</v>
      </c>
      <c r="L190" s="65">
        <v>1.0</v>
      </c>
      <c r="M190" s="65">
        <v>1.0</v>
      </c>
      <c r="N190" s="65">
        <v>0.24</v>
      </c>
      <c r="O190" s="66">
        <v>45094.0</v>
      </c>
      <c r="P190" s="67">
        <v>2.025</v>
      </c>
      <c r="Q190" s="64" t="s">
        <v>25</v>
      </c>
      <c r="R190" s="68">
        <f t="shared" si="1"/>
        <v>-0.24</v>
      </c>
      <c r="S190" s="68">
        <f t="shared" si="4"/>
        <v>4.354723333</v>
      </c>
    </row>
    <row r="191">
      <c r="A191" s="64">
        <f t="shared" si="3"/>
        <v>190</v>
      </c>
      <c r="B191" s="64" t="s">
        <v>19</v>
      </c>
      <c r="C191" s="64" t="s">
        <v>2585</v>
      </c>
      <c r="D191" s="64" t="s">
        <v>5565</v>
      </c>
      <c r="E191" s="64" t="s">
        <v>2573</v>
      </c>
      <c r="F191" s="64">
        <f>1</f>
        <v>1</v>
      </c>
      <c r="G191" s="64" t="s">
        <v>5740</v>
      </c>
      <c r="H191" s="64" t="s">
        <v>908</v>
      </c>
      <c r="I191" s="64" t="s">
        <v>22</v>
      </c>
      <c r="J191" s="64" t="s">
        <v>894</v>
      </c>
      <c r="K191" s="64" t="s">
        <v>1803</v>
      </c>
      <c r="L191" s="65">
        <v>-0.5</v>
      </c>
      <c r="M191" s="65">
        <v>1.0</v>
      </c>
      <c r="N191" s="65">
        <v>1.0</v>
      </c>
      <c r="O191" s="66">
        <v>45094.0</v>
      </c>
      <c r="P191" s="67">
        <v>1.775</v>
      </c>
      <c r="Q191" s="64" t="s">
        <v>25</v>
      </c>
      <c r="R191" s="68">
        <f t="shared" si="1"/>
        <v>-1</v>
      </c>
      <c r="S191" s="68">
        <f t="shared" si="4"/>
        <v>3.354723333</v>
      </c>
    </row>
    <row r="192">
      <c r="A192" s="64">
        <f t="shared" si="3"/>
        <v>191</v>
      </c>
      <c r="B192" s="64" t="s">
        <v>19</v>
      </c>
      <c r="C192" s="64" t="s">
        <v>2586</v>
      </c>
      <c r="D192" s="64" t="s">
        <v>5565</v>
      </c>
      <c r="E192" s="64" t="s">
        <v>2554</v>
      </c>
      <c r="F192" s="64">
        <v>0.0</v>
      </c>
      <c r="G192" s="64" t="s">
        <v>5735</v>
      </c>
      <c r="H192" s="64" t="s">
        <v>463</v>
      </c>
      <c r="I192" s="64" t="s">
        <v>22</v>
      </c>
      <c r="J192" s="64" t="s">
        <v>892</v>
      </c>
      <c r="K192" s="64" t="s">
        <v>2201</v>
      </c>
      <c r="L192" s="65">
        <v>0.0</v>
      </c>
      <c r="M192" s="65">
        <v>1.0</v>
      </c>
      <c r="N192" s="65">
        <v>0.24</v>
      </c>
      <c r="O192" s="66">
        <v>45094.0</v>
      </c>
      <c r="P192" s="67">
        <v>1.775</v>
      </c>
      <c r="Q192" s="64" t="s">
        <v>25</v>
      </c>
      <c r="R192" s="68">
        <f t="shared" si="1"/>
        <v>-0.24</v>
      </c>
      <c r="S192" s="68">
        <f t="shared" si="4"/>
        <v>3.114723333</v>
      </c>
    </row>
    <row r="193">
      <c r="A193" s="64">
        <f t="shared" si="3"/>
        <v>192</v>
      </c>
      <c r="B193" s="64" t="s">
        <v>19</v>
      </c>
      <c r="C193" s="64" t="s">
        <v>2587</v>
      </c>
      <c r="D193" s="64" t="s">
        <v>5565</v>
      </c>
      <c r="E193" s="64" t="s">
        <v>2556</v>
      </c>
      <c r="F193" s="64">
        <v>-2.0</v>
      </c>
      <c r="G193" s="64" t="s">
        <v>5741</v>
      </c>
      <c r="H193" s="64" t="s">
        <v>513</v>
      </c>
      <c r="I193" s="64" t="s">
        <v>22</v>
      </c>
      <c r="J193" s="64" t="s">
        <v>225</v>
      </c>
      <c r="K193" s="64" t="s">
        <v>2201</v>
      </c>
      <c r="L193" s="65">
        <v>0.5</v>
      </c>
      <c r="M193" s="65">
        <v>1.0</v>
      </c>
      <c r="N193" s="65">
        <v>0.29</v>
      </c>
      <c r="O193" s="66">
        <v>45094.0</v>
      </c>
      <c r="P193" s="67">
        <v>1.725</v>
      </c>
      <c r="Q193" s="64" t="s">
        <v>33</v>
      </c>
      <c r="R193" s="68">
        <f t="shared" si="1"/>
        <v>0.21025</v>
      </c>
      <c r="S193" s="68">
        <f t="shared" si="4"/>
        <v>3.324973333</v>
      </c>
    </row>
    <row r="194">
      <c r="A194" s="64">
        <f t="shared" si="3"/>
        <v>193</v>
      </c>
      <c r="B194" s="64" t="s">
        <v>19</v>
      </c>
      <c r="C194" s="64" t="s">
        <v>2588</v>
      </c>
      <c r="D194" s="64" t="s">
        <v>5565</v>
      </c>
      <c r="E194" s="64" t="s">
        <v>2556</v>
      </c>
      <c r="F194" s="64">
        <v>-1.0</v>
      </c>
      <c r="G194" s="64" t="s">
        <v>5697</v>
      </c>
      <c r="H194" s="64" t="s">
        <v>642</v>
      </c>
      <c r="I194" s="64" t="s">
        <v>22</v>
      </c>
      <c r="J194" s="64" t="s">
        <v>225</v>
      </c>
      <c r="K194" s="64" t="s">
        <v>1522</v>
      </c>
      <c r="L194" s="65">
        <v>0.5</v>
      </c>
      <c r="M194" s="65">
        <v>1.0</v>
      </c>
      <c r="N194" s="65">
        <v>0.85</v>
      </c>
      <c r="O194" s="66">
        <v>45094.0</v>
      </c>
      <c r="P194" s="67">
        <v>1.75</v>
      </c>
      <c r="Q194" s="64" t="s">
        <v>33</v>
      </c>
      <c r="R194" s="68">
        <f t="shared" si="1"/>
        <v>0.6375</v>
      </c>
      <c r="S194" s="68">
        <f t="shared" si="4"/>
        <v>3.962473333</v>
      </c>
    </row>
    <row r="195">
      <c r="A195" s="64">
        <f t="shared" si="3"/>
        <v>194</v>
      </c>
      <c r="B195" s="64" t="s">
        <v>19</v>
      </c>
      <c r="C195" s="64" t="s">
        <v>2589</v>
      </c>
      <c r="D195" s="64" t="s">
        <v>5564</v>
      </c>
      <c r="E195" s="64" t="s">
        <v>2556</v>
      </c>
      <c r="F195" s="64">
        <v>0.0</v>
      </c>
      <c r="G195" s="64" t="s">
        <v>5691</v>
      </c>
      <c r="H195" s="64" t="s">
        <v>2590</v>
      </c>
      <c r="I195" s="64" t="s">
        <v>22</v>
      </c>
      <c r="J195" s="64" t="s">
        <v>225</v>
      </c>
      <c r="K195" s="64" t="s">
        <v>1803</v>
      </c>
      <c r="L195" s="65">
        <v>0.25</v>
      </c>
      <c r="M195" s="65">
        <v>1.0</v>
      </c>
      <c r="N195" s="65">
        <v>1.0</v>
      </c>
      <c r="O195" s="66">
        <v>45094.0</v>
      </c>
      <c r="P195" s="67">
        <v>1.8</v>
      </c>
      <c r="Q195" s="64" t="s">
        <v>25</v>
      </c>
      <c r="R195" s="68">
        <f t="shared" si="1"/>
        <v>-1</v>
      </c>
      <c r="S195" s="68">
        <f t="shared" si="4"/>
        <v>2.962473333</v>
      </c>
    </row>
    <row r="196">
      <c r="A196" s="64">
        <f t="shared" si="3"/>
        <v>195</v>
      </c>
      <c r="B196" s="64" t="s">
        <v>19</v>
      </c>
      <c r="C196" s="64" t="s">
        <v>2591</v>
      </c>
      <c r="D196" s="64" t="s">
        <v>5565</v>
      </c>
      <c r="E196" s="64" t="s">
        <v>2556</v>
      </c>
      <c r="F196" s="64">
        <v>-1.0</v>
      </c>
      <c r="G196" s="64" t="s">
        <v>5703</v>
      </c>
      <c r="H196" s="64" t="s">
        <v>432</v>
      </c>
      <c r="I196" s="64" t="s">
        <v>22</v>
      </c>
      <c r="J196" s="64" t="s">
        <v>225</v>
      </c>
      <c r="K196" s="64" t="s">
        <v>1803</v>
      </c>
      <c r="L196" s="65">
        <v>0.5</v>
      </c>
      <c r="M196" s="65">
        <v>1.0</v>
      </c>
      <c r="N196" s="65">
        <v>1.0</v>
      </c>
      <c r="O196" s="66">
        <v>45094.0</v>
      </c>
      <c r="P196" s="67">
        <v>1.875</v>
      </c>
      <c r="Q196" s="64" t="s">
        <v>25</v>
      </c>
      <c r="R196" s="68">
        <f t="shared" si="1"/>
        <v>-1</v>
      </c>
      <c r="S196" s="68">
        <f t="shared" si="4"/>
        <v>1.962473333</v>
      </c>
    </row>
    <row r="197">
      <c r="A197" s="64">
        <f t="shared" si="3"/>
        <v>196</v>
      </c>
      <c r="B197" s="64" t="s">
        <v>19</v>
      </c>
      <c r="C197" s="64" t="s">
        <v>2592</v>
      </c>
      <c r="D197" s="64" t="s">
        <v>2593</v>
      </c>
      <c r="E197" s="64"/>
      <c r="F197" s="64" t="s">
        <v>2594</v>
      </c>
      <c r="G197" s="64" t="s">
        <v>5742</v>
      </c>
      <c r="H197" s="64" t="s">
        <v>583</v>
      </c>
      <c r="I197" s="64" t="s">
        <v>22</v>
      </c>
      <c r="J197" s="64" t="s">
        <v>29</v>
      </c>
      <c r="K197" s="64" t="s">
        <v>24</v>
      </c>
      <c r="L197" s="65">
        <v>-4.0</v>
      </c>
      <c r="M197" s="65">
        <v>0.5</v>
      </c>
      <c r="N197" s="65">
        <v>0.5</v>
      </c>
      <c r="O197" s="66">
        <v>45094.0</v>
      </c>
      <c r="P197" s="67">
        <v>1.775</v>
      </c>
      <c r="Q197" s="64" t="s">
        <v>70</v>
      </c>
      <c r="R197" s="68">
        <f t="shared" si="1"/>
        <v>0</v>
      </c>
      <c r="S197" s="68">
        <f t="shared" si="4"/>
        <v>1.962473333</v>
      </c>
    </row>
    <row r="198">
      <c r="A198" s="64">
        <f t="shared" si="3"/>
        <v>197</v>
      </c>
      <c r="B198" s="64" t="s">
        <v>19</v>
      </c>
      <c r="C198" s="64" t="s">
        <v>2595</v>
      </c>
      <c r="D198" s="64" t="s">
        <v>5564</v>
      </c>
      <c r="E198" s="64" t="s">
        <v>2556</v>
      </c>
      <c r="F198" s="64">
        <v>0.0</v>
      </c>
      <c r="G198" s="64" t="s">
        <v>5691</v>
      </c>
      <c r="H198" s="64" t="s">
        <v>182</v>
      </c>
      <c r="I198" s="64" t="s">
        <v>22</v>
      </c>
      <c r="J198" s="64" t="s">
        <v>892</v>
      </c>
      <c r="K198" s="64" t="s">
        <v>2201</v>
      </c>
      <c r="L198" s="65">
        <v>0.0</v>
      </c>
      <c r="M198" s="65">
        <v>1.0</v>
      </c>
      <c r="N198" s="65">
        <v>1.0</v>
      </c>
      <c r="O198" s="66">
        <v>45094.0</v>
      </c>
      <c r="P198" s="67">
        <v>2.1</v>
      </c>
      <c r="Q198" s="64" t="s">
        <v>70</v>
      </c>
      <c r="R198" s="68">
        <f t="shared" si="1"/>
        <v>0</v>
      </c>
      <c r="S198" s="68">
        <f t="shared" si="4"/>
        <v>1.962473333</v>
      </c>
    </row>
    <row r="199">
      <c r="A199" s="64">
        <f t="shared" si="3"/>
        <v>198</v>
      </c>
      <c r="B199" s="64" t="s">
        <v>19</v>
      </c>
      <c r="C199" s="64" t="s">
        <v>2596</v>
      </c>
      <c r="D199" s="64" t="s">
        <v>5565</v>
      </c>
      <c r="E199" s="64" t="s">
        <v>2573</v>
      </c>
      <c r="F199" s="64">
        <v>0.0</v>
      </c>
      <c r="G199" s="64" t="s">
        <v>5743</v>
      </c>
      <c r="H199" s="64" t="s">
        <v>583</v>
      </c>
      <c r="I199" s="64" t="s">
        <v>22</v>
      </c>
      <c r="J199" s="64" t="s">
        <v>894</v>
      </c>
      <c r="K199" s="64" t="s">
        <v>24</v>
      </c>
      <c r="L199" s="65">
        <v>-0.75</v>
      </c>
      <c r="M199" s="65">
        <v>1.0</v>
      </c>
      <c r="N199" s="65">
        <v>0.23</v>
      </c>
      <c r="O199" s="66">
        <v>45094.0</v>
      </c>
      <c r="P199" s="67">
        <v>1.9</v>
      </c>
      <c r="Q199" s="64" t="s">
        <v>25</v>
      </c>
      <c r="R199" s="68">
        <f t="shared" si="1"/>
        <v>-0.23</v>
      </c>
      <c r="S199" s="68">
        <f t="shared" si="4"/>
        <v>1.732473333</v>
      </c>
    </row>
    <row r="200">
      <c r="A200" s="64">
        <f t="shared" si="3"/>
        <v>199</v>
      </c>
      <c r="B200" s="64" t="s">
        <v>40</v>
      </c>
      <c r="C200" s="64" t="s">
        <v>2597</v>
      </c>
      <c r="D200" s="64" t="s">
        <v>5565</v>
      </c>
      <c r="E200" s="64" t="s">
        <v>2556</v>
      </c>
      <c r="F200" s="64">
        <v>2</v>
      </c>
      <c r="G200" s="64" t="s">
        <v>5744</v>
      </c>
      <c r="H200" s="64" t="s">
        <v>28</v>
      </c>
      <c r="I200" s="64" t="s">
        <v>22</v>
      </c>
      <c r="J200" s="64" t="s">
        <v>225</v>
      </c>
      <c r="K200" s="64" t="s">
        <v>24</v>
      </c>
      <c r="L200" s="65">
        <v>0.5</v>
      </c>
      <c r="M200" s="65">
        <v>1.0</v>
      </c>
      <c r="N200" s="65">
        <v>0.5</v>
      </c>
      <c r="O200" s="66">
        <v>45094.0</v>
      </c>
      <c r="P200" s="67">
        <v>1.975</v>
      </c>
      <c r="Q200" s="64" t="s">
        <v>25</v>
      </c>
      <c r="R200" s="68">
        <f t="shared" si="1"/>
        <v>-0.5</v>
      </c>
      <c r="S200" s="68">
        <f t="shared" si="4"/>
        <v>1.232473333</v>
      </c>
    </row>
    <row r="201">
      <c r="A201" s="64">
        <f t="shared" si="3"/>
        <v>200</v>
      </c>
      <c r="B201" s="64" t="s">
        <v>40</v>
      </c>
      <c r="C201" s="64" t="s">
        <v>2598</v>
      </c>
      <c r="D201" s="64" t="s">
        <v>5564</v>
      </c>
      <c r="E201" s="64" t="s">
        <v>2573</v>
      </c>
      <c r="F201" s="64">
        <v>4</v>
      </c>
      <c r="G201" s="64" t="s">
        <v>5745</v>
      </c>
      <c r="H201" s="64" t="s">
        <v>1085</v>
      </c>
      <c r="I201" s="64" t="s">
        <v>22</v>
      </c>
      <c r="J201" s="64" t="s">
        <v>894</v>
      </c>
      <c r="K201" s="64" t="s">
        <v>24</v>
      </c>
      <c r="L201" s="65">
        <v>-0.75</v>
      </c>
      <c r="M201" s="65">
        <v>0.5</v>
      </c>
      <c r="N201" s="65">
        <v>0.3</v>
      </c>
      <c r="O201" s="66">
        <v>45094.0</v>
      </c>
      <c r="P201" s="67">
        <v>1.8</v>
      </c>
      <c r="Q201" s="64" t="s">
        <v>30</v>
      </c>
      <c r="R201" s="68">
        <f t="shared" si="1"/>
        <v>0.12</v>
      </c>
      <c r="S201" s="68">
        <f t="shared" si="4"/>
        <v>1.352473333</v>
      </c>
    </row>
    <row r="202">
      <c r="A202" s="64">
        <f t="shared" si="3"/>
        <v>201</v>
      </c>
      <c r="B202" s="64" t="s">
        <v>40</v>
      </c>
      <c r="C202" s="64" t="s">
        <v>2599</v>
      </c>
      <c r="D202" s="64" t="s">
        <v>5565</v>
      </c>
      <c r="E202" s="64" t="s">
        <v>2556</v>
      </c>
      <c r="F202" s="64">
        <v>-2.0</v>
      </c>
      <c r="G202" s="64" t="s">
        <v>5741</v>
      </c>
      <c r="H202" s="64" t="s">
        <v>28</v>
      </c>
      <c r="I202" s="64" t="s">
        <v>22</v>
      </c>
      <c r="J202" s="64" t="s">
        <v>225</v>
      </c>
      <c r="K202" s="64" t="s">
        <v>2201</v>
      </c>
      <c r="L202" s="65">
        <v>0.5</v>
      </c>
      <c r="M202" s="65">
        <v>1.0</v>
      </c>
      <c r="N202" s="65">
        <v>0.65</v>
      </c>
      <c r="O202" s="66">
        <v>45094.0</v>
      </c>
      <c r="P202" s="67">
        <v>1.9</v>
      </c>
      <c r="Q202" s="64" t="s">
        <v>33</v>
      </c>
      <c r="R202" s="68">
        <f t="shared" si="1"/>
        <v>0.585</v>
      </c>
      <c r="S202" s="68">
        <f t="shared" si="4"/>
        <v>1.937473333</v>
      </c>
    </row>
    <row r="203">
      <c r="A203" s="64">
        <f t="shared" si="3"/>
        <v>202</v>
      </c>
      <c r="B203" s="64" t="s">
        <v>19</v>
      </c>
      <c r="C203" s="64" t="s">
        <v>2600</v>
      </c>
      <c r="D203" s="64" t="s">
        <v>5564</v>
      </c>
      <c r="E203" s="64" t="s">
        <v>2601</v>
      </c>
      <c r="F203" s="64">
        <v>-2.0</v>
      </c>
      <c r="G203" s="64" t="s">
        <v>5746</v>
      </c>
      <c r="H203" s="64" t="s">
        <v>68</v>
      </c>
      <c r="I203" s="64" t="s">
        <v>22</v>
      </c>
      <c r="J203" s="64" t="s">
        <v>892</v>
      </c>
      <c r="K203" s="64" t="s">
        <v>24</v>
      </c>
      <c r="L203" s="65">
        <v>0.0</v>
      </c>
      <c r="M203" s="65">
        <v>1.0</v>
      </c>
      <c r="N203" s="65">
        <v>0.84</v>
      </c>
      <c r="O203" s="66">
        <v>45094.0</v>
      </c>
      <c r="P203" s="67">
        <v>1.975</v>
      </c>
      <c r="Q203" s="64" t="s">
        <v>70</v>
      </c>
      <c r="R203" s="68">
        <f t="shared" si="1"/>
        <v>0</v>
      </c>
      <c r="S203" s="68">
        <f t="shared" si="4"/>
        <v>1.937473333</v>
      </c>
    </row>
    <row r="204">
      <c r="A204" s="64">
        <f t="shared" si="3"/>
        <v>203</v>
      </c>
      <c r="B204" s="64" t="s">
        <v>19</v>
      </c>
      <c r="C204" s="64" t="s">
        <v>2602</v>
      </c>
      <c r="D204" s="64" t="s">
        <v>5564</v>
      </c>
      <c r="E204" s="64" t="s">
        <v>2556</v>
      </c>
      <c r="F204" s="64">
        <v>0.0</v>
      </c>
      <c r="G204" s="64" t="s">
        <v>5691</v>
      </c>
      <c r="H204" s="64" t="s">
        <v>82</v>
      </c>
      <c r="I204" s="64" t="s">
        <v>22</v>
      </c>
      <c r="J204" s="64" t="s">
        <v>225</v>
      </c>
      <c r="K204" s="64" t="s">
        <v>39</v>
      </c>
      <c r="L204" s="65">
        <v>0.25</v>
      </c>
      <c r="M204" s="65">
        <v>1.0</v>
      </c>
      <c r="N204" s="65">
        <v>1.0</v>
      </c>
      <c r="O204" s="66">
        <v>45094.0</v>
      </c>
      <c r="P204" s="67">
        <v>1.8</v>
      </c>
      <c r="Q204" s="64" t="s">
        <v>25</v>
      </c>
      <c r="R204" s="68">
        <f t="shared" si="1"/>
        <v>-1</v>
      </c>
      <c r="S204" s="68">
        <f t="shared" si="4"/>
        <v>0.9374733333</v>
      </c>
    </row>
    <row r="205">
      <c r="A205" s="64">
        <f t="shared" si="3"/>
        <v>204</v>
      </c>
      <c r="B205" s="64" t="s">
        <v>19</v>
      </c>
      <c r="C205" s="64" t="s">
        <v>2603</v>
      </c>
      <c r="D205" s="64" t="s">
        <v>5564</v>
      </c>
      <c r="E205" s="64" t="s">
        <v>2556</v>
      </c>
      <c r="F205" s="64">
        <v>0.0</v>
      </c>
      <c r="G205" s="64" t="s">
        <v>5691</v>
      </c>
      <c r="H205" s="64" t="s">
        <v>82</v>
      </c>
      <c r="I205" s="64" t="s">
        <v>22</v>
      </c>
      <c r="J205" s="64" t="s">
        <v>225</v>
      </c>
      <c r="K205" s="64" t="s">
        <v>2201</v>
      </c>
      <c r="L205" s="65">
        <v>0.5</v>
      </c>
      <c r="M205" s="65">
        <v>1.0</v>
      </c>
      <c r="N205" s="65">
        <v>0.59</v>
      </c>
      <c r="O205" s="66">
        <v>45094.0</v>
      </c>
      <c r="P205" s="67">
        <v>1.75</v>
      </c>
      <c r="Q205" s="64" t="s">
        <v>25</v>
      </c>
      <c r="R205" s="68">
        <f t="shared" si="1"/>
        <v>-0.59</v>
      </c>
      <c r="S205" s="68">
        <f t="shared" si="4"/>
        <v>0.3474733333</v>
      </c>
    </row>
    <row r="206">
      <c r="A206" s="64">
        <f t="shared" si="3"/>
        <v>205</v>
      </c>
      <c r="B206" s="64" t="s">
        <v>19</v>
      </c>
      <c r="C206" s="64" t="s">
        <v>2604</v>
      </c>
      <c r="D206" s="64" t="s">
        <v>5564</v>
      </c>
      <c r="E206" s="64" t="s">
        <v>2556</v>
      </c>
      <c r="F206" s="64">
        <v>0.0</v>
      </c>
      <c r="G206" s="64" t="s">
        <v>5691</v>
      </c>
      <c r="H206" s="64" t="s">
        <v>82</v>
      </c>
      <c r="I206" s="64" t="s">
        <v>22</v>
      </c>
      <c r="J206" s="64" t="s">
        <v>225</v>
      </c>
      <c r="K206" s="64" t="s">
        <v>2201</v>
      </c>
      <c r="L206" s="65">
        <v>0.25</v>
      </c>
      <c r="M206" s="65">
        <v>1.0</v>
      </c>
      <c r="N206" s="65">
        <v>1.0</v>
      </c>
      <c r="O206" s="66">
        <v>45094.0</v>
      </c>
      <c r="P206" s="67">
        <v>1.975</v>
      </c>
      <c r="Q206" s="64" t="s">
        <v>30</v>
      </c>
      <c r="R206" s="68">
        <f t="shared" si="1"/>
        <v>0.4875</v>
      </c>
      <c r="S206" s="68">
        <f t="shared" si="4"/>
        <v>0.8349733333</v>
      </c>
    </row>
    <row r="207">
      <c r="A207" s="64">
        <f t="shared" si="3"/>
        <v>206</v>
      </c>
      <c r="B207" s="64" t="s">
        <v>19</v>
      </c>
      <c r="C207" s="64" t="s">
        <v>2605</v>
      </c>
      <c r="D207" s="64" t="s">
        <v>5564</v>
      </c>
      <c r="E207" s="64" t="s">
        <v>2556</v>
      </c>
      <c r="F207" s="64">
        <v>0.0</v>
      </c>
      <c r="G207" s="64" t="s">
        <v>5691</v>
      </c>
      <c r="H207" s="64" t="s">
        <v>245</v>
      </c>
      <c r="I207" s="64" t="s">
        <v>22</v>
      </c>
      <c r="J207" s="64" t="s">
        <v>225</v>
      </c>
      <c r="K207" s="64" t="s">
        <v>1522</v>
      </c>
      <c r="L207" s="65">
        <v>0.5</v>
      </c>
      <c r="M207" s="65">
        <v>1.0</v>
      </c>
      <c r="N207" s="65">
        <v>0.47</v>
      </c>
      <c r="O207" s="66">
        <v>45094.0</v>
      </c>
      <c r="P207" s="67">
        <v>1.85</v>
      </c>
      <c r="Q207" s="64" t="s">
        <v>25</v>
      </c>
      <c r="R207" s="68">
        <f t="shared" si="1"/>
        <v>-0.47</v>
      </c>
      <c r="S207" s="68">
        <f t="shared" si="4"/>
        <v>0.3649733333</v>
      </c>
    </row>
    <row r="208">
      <c r="A208" s="64">
        <f t="shared" si="3"/>
        <v>207</v>
      </c>
      <c r="B208" s="64" t="s">
        <v>19</v>
      </c>
      <c r="C208" s="64" t="s">
        <v>2606</v>
      </c>
      <c r="D208" s="64"/>
      <c r="E208" s="64"/>
      <c r="F208" s="64" t="s">
        <v>2567</v>
      </c>
      <c r="G208" s="64" t="s">
        <v>5747</v>
      </c>
      <c r="H208" s="64" t="s">
        <v>82</v>
      </c>
      <c r="I208" s="64" t="s">
        <v>22</v>
      </c>
      <c r="J208" s="64" t="s">
        <v>29</v>
      </c>
      <c r="K208" s="64" t="s">
        <v>24</v>
      </c>
      <c r="L208" s="65">
        <v>-1.5</v>
      </c>
      <c r="M208" s="65">
        <v>0.5</v>
      </c>
      <c r="N208" s="65">
        <v>0.45</v>
      </c>
      <c r="O208" s="66">
        <v>45094.0</v>
      </c>
      <c r="P208" s="67">
        <v>1.75</v>
      </c>
      <c r="Q208" s="64" t="s">
        <v>33</v>
      </c>
      <c r="R208" s="68">
        <f t="shared" si="1"/>
        <v>0.3375</v>
      </c>
      <c r="S208" s="68">
        <f t="shared" si="4"/>
        <v>0.7024733333</v>
      </c>
    </row>
    <row r="209">
      <c r="A209" s="64">
        <f t="shared" si="3"/>
        <v>208</v>
      </c>
      <c r="B209" s="64" t="s">
        <v>40</v>
      </c>
      <c r="C209" s="64" t="s">
        <v>2607</v>
      </c>
      <c r="D209" s="64"/>
      <c r="E209" s="64"/>
      <c r="F209" s="64" t="s">
        <v>2608</v>
      </c>
      <c r="G209" s="64" t="s">
        <v>2608</v>
      </c>
      <c r="H209" s="64" t="s">
        <v>78</v>
      </c>
      <c r="I209" s="64" t="s">
        <v>22</v>
      </c>
      <c r="J209" s="64" t="s">
        <v>440</v>
      </c>
      <c r="K209" s="64" t="s">
        <v>39</v>
      </c>
      <c r="L209" s="65">
        <v>1.0</v>
      </c>
      <c r="M209" s="65">
        <v>1.0</v>
      </c>
      <c r="N209" s="65">
        <v>1.0</v>
      </c>
      <c r="O209" s="66">
        <v>45094.0</v>
      </c>
      <c r="P209" s="67">
        <v>1.9</v>
      </c>
      <c r="Q209" s="64" t="s">
        <v>33</v>
      </c>
      <c r="R209" s="68">
        <f t="shared" si="1"/>
        <v>0.9</v>
      </c>
      <c r="S209" s="68">
        <f t="shared" si="4"/>
        <v>1.602473333</v>
      </c>
    </row>
    <row r="210">
      <c r="A210" s="64">
        <f t="shared" si="3"/>
        <v>209</v>
      </c>
      <c r="B210" s="64" t="s">
        <v>40</v>
      </c>
      <c r="C210" s="64" t="s">
        <v>2609</v>
      </c>
      <c r="D210" s="64" t="s">
        <v>5564</v>
      </c>
      <c r="E210" s="64" t="s">
        <v>2556</v>
      </c>
      <c r="F210" s="64">
        <v>2</v>
      </c>
      <c r="G210" s="64" t="s">
        <v>5694</v>
      </c>
      <c r="H210" s="64" t="s">
        <v>768</v>
      </c>
      <c r="I210" s="64" t="s">
        <v>22</v>
      </c>
      <c r="J210" s="64" t="s">
        <v>225</v>
      </c>
      <c r="K210" s="64" t="s">
        <v>24</v>
      </c>
      <c r="L210" s="65">
        <v>0.5</v>
      </c>
      <c r="M210" s="65">
        <v>1.0</v>
      </c>
      <c r="N210" s="65">
        <v>0.8</v>
      </c>
      <c r="O210" s="66">
        <v>45094.0</v>
      </c>
      <c r="P210" s="67">
        <v>1.975</v>
      </c>
      <c r="Q210" s="64" t="s">
        <v>33</v>
      </c>
      <c r="R210" s="68">
        <f t="shared" si="1"/>
        <v>0.78</v>
      </c>
      <c r="S210" s="68">
        <f t="shared" si="4"/>
        <v>2.382473333</v>
      </c>
    </row>
    <row r="211">
      <c r="A211" s="64">
        <f t="shared" si="3"/>
        <v>210</v>
      </c>
      <c r="B211" s="64" t="s">
        <v>40</v>
      </c>
      <c r="C211" s="64" t="s">
        <v>2610</v>
      </c>
      <c r="D211" s="64" t="s">
        <v>5708</v>
      </c>
      <c r="E211" s="64" t="s">
        <v>2573</v>
      </c>
      <c r="F211" s="64">
        <v>0.0</v>
      </c>
      <c r="G211" s="64" t="s">
        <v>5743</v>
      </c>
      <c r="H211" s="64" t="s">
        <v>78</v>
      </c>
      <c r="I211" s="64" t="s">
        <v>22</v>
      </c>
      <c r="J211" s="64" t="s">
        <v>892</v>
      </c>
      <c r="K211" s="64" t="s">
        <v>1522</v>
      </c>
      <c r="L211" s="65">
        <v>0.0</v>
      </c>
      <c r="M211" s="65">
        <v>1.0</v>
      </c>
      <c r="N211" s="65">
        <v>1.0</v>
      </c>
      <c r="O211" s="66">
        <v>45094.0</v>
      </c>
      <c r="P211" s="67">
        <v>1.9</v>
      </c>
      <c r="Q211" s="64" t="s">
        <v>33</v>
      </c>
      <c r="R211" s="68">
        <f t="shared" si="1"/>
        <v>0.9</v>
      </c>
      <c r="S211" s="68">
        <f t="shared" si="4"/>
        <v>3.282473333</v>
      </c>
    </row>
    <row r="212">
      <c r="A212" s="64">
        <f t="shared" si="3"/>
        <v>211</v>
      </c>
      <c r="B212" s="64" t="s">
        <v>19</v>
      </c>
      <c r="C212" s="64" t="s">
        <v>2612</v>
      </c>
      <c r="D212" s="64"/>
      <c r="E212" s="64"/>
      <c r="F212" s="64" t="s">
        <v>2613</v>
      </c>
      <c r="G212" s="64" t="s">
        <v>2613</v>
      </c>
      <c r="H212" s="64" t="s">
        <v>1961</v>
      </c>
      <c r="I212" s="64" t="s">
        <v>598</v>
      </c>
      <c r="J212" s="64" t="s">
        <v>1272</v>
      </c>
      <c r="K212" s="64" t="s">
        <v>1522</v>
      </c>
      <c r="L212" s="65"/>
      <c r="M212" s="65">
        <v>0.25</v>
      </c>
      <c r="N212" s="65">
        <v>0.25</v>
      </c>
      <c r="O212" s="66">
        <v>45095.0</v>
      </c>
      <c r="P212" s="67">
        <v>3.75</v>
      </c>
      <c r="Q212" s="64" t="s">
        <v>25</v>
      </c>
      <c r="R212" s="68">
        <f t="shared" si="1"/>
        <v>-0.25</v>
      </c>
      <c r="S212" s="68">
        <f t="shared" si="4"/>
        <v>3.032473333</v>
      </c>
    </row>
    <row r="213">
      <c r="A213" s="64">
        <f t="shared" si="3"/>
        <v>212</v>
      </c>
      <c r="B213" s="64" t="s">
        <v>40</v>
      </c>
      <c r="C213" s="64" t="s">
        <v>2614</v>
      </c>
      <c r="D213" s="64"/>
      <c r="E213" s="64"/>
      <c r="F213" s="64" t="s">
        <v>2615</v>
      </c>
      <c r="G213" s="64" t="s">
        <v>2615</v>
      </c>
      <c r="H213" s="64" t="s">
        <v>875</v>
      </c>
      <c r="I213" s="64" t="s">
        <v>22</v>
      </c>
      <c r="J213" s="64" t="s">
        <v>29</v>
      </c>
      <c r="K213" s="64" t="s">
        <v>24</v>
      </c>
      <c r="L213" s="65">
        <v>-4.5</v>
      </c>
      <c r="M213" s="65">
        <v>0.5</v>
      </c>
      <c r="N213" s="65">
        <v>0.17</v>
      </c>
      <c r="O213" s="66">
        <v>45095.0</v>
      </c>
      <c r="P213" s="67">
        <v>1.72</v>
      </c>
      <c r="Q213" s="64" t="s">
        <v>25</v>
      </c>
      <c r="R213" s="68">
        <f t="shared" si="1"/>
        <v>-0.17</v>
      </c>
      <c r="S213" s="68">
        <f t="shared" si="4"/>
        <v>2.862473333</v>
      </c>
    </row>
    <row r="214">
      <c r="A214" s="64">
        <f t="shared" si="3"/>
        <v>213</v>
      </c>
      <c r="B214" s="64" t="s">
        <v>40</v>
      </c>
      <c r="C214" s="64" t="s">
        <v>2616</v>
      </c>
      <c r="D214" s="64"/>
      <c r="E214" s="64"/>
      <c r="F214" s="64" t="s">
        <v>2615</v>
      </c>
      <c r="G214" s="64" t="s">
        <v>2615</v>
      </c>
      <c r="H214" s="64" t="s">
        <v>875</v>
      </c>
      <c r="I214" s="64" t="s">
        <v>22</v>
      </c>
      <c r="J214" s="64" t="s">
        <v>29</v>
      </c>
      <c r="K214" s="64" t="s">
        <v>24</v>
      </c>
      <c r="L214" s="65">
        <v>-4.25</v>
      </c>
      <c r="M214" s="65">
        <v>0.5</v>
      </c>
      <c r="N214" s="65">
        <v>0.17</v>
      </c>
      <c r="O214" s="66">
        <v>45095.0</v>
      </c>
      <c r="P214" s="67">
        <v>1.95</v>
      </c>
      <c r="Q214" s="64" t="s">
        <v>25</v>
      </c>
      <c r="R214" s="68">
        <f t="shared" si="1"/>
        <v>-0.17</v>
      </c>
      <c r="S214" s="68">
        <f t="shared" si="4"/>
        <v>2.692473333</v>
      </c>
    </row>
    <row r="215">
      <c r="A215" s="64">
        <f t="shared" si="3"/>
        <v>214</v>
      </c>
      <c r="B215" s="64" t="s">
        <v>40</v>
      </c>
      <c r="C215" s="64" t="s">
        <v>2617</v>
      </c>
      <c r="D215" s="64"/>
      <c r="E215" s="64"/>
      <c r="F215" s="64" t="s">
        <v>2618</v>
      </c>
      <c r="G215" s="64" t="s">
        <v>5721</v>
      </c>
      <c r="H215" s="64" t="s">
        <v>940</v>
      </c>
      <c r="I215" s="64" t="s">
        <v>22</v>
      </c>
      <c r="J215" s="64" t="s">
        <v>440</v>
      </c>
      <c r="K215" s="64" t="s">
        <v>39</v>
      </c>
      <c r="L215" s="65">
        <v>2.5</v>
      </c>
      <c r="M215" s="65">
        <v>0.5</v>
      </c>
      <c r="N215" s="65">
        <v>0.5</v>
      </c>
      <c r="O215" s="66">
        <v>45095.0</v>
      </c>
      <c r="P215" s="67">
        <v>1.9</v>
      </c>
      <c r="Q215" s="64" t="s">
        <v>33</v>
      </c>
      <c r="R215" s="68">
        <f t="shared" si="1"/>
        <v>0.45</v>
      </c>
      <c r="S215" s="68">
        <f t="shared" si="4"/>
        <v>3.142473333</v>
      </c>
    </row>
    <row r="216">
      <c r="A216" s="64">
        <f t="shared" si="3"/>
        <v>215</v>
      </c>
      <c r="B216" s="64" t="s">
        <v>40</v>
      </c>
      <c r="C216" s="64" t="s">
        <v>2619</v>
      </c>
      <c r="D216" s="64"/>
      <c r="E216" s="64"/>
      <c r="F216" s="64" t="s">
        <v>2618</v>
      </c>
      <c r="G216" s="64" t="s">
        <v>5721</v>
      </c>
      <c r="H216" s="64" t="s">
        <v>940</v>
      </c>
      <c r="I216" s="64" t="s">
        <v>22</v>
      </c>
      <c r="J216" s="64" t="s">
        <v>440</v>
      </c>
      <c r="K216" s="64" t="s">
        <v>1522</v>
      </c>
      <c r="L216" s="65">
        <v>1.5</v>
      </c>
      <c r="M216" s="65">
        <v>0.25</v>
      </c>
      <c r="N216" s="65">
        <v>0.25</v>
      </c>
      <c r="O216" s="66">
        <v>45095.0</v>
      </c>
      <c r="P216" s="67">
        <v>1.825</v>
      </c>
      <c r="Q216" s="64" t="s">
        <v>33</v>
      </c>
      <c r="R216" s="68">
        <f t="shared" si="1"/>
        <v>0.20625</v>
      </c>
      <c r="S216" s="68">
        <f t="shared" si="4"/>
        <v>3.348723333</v>
      </c>
    </row>
    <row r="217">
      <c r="A217" s="64">
        <f t="shared" si="3"/>
        <v>216</v>
      </c>
      <c r="B217" s="64" t="s">
        <v>19</v>
      </c>
      <c r="C217" s="64" t="s">
        <v>2620</v>
      </c>
      <c r="D217" s="64" t="s">
        <v>5564</v>
      </c>
      <c r="E217" s="64" t="s">
        <v>2556</v>
      </c>
      <c r="F217" s="64">
        <f>1</f>
        <v>1</v>
      </c>
      <c r="G217" s="64" t="s">
        <v>5734</v>
      </c>
      <c r="H217" s="64" t="s">
        <v>1961</v>
      </c>
      <c r="I217" s="64" t="s">
        <v>22</v>
      </c>
      <c r="J217" s="64" t="s">
        <v>225</v>
      </c>
      <c r="K217" s="64" t="s">
        <v>39</v>
      </c>
      <c r="L217" s="65">
        <v>0.5</v>
      </c>
      <c r="M217" s="65">
        <v>0.25</v>
      </c>
      <c r="N217" s="65">
        <v>0.25</v>
      </c>
      <c r="O217" s="66">
        <v>45095.0</v>
      </c>
      <c r="P217" s="67">
        <f>189.27/125</f>
        <v>1.51416</v>
      </c>
      <c r="Q217" s="64" t="s">
        <v>33</v>
      </c>
      <c r="R217" s="68">
        <f t="shared" si="1"/>
        <v>0.12854</v>
      </c>
      <c r="S217" s="68">
        <f t="shared" si="4"/>
        <v>3.477263333</v>
      </c>
    </row>
    <row r="218">
      <c r="A218" s="64">
        <f t="shared" si="3"/>
        <v>217</v>
      </c>
      <c r="B218" s="64" t="s">
        <v>19</v>
      </c>
      <c r="C218" s="64" t="s">
        <v>2621</v>
      </c>
      <c r="D218" s="64" t="s">
        <v>5564</v>
      </c>
      <c r="E218" s="64" t="s">
        <v>2556</v>
      </c>
      <c r="F218" s="64">
        <v>0.0</v>
      </c>
      <c r="G218" s="64" t="s">
        <v>5691</v>
      </c>
      <c r="H218" s="64" t="s">
        <v>82</v>
      </c>
      <c r="I218" s="64" t="s">
        <v>22</v>
      </c>
      <c r="J218" s="64" t="s">
        <v>225</v>
      </c>
      <c r="K218" s="64" t="s">
        <v>24</v>
      </c>
      <c r="L218" s="65">
        <v>0.5</v>
      </c>
      <c r="M218" s="65">
        <v>1.0</v>
      </c>
      <c r="N218" s="65">
        <v>0.88</v>
      </c>
      <c r="O218" s="66">
        <v>45095.0</v>
      </c>
      <c r="P218" s="67">
        <f>631.74/500</f>
        <v>1.26348</v>
      </c>
      <c r="Q218" s="64" t="s">
        <v>33</v>
      </c>
      <c r="R218" s="68">
        <f t="shared" si="1"/>
        <v>0.2318624</v>
      </c>
      <c r="S218" s="68">
        <f t="shared" si="4"/>
        <v>3.709125733</v>
      </c>
    </row>
    <row r="219">
      <c r="A219" s="64">
        <f t="shared" si="3"/>
        <v>218</v>
      </c>
      <c r="B219" s="64" t="s">
        <v>40</v>
      </c>
      <c r="C219" s="64" t="s">
        <v>2622</v>
      </c>
      <c r="D219" s="64" t="s">
        <v>5564</v>
      </c>
      <c r="E219" s="64" t="s">
        <v>2556</v>
      </c>
      <c r="F219" s="64">
        <v>0.0</v>
      </c>
      <c r="G219" s="64" t="s">
        <v>5691</v>
      </c>
      <c r="H219" s="64" t="s">
        <v>82</v>
      </c>
      <c r="I219" s="64" t="s">
        <v>22</v>
      </c>
      <c r="J219" s="64" t="s">
        <v>225</v>
      </c>
      <c r="K219" s="64" t="s">
        <v>1851</v>
      </c>
      <c r="L219" s="65">
        <v>0.25</v>
      </c>
      <c r="M219" s="65">
        <v>1.0</v>
      </c>
      <c r="N219" s="65">
        <v>1.0</v>
      </c>
      <c r="O219" s="66">
        <v>45095.0</v>
      </c>
      <c r="P219" s="67">
        <v>1.8</v>
      </c>
      <c r="Q219" s="64" t="s">
        <v>70</v>
      </c>
      <c r="R219" s="68">
        <f t="shared" si="1"/>
        <v>0</v>
      </c>
      <c r="S219" s="68">
        <f t="shared" si="4"/>
        <v>3.709125733</v>
      </c>
    </row>
    <row r="220">
      <c r="A220" s="64">
        <f t="shared" si="3"/>
        <v>219</v>
      </c>
      <c r="B220" s="64" t="s">
        <v>19</v>
      </c>
      <c r="C220" s="64" t="s">
        <v>2623</v>
      </c>
      <c r="D220" s="64" t="s">
        <v>5564</v>
      </c>
      <c r="E220" s="64" t="s">
        <v>2556</v>
      </c>
      <c r="F220" s="64">
        <v>-1.0</v>
      </c>
      <c r="G220" s="64" t="s">
        <v>5701</v>
      </c>
      <c r="H220" s="64" t="s">
        <v>940</v>
      </c>
      <c r="I220" s="64" t="s">
        <v>22</v>
      </c>
      <c r="J220" s="64" t="s">
        <v>225</v>
      </c>
      <c r="K220" s="64" t="s">
        <v>1522</v>
      </c>
      <c r="L220" s="65">
        <v>0.5</v>
      </c>
      <c r="M220" s="65">
        <v>0.5</v>
      </c>
      <c r="N220" s="65">
        <v>0.081</v>
      </c>
      <c r="O220" s="66">
        <v>45095.0</v>
      </c>
      <c r="P220" s="67">
        <v>1.825</v>
      </c>
      <c r="Q220" s="64" t="s">
        <v>33</v>
      </c>
      <c r="R220" s="68">
        <f t="shared" si="1"/>
        <v>0.066825</v>
      </c>
      <c r="S220" s="68">
        <f t="shared" si="4"/>
        <v>3.775950733</v>
      </c>
    </row>
    <row r="221">
      <c r="A221" s="64">
        <f t="shared" si="3"/>
        <v>220</v>
      </c>
      <c r="B221" s="64" t="s">
        <v>40</v>
      </c>
      <c r="C221" s="64" t="s">
        <v>2624</v>
      </c>
      <c r="D221" s="64"/>
      <c r="E221" s="64"/>
      <c r="F221" s="64" t="s">
        <v>2618</v>
      </c>
      <c r="G221" s="64" t="s">
        <v>5721</v>
      </c>
      <c r="H221" s="64" t="s">
        <v>463</v>
      </c>
      <c r="I221" s="64" t="s">
        <v>22</v>
      </c>
      <c r="J221" s="64" t="s">
        <v>440</v>
      </c>
      <c r="K221" s="64" t="s">
        <v>39</v>
      </c>
      <c r="L221" s="65">
        <v>1.0</v>
      </c>
      <c r="M221" s="65">
        <v>0.5</v>
      </c>
      <c r="N221" s="65">
        <v>0.5</v>
      </c>
      <c r="O221" s="66">
        <v>45095.0</v>
      </c>
      <c r="P221" s="67">
        <v>1.75</v>
      </c>
      <c r="Q221" s="64" t="s">
        <v>33</v>
      </c>
      <c r="R221" s="68">
        <f t="shared" si="1"/>
        <v>0.375</v>
      </c>
      <c r="S221" s="68">
        <f t="shared" si="4"/>
        <v>4.150950733</v>
      </c>
    </row>
    <row r="222">
      <c r="A222" s="64">
        <f t="shared" si="3"/>
        <v>221</v>
      </c>
      <c r="B222" s="64" t="s">
        <v>40</v>
      </c>
      <c r="C222" s="64" t="s">
        <v>2625</v>
      </c>
      <c r="D222" s="64"/>
      <c r="E222" s="64"/>
      <c r="F222" s="64" t="s">
        <v>2618</v>
      </c>
      <c r="G222" s="64" t="s">
        <v>5721</v>
      </c>
      <c r="H222" s="64" t="s">
        <v>82</v>
      </c>
      <c r="I222" s="64" t="s">
        <v>22</v>
      </c>
      <c r="J222" s="64" t="s">
        <v>440</v>
      </c>
      <c r="K222" s="64" t="s">
        <v>39</v>
      </c>
      <c r="L222" s="65">
        <v>0.5</v>
      </c>
      <c r="M222" s="65">
        <v>0.5</v>
      </c>
      <c r="N222" s="65">
        <v>0.5</v>
      </c>
      <c r="O222" s="66">
        <v>45095.0</v>
      </c>
      <c r="P222" s="67">
        <v>1.8</v>
      </c>
      <c r="Q222" s="64" t="s">
        <v>33</v>
      </c>
      <c r="R222" s="68">
        <f t="shared" si="1"/>
        <v>0.4</v>
      </c>
      <c r="S222" s="68">
        <f t="shared" si="4"/>
        <v>4.550950733</v>
      </c>
    </row>
    <row r="223">
      <c r="A223" s="64">
        <f t="shared" si="3"/>
        <v>222</v>
      </c>
      <c r="B223" s="64" t="s">
        <v>40</v>
      </c>
      <c r="C223" s="64" t="s">
        <v>2626</v>
      </c>
      <c r="D223" s="64" t="s">
        <v>5564</v>
      </c>
      <c r="E223" s="64" t="s">
        <v>2556</v>
      </c>
      <c r="F223" s="64">
        <f>1</f>
        <v>1</v>
      </c>
      <c r="G223" s="64" t="s">
        <v>5734</v>
      </c>
      <c r="H223" s="64" t="s">
        <v>117</v>
      </c>
      <c r="I223" s="64" t="s">
        <v>22</v>
      </c>
      <c r="J223" s="64" t="s">
        <v>225</v>
      </c>
      <c r="K223" s="64" t="s">
        <v>24</v>
      </c>
      <c r="L223" s="65">
        <v>0.25</v>
      </c>
      <c r="M223" s="65">
        <v>0.5</v>
      </c>
      <c r="N223" s="65">
        <v>0.27</v>
      </c>
      <c r="O223" s="66">
        <v>45095.0</v>
      </c>
      <c r="P223" s="67">
        <v>1.725</v>
      </c>
      <c r="Q223" s="64" t="s">
        <v>25</v>
      </c>
      <c r="R223" s="68">
        <f t="shared" si="1"/>
        <v>-0.27</v>
      </c>
      <c r="S223" s="68">
        <f t="shared" si="4"/>
        <v>4.280950733</v>
      </c>
    </row>
    <row r="224">
      <c r="A224" s="64">
        <f t="shared" si="3"/>
        <v>223</v>
      </c>
      <c r="B224" s="64" t="s">
        <v>19</v>
      </c>
      <c r="C224" s="64" t="s">
        <v>2627</v>
      </c>
      <c r="D224" s="64" t="s">
        <v>5565</v>
      </c>
      <c r="E224" s="64" t="s">
        <v>2556</v>
      </c>
      <c r="F224" s="64">
        <v>0.0</v>
      </c>
      <c r="G224" s="64" t="s">
        <v>5698</v>
      </c>
      <c r="H224" s="64" t="s">
        <v>2456</v>
      </c>
      <c r="I224" s="64" t="s">
        <v>22</v>
      </c>
      <c r="J224" s="64" t="s">
        <v>225</v>
      </c>
      <c r="K224" s="64" t="s">
        <v>39</v>
      </c>
      <c r="L224" s="65">
        <v>0.5</v>
      </c>
      <c r="M224" s="65">
        <v>0.5</v>
      </c>
      <c r="N224" s="65">
        <v>0.5</v>
      </c>
      <c r="O224" s="66">
        <v>45095.0</v>
      </c>
      <c r="P224" s="67">
        <v>1.775</v>
      </c>
      <c r="Q224" s="64" t="s">
        <v>25</v>
      </c>
      <c r="R224" s="68">
        <f t="shared" si="1"/>
        <v>-0.5</v>
      </c>
      <c r="S224" s="68">
        <f t="shared" si="4"/>
        <v>3.780950733</v>
      </c>
    </row>
    <row r="225">
      <c r="A225" s="64">
        <f t="shared" si="3"/>
        <v>224</v>
      </c>
      <c r="B225" s="64" t="s">
        <v>40</v>
      </c>
      <c r="C225" s="64" t="s">
        <v>2628</v>
      </c>
      <c r="D225" s="64" t="s">
        <v>5565</v>
      </c>
      <c r="E225" s="64" t="s">
        <v>2573</v>
      </c>
      <c r="F225" s="64">
        <v>5</v>
      </c>
      <c r="G225" s="64" t="s">
        <v>5748</v>
      </c>
      <c r="H225" s="64" t="s">
        <v>117</v>
      </c>
      <c r="I225" s="64" t="s">
        <v>22</v>
      </c>
      <c r="J225" s="64" t="s">
        <v>894</v>
      </c>
      <c r="K225" s="64" t="s">
        <v>24</v>
      </c>
      <c r="L225" s="65">
        <v>-0.25</v>
      </c>
      <c r="M225" s="65">
        <v>0.5</v>
      </c>
      <c r="N225" s="65">
        <v>0.5</v>
      </c>
      <c r="O225" s="66">
        <v>45095.0</v>
      </c>
      <c r="P225" s="67">
        <v>2.15</v>
      </c>
      <c r="Q225" s="64" t="s">
        <v>33</v>
      </c>
      <c r="R225" s="68">
        <f t="shared" si="1"/>
        <v>0.575</v>
      </c>
      <c r="S225" s="68">
        <f t="shared" si="4"/>
        <v>4.355950733</v>
      </c>
    </row>
    <row r="226">
      <c r="A226" s="64">
        <f t="shared" si="3"/>
        <v>225</v>
      </c>
      <c r="B226" s="64"/>
      <c r="C226" s="64" t="s">
        <v>2629</v>
      </c>
      <c r="D226" s="64"/>
      <c r="E226" s="64"/>
      <c r="F226" s="64" t="s">
        <v>2613</v>
      </c>
      <c r="G226" s="64" t="s">
        <v>2613</v>
      </c>
      <c r="H226" s="64" t="s">
        <v>1272</v>
      </c>
      <c r="I226" s="64" t="s">
        <v>22</v>
      </c>
      <c r="J226" s="64" t="s">
        <v>1272</v>
      </c>
      <c r="K226" s="64" t="s">
        <v>39</v>
      </c>
      <c r="L226" s="65"/>
      <c r="M226" s="65">
        <v>0.25</v>
      </c>
      <c r="N226" s="65">
        <f>0.25*0.14</f>
        <v>0.035</v>
      </c>
      <c r="O226" s="66">
        <v>45095.0</v>
      </c>
      <c r="P226" s="67">
        <f>1.975*2.15</f>
        <v>4.24625</v>
      </c>
      <c r="Q226" s="64" t="s">
        <v>33</v>
      </c>
      <c r="R226" s="68">
        <f t="shared" si="1"/>
        <v>0.11361875</v>
      </c>
      <c r="S226" s="68">
        <f t="shared" si="4"/>
        <v>4.469569483</v>
      </c>
    </row>
    <row r="227">
      <c r="A227" s="64">
        <f t="shared" si="3"/>
        <v>226</v>
      </c>
      <c r="B227" s="64" t="s">
        <v>40</v>
      </c>
      <c r="C227" s="64" t="s">
        <v>2630</v>
      </c>
      <c r="D227" s="64"/>
      <c r="E227" s="64"/>
      <c r="F227" s="64" t="s">
        <v>2618</v>
      </c>
      <c r="G227" s="64" t="s">
        <v>5721</v>
      </c>
      <c r="H227" s="64" t="s">
        <v>86</v>
      </c>
      <c r="I227" s="64" t="s">
        <v>22</v>
      </c>
      <c r="J227" s="64" t="s">
        <v>440</v>
      </c>
      <c r="K227" s="64" t="s">
        <v>24</v>
      </c>
      <c r="L227" s="65">
        <v>4.5</v>
      </c>
      <c r="M227" s="65">
        <v>0.25</v>
      </c>
      <c r="N227" s="65">
        <v>0.25</v>
      </c>
      <c r="O227" s="66">
        <v>45095.0</v>
      </c>
      <c r="P227" s="67">
        <v>1.8</v>
      </c>
      <c r="Q227" s="64" t="s">
        <v>25</v>
      </c>
      <c r="R227" s="68">
        <f t="shared" si="1"/>
        <v>-0.25</v>
      </c>
      <c r="S227" s="68">
        <f t="shared" si="4"/>
        <v>4.219569483</v>
      </c>
    </row>
    <row r="228">
      <c r="A228" s="64">
        <f t="shared" si="3"/>
        <v>227</v>
      </c>
      <c r="B228" s="64" t="s">
        <v>19</v>
      </c>
      <c r="C228" s="64" t="s">
        <v>2631</v>
      </c>
      <c r="D228" s="64" t="s">
        <v>5564</v>
      </c>
      <c r="E228" s="64" t="s">
        <v>2556</v>
      </c>
      <c r="F228" s="64">
        <f>1</f>
        <v>1</v>
      </c>
      <c r="G228" s="64" t="s">
        <v>5734</v>
      </c>
      <c r="H228" s="64" t="s">
        <v>372</v>
      </c>
      <c r="I228" s="64" t="s">
        <v>22</v>
      </c>
      <c r="J228" s="64" t="s">
        <v>892</v>
      </c>
      <c r="K228" s="64" t="s">
        <v>1851</v>
      </c>
      <c r="L228" s="65">
        <v>0.0</v>
      </c>
      <c r="M228" s="65">
        <v>1.0</v>
      </c>
      <c r="N228" s="65">
        <v>1.0</v>
      </c>
      <c r="O228" s="66">
        <v>45095.0</v>
      </c>
      <c r="P228" s="67">
        <v>2.1</v>
      </c>
      <c r="Q228" s="64" t="s">
        <v>70</v>
      </c>
      <c r="R228" s="68">
        <f t="shared" si="1"/>
        <v>0</v>
      </c>
      <c r="S228" s="68">
        <f t="shared" si="4"/>
        <v>4.219569483</v>
      </c>
    </row>
    <row r="229">
      <c r="A229" s="64">
        <f t="shared" si="3"/>
        <v>228</v>
      </c>
      <c r="B229" s="64" t="s">
        <v>19</v>
      </c>
      <c r="C229" s="64" t="s">
        <v>2632</v>
      </c>
      <c r="D229" s="64" t="s">
        <v>5564</v>
      </c>
      <c r="E229" s="64" t="s">
        <v>2556</v>
      </c>
      <c r="F229" s="64">
        <v>-1.0</v>
      </c>
      <c r="G229" s="64" t="s">
        <v>5701</v>
      </c>
      <c r="H229" s="64" t="s">
        <v>82</v>
      </c>
      <c r="I229" s="64" t="s">
        <v>22</v>
      </c>
      <c r="J229" s="64" t="s">
        <v>225</v>
      </c>
      <c r="K229" s="64" t="s">
        <v>1522</v>
      </c>
      <c r="L229" s="65">
        <v>0.75</v>
      </c>
      <c r="M229" s="65">
        <v>1.0</v>
      </c>
      <c r="N229" s="65">
        <v>0.44</v>
      </c>
      <c r="O229" s="66">
        <v>45095.0</v>
      </c>
      <c r="P229" s="67">
        <v>1.8</v>
      </c>
      <c r="Q229" s="64" t="s">
        <v>79</v>
      </c>
      <c r="R229" s="68">
        <f t="shared" si="1"/>
        <v>-0.22</v>
      </c>
      <c r="S229" s="68">
        <f t="shared" si="4"/>
        <v>3.999569483</v>
      </c>
    </row>
    <row r="230">
      <c r="A230" s="64">
        <f t="shared" si="3"/>
        <v>229</v>
      </c>
      <c r="B230" s="64" t="s">
        <v>19</v>
      </c>
      <c r="C230" s="64" t="s">
        <v>2633</v>
      </c>
      <c r="D230" s="64" t="s">
        <v>5564</v>
      </c>
      <c r="E230" s="64" t="s">
        <v>2556</v>
      </c>
      <c r="F230" s="64">
        <v>-1.0</v>
      </c>
      <c r="G230" s="64" t="s">
        <v>5701</v>
      </c>
      <c r="H230" s="64" t="s">
        <v>68</v>
      </c>
      <c r="I230" s="64" t="s">
        <v>22</v>
      </c>
      <c r="J230" s="64" t="s">
        <v>2634</v>
      </c>
      <c r="K230" s="64" t="s">
        <v>24</v>
      </c>
      <c r="L230" s="65"/>
      <c r="M230" s="65">
        <v>0.5</v>
      </c>
      <c r="N230" s="65">
        <v>0.5</v>
      </c>
      <c r="O230" s="66">
        <v>45095.0</v>
      </c>
      <c r="P230" s="67">
        <v>2.62</v>
      </c>
      <c r="Q230" s="64" t="s">
        <v>25</v>
      </c>
      <c r="R230" s="68">
        <f t="shared" si="1"/>
        <v>-0.5</v>
      </c>
      <c r="S230" s="68">
        <f t="shared" si="4"/>
        <v>3.499569483</v>
      </c>
    </row>
    <row r="231">
      <c r="A231" s="64">
        <f t="shared" si="3"/>
        <v>230</v>
      </c>
      <c r="B231" s="64" t="s">
        <v>19</v>
      </c>
      <c r="C231" s="64" t="s">
        <v>2635</v>
      </c>
      <c r="D231" s="64" t="s">
        <v>5564</v>
      </c>
      <c r="E231" s="64" t="s">
        <v>2556</v>
      </c>
      <c r="F231" s="64">
        <v>0.0</v>
      </c>
      <c r="G231" s="64" t="s">
        <v>5691</v>
      </c>
      <c r="H231" s="64" t="s">
        <v>82</v>
      </c>
      <c r="I231" s="64" t="s">
        <v>22</v>
      </c>
      <c r="J231" s="64" t="s">
        <v>225</v>
      </c>
      <c r="K231" s="64" t="s">
        <v>39</v>
      </c>
      <c r="L231" s="65">
        <v>0.25</v>
      </c>
      <c r="M231" s="65">
        <v>1.0</v>
      </c>
      <c r="N231" s="65">
        <v>1.0</v>
      </c>
      <c r="O231" s="66">
        <v>45095.0</v>
      </c>
      <c r="P231" s="67">
        <v>1.925</v>
      </c>
      <c r="Q231" s="64" t="s">
        <v>25</v>
      </c>
      <c r="R231" s="68">
        <f t="shared" si="1"/>
        <v>-1</v>
      </c>
      <c r="S231" s="68">
        <f t="shared" si="4"/>
        <v>2.499569483</v>
      </c>
    </row>
    <row r="232">
      <c r="A232" s="64">
        <f t="shared" si="3"/>
        <v>231</v>
      </c>
      <c r="B232" s="64" t="s">
        <v>19</v>
      </c>
      <c r="C232" s="64" t="s">
        <v>2636</v>
      </c>
      <c r="D232" s="64" t="s">
        <v>5564</v>
      </c>
      <c r="E232" s="64" t="s">
        <v>2556</v>
      </c>
      <c r="F232" s="64">
        <v>0.0</v>
      </c>
      <c r="G232" s="64" t="s">
        <v>5691</v>
      </c>
      <c r="H232" s="64" t="s">
        <v>372</v>
      </c>
      <c r="I232" s="64" t="s">
        <v>22</v>
      </c>
      <c r="J232" s="64" t="s">
        <v>892</v>
      </c>
      <c r="K232" s="64" t="s">
        <v>24</v>
      </c>
      <c r="L232" s="65">
        <v>0.0</v>
      </c>
      <c r="M232" s="65">
        <v>1.0</v>
      </c>
      <c r="N232" s="65">
        <v>1.0</v>
      </c>
      <c r="O232" s="66">
        <v>45095.0</v>
      </c>
      <c r="P232" s="67">
        <v>2.15</v>
      </c>
      <c r="Q232" s="64" t="s">
        <v>70</v>
      </c>
      <c r="R232" s="68">
        <f t="shared" si="1"/>
        <v>0</v>
      </c>
      <c r="S232" s="68">
        <f t="shared" si="4"/>
        <v>2.499569483</v>
      </c>
    </row>
    <row r="233">
      <c r="A233" s="64">
        <f t="shared" si="3"/>
        <v>232</v>
      </c>
      <c r="B233" s="64" t="s">
        <v>19</v>
      </c>
      <c r="C233" s="64" t="s">
        <v>2637</v>
      </c>
      <c r="D233" s="64" t="s">
        <v>5565</v>
      </c>
      <c r="E233" s="64" t="s">
        <v>2556</v>
      </c>
      <c r="F233" s="64">
        <v>0.0</v>
      </c>
      <c r="G233" s="64" t="s">
        <v>5698</v>
      </c>
      <c r="H233" s="64" t="s">
        <v>635</v>
      </c>
      <c r="I233" s="64" t="s">
        <v>22</v>
      </c>
      <c r="J233" s="64" t="s">
        <v>225</v>
      </c>
      <c r="K233" s="64" t="s">
        <v>24</v>
      </c>
      <c r="L233" s="65">
        <v>0.5</v>
      </c>
      <c r="M233" s="65">
        <v>1.0</v>
      </c>
      <c r="N233" s="65">
        <v>0.61</v>
      </c>
      <c r="O233" s="66">
        <v>45095.0</v>
      </c>
      <c r="P233" s="67">
        <v>1.9</v>
      </c>
      <c r="Q233" s="64" t="s">
        <v>25</v>
      </c>
      <c r="R233" s="68">
        <f t="shared" si="1"/>
        <v>-0.61</v>
      </c>
      <c r="S233" s="68">
        <f t="shared" si="4"/>
        <v>1.889569483</v>
      </c>
    </row>
    <row r="234">
      <c r="A234" s="64">
        <f t="shared" si="3"/>
        <v>233</v>
      </c>
      <c r="B234" s="64" t="s">
        <v>19</v>
      </c>
      <c r="C234" s="64" t="s">
        <v>2638</v>
      </c>
      <c r="D234" s="64" t="s">
        <v>5565</v>
      </c>
      <c r="E234" s="64" t="s">
        <v>2556</v>
      </c>
      <c r="F234" s="64">
        <v>3</v>
      </c>
      <c r="G234" s="64" t="s">
        <v>5749</v>
      </c>
      <c r="H234" s="64" t="s">
        <v>2456</v>
      </c>
      <c r="I234" s="64" t="s">
        <v>22</v>
      </c>
      <c r="J234" s="64" t="s">
        <v>225</v>
      </c>
      <c r="K234" s="64" t="s">
        <v>24</v>
      </c>
      <c r="L234" s="65">
        <v>0.25</v>
      </c>
      <c r="M234" s="65">
        <v>0.5</v>
      </c>
      <c r="N234" s="65">
        <v>0.5</v>
      </c>
      <c r="O234" s="66">
        <v>45097.0</v>
      </c>
      <c r="P234" s="67">
        <v>1.775</v>
      </c>
      <c r="Q234" s="64" t="s">
        <v>25</v>
      </c>
      <c r="R234" s="68">
        <f t="shared" si="1"/>
        <v>-0.5</v>
      </c>
      <c r="S234" s="68">
        <f t="shared" si="4"/>
        <v>1.389569483</v>
      </c>
    </row>
    <row r="235">
      <c r="A235" s="64">
        <f t="shared" si="3"/>
        <v>234</v>
      </c>
      <c r="B235" s="64" t="s">
        <v>19</v>
      </c>
      <c r="C235" s="64" t="s">
        <v>2639</v>
      </c>
      <c r="D235" s="64"/>
      <c r="E235" s="64"/>
      <c r="F235" s="64" t="s">
        <v>2640</v>
      </c>
      <c r="G235" s="64" t="s">
        <v>2640</v>
      </c>
      <c r="H235" s="64" t="s">
        <v>82</v>
      </c>
      <c r="I235" s="64" t="s">
        <v>22</v>
      </c>
      <c r="J235" s="64" t="s">
        <v>440</v>
      </c>
      <c r="K235" s="64" t="s">
        <v>24</v>
      </c>
      <c r="L235" s="65">
        <v>1.0</v>
      </c>
      <c r="M235" s="65">
        <v>0.5</v>
      </c>
      <c r="N235" s="65">
        <v>0.5</v>
      </c>
      <c r="O235" s="66">
        <v>45097.0</v>
      </c>
      <c r="P235" s="67">
        <v>1.85</v>
      </c>
      <c r="Q235" s="64" t="s">
        <v>70</v>
      </c>
      <c r="R235" s="68">
        <f t="shared" si="1"/>
        <v>0</v>
      </c>
      <c r="S235" s="68">
        <f t="shared" si="4"/>
        <v>1.389569483</v>
      </c>
    </row>
    <row r="236">
      <c r="A236" s="64">
        <f t="shared" si="3"/>
        <v>235</v>
      </c>
      <c r="B236" s="64" t="s">
        <v>19</v>
      </c>
      <c r="C236" s="64" t="s">
        <v>2641</v>
      </c>
      <c r="D236" s="64"/>
      <c r="E236" s="64"/>
      <c r="F236" s="64" t="s">
        <v>2613</v>
      </c>
      <c r="G236" s="64" t="s">
        <v>2613</v>
      </c>
      <c r="H236" s="64" t="s">
        <v>794</v>
      </c>
      <c r="I236" s="64" t="s">
        <v>598</v>
      </c>
      <c r="J236" s="64" t="s">
        <v>2415</v>
      </c>
      <c r="K236" s="64" t="s">
        <v>39</v>
      </c>
      <c r="L236" s="65">
        <v>3.0</v>
      </c>
      <c r="M236" s="65">
        <v>0.5</v>
      </c>
      <c r="N236" s="65">
        <v>0.5</v>
      </c>
      <c r="O236" s="66">
        <v>45097.0</v>
      </c>
      <c r="P236" s="67">
        <v>1.8</v>
      </c>
      <c r="Q236" s="64" t="s">
        <v>33</v>
      </c>
      <c r="R236" s="68">
        <f t="shared" si="1"/>
        <v>0.4</v>
      </c>
      <c r="S236" s="68">
        <f t="shared" si="4"/>
        <v>1.789569483</v>
      </c>
    </row>
    <row r="237">
      <c r="A237" s="64">
        <f t="shared" si="3"/>
        <v>236</v>
      </c>
      <c r="B237" s="64" t="s">
        <v>19</v>
      </c>
      <c r="C237" s="64" t="s">
        <v>2642</v>
      </c>
      <c r="D237" s="64"/>
      <c r="E237" s="64"/>
      <c r="F237" s="64" t="s">
        <v>2613</v>
      </c>
      <c r="G237" s="64" t="s">
        <v>2613</v>
      </c>
      <c r="H237" s="64" t="s">
        <v>794</v>
      </c>
      <c r="I237" s="64" t="s">
        <v>598</v>
      </c>
      <c r="J237" s="64" t="s">
        <v>894</v>
      </c>
      <c r="K237" s="64" t="s">
        <v>1851</v>
      </c>
      <c r="L237" s="65">
        <v>-0.75</v>
      </c>
      <c r="M237" s="65">
        <v>0.5</v>
      </c>
      <c r="N237" s="65">
        <v>0.5</v>
      </c>
      <c r="O237" s="66">
        <v>45097.0</v>
      </c>
      <c r="P237" s="67">
        <v>1.7</v>
      </c>
      <c r="Q237" s="64" t="s">
        <v>25</v>
      </c>
      <c r="R237" s="68">
        <f t="shared" si="1"/>
        <v>-0.5</v>
      </c>
      <c r="S237" s="68">
        <f t="shared" si="4"/>
        <v>1.289569483</v>
      </c>
    </row>
    <row r="238">
      <c r="A238" s="64">
        <f t="shared" si="3"/>
        <v>237</v>
      </c>
      <c r="B238" s="64" t="s">
        <v>19</v>
      </c>
      <c r="C238" s="64" t="s">
        <v>2643</v>
      </c>
      <c r="D238" s="64"/>
      <c r="E238" s="64"/>
      <c r="F238" s="64" t="s">
        <v>2613</v>
      </c>
      <c r="G238" s="64" t="s">
        <v>2613</v>
      </c>
      <c r="H238" s="64" t="s">
        <v>182</v>
      </c>
      <c r="I238" s="64" t="s">
        <v>598</v>
      </c>
      <c r="J238" s="64" t="s">
        <v>2415</v>
      </c>
      <c r="K238" s="64" t="s">
        <v>1522</v>
      </c>
      <c r="L238" s="65">
        <v>8.5</v>
      </c>
      <c r="M238" s="65">
        <v>0.5</v>
      </c>
      <c r="N238" s="65">
        <v>0.5</v>
      </c>
      <c r="O238" s="66">
        <v>45097.0</v>
      </c>
      <c r="P238" s="67">
        <v>1.825</v>
      </c>
      <c r="Q238" s="64" t="s">
        <v>33</v>
      </c>
      <c r="R238" s="68">
        <f t="shared" si="1"/>
        <v>0.4125</v>
      </c>
      <c r="S238" s="68">
        <f t="shared" si="4"/>
        <v>1.702069483</v>
      </c>
    </row>
    <row r="239">
      <c r="A239" s="64">
        <f t="shared" si="3"/>
        <v>238</v>
      </c>
      <c r="B239" s="64" t="s">
        <v>19</v>
      </c>
      <c r="C239" s="64" t="s">
        <v>2644</v>
      </c>
      <c r="D239" s="64"/>
      <c r="E239" s="64"/>
      <c r="F239" s="64" t="s">
        <v>2613</v>
      </c>
      <c r="G239" s="64" t="s">
        <v>2613</v>
      </c>
      <c r="H239" s="64" t="s">
        <v>794</v>
      </c>
      <c r="I239" s="64" t="s">
        <v>598</v>
      </c>
      <c r="J239" s="64" t="s">
        <v>23</v>
      </c>
      <c r="K239" s="64" t="s">
        <v>1522</v>
      </c>
      <c r="L239" s="65">
        <v>-4.0</v>
      </c>
      <c r="M239" s="65">
        <v>0.5</v>
      </c>
      <c r="N239" s="65">
        <v>0.5</v>
      </c>
      <c r="O239" s="66">
        <v>45097.0</v>
      </c>
      <c r="P239" s="67">
        <v>1.95</v>
      </c>
      <c r="Q239" s="64" t="s">
        <v>33</v>
      </c>
      <c r="R239" s="68">
        <f t="shared" si="1"/>
        <v>0.475</v>
      </c>
      <c r="S239" s="68">
        <f t="shared" si="4"/>
        <v>2.177069483</v>
      </c>
    </row>
    <row r="240">
      <c r="A240" s="64">
        <f t="shared" si="3"/>
        <v>239</v>
      </c>
      <c r="B240" s="64" t="s">
        <v>19</v>
      </c>
      <c r="C240" s="64" t="s">
        <v>2645</v>
      </c>
      <c r="D240" s="64"/>
      <c r="E240" s="64"/>
      <c r="F240" s="64" t="s">
        <v>2613</v>
      </c>
      <c r="G240" s="64" t="s">
        <v>2613</v>
      </c>
      <c r="H240" s="64" t="s">
        <v>182</v>
      </c>
      <c r="I240" s="64" t="s">
        <v>598</v>
      </c>
      <c r="J240" s="64" t="s">
        <v>23</v>
      </c>
      <c r="K240" s="64" t="s">
        <v>1522</v>
      </c>
      <c r="L240" s="65">
        <v>-1.5</v>
      </c>
      <c r="M240" s="65">
        <v>0.5</v>
      </c>
      <c r="N240" s="65">
        <v>0.5</v>
      </c>
      <c r="O240" s="66">
        <v>45097.0</v>
      </c>
      <c r="P240" s="67">
        <v>1.825</v>
      </c>
      <c r="Q240" s="64" t="s">
        <v>25</v>
      </c>
      <c r="R240" s="68">
        <f t="shared" si="1"/>
        <v>-0.5</v>
      </c>
      <c r="S240" s="68">
        <f t="shared" si="4"/>
        <v>1.677069483</v>
      </c>
    </row>
    <row r="241">
      <c r="A241" s="64">
        <f t="shared" si="3"/>
        <v>240</v>
      </c>
      <c r="B241" s="64" t="s">
        <v>19</v>
      </c>
      <c r="C241" s="64" t="s">
        <v>2646</v>
      </c>
      <c r="D241" s="64"/>
      <c r="E241" s="64"/>
      <c r="F241" s="64" t="s">
        <v>2613</v>
      </c>
      <c r="G241" s="64" t="s">
        <v>2613</v>
      </c>
      <c r="H241" s="64" t="s">
        <v>82</v>
      </c>
      <c r="I241" s="64" t="s">
        <v>598</v>
      </c>
      <c r="J241" s="64" t="s">
        <v>440</v>
      </c>
      <c r="K241" s="64" t="s">
        <v>39</v>
      </c>
      <c r="L241" s="65">
        <v>2.5</v>
      </c>
      <c r="M241" s="65">
        <v>0.25</v>
      </c>
      <c r="N241" s="65">
        <v>0.25</v>
      </c>
      <c r="O241" s="66">
        <v>45099.0</v>
      </c>
      <c r="P241" s="67">
        <v>1.875</v>
      </c>
      <c r="Q241" s="64" t="s">
        <v>33</v>
      </c>
      <c r="R241" s="68">
        <f t="shared" si="1"/>
        <v>0.21875</v>
      </c>
      <c r="S241" s="68">
        <f t="shared" si="4"/>
        <v>1.895819483</v>
      </c>
    </row>
    <row r="242">
      <c r="A242" s="64">
        <f t="shared" si="3"/>
        <v>241</v>
      </c>
      <c r="B242" s="64" t="s">
        <v>40</v>
      </c>
      <c r="C242" s="64" t="s">
        <v>2647</v>
      </c>
      <c r="D242" s="64"/>
      <c r="E242" s="64"/>
      <c r="F242" s="64" t="s">
        <v>2618</v>
      </c>
      <c r="G242" s="64" t="s">
        <v>5721</v>
      </c>
      <c r="H242" s="64" t="s">
        <v>78</v>
      </c>
      <c r="I242" s="64" t="s">
        <v>22</v>
      </c>
      <c r="J242" s="64" t="s">
        <v>440</v>
      </c>
      <c r="K242" s="64" t="s">
        <v>39</v>
      </c>
      <c r="L242" s="65">
        <v>1.0</v>
      </c>
      <c r="M242" s="65">
        <v>0.5</v>
      </c>
      <c r="N242" s="65">
        <v>0.5</v>
      </c>
      <c r="O242" s="66">
        <v>45097.0</v>
      </c>
      <c r="P242" s="67">
        <v>1.825</v>
      </c>
      <c r="Q242" s="64" t="s">
        <v>25</v>
      </c>
      <c r="R242" s="68">
        <f t="shared" si="1"/>
        <v>-0.5</v>
      </c>
      <c r="S242" s="68">
        <f t="shared" si="4"/>
        <v>1.395819483</v>
      </c>
    </row>
    <row r="243">
      <c r="A243" s="64">
        <f t="shared" si="3"/>
        <v>242</v>
      </c>
      <c r="B243" s="64" t="s">
        <v>40</v>
      </c>
      <c r="C243" s="64" t="s">
        <v>2648</v>
      </c>
      <c r="D243" s="64" t="s">
        <v>5565</v>
      </c>
      <c r="E243" s="64" t="s">
        <v>2573</v>
      </c>
      <c r="F243" s="64">
        <v>0.0</v>
      </c>
      <c r="G243" s="64" t="s">
        <v>5750</v>
      </c>
      <c r="H243" s="64" t="s">
        <v>82</v>
      </c>
      <c r="I243" s="64" t="s">
        <v>22</v>
      </c>
      <c r="J243" s="64" t="s">
        <v>894</v>
      </c>
      <c r="K243" s="64" t="s">
        <v>1522</v>
      </c>
      <c r="L243" s="65">
        <v>-1.25</v>
      </c>
      <c r="M243" s="65">
        <v>1.0</v>
      </c>
      <c r="N243" s="65">
        <v>1.0</v>
      </c>
      <c r="O243" s="66">
        <v>45098.0</v>
      </c>
      <c r="P243" s="67">
        <v>2.0</v>
      </c>
      <c r="Q243" s="64" t="s">
        <v>79</v>
      </c>
      <c r="R243" s="68">
        <f t="shared" si="1"/>
        <v>-0.5</v>
      </c>
      <c r="S243" s="68">
        <f t="shared" si="4"/>
        <v>0.8958194833</v>
      </c>
    </row>
    <row r="244">
      <c r="A244" s="64">
        <f t="shared" si="3"/>
        <v>243</v>
      </c>
      <c r="B244" s="64" t="s">
        <v>19</v>
      </c>
      <c r="C244" s="64" t="s">
        <v>2649</v>
      </c>
      <c r="D244" s="64" t="s">
        <v>5564</v>
      </c>
      <c r="E244" s="64" t="s">
        <v>2556</v>
      </c>
      <c r="F244" s="64">
        <v>-1.0</v>
      </c>
      <c r="G244" s="64" t="s">
        <v>5701</v>
      </c>
      <c r="H244" s="64" t="s">
        <v>68</v>
      </c>
      <c r="I244" s="64" t="s">
        <v>22</v>
      </c>
      <c r="J244" s="64" t="s">
        <v>225</v>
      </c>
      <c r="K244" s="64" t="s">
        <v>24</v>
      </c>
      <c r="L244" s="65">
        <v>0.5</v>
      </c>
      <c r="M244" s="65">
        <v>1.0</v>
      </c>
      <c r="N244" s="65">
        <v>0.7</v>
      </c>
      <c r="O244" s="66">
        <v>45098.0</v>
      </c>
      <c r="P244" s="67">
        <v>1.8</v>
      </c>
      <c r="Q244" s="64" t="s">
        <v>25</v>
      </c>
      <c r="R244" s="68">
        <f t="shared" si="1"/>
        <v>-0.7</v>
      </c>
      <c r="S244" s="68">
        <f t="shared" si="4"/>
        <v>0.1958194833</v>
      </c>
    </row>
    <row r="245">
      <c r="A245" s="64">
        <f t="shared" si="3"/>
        <v>244</v>
      </c>
      <c r="B245" s="64" t="s">
        <v>19</v>
      </c>
      <c r="C245" s="64" t="s">
        <v>2650</v>
      </c>
      <c r="D245" s="64" t="s">
        <v>5564</v>
      </c>
      <c r="E245" s="64" t="s">
        <v>2556</v>
      </c>
      <c r="F245" s="64">
        <v>-1.0</v>
      </c>
      <c r="G245" s="64" t="s">
        <v>5701</v>
      </c>
      <c r="H245" s="64" t="s">
        <v>68</v>
      </c>
      <c r="I245" s="64" t="s">
        <v>22</v>
      </c>
      <c r="J245" s="64" t="s">
        <v>225</v>
      </c>
      <c r="K245" s="64" t="s">
        <v>24</v>
      </c>
      <c r="L245" s="65">
        <v>0.25</v>
      </c>
      <c r="M245" s="65">
        <v>0.5</v>
      </c>
      <c r="N245" s="65">
        <v>0.15</v>
      </c>
      <c r="O245" s="66">
        <v>45098.0</v>
      </c>
      <c r="P245" s="67">
        <v>1.775</v>
      </c>
      <c r="Q245" s="64" t="s">
        <v>25</v>
      </c>
      <c r="R245" s="68">
        <f t="shared" si="1"/>
        <v>-0.15</v>
      </c>
      <c r="S245" s="68">
        <f t="shared" si="4"/>
        <v>0.04581948333</v>
      </c>
    </row>
    <row r="246">
      <c r="A246" s="64">
        <f t="shared" si="3"/>
        <v>245</v>
      </c>
      <c r="B246" s="64" t="s">
        <v>40</v>
      </c>
      <c r="C246" s="64" t="s">
        <v>2651</v>
      </c>
      <c r="D246" s="64" t="s">
        <v>5564</v>
      </c>
      <c r="E246" s="64" t="s">
        <v>2573</v>
      </c>
      <c r="F246" s="64">
        <v>3</v>
      </c>
      <c r="G246" s="64" t="s">
        <v>5751</v>
      </c>
      <c r="H246" s="64" t="s">
        <v>513</v>
      </c>
      <c r="I246" s="64" t="s">
        <v>22</v>
      </c>
      <c r="J246" s="64" t="s">
        <v>894</v>
      </c>
      <c r="K246" s="64" t="s">
        <v>24</v>
      </c>
      <c r="L246" s="65">
        <v>-0.25</v>
      </c>
      <c r="M246" s="65">
        <v>1.0</v>
      </c>
      <c r="N246" s="65">
        <v>0.44</v>
      </c>
      <c r="O246" s="66">
        <v>45098.0</v>
      </c>
      <c r="P246" s="67">
        <v>1.775</v>
      </c>
      <c r="Q246" s="64" t="s">
        <v>33</v>
      </c>
      <c r="R246" s="68">
        <f t="shared" si="1"/>
        <v>0.341</v>
      </c>
      <c r="S246" s="68">
        <f t="shared" si="4"/>
        <v>0.3868194833</v>
      </c>
    </row>
    <row r="247">
      <c r="A247" s="64">
        <f t="shared" si="3"/>
        <v>246</v>
      </c>
      <c r="B247" s="64" t="s">
        <v>19</v>
      </c>
      <c r="C247" s="64" t="s">
        <v>2652</v>
      </c>
      <c r="D247" s="64" t="s">
        <v>5565</v>
      </c>
      <c r="E247" s="64" t="s">
        <v>2556</v>
      </c>
      <c r="F247" s="64">
        <v>0.0</v>
      </c>
      <c r="G247" s="64" t="s">
        <v>5698</v>
      </c>
      <c r="H247" s="64" t="s">
        <v>182</v>
      </c>
      <c r="I247" s="64" t="s">
        <v>22</v>
      </c>
      <c r="J247" s="64" t="s">
        <v>225</v>
      </c>
      <c r="K247" s="64" t="s">
        <v>39</v>
      </c>
      <c r="L247" s="65">
        <v>0.5</v>
      </c>
      <c r="M247" s="65">
        <v>1.0</v>
      </c>
      <c r="N247" s="65">
        <v>1.0</v>
      </c>
      <c r="O247" s="66">
        <v>45098.0</v>
      </c>
      <c r="P247" s="67">
        <v>1.2</v>
      </c>
      <c r="Q247" s="64" t="s">
        <v>33</v>
      </c>
      <c r="R247" s="68">
        <f t="shared" si="1"/>
        <v>0.2</v>
      </c>
      <c r="S247" s="68">
        <f t="shared" si="4"/>
        <v>0.5868194833</v>
      </c>
    </row>
    <row r="248">
      <c r="A248" s="64">
        <f t="shared" si="3"/>
        <v>247</v>
      </c>
      <c r="B248" s="64" t="s">
        <v>19</v>
      </c>
      <c r="C248" s="64" t="s">
        <v>2653</v>
      </c>
      <c r="D248" s="64" t="s">
        <v>5564</v>
      </c>
      <c r="E248" s="64" t="s">
        <v>2556</v>
      </c>
      <c r="F248" s="64">
        <v>0.0</v>
      </c>
      <c r="G248" s="64" t="s">
        <v>5691</v>
      </c>
      <c r="H248" s="64" t="s">
        <v>68</v>
      </c>
      <c r="I248" s="64" t="s">
        <v>22</v>
      </c>
      <c r="J248" s="64" t="s">
        <v>225</v>
      </c>
      <c r="K248" s="64" t="s">
        <v>24</v>
      </c>
      <c r="L248" s="65">
        <v>0.25</v>
      </c>
      <c r="M248" s="65">
        <v>1.0</v>
      </c>
      <c r="N248" s="65">
        <v>0.63</v>
      </c>
      <c r="O248" s="66">
        <v>45098.0</v>
      </c>
      <c r="P248" s="67">
        <v>1.925</v>
      </c>
      <c r="Q248" s="64" t="s">
        <v>25</v>
      </c>
      <c r="R248" s="68">
        <f t="shared" si="1"/>
        <v>-0.63</v>
      </c>
      <c r="S248" s="68">
        <f t="shared" si="4"/>
        <v>-0.04318051667</v>
      </c>
    </row>
    <row r="249">
      <c r="A249" s="64">
        <f t="shared" si="3"/>
        <v>248</v>
      </c>
      <c r="B249" s="64" t="s">
        <v>40</v>
      </c>
      <c r="C249" s="64" t="s">
        <v>2654</v>
      </c>
      <c r="D249" s="64" t="s">
        <v>5565</v>
      </c>
      <c r="E249" s="64" t="s">
        <v>2573</v>
      </c>
      <c r="F249" s="64">
        <v>-1.0</v>
      </c>
      <c r="G249" s="64" t="s">
        <v>5737</v>
      </c>
      <c r="H249" s="64" t="s">
        <v>463</v>
      </c>
      <c r="I249" s="64" t="s">
        <v>22</v>
      </c>
      <c r="J249" s="64" t="s">
        <v>894</v>
      </c>
      <c r="K249" s="64" t="s">
        <v>1522</v>
      </c>
      <c r="L249" s="65">
        <v>-0.5</v>
      </c>
      <c r="M249" s="65">
        <v>0.5</v>
      </c>
      <c r="N249" s="65">
        <v>0.5</v>
      </c>
      <c r="O249" s="66">
        <v>45098.0</v>
      </c>
      <c r="P249" s="67">
        <v>1.7</v>
      </c>
      <c r="Q249" s="64" t="s">
        <v>33</v>
      </c>
      <c r="R249" s="68">
        <f t="shared" si="1"/>
        <v>0.35</v>
      </c>
      <c r="S249" s="68">
        <f t="shared" si="4"/>
        <v>0.3068194833</v>
      </c>
    </row>
    <row r="250">
      <c r="A250" s="64">
        <f t="shared" si="3"/>
        <v>249</v>
      </c>
      <c r="B250" s="64" t="s">
        <v>19</v>
      </c>
      <c r="C250" s="64" t="s">
        <v>2655</v>
      </c>
      <c r="D250" s="64" t="s">
        <v>5564</v>
      </c>
      <c r="E250" s="64" t="s">
        <v>2556</v>
      </c>
      <c r="F250" s="64">
        <f>1</f>
        <v>1</v>
      </c>
      <c r="G250" s="64" t="s">
        <v>5734</v>
      </c>
      <c r="H250" s="64" t="s">
        <v>82</v>
      </c>
      <c r="I250" s="64" t="s">
        <v>22</v>
      </c>
      <c r="J250" s="64" t="s">
        <v>225</v>
      </c>
      <c r="K250" s="64" t="s">
        <v>24</v>
      </c>
      <c r="L250" s="65">
        <v>0.75</v>
      </c>
      <c r="M250" s="65">
        <v>1.0</v>
      </c>
      <c r="N250" s="65">
        <v>0.77</v>
      </c>
      <c r="O250" s="66">
        <v>45098.0</v>
      </c>
      <c r="P250" s="67">
        <v>1.85</v>
      </c>
      <c r="Q250" s="64" t="s">
        <v>79</v>
      </c>
      <c r="R250" s="68">
        <f t="shared" si="1"/>
        <v>-0.385</v>
      </c>
      <c r="S250" s="68">
        <f t="shared" si="4"/>
        <v>-0.07818051667</v>
      </c>
    </row>
    <row r="251">
      <c r="A251" s="64">
        <f t="shared" si="3"/>
        <v>250</v>
      </c>
      <c r="B251" s="64" t="s">
        <v>19</v>
      </c>
      <c r="C251" s="64" t="s">
        <v>2656</v>
      </c>
      <c r="D251" s="64" t="s">
        <v>5565</v>
      </c>
      <c r="E251" s="64" t="s">
        <v>2556</v>
      </c>
      <c r="F251" s="64">
        <v>2</v>
      </c>
      <c r="G251" s="64" t="s">
        <v>5744</v>
      </c>
      <c r="H251" s="64" t="s">
        <v>940</v>
      </c>
      <c r="I251" s="64" t="s">
        <v>22</v>
      </c>
      <c r="J251" s="64" t="s">
        <v>225</v>
      </c>
      <c r="K251" s="64" t="s">
        <v>24</v>
      </c>
      <c r="L251" s="65">
        <v>0.75</v>
      </c>
      <c r="M251" s="65">
        <v>1.0</v>
      </c>
      <c r="N251" s="65">
        <v>0.4</v>
      </c>
      <c r="O251" s="66">
        <v>45098.0</v>
      </c>
      <c r="P251" s="67">
        <v>1.85</v>
      </c>
      <c r="Q251" s="64" t="s">
        <v>79</v>
      </c>
      <c r="R251" s="68">
        <f t="shared" si="1"/>
        <v>-0.2</v>
      </c>
      <c r="S251" s="68">
        <f t="shared" si="4"/>
        <v>-0.2781805167</v>
      </c>
    </row>
    <row r="252">
      <c r="A252" s="64">
        <f t="shared" si="3"/>
        <v>251</v>
      </c>
      <c r="B252" s="64" t="s">
        <v>40</v>
      </c>
      <c r="C252" s="64" t="s">
        <v>2657</v>
      </c>
      <c r="D252" s="64" t="s">
        <v>5564</v>
      </c>
      <c r="E252" s="64" t="s">
        <v>2573</v>
      </c>
      <c r="F252" s="64">
        <v>4</v>
      </c>
      <c r="G252" s="64" t="s">
        <v>5752</v>
      </c>
      <c r="H252" s="64" t="s">
        <v>82</v>
      </c>
      <c r="I252" s="64" t="s">
        <v>22</v>
      </c>
      <c r="J252" s="64" t="s">
        <v>894</v>
      </c>
      <c r="K252" s="64" t="s">
        <v>24</v>
      </c>
      <c r="L252" s="65">
        <v>-1.5</v>
      </c>
      <c r="M252" s="65">
        <v>1.0</v>
      </c>
      <c r="N252" s="65">
        <v>1.0</v>
      </c>
      <c r="O252" s="66">
        <v>45098.0</v>
      </c>
      <c r="P252" s="67">
        <v>1.975</v>
      </c>
      <c r="Q252" s="64" t="s">
        <v>25</v>
      </c>
      <c r="R252" s="68">
        <f t="shared" si="1"/>
        <v>-1</v>
      </c>
      <c r="S252" s="68">
        <f t="shared" si="4"/>
        <v>-1.278180517</v>
      </c>
    </row>
    <row r="253">
      <c r="A253" s="64">
        <f t="shared" si="3"/>
        <v>252</v>
      </c>
      <c r="B253" s="64" t="s">
        <v>19</v>
      </c>
      <c r="C253" s="64" t="s">
        <v>2658</v>
      </c>
      <c r="D253" s="64" t="s">
        <v>5565</v>
      </c>
      <c r="E253" s="64" t="s">
        <v>2556</v>
      </c>
      <c r="F253" s="64">
        <v>0.0</v>
      </c>
      <c r="G253" s="64" t="s">
        <v>5699</v>
      </c>
      <c r="H253" s="64" t="s">
        <v>463</v>
      </c>
      <c r="I253" s="64" t="s">
        <v>22</v>
      </c>
      <c r="J253" s="64" t="s">
        <v>225</v>
      </c>
      <c r="K253" s="64" t="s">
        <v>24</v>
      </c>
      <c r="L253" s="65">
        <v>0.5</v>
      </c>
      <c r="M253" s="65">
        <v>1.0</v>
      </c>
      <c r="N253" s="65">
        <v>1.0</v>
      </c>
      <c r="O253" s="66">
        <v>45098.0</v>
      </c>
      <c r="P253" s="67">
        <v>2.0</v>
      </c>
      <c r="Q253" s="64" t="s">
        <v>25</v>
      </c>
      <c r="R253" s="68">
        <f t="shared" si="1"/>
        <v>-1</v>
      </c>
      <c r="S253" s="68">
        <f t="shared" si="4"/>
        <v>-2.278180517</v>
      </c>
    </row>
    <row r="254">
      <c r="A254" s="64">
        <f t="shared" si="3"/>
        <v>253</v>
      </c>
      <c r="B254" s="64" t="s">
        <v>19</v>
      </c>
      <c r="C254" s="64" t="s">
        <v>2659</v>
      </c>
      <c r="D254" s="64" t="s">
        <v>5565</v>
      </c>
      <c r="E254" s="64" t="s">
        <v>2660</v>
      </c>
      <c r="F254" s="64">
        <v>2</v>
      </c>
      <c r="G254" s="64" t="s">
        <v>5753</v>
      </c>
      <c r="H254" s="64" t="s">
        <v>82</v>
      </c>
      <c r="I254" s="64" t="s">
        <v>22</v>
      </c>
      <c r="J254" s="64" t="s">
        <v>892</v>
      </c>
      <c r="K254" s="64" t="s">
        <v>24</v>
      </c>
      <c r="L254" s="65">
        <v>0.0</v>
      </c>
      <c r="M254" s="65">
        <v>1.0</v>
      </c>
      <c r="N254" s="65">
        <v>0.61</v>
      </c>
      <c r="O254" s="66">
        <v>45098.0</v>
      </c>
      <c r="P254" s="67">
        <v>1.9</v>
      </c>
      <c r="Q254" s="64" t="s">
        <v>25</v>
      </c>
      <c r="R254" s="68">
        <f t="shared" si="1"/>
        <v>-0.61</v>
      </c>
      <c r="S254" s="68">
        <f t="shared" si="4"/>
        <v>-2.888180517</v>
      </c>
    </row>
    <row r="255">
      <c r="A255" s="64">
        <f t="shared" si="3"/>
        <v>254</v>
      </c>
      <c r="B255" s="64" t="s">
        <v>40</v>
      </c>
      <c r="C255" s="64" t="s">
        <v>2661</v>
      </c>
      <c r="D255" s="64" t="s">
        <v>5564</v>
      </c>
      <c r="E255" s="64" t="s">
        <v>2660</v>
      </c>
      <c r="F255" s="64">
        <v>0.0</v>
      </c>
      <c r="G255" s="64" t="s">
        <v>5716</v>
      </c>
      <c r="H255" s="64" t="s">
        <v>169</v>
      </c>
      <c r="I255" s="64" t="s">
        <v>22</v>
      </c>
      <c r="J255" s="64" t="s">
        <v>892</v>
      </c>
      <c r="K255" s="64" t="s">
        <v>24</v>
      </c>
      <c r="L255" s="65">
        <v>0.0</v>
      </c>
      <c r="M255" s="65">
        <v>1.0</v>
      </c>
      <c r="N255" s="65">
        <v>1.0</v>
      </c>
      <c r="O255" s="66">
        <v>45098.0</v>
      </c>
      <c r="P255" s="67">
        <v>2.0</v>
      </c>
      <c r="Q255" s="64" t="s">
        <v>33</v>
      </c>
      <c r="R255" s="68">
        <f t="shared" si="1"/>
        <v>1</v>
      </c>
      <c r="S255" s="68">
        <f t="shared" si="4"/>
        <v>-1.888180517</v>
      </c>
    </row>
    <row r="256">
      <c r="A256" s="64">
        <f t="shared" si="3"/>
        <v>255</v>
      </c>
      <c r="B256" s="64" t="s">
        <v>19</v>
      </c>
      <c r="C256" s="64" t="s">
        <v>2662</v>
      </c>
      <c r="D256" s="64"/>
      <c r="E256" s="64"/>
      <c r="F256" s="64" t="s">
        <v>2663</v>
      </c>
      <c r="G256" s="64" t="s">
        <v>2663</v>
      </c>
      <c r="H256" s="64" t="s">
        <v>82</v>
      </c>
      <c r="I256" s="64" t="s">
        <v>598</v>
      </c>
      <c r="J256" s="64" t="s">
        <v>894</v>
      </c>
      <c r="K256" s="64" t="s">
        <v>39</v>
      </c>
      <c r="L256" s="65">
        <v>-0.5</v>
      </c>
      <c r="M256" s="65">
        <v>0.5</v>
      </c>
      <c r="N256" s="65">
        <v>0.5</v>
      </c>
      <c r="O256" s="66">
        <v>45101.0</v>
      </c>
      <c r="P256" s="67">
        <v>1.725</v>
      </c>
      <c r="Q256" s="64" t="s">
        <v>33</v>
      </c>
      <c r="R256" s="68">
        <f t="shared" si="1"/>
        <v>0.3625</v>
      </c>
      <c r="S256" s="68">
        <f t="shared" si="4"/>
        <v>-1.525680517</v>
      </c>
    </row>
    <row r="257">
      <c r="A257" s="64">
        <f t="shared" si="3"/>
        <v>256</v>
      </c>
      <c r="B257" s="64" t="s">
        <v>19</v>
      </c>
      <c r="C257" s="64" t="s">
        <v>2664</v>
      </c>
      <c r="D257" s="64"/>
      <c r="E257" s="64"/>
      <c r="F257" s="64" t="s">
        <v>2567</v>
      </c>
      <c r="G257" s="64" t="s">
        <v>2567</v>
      </c>
      <c r="H257" s="64" t="s">
        <v>82</v>
      </c>
      <c r="I257" s="64" t="s">
        <v>22</v>
      </c>
      <c r="J257" s="64" t="s">
        <v>29</v>
      </c>
      <c r="K257" s="64" t="s">
        <v>39</v>
      </c>
      <c r="L257" s="65">
        <v>-1.5</v>
      </c>
      <c r="M257" s="65">
        <v>0.5</v>
      </c>
      <c r="N257" s="65">
        <v>0.5</v>
      </c>
      <c r="O257" s="66">
        <v>45100.0</v>
      </c>
      <c r="P257" s="67">
        <v>1.975</v>
      </c>
      <c r="Q257" s="64" t="s">
        <v>33</v>
      </c>
      <c r="R257" s="68">
        <f t="shared" si="1"/>
        <v>0.4875</v>
      </c>
      <c r="S257" s="68">
        <f t="shared" si="4"/>
        <v>-1.038180517</v>
      </c>
    </row>
    <row r="258">
      <c r="A258" s="64">
        <f t="shared" si="3"/>
        <v>257</v>
      </c>
      <c r="B258" s="64" t="s">
        <v>19</v>
      </c>
      <c r="C258" s="64" t="s">
        <v>2665</v>
      </c>
      <c r="D258" s="64" t="s">
        <v>5564</v>
      </c>
      <c r="E258" s="64" t="s">
        <v>2556</v>
      </c>
      <c r="F258" s="64">
        <v>-1.0</v>
      </c>
      <c r="G258" s="64" t="s">
        <v>5701</v>
      </c>
      <c r="H258" s="64" t="s">
        <v>78</v>
      </c>
      <c r="I258" s="64" t="s">
        <v>22</v>
      </c>
      <c r="J258" s="64" t="s">
        <v>892</v>
      </c>
      <c r="K258" s="64" t="s">
        <v>24</v>
      </c>
      <c r="L258" s="65">
        <v>0.0</v>
      </c>
      <c r="M258" s="65">
        <v>0.5</v>
      </c>
      <c r="N258" s="65">
        <v>0.5</v>
      </c>
      <c r="O258" s="66">
        <v>45100.0</v>
      </c>
      <c r="P258" s="67">
        <v>1.825</v>
      </c>
      <c r="Q258" s="64" t="s">
        <v>33</v>
      </c>
      <c r="R258" s="68">
        <f t="shared" si="1"/>
        <v>0.4125</v>
      </c>
      <c r="S258" s="68">
        <f t="shared" si="4"/>
        <v>-0.6256805167</v>
      </c>
    </row>
    <row r="259">
      <c r="A259" s="64">
        <f t="shared" si="3"/>
        <v>258</v>
      </c>
      <c r="B259" s="64" t="s">
        <v>19</v>
      </c>
      <c r="C259" s="64" t="s">
        <v>2666</v>
      </c>
      <c r="D259" s="64" t="s">
        <v>5564</v>
      </c>
      <c r="E259" s="64" t="s">
        <v>2556</v>
      </c>
      <c r="F259" s="64">
        <f>1</f>
        <v>1</v>
      </c>
      <c r="G259" s="64" t="s">
        <v>5734</v>
      </c>
      <c r="H259" s="64" t="s">
        <v>2667</v>
      </c>
      <c r="I259" s="64" t="s">
        <v>22</v>
      </c>
      <c r="J259" s="64" t="s">
        <v>225</v>
      </c>
      <c r="K259" s="64" t="s">
        <v>24</v>
      </c>
      <c r="L259" s="65">
        <v>0.25</v>
      </c>
      <c r="M259" s="65">
        <v>0.5</v>
      </c>
      <c r="N259" s="65">
        <v>0.5</v>
      </c>
      <c r="O259" s="66">
        <v>45101.0</v>
      </c>
      <c r="P259" s="67">
        <v>1.8</v>
      </c>
      <c r="Q259" s="64" t="s">
        <v>33</v>
      </c>
      <c r="R259" s="68">
        <f t="shared" si="1"/>
        <v>0.4</v>
      </c>
      <c r="S259" s="68">
        <f t="shared" si="4"/>
        <v>-0.2256805167</v>
      </c>
    </row>
    <row r="260">
      <c r="A260" s="64">
        <f t="shared" si="3"/>
        <v>259</v>
      </c>
      <c r="B260" s="64" t="s">
        <v>19</v>
      </c>
      <c r="C260" s="64" t="s">
        <v>2668</v>
      </c>
      <c r="D260" s="64" t="s">
        <v>5564</v>
      </c>
      <c r="E260" s="64" t="s">
        <v>2556</v>
      </c>
      <c r="F260" s="64">
        <v>0.0</v>
      </c>
      <c r="G260" s="64" t="s">
        <v>5691</v>
      </c>
      <c r="H260" s="64" t="s">
        <v>78</v>
      </c>
      <c r="I260" s="64" t="s">
        <v>22</v>
      </c>
      <c r="J260" s="64" t="s">
        <v>225</v>
      </c>
      <c r="K260" s="64" t="s">
        <v>1522</v>
      </c>
      <c r="L260" s="65">
        <v>0.25</v>
      </c>
      <c r="M260" s="65">
        <v>0.5</v>
      </c>
      <c r="N260" s="65">
        <f>0.763*0.5</f>
        <v>0.3815</v>
      </c>
      <c r="O260" s="66">
        <v>45101.0</v>
      </c>
      <c r="P260" s="67">
        <v>1.8</v>
      </c>
      <c r="Q260" s="64" t="s">
        <v>33</v>
      </c>
      <c r="R260" s="68">
        <f t="shared" si="1"/>
        <v>0.3052</v>
      </c>
      <c r="S260" s="68">
        <f t="shared" si="4"/>
        <v>0.07951948333</v>
      </c>
    </row>
    <row r="261">
      <c r="A261" s="64">
        <f t="shared" si="3"/>
        <v>260</v>
      </c>
      <c r="B261" s="64" t="s">
        <v>19</v>
      </c>
      <c r="C261" s="64" t="s">
        <v>2669</v>
      </c>
      <c r="D261" s="64"/>
      <c r="E261" s="64"/>
      <c r="F261" s="64" t="s">
        <v>2615</v>
      </c>
      <c r="G261" s="64" t="s">
        <v>2615</v>
      </c>
      <c r="H261" s="64" t="s">
        <v>82</v>
      </c>
      <c r="I261" s="64" t="s">
        <v>22</v>
      </c>
      <c r="J261" s="64" t="s">
        <v>29</v>
      </c>
      <c r="K261" s="64" t="s">
        <v>24</v>
      </c>
      <c r="L261" s="65">
        <v>-4.75</v>
      </c>
      <c r="M261" s="65">
        <v>0.5</v>
      </c>
      <c r="N261" s="65">
        <f>0.184*0.5</f>
        <v>0.092</v>
      </c>
      <c r="O261" s="66">
        <v>45101.0</v>
      </c>
      <c r="P261" s="67">
        <f>315.06/250</f>
        <v>1.26024</v>
      </c>
      <c r="Q261" s="64" t="s">
        <v>33</v>
      </c>
      <c r="R261" s="68">
        <f t="shared" si="1"/>
        <v>0.02394208</v>
      </c>
      <c r="S261" s="68">
        <f t="shared" si="4"/>
        <v>0.1034615633</v>
      </c>
    </row>
    <row r="262">
      <c r="A262" s="64">
        <f t="shared" si="3"/>
        <v>261</v>
      </c>
      <c r="B262" s="64" t="s">
        <v>19</v>
      </c>
      <c r="C262" s="64" t="s">
        <v>2670</v>
      </c>
      <c r="D262" s="64"/>
      <c r="E262" s="64"/>
      <c r="F262" s="64" t="s">
        <v>2615</v>
      </c>
      <c r="G262" s="64" t="s">
        <v>2615</v>
      </c>
      <c r="H262" s="64" t="s">
        <v>82</v>
      </c>
      <c r="I262" s="64" t="s">
        <v>22</v>
      </c>
      <c r="J262" s="64" t="s">
        <v>29</v>
      </c>
      <c r="K262" s="64" t="s">
        <v>24</v>
      </c>
      <c r="L262" s="65">
        <v>-4.5</v>
      </c>
      <c r="M262" s="65">
        <v>0.5</v>
      </c>
      <c r="N262" s="65">
        <f>0.684*0.5</f>
        <v>0.342</v>
      </c>
      <c r="O262" s="66">
        <v>45101.0</v>
      </c>
      <c r="P262" s="67">
        <f>286.31/250</f>
        <v>1.14524</v>
      </c>
      <c r="Q262" s="64" t="s">
        <v>33</v>
      </c>
      <c r="R262" s="68">
        <f t="shared" si="1"/>
        <v>0.04967208</v>
      </c>
      <c r="S262" s="68">
        <f t="shared" si="4"/>
        <v>0.1531336433</v>
      </c>
    </row>
    <row r="263">
      <c r="A263" s="64">
        <f t="shared" si="3"/>
        <v>262</v>
      </c>
      <c r="B263" s="64" t="s">
        <v>40</v>
      </c>
      <c r="C263" s="64" t="s">
        <v>2671</v>
      </c>
      <c r="D263" s="64" t="s">
        <v>5564</v>
      </c>
      <c r="E263" s="64" t="s">
        <v>2556</v>
      </c>
      <c r="F263" s="64">
        <f t="shared" ref="F263:F264" si="6">1</f>
        <v>1</v>
      </c>
      <c r="G263" s="64" t="s">
        <v>5734</v>
      </c>
      <c r="H263" s="64" t="s">
        <v>28</v>
      </c>
      <c r="I263" s="64" t="s">
        <v>22</v>
      </c>
      <c r="J263" s="64" t="s">
        <v>225</v>
      </c>
      <c r="K263" s="64" t="s">
        <v>39</v>
      </c>
      <c r="L263" s="65">
        <v>1.75</v>
      </c>
      <c r="M263" s="65">
        <v>0.5</v>
      </c>
      <c r="N263" s="65">
        <f>0.842*0.5</f>
        <v>0.421</v>
      </c>
      <c r="O263" s="66">
        <v>45101.0</v>
      </c>
      <c r="P263" s="67">
        <f>543/375</f>
        <v>1.448</v>
      </c>
      <c r="Q263" s="64" t="s">
        <v>33</v>
      </c>
      <c r="R263" s="68">
        <f t="shared" si="1"/>
        <v>0.188608</v>
      </c>
      <c r="S263" s="68">
        <f t="shared" si="4"/>
        <v>0.3417416433</v>
      </c>
    </row>
    <row r="264">
      <c r="A264" s="64">
        <f t="shared" si="3"/>
        <v>263</v>
      </c>
      <c r="B264" s="64" t="s">
        <v>40</v>
      </c>
      <c r="C264" s="64" t="s">
        <v>2672</v>
      </c>
      <c r="D264" s="64" t="s">
        <v>5564</v>
      </c>
      <c r="E264" s="64" t="s">
        <v>2556</v>
      </c>
      <c r="F264" s="64">
        <f t="shared" si="6"/>
        <v>1</v>
      </c>
      <c r="G264" s="64" t="s">
        <v>5734</v>
      </c>
      <c r="H264" s="64" t="s">
        <v>28</v>
      </c>
      <c r="I264" s="64" t="s">
        <v>22</v>
      </c>
      <c r="J264" s="64" t="s">
        <v>225</v>
      </c>
      <c r="K264" s="64" t="s">
        <v>39</v>
      </c>
      <c r="L264" s="65">
        <v>2.0</v>
      </c>
      <c r="M264" s="65">
        <f t="shared" ref="M264:N264" si="7">0.158*0.5</f>
        <v>0.079</v>
      </c>
      <c r="N264" s="65">
        <f t="shared" si="7"/>
        <v>0.079</v>
      </c>
      <c r="O264" s="66">
        <v>45101.0</v>
      </c>
      <c r="P264" s="67">
        <f>359.42/250</f>
        <v>1.43768</v>
      </c>
      <c r="Q264" s="64" t="s">
        <v>33</v>
      </c>
      <c r="R264" s="68">
        <f t="shared" si="1"/>
        <v>0.03457672</v>
      </c>
      <c r="S264" s="68">
        <f t="shared" si="4"/>
        <v>0.3763183633</v>
      </c>
    </row>
    <row r="265">
      <c r="A265" s="64">
        <f t="shared" si="3"/>
        <v>264</v>
      </c>
      <c r="B265" s="64" t="s">
        <v>19</v>
      </c>
      <c r="C265" s="64" t="s">
        <v>2673</v>
      </c>
      <c r="D265" s="64" t="s">
        <v>5565</v>
      </c>
      <c r="E265" s="64" t="s">
        <v>2556</v>
      </c>
      <c r="F265" s="64">
        <v>0.0</v>
      </c>
      <c r="G265" s="64" t="s">
        <v>5698</v>
      </c>
      <c r="H265" s="64" t="s">
        <v>2674</v>
      </c>
      <c r="I265" s="64" t="s">
        <v>22</v>
      </c>
      <c r="J265" s="64" t="s">
        <v>225</v>
      </c>
      <c r="K265" s="64" t="s">
        <v>24</v>
      </c>
      <c r="L265" s="65">
        <v>0.5</v>
      </c>
      <c r="M265" s="65">
        <v>0.5</v>
      </c>
      <c r="N265" s="65">
        <v>0.5</v>
      </c>
      <c r="O265" s="66">
        <v>45101.0</v>
      </c>
      <c r="P265" s="67">
        <v>1.7</v>
      </c>
      <c r="Q265" s="64" t="s">
        <v>33</v>
      </c>
      <c r="R265" s="68">
        <f t="shared" si="1"/>
        <v>0.35</v>
      </c>
      <c r="S265" s="68">
        <f t="shared" si="4"/>
        <v>0.7263183633</v>
      </c>
    </row>
    <row r="266">
      <c r="A266" s="64">
        <f t="shared" si="3"/>
        <v>265</v>
      </c>
      <c r="B266" s="64" t="s">
        <v>40</v>
      </c>
      <c r="C266" s="64" t="s">
        <v>2675</v>
      </c>
      <c r="D266" s="64"/>
      <c r="E266" s="64"/>
      <c r="F266" s="64" t="s">
        <v>2618</v>
      </c>
      <c r="G266" s="64" t="s">
        <v>5721</v>
      </c>
      <c r="H266" s="64" t="s">
        <v>78</v>
      </c>
      <c r="I266" s="64" t="s">
        <v>22</v>
      </c>
      <c r="J266" s="64" t="s">
        <v>440</v>
      </c>
      <c r="K266" s="64" t="s">
        <v>39</v>
      </c>
      <c r="L266" s="65">
        <v>2.0</v>
      </c>
      <c r="M266" s="65">
        <v>0.5</v>
      </c>
      <c r="N266" s="65">
        <v>0.5</v>
      </c>
      <c r="O266" s="66">
        <v>45101.0</v>
      </c>
      <c r="P266" s="67">
        <v>1.8</v>
      </c>
      <c r="Q266" s="64" t="s">
        <v>25</v>
      </c>
      <c r="R266" s="68">
        <f t="shared" si="1"/>
        <v>-0.5</v>
      </c>
      <c r="S266" s="68">
        <f t="shared" si="4"/>
        <v>0.2263183633</v>
      </c>
    </row>
    <row r="267">
      <c r="A267" s="64">
        <f t="shared" si="3"/>
        <v>266</v>
      </c>
      <c r="B267" s="64" t="s">
        <v>19</v>
      </c>
      <c r="C267" s="64" t="s">
        <v>2676</v>
      </c>
      <c r="D267" s="64" t="s">
        <v>5564</v>
      </c>
      <c r="E267" s="64" t="s">
        <v>2573</v>
      </c>
      <c r="F267" s="64">
        <v>0.0</v>
      </c>
      <c r="G267" s="64" t="s">
        <v>5754</v>
      </c>
      <c r="H267" s="64" t="s">
        <v>2677</v>
      </c>
      <c r="I267" s="64" t="s">
        <v>22</v>
      </c>
      <c r="J267" s="64" t="s">
        <v>894</v>
      </c>
      <c r="K267" s="64" t="s">
        <v>39</v>
      </c>
      <c r="L267" s="65">
        <v>-0.25</v>
      </c>
      <c r="M267" s="65">
        <v>0.5</v>
      </c>
      <c r="N267" s="65">
        <v>0.5</v>
      </c>
      <c r="O267" s="66">
        <v>45102.0</v>
      </c>
      <c r="P267" s="64">
        <v>1.875</v>
      </c>
      <c r="Q267" s="64" t="s">
        <v>79</v>
      </c>
      <c r="R267" s="68">
        <f t="shared" si="1"/>
        <v>-0.25</v>
      </c>
      <c r="S267" s="68">
        <f t="shared" si="4"/>
        <v>-0.02368163667</v>
      </c>
    </row>
    <row r="268">
      <c r="A268" s="64">
        <f t="shared" si="3"/>
        <v>267</v>
      </c>
      <c r="B268" s="64" t="s">
        <v>19</v>
      </c>
      <c r="C268" s="64" t="s">
        <v>2678</v>
      </c>
      <c r="D268" s="64" t="s">
        <v>5564</v>
      </c>
      <c r="E268" s="64" t="s">
        <v>2556</v>
      </c>
      <c r="F268" s="64">
        <f>1</f>
        <v>1</v>
      </c>
      <c r="G268" s="64" t="s">
        <v>5734</v>
      </c>
      <c r="H268" s="64" t="s">
        <v>1470</v>
      </c>
      <c r="I268" s="64" t="s">
        <v>22</v>
      </c>
      <c r="J268" s="64" t="s">
        <v>225</v>
      </c>
      <c r="K268" s="64" t="s">
        <v>24</v>
      </c>
      <c r="L268" s="65">
        <v>0.25</v>
      </c>
      <c r="M268" s="65">
        <v>1.0</v>
      </c>
      <c r="N268" s="65">
        <v>0.342</v>
      </c>
      <c r="O268" s="66">
        <v>45102.0</v>
      </c>
      <c r="P268" s="67">
        <v>1.8</v>
      </c>
      <c r="Q268" s="64" t="s">
        <v>30</v>
      </c>
      <c r="R268" s="68">
        <f t="shared" si="1"/>
        <v>0.1368</v>
      </c>
      <c r="S268" s="68">
        <f t="shared" si="4"/>
        <v>0.1131183633</v>
      </c>
    </row>
    <row r="269">
      <c r="A269" s="64">
        <f t="shared" si="3"/>
        <v>268</v>
      </c>
      <c r="B269" s="64" t="s">
        <v>19</v>
      </c>
      <c r="C269" s="64" t="s">
        <v>2679</v>
      </c>
      <c r="D269" s="64" t="s">
        <v>5564</v>
      </c>
      <c r="E269" s="64" t="s">
        <v>2556</v>
      </c>
      <c r="F269" s="64">
        <v>0.0</v>
      </c>
      <c r="G269" s="64" t="s">
        <v>5691</v>
      </c>
      <c r="H269" s="64" t="s">
        <v>78</v>
      </c>
      <c r="I269" s="64" t="s">
        <v>22</v>
      </c>
      <c r="J269" s="64" t="s">
        <v>225</v>
      </c>
      <c r="K269" s="64" t="s">
        <v>24</v>
      </c>
      <c r="L269" s="65">
        <v>0.5</v>
      </c>
      <c r="M269" s="65">
        <v>0.5</v>
      </c>
      <c r="N269" s="65">
        <v>0.5</v>
      </c>
      <c r="O269" s="66">
        <v>45102.0</v>
      </c>
      <c r="P269" s="67">
        <v>1.8</v>
      </c>
      <c r="Q269" s="64" t="s">
        <v>25</v>
      </c>
      <c r="R269" s="68">
        <f t="shared" si="1"/>
        <v>-0.5</v>
      </c>
      <c r="S269" s="68">
        <f t="shared" si="4"/>
        <v>-0.3868816367</v>
      </c>
    </row>
    <row r="270">
      <c r="A270" s="64">
        <f t="shared" si="3"/>
        <v>269</v>
      </c>
      <c r="B270" s="64" t="s">
        <v>40</v>
      </c>
      <c r="C270" s="64" t="s">
        <v>2680</v>
      </c>
      <c r="D270" s="64" t="s">
        <v>5565</v>
      </c>
      <c r="E270" s="64" t="s">
        <v>2556</v>
      </c>
      <c r="F270" s="64">
        <v>0.0</v>
      </c>
      <c r="G270" s="64" t="s">
        <v>5698</v>
      </c>
      <c r="H270" s="64" t="s">
        <v>683</v>
      </c>
      <c r="I270" s="64" t="s">
        <v>22</v>
      </c>
      <c r="J270" s="64" t="s">
        <v>225</v>
      </c>
      <c r="K270" s="64" t="s">
        <v>24</v>
      </c>
      <c r="L270" s="65">
        <v>0.75</v>
      </c>
      <c r="M270" s="65">
        <v>0.49</v>
      </c>
      <c r="N270" s="65">
        <v>0.49</v>
      </c>
      <c r="O270" s="66">
        <v>45102.0</v>
      </c>
      <c r="P270" s="64">
        <v>2.025</v>
      </c>
      <c r="Q270" s="64" t="s">
        <v>79</v>
      </c>
      <c r="R270" s="68">
        <f t="shared" si="1"/>
        <v>-0.245</v>
      </c>
      <c r="S270" s="68">
        <f t="shared" si="4"/>
        <v>-0.6318816367</v>
      </c>
    </row>
    <row r="271">
      <c r="A271" s="64">
        <f t="shared" si="3"/>
        <v>270</v>
      </c>
      <c r="B271" s="64" t="s">
        <v>19</v>
      </c>
      <c r="C271" s="64" t="s">
        <v>2681</v>
      </c>
      <c r="D271" s="64" t="s">
        <v>5564</v>
      </c>
      <c r="E271" s="64" t="s">
        <v>2556</v>
      </c>
      <c r="F271" s="64">
        <v>-1.0</v>
      </c>
      <c r="G271" s="64" t="s">
        <v>5701</v>
      </c>
      <c r="H271" s="64" t="s">
        <v>78</v>
      </c>
      <c r="I271" s="64" t="s">
        <v>22</v>
      </c>
      <c r="J271" s="64" t="s">
        <v>225</v>
      </c>
      <c r="K271" s="64" t="s">
        <v>24</v>
      </c>
      <c r="L271" s="65">
        <v>0.25</v>
      </c>
      <c r="M271" s="65">
        <v>0.5</v>
      </c>
      <c r="N271" s="65">
        <v>0.5</v>
      </c>
      <c r="O271" s="66">
        <v>45102.0</v>
      </c>
      <c r="P271" s="64">
        <v>1.875</v>
      </c>
      <c r="Q271" s="64" t="s">
        <v>30</v>
      </c>
      <c r="R271" s="68">
        <f t="shared" si="1"/>
        <v>0.21875</v>
      </c>
      <c r="S271" s="68">
        <f t="shared" si="4"/>
        <v>-0.4131316367</v>
      </c>
    </row>
    <row r="272">
      <c r="A272" s="64">
        <f t="shared" si="3"/>
        <v>271</v>
      </c>
      <c r="B272" s="64" t="s">
        <v>19</v>
      </c>
      <c r="C272" s="64" t="s">
        <v>2682</v>
      </c>
      <c r="D272" s="64"/>
      <c r="E272" s="64"/>
      <c r="F272" s="64" t="s">
        <v>2613</v>
      </c>
      <c r="G272" s="64" t="s">
        <v>2613</v>
      </c>
      <c r="H272" s="64" t="s">
        <v>2453</v>
      </c>
      <c r="I272" s="64" t="s">
        <v>598</v>
      </c>
      <c r="J272" s="64" t="s">
        <v>2415</v>
      </c>
      <c r="K272" s="64" t="s">
        <v>39</v>
      </c>
      <c r="L272" s="65">
        <v>9.5</v>
      </c>
      <c r="M272" s="65">
        <v>0.6</v>
      </c>
      <c r="N272" s="65">
        <v>0.6</v>
      </c>
      <c r="O272" s="66">
        <v>45104.0</v>
      </c>
      <c r="P272" s="67">
        <v>1.85</v>
      </c>
      <c r="Q272" s="64" t="s">
        <v>33</v>
      </c>
      <c r="R272" s="68">
        <f t="shared" si="1"/>
        <v>0.51</v>
      </c>
      <c r="S272" s="68">
        <f t="shared" si="4"/>
        <v>0.09686836333</v>
      </c>
    </row>
    <row r="273">
      <c r="A273" s="64">
        <f t="shared" si="3"/>
        <v>272</v>
      </c>
      <c r="B273" s="64" t="s">
        <v>19</v>
      </c>
      <c r="C273" s="64" t="s">
        <v>2683</v>
      </c>
      <c r="D273" s="64"/>
      <c r="E273" s="64"/>
      <c r="F273" s="64" t="s">
        <v>2684</v>
      </c>
      <c r="G273" s="64" t="s">
        <v>2684</v>
      </c>
      <c r="H273" s="64" t="s">
        <v>463</v>
      </c>
      <c r="I273" s="64" t="s">
        <v>22</v>
      </c>
      <c r="J273" s="64" t="s">
        <v>892</v>
      </c>
      <c r="K273" s="64" t="s">
        <v>1851</v>
      </c>
      <c r="L273" s="65">
        <v>0.0</v>
      </c>
      <c r="M273" s="65">
        <v>0.06</v>
      </c>
      <c r="N273" s="65">
        <v>0.06</v>
      </c>
      <c r="O273" s="66">
        <v>45104.0</v>
      </c>
      <c r="P273" s="64">
        <v>1.825</v>
      </c>
      <c r="Q273" s="64" t="s">
        <v>25</v>
      </c>
      <c r="R273" s="68">
        <f t="shared" si="1"/>
        <v>-0.06</v>
      </c>
      <c r="S273" s="68">
        <f t="shared" si="4"/>
        <v>0.03686836333</v>
      </c>
    </row>
    <row r="274">
      <c r="A274" s="64">
        <f t="shared" si="3"/>
        <v>273</v>
      </c>
      <c r="B274" s="64" t="s">
        <v>19</v>
      </c>
      <c r="C274" s="64" t="s">
        <v>2685</v>
      </c>
      <c r="D274" s="64" t="s">
        <v>5565</v>
      </c>
      <c r="E274" s="64" t="s">
        <v>2573</v>
      </c>
      <c r="F274" s="64">
        <f>1</f>
        <v>1</v>
      </c>
      <c r="G274" s="64" t="s">
        <v>5740</v>
      </c>
      <c r="H274" s="64" t="s">
        <v>82</v>
      </c>
      <c r="I274" s="64" t="s">
        <v>22</v>
      </c>
      <c r="J274" s="64" t="s">
        <v>892</v>
      </c>
      <c r="K274" s="64" t="s">
        <v>24</v>
      </c>
      <c r="L274" s="65">
        <v>0.0</v>
      </c>
      <c r="M274" s="65">
        <v>0.6</v>
      </c>
      <c r="N274" s="65">
        <f>0.615*0.6</f>
        <v>0.369</v>
      </c>
      <c r="O274" s="66">
        <v>45104.0</v>
      </c>
      <c r="P274" s="67">
        <v>1.8</v>
      </c>
      <c r="Q274" s="64" t="s">
        <v>33</v>
      </c>
      <c r="R274" s="68">
        <f t="shared" si="1"/>
        <v>0.2952</v>
      </c>
      <c r="S274" s="68">
        <f t="shared" si="4"/>
        <v>0.3320683633</v>
      </c>
    </row>
    <row r="275">
      <c r="A275" s="64">
        <f t="shared" si="3"/>
        <v>274</v>
      </c>
      <c r="B275" s="64" t="s">
        <v>19</v>
      </c>
      <c r="C275" s="64" t="s">
        <v>2686</v>
      </c>
      <c r="D275" s="64"/>
      <c r="E275" s="64"/>
      <c r="F275" s="64" t="s">
        <v>2608</v>
      </c>
      <c r="G275" s="64" t="s">
        <v>2608</v>
      </c>
      <c r="H275" s="64" t="s">
        <v>2380</v>
      </c>
      <c r="I275" s="64" t="s">
        <v>22</v>
      </c>
      <c r="J275" s="64" t="s">
        <v>440</v>
      </c>
      <c r="K275" s="64" t="s">
        <v>39</v>
      </c>
      <c r="L275" s="65">
        <v>0.75</v>
      </c>
      <c r="M275" s="65">
        <v>0.7</v>
      </c>
      <c r="N275" s="65">
        <v>0.7</v>
      </c>
      <c r="O275" s="66">
        <v>45105.0</v>
      </c>
      <c r="P275" s="64">
        <v>1.725</v>
      </c>
      <c r="Q275" s="64" t="s">
        <v>30</v>
      </c>
      <c r="R275" s="68">
        <f t="shared" si="1"/>
        <v>0.25375</v>
      </c>
      <c r="S275" s="68">
        <f t="shared" si="4"/>
        <v>0.5858183633</v>
      </c>
    </row>
    <row r="276">
      <c r="A276" s="64">
        <f t="shared" si="3"/>
        <v>275</v>
      </c>
      <c r="B276" s="64" t="s">
        <v>19</v>
      </c>
      <c r="C276" s="64" t="s">
        <v>2687</v>
      </c>
      <c r="D276" s="64" t="s">
        <v>5564</v>
      </c>
      <c r="E276" s="64" t="s">
        <v>2660</v>
      </c>
      <c r="F276" s="64">
        <v>0.0</v>
      </c>
      <c r="G276" s="64" t="s">
        <v>5700</v>
      </c>
      <c r="H276" s="64" t="s">
        <v>28</v>
      </c>
      <c r="I276" s="64" t="s">
        <v>22</v>
      </c>
      <c r="J276" s="64" t="s">
        <v>892</v>
      </c>
      <c r="K276" s="64" t="s">
        <v>2688</v>
      </c>
      <c r="L276" s="65">
        <v>0.0</v>
      </c>
      <c r="M276" s="65">
        <v>0.7</v>
      </c>
      <c r="N276" s="65">
        <f>0.385*0.7</f>
        <v>0.2695</v>
      </c>
      <c r="O276" s="66">
        <v>45105.0</v>
      </c>
      <c r="P276" s="67">
        <v>1.95</v>
      </c>
      <c r="Q276" s="64" t="s">
        <v>25</v>
      </c>
      <c r="R276" s="68">
        <f t="shared" si="1"/>
        <v>-0.2695</v>
      </c>
      <c r="S276" s="68">
        <f t="shared" si="4"/>
        <v>0.3163183633</v>
      </c>
    </row>
    <row r="277">
      <c r="A277" s="64">
        <f t="shared" si="3"/>
        <v>276</v>
      </c>
      <c r="B277" s="64" t="s">
        <v>19</v>
      </c>
      <c r="C277" s="64" t="s">
        <v>2689</v>
      </c>
      <c r="D277" s="64" t="s">
        <v>5565</v>
      </c>
      <c r="E277" s="64" t="s">
        <v>2660</v>
      </c>
      <c r="F277" s="64">
        <v>-1.0</v>
      </c>
      <c r="G277" s="64" t="s">
        <v>5755</v>
      </c>
      <c r="H277" s="64" t="s">
        <v>28</v>
      </c>
      <c r="I277" s="64" t="s">
        <v>22</v>
      </c>
      <c r="J277" s="64" t="s">
        <v>892</v>
      </c>
      <c r="K277" s="64" t="s">
        <v>24</v>
      </c>
      <c r="L277" s="65">
        <v>0.0</v>
      </c>
      <c r="M277" s="65">
        <v>0.7</v>
      </c>
      <c r="N277" s="65">
        <v>0.7</v>
      </c>
      <c r="O277" s="66">
        <v>45105.0</v>
      </c>
      <c r="P277" s="64">
        <v>1.725</v>
      </c>
      <c r="Q277" s="64" t="s">
        <v>25</v>
      </c>
      <c r="R277" s="68">
        <f t="shared" si="1"/>
        <v>-0.7</v>
      </c>
      <c r="S277" s="68">
        <f t="shared" si="4"/>
        <v>-0.3836816367</v>
      </c>
    </row>
    <row r="278">
      <c r="A278" s="64">
        <f t="shared" si="3"/>
        <v>277</v>
      </c>
      <c r="B278" s="64" t="s">
        <v>19</v>
      </c>
      <c r="C278" s="64" t="s">
        <v>2690</v>
      </c>
      <c r="D278" s="64"/>
      <c r="E278" s="64"/>
      <c r="F278" s="64" t="s">
        <v>2615</v>
      </c>
      <c r="G278" s="64" t="s">
        <v>2615</v>
      </c>
      <c r="H278" s="64" t="s">
        <v>463</v>
      </c>
      <c r="I278" s="64" t="s">
        <v>22</v>
      </c>
      <c r="J278" s="64" t="s">
        <v>29</v>
      </c>
      <c r="K278" s="64" t="s">
        <v>24</v>
      </c>
      <c r="L278" s="65">
        <v>-5.25</v>
      </c>
      <c r="M278" s="65">
        <v>0.7</v>
      </c>
      <c r="N278" s="65">
        <f>0.179*0.7</f>
        <v>0.1253</v>
      </c>
      <c r="O278" s="66">
        <v>45105.0</v>
      </c>
      <c r="P278" s="67">
        <v>1.8</v>
      </c>
      <c r="Q278" s="64" t="s">
        <v>33</v>
      </c>
      <c r="R278" s="68">
        <f t="shared" si="1"/>
        <v>0.10024</v>
      </c>
      <c r="S278" s="68">
        <f t="shared" si="4"/>
        <v>-0.2834416367</v>
      </c>
    </row>
    <row r="279">
      <c r="A279" s="64">
        <f t="shared" si="3"/>
        <v>278</v>
      </c>
      <c r="B279" s="64" t="s">
        <v>19</v>
      </c>
      <c r="C279" s="96" t="s">
        <v>2691</v>
      </c>
      <c r="D279" s="187"/>
      <c r="E279" s="187"/>
      <c r="F279" s="187" t="s">
        <v>2615</v>
      </c>
      <c r="G279" s="64" t="s">
        <v>2615</v>
      </c>
      <c r="H279" s="64" t="s">
        <v>463</v>
      </c>
      <c r="I279" s="64" t="s">
        <v>22</v>
      </c>
      <c r="J279" s="64" t="s">
        <v>29</v>
      </c>
      <c r="K279" s="64" t="s">
        <v>24</v>
      </c>
      <c r="L279" s="65">
        <v>-5.0</v>
      </c>
      <c r="M279" s="65">
        <v>0.7</v>
      </c>
      <c r="N279" s="65">
        <f>0.154*0.7</f>
        <v>0.1078</v>
      </c>
      <c r="O279" s="66">
        <v>45105.0</v>
      </c>
      <c r="P279" s="67">
        <v>2.0</v>
      </c>
      <c r="Q279" s="64" t="s">
        <v>33</v>
      </c>
      <c r="R279" s="68">
        <f t="shared" si="1"/>
        <v>0.1078</v>
      </c>
      <c r="S279" s="68">
        <f t="shared" si="4"/>
        <v>-0.1756416367</v>
      </c>
    </row>
    <row r="280">
      <c r="A280" s="64">
        <f t="shared" si="3"/>
        <v>279</v>
      </c>
      <c r="B280" s="64" t="s">
        <v>19</v>
      </c>
      <c r="C280" s="64" t="s">
        <v>2692</v>
      </c>
      <c r="D280" s="64" t="s">
        <v>5565</v>
      </c>
      <c r="E280" s="64" t="s">
        <v>2554</v>
      </c>
      <c r="F280" s="64">
        <v>0.0</v>
      </c>
      <c r="G280" s="64" t="s">
        <v>5735</v>
      </c>
      <c r="H280" s="64" t="s">
        <v>82</v>
      </c>
      <c r="I280" s="64" t="s">
        <v>22</v>
      </c>
      <c r="J280" s="64" t="s">
        <v>892</v>
      </c>
      <c r="K280" s="64" t="s">
        <v>1851</v>
      </c>
      <c r="L280" s="65">
        <v>0.0</v>
      </c>
      <c r="M280" s="65">
        <v>0.7</v>
      </c>
      <c r="N280" s="65">
        <f>0.641*0.7</f>
        <v>0.4487</v>
      </c>
      <c r="O280" s="66">
        <v>45105.0</v>
      </c>
      <c r="P280" s="67">
        <f>560/350</f>
        <v>1.6</v>
      </c>
      <c r="Q280" s="64" t="s">
        <v>33</v>
      </c>
      <c r="R280" s="68">
        <f t="shared" si="1"/>
        <v>0.26922</v>
      </c>
      <c r="S280" s="68">
        <f t="shared" si="4"/>
        <v>0.09357836333</v>
      </c>
    </row>
    <row r="281">
      <c r="A281" s="64">
        <f t="shared" si="3"/>
        <v>280</v>
      </c>
      <c r="B281" s="64" t="s">
        <v>40</v>
      </c>
      <c r="C281" s="64" t="s">
        <v>2693</v>
      </c>
      <c r="D281" s="64"/>
      <c r="E281" s="64"/>
      <c r="F281" s="64" t="s">
        <v>2618</v>
      </c>
      <c r="G281" s="64" t="s">
        <v>5721</v>
      </c>
      <c r="H281" s="64" t="s">
        <v>82</v>
      </c>
      <c r="I281" s="64" t="s">
        <v>22</v>
      </c>
      <c r="J281" s="64" t="s">
        <v>440</v>
      </c>
      <c r="K281" s="64" t="s">
        <v>39</v>
      </c>
      <c r="L281" s="65">
        <v>4.75</v>
      </c>
      <c r="M281" s="65">
        <v>0.7</v>
      </c>
      <c r="N281" s="65">
        <v>0.7</v>
      </c>
      <c r="O281" s="66">
        <v>45105.0</v>
      </c>
      <c r="P281" s="64">
        <v>1.775</v>
      </c>
      <c r="Q281" s="64" t="s">
        <v>30</v>
      </c>
      <c r="R281" s="68">
        <f t="shared" si="1"/>
        <v>0.27125</v>
      </c>
      <c r="S281" s="68">
        <f t="shared" si="4"/>
        <v>0.3648283633</v>
      </c>
    </row>
    <row r="282">
      <c r="A282" s="64">
        <f t="shared" si="3"/>
        <v>281</v>
      </c>
      <c r="B282" s="64" t="s">
        <v>19</v>
      </c>
      <c r="C282" s="64" t="s">
        <v>2694</v>
      </c>
      <c r="D282" s="64" t="s">
        <v>5565</v>
      </c>
      <c r="E282" s="64" t="s">
        <v>2556</v>
      </c>
      <c r="F282" s="64">
        <v>0.0</v>
      </c>
      <c r="G282" s="64" t="s">
        <v>5698</v>
      </c>
      <c r="H282" s="64" t="s">
        <v>82</v>
      </c>
      <c r="I282" s="64" t="s">
        <v>22</v>
      </c>
      <c r="J282" s="64" t="s">
        <v>225</v>
      </c>
      <c r="K282" s="64" t="s">
        <v>24</v>
      </c>
      <c r="L282" s="65">
        <v>0.75</v>
      </c>
      <c r="M282" s="65">
        <v>0.8</v>
      </c>
      <c r="N282" s="65">
        <v>0.8</v>
      </c>
      <c r="O282" s="66">
        <v>45106.0</v>
      </c>
      <c r="P282" s="67">
        <v>1.8</v>
      </c>
      <c r="Q282" s="64" t="s">
        <v>79</v>
      </c>
      <c r="R282" s="68">
        <f t="shared" si="1"/>
        <v>-0.4</v>
      </c>
      <c r="S282" s="68">
        <f t="shared" si="4"/>
        <v>-0.03517163667</v>
      </c>
    </row>
    <row r="283">
      <c r="A283" s="64">
        <f t="shared" si="3"/>
        <v>282</v>
      </c>
      <c r="B283" s="64" t="s">
        <v>40</v>
      </c>
      <c r="C283" s="64" t="s">
        <v>2695</v>
      </c>
      <c r="D283" s="64"/>
      <c r="E283" s="64"/>
      <c r="F283" s="64" t="s">
        <v>2618</v>
      </c>
      <c r="G283" s="64" t="s">
        <v>5721</v>
      </c>
      <c r="H283" s="64" t="s">
        <v>82</v>
      </c>
      <c r="I283" s="64" t="s">
        <v>22</v>
      </c>
      <c r="J283" s="64" t="s">
        <v>440</v>
      </c>
      <c r="K283" s="64" t="s">
        <v>39</v>
      </c>
      <c r="L283" s="65">
        <v>2.0</v>
      </c>
      <c r="M283" s="65">
        <v>0.8</v>
      </c>
      <c r="N283" s="65">
        <f>(1-0.231)*0.8</f>
        <v>0.6152</v>
      </c>
      <c r="O283" s="66">
        <v>45106.0</v>
      </c>
      <c r="P283" s="64">
        <v>2.025</v>
      </c>
      <c r="Q283" s="64" t="s">
        <v>25</v>
      </c>
      <c r="R283" s="68">
        <f t="shared" si="1"/>
        <v>-0.6152</v>
      </c>
      <c r="S283" s="68">
        <f t="shared" si="4"/>
        <v>-0.6503716367</v>
      </c>
    </row>
    <row r="284">
      <c r="A284" s="64">
        <f t="shared" si="3"/>
        <v>283</v>
      </c>
      <c r="B284" s="64" t="s">
        <v>40</v>
      </c>
      <c r="C284" s="64" t="s">
        <v>2696</v>
      </c>
      <c r="D284" s="64"/>
      <c r="E284" s="64"/>
      <c r="F284" s="64" t="s">
        <v>2618</v>
      </c>
      <c r="G284" s="64" t="s">
        <v>5721</v>
      </c>
      <c r="H284" s="64" t="s">
        <v>82</v>
      </c>
      <c r="I284" s="64" t="s">
        <v>22</v>
      </c>
      <c r="J284" s="64" t="s">
        <v>440</v>
      </c>
      <c r="K284" s="64" t="s">
        <v>39</v>
      </c>
      <c r="L284" s="65">
        <v>1.75</v>
      </c>
      <c r="M284" s="65">
        <v>0.8</v>
      </c>
      <c r="N284" s="65">
        <f>0.231*0.8</f>
        <v>0.1848</v>
      </c>
      <c r="O284" s="66">
        <v>45106.0</v>
      </c>
      <c r="P284" s="64">
        <v>1.725</v>
      </c>
      <c r="Q284" s="64" t="s">
        <v>25</v>
      </c>
      <c r="R284" s="68">
        <f t="shared" si="1"/>
        <v>-0.1848</v>
      </c>
      <c r="S284" s="68">
        <f t="shared" si="4"/>
        <v>-0.8351716367</v>
      </c>
    </row>
    <row r="285">
      <c r="A285" s="64">
        <f t="shared" si="3"/>
        <v>284</v>
      </c>
      <c r="B285" s="64" t="s">
        <v>19</v>
      </c>
      <c r="C285" s="64" t="s">
        <v>2697</v>
      </c>
      <c r="D285" s="64" t="s">
        <v>5564</v>
      </c>
      <c r="E285" s="64" t="s">
        <v>2660</v>
      </c>
      <c r="F285" s="64">
        <v>-1.0</v>
      </c>
      <c r="G285" s="64" t="s">
        <v>5756</v>
      </c>
      <c r="H285" s="64" t="s">
        <v>78</v>
      </c>
      <c r="I285" s="64" t="s">
        <v>22</v>
      </c>
      <c r="J285" s="64" t="s">
        <v>892</v>
      </c>
      <c r="K285" s="64" t="s">
        <v>24</v>
      </c>
      <c r="L285" s="65">
        <v>0.0</v>
      </c>
      <c r="M285" s="65">
        <v>0.8</v>
      </c>
      <c r="N285" s="65">
        <v>0.8</v>
      </c>
      <c r="O285" s="66">
        <v>45106.0</v>
      </c>
      <c r="P285" s="67">
        <v>2.1</v>
      </c>
      <c r="Q285" s="64" t="s">
        <v>25</v>
      </c>
      <c r="R285" s="68">
        <f t="shared" si="1"/>
        <v>-0.8</v>
      </c>
      <c r="S285" s="68">
        <f t="shared" si="4"/>
        <v>-1.635171637</v>
      </c>
    </row>
    <row r="286">
      <c r="A286" s="64">
        <f t="shared" si="3"/>
        <v>285</v>
      </c>
      <c r="B286" s="64" t="s">
        <v>19</v>
      </c>
      <c r="C286" s="64" t="s">
        <v>2698</v>
      </c>
      <c r="D286" s="64" t="s">
        <v>5564</v>
      </c>
      <c r="E286" s="64" t="s">
        <v>2660</v>
      </c>
      <c r="F286" s="64">
        <v>0.0</v>
      </c>
      <c r="G286" s="64" t="s">
        <v>5757</v>
      </c>
      <c r="H286" s="64" t="s">
        <v>319</v>
      </c>
      <c r="I286" s="64" t="s">
        <v>22</v>
      </c>
      <c r="J286" s="64" t="s">
        <v>892</v>
      </c>
      <c r="K286" s="64" t="s">
        <v>24</v>
      </c>
      <c r="L286" s="65">
        <v>0.0</v>
      </c>
      <c r="M286" s="65">
        <v>0.8</v>
      </c>
      <c r="N286" s="65">
        <v>0.8</v>
      </c>
      <c r="O286" s="66">
        <v>45106.0</v>
      </c>
      <c r="P286" s="67">
        <v>1.9</v>
      </c>
      <c r="Q286" s="64" t="s">
        <v>25</v>
      </c>
      <c r="R286" s="68">
        <f t="shared" si="1"/>
        <v>-0.8</v>
      </c>
      <c r="S286" s="68">
        <f t="shared" si="4"/>
        <v>-2.435171637</v>
      </c>
    </row>
    <row r="287">
      <c r="A287" s="64">
        <f t="shared" si="3"/>
        <v>286</v>
      </c>
      <c r="B287" s="64" t="s">
        <v>40</v>
      </c>
      <c r="C287" s="64" t="s">
        <v>2699</v>
      </c>
      <c r="D287" s="64"/>
      <c r="E287" s="64"/>
      <c r="F287" s="64" t="s">
        <v>598</v>
      </c>
      <c r="G287" s="64" t="s">
        <v>598</v>
      </c>
      <c r="H287" s="64" t="s">
        <v>82</v>
      </c>
      <c r="I287" s="64" t="s">
        <v>598</v>
      </c>
      <c r="J287" s="64" t="s">
        <v>29</v>
      </c>
      <c r="K287" s="64" t="s">
        <v>1522</v>
      </c>
      <c r="L287" s="65">
        <v>-3.0</v>
      </c>
      <c r="M287" s="65">
        <v>0.8</v>
      </c>
      <c r="N287" s="65">
        <v>0.12</v>
      </c>
      <c r="O287" s="66">
        <v>45106.0</v>
      </c>
      <c r="P287" s="67">
        <v>1.9</v>
      </c>
      <c r="Q287" s="64" t="s">
        <v>25</v>
      </c>
      <c r="R287" s="68">
        <f t="shared" si="1"/>
        <v>-0.12</v>
      </c>
      <c r="S287" s="68">
        <f t="shared" si="4"/>
        <v>-2.555171637</v>
      </c>
    </row>
    <row r="288">
      <c r="A288" s="64">
        <f t="shared" si="3"/>
        <v>287</v>
      </c>
      <c r="B288" s="64" t="s">
        <v>40</v>
      </c>
      <c r="C288" s="64" t="s">
        <v>2700</v>
      </c>
      <c r="D288" s="64" t="s">
        <v>5564</v>
      </c>
      <c r="E288" s="64" t="s">
        <v>2556</v>
      </c>
      <c r="F288" s="64">
        <v>0.0</v>
      </c>
      <c r="G288" s="64" t="s">
        <v>5691</v>
      </c>
      <c r="H288" s="64" t="s">
        <v>794</v>
      </c>
      <c r="I288" s="64" t="s">
        <v>22</v>
      </c>
      <c r="J288" s="64" t="s">
        <v>225</v>
      </c>
      <c r="K288" s="64" t="s">
        <v>24</v>
      </c>
      <c r="L288" s="65">
        <v>0.25</v>
      </c>
      <c r="M288" s="65">
        <v>0.9</v>
      </c>
      <c r="N288" s="65">
        <f>0.268*0.9</f>
        <v>0.2412</v>
      </c>
      <c r="O288" s="66">
        <v>45107.0</v>
      </c>
      <c r="P288" s="64">
        <f>774/450</f>
        <v>1.72</v>
      </c>
      <c r="Q288" s="64" t="s">
        <v>33</v>
      </c>
      <c r="R288" s="68">
        <f t="shared" si="1"/>
        <v>0.173664</v>
      </c>
      <c r="S288" s="68">
        <f t="shared" si="4"/>
        <v>-2.381507637</v>
      </c>
    </row>
    <row r="289">
      <c r="A289" s="64">
        <f t="shared" si="3"/>
        <v>288</v>
      </c>
      <c r="B289" s="64" t="s">
        <v>40</v>
      </c>
      <c r="C289" s="64" t="s">
        <v>2701</v>
      </c>
      <c r="D289" s="64" t="s">
        <v>5564</v>
      </c>
      <c r="E289" s="64" t="s">
        <v>2702</v>
      </c>
      <c r="F289" s="64">
        <f t="shared" ref="F289:F291" si="8">1</f>
        <v>1</v>
      </c>
      <c r="G289" s="64" t="s">
        <v>5727</v>
      </c>
      <c r="H289" s="64" t="s">
        <v>794</v>
      </c>
      <c r="I289" s="64" t="s">
        <v>22</v>
      </c>
      <c r="J289" s="64" t="s">
        <v>892</v>
      </c>
      <c r="K289" s="64" t="s">
        <v>24</v>
      </c>
      <c r="L289" s="65">
        <v>0.0</v>
      </c>
      <c r="M289" s="65">
        <v>0.9</v>
      </c>
      <c r="N289" s="65">
        <f>0.146*0.9</f>
        <v>0.1314</v>
      </c>
      <c r="O289" s="66">
        <v>45107.0</v>
      </c>
      <c r="P289" s="64">
        <v>1.825</v>
      </c>
      <c r="Q289" s="64" t="s">
        <v>70</v>
      </c>
      <c r="R289" s="68">
        <f t="shared" si="1"/>
        <v>0</v>
      </c>
      <c r="S289" s="68">
        <f t="shared" si="4"/>
        <v>-2.381507637</v>
      </c>
    </row>
    <row r="290">
      <c r="A290" s="64">
        <f t="shared" si="3"/>
        <v>289</v>
      </c>
      <c r="B290" s="64" t="s">
        <v>40</v>
      </c>
      <c r="C290" s="64" t="s">
        <v>2703</v>
      </c>
      <c r="D290" s="64" t="s">
        <v>5564</v>
      </c>
      <c r="E290" s="64" t="s">
        <v>2702</v>
      </c>
      <c r="F290" s="64">
        <f t="shared" si="8"/>
        <v>1</v>
      </c>
      <c r="G290" s="64" t="s">
        <v>5727</v>
      </c>
      <c r="H290" s="64" t="s">
        <v>794</v>
      </c>
      <c r="I290" s="64" t="s">
        <v>22</v>
      </c>
      <c r="J290" s="64" t="s">
        <v>1150</v>
      </c>
      <c r="K290" s="64" t="s">
        <v>24</v>
      </c>
      <c r="L290" s="65">
        <v>0.0</v>
      </c>
      <c r="M290" s="65">
        <v>0.9</v>
      </c>
      <c r="N290" s="65">
        <f>0.585*0.9</f>
        <v>0.5265</v>
      </c>
      <c r="O290" s="66">
        <v>45107.0</v>
      </c>
      <c r="P290" s="67">
        <v>1.7</v>
      </c>
      <c r="Q290" s="64" t="s">
        <v>70</v>
      </c>
      <c r="R290" s="68">
        <f t="shared" si="1"/>
        <v>0</v>
      </c>
      <c r="S290" s="68">
        <f t="shared" si="4"/>
        <v>-2.381507637</v>
      </c>
    </row>
    <row r="291">
      <c r="A291" s="64">
        <f t="shared" si="3"/>
        <v>290</v>
      </c>
      <c r="B291" s="64" t="s">
        <v>40</v>
      </c>
      <c r="C291" s="64" t="s">
        <v>2704</v>
      </c>
      <c r="D291" s="64" t="s">
        <v>5564</v>
      </c>
      <c r="E291" s="64" t="s">
        <v>2556</v>
      </c>
      <c r="F291" s="64">
        <f t="shared" si="8"/>
        <v>1</v>
      </c>
      <c r="G291" s="64" t="s">
        <v>5734</v>
      </c>
      <c r="H291" s="64" t="s">
        <v>794</v>
      </c>
      <c r="I291" s="64" t="s">
        <v>22</v>
      </c>
      <c r="J291" s="64" t="s">
        <v>225</v>
      </c>
      <c r="K291" s="64" t="s">
        <v>2705</v>
      </c>
      <c r="L291" s="65">
        <v>1.25</v>
      </c>
      <c r="M291" s="65">
        <v>0.9</v>
      </c>
      <c r="N291" s="65">
        <v>0.9</v>
      </c>
      <c r="O291" s="66">
        <v>45107.0</v>
      </c>
      <c r="P291" s="67">
        <v>1.4385</v>
      </c>
      <c r="Q291" s="64" t="s">
        <v>33</v>
      </c>
      <c r="R291" s="68">
        <f t="shared" si="1"/>
        <v>0.39465</v>
      </c>
      <c r="S291" s="68">
        <f t="shared" si="4"/>
        <v>-1.986857637</v>
      </c>
    </row>
    <row r="292">
      <c r="A292" s="64">
        <f t="shared" si="3"/>
        <v>291</v>
      </c>
      <c r="B292" s="64" t="s">
        <v>19</v>
      </c>
      <c r="C292" s="64" t="s">
        <v>2706</v>
      </c>
      <c r="D292" s="64" t="s">
        <v>5565</v>
      </c>
      <c r="E292" s="64" t="s">
        <v>2556</v>
      </c>
      <c r="F292" s="64">
        <v>0.0</v>
      </c>
      <c r="G292" s="64" t="s">
        <v>5698</v>
      </c>
      <c r="H292" s="64" t="s">
        <v>82</v>
      </c>
      <c r="I292" s="64" t="s">
        <v>22</v>
      </c>
      <c r="J292" s="64" t="s">
        <v>225</v>
      </c>
      <c r="K292" s="64" t="s">
        <v>1522</v>
      </c>
      <c r="L292" s="65">
        <v>0.75</v>
      </c>
      <c r="M292" s="65">
        <v>0.9</v>
      </c>
      <c r="N292" s="65">
        <f>0.22*0.9</f>
        <v>0.198</v>
      </c>
      <c r="O292" s="66">
        <v>45107.0</v>
      </c>
      <c r="P292" s="67">
        <v>1.8</v>
      </c>
      <c r="Q292" s="64" t="s">
        <v>25</v>
      </c>
      <c r="R292" s="68">
        <f t="shared" si="1"/>
        <v>-0.198</v>
      </c>
      <c r="S292" s="68">
        <f t="shared" si="4"/>
        <v>-2.184857637</v>
      </c>
    </row>
    <row r="293">
      <c r="A293" s="64">
        <f t="shared" si="3"/>
        <v>292</v>
      </c>
      <c r="B293" s="64" t="s">
        <v>19</v>
      </c>
      <c r="C293" s="64" t="s">
        <v>2707</v>
      </c>
      <c r="D293" s="64" t="s">
        <v>5564</v>
      </c>
      <c r="E293" s="64" t="s">
        <v>2556</v>
      </c>
      <c r="F293" s="64">
        <v>-2.0</v>
      </c>
      <c r="G293" s="64" t="s">
        <v>5758</v>
      </c>
      <c r="H293" s="64" t="s">
        <v>372</v>
      </c>
      <c r="I293" s="64" t="s">
        <v>22</v>
      </c>
      <c r="J293" s="64" t="s">
        <v>225</v>
      </c>
      <c r="K293" s="64" t="s">
        <v>1803</v>
      </c>
      <c r="L293" s="65">
        <v>0.25</v>
      </c>
      <c r="M293" s="65">
        <v>0.9</v>
      </c>
      <c r="N293" s="65">
        <v>0.9</v>
      </c>
      <c r="O293" s="66">
        <v>45107.0</v>
      </c>
      <c r="P293" s="67">
        <v>1.85</v>
      </c>
      <c r="Q293" s="64" t="s">
        <v>25</v>
      </c>
      <c r="R293" s="68">
        <f t="shared" si="1"/>
        <v>-0.9</v>
      </c>
      <c r="S293" s="68">
        <f t="shared" si="4"/>
        <v>-3.084857637</v>
      </c>
    </row>
    <row r="294">
      <c r="A294" s="64">
        <f t="shared" si="3"/>
        <v>293</v>
      </c>
      <c r="B294" s="64" t="s">
        <v>19</v>
      </c>
      <c r="C294" s="64" t="s">
        <v>2708</v>
      </c>
      <c r="D294" s="64" t="s">
        <v>5564</v>
      </c>
      <c r="E294" s="64" t="s">
        <v>2573</v>
      </c>
      <c r="F294" s="64">
        <v>0.0</v>
      </c>
      <c r="G294" s="64" t="s">
        <v>5754</v>
      </c>
      <c r="H294" s="64" t="s">
        <v>82</v>
      </c>
      <c r="I294" s="64" t="s">
        <v>22</v>
      </c>
      <c r="J294" s="64" t="s">
        <v>894</v>
      </c>
      <c r="K294" s="64" t="s">
        <v>1522</v>
      </c>
      <c r="L294" s="65">
        <v>-0.25</v>
      </c>
      <c r="M294" s="65">
        <v>0.9</v>
      </c>
      <c r="N294" s="65">
        <v>0.83</v>
      </c>
      <c r="O294" s="66">
        <v>45107.0</v>
      </c>
      <c r="P294" s="64">
        <v>1.85</v>
      </c>
      <c r="Q294" s="64" t="s">
        <v>79</v>
      </c>
      <c r="R294" s="68">
        <f t="shared" si="1"/>
        <v>-0.415</v>
      </c>
      <c r="S294" s="68">
        <f t="shared" si="4"/>
        <v>-3.499857637</v>
      </c>
    </row>
    <row r="295">
      <c r="A295" s="64">
        <f t="shared" si="3"/>
        <v>294</v>
      </c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5"/>
      <c r="M295" s="65"/>
      <c r="N295" s="65"/>
      <c r="O295" s="66"/>
      <c r="P295" s="64"/>
      <c r="Q295" s="64"/>
      <c r="R295" s="68" t="str">
        <f t="shared" si="1"/>
        <v/>
      </c>
      <c r="S295" s="68">
        <f t="shared" si="4"/>
        <v>-3.499857637</v>
      </c>
    </row>
    <row r="296">
      <c r="A296" s="64">
        <f t="shared" si="3"/>
        <v>295</v>
      </c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5"/>
      <c r="M296" s="65"/>
      <c r="N296" s="65"/>
      <c r="O296" s="66"/>
      <c r="P296" s="64"/>
      <c r="Q296" s="64"/>
      <c r="R296" s="68" t="str">
        <f t="shared" si="1"/>
        <v/>
      </c>
      <c r="S296" s="68">
        <f t="shared" si="4"/>
        <v>-3.499857637</v>
      </c>
    </row>
    <row r="297">
      <c r="A297" s="64">
        <f t="shared" si="3"/>
        <v>296</v>
      </c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5"/>
      <c r="M297" s="65"/>
      <c r="N297" s="65"/>
      <c r="O297" s="66"/>
      <c r="P297" s="64"/>
      <c r="Q297" s="64"/>
      <c r="R297" s="68" t="str">
        <f t="shared" si="1"/>
        <v/>
      </c>
      <c r="S297" s="68">
        <f t="shared" si="4"/>
        <v>-3.499857637</v>
      </c>
    </row>
    <row r="298">
      <c r="A298" s="64">
        <f t="shared" si="3"/>
        <v>297</v>
      </c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5"/>
      <c r="M298" s="65"/>
      <c r="N298" s="65"/>
      <c r="O298" s="66"/>
      <c r="P298" s="64"/>
      <c r="Q298" s="64"/>
      <c r="R298" s="68" t="str">
        <f t="shared" si="1"/>
        <v/>
      </c>
      <c r="S298" s="68">
        <f t="shared" si="4"/>
        <v>-3.499857637</v>
      </c>
    </row>
    <row r="299">
      <c r="A299" s="64">
        <f t="shared" si="3"/>
        <v>298</v>
      </c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5"/>
      <c r="M299" s="65"/>
      <c r="N299" s="65"/>
      <c r="O299" s="66"/>
      <c r="P299" s="64"/>
      <c r="Q299" s="64"/>
      <c r="R299" s="68" t="str">
        <f t="shared" si="1"/>
        <v/>
      </c>
      <c r="S299" s="68">
        <f t="shared" si="4"/>
        <v>-3.499857637</v>
      </c>
    </row>
    <row r="300">
      <c r="A300" s="64">
        <f t="shared" si="3"/>
        <v>299</v>
      </c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5"/>
      <c r="M300" s="65"/>
      <c r="N300" s="65"/>
      <c r="O300" s="66"/>
      <c r="P300" s="64"/>
      <c r="Q300" s="64"/>
      <c r="R300" s="68" t="str">
        <f t="shared" si="1"/>
        <v/>
      </c>
      <c r="S300" s="68">
        <f t="shared" si="4"/>
        <v>-3.499857637</v>
      </c>
    </row>
    <row r="301">
      <c r="A301" s="64">
        <f t="shared" si="3"/>
        <v>300</v>
      </c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5"/>
      <c r="M301" s="65"/>
      <c r="N301" s="65"/>
      <c r="O301" s="66"/>
      <c r="P301" s="64"/>
      <c r="Q301" s="64"/>
      <c r="R301" s="68" t="str">
        <f t="shared" si="1"/>
        <v/>
      </c>
      <c r="S301" s="68">
        <f t="shared" si="4"/>
        <v>-3.499857637</v>
      </c>
    </row>
    <row r="302">
      <c r="A302" s="64">
        <f t="shared" si="3"/>
        <v>301</v>
      </c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5"/>
      <c r="M302" s="65"/>
      <c r="N302" s="65"/>
      <c r="O302" s="66"/>
      <c r="P302" s="64"/>
      <c r="Q302" s="64"/>
      <c r="R302" s="68" t="str">
        <f t="shared" si="1"/>
        <v/>
      </c>
      <c r="S302" s="68">
        <f t="shared" si="4"/>
        <v>-3.499857637</v>
      </c>
    </row>
    <row r="303">
      <c r="A303" s="64">
        <f t="shared" si="3"/>
        <v>302</v>
      </c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5"/>
      <c r="M303" s="65"/>
      <c r="N303" s="65"/>
      <c r="O303" s="66"/>
      <c r="P303" s="64"/>
      <c r="Q303" s="64"/>
      <c r="R303" s="68" t="str">
        <f t="shared" si="1"/>
        <v/>
      </c>
      <c r="S303" s="68">
        <f t="shared" si="4"/>
        <v>-3.499857637</v>
      </c>
    </row>
    <row r="304">
      <c r="A304" s="64">
        <f t="shared" si="3"/>
        <v>303</v>
      </c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5"/>
      <c r="M304" s="65"/>
      <c r="N304" s="65"/>
      <c r="O304" s="66"/>
      <c r="P304" s="64"/>
      <c r="Q304" s="64"/>
      <c r="R304" s="68" t="str">
        <f t="shared" si="1"/>
        <v/>
      </c>
      <c r="S304" s="68">
        <f t="shared" si="4"/>
        <v>-3.499857637</v>
      </c>
    </row>
    <row r="305">
      <c r="A305" s="64">
        <f t="shared" si="3"/>
        <v>304</v>
      </c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5"/>
      <c r="M305" s="65"/>
      <c r="N305" s="65"/>
      <c r="O305" s="66"/>
      <c r="P305" s="64"/>
      <c r="Q305" s="64"/>
      <c r="R305" s="68" t="str">
        <f t="shared" si="1"/>
        <v/>
      </c>
      <c r="S305" s="68">
        <f t="shared" si="4"/>
        <v>-3.499857637</v>
      </c>
    </row>
    <row r="306">
      <c r="A306" s="64">
        <f t="shared" si="3"/>
        <v>305</v>
      </c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5"/>
      <c r="M306" s="65"/>
      <c r="N306" s="65"/>
      <c r="O306" s="66"/>
      <c r="P306" s="64"/>
      <c r="Q306" s="64"/>
      <c r="R306" s="68" t="str">
        <f t="shared" si="1"/>
        <v/>
      </c>
      <c r="S306" s="68">
        <f t="shared" si="4"/>
        <v>-3.499857637</v>
      </c>
    </row>
    <row r="307">
      <c r="A307" s="64">
        <f t="shared" si="3"/>
        <v>306</v>
      </c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5"/>
      <c r="M307" s="65"/>
      <c r="N307" s="65"/>
      <c r="O307" s="66"/>
      <c r="P307" s="64"/>
      <c r="Q307" s="64"/>
      <c r="R307" s="68" t="str">
        <f t="shared" si="1"/>
        <v/>
      </c>
      <c r="S307" s="68">
        <f t="shared" si="4"/>
        <v>-3.499857637</v>
      </c>
    </row>
    <row r="308">
      <c r="A308" s="64">
        <f t="shared" si="3"/>
        <v>307</v>
      </c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5"/>
      <c r="M308" s="65"/>
      <c r="N308" s="65"/>
      <c r="O308" s="66"/>
      <c r="P308" s="64"/>
      <c r="Q308" s="64"/>
      <c r="R308" s="68" t="str">
        <f t="shared" si="1"/>
        <v/>
      </c>
      <c r="S308" s="68">
        <f t="shared" si="4"/>
        <v>-3.499857637</v>
      </c>
    </row>
    <row r="309">
      <c r="A309" s="64">
        <f t="shared" si="3"/>
        <v>308</v>
      </c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5"/>
      <c r="M309" s="65"/>
      <c r="N309" s="65"/>
      <c r="O309" s="66"/>
      <c r="P309" s="64"/>
      <c r="Q309" s="64"/>
      <c r="R309" s="68" t="str">
        <f t="shared" si="1"/>
        <v/>
      </c>
      <c r="S309" s="68">
        <f t="shared" si="4"/>
        <v>-3.499857637</v>
      </c>
    </row>
    <row r="310">
      <c r="A310" s="64">
        <f t="shared" si="3"/>
        <v>309</v>
      </c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5"/>
      <c r="M310" s="65"/>
      <c r="N310" s="65"/>
      <c r="O310" s="66"/>
      <c r="P310" s="64"/>
      <c r="Q310" s="64"/>
      <c r="R310" s="68" t="str">
        <f t="shared" si="1"/>
        <v/>
      </c>
      <c r="S310" s="68">
        <f t="shared" si="4"/>
        <v>-3.499857637</v>
      </c>
    </row>
    <row r="311">
      <c r="A311" s="64">
        <f t="shared" si="3"/>
        <v>310</v>
      </c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5"/>
      <c r="M311" s="65"/>
      <c r="N311" s="65"/>
      <c r="O311" s="66"/>
      <c r="P311" s="64"/>
      <c r="Q311" s="64"/>
      <c r="R311" s="68" t="str">
        <f t="shared" si="1"/>
        <v/>
      </c>
      <c r="S311" s="68">
        <f t="shared" si="4"/>
        <v>-3.499857637</v>
      </c>
    </row>
    <row r="312">
      <c r="A312" s="64">
        <f t="shared" si="3"/>
        <v>311</v>
      </c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5"/>
      <c r="M312" s="65"/>
      <c r="N312" s="65"/>
      <c r="O312" s="66"/>
      <c r="P312" s="64"/>
      <c r="Q312" s="64"/>
      <c r="R312" s="68" t="str">
        <f t="shared" si="1"/>
        <v/>
      </c>
      <c r="S312" s="68">
        <f t="shared" si="4"/>
        <v>-3.499857637</v>
      </c>
    </row>
    <row r="313">
      <c r="A313" s="64">
        <f t="shared" si="3"/>
        <v>312</v>
      </c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5"/>
      <c r="M313" s="65"/>
      <c r="N313" s="65"/>
      <c r="O313" s="66"/>
      <c r="P313" s="64"/>
      <c r="Q313" s="64"/>
      <c r="R313" s="68" t="str">
        <f t="shared" si="1"/>
        <v/>
      </c>
      <c r="S313" s="68">
        <f t="shared" si="4"/>
        <v>-3.499857637</v>
      </c>
    </row>
    <row r="314">
      <c r="A314" s="64">
        <f t="shared" si="3"/>
        <v>313</v>
      </c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5"/>
      <c r="M314" s="65"/>
      <c r="N314" s="65"/>
      <c r="O314" s="66"/>
      <c r="P314" s="64"/>
      <c r="Q314" s="64"/>
      <c r="R314" s="68" t="str">
        <f t="shared" si="1"/>
        <v/>
      </c>
      <c r="S314" s="68">
        <f t="shared" si="4"/>
        <v>-3.499857637</v>
      </c>
    </row>
    <row r="315">
      <c r="A315" s="64">
        <f t="shared" si="3"/>
        <v>314</v>
      </c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5"/>
      <c r="M315" s="65"/>
      <c r="N315" s="65"/>
      <c r="O315" s="66"/>
      <c r="P315" s="64"/>
      <c r="Q315" s="64"/>
      <c r="R315" s="68" t="str">
        <f t="shared" si="1"/>
        <v/>
      </c>
      <c r="S315" s="68">
        <f t="shared" si="4"/>
        <v>-3.499857637</v>
      </c>
    </row>
    <row r="316">
      <c r="A316" s="64">
        <f t="shared" si="3"/>
        <v>315</v>
      </c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5"/>
      <c r="M316" s="65"/>
      <c r="N316" s="65"/>
      <c r="O316" s="66"/>
      <c r="P316" s="64"/>
      <c r="Q316" s="64"/>
      <c r="R316" s="68"/>
      <c r="S316" s="188"/>
    </row>
    <row r="317">
      <c r="A317" s="64">
        <f t="shared" si="3"/>
        <v>316</v>
      </c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5"/>
      <c r="M317" s="65"/>
      <c r="N317" s="65"/>
      <c r="O317" s="66"/>
      <c r="P317" s="64"/>
      <c r="Q317" s="64"/>
      <c r="R317" s="68"/>
      <c r="S317" s="188"/>
    </row>
    <row r="318">
      <c r="A318" s="64">
        <f t="shared" si="3"/>
        <v>317</v>
      </c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188"/>
      <c r="M318" s="65"/>
      <c r="N318" s="65"/>
      <c r="O318" s="66"/>
      <c r="P318" s="64"/>
      <c r="Q318" s="64"/>
      <c r="R318" s="68"/>
      <c r="S318" s="188"/>
    </row>
    <row r="319">
      <c r="A319" s="64">
        <f t="shared" si="3"/>
        <v>318</v>
      </c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188"/>
      <c r="M319" s="65"/>
      <c r="N319" s="65"/>
      <c r="O319" s="66"/>
      <c r="P319" s="64"/>
      <c r="Q319" s="64"/>
      <c r="R319" s="68"/>
      <c r="S319" s="188"/>
    </row>
    <row r="320">
      <c r="A320" s="64">
        <f t="shared" si="3"/>
        <v>319</v>
      </c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188"/>
      <c r="M320" s="65"/>
      <c r="N320" s="65"/>
      <c r="O320" s="66"/>
      <c r="P320" s="64"/>
      <c r="Q320" s="64"/>
      <c r="R320" s="68"/>
      <c r="S320" s="188"/>
    </row>
    <row r="321">
      <c r="A321" s="64">
        <f t="shared" si="3"/>
        <v>320</v>
      </c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188"/>
      <c r="M321" s="65"/>
      <c r="N321" s="65"/>
      <c r="O321" s="66"/>
      <c r="P321" s="64"/>
      <c r="Q321" s="64"/>
      <c r="R321" s="68"/>
      <c r="S321" s="188"/>
    </row>
    <row r="322">
      <c r="A322" s="64">
        <f t="shared" si="3"/>
        <v>321</v>
      </c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188"/>
      <c r="M322" s="65"/>
      <c r="N322" s="65"/>
      <c r="O322" s="66"/>
      <c r="P322" s="64"/>
      <c r="Q322" s="64"/>
      <c r="R322" s="68"/>
      <c r="S322" s="188"/>
    </row>
    <row r="323">
      <c r="A323" s="64">
        <f t="shared" si="3"/>
        <v>322</v>
      </c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188"/>
      <c r="M323" s="65"/>
      <c r="N323" s="65"/>
      <c r="O323" s="66"/>
      <c r="P323" s="64"/>
      <c r="Q323" s="64"/>
      <c r="R323" s="68"/>
      <c r="S323" s="188"/>
    </row>
    <row r="324">
      <c r="A324" s="64">
        <f t="shared" si="3"/>
        <v>323</v>
      </c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188"/>
      <c r="M324" s="65"/>
      <c r="N324" s="65"/>
      <c r="O324" s="66"/>
      <c r="P324" s="64"/>
      <c r="Q324" s="64"/>
      <c r="R324" s="68"/>
      <c r="S324" s="188"/>
    </row>
    <row r="325">
      <c r="A325" s="64">
        <f t="shared" si="3"/>
        <v>324</v>
      </c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188"/>
      <c r="M325" s="65"/>
      <c r="N325" s="65"/>
      <c r="O325" s="66"/>
      <c r="P325" s="64"/>
      <c r="Q325" s="64"/>
      <c r="R325" s="68"/>
      <c r="S325" s="188"/>
    </row>
    <row r="326">
      <c r="A326" s="64">
        <f t="shared" si="3"/>
        <v>325</v>
      </c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188"/>
      <c r="M326" s="65"/>
      <c r="N326" s="65"/>
      <c r="O326" s="66"/>
      <c r="P326" s="64"/>
      <c r="Q326" s="64"/>
      <c r="R326" s="68"/>
      <c r="S326" s="188"/>
    </row>
    <row r="327">
      <c r="A327" s="64">
        <f t="shared" si="3"/>
        <v>326</v>
      </c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188"/>
      <c r="M327" s="65"/>
      <c r="N327" s="65"/>
      <c r="O327" s="66"/>
      <c r="P327" s="64"/>
      <c r="Q327" s="64"/>
      <c r="R327" s="68"/>
      <c r="S327" s="188"/>
    </row>
    <row r="328">
      <c r="A328" s="64">
        <f t="shared" si="3"/>
        <v>327</v>
      </c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188"/>
      <c r="M328" s="65"/>
      <c r="N328" s="65"/>
      <c r="O328" s="66"/>
      <c r="P328" s="64"/>
      <c r="Q328" s="64"/>
      <c r="R328" s="68"/>
      <c r="S328" s="188"/>
    </row>
    <row r="329">
      <c r="A329" s="64">
        <f t="shared" si="3"/>
        <v>328</v>
      </c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188"/>
      <c r="M329" s="65"/>
      <c r="N329" s="65"/>
      <c r="O329" s="66"/>
      <c r="P329" s="64"/>
      <c r="Q329" s="64"/>
      <c r="R329" s="68"/>
      <c r="S329" s="188"/>
    </row>
    <row r="330">
      <c r="A330" s="64">
        <f t="shared" si="3"/>
        <v>329</v>
      </c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188"/>
      <c r="M330" s="65"/>
      <c r="N330" s="65"/>
      <c r="O330" s="66"/>
      <c r="P330" s="64"/>
      <c r="Q330" s="64"/>
      <c r="R330" s="68"/>
      <c r="S330" s="188"/>
    </row>
    <row r="331">
      <c r="A331" s="64">
        <f t="shared" si="3"/>
        <v>330</v>
      </c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188"/>
      <c r="M331" s="65"/>
      <c r="N331" s="65"/>
      <c r="O331" s="66"/>
      <c r="P331" s="64"/>
      <c r="Q331" s="64"/>
      <c r="R331" s="68"/>
      <c r="S331" s="188"/>
    </row>
    <row r="332">
      <c r="A332" s="64">
        <f t="shared" si="3"/>
        <v>331</v>
      </c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188"/>
      <c r="M332" s="65"/>
      <c r="N332" s="65"/>
      <c r="O332" s="66"/>
      <c r="P332" s="64"/>
      <c r="Q332" s="64"/>
      <c r="R332" s="68"/>
      <c r="S332" s="188"/>
    </row>
    <row r="333">
      <c r="A333" s="64">
        <f t="shared" si="3"/>
        <v>332</v>
      </c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188"/>
      <c r="M333" s="65"/>
      <c r="N333" s="65"/>
      <c r="O333" s="66"/>
      <c r="P333" s="64"/>
      <c r="Q333" s="64"/>
      <c r="R333" s="68"/>
      <c r="S333" s="188"/>
    </row>
    <row r="334">
      <c r="A334" s="64">
        <f t="shared" si="3"/>
        <v>333</v>
      </c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188"/>
      <c r="M334" s="65"/>
      <c r="N334" s="65"/>
      <c r="O334" s="66"/>
      <c r="P334" s="64"/>
      <c r="Q334" s="64"/>
      <c r="R334" s="68"/>
      <c r="S334" s="188"/>
    </row>
    <row r="335">
      <c r="A335" s="64">
        <f t="shared" si="3"/>
        <v>334</v>
      </c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188"/>
      <c r="M335" s="65"/>
      <c r="N335" s="65"/>
      <c r="O335" s="66"/>
      <c r="P335" s="64"/>
      <c r="Q335" s="64"/>
      <c r="R335" s="68"/>
      <c r="S335" s="188"/>
    </row>
    <row r="336">
      <c r="A336" s="64">
        <f t="shared" si="3"/>
        <v>335</v>
      </c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188"/>
      <c r="M336" s="65"/>
      <c r="N336" s="65"/>
      <c r="O336" s="66"/>
      <c r="P336" s="64"/>
      <c r="Q336" s="64"/>
      <c r="R336" s="68"/>
      <c r="S336" s="188"/>
    </row>
    <row r="337">
      <c r="A337" s="64">
        <f t="shared" si="3"/>
        <v>336</v>
      </c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188"/>
      <c r="M337" s="65"/>
      <c r="N337" s="65"/>
      <c r="O337" s="66"/>
      <c r="P337" s="64"/>
      <c r="Q337" s="64"/>
      <c r="R337" s="68"/>
      <c r="S337" s="188"/>
    </row>
    <row r="338">
      <c r="A338" s="64">
        <f t="shared" si="3"/>
        <v>337</v>
      </c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188"/>
      <c r="M338" s="65"/>
      <c r="N338" s="65"/>
      <c r="O338" s="66"/>
      <c r="P338" s="64"/>
      <c r="Q338" s="64"/>
      <c r="R338" s="68"/>
      <c r="S338" s="188"/>
    </row>
    <row r="339">
      <c r="A339" s="64">
        <f t="shared" si="3"/>
        <v>338</v>
      </c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188"/>
      <c r="M339" s="65"/>
      <c r="N339" s="65"/>
      <c r="O339" s="66"/>
      <c r="P339" s="64"/>
      <c r="Q339" s="64"/>
      <c r="R339" s="68"/>
      <c r="S339" s="188"/>
    </row>
    <row r="340">
      <c r="A340" s="64">
        <f t="shared" si="3"/>
        <v>339</v>
      </c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188"/>
      <c r="M340" s="65"/>
      <c r="N340" s="65"/>
      <c r="O340" s="66"/>
      <c r="P340" s="64"/>
      <c r="Q340" s="64"/>
      <c r="R340" s="68"/>
      <c r="S340" s="188"/>
    </row>
    <row r="341">
      <c r="A341" s="64">
        <f t="shared" si="3"/>
        <v>340</v>
      </c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188"/>
      <c r="M341" s="65"/>
      <c r="N341" s="65"/>
      <c r="O341" s="66"/>
      <c r="P341" s="64"/>
      <c r="Q341" s="64"/>
      <c r="R341" s="68"/>
      <c r="S341" s="188"/>
    </row>
    <row r="342">
      <c r="A342" s="64">
        <f t="shared" si="3"/>
        <v>341</v>
      </c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188"/>
      <c r="M342" s="65"/>
      <c r="N342" s="65"/>
      <c r="O342" s="66"/>
      <c r="P342" s="64"/>
      <c r="Q342" s="64"/>
      <c r="R342" s="68"/>
      <c r="S342" s="188"/>
    </row>
    <row r="343">
      <c r="A343" s="64">
        <f t="shared" si="3"/>
        <v>342</v>
      </c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188"/>
      <c r="M343" s="65"/>
      <c r="N343" s="65"/>
      <c r="O343" s="66"/>
      <c r="P343" s="64"/>
      <c r="Q343" s="64"/>
      <c r="R343" s="68"/>
      <c r="S343" s="188"/>
    </row>
    <row r="344">
      <c r="A344" s="64">
        <f t="shared" si="3"/>
        <v>343</v>
      </c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188"/>
      <c r="M344" s="65"/>
      <c r="N344" s="65"/>
      <c r="O344" s="66"/>
      <c r="P344" s="64"/>
      <c r="Q344" s="64"/>
      <c r="R344" s="188"/>
      <c r="S344" s="188"/>
    </row>
    <row r="345">
      <c r="A345" s="64">
        <f t="shared" si="3"/>
        <v>344</v>
      </c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188"/>
      <c r="M345" s="65"/>
      <c r="N345" s="65"/>
      <c r="O345" s="66"/>
      <c r="P345" s="64"/>
      <c r="Q345" s="64"/>
      <c r="R345" s="188"/>
      <c r="S345" s="188"/>
    </row>
    <row r="346">
      <c r="A346" s="64">
        <f t="shared" si="3"/>
        <v>345</v>
      </c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188"/>
      <c r="M346" s="65"/>
      <c r="N346" s="65"/>
      <c r="O346" s="66"/>
      <c r="P346" s="64"/>
      <c r="Q346" s="64"/>
      <c r="R346" s="188"/>
      <c r="S346" s="188"/>
    </row>
    <row r="347">
      <c r="A347" s="64">
        <f t="shared" si="3"/>
        <v>346</v>
      </c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188"/>
      <c r="M347" s="65"/>
      <c r="N347" s="65"/>
      <c r="O347" s="66"/>
      <c r="P347" s="64"/>
      <c r="Q347" s="64"/>
      <c r="R347" s="188"/>
      <c r="S347" s="188"/>
    </row>
    <row r="348">
      <c r="A348" s="64">
        <f t="shared" si="3"/>
        <v>347</v>
      </c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188"/>
      <c r="M348" s="65"/>
      <c r="N348" s="65"/>
      <c r="O348" s="66"/>
      <c r="P348" s="64"/>
      <c r="Q348" s="64"/>
      <c r="R348" s="188"/>
      <c r="S348" s="188"/>
    </row>
    <row r="349">
      <c r="A349" s="64">
        <f t="shared" si="3"/>
        <v>348</v>
      </c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188"/>
      <c r="M349" s="65"/>
      <c r="N349" s="65"/>
      <c r="O349" s="66"/>
      <c r="P349" s="64"/>
      <c r="Q349" s="64"/>
      <c r="R349" s="188"/>
      <c r="S349" s="188"/>
    </row>
    <row r="350">
      <c r="A350" s="64">
        <f t="shared" si="3"/>
        <v>349</v>
      </c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188"/>
      <c r="M350" s="65"/>
      <c r="N350" s="65"/>
      <c r="O350" s="66"/>
      <c r="P350" s="64"/>
      <c r="Q350" s="64"/>
      <c r="R350" s="188"/>
      <c r="S350" s="188"/>
    </row>
    <row r="351">
      <c r="A351" s="64">
        <f t="shared" si="3"/>
        <v>350</v>
      </c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188"/>
      <c r="M351" s="65"/>
      <c r="N351" s="65"/>
      <c r="O351" s="66"/>
      <c r="P351" s="64"/>
      <c r="Q351" s="64"/>
      <c r="R351" s="188"/>
      <c r="S351" s="188"/>
    </row>
    <row r="352">
      <c r="A352" s="64">
        <f t="shared" si="3"/>
        <v>351</v>
      </c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188"/>
      <c r="M352" s="65"/>
      <c r="N352" s="65"/>
      <c r="O352" s="66"/>
      <c r="P352" s="64"/>
      <c r="Q352" s="64"/>
      <c r="R352" s="188"/>
      <c r="S352" s="188"/>
    </row>
    <row r="353">
      <c r="A353" s="64">
        <f t="shared" si="3"/>
        <v>352</v>
      </c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188"/>
      <c r="M353" s="65"/>
      <c r="N353" s="65"/>
      <c r="O353" s="66"/>
      <c r="P353" s="64"/>
      <c r="Q353" s="64"/>
      <c r="R353" s="188"/>
      <c r="S353" s="188"/>
    </row>
    <row r="354">
      <c r="A354" s="64">
        <f t="shared" si="3"/>
        <v>353</v>
      </c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188"/>
      <c r="M354" s="65"/>
      <c r="N354" s="65"/>
      <c r="O354" s="66"/>
      <c r="P354" s="64"/>
      <c r="Q354" s="64"/>
      <c r="R354" s="188"/>
      <c r="S354" s="188"/>
    </row>
    <row r="355">
      <c r="A355" s="64">
        <f t="shared" si="3"/>
        <v>354</v>
      </c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188"/>
      <c r="M355" s="65"/>
      <c r="N355" s="65"/>
      <c r="O355" s="66"/>
      <c r="P355" s="64"/>
      <c r="Q355" s="64"/>
      <c r="R355" s="188"/>
      <c r="S355" s="188"/>
    </row>
    <row r="356">
      <c r="A356" s="64">
        <f t="shared" si="3"/>
        <v>355</v>
      </c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188"/>
      <c r="M356" s="65"/>
      <c r="N356" s="65"/>
      <c r="O356" s="66"/>
      <c r="P356" s="64"/>
      <c r="Q356" s="64"/>
      <c r="R356" s="188"/>
      <c r="S356" s="188"/>
    </row>
    <row r="357">
      <c r="A357" s="64">
        <f t="shared" si="3"/>
        <v>356</v>
      </c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188"/>
      <c r="M357" s="65"/>
      <c r="N357" s="65"/>
      <c r="O357" s="66"/>
      <c r="P357" s="64"/>
      <c r="Q357" s="64"/>
      <c r="R357" s="188"/>
      <c r="S357" s="188"/>
    </row>
    <row r="358">
      <c r="A358" s="64">
        <f t="shared" si="3"/>
        <v>357</v>
      </c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188"/>
      <c r="M358" s="65"/>
      <c r="N358" s="65"/>
      <c r="O358" s="66"/>
      <c r="P358" s="64"/>
      <c r="Q358" s="64"/>
      <c r="R358" s="188"/>
      <c r="S358" s="188"/>
    </row>
    <row r="359">
      <c r="A359" s="64">
        <f t="shared" si="3"/>
        <v>358</v>
      </c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188"/>
      <c r="M359" s="65"/>
      <c r="N359" s="65"/>
      <c r="O359" s="66"/>
      <c r="P359" s="64"/>
      <c r="Q359" s="64"/>
      <c r="R359" s="188"/>
      <c r="S359" s="188"/>
    </row>
    <row r="360">
      <c r="A360" s="64">
        <f t="shared" si="3"/>
        <v>359</v>
      </c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188"/>
      <c r="M360" s="65"/>
      <c r="N360" s="65"/>
      <c r="O360" s="66"/>
      <c r="P360" s="64"/>
      <c r="Q360" s="64"/>
      <c r="R360" s="188"/>
      <c r="S360" s="188"/>
    </row>
    <row r="361">
      <c r="A361" s="64">
        <f t="shared" si="3"/>
        <v>360</v>
      </c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188"/>
      <c r="M361" s="65"/>
      <c r="N361" s="65"/>
      <c r="O361" s="66"/>
      <c r="P361" s="64"/>
      <c r="Q361" s="64"/>
      <c r="R361" s="188"/>
      <c r="S361" s="188"/>
    </row>
    <row r="362">
      <c r="A362" s="64">
        <f t="shared" si="3"/>
        <v>361</v>
      </c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188"/>
      <c r="M362" s="65"/>
      <c r="N362" s="65"/>
      <c r="O362" s="66"/>
      <c r="P362" s="64"/>
      <c r="Q362" s="64"/>
      <c r="R362" s="188"/>
      <c r="S362" s="188"/>
    </row>
    <row r="363">
      <c r="A363" s="64">
        <f t="shared" si="3"/>
        <v>362</v>
      </c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188"/>
      <c r="M363" s="65"/>
      <c r="N363" s="65"/>
      <c r="O363" s="66"/>
      <c r="P363" s="64"/>
      <c r="Q363" s="64"/>
      <c r="R363" s="188"/>
      <c r="S363" s="188"/>
    </row>
    <row r="364">
      <c r="A364" s="64">
        <f t="shared" si="3"/>
        <v>363</v>
      </c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188"/>
      <c r="M364" s="65"/>
      <c r="N364" s="65"/>
      <c r="O364" s="66"/>
      <c r="P364" s="64"/>
      <c r="Q364" s="64"/>
      <c r="R364" s="188"/>
      <c r="S364" s="188"/>
    </row>
    <row r="365">
      <c r="A365" s="64">
        <f t="shared" si="3"/>
        <v>364</v>
      </c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188"/>
      <c r="M365" s="65"/>
      <c r="N365" s="65"/>
      <c r="O365" s="66"/>
      <c r="P365" s="64"/>
      <c r="Q365" s="64"/>
      <c r="R365" s="188"/>
      <c r="S365" s="188"/>
    </row>
    <row r="366">
      <c r="A366" s="64">
        <f t="shared" si="3"/>
        <v>365</v>
      </c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188"/>
      <c r="M366" s="65"/>
      <c r="N366" s="65"/>
      <c r="O366" s="66"/>
      <c r="P366" s="64"/>
      <c r="Q366" s="64"/>
      <c r="R366" s="188"/>
      <c r="S366" s="188"/>
    </row>
    <row r="367">
      <c r="A367" s="64">
        <f t="shared" si="3"/>
        <v>366</v>
      </c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188"/>
      <c r="M367" s="65"/>
      <c r="N367" s="65"/>
      <c r="O367" s="66"/>
      <c r="P367" s="64"/>
      <c r="Q367" s="64"/>
      <c r="R367" s="188"/>
      <c r="S367" s="188"/>
    </row>
    <row r="368">
      <c r="A368" s="64">
        <f t="shared" si="3"/>
        <v>367</v>
      </c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188"/>
      <c r="M368" s="65"/>
      <c r="N368" s="65"/>
      <c r="O368" s="66"/>
      <c r="P368" s="64"/>
      <c r="Q368" s="64"/>
      <c r="R368" s="188"/>
      <c r="S368" s="188"/>
    </row>
    <row r="369">
      <c r="A369" s="64">
        <f t="shared" si="3"/>
        <v>368</v>
      </c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188"/>
      <c r="M369" s="65"/>
      <c r="N369" s="65"/>
      <c r="O369" s="66"/>
      <c r="P369" s="64"/>
      <c r="Q369" s="64"/>
      <c r="R369" s="188"/>
      <c r="S369" s="188"/>
    </row>
    <row r="370">
      <c r="A370" s="64">
        <f t="shared" si="3"/>
        <v>369</v>
      </c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188"/>
      <c r="M370" s="65"/>
      <c r="N370" s="65"/>
      <c r="O370" s="66"/>
      <c r="P370" s="64"/>
      <c r="Q370" s="64"/>
      <c r="R370" s="188"/>
      <c r="S370" s="188"/>
    </row>
    <row r="371">
      <c r="A371" s="64">
        <f t="shared" si="3"/>
        <v>370</v>
      </c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188"/>
      <c r="M371" s="65"/>
      <c r="N371" s="65"/>
      <c r="O371" s="66"/>
      <c r="P371" s="64"/>
      <c r="Q371" s="64"/>
      <c r="R371" s="188"/>
      <c r="S371" s="188"/>
    </row>
    <row r="372">
      <c r="A372" s="64">
        <f t="shared" si="3"/>
        <v>371</v>
      </c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188"/>
      <c r="M372" s="65"/>
      <c r="N372" s="65"/>
      <c r="O372" s="66"/>
      <c r="P372" s="64"/>
      <c r="Q372" s="64"/>
      <c r="R372" s="188"/>
      <c r="S372" s="188"/>
    </row>
    <row r="373">
      <c r="A373" s="64">
        <f t="shared" si="3"/>
        <v>372</v>
      </c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188"/>
      <c r="M373" s="65"/>
      <c r="N373" s="65"/>
      <c r="O373" s="66"/>
      <c r="P373" s="64"/>
      <c r="Q373" s="64"/>
      <c r="R373" s="188"/>
      <c r="S373" s="188"/>
    </row>
    <row r="374">
      <c r="A374" s="64">
        <f t="shared" si="3"/>
        <v>373</v>
      </c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188"/>
      <c r="M374" s="65"/>
      <c r="N374" s="65"/>
      <c r="O374" s="66"/>
      <c r="P374" s="64"/>
      <c r="Q374" s="64"/>
      <c r="R374" s="188"/>
      <c r="S374" s="188"/>
    </row>
    <row r="375">
      <c r="A375" s="64">
        <f t="shared" si="3"/>
        <v>374</v>
      </c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188"/>
      <c r="M375" s="65"/>
      <c r="N375" s="65"/>
      <c r="O375" s="66"/>
      <c r="P375" s="64"/>
      <c r="Q375" s="64"/>
      <c r="R375" s="188"/>
      <c r="S375" s="188"/>
    </row>
    <row r="376">
      <c r="A376" s="64">
        <f t="shared" si="3"/>
        <v>375</v>
      </c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188"/>
      <c r="M376" s="65"/>
      <c r="N376" s="65"/>
      <c r="O376" s="66"/>
      <c r="P376" s="64"/>
      <c r="Q376" s="64"/>
      <c r="R376" s="188"/>
      <c r="S376" s="188"/>
    </row>
    <row r="377">
      <c r="A377" s="64">
        <f t="shared" si="3"/>
        <v>376</v>
      </c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188"/>
      <c r="M377" s="65"/>
      <c r="N377" s="65"/>
      <c r="O377" s="66"/>
      <c r="P377" s="64"/>
      <c r="Q377" s="64"/>
      <c r="R377" s="188"/>
      <c r="S377" s="188"/>
    </row>
    <row r="378">
      <c r="A378" s="64">
        <f t="shared" si="3"/>
        <v>377</v>
      </c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188"/>
      <c r="M378" s="65"/>
      <c r="N378" s="65"/>
      <c r="O378" s="66"/>
      <c r="P378" s="64"/>
      <c r="Q378" s="64"/>
      <c r="R378" s="188"/>
      <c r="S378" s="188"/>
    </row>
    <row r="379">
      <c r="A379" s="64">
        <f t="shared" si="3"/>
        <v>378</v>
      </c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188"/>
      <c r="M379" s="65"/>
      <c r="N379" s="65"/>
      <c r="O379" s="66"/>
      <c r="P379" s="64"/>
      <c r="Q379" s="64"/>
      <c r="R379" s="188"/>
      <c r="S379" s="188"/>
    </row>
    <row r="380">
      <c r="A380" s="64">
        <f t="shared" si="3"/>
        <v>379</v>
      </c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188"/>
      <c r="M380" s="65"/>
      <c r="N380" s="65"/>
      <c r="O380" s="66"/>
      <c r="P380" s="64"/>
      <c r="Q380" s="64"/>
      <c r="R380" s="188"/>
      <c r="S380" s="188"/>
    </row>
    <row r="381">
      <c r="A381" s="64">
        <f t="shared" si="3"/>
        <v>380</v>
      </c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188"/>
      <c r="M381" s="65"/>
      <c r="N381" s="65"/>
      <c r="O381" s="66"/>
      <c r="P381" s="64"/>
      <c r="Q381" s="64"/>
      <c r="R381" s="188"/>
      <c r="S381" s="188"/>
    </row>
    <row r="382">
      <c r="A382" s="64">
        <f t="shared" si="3"/>
        <v>381</v>
      </c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188"/>
      <c r="M382" s="65"/>
      <c r="N382" s="65"/>
      <c r="O382" s="66"/>
      <c r="P382" s="64"/>
      <c r="Q382" s="64"/>
      <c r="R382" s="188"/>
      <c r="S382" s="188"/>
    </row>
    <row r="383">
      <c r="A383" s="64">
        <f t="shared" si="3"/>
        <v>382</v>
      </c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188"/>
      <c r="M383" s="65"/>
      <c r="N383" s="65"/>
      <c r="O383" s="66"/>
      <c r="P383" s="64"/>
      <c r="Q383" s="64"/>
      <c r="R383" s="188"/>
      <c r="S383" s="188"/>
    </row>
    <row r="384">
      <c r="A384" s="64">
        <f t="shared" si="3"/>
        <v>383</v>
      </c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188"/>
      <c r="M384" s="65"/>
      <c r="N384" s="65"/>
      <c r="O384" s="66"/>
      <c r="P384" s="64"/>
      <c r="Q384" s="64"/>
      <c r="R384" s="188"/>
      <c r="S384" s="188"/>
    </row>
    <row r="385">
      <c r="A385" s="64">
        <f t="shared" si="3"/>
        <v>384</v>
      </c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188"/>
      <c r="M385" s="65"/>
      <c r="N385" s="65"/>
      <c r="O385" s="66"/>
      <c r="P385" s="64"/>
      <c r="Q385" s="64"/>
      <c r="R385" s="188"/>
      <c r="S385" s="188"/>
    </row>
    <row r="386">
      <c r="A386" s="64">
        <f t="shared" si="3"/>
        <v>385</v>
      </c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188"/>
      <c r="M386" s="65"/>
      <c r="N386" s="65"/>
      <c r="O386" s="66"/>
      <c r="P386" s="64"/>
      <c r="Q386" s="64"/>
      <c r="R386" s="188"/>
      <c r="S386" s="188"/>
    </row>
    <row r="387">
      <c r="A387" s="64">
        <f t="shared" si="3"/>
        <v>386</v>
      </c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188"/>
      <c r="M387" s="65"/>
      <c r="N387" s="65"/>
      <c r="O387" s="66"/>
      <c r="P387" s="64"/>
      <c r="Q387" s="64"/>
      <c r="R387" s="188"/>
      <c r="S387" s="188"/>
    </row>
    <row r="388">
      <c r="A388" s="64">
        <f t="shared" si="3"/>
        <v>387</v>
      </c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188"/>
      <c r="M388" s="65"/>
      <c r="N388" s="65"/>
      <c r="O388" s="66"/>
      <c r="P388" s="64"/>
      <c r="Q388" s="64"/>
      <c r="R388" s="188"/>
      <c r="S388" s="188"/>
    </row>
    <row r="389">
      <c r="A389" s="64">
        <f t="shared" si="3"/>
        <v>388</v>
      </c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188"/>
      <c r="M389" s="65"/>
      <c r="N389" s="65"/>
      <c r="O389" s="66"/>
      <c r="P389" s="64"/>
      <c r="Q389" s="64"/>
      <c r="R389" s="188"/>
      <c r="S389" s="188"/>
    </row>
    <row r="390">
      <c r="A390" s="64">
        <f t="shared" si="3"/>
        <v>389</v>
      </c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188"/>
      <c r="M390" s="65"/>
      <c r="N390" s="65"/>
      <c r="O390" s="66"/>
      <c r="P390" s="64"/>
      <c r="Q390" s="64"/>
      <c r="R390" s="188"/>
      <c r="S390" s="188"/>
    </row>
    <row r="391">
      <c r="A391" s="64">
        <f t="shared" si="3"/>
        <v>390</v>
      </c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188"/>
      <c r="M391" s="65"/>
      <c r="N391" s="65"/>
      <c r="O391" s="66"/>
      <c r="P391" s="64"/>
      <c r="Q391" s="64"/>
      <c r="R391" s="188"/>
      <c r="S391" s="188"/>
    </row>
    <row r="392">
      <c r="A392" s="64">
        <f t="shared" si="3"/>
        <v>391</v>
      </c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188"/>
      <c r="M392" s="65"/>
      <c r="N392" s="65"/>
      <c r="O392" s="66"/>
      <c r="P392" s="64"/>
      <c r="Q392" s="64"/>
      <c r="R392" s="188"/>
      <c r="S392" s="188"/>
    </row>
    <row r="393">
      <c r="A393" s="64">
        <f t="shared" si="3"/>
        <v>392</v>
      </c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188"/>
      <c r="M393" s="65"/>
      <c r="N393" s="65"/>
      <c r="O393" s="66"/>
      <c r="P393" s="64"/>
      <c r="Q393" s="64"/>
      <c r="R393" s="188"/>
      <c r="S393" s="188"/>
    </row>
    <row r="394">
      <c r="A394" s="64">
        <f t="shared" si="3"/>
        <v>393</v>
      </c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188"/>
      <c r="M394" s="65"/>
      <c r="N394" s="65"/>
      <c r="O394" s="66"/>
      <c r="P394" s="64"/>
      <c r="Q394" s="64"/>
      <c r="R394" s="188"/>
      <c r="S394" s="188"/>
    </row>
    <row r="395">
      <c r="A395" s="64">
        <f t="shared" si="3"/>
        <v>394</v>
      </c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188"/>
      <c r="M395" s="65"/>
      <c r="N395" s="65"/>
      <c r="O395" s="66"/>
      <c r="P395" s="64"/>
      <c r="Q395" s="64"/>
      <c r="R395" s="188"/>
      <c r="S395" s="188"/>
    </row>
    <row r="396">
      <c r="A396" s="64">
        <f t="shared" si="3"/>
        <v>395</v>
      </c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188"/>
      <c r="M396" s="65"/>
      <c r="N396" s="65"/>
      <c r="O396" s="66"/>
      <c r="P396" s="64"/>
      <c r="Q396" s="64"/>
      <c r="R396" s="188"/>
      <c r="S396" s="188"/>
    </row>
    <row r="397">
      <c r="A397" s="64">
        <f t="shared" si="3"/>
        <v>396</v>
      </c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188"/>
      <c r="M397" s="65"/>
      <c r="N397" s="65"/>
      <c r="O397" s="66"/>
      <c r="P397" s="64"/>
      <c r="Q397" s="64"/>
      <c r="R397" s="188"/>
      <c r="S397" s="188"/>
    </row>
    <row r="398">
      <c r="A398" s="64">
        <f t="shared" si="3"/>
        <v>397</v>
      </c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188"/>
      <c r="M398" s="65"/>
      <c r="N398" s="65"/>
      <c r="O398" s="66"/>
      <c r="P398" s="64"/>
      <c r="Q398" s="64"/>
      <c r="R398" s="188"/>
      <c r="S398" s="188"/>
    </row>
    <row r="399">
      <c r="A399" s="64">
        <f t="shared" si="3"/>
        <v>398</v>
      </c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188"/>
      <c r="M399" s="65"/>
      <c r="N399" s="65"/>
      <c r="O399" s="66"/>
      <c r="P399" s="64"/>
      <c r="Q399" s="64"/>
      <c r="R399" s="188"/>
      <c r="S399" s="188"/>
    </row>
    <row r="400">
      <c r="A400" s="64">
        <f t="shared" si="3"/>
        <v>399</v>
      </c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188"/>
      <c r="M400" s="65"/>
      <c r="N400" s="65"/>
      <c r="O400" s="66"/>
      <c r="P400" s="64"/>
      <c r="Q400" s="64"/>
      <c r="R400" s="188"/>
      <c r="S400" s="188"/>
    </row>
    <row r="401">
      <c r="A401" s="64">
        <f t="shared" si="3"/>
        <v>400</v>
      </c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188"/>
      <c r="M401" s="65"/>
      <c r="N401" s="65"/>
      <c r="O401" s="66"/>
      <c r="P401" s="64"/>
      <c r="Q401" s="64"/>
      <c r="R401" s="188"/>
      <c r="S401" s="188"/>
    </row>
    <row r="402">
      <c r="A402" s="64">
        <f t="shared" si="3"/>
        <v>401</v>
      </c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188"/>
      <c r="M402" s="65"/>
      <c r="N402" s="65"/>
      <c r="O402" s="66"/>
      <c r="P402" s="64"/>
      <c r="Q402" s="64"/>
      <c r="R402" s="188"/>
      <c r="S402" s="188"/>
    </row>
    <row r="403">
      <c r="A403" s="64">
        <f t="shared" si="3"/>
        <v>402</v>
      </c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188"/>
      <c r="M403" s="65"/>
      <c r="N403" s="65"/>
      <c r="O403" s="66"/>
      <c r="P403" s="64"/>
      <c r="Q403" s="64"/>
      <c r="R403" s="188"/>
      <c r="S403" s="188"/>
    </row>
    <row r="404">
      <c r="A404" s="64">
        <f t="shared" si="3"/>
        <v>403</v>
      </c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188"/>
      <c r="M404" s="65"/>
      <c r="N404" s="65"/>
      <c r="O404" s="66"/>
      <c r="P404" s="64"/>
      <c r="Q404" s="64"/>
      <c r="R404" s="188"/>
      <c r="S404" s="188"/>
    </row>
    <row r="405">
      <c r="A405" s="64">
        <f t="shared" si="3"/>
        <v>404</v>
      </c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188"/>
      <c r="M405" s="65"/>
      <c r="N405" s="65"/>
      <c r="O405" s="66"/>
      <c r="P405" s="64"/>
      <c r="Q405" s="64"/>
      <c r="R405" s="188"/>
      <c r="S405" s="188"/>
    </row>
    <row r="406">
      <c r="A406" s="64">
        <f t="shared" si="3"/>
        <v>405</v>
      </c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188"/>
      <c r="M406" s="65"/>
      <c r="N406" s="65"/>
      <c r="O406" s="66"/>
      <c r="P406" s="64"/>
      <c r="Q406" s="64"/>
      <c r="R406" s="188"/>
      <c r="S406" s="188"/>
    </row>
    <row r="407">
      <c r="A407" s="189"/>
      <c r="B407" s="189"/>
      <c r="C407" s="189"/>
      <c r="D407" s="189"/>
      <c r="E407" s="189"/>
      <c r="F407" s="189"/>
      <c r="G407" s="189"/>
      <c r="H407" s="189"/>
      <c r="I407" s="189"/>
      <c r="J407" s="189"/>
      <c r="K407" s="189"/>
      <c r="L407" s="190"/>
      <c r="M407" s="191"/>
      <c r="N407" s="191"/>
      <c r="O407" s="192"/>
      <c r="P407" s="189"/>
      <c r="Q407" s="189"/>
      <c r="R407" s="190"/>
      <c r="S407" s="190"/>
    </row>
    <row r="408">
      <c r="A408" s="189"/>
      <c r="B408" s="189"/>
      <c r="C408" s="189"/>
      <c r="D408" s="189"/>
      <c r="E408" s="189"/>
      <c r="F408" s="189"/>
      <c r="G408" s="189"/>
      <c r="H408" s="189"/>
      <c r="I408" s="189"/>
      <c r="J408" s="189"/>
      <c r="K408" s="189"/>
      <c r="L408" s="190"/>
      <c r="M408" s="191"/>
      <c r="N408" s="191"/>
      <c r="O408" s="192"/>
      <c r="P408" s="189"/>
      <c r="Q408" s="189"/>
      <c r="R408" s="190"/>
      <c r="S408" s="190"/>
    </row>
    <row r="409">
      <c r="A409" s="189"/>
      <c r="B409" s="189"/>
      <c r="C409" s="189"/>
      <c r="D409" s="189"/>
      <c r="E409" s="189"/>
      <c r="F409" s="189"/>
      <c r="G409" s="189"/>
      <c r="H409" s="189"/>
      <c r="I409" s="189"/>
      <c r="J409" s="189"/>
      <c r="K409" s="189"/>
      <c r="L409" s="190"/>
      <c r="M409" s="191"/>
      <c r="N409" s="191"/>
      <c r="O409" s="192"/>
      <c r="P409" s="189"/>
      <c r="Q409" s="189"/>
      <c r="R409" s="190"/>
      <c r="S409" s="190"/>
    </row>
    <row r="410">
      <c r="A410" s="189"/>
      <c r="B410" s="189"/>
      <c r="C410" s="189"/>
      <c r="D410" s="189"/>
      <c r="E410" s="189"/>
      <c r="F410" s="189"/>
      <c r="G410" s="189"/>
      <c r="H410" s="189"/>
      <c r="I410" s="189"/>
      <c r="J410" s="189"/>
      <c r="K410" s="189"/>
      <c r="L410" s="190"/>
      <c r="M410" s="191"/>
      <c r="N410" s="191"/>
      <c r="O410" s="192"/>
      <c r="P410" s="189"/>
      <c r="Q410" s="189"/>
      <c r="R410" s="190"/>
      <c r="S410" s="190"/>
    </row>
    <row r="411">
      <c r="A411" s="189"/>
      <c r="B411" s="189"/>
      <c r="C411" s="189"/>
      <c r="D411" s="189"/>
      <c r="E411" s="189"/>
      <c r="F411" s="189"/>
      <c r="G411" s="189"/>
      <c r="H411" s="189"/>
      <c r="I411" s="189"/>
      <c r="J411" s="189"/>
      <c r="K411" s="189"/>
      <c r="L411" s="190"/>
      <c r="M411" s="191"/>
      <c r="N411" s="191"/>
      <c r="O411" s="192"/>
      <c r="P411" s="189"/>
      <c r="Q411" s="189"/>
      <c r="R411" s="190"/>
      <c r="S411" s="190"/>
    </row>
    <row r="412">
      <c r="A412" s="189"/>
      <c r="B412" s="189"/>
      <c r="C412" s="189"/>
      <c r="D412" s="189"/>
      <c r="E412" s="189"/>
      <c r="F412" s="189"/>
      <c r="G412" s="189"/>
      <c r="H412" s="189"/>
      <c r="I412" s="189"/>
      <c r="J412" s="189"/>
      <c r="K412" s="189"/>
      <c r="L412" s="190"/>
      <c r="M412" s="191"/>
      <c r="N412" s="191"/>
      <c r="O412" s="192"/>
      <c r="P412" s="189"/>
      <c r="Q412" s="189"/>
      <c r="R412" s="190"/>
      <c r="S412" s="190"/>
    </row>
    <row r="413">
      <c r="A413" s="189"/>
      <c r="B413" s="189"/>
      <c r="C413" s="189"/>
      <c r="D413" s="189"/>
      <c r="E413" s="189"/>
      <c r="F413" s="189"/>
      <c r="G413" s="189"/>
      <c r="H413" s="189"/>
      <c r="I413" s="189"/>
      <c r="J413" s="189"/>
      <c r="K413" s="189"/>
      <c r="L413" s="190"/>
      <c r="M413" s="191"/>
      <c r="N413" s="191"/>
      <c r="O413" s="192"/>
      <c r="P413" s="189"/>
      <c r="Q413" s="189"/>
      <c r="R413" s="190"/>
      <c r="S413" s="190"/>
    </row>
    <row r="414">
      <c r="A414" s="189"/>
      <c r="B414" s="189"/>
      <c r="C414" s="189"/>
      <c r="D414" s="189"/>
      <c r="E414" s="189"/>
      <c r="F414" s="189"/>
      <c r="G414" s="189"/>
      <c r="H414" s="189"/>
      <c r="I414" s="189"/>
      <c r="J414" s="189"/>
      <c r="K414" s="189"/>
      <c r="L414" s="190"/>
      <c r="M414" s="191"/>
      <c r="N414" s="191"/>
      <c r="O414" s="192"/>
      <c r="P414" s="189"/>
      <c r="Q414" s="189"/>
      <c r="R414" s="190"/>
      <c r="S414" s="190"/>
    </row>
    <row r="415">
      <c r="A415" s="189"/>
      <c r="B415" s="189"/>
      <c r="C415" s="189"/>
      <c r="D415" s="189"/>
      <c r="E415" s="189"/>
      <c r="F415" s="189"/>
      <c r="G415" s="189"/>
      <c r="H415" s="189"/>
      <c r="I415" s="189"/>
      <c r="J415" s="189"/>
      <c r="K415" s="189"/>
      <c r="L415" s="190"/>
      <c r="M415" s="191"/>
      <c r="N415" s="191"/>
      <c r="O415" s="192"/>
      <c r="P415" s="189"/>
      <c r="Q415" s="189"/>
      <c r="R415" s="190"/>
      <c r="S415" s="190"/>
    </row>
    <row r="416">
      <c r="A416" s="189"/>
      <c r="B416" s="189"/>
      <c r="C416" s="189"/>
      <c r="D416" s="189"/>
      <c r="E416" s="189"/>
      <c r="F416" s="189"/>
      <c r="G416" s="189"/>
      <c r="H416" s="189"/>
      <c r="I416" s="189"/>
      <c r="J416" s="189"/>
      <c r="K416" s="189"/>
      <c r="L416" s="190"/>
      <c r="M416" s="191"/>
      <c r="N416" s="191"/>
      <c r="O416" s="192"/>
      <c r="P416" s="189"/>
      <c r="Q416" s="189"/>
      <c r="R416" s="190"/>
      <c r="S416" s="190"/>
    </row>
    <row r="417">
      <c r="A417" s="189"/>
      <c r="B417" s="189"/>
      <c r="C417" s="189"/>
      <c r="D417" s="189"/>
      <c r="E417" s="189"/>
      <c r="F417" s="189"/>
      <c r="G417" s="189"/>
      <c r="H417" s="189"/>
      <c r="I417" s="189"/>
      <c r="J417" s="189"/>
      <c r="K417" s="189"/>
      <c r="L417" s="190"/>
      <c r="M417" s="191"/>
      <c r="N417" s="191"/>
      <c r="O417" s="192"/>
      <c r="P417" s="189"/>
      <c r="Q417" s="189"/>
      <c r="R417" s="190"/>
      <c r="S417" s="190"/>
    </row>
    <row r="418">
      <c r="A418" s="189"/>
      <c r="B418" s="189"/>
      <c r="C418" s="189"/>
      <c r="D418" s="189"/>
      <c r="E418" s="189"/>
      <c r="F418" s="189"/>
      <c r="G418" s="189"/>
      <c r="H418" s="189"/>
      <c r="I418" s="189"/>
      <c r="J418" s="189"/>
      <c r="K418" s="189"/>
      <c r="L418" s="190"/>
      <c r="M418" s="191"/>
      <c r="N418" s="191"/>
      <c r="O418" s="192"/>
      <c r="P418" s="189"/>
      <c r="Q418" s="189"/>
      <c r="R418" s="190"/>
      <c r="S418" s="190"/>
    </row>
    <row r="419">
      <c r="A419" s="189"/>
      <c r="B419" s="189"/>
      <c r="C419" s="189"/>
      <c r="D419" s="189"/>
      <c r="E419" s="189"/>
      <c r="F419" s="189"/>
      <c r="G419" s="189"/>
      <c r="H419" s="189"/>
      <c r="I419" s="189"/>
      <c r="J419" s="189"/>
      <c r="K419" s="189"/>
      <c r="L419" s="190"/>
      <c r="M419" s="191"/>
      <c r="N419" s="191"/>
      <c r="O419" s="192"/>
      <c r="P419" s="189"/>
      <c r="Q419" s="189"/>
      <c r="R419" s="190"/>
      <c r="S419" s="190"/>
    </row>
    <row r="420">
      <c r="A420" s="189"/>
      <c r="B420" s="189"/>
      <c r="C420" s="189"/>
      <c r="D420" s="189"/>
      <c r="E420" s="189"/>
      <c r="F420" s="189"/>
      <c r="G420" s="189"/>
      <c r="H420" s="189"/>
      <c r="I420" s="189"/>
      <c r="J420" s="189"/>
      <c r="K420" s="189"/>
      <c r="L420" s="190"/>
      <c r="M420" s="191"/>
      <c r="N420" s="191"/>
      <c r="O420" s="192"/>
      <c r="P420" s="189"/>
      <c r="Q420" s="189"/>
      <c r="R420" s="190"/>
      <c r="S420" s="190"/>
    </row>
    <row r="421">
      <c r="A421" s="189"/>
      <c r="B421" s="189"/>
      <c r="C421" s="189"/>
      <c r="D421" s="189"/>
      <c r="E421" s="189"/>
      <c r="F421" s="189"/>
      <c r="G421" s="189"/>
      <c r="H421" s="189"/>
      <c r="I421" s="189"/>
      <c r="J421" s="189"/>
      <c r="K421" s="189"/>
      <c r="L421" s="190"/>
      <c r="M421" s="191"/>
      <c r="N421" s="191"/>
      <c r="O421" s="192"/>
      <c r="P421" s="189"/>
      <c r="Q421" s="189"/>
      <c r="R421" s="190"/>
      <c r="S421" s="190"/>
    </row>
    <row r="422">
      <c r="A422" s="189"/>
      <c r="B422" s="189"/>
      <c r="C422" s="189"/>
      <c r="D422" s="189"/>
      <c r="E422" s="189"/>
      <c r="F422" s="189"/>
      <c r="G422" s="189"/>
      <c r="H422" s="189"/>
      <c r="I422" s="189"/>
      <c r="J422" s="189"/>
      <c r="K422" s="189"/>
      <c r="L422" s="190"/>
      <c r="M422" s="191"/>
      <c r="N422" s="191"/>
      <c r="O422" s="192"/>
      <c r="P422" s="189"/>
      <c r="Q422" s="189"/>
      <c r="R422" s="190"/>
      <c r="S422" s="190"/>
    </row>
    <row r="423">
      <c r="A423" s="189"/>
      <c r="B423" s="189"/>
      <c r="C423" s="189"/>
      <c r="D423" s="189"/>
      <c r="E423" s="189"/>
      <c r="F423" s="189"/>
      <c r="G423" s="189"/>
      <c r="H423" s="189"/>
      <c r="I423" s="189"/>
      <c r="J423" s="189"/>
      <c r="K423" s="189"/>
      <c r="L423" s="190"/>
      <c r="M423" s="191"/>
      <c r="N423" s="191"/>
      <c r="O423" s="192"/>
      <c r="P423" s="189"/>
      <c r="Q423" s="189"/>
      <c r="R423" s="190"/>
      <c r="S423" s="190"/>
    </row>
    <row r="424">
      <c r="A424" s="189"/>
      <c r="B424" s="189"/>
      <c r="C424" s="189"/>
      <c r="D424" s="189"/>
      <c r="E424" s="189"/>
      <c r="F424" s="189"/>
      <c r="G424" s="189"/>
      <c r="H424" s="189"/>
      <c r="I424" s="189"/>
      <c r="J424" s="189"/>
      <c r="K424" s="189"/>
      <c r="L424" s="190"/>
      <c r="M424" s="191"/>
      <c r="N424" s="191"/>
      <c r="O424" s="192"/>
      <c r="P424" s="189"/>
      <c r="Q424" s="189"/>
      <c r="R424" s="190"/>
      <c r="S424" s="190"/>
    </row>
    <row r="425">
      <c r="A425" s="189"/>
      <c r="B425" s="189"/>
      <c r="C425" s="189"/>
      <c r="D425" s="189"/>
      <c r="E425" s="189"/>
      <c r="F425" s="189"/>
      <c r="G425" s="189"/>
      <c r="H425" s="189"/>
      <c r="I425" s="189"/>
      <c r="J425" s="189"/>
      <c r="K425" s="189"/>
      <c r="L425" s="190"/>
      <c r="M425" s="191"/>
      <c r="N425" s="191"/>
      <c r="O425" s="192"/>
      <c r="P425" s="189"/>
      <c r="Q425" s="189"/>
      <c r="R425" s="190"/>
      <c r="S425" s="190"/>
    </row>
    <row r="426">
      <c r="A426" s="189"/>
      <c r="B426" s="189"/>
      <c r="C426" s="189"/>
      <c r="D426" s="189"/>
      <c r="E426" s="189"/>
      <c r="F426" s="189"/>
      <c r="G426" s="189"/>
      <c r="H426" s="189"/>
      <c r="I426" s="189"/>
      <c r="J426" s="189"/>
      <c r="K426" s="189"/>
      <c r="L426" s="190"/>
      <c r="M426" s="191"/>
      <c r="N426" s="191"/>
      <c r="O426" s="192"/>
      <c r="P426" s="189"/>
      <c r="Q426" s="189"/>
      <c r="R426" s="190"/>
      <c r="S426" s="190"/>
    </row>
    <row r="427">
      <c r="A427" s="189"/>
      <c r="B427" s="189"/>
      <c r="C427" s="189"/>
      <c r="D427" s="189"/>
      <c r="E427" s="189"/>
      <c r="F427" s="189"/>
      <c r="G427" s="189"/>
      <c r="H427" s="189"/>
      <c r="I427" s="189"/>
      <c r="J427" s="189"/>
      <c r="K427" s="189"/>
      <c r="L427" s="190"/>
      <c r="M427" s="191"/>
      <c r="N427" s="191"/>
      <c r="O427" s="192"/>
      <c r="P427" s="189"/>
      <c r="Q427" s="189"/>
      <c r="R427" s="190"/>
      <c r="S427" s="190"/>
    </row>
    <row r="428">
      <c r="A428" s="189"/>
      <c r="B428" s="189"/>
      <c r="C428" s="189"/>
      <c r="D428" s="189"/>
      <c r="E428" s="189"/>
      <c r="F428" s="189"/>
      <c r="G428" s="189"/>
      <c r="H428" s="189"/>
      <c r="I428" s="189"/>
      <c r="J428" s="189"/>
      <c r="K428" s="189"/>
      <c r="L428" s="190"/>
      <c r="M428" s="191"/>
      <c r="N428" s="191"/>
      <c r="O428" s="192"/>
      <c r="P428" s="189"/>
      <c r="Q428" s="189"/>
      <c r="R428" s="190"/>
      <c r="S428" s="190"/>
    </row>
    <row r="429">
      <c r="A429" s="189"/>
      <c r="B429" s="189"/>
      <c r="C429" s="189"/>
      <c r="D429" s="189"/>
      <c r="E429" s="189"/>
      <c r="F429" s="189"/>
      <c r="G429" s="189"/>
      <c r="H429" s="189"/>
      <c r="I429" s="189"/>
      <c r="J429" s="189"/>
      <c r="K429" s="189"/>
      <c r="L429" s="190"/>
      <c r="M429" s="191"/>
      <c r="N429" s="191"/>
      <c r="O429" s="192"/>
      <c r="P429" s="189"/>
      <c r="Q429" s="189"/>
      <c r="R429" s="190"/>
      <c r="S429" s="190"/>
    </row>
    <row r="430">
      <c r="A430" s="189"/>
      <c r="B430" s="189"/>
      <c r="C430" s="189"/>
      <c r="D430" s="189"/>
      <c r="E430" s="189"/>
      <c r="F430" s="189"/>
      <c r="G430" s="189"/>
      <c r="H430" s="189"/>
      <c r="I430" s="189"/>
      <c r="J430" s="189"/>
      <c r="K430" s="189"/>
      <c r="L430" s="190"/>
      <c r="M430" s="191"/>
      <c r="N430" s="191"/>
      <c r="O430" s="192"/>
      <c r="P430" s="189"/>
      <c r="Q430" s="189"/>
      <c r="R430" s="190"/>
      <c r="S430" s="190"/>
    </row>
    <row r="431">
      <c r="A431" s="189"/>
      <c r="B431" s="189"/>
      <c r="C431" s="189"/>
      <c r="D431" s="189"/>
      <c r="E431" s="189"/>
      <c r="F431" s="189"/>
      <c r="G431" s="189"/>
      <c r="H431" s="189"/>
      <c r="I431" s="189"/>
      <c r="J431" s="189"/>
      <c r="K431" s="189"/>
      <c r="L431" s="190"/>
      <c r="M431" s="191"/>
      <c r="N431" s="191"/>
      <c r="O431" s="192"/>
      <c r="P431" s="189"/>
      <c r="Q431" s="189"/>
      <c r="R431" s="190"/>
      <c r="S431" s="190"/>
    </row>
    <row r="432">
      <c r="A432" s="189"/>
      <c r="B432" s="189"/>
      <c r="C432" s="189"/>
      <c r="D432" s="189"/>
      <c r="E432" s="189"/>
      <c r="F432" s="189"/>
      <c r="G432" s="189"/>
      <c r="H432" s="189"/>
      <c r="I432" s="189"/>
      <c r="J432" s="189"/>
      <c r="K432" s="189"/>
      <c r="L432" s="190"/>
      <c r="M432" s="191"/>
      <c r="N432" s="191"/>
      <c r="O432" s="192"/>
      <c r="P432" s="189"/>
      <c r="Q432" s="189"/>
      <c r="R432" s="190"/>
      <c r="S432" s="190"/>
    </row>
    <row r="433">
      <c r="A433" s="189"/>
      <c r="B433" s="189"/>
      <c r="C433" s="189"/>
      <c r="D433" s="189"/>
      <c r="E433" s="189"/>
      <c r="F433" s="189"/>
      <c r="G433" s="189"/>
      <c r="H433" s="189"/>
      <c r="I433" s="189"/>
      <c r="J433" s="189"/>
      <c r="K433" s="189"/>
      <c r="L433" s="190"/>
      <c r="M433" s="191"/>
      <c r="N433" s="191"/>
      <c r="O433" s="192"/>
      <c r="P433" s="189"/>
      <c r="Q433" s="189"/>
      <c r="R433" s="190"/>
      <c r="S433" s="190"/>
    </row>
    <row r="434">
      <c r="A434" s="189"/>
      <c r="B434" s="189"/>
      <c r="C434" s="189"/>
      <c r="D434" s="189"/>
      <c r="E434" s="189"/>
      <c r="F434" s="189"/>
      <c r="G434" s="189"/>
      <c r="H434" s="189"/>
      <c r="I434" s="189"/>
      <c r="J434" s="189"/>
      <c r="K434" s="189"/>
      <c r="L434" s="190"/>
      <c r="M434" s="191"/>
      <c r="N434" s="191"/>
      <c r="O434" s="192"/>
      <c r="P434" s="189"/>
      <c r="Q434" s="189"/>
      <c r="R434" s="190"/>
      <c r="S434" s="190"/>
    </row>
    <row r="435">
      <c r="A435" s="189"/>
      <c r="B435" s="189"/>
      <c r="C435" s="189"/>
      <c r="D435" s="189"/>
      <c r="E435" s="189"/>
      <c r="F435" s="189"/>
      <c r="G435" s="189"/>
      <c r="H435" s="189"/>
      <c r="I435" s="189"/>
      <c r="J435" s="189"/>
      <c r="K435" s="189"/>
      <c r="L435" s="190"/>
      <c r="M435" s="191"/>
      <c r="N435" s="191"/>
      <c r="O435" s="192"/>
      <c r="P435" s="189"/>
      <c r="Q435" s="189"/>
      <c r="R435" s="190"/>
      <c r="S435" s="190"/>
    </row>
    <row r="436">
      <c r="A436" s="189"/>
      <c r="B436" s="189"/>
      <c r="C436" s="189"/>
      <c r="D436" s="189"/>
      <c r="E436" s="189"/>
      <c r="F436" s="189"/>
      <c r="G436" s="189"/>
      <c r="H436" s="189"/>
      <c r="I436" s="189"/>
      <c r="J436" s="189"/>
      <c r="K436" s="189"/>
      <c r="L436" s="190"/>
      <c r="M436" s="191"/>
      <c r="N436" s="191"/>
      <c r="O436" s="192"/>
      <c r="P436" s="189"/>
      <c r="Q436" s="189"/>
      <c r="R436" s="190"/>
      <c r="S436" s="190"/>
    </row>
    <row r="437">
      <c r="A437" s="189"/>
      <c r="B437" s="189"/>
      <c r="C437" s="189"/>
      <c r="D437" s="189"/>
      <c r="E437" s="189"/>
      <c r="F437" s="189"/>
      <c r="G437" s="189"/>
      <c r="H437" s="189"/>
      <c r="I437" s="189"/>
      <c r="J437" s="189"/>
      <c r="K437" s="189"/>
      <c r="L437" s="190"/>
      <c r="M437" s="191"/>
      <c r="N437" s="191"/>
      <c r="O437" s="192"/>
      <c r="P437" s="189"/>
      <c r="Q437" s="189"/>
      <c r="R437" s="190"/>
      <c r="S437" s="190"/>
    </row>
    <row r="438">
      <c r="A438" s="189"/>
      <c r="B438" s="189"/>
      <c r="C438" s="189"/>
      <c r="D438" s="189"/>
      <c r="E438" s="189"/>
      <c r="F438" s="189"/>
      <c r="G438" s="189"/>
      <c r="H438" s="189"/>
      <c r="I438" s="189"/>
      <c r="J438" s="189"/>
      <c r="K438" s="189"/>
      <c r="L438" s="190"/>
      <c r="M438" s="191"/>
      <c r="N438" s="191"/>
      <c r="O438" s="192"/>
      <c r="P438" s="189"/>
      <c r="Q438" s="189"/>
      <c r="R438" s="190"/>
      <c r="S438" s="190"/>
    </row>
    <row r="439">
      <c r="A439" s="189"/>
      <c r="B439" s="189"/>
      <c r="C439" s="189"/>
      <c r="D439" s="189"/>
      <c r="E439" s="189"/>
      <c r="F439" s="189"/>
      <c r="G439" s="189"/>
      <c r="H439" s="189"/>
      <c r="I439" s="189"/>
      <c r="J439" s="189"/>
      <c r="K439" s="189"/>
      <c r="L439" s="190"/>
      <c r="M439" s="191"/>
      <c r="N439" s="191"/>
      <c r="O439" s="192"/>
      <c r="P439" s="189"/>
      <c r="Q439" s="189"/>
      <c r="R439" s="190"/>
      <c r="S439" s="190"/>
    </row>
    <row r="440">
      <c r="A440" s="189"/>
      <c r="B440" s="189"/>
      <c r="C440" s="189"/>
      <c r="D440" s="189"/>
      <c r="E440" s="189"/>
      <c r="F440" s="189"/>
      <c r="G440" s="189"/>
      <c r="H440" s="189"/>
      <c r="I440" s="189"/>
      <c r="J440" s="189"/>
      <c r="K440" s="189"/>
      <c r="L440" s="190"/>
      <c r="M440" s="191"/>
      <c r="N440" s="191"/>
      <c r="O440" s="192"/>
      <c r="P440" s="189"/>
      <c r="Q440" s="189"/>
      <c r="R440" s="190"/>
      <c r="S440" s="190"/>
    </row>
    <row r="441">
      <c r="A441" s="189"/>
      <c r="B441" s="189"/>
      <c r="C441" s="189"/>
      <c r="D441" s="189"/>
      <c r="E441" s="189"/>
      <c r="F441" s="189"/>
      <c r="G441" s="189"/>
      <c r="H441" s="189"/>
      <c r="I441" s="189"/>
      <c r="J441" s="189"/>
      <c r="K441" s="189"/>
      <c r="L441" s="190"/>
      <c r="M441" s="191"/>
      <c r="N441" s="191"/>
      <c r="O441" s="192"/>
      <c r="P441" s="189"/>
      <c r="Q441" s="189"/>
      <c r="R441" s="190"/>
      <c r="S441" s="190"/>
    </row>
    <row r="442">
      <c r="A442" s="189"/>
      <c r="B442" s="189"/>
      <c r="C442" s="189"/>
      <c r="D442" s="189"/>
      <c r="E442" s="189"/>
      <c r="F442" s="189"/>
      <c r="G442" s="189"/>
      <c r="H442" s="189"/>
      <c r="I442" s="189"/>
      <c r="J442" s="189"/>
      <c r="K442" s="189"/>
      <c r="L442" s="190"/>
      <c r="M442" s="191"/>
      <c r="N442" s="191"/>
      <c r="O442" s="192"/>
      <c r="P442" s="189"/>
      <c r="Q442" s="189"/>
      <c r="R442" s="190"/>
      <c r="S442" s="190"/>
    </row>
    <row r="443">
      <c r="A443" s="189"/>
      <c r="B443" s="189"/>
      <c r="C443" s="189"/>
      <c r="D443" s="189"/>
      <c r="E443" s="189"/>
      <c r="F443" s="189"/>
      <c r="G443" s="189"/>
      <c r="H443" s="189"/>
      <c r="I443" s="189"/>
      <c r="J443" s="189"/>
      <c r="K443" s="189"/>
      <c r="L443" s="190"/>
      <c r="M443" s="191"/>
      <c r="N443" s="191"/>
      <c r="O443" s="192"/>
      <c r="P443" s="189"/>
      <c r="Q443" s="189"/>
      <c r="R443" s="190"/>
      <c r="S443" s="190"/>
    </row>
    <row r="444">
      <c r="A444" s="189"/>
      <c r="B444" s="189"/>
      <c r="C444" s="189"/>
      <c r="D444" s="189"/>
      <c r="E444" s="189"/>
      <c r="F444" s="189"/>
      <c r="G444" s="189"/>
      <c r="H444" s="189"/>
      <c r="I444" s="189"/>
      <c r="J444" s="189"/>
      <c r="K444" s="189"/>
      <c r="L444" s="190"/>
      <c r="M444" s="191"/>
      <c r="N444" s="191"/>
      <c r="O444" s="192"/>
      <c r="P444" s="189"/>
      <c r="Q444" s="189"/>
      <c r="R444" s="190"/>
      <c r="S444" s="190"/>
    </row>
    <row r="445">
      <c r="A445" s="189"/>
      <c r="B445" s="189"/>
      <c r="C445" s="189"/>
      <c r="D445" s="189"/>
      <c r="E445" s="189"/>
      <c r="F445" s="189"/>
      <c r="G445" s="189"/>
      <c r="H445" s="189"/>
      <c r="I445" s="189"/>
      <c r="J445" s="189"/>
      <c r="K445" s="189"/>
      <c r="L445" s="190"/>
      <c r="M445" s="191"/>
      <c r="N445" s="191"/>
      <c r="O445" s="192"/>
      <c r="P445" s="189"/>
      <c r="Q445" s="189"/>
      <c r="R445" s="190"/>
      <c r="S445" s="190"/>
    </row>
    <row r="446">
      <c r="A446" s="189"/>
      <c r="B446" s="189"/>
      <c r="C446" s="189"/>
      <c r="D446" s="189"/>
      <c r="E446" s="189"/>
      <c r="F446" s="189"/>
      <c r="G446" s="189"/>
      <c r="H446" s="189"/>
      <c r="I446" s="189"/>
      <c r="J446" s="189"/>
      <c r="K446" s="189"/>
      <c r="L446" s="190"/>
      <c r="M446" s="191"/>
      <c r="N446" s="191"/>
      <c r="O446" s="192"/>
      <c r="P446" s="189"/>
      <c r="Q446" s="189"/>
      <c r="R446" s="190"/>
      <c r="S446" s="190"/>
    </row>
    <row r="447">
      <c r="A447" s="189"/>
      <c r="B447" s="189"/>
      <c r="C447" s="189"/>
      <c r="D447" s="189"/>
      <c r="E447" s="189"/>
      <c r="F447" s="189"/>
      <c r="G447" s="189"/>
      <c r="H447" s="189"/>
      <c r="I447" s="189"/>
      <c r="J447" s="189"/>
      <c r="K447" s="189"/>
      <c r="L447" s="190"/>
      <c r="M447" s="191"/>
      <c r="N447" s="191"/>
      <c r="O447" s="192"/>
      <c r="P447" s="189"/>
      <c r="Q447" s="189"/>
      <c r="R447" s="190"/>
      <c r="S447" s="190"/>
    </row>
    <row r="448">
      <c r="A448" s="189"/>
      <c r="B448" s="189"/>
      <c r="C448" s="189"/>
      <c r="D448" s="189"/>
      <c r="E448" s="189"/>
      <c r="F448" s="189"/>
      <c r="G448" s="189"/>
      <c r="H448" s="189"/>
      <c r="I448" s="189"/>
      <c r="J448" s="189"/>
      <c r="K448" s="189"/>
      <c r="L448" s="190"/>
      <c r="M448" s="191"/>
      <c r="N448" s="191"/>
      <c r="O448" s="192"/>
      <c r="P448" s="189"/>
      <c r="Q448" s="189"/>
      <c r="R448" s="190"/>
      <c r="S448" s="190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190"/>
      <c r="S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190"/>
      <c r="S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190"/>
      <c r="S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190"/>
      <c r="S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190"/>
      <c r="S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190"/>
      <c r="S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190"/>
      <c r="S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190"/>
      <c r="S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190"/>
      <c r="S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</row>
  </sheetData>
  <conditionalFormatting sqref="Q2:Q499">
    <cfRule type="cellIs" dxfId="0" priority="1" operator="equal">
      <formula>"Ganha"</formula>
    </cfRule>
  </conditionalFormatting>
  <conditionalFormatting sqref="Q2:Q499">
    <cfRule type="cellIs" dxfId="1" priority="2" operator="equal">
      <formula>"Ganha/devolvida"</formula>
    </cfRule>
  </conditionalFormatting>
  <conditionalFormatting sqref="Q2:Q499">
    <cfRule type="cellIs" dxfId="2" priority="3" operator="equal">
      <formula>"Devolvida"</formula>
    </cfRule>
  </conditionalFormatting>
  <conditionalFormatting sqref="Q2:Q499">
    <cfRule type="cellIs" dxfId="3" priority="4" operator="equal">
      <formula>"Perdida/devolvida"</formula>
    </cfRule>
  </conditionalFormatting>
  <conditionalFormatting sqref="Q2:Q499">
    <cfRule type="cellIs" dxfId="4" priority="5" operator="equal">
      <formula>"Perdida"</formula>
    </cfRule>
  </conditionalFormatting>
  <conditionalFormatting sqref="R2:R457 S2:S998 V2:V33">
    <cfRule type="cellIs" dxfId="0" priority="6" operator="greaterThan">
      <formula>0</formula>
    </cfRule>
  </conditionalFormatting>
  <conditionalFormatting sqref="R2:R457 S2:S998 V2:V33">
    <cfRule type="cellIs" dxfId="4" priority="7" operator="lessThan">
      <formula>0</formula>
    </cfRule>
  </conditionalFormatting>
  <conditionalFormatting sqref="R2:R998 V2:V33">
    <cfRule type="cellIs" dxfId="2" priority="8" operator="equal">
      <formula>0</formula>
    </cfRule>
  </conditionalFormatting>
  <drawing r:id="rId1"/>
  <tableParts count="3">
    <tablePart r:id="rId5"/>
    <tablePart r:id="rId6"/>
    <tablePart r:id="rId7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3.75"/>
    <col customWidth="1" min="3" max="3" width="60.38"/>
    <col customWidth="1" min="4" max="4" width="10.38"/>
    <col customWidth="1" min="5" max="5" width="4.88"/>
    <col customWidth="1" min="6" max="7" width="9.13"/>
    <col customWidth="1" min="8" max="11" width="5.88"/>
    <col customWidth="1" min="12" max="12" width="6.5"/>
    <col customWidth="1" min="13" max="13" width="14.75"/>
    <col customWidth="1" min="14" max="14" width="10.75"/>
    <col customWidth="1" min="15" max="15" width="7.25"/>
    <col customWidth="1" min="16" max="16" width="7.88"/>
    <col customWidth="1" min="17" max="17" width="6.25"/>
    <col customWidth="1" min="18" max="18" width="6.5"/>
  </cols>
  <sheetData>
    <row r="1">
      <c r="A1" s="3" t="s">
        <v>0</v>
      </c>
      <c r="B1" s="2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2" t="s">
        <v>7</v>
      </c>
      <c r="H1" s="4" t="s">
        <v>8</v>
      </c>
      <c r="I1" s="5" t="s">
        <v>9</v>
      </c>
      <c r="J1" s="4" t="s">
        <v>10</v>
      </c>
      <c r="K1" s="6" t="s">
        <v>11</v>
      </c>
      <c r="L1" s="97" t="s">
        <v>12</v>
      </c>
      <c r="M1" s="3" t="s">
        <v>13</v>
      </c>
      <c r="N1" s="4" t="s">
        <v>2372</v>
      </c>
      <c r="O1" s="4" t="s">
        <v>15</v>
      </c>
      <c r="Q1" s="3" t="s">
        <v>16</v>
      </c>
      <c r="R1" s="3" t="s">
        <v>15</v>
      </c>
      <c r="S1" s="3" t="s">
        <v>17</v>
      </c>
    </row>
    <row r="2">
      <c r="A2" s="64">
        <f>1</f>
        <v>1</v>
      </c>
      <c r="B2" s="64" t="s">
        <v>19</v>
      </c>
      <c r="C2" s="64" t="s">
        <v>5759</v>
      </c>
      <c r="D2" s="64" t="s">
        <v>99</v>
      </c>
      <c r="E2" s="64" t="s">
        <v>22</v>
      </c>
      <c r="F2" s="64" t="s">
        <v>225</v>
      </c>
      <c r="G2" s="64"/>
      <c r="H2" s="65">
        <f>0.5</f>
        <v>0.5</v>
      </c>
      <c r="I2" s="65">
        <v>0.5</v>
      </c>
      <c r="J2" s="65">
        <v>0.5</v>
      </c>
      <c r="K2" s="66">
        <v>45063.0</v>
      </c>
      <c r="L2" s="67">
        <f>265.18/250</f>
        <v>1.06072</v>
      </c>
      <c r="M2" s="64" t="s">
        <v>33</v>
      </c>
      <c r="N2" s="68">
        <f t="shared" ref="N2:N315" si="1">IF(M2="ganha",(J2*(L2-1)),IF(M2="perdida",-J2,IF(M2="devolvida",0,IF(M2="ganha/devolvida",((J2*(L2-1)))/2,IF(M2="perdida/devolvida",-J2/2,IF(M2="Aguardando",0,""))))))</f>
        <v>0.03036</v>
      </c>
      <c r="O2" s="68">
        <f>N2</f>
        <v>0.03036</v>
      </c>
      <c r="Q2" s="66">
        <v>45047.0</v>
      </c>
      <c r="R2" s="13">
        <f t="shared" ref="R2:R32" si="2">SUMIF($K$2:$K$2981,Q2,$N$2:$N$2981)</f>
        <v>0</v>
      </c>
      <c r="S2" s="14">
        <f>SUMIF($M$2:$M$2981,"Aguardando",$J$2:$J$2981)</f>
        <v>0</v>
      </c>
    </row>
    <row r="3">
      <c r="A3" s="64">
        <f t="shared" ref="A3:A406" si="3">A2+1</f>
        <v>2</v>
      </c>
      <c r="B3" s="64" t="s">
        <v>19</v>
      </c>
      <c r="C3" s="64" t="s">
        <v>5760</v>
      </c>
      <c r="D3" s="64" t="s">
        <v>82</v>
      </c>
      <c r="E3" s="64" t="s">
        <v>22</v>
      </c>
      <c r="F3" s="64" t="s">
        <v>29</v>
      </c>
      <c r="G3" s="64"/>
      <c r="H3" s="65">
        <v>-3.5</v>
      </c>
      <c r="I3" s="65">
        <v>0.5</v>
      </c>
      <c r="J3" s="65">
        <v>0.5</v>
      </c>
      <c r="K3" s="66">
        <v>45063.0</v>
      </c>
      <c r="L3" s="67">
        <v>2.0</v>
      </c>
      <c r="M3" s="64" t="s">
        <v>25</v>
      </c>
      <c r="N3" s="68">
        <f t="shared" si="1"/>
        <v>-0.5</v>
      </c>
      <c r="O3" s="68">
        <f t="shared" ref="O3:O315" si="4">O2+N3</f>
        <v>-0.46964</v>
      </c>
      <c r="Q3" s="66">
        <v>45048.0</v>
      </c>
      <c r="R3" s="13">
        <f t="shared" si="2"/>
        <v>0</v>
      </c>
    </row>
    <row r="4">
      <c r="A4" s="64">
        <f t="shared" si="3"/>
        <v>3</v>
      </c>
      <c r="B4" s="64" t="s">
        <v>19</v>
      </c>
      <c r="C4" s="64" t="s">
        <v>5761</v>
      </c>
      <c r="D4" s="64" t="s">
        <v>121</v>
      </c>
      <c r="E4" s="64" t="s">
        <v>22</v>
      </c>
      <c r="F4" s="64" t="s">
        <v>225</v>
      </c>
      <c r="G4" s="64"/>
      <c r="H4" s="65">
        <v>0.5</v>
      </c>
      <c r="I4" s="65">
        <v>0.5</v>
      </c>
      <c r="J4" s="65">
        <f>0.14*0.5</f>
        <v>0.07</v>
      </c>
      <c r="K4" s="66">
        <v>45063.0</v>
      </c>
      <c r="L4" s="67">
        <v>1.8</v>
      </c>
      <c r="M4" s="64" t="s">
        <v>25</v>
      </c>
      <c r="N4" s="68">
        <f t="shared" si="1"/>
        <v>-0.07</v>
      </c>
      <c r="O4" s="68">
        <f t="shared" si="4"/>
        <v>-0.53964</v>
      </c>
      <c r="Q4" s="66">
        <v>45049.0</v>
      </c>
      <c r="R4" s="13">
        <f t="shared" si="2"/>
        <v>0</v>
      </c>
      <c r="S4" s="3" t="s">
        <v>34</v>
      </c>
    </row>
    <row r="5">
      <c r="A5" s="64">
        <f t="shared" si="3"/>
        <v>4</v>
      </c>
      <c r="B5" s="64" t="s">
        <v>40</v>
      </c>
      <c r="C5" s="64" t="s">
        <v>5762</v>
      </c>
      <c r="D5" s="64" t="s">
        <v>1549</v>
      </c>
      <c r="E5" s="64" t="s">
        <v>22</v>
      </c>
      <c r="F5" s="64" t="s">
        <v>225</v>
      </c>
      <c r="G5" s="64"/>
      <c r="H5" s="65">
        <v>0.25</v>
      </c>
      <c r="I5" s="65">
        <v>1.0</v>
      </c>
      <c r="J5" s="65">
        <v>0.53</v>
      </c>
      <c r="K5" s="66">
        <v>45063.0</v>
      </c>
      <c r="L5" s="67">
        <v>1.85</v>
      </c>
      <c r="M5" s="64" t="s">
        <v>25</v>
      </c>
      <c r="N5" s="68">
        <f t="shared" si="1"/>
        <v>-0.53</v>
      </c>
      <c r="O5" s="68">
        <f t="shared" si="4"/>
        <v>-1.06964</v>
      </c>
      <c r="Q5" s="66">
        <v>45050.0</v>
      </c>
      <c r="R5" s="13">
        <f t="shared" si="2"/>
        <v>0</v>
      </c>
      <c r="S5" s="20">
        <f>sum(J2:J1014)</f>
        <v>93.72</v>
      </c>
    </row>
    <row r="6">
      <c r="A6" s="64">
        <f t="shared" si="3"/>
        <v>5</v>
      </c>
      <c r="B6" s="64" t="s">
        <v>19</v>
      </c>
      <c r="C6" s="64" t="s">
        <v>5763</v>
      </c>
      <c r="D6" s="64" t="s">
        <v>101</v>
      </c>
      <c r="E6" s="64" t="s">
        <v>22</v>
      </c>
      <c r="F6" s="64" t="s">
        <v>1150</v>
      </c>
      <c r="G6" s="64"/>
      <c r="H6" s="65">
        <v>0.0</v>
      </c>
      <c r="I6" s="65">
        <v>1.0</v>
      </c>
      <c r="J6" s="65">
        <v>0.39</v>
      </c>
      <c r="K6" s="66">
        <v>45063.0</v>
      </c>
      <c r="L6" s="67">
        <v>1.85</v>
      </c>
      <c r="M6" s="64" t="s">
        <v>25</v>
      </c>
      <c r="N6" s="68">
        <f t="shared" si="1"/>
        <v>-0.39</v>
      </c>
      <c r="O6" s="68">
        <f t="shared" si="4"/>
        <v>-1.45964</v>
      </c>
      <c r="Q6" s="66">
        <v>45051.0</v>
      </c>
      <c r="R6" s="13">
        <f t="shared" si="2"/>
        <v>0</v>
      </c>
    </row>
    <row r="7">
      <c r="A7" s="64">
        <f t="shared" si="3"/>
        <v>6</v>
      </c>
      <c r="B7" s="64" t="s">
        <v>19</v>
      </c>
      <c r="C7" s="64" t="s">
        <v>5764</v>
      </c>
      <c r="D7" s="64" t="s">
        <v>101</v>
      </c>
      <c r="E7" s="64" t="s">
        <v>22</v>
      </c>
      <c r="F7" s="64" t="s">
        <v>1847</v>
      </c>
      <c r="G7" s="64"/>
      <c r="H7" s="65">
        <v>-0.5</v>
      </c>
      <c r="I7" s="65">
        <v>1.0</v>
      </c>
      <c r="J7" s="65">
        <v>1.0</v>
      </c>
      <c r="K7" s="66">
        <v>45063.0</v>
      </c>
      <c r="L7" s="67">
        <v>1.8</v>
      </c>
      <c r="M7" s="64" t="s">
        <v>33</v>
      </c>
      <c r="N7" s="68">
        <f t="shared" si="1"/>
        <v>0.8</v>
      </c>
      <c r="O7" s="68">
        <f t="shared" si="4"/>
        <v>-0.65964</v>
      </c>
      <c r="Q7" s="66">
        <v>45052.0</v>
      </c>
      <c r="R7" s="13">
        <f t="shared" si="2"/>
        <v>0</v>
      </c>
      <c r="S7" s="3" t="s">
        <v>45</v>
      </c>
    </row>
    <row r="8">
      <c r="A8" s="64">
        <f t="shared" si="3"/>
        <v>7</v>
      </c>
      <c r="B8" s="64" t="s">
        <v>40</v>
      </c>
      <c r="C8" s="64" t="s">
        <v>5765</v>
      </c>
      <c r="D8" s="64" t="s">
        <v>794</v>
      </c>
      <c r="E8" s="64" t="s">
        <v>22</v>
      </c>
      <c r="F8" s="64" t="s">
        <v>225</v>
      </c>
      <c r="G8" s="64"/>
      <c r="H8" s="65">
        <v>2.5</v>
      </c>
      <c r="I8" s="65">
        <f t="shared" ref="I8:J8" si="5">0.53*0.5</f>
        <v>0.265</v>
      </c>
      <c r="J8" s="65">
        <f t="shared" si="5"/>
        <v>0.265</v>
      </c>
      <c r="K8" s="66">
        <v>45063.0</v>
      </c>
      <c r="L8" s="67">
        <v>1.85</v>
      </c>
      <c r="M8" s="64" t="s">
        <v>33</v>
      </c>
      <c r="N8" s="68">
        <f t="shared" si="1"/>
        <v>0.22525</v>
      </c>
      <c r="O8" s="68">
        <f t="shared" si="4"/>
        <v>-0.43439</v>
      </c>
      <c r="Q8" s="66">
        <v>45053.0</v>
      </c>
      <c r="R8" s="13">
        <f t="shared" si="2"/>
        <v>0</v>
      </c>
      <c r="S8" s="21">
        <f>R33/(SUM(J3:J4934)-S2)</f>
        <v>0.09309887006</v>
      </c>
    </row>
    <row r="9">
      <c r="A9" s="64">
        <f t="shared" si="3"/>
        <v>8</v>
      </c>
      <c r="B9" s="64" t="s">
        <v>40</v>
      </c>
      <c r="C9" s="64" t="s">
        <v>5766</v>
      </c>
      <c r="D9" s="64" t="s">
        <v>794</v>
      </c>
      <c r="E9" s="64" t="s">
        <v>22</v>
      </c>
      <c r="F9" s="64" t="s">
        <v>225</v>
      </c>
      <c r="G9" s="64"/>
      <c r="H9" s="65">
        <v>2.25</v>
      </c>
      <c r="I9" s="65">
        <f t="shared" ref="I9:J9" si="6">0.47*0.5</f>
        <v>0.235</v>
      </c>
      <c r="J9" s="65">
        <f t="shared" si="6"/>
        <v>0.235</v>
      </c>
      <c r="K9" s="66">
        <v>45063.0</v>
      </c>
      <c r="L9" s="67">
        <v>1.975</v>
      </c>
      <c r="M9" s="64" t="s">
        <v>33</v>
      </c>
      <c r="N9" s="68">
        <f t="shared" si="1"/>
        <v>0.229125</v>
      </c>
      <c r="O9" s="68">
        <f t="shared" si="4"/>
        <v>-0.205265</v>
      </c>
      <c r="Q9" s="66">
        <v>45054.0</v>
      </c>
      <c r="R9" s="13">
        <f t="shared" si="2"/>
        <v>0</v>
      </c>
    </row>
    <row r="10">
      <c r="A10" s="64">
        <f t="shared" si="3"/>
        <v>9</v>
      </c>
      <c r="B10" s="64" t="s">
        <v>19</v>
      </c>
      <c r="C10" s="64" t="s">
        <v>5767</v>
      </c>
      <c r="D10" s="64" t="s">
        <v>513</v>
      </c>
      <c r="E10" s="64" t="s">
        <v>22</v>
      </c>
      <c r="F10" s="64" t="s">
        <v>29</v>
      </c>
      <c r="G10" s="64"/>
      <c r="H10" s="65">
        <v>-14.0</v>
      </c>
      <c r="I10" s="65">
        <v>0.5</v>
      </c>
      <c r="J10" s="65">
        <f>0.58*0.5</f>
        <v>0.29</v>
      </c>
      <c r="K10" s="66">
        <v>45063.0</v>
      </c>
      <c r="L10" s="67">
        <v>1.95</v>
      </c>
      <c r="M10" s="64" t="s">
        <v>70</v>
      </c>
      <c r="N10" s="68">
        <f t="shared" si="1"/>
        <v>0</v>
      </c>
      <c r="O10" s="68">
        <f t="shared" si="4"/>
        <v>-0.205265</v>
      </c>
      <c r="Q10" s="66">
        <v>45055.0</v>
      </c>
      <c r="R10" s="13">
        <f t="shared" si="2"/>
        <v>0</v>
      </c>
      <c r="S10" s="2" t="s">
        <v>55</v>
      </c>
    </row>
    <row r="11">
      <c r="A11" s="64">
        <f t="shared" si="3"/>
        <v>10</v>
      </c>
      <c r="B11" s="64" t="s">
        <v>19</v>
      </c>
      <c r="C11" s="64" t="s">
        <v>5768</v>
      </c>
      <c r="D11" s="64" t="s">
        <v>167</v>
      </c>
      <c r="E11" s="64" t="s">
        <v>22</v>
      </c>
      <c r="F11" s="64" t="s">
        <v>225</v>
      </c>
      <c r="G11" s="64"/>
      <c r="H11" s="65">
        <v>0.75</v>
      </c>
      <c r="I11" s="65">
        <v>0.5</v>
      </c>
      <c r="J11" s="65">
        <v>0.5</v>
      </c>
      <c r="K11" s="66">
        <v>45063.0</v>
      </c>
      <c r="L11" s="67">
        <v>1.775</v>
      </c>
      <c r="M11" s="64" t="s">
        <v>79</v>
      </c>
      <c r="N11" s="68">
        <f t="shared" si="1"/>
        <v>-0.25</v>
      </c>
      <c r="O11" s="68">
        <f t="shared" si="4"/>
        <v>-0.455265</v>
      </c>
      <c r="Q11" s="66">
        <v>45056.0</v>
      </c>
      <c r="R11" s="13">
        <f t="shared" si="2"/>
        <v>0</v>
      </c>
      <c r="S11" s="21">
        <f>(SUMPRODUCT(--(I2:I1000 = J2:J1000))-countif(I2:I1000,""))/countif(I2:I1000,"&gt;0")</f>
        <v>0.6226415094</v>
      </c>
    </row>
    <row r="12">
      <c r="A12" s="64">
        <f t="shared" si="3"/>
        <v>11</v>
      </c>
      <c r="B12" s="64" t="s">
        <v>40</v>
      </c>
      <c r="C12" s="64" t="s">
        <v>5769</v>
      </c>
      <c r="D12" s="64" t="s">
        <v>82</v>
      </c>
      <c r="E12" s="64" t="s">
        <v>22</v>
      </c>
      <c r="F12" s="64" t="s">
        <v>1023</v>
      </c>
      <c r="G12" s="64"/>
      <c r="H12" s="65">
        <f>0.5</f>
        <v>0.5</v>
      </c>
      <c r="I12" s="65">
        <v>0.5</v>
      </c>
      <c r="J12" s="65">
        <v>0.5</v>
      </c>
      <c r="K12" s="66">
        <v>45063.0</v>
      </c>
      <c r="L12" s="67">
        <f>675/250</f>
        <v>2.7</v>
      </c>
      <c r="M12" s="64" t="s">
        <v>33</v>
      </c>
      <c r="N12" s="68">
        <f t="shared" si="1"/>
        <v>0.85</v>
      </c>
      <c r="O12" s="68">
        <f t="shared" si="4"/>
        <v>0.394735</v>
      </c>
      <c r="Q12" s="66">
        <v>45057.0</v>
      </c>
      <c r="R12" s="13">
        <f t="shared" si="2"/>
        <v>0</v>
      </c>
    </row>
    <row r="13">
      <c r="A13" s="64">
        <f t="shared" si="3"/>
        <v>12</v>
      </c>
      <c r="B13" s="64" t="s">
        <v>19</v>
      </c>
      <c r="C13" s="64" t="s">
        <v>5770</v>
      </c>
      <c r="D13" s="64" t="s">
        <v>82</v>
      </c>
      <c r="E13" s="64" t="s">
        <v>22</v>
      </c>
      <c r="F13" s="64" t="s">
        <v>225</v>
      </c>
      <c r="G13" s="64"/>
      <c r="H13" s="65">
        <v>0.25</v>
      </c>
      <c r="I13" s="65">
        <v>1.0</v>
      </c>
      <c r="J13" s="65">
        <v>1.0</v>
      </c>
      <c r="K13" s="66">
        <v>45063.0</v>
      </c>
      <c r="L13" s="67">
        <f>511/500</f>
        <v>1.022</v>
      </c>
      <c r="M13" s="64" t="s">
        <v>33</v>
      </c>
      <c r="N13" s="68">
        <f t="shared" si="1"/>
        <v>0.022</v>
      </c>
      <c r="O13" s="68">
        <f t="shared" si="4"/>
        <v>0.416735</v>
      </c>
      <c r="Q13" s="66">
        <v>45058.0</v>
      </c>
      <c r="R13" s="13">
        <f t="shared" si="2"/>
        <v>0</v>
      </c>
      <c r="S13" s="2" t="s">
        <v>61</v>
      </c>
    </row>
    <row r="14">
      <c r="A14" s="64">
        <f t="shared" si="3"/>
        <v>13</v>
      </c>
      <c r="B14" s="64" t="s">
        <v>19</v>
      </c>
      <c r="C14" s="64" t="s">
        <v>5771</v>
      </c>
      <c r="D14" s="64" t="s">
        <v>2378</v>
      </c>
      <c r="E14" s="64" t="s">
        <v>22</v>
      </c>
      <c r="F14" s="64" t="s">
        <v>225</v>
      </c>
      <c r="G14" s="64"/>
      <c r="H14" s="65">
        <v>0.5</v>
      </c>
      <c r="I14" s="65">
        <v>1.0</v>
      </c>
      <c r="J14" s="65">
        <v>1.0</v>
      </c>
      <c r="K14" s="66">
        <v>45064.0</v>
      </c>
      <c r="L14" s="67">
        <v>1.85</v>
      </c>
      <c r="M14" s="64" t="s">
        <v>33</v>
      </c>
      <c r="N14" s="68">
        <f t="shared" si="1"/>
        <v>0.85</v>
      </c>
      <c r="O14" s="68">
        <f t="shared" si="4"/>
        <v>1.266735</v>
      </c>
      <c r="Q14" s="66">
        <v>45059.0</v>
      </c>
      <c r="R14" s="13">
        <f t="shared" si="2"/>
        <v>0</v>
      </c>
      <c r="S14" s="22">
        <f>average(L2:L1000)</f>
        <v>1.890552746</v>
      </c>
    </row>
    <row r="15">
      <c r="A15" s="64">
        <f t="shared" si="3"/>
        <v>14</v>
      </c>
      <c r="B15" s="64" t="s">
        <v>19</v>
      </c>
      <c r="C15" s="64" t="s">
        <v>5772</v>
      </c>
      <c r="D15" s="64" t="s">
        <v>44</v>
      </c>
      <c r="E15" s="64" t="s">
        <v>22</v>
      </c>
      <c r="F15" s="64" t="s">
        <v>225</v>
      </c>
      <c r="G15" s="64"/>
      <c r="H15" s="65">
        <v>0.5</v>
      </c>
      <c r="I15" s="65">
        <v>1.0</v>
      </c>
      <c r="J15" s="65">
        <v>1.0</v>
      </c>
      <c r="K15" s="66">
        <v>45064.0</v>
      </c>
      <c r="L15" s="67">
        <v>1.8</v>
      </c>
      <c r="M15" s="64" t="s">
        <v>25</v>
      </c>
      <c r="N15" s="68">
        <f t="shared" si="1"/>
        <v>-1</v>
      </c>
      <c r="O15" s="68">
        <f t="shared" si="4"/>
        <v>0.266735</v>
      </c>
      <c r="Q15" s="66">
        <v>45060.0</v>
      </c>
      <c r="R15" s="13">
        <f t="shared" si="2"/>
        <v>0</v>
      </c>
    </row>
    <row r="16">
      <c r="A16" s="64">
        <f t="shared" si="3"/>
        <v>15</v>
      </c>
      <c r="B16" s="64" t="s">
        <v>19</v>
      </c>
      <c r="C16" s="64" t="s">
        <v>5773</v>
      </c>
      <c r="D16" s="64" t="s">
        <v>231</v>
      </c>
      <c r="E16" s="64" t="s">
        <v>22</v>
      </c>
      <c r="F16" s="64" t="s">
        <v>892</v>
      </c>
      <c r="G16" s="64"/>
      <c r="H16" s="65">
        <v>0.0</v>
      </c>
      <c r="I16" s="65">
        <v>1.0</v>
      </c>
      <c r="J16" s="65">
        <v>1.0</v>
      </c>
      <c r="K16" s="66">
        <v>45064.0</v>
      </c>
      <c r="L16" s="67">
        <v>1.95</v>
      </c>
      <c r="M16" s="64" t="s">
        <v>25</v>
      </c>
      <c r="N16" s="68">
        <f t="shared" si="1"/>
        <v>-1</v>
      </c>
      <c r="O16" s="68">
        <f t="shared" si="4"/>
        <v>-0.733265</v>
      </c>
      <c r="Q16" s="66">
        <v>45061.0</v>
      </c>
      <c r="R16" s="13">
        <f t="shared" si="2"/>
        <v>0</v>
      </c>
    </row>
    <row r="17">
      <c r="A17" s="64">
        <f t="shared" si="3"/>
        <v>16</v>
      </c>
      <c r="B17" s="64" t="s">
        <v>19</v>
      </c>
      <c r="C17" s="64" t="s">
        <v>5774</v>
      </c>
      <c r="D17" s="64" t="s">
        <v>233</v>
      </c>
      <c r="E17" s="64" t="s">
        <v>22</v>
      </c>
      <c r="F17" s="64" t="s">
        <v>892</v>
      </c>
      <c r="G17" s="64"/>
      <c r="H17" s="65">
        <v>0.0</v>
      </c>
      <c r="I17" s="65">
        <v>1.0</v>
      </c>
      <c r="J17" s="65">
        <v>0.38</v>
      </c>
      <c r="K17" s="66">
        <v>45064.0</v>
      </c>
      <c r="L17" s="67">
        <v>2.025</v>
      </c>
      <c r="M17" s="64" t="s">
        <v>25</v>
      </c>
      <c r="N17" s="68">
        <f t="shared" si="1"/>
        <v>-0.38</v>
      </c>
      <c r="O17" s="68">
        <f t="shared" si="4"/>
        <v>-1.113265</v>
      </c>
      <c r="Q17" s="66">
        <v>45062.0</v>
      </c>
      <c r="R17" s="13">
        <f t="shared" si="2"/>
        <v>0</v>
      </c>
    </row>
    <row r="18">
      <c r="A18" s="64">
        <f t="shared" si="3"/>
        <v>17</v>
      </c>
      <c r="B18" s="64" t="s">
        <v>19</v>
      </c>
      <c r="C18" s="64" t="s">
        <v>5775</v>
      </c>
      <c r="D18" s="64" t="s">
        <v>616</v>
      </c>
      <c r="E18" s="64" t="s">
        <v>22</v>
      </c>
      <c r="F18" s="64" t="s">
        <v>225</v>
      </c>
      <c r="G18" s="64"/>
      <c r="H18" s="65">
        <v>0.25</v>
      </c>
      <c r="I18" s="65">
        <v>1.0</v>
      </c>
      <c r="J18" s="65">
        <v>1.0</v>
      </c>
      <c r="K18" s="66">
        <v>45064.0</v>
      </c>
      <c r="L18" s="67">
        <v>1.95</v>
      </c>
      <c r="M18" s="64" t="s">
        <v>30</v>
      </c>
      <c r="N18" s="68">
        <f t="shared" si="1"/>
        <v>0.475</v>
      </c>
      <c r="O18" s="68">
        <f t="shared" si="4"/>
        <v>-0.638265</v>
      </c>
      <c r="Q18" s="66">
        <v>45063.0</v>
      </c>
      <c r="R18" s="13">
        <f t="shared" si="2"/>
        <v>0.416735</v>
      </c>
    </row>
    <row r="19">
      <c r="A19" s="64">
        <f t="shared" si="3"/>
        <v>18</v>
      </c>
      <c r="B19" s="64" t="s">
        <v>19</v>
      </c>
      <c r="C19" s="64" t="s">
        <v>5776</v>
      </c>
      <c r="D19" s="64" t="s">
        <v>513</v>
      </c>
      <c r="E19" s="64" t="s">
        <v>22</v>
      </c>
      <c r="F19" s="64" t="s">
        <v>225</v>
      </c>
      <c r="G19" s="64"/>
      <c r="H19" s="65">
        <v>0.5</v>
      </c>
      <c r="I19" s="65">
        <v>1.0</v>
      </c>
      <c r="J19" s="65">
        <v>0.6</v>
      </c>
      <c r="K19" s="66">
        <v>45064.0</v>
      </c>
      <c r="L19" s="67">
        <v>1.725</v>
      </c>
      <c r="M19" s="64" t="s">
        <v>25</v>
      </c>
      <c r="N19" s="68">
        <f t="shared" si="1"/>
        <v>-0.6</v>
      </c>
      <c r="O19" s="68">
        <f t="shared" si="4"/>
        <v>-1.238265</v>
      </c>
      <c r="Q19" s="66">
        <v>45064.0</v>
      </c>
      <c r="R19" s="13">
        <f t="shared" si="2"/>
        <v>0.5805</v>
      </c>
    </row>
    <row r="20">
      <c r="A20" s="64">
        <f t="shared" si="3"/>
        <v>19</v>
      </c>
      <c r="B20" s="64" t="s">
        <v>19</v>
      </c>
      <c r="C20" s="64" t="s">
        <v>5777</v>
      </c>
      <c r="D20" s="64" t="s">
        <v>1006</v>
      </c>
      <c r="E20" s="64" t="s">
        <v>22</v>
      </c>
      <c r="F20" s="64" t="s">
        <v>29</v>
      </c>
      <c r="G20" s="64"/>
      <c r="H20" s="65">
        <v>-9.75</v>
      </c>
      <c r="I20" s="65">
        <v>0.09</v>
      </c>
      <c r="J20" s="65">
        <v>0.09</v>
      </c>
      <c r="K20" s="66">
        <v>45064.0</v>
      </c>
      <c r="L20" s="67">
        <v>1.8</v>
      </c>
      <c r="M20" s="64" t="s">
        <v>33</v>
      </c>
      <c r="N20" s="68">
        <f t="shared" si="1"/>
        <v>0.072</v>
      </c>
      <c r="O20" s="68">
        <f t="shared" si="4"/>
        <v>-1.166265</v>
      </c>
      <c r="Q20" s="66">
        <v>45065.0</v>
      </c>
      <c r="R20" s="13">
        <f t="shared" si="2"/>
        <v>-1.2635</v>
      </c>
    </row>
    <row r="21">
      <c r="A21" s="64">
        <f t="shared" si="3"/>
        <v>20</v>
      </c>
      <c r="B21" s="64" t="s">
        <v>19</v>
      </c>
      <c r="C21" s="64" t="s">
        <v>5778</v>
      </c>
      <c r="D21" s="64" t="s">
        <v>1006</v>
      </c>
      <c r="E21" s="64" t="s">
        <v>22</v>
      </c>
      <c r="F21" s="64" t="s">
        <v>29</v>
      </c>
      <c r="G21" s="64"/>
      <c r="H21" s="65">
        <v>-9.5</v>
      </c>
      <c r="I21" s="65">
        <v>0.41</v>
      </c>
      <c r="J21" s="65">
        <v>0.41</v>
      </c>
      <c r="K21" s="66">
        <v>45064.0</v>
      </c>
      <c r="L21" s="67">
        <v>1.95</v>
      </c>
      <c r="M21" s="64" t="s">
        <v>33</v>
      </c>
      <c r="N21" s="68">
        <f t="shared" si="1"/>
        <v>0.3895</v>
      </c>
      <c r="O21" s="68">
        <f t="shared" si="4"/>
        <v>-0.776765</v>
      </c>
      <c r="Q21" s="66">
        <v>45066.0</v>
      </c>
      <c r="R21" s="13">
        <f t="shared" si="2"/>
        <v>-0.8580833333</v>
      </c>
    </row>
    <row r="22">
      <c r="A22" s="64">
        <f t="shared" si="3"/>
        <v>21</v>
      </c>
      <c r="B22" s="64" t="s">
        <v>19</v>
      </c>
      <c r="C22" s="64" t="s">
        <v>5779</v>
      </c>
      <c r="D22" s="64" t="s">
        <v>513</v>
      </c>
      <c r="E22" s="64" t="s">
        <v>22</v>
      </c>
      <c r="F22" s="64" t="s">
        <v>225</v>
      </c>
      <c r="G22" s="64"/>
      <c r="H22" s="65">
        <v>0.75</v>
      </c>
      <c r="I22" s="65">
        <v>1.0</v>
      </c>
      <c r="J22" s="65">
        <v>1.0</v>
      </c>
      <c r="K22" s="66">
        <v>45064.0</v>
      </c>
      <c r="L22" s="67">
        <v>1.85</v>
      </c>
      <c r="M22" s="64" t="s">
        <v>33</v>
      </c>
      <c r="N22" s="68">
        <f t="shared" si="1"/>
        <v>0.85</v>
      </c>
      <c r="O22" s="68">
        <f t="shared" si="4"/>
        <v>0.073235</v>
      </c>
      <c r="Q22" s="66">
        <v>45067.0</v>
      </c>
      <c r="R22" s="13">
        <f t="shared" si="2"/>
        <v>2.73835</v>
      </c>
    </row>
    <row r="23">
      <c r="A23" s="64">
        <f t="shared" si="3"/>
        <v>22</v>
      </c>
      <c r="B23" s="64" t="s">
        <v>40</v>
      </c>
      <c r="C23" s="64" t="s">
        <v>5780</v>
      </c>
      <c r="D23" s="64" t="s">
        <v>82</v>
      </c>
      <c r="E23" s="64" t="s">
        <v>22</v>
      </c>
      <c r="F23" s="64" t="s">
        <v>225</v>
      </c>
      <c r="G23" s="64"/>
      <c r="H23" s="65">
        <v>3.25</v>
      </c>
      <c r="I23" s="65">
        <v>0.34</v>
      </c>
      <c r="J23" s="65">
        <v>0.34</v>
      </c>
      <c r="K23" s="66">
        <v>45064.0</v>
      </c>
      <c r="L23" s="67">
        <v>1.825</v>
      </c>
      <c r="M23" s="64" t="s">
        <v>33</v>
      </c>
      <c r="N23" s="68">
        <f t="shared" si="1"/>
        <v>0.2805</v>
      </c>
      <c r="O23" s="68">
        <f t="shared" si="4"/>
        <v>0.353735</v>
      </c>
      <c r="Q23" s="66">
        <v>45068.0</v>
      </c>
      <c r="R23" s="13">
        <f t="shared" si="2"/>
        <v>0</v>
      </c>
    </row>
    <row r="24">
      <c r="A24" s="64">
        <f t="shared" si="3"/>
        <v>23</v>
      </c>
      <c r="B24" s="64" t="s">
        <v>40</v>
      </c>
      <c r="C24" s="64" t="s">
        <v>5781</v>
      </c>
      <c r="D24" s="64" t="s">
        <v>82</v>
      </c>
      <c r="E24" s="64" t="s">
        <v>22</v>
      </c>
      <c r="F24" s="64" t="s">
        <v>225</v>
      </c>
      <c r="G24" s="64"/>
      <c r="H24" s="65">
        <v>3.0</v>
      </c>
      <c r="I24" s="65">
        <v>0.66</v>
      </c>
      <c r="J24" s="65">
        <v>0.66</v>
      </c>
      <c r="K24" s="66">
        <v>45064.0</v>
      </c>
      <c r="L24" s="67">
        <v>1.975</v>
      </c>
      <c r="M24" s="64" t="s">
        <v>33</v>
      </c>
      <c r="N24" s="68">
        <f t="shared" si="1"/>
        <v>0.6435</v>
      </c>
      <c r="O24" s="68">
        <f t="shared" si="4"/>
        <v>0.997235</v>
      </c>
      <c r="Q24" s="66">
        <v>45069.0</v>
      </c>
      <c r="R24" s="13">
        <f t="shared" si="2"/>
        <v>1.502625</v>
      </c>
    </row>
    <row r="25">
      <c r="A25" s="64">
        <f t="shared" si="3"/>
        <v>24</v>
      </c>
      <c r="B25" s="64" t="s">
        <v>19</v>
      </c>
      <c r="C25" s="64" t="s">
        <v>5782</v>
      </c>
      <c r="D25" s="64" t="s">
        <v>82</v>
      </c>
      <c r="E25" s="64" t="s">
        <v>22</v>
      </c>
      <c r="F25" s="64" t="s">
        <v>225</v>
      </c>
      <c r="G25" s="64"/>
      <c r="H25" s="65">
        <v>0.5</v>
      </c>
      <c r="I25" s="65">
        <v>1.0</v>
      </c>
      <c r="J25" s="65">
        <v>0.54</v>
      </c>
      <c r="K25" s="66">
        <v>45065.0</v>
      </c>
      <c r="L25" s="67">
        <v>1.875</v>
      </c>
      <c r="M25" s="64" t="s">
        <v>33</v>
      </c>
      <c r="N25" s="68">
        <f t="shared" si="1"/>
        <v>0.4725</v>
      </c>
      <c r="O25" s="68">
        <f t="shared" si="4"/>
        <v>1.469735</v>
      </c>
      <c r="Q25" s="66">
        <v>45070.0</v>
      </c>
      <c r="R25" s="13">
        <f t="shared" si="2"/>
        <v>0.61</v>
      </c>
    </row>
    <row r="26">
      <c r="A26" s="64">
        <f t="shared" si="3"/>
        <v>25</v>
      </c>
      <c r="B26" s="64" t="s">
        <v>40</v>
      </c>
      <c r="C26" s="64" t="s">
        <v>5783</v>
      </c>
      <c r="D26" s="64" t="s">
        <v>940</v>
      </c>
      <c r="E26" s="64" t="s">
        <v>22</v>
      </c>
      <c r="F26" s="64" t="s">
        <v>440</v>
      </c>
      <c r="G26" s="64"/>
      <c r="H26" s="65">
        <v>1.5</v>
      </c>
      <c r="I26" s="65">
        <v>0.5</v>
      </c>
      <c r="J26" s="65">
        <v>0.5</v>
      </c>
      <c r="K26" s="66">
        <v>45065.0</v>
      </c>
      <c r="L26" s="67">
        <v>2.62</v>
      </c>
      <c r="M26" s="64" t="s">
        <v>25</v>
      </c>
      <c r="N26" s="68">
        <f t="shared" si="1"/>
        <v>-0.5</v>
      </c>
      <c r="O26" s="68">
        <f t="shared" si="4"/>
        <v>0.969735</v>
      </c>
      <c r="Q26" s="66">
        <v>45071.0</v>
      </c>
      <c r="R26" s="13">
        <f t="shared" si="2"/>
        <v>1.26305</v>
      </c>
    </row>
    <row r="27">
      <c r="A27" s="64">
        <f t="shared" si="3"/>
        <v>26</v>
      </c>
      <c r="B27" s="64" t="s">
        <v>19</v>
      </c>
      <c r="C27" s="64" t="s">
        <v>5784</v>
      </c>
      <c r="D27" s="64" t="s">
        <v>316</v>
      </c>
      <c r="E27" s="64" t="s">
        <v>22</v>
      </c>
      <c r="F27" s="64" t="s">
        <v>225</v>
      </c>
      <c r="G27" s="64"/>
      <c r="H27" s="65">
        <v>1.0</v>
      </c>
      <c r="I27" s="65">
        <v>1.0</v>
      </c>
      <c r="J27" s="65">
        <v>1.0</v>
      </c>
      <c r="K27" s="66">
        <v>45065.0</v>
      </c>
      <c r="L27" s="67">
        <v>1.9</v>
      </c>
      <c r="M27" s="64" t="s">
        <v>25</v>
      </c>
      <c r="N27" s="68">
        <f t="shared" si="1"/>
        <v>-1</v>
      </c>
      <c r="O27" s="68">
        <f t="shared" si="4"/>
        <v>-0.030265</v>
      </c>
      <c r="Q27" s="66">
        <v>45072.0</v>
      </c>
      <c r="R27" s="13">
        <f t="shared" si="2"/>
        <v>0.8175</v>
      </c>
    </row>
    <row r="28">
      <c r="A28" s="64">
        <f t="shared" si="3"/>
        <v>27</v>
      </c>
      <c r="B28" s="64" t="s">
        <v>19</v>
      </c>
      <c r="C28" s="64" t="s">
        <v>5785</v>
      </c>
      <c r="D28" s="64" t="s">
        <v>513</v>
      </c>
      <c r="E28" s="64" t="s">
        <v>22</v>
      </c>
      <c r="F28" s="64" t="s">
        <v>2939</v>
      </c>
      <c r="G28" s="64"/>
      <c r="H28" s="65">
        <v>-7.5</v>
      </c>
      <c r="I28" s="65">
        <v>0.5</v>
      </c>
      <c r="J28" s="65">
        <v>0.44</v>
      </c>
      <c r="K28" s="66">
        <v>45065.0</v>
      </c>
      <c r="L28" s="67">
        <v>1.6</v>
      </c>
      <c r="M28" s="64" t="s">
        <v>33</v>
      </c>
      <c r="N28" s="68">
        <f t="shared" si="1"/>
        <v>0.264</v>
      </c>
      <c r="O28" s="68">
        <f t="shared" si="4"/>
        <v>0.233735</v>
      </c>
      <c r="Q28" s="66">
        <v>45073.0</v>
      </c>
      <c r="R28" s="13">
        <f t="shared" si="2"/>
        <v>3.375</v>
      </c>
    </row>
    <row r="29">
      <c r="A29" s="64">
        <f t="shared" si="3"/>
        <v>28</v>
      </c>
      <c r="B29" s="64" t="s">
        <v>19</v>
      </c>
      <c r="C29" s="64" t="s">
        <v>5786</v>
      </c>
      <c r="D29" s="64" t="s">
        <v>1085</v>
      </c>
      <c r="E29" s="64" t="s">
        <v>22</v>
      </c>
      <c r="F29" s="64" t="s">
        <v>225</v>
      </c>
      <c r="G29" s="64"/>
      <c r="H29" s="65">
        <v>0.25</v>
      </c>
      <c r="I29" s="65">
        <v>1.0</v>
      </c>
      <c r="J29" s="65">
        <v>0.74</v>
      </c>
      <c r="K29" s="66">
        <v>45065.0</v>
      </c>
      <c r="L29" s="67">
        <v>1.75</v>
      </c>
      <c r="M29" s="64" t="s">
        <v>70</v>
      </c>
      <c r="N29" s="68">
        <f t="shared" si="1"/>
        <v>0</v>
      </c>
      <c r="O29" s="68">
        <f t="shared" si="4"/>
        <v>0.233735</v>
      </c>
      <c r="Q29" s="66">
        <v>45074.0</v>
      </c>
      <c r="R29" s="13">
        <f t="shared" si="2"/>
        <v>0.3155</v>
      </c>
    </row>
    <row r="30">
      <c r="A30" s="64">
        <f t="shared" si="3"/>
        <v>29</v>
      </c>
      <c r="B30" s="64" t="s">
        <v>19</v>
      </c>
      <c r="C30" s="64" t="s">
        <v>5787</v>
      </c>
      <c r="D30" s="64" t="s">
        <v>78</v>
      </c>
      <c r="E30" s="64" t="s">
        <v>22</v>
      </c>
      <c r="F30" s="64" t="s">
        <v>2634</v>
      </c>
      <c r="G30" s="64"/>
      <c r="H30" s="65"/>
      <c r="I30" s="65">
        <v>0.5</v>
      </c>
      <c r="J30" s="65">
        <v>0.5</v>
      </c>
      <c r="K30" s="66">
        <v>45065.0</v>
      </c>
      <c r="L30" s="67">
        <v>2.5</v>
      </c>
      <c r="M30" s="64" t="s">
        <v>25</v>
      </c>
      <c r="N30" s="68">
        <f t="shared" si="1"/>
        <v>-0.5</v>
      </c>
      <c r="O30" s="68">
        <f t="shared" si="4"/>
        <v>-0.266265</v>
      </c>
      <c r="Q30" s="66">
        <v>45075.0</v>
      </c>
      <c r="R30" s="13">
        <f t="shared" si="2"/>
        <v>0</v>
      </c>
    </row>
    <row r="31">
      <c r="A31" s="64">
        <f t="shared" si="3"/>
        <v>30</v>
      </c>
      <c r="B31" s="64" t="s">
        <v>19</v>
      </c>
      <c r="C31" s="64" t="s">
        <v>5788</v>
      </c>
      <c r="D31" s="64" t="s">
        <v>513</v>
      </c>
      <c r="E31" s="64" t="s">
        <v>22</v>
      </c>
      <c r="F31" s="64" t="s">
        <v>225</v>
      </c>
      <c r="G31" s="64"/>
      <c r="H31" s="65">
        <v>1.25</v>
      </c>
      <c r="I31" s="65">
        <v>1.0</v>
      </c>
      <c r="J31" s="65">
        <v>0.13</v>
      </c>
      <c r="K31" s="66">
        <v>45066.0</v>
      </c>
      <c r="L31" s="67">
        <v>2.0</v>
      </c>
      <c r="M31" s="64" t="s">
        <v>25</v>
      </c>
      <c r="N31" s="68">
        <f t="shared" si="1"/>
        <v>-0.13</v>
      </c>
      <c r="O31" s="68">
        <f t="shared" si="4"/>
        <v>-0.396265</v>
      </c>
      <c r="Q31" s="66">
        <v>45076.0</v>
      </c>
      <c r="R31" s="13">
        <f t="shared" si="2"/>
        <v>-1.04875</v>
      </c>
    </row>
    <row r="32">
      <c r="A32" s="64">
        <f t="shared" si="3"/>
        <v>31</v>
      </c>
      <c r="B32" s="64" t="s">
        <v>19</v>
      </c>
      <c r="C32" s="64" t="s">
        <v>5789</v>
      </c>
      <c r="D32" s="64" t="s">
        <v>940</v>
      </c>
      <c r="E32" s="64" t="s">
        <v>22</v>
      </c>
      <c r="F32" s="64" t="s">
        <v>225</v>
      </c>
      <c r="G32" s="64"/>
      <c r="H32" s="65">
        <v>0.25</v>
      </c>
      <c r="I32" s="65">
        <v>1.0</v>
      </c>
      <c r="J32" s="65">
        <v>1.0</v>
      </c>
      <c r="K32" s="66">
        <v>45066.0</v>
      </c>
      <c r="L32" s="67">
        <v>1.85</v>
      </c>
      <c r="M32" s="64" t="s">
        <v>30</v>
      </c>
      <c r="N32" s="68">
        <f t="shared" si="1"/>
        <v>0.425</v>
      </c>
      <c r="O32" s="68">
        <f t="shared" si="4"/>
        <v>0.028735</v>
      </c>
      <c r="Q32" s="66">
        <v>45077.0</v>
      </c>
      <c r="R32" s="13">
        <f t="shared" si="2"/>
        <v>0.22975</v>
      </c>
    </row>
    <row r="33">
      <c r="A33" s="64">
        <f t="shared" si="3"/>
        <v>32</v>
      </c>
      <c r="B33" s="64" t="s">
        <v>40</v>
      </c>
      <c r="C33" s="64" t="s">
        <v>5790</v>
      </c>
      <c r="D33" s="64" t="s">
        <v>940</v>
      </c>
      <c r="E33" s="64" t="s">
        <v>22</v>
      </c>
      <c r="F33" s="64" t="s">
        <v>225</v>
      </c>
      <c r="G33" s="64"/>
      <c r="H33" s="65">
        <v>0.5</v>
      </c>
      <c r="I33" s="65">
        <v>1.0</v>
      </c>
      <c r="J33" s="65">
        <v>1.0</v>
      </c>
      <c r="K33" s="66">
        <v>45066.0</v>
      </c>
      <c r="L33" s="67">
        <f>760/600</f>
        <v>1.266666667</v>
      </c>
      <c r="M33" s="64" t="s">
        <v>33</v>
      </c>
      <c r="N33" s="68">
        <f t="shared" si="1"/>
        <v>0.2666666667</v>
      </c>
      <c r="O33" s="68">
        <f t="shared" si="4"/>
        <v>0.2954016667</v>
      </c>
      <c r="Q33" s="94" t="s">
        <v>89</v>
      </c>
      <c r="R33" s="28">
        <f>SUM(R2:R32)</f>
        <v>8.678676667</v>
      </c>
    </row>
    <row r="34">
      <c r="A34" s="64">
        <f t="shared" si="3"/>
        <v>33</v>
      </c>
      <c r="B34" s="64" t="s">
        <v>40</v>
      </c>
      <c r="C34" s="64" t="s">
        <v>5791</v>
      </c>
      <c r="D34" s="64" t="s">
        <v>908</v>
      </c>
      <c r="E34" s="64" t="s">
        <v>22</v>
      </c>
      <c r="F34" s="64" t="s">
        <v>225</v>
      </c>
      <c r="G34" s="64"/>
      <c r="H34" s="65">
        <v>0.5</v>
      </c>
      <c r="I34" s="65">
        <v>1.0</v>
      </c>
      <c r="J34" s="65">
        <v>1.0</v>
      </c>
      <c r="K34" s="66">
        <v>45066.0</v>
      </c>
      <c r="L34" s="67">
        <v>2.025</v>
      </c>
      <c r="M34" s="64" t="s">
        <v>25</v>
      </c>
      <c r="N34" s="68">
        <f t="shared" si="1"/>
        <v>-1</v>
      </c>
      <c r="O34" s="68">
        <f t="shared" si="4"/>
        <v>-0.7045983333</v>
      </c>
      <c r="Q34" s="30"/>
    </row>
    <row r="35">
      <c r="A35" s="64">
        <f t="shared" si="3"/>
        <v>34</v>
      </c>
      <c r="B35" s="64" t="s">
        <v>19</v>
      </c>
      <c r="C35" s="64" t="s">
        <v>5792</v>
      </c>
      <c r="D35" s="64" t="s">
        <v>1006</v>
      </c>
      <c r="E35" s="64" t="s">
        <v>22</v>
      </c>
      <c r="F35" s="64" t="s">
        <v>225</v>
      </c>
      <c r="G35" s="64"/>
      <c r="H35" s="65">
        <v>0.5</v>
      </c>
      <c r="I35" s="65">
        <v>1.0</v>
      </c>
      <c r="J35" s="65">
        <v>0.29</v>
      </c>
      <c r="K35" s="66">
        <v>45066.0</v>
      </c>
      <c r="L35" s="67">
        <v>1.9</v>
      </c>
      <c r="M35" s="64" t="s">
        <v>33</v>
      </c>
      <c r="N35" s="68">
        <f t="shared" si="1"/>
        <v>0.261</v>
      </c>
      <c r="O35" s="68">
        <f t="shared" si="4"/>
        <v>-0.4435983333</v>
      </c>
      <c r="Q35" s="30"/>
    </row>
    <row r="36">
      <c r="A36" s="64">
        <f t="shared" si="3"/>
        <v>35</v>
      </c>
      <c r="B36" s="64" t="s">
        <v>40</v>
      </c>
      <c r="C36" s="64" t="s">
        <v>5793</v>
      </c>
      <c r="D36" s="64" t="s">
        <v>683</v>
      </c>
      <c r="E36" s="64" t="s">
        <v>22</v>
      </c>
      <c r="F36" s="64" t="s">
        <v>1847</v>
      </c>
      <c r="G36" s="64"/>
      <c r="H36" s="65">
        <v>-0.5</v>
      </c>
      <c r="I36" s="65">
        <v>1.0</v>
      </c>
      <c r="J36" s="65">
        <v>1.0</v>
      </c>
      <c r="K36" s="66">
        <v>45066.0</v>
      </c>
      <c r="L36" s="67">
        <v>1.95</v>
      </c>
      <c r="M36" s="64" t="s">
        <v>33</v>
      </c>
      <c r="N36" s="68">
        <f t="shared" si="1"/>
        <v>0.95</v>
      </c>
      <c r="O36" s="68">
        <f t="shared" si="4"/>
        <v>0.5064016667</v>
      </c>
      <c r="Q36" s="30"/>
    </row>
    <row r="37">
      <c r="A37" s="64">
        <f t="shared" si="3"/>
        <v>36</v>
      </c>
      <c r="B37" s="64" t="s">
        <v>19</v>
      </c>
      <c r="C37" s="64" t="s">
        <v>5794</v>
      </c>
      <c r="D37" s="64" t="s">
        <v>1470</v>
      </c>
      <c r="E37" s="64" t="s">
        <v>22</v>
      </c>
      <c r="F37" s="64" t="s">
        <v>225</v>
      </c>
      <c r="G37" s="64"/>
      <c r="H37" s="65">
        <v>0.25</v>
      </c>
      <c r="I37" s="65">
        <v>1.0</v>
      </c>
      <c r="J37" s="65">
        <v>0.13</v>
      </c>
      <c r="K37" s="66">
        <v>45066.0</v>
      </c>
      <c r="L37" s="67">
        <v>1.95</v>
      </c>
      <c r="M37" s="64" t="s">
        <v>30</v>
      </c>
      <c r="N37" s="68">
        <f t="shared" si="1"/>
        <v>0.06175</v>
      </c>
      <c r="O37" s="68">
        <f t="shared" si="4"/>
        <v>0.5681516667</v>
      </c>
      <c r="Q37" s="30"/>
    </row>
    <row r="38">
      <c r="A38" s="64">
        <f t="shared" si="3"/>
        <v>37</v>
      </c>
      <c r="B38" s="64" t="s">
        <v>19</v>
      </c>
      <c r="C38" s="64" t="s">
        <v>5795</v>
      </c>
      <c r="D38" s="64" t="s">
        <v>920</v>
      </c>
      <c r="E38" s="64" t="s">
        <v>22</v>
      </c>
      <c r="F38" s="64" t="s">
        <v>225</v>
      </c>
      <c r="G38" s="64"/>
      <c r="H38" s="65">
        <v>0.25</v>
      </c>
      <c r="I38" s="65">
        <v>1.0</v>
      </c>
      <c r="J38" s="65">
        <v>1.0</v>
      </c>
      <c r="K38" s="66">
        <v>45066.0</v>
      </c>
      <c r="L38" s="67">
        <v>1.8</v>
      </c>
      <c r="M38" s="64" t="s">
        <v>33</v>
      </c>
      <c r="N38" s="68">
        <f t="shared" si="1"/>
        <v>0.8</v>
      </c>
      <c r="O38" s="68">
        <f t="shared" si="4"/>
        <v>1.368151667</v>
      </c>
      <c r="Q38" s="30"/>
    </row>
    <row r="39">
      <c r="A39" s="64">
        <f t="shared" si="3"/>
        <v>38</v>
      </c>
      <c r="B39" s="64" t="s">
        <v>19</v>
      </c>
      <c r="C39" s="64" t="s">
        <v>5796</v>
      </c>
      <c r="D39" s="64" t="s">
        <v>913</v>
      </c>
      <c r="E39" s="64" t="s">
        <v>22</v>
      </c>
      <c r="F39" s="64" t="s">
        <v>225</v>
      </c>
      <c r="G39" s="64"/>
      <c r="H39" s="65">
        <v>0.25</v>
      </c>
      <c r="I39" s="65">
        <v>1.0</v>
      </c>
      <c r="J39" s="65">
        <v>1.0</v>
      </c>
      <c r="K39" s="66">
        <v>45066.0</v>
      </c>
      <c r="L39" s="67">
        <v>1.95</v>
      </c>
      <c r="M39" s="64" t="s">
        <v>25</v>
      </c>
      <c r="N39" s="68">
        <f t="shared" si="1"/>
        <v>-1</v>
      </c>
      <c r="O39" s="68">
        <f t="shared" si="4"/>
        <v>0.3681516667</v>
      </c>
      <c r="Q39" s="30"/>
    </row>
    <row r="40">
      <c r="A40" s="64">
        <f t="shared" si="3"/>
        <v>39</v>
      </c>
      <c r="B40" s="64" t="s">
        <v>19</v>
      </c>
      <c r="C40" s="64" t="s">
        <v>5797</v>
      </c>
      <c r="D40" s="64" t="s">
        <v>101</v>
      </c>
      <c r="E40" s="64" t="s">
        <v>22</v>
      </c>
      <c r="F40" s="64" t="s">
        <v>225</v>
      </c>
      <c r="G40" s="64"/>
      <c r="H40" s="65">
        <v>0.25</v>
      </c>
      <c r="I40" s="65">
        <v>1.0</v>
      </c>
      <c r="J40" s="65">
        <v>1.0</v>
      </c>
      <c r="K40" s="66">
        <v>45066.0</v>
      </c>
      <c r="L40" s="67">
        <v>1.95</v>
      </c>
      <c r="M40" s="64" t="s">
        <v>30</v>
      </c>
      <c r="N40" s="68">
        <f t="shared" si="1"/>
        <v>0.475</v>
      </c>
      <c r="O40" s="68">
        <f t="shared" si="4"/>
        <v>0.8431516667</v>
      </c>
      <c r="Q40" s="30"/>
    </row>
    <row r="41">
      <c r="A41" s="64">
        <f t="shared" si="3"/>
        <v>40</v>
      </c>
      <c r="B41" s="64" t="s">
        <v>19</v>
      </c>
      <c r="C41" s="64" t="s">
        <v>5798</v>
      </c>
      <c r="D41" s="64" t="s">
        <v>121</v>
      </c>
      <c r="E41" s="64" t="s">
        <v>22</v>
      </c>
      <c r="F41" s="64" t="s">
        <v>225</v>
      </c>
      <c r="G41" s="64"/>
      <c r="H41" s="65">
        <v>0.25</v>
      </c>
      <c r="I41" s="65">
        <v>1.0</v>
      </c>
      <c r="J41" s="65">
        <v>1.0</v>
      </c>
      <c r="K41" s="66">
        <v>45066.0</v>
      </c>
      <c r="L41" s="67">
        <v>1.7</v>
      </c>
      <c r="M41" s="64" t="s">
        <v>25</v>
      </c>
      <c r="N41" s="68">
        <f t="shared" si="1"/>
        <v>-1</v>
      </c>
      <c r="O41" s="68">
        <f t="shared" si="4"/>
        <v>-0.1568483333</v>
      </c>
      <c r="Q41" s="30"/>
    </row>
    <row r="42">
      <c r="A42" s="64">
        <f t="shared" si="3"/>
        <v>41</v>
      </c>
      <c r="B42" s="64" t="s">
        <v>19</v>
      </c>
      <c r="C42" s="64" t="s">
        <v>5799</v>
      </c>
      <c r="D42" s="64" t="s">
        <v>1031</v>
      </c>
      <c r="E42" s="64" t="s">
        <v>22</v>
      </c>
      <c r="F42" s="64" t="s">
        <v>225</v>
      </c>
      <c r="G42" s="64"/>
      <c r="H42" s="65">
        <v>0.5</v>
      </c>
      <c r="I42" s="65">
        <v>1.0</v>
      </c>
      <c r="J42" s="65">
        <v>1.0</v>
      </c>
      <c r="K42" s="66">
        <v>45066.0</v>
      </c>
      <c r="L42" s="67">
        <v>2.025</v>
      </c>
      <c r="M42" s="64" t="s">
        <v>25</v>
      </c>
      <c r="N42" s="68">
        <f t="shared" si="1"/>
        <v>-1</v>
      </c>
      <c r="O42" s="68">
        <f t="shared" si="4"/>
        <v>-1.156848333</v>
      </c>
      <c r="Q42" s="30"/>
    </row>
    <row r="43">
      <c r="A43" s="64">
        <f t="shared" si="3"/>
        <v>42</v>
      </c>
      <c r="B43" s="64" t="s">
        <v>19</v>
      </c>
      <c r="C43" s="64" t="s">
        <v>5800</v>
      </c>
      <c r="D43" s="64" t="s">
        <v>913</v>
      </c>
      <c r="E43" s="64" t="s">
        <v>22</v>
      </c>
      <c r="F43" s="64" t="s">
        <v>225</v>
      </c>
      <c r="G43" s="64"/>
      <c r="H43" s="65">
        <v>0.5</v>
      </c>
      <c r="I43" s="65">
        <v>1.0</v>
      </c>
      <c r="J43" s="65">
        <v>0.82</v>
      </c>
      <c r="K43" s="66">
        <v>45066.0</v>
      </c>
      <c r="L43" s="67">
        <v>1.825</v>
      </c>
      <c r="M43" s="64" t="s">
        <v>33</v>
      </c>
      <c r="N43" s="68">
        <f t="shared" si="1"/>
        <v>0.6765</v>
      </c>
      <c r="O43" s="68">
        <f t="shared" si="4"/>
        <v>-0.4803483333</v>
      </c>
    </row>
    <row r="44">
      <c r="A44" s="64">
        <f t="shared" si="3"/>
        <v>43</v>
      </c>
      <c r="B44" s="64" t="s">
        <v>19</v>
      </c>
      <c r="C44" s="64" t="s">
        <v>5801</v>
      </c>
      <c r="D44" s="64" t="s">
        <v>82</v>
      </c>
      <c r="E44" s="64" t="s">
        <v>22</v>
      </c>
      <c r="F44" s="64" t="s">
        <v>225</v>
      </c>
      <c r="G44" s="64"/>
      <c r="H44" s="65">
        <v>2.0</v>
      </c>
      <c r="I44" s="65">
        <v>1.0</v>
      </c>
      <c r="J44" s="65">
        <v>1.0</v>
      </c>
      <c r="K44" s="66">
        <v>45066.0</v>
      </c>
      <c r="L44" s="67">
        <v>1.9</v>
      </c>
      <c r="M44" s="64" t="s">
        <v>25</v>
      </c>
      <c r="N44" s="68">
        <f t="shared" si="1"/>
        <v>-1</v>
      </c>
      <c r="O44" s="68">
        <f t="shared" si="4"/>
        <v>-1.480348333</v>
      </c>
    </row>
    <row r="45">
      <c r="A45" s="64">
        <f t="shared" si="3"/>
        <v>44</v>
      </c>
      <c r="B45" s="64" t="s">
        <v>19</v>
      </c>
      <c r="C45" s="64" t="s">
        <v>5802</v>
      </c>
      <c r="D45" s="64" t="s">
        <v>60</v>
      </c>
      <c r="E45" s="64" t="s">
        <v>22</v>
      </c>
      <c r="F45" s="64" t="s">
        <v>225</v>
      </c>
      <c r="G45" s="64"/>
      <c r="H45" s="65">
        <v>0.5</v>
      </c>
      <c r="I45" s="65">
        <v>1.0</v>
      </c>
      <c r="J45" s="65">
        <v>1.0</v>
      </c>
      <c r="K45" s="66">
        <v>45066.0</v>
      </c>
      <c r="L45" s="67">
        <f>573/500</f>
        <v>1.146</v>
      </c>
      <c r="M45" s="64" t="s">
        <v>33</v>
      </c>
      <c r="N45" s="68">
        <f t="shared" si="1"/>
        <v>0.146</v>
      </c>
      <c r="O45" s="68">
        <f t="shared" si="4"/>
        <v>-1.334348333</v>
      </c>
    </row>
    <row r="46">
      <c r="A46" s="64">
        <f t="shared" si="3"/>
        <v>45</v>
      </c>
      <c r="B46" s="64" t="s">
        <v>19</v>
      </c>
      <c r="C46" s="64" t="s">
        <v>5803</v>
      </c>
      <c r="D46" s="64" t="s">
        <v>191</v>
      </c>
      <c r="E46" s="64" t="s">
        <v>22</v>
      </c>
      <c r="F46" s="64" t="s">
        <v>225</v>
      </c>
      <c r="G46" s="64"/>
      <c r="H46" s="65">
        <v>0.25</v>
      </c>
      <c r="I46" s="65">
        <v>1.0</v>
      </c>
      <c r="J46" s="65">
        <v>1.0</v>
      </c>
      <c r="K46" s="66">
        <v>45066.0</v>
      </c>
      <c r="L46" s="67">
        <v>1.7</v>
      </c>
      <c r="M46" s="64" t="s">
        <v>30</v>
      </c>
      <c r="N46" s="68">
        <f t="shared" si="1"/>
        <v>0.35</v>
      </c>
      <c r="O46" s="68">
        <f t="shared" si="4"/>
        <v>-0.9843483333</v>
      </c>
    </row>
    <row r="47">
      <c r="A47" s="64">
        <f t="shared" si="3"/>
        <v>46</v>
      </c>
      <c r="B47" s="64" t="s">
        <v>19</v>
      </c>
      <c r="C47" s="64" t="s">
        <v>5804</v>
      </c>
      <c r="D47" s="64" t="s">
        <v>101</v>
      </c>
      <c r="E47" s="64" t="s">
        <v>22</v>
      </c>
      <c r="F47" s="64" t="s">
        <v>225</v>
      </c>
      <c r="G47" s="64"/>
      <c r="H47" s="65">
        <v>0.5</v>
      </c>
      <c r="I47" s="65">
        <v>1.0</v>
      </c>
      <c r="J47" s="65">
        <v>0.24</v>
      </c>
      <c r="K47" s="66">
        <v>45066.0</v>
      </c>
      <c r="L47" s="67">
        <v>1.775</v>
      </c>
      <c r="M47" s="64" t="s">
        <v>25</v>
      </c>
      <c r="N47" s="68">
        <f t="shared" si="1"/>
        <v>-0.24</v>
      </c>
      <c r="O47" s="68">
        <f t="shared" si="4"/>
        <v>-1.224348333</v>
      </c>
    </row>
    <row r="48">
      <c r="A48" s="64">
        <f t="shared" si="3"/>
        <v>47</v>
      </c>
      <c r="B48" s="64" t="s">
        <v>19</v>
      </c>
      <c r="C48" s="64" t="s">
        <v>5805</v>
      </c>
      <c r="D48" s="64" t="s">
        <v>432</v>
      </c>
      <c r="E48" s="64" t="s">
        <v>22</v>
      </c>
      <c r="F48" s="64" t="s">
        <v>225</v>
      </c>
      <c r="G48" s="64"/>
      <c r="H48" s="65">
        <v>0.5</v>
      </c>
      <c r="I48" s="65">
        <v>1.0</v>
      </c>
      <c r="J48" s="65">
        <v>1.0</v>
      </c>
      <c r="K48" s="66">
        <v>45066.0</v>
      </c>
      <c r="L48" s="67">
        <v>1.8</v>
      </c>
      <c r="M48" s="64" t="s">
        <v>33</v>
      </c>
      <c r="N48" s="68">
        <f t="shared" si="1"/>
        <v>0.8</v>
      </c>
      <c r="O48" s="68">
        <f t="shared" si="4"/>
        <v>-0.4243483333</v>
      </c>
    </row>
    <row r="49">
      <c r="A49" s="64">
        <f t="shared" si="3"/>
        <v>48</v>
      </c>
      <c r="B49" s="64" t="s">
        <v>40</v>
      </c>
      <c r="C49" s="64" t="s">
        <v>5806</v>
      </c>
      <c r="D49" s="64" t="s">
        <v>66</v>
      </c>
      <c r="E49" s="64" t="s">
        <v>22</v>
      </c>
      <c r="F49" s="64" t="s">
        <v>892</v>
      </c>
      <c r="G49" s="64"/>
      <c r="H49" s="65">
        <v>0.0</v>
      </c>
      <c r="I49" s="65">
        <v>1.0</v>
      </c>
      <c r="J49" s="65">
        <v>0.68</v>
      </c>
      <c r="K49" s="66">
        <v>45066.0</v>
      </c>
      <c r="L49" s="67">
        <v>1.95</v>
      </c>
      <c r="M49" s="64" t="s">
        <v>70</v>
      </c>
      <c r="N49" s="68">
        <f t="shared" si="1"/>
        <v>0</v>
      </c>
      <c r="O49" s="68">
        <f t="shared" si="4"/>
        <v>-0.4243483333</v>
      </c>
    </row>
    <row r="50">
      <c r="A50" s="64">
        <f t="shared" si="3"/>
        <v>49</v>
      </c>
      <c r="B50" s="64" t="s">
        <v>19</v>
      </c>
      <c r="C50" s="64" t="s">
        <v>5807</v>
      </c>
      <c r="D50" s="64" t="s">
        <v>82</v>
      </c>
      <c r="E50" s="64" t="s">
        <v>22</v>
      </c>
      <c r="F50" s="64" t="s">
        <v>1847</v>
      </c>
      <c r="G50" s="64"/>
      <c r="H50" s="65">
        <v>-0.5</v>
      </c>
      <c r="I50" s="65">
        <v>0.25</v>
      </c>
      <c r="J50" s="65">
        <v>0.25</v>
      </c>
      <c r="K50" s="66">
        <v>45066.0</v>
      </c>
      <c r="L50" s="67">
        <v>5.5</v>
      </c>
      <c r="M50" s="64" t="s">
        <v>25</v>
      </c>
      <c r="N50" s="68">
        <f t="shared" si="1"/>
        <v>-0.25</v>
      </c>
      <c r="O50" s="68">
        <f t="shared" si="4"/>
        <v>-0.6743483333</v>
      </c>
    </row>
    <row r="51">
      <c r="A51" s="64">
        <f t="shared" si="3"/>
        <v>50</v>
      </c>
      <c r="B51" s="64" t="s">
        <v>19</v>
      </c>
      <c r="C51" s="64" t="s">
        <v>5808</v>
      </c>
      <c r="D51" s="64" t="s">
        <v>82</v>
      </c>
      <c r="E51" s="64" t="s">
        <v>22</v>
      </c>
      <c r="F51" s="64" t="s">
        <v>29</v>
      </c>
      <c r="G51" s="64"/>
      <c r="H51" s="65">
        <v>-2.5</v>
      </c>
      <c r="I51" s="65">
        <v>1.0</v>
      </c>
      <c r="J51" s="65">
        <v>1.0</v>
      </c>
      <c r="K51" s="66">
        <v>45066.0</v>
      </c>
      <c r="L51" s="67">
        <v>1.9</v>
      </c>
      <c r="M51" s="64" t="s">
        <v>25</v>
      </c>
      <c r="N51" s="68">
        <f t="shared" si="1"/>
        <v>-1</v>
      </c>
      <c r="O51" s="68">
        <f t="shared" si="4"/>
        <v>-1.674348333</v>
      </c>
    </row>
    <row r="52">
      <c r="A52" s="64">
        <f t="shared" si="3"/>
        <v>51</v>
      </c>
      <c r="B52" s="64" t="s">
        <v>19</v>
      </c>
      <c r="C52" s="64" t="s">
        <v>5809</v>
      </c>
      <c r="D52" s="64" t="s">
        <v>82</v>
      </c>
      <c r="E52" s="64" t="s">
        <v>22</v>
      </c>
      <c r="F52" s="64" t="s">
        <v>225</v>
      </c>
      <c r="G52" s="64"/>
      <c r="H52" s="65">
        <v>1.0</v>
      </c>
      <c r="I52" s="65">
        <v>1.0</v>
      </c>
      <c r="J52" s="65">
        <v>1.0</v>
      </c>
      <c r="K52" s="66">
        <v>45066.0</v>
      </c>
      <c r="L52" s="67">
        <v>1.95</v>
      </c>
      <c r="M52" s="64" t="s">
        <v>33</v>
      </c>
      <c r="N52" s="68">
        <f t="shared" si="1"/>
        <v>0.95</v>
      </c>
      <c r="O52" s="68">
        <f t="shared" si="4"/>
        <v>-0.7243483333</v>
      </c>
    </row>
    <row r="53">
      <c r="A53" s="64">
        <f t="shared" si="3"/>
        <v>52</v>
      </c>
      <c r="B53" s="64" t="s">
        <v>19</v>
      </c>
      <c r="C53" s="64" t="s">
        <v>5810</v>
      </c>
      <c r="D53" s="64" t="s">
        <v>82</v>
      </c>
      <c r="E53" s="64" t="s">
        <v>22</v>
      </c>
      <c r="F53" s="64" t="s">
        <v>225</v>
      </c>
      <c r="G53" s="64"/>
      <c r="H53" s="65">
        <v>0.75</v>
      </c>
      <c r="I53" s="65">
        <v>1.0</v>
      </c>
      <c r="J53" s="65">
        <v>1.0</v>
      </c>
      <c r="K53" s="66">
        <v>45066.0</v>
      </c>
      <c r="L53" s="67">
        <v>1.8</v>
      </c>
      <c r="M53" s="64" t="s">
        <v>25</v>
      </c>
      <c r="N53" s="68">
        <f t="shared" si="1"/>
        <v>-1</v>
      </c>
      <c r="O53" s="68">
        <f t="shared" si="4"/>
        <v>-1.724348333</v>
      </c>
    </row>
    <row r="54">
      <c r="A54" s="64">
        <f t="shared" si="3"/>
        <v>53</v>
      </c>
      <c r="B54" s="64" t="s">
        <v>19</v>
      </c>
      <c r="C54" s="64" t="s">
        <v>5811</v>
      </c>
      <c r="D54" s="64" t="s">
        <v>82</v>
      </c>
      <c r="E54" s="64" t="s">
        <v>22</v>
      </c>
      <c r="F54" s="64" t="s">
        <v>29</v>
      </c>
      <c r="G54" s="64"/>
      <c r="H54" s="65">
        <v>-2.0</v>
      </c>
      <c r="I54" s="65">
        <v>1.0</v>
      </c>
      <c r="J54" s="65">
        <v>1.0</v>
      </c>
      <c r="K54" s="66">
        <v>45066.0</v>
      </c>
      <c r="L54" s="67">
        <v>1.975</v>
      </c>
      <c r="M54" s="64" t="s">
        <v>70</v>
      </c>
      <c r="N54" s="68">
        <f t="shared" si="1"/>
        <v>0</v>
      </c>
      <c r="O54" s="68">
        <f t="shared" si="4"/>
        <v>-1.724348333</v>
      </c>
    </row>
    <row r="55">
      <c r="A55" s="64">
        <f t="shared" si="3"/>
        <v>54</v>
      </c>
      <c r="B55" s="64" t="s">
        <v>19</v>
      </c>
      <c r="C55" s="64" t="s">
        <v>5812</v>
      </c>
      <c r="D55" s="64" t="s">
        <v>82</v>
      </c>
      <c r="E55" s="64" t="s">
        <v>22</v>
      </c>
      <c r="F55" s="64" t="s">
        <v>1023</v>
      </c>
      <c r="G55" s="64"/>
      <c r="H55" s="65">
        <v>0.5</v>
      </c>
      <c r="I55" s="65">
        <v>1.0</v>
      </c>
      <c r="J55" s="65">
        <v>1.0</v>
      </c>
      <c r="K55" s="66">
        <v>45066.0</v>
      </c>
      <c r="L55" s="67">
        <v>1.9</v>
      </c>
      <c r="M55" s="64" t="s">
        <v>25</v>
      </c>
      <c r="N55" s="68">
        <f t="shared" si="1"/>
        <v>-1</v>
      </c>
      <c r="O55" s="68">
        <f t="shared" si="4"/>
        <v>-2.724348333</v>
      </c>
    </row>
    <row r="56">
      <c r="A56" s="64">
        <f t="shared" si="3"/>
        <v>55</v>
      </c>
      <c r="B56" s="64" t="s">
        <v>19</v>
      </c>
      <c r="C56" s="64" t="s">
        <v>5813</v>
      </c>
      <c r="D56" s="64" t="s">
        <v>635</v>
      </c>
      <c r="E56" s="64" t="s">
        <v>22</v>
      </c>
      <c r="F56" s="64" t="s">
        <v>941</v>
      </c>
      <c r="G56" s="64"/>
      <c r="H56" s="65">
        <v>0.0</v>
      </c>
      <c r="I56" s="65">
        <v>1.0</v>
      </c>
      <c r="J56" s="65">
        <v>1.0</v>
      </c>
      <c r="K56" s="66">
        <v>45066.0</v>
      </c>
      <c r="L56" s="67">
        <v>2.2</v>
      </c>
      <c r="M56" s="64" t="s">
        <v>33</v>
      </c>
      <c r="N56" s="68">
        <f t="shared" si="1"/>
        <v>1.2</v>
      </c>
      <c r="O56" s="68">
        <f t="shared" si="4"/>
        <v>-1.524348333</v>
      </c>
    </row>
    <row r="57">
      <c r="A57" s="64">
        <f t="shared" si="3"/>
        <v>56</v>
      </c>
      <c r="B57" s="64" t="s">
        <v>19</v>
      </c>
      <c r="C57" s="64" t="s">
        <v>5814</v>
      </c>
      <c r="D57" s="64" t="s">
        <v>82</v>
      </c>
      <c r="E57" s="64" t="s">
        <v>598</v>
      </c>
      <c r="F57" s="64" t="s">
        <v>440</v>
      </c>
      <c r="G57" s="64"/>
      <c r="H57" s="65">
        <v>2.0</v>
      </c>
      <c r="I57" s="65">
        <v>0.5</v>
      </c>
      <c r="J57" s="65">
        <v>0.5</v>
      </c>
      <c r="K57" s="66">
        <v>45066.0</v>
      </c>
      <c r="L57" s="67">
        <v>1.8</v>
      </c>
      <c r="M57" s="64" t="s">
        <v>33</v>
      </c>
      <c r="N57" s="68">
        <f t="shared" si="1"/>
        <v>0.4</v>
      </c>
      <c r="O57" s="68">
        <f t="shared" si="4"/>
        <v>-1.124348333</v>
      </c>
    </row>
    <row r="58">
      <c r="A58" s="64">
        <f t="shared" si="3"/>
        <v>57</v>
      </c>
      <c r="B58" s="64" t="s">
        <v>19</v>
      </c>
      <c r="C58" s="64" t="s">
        <v>5815</v>
      </c>
      <c r="D58" s="64" t="s">
        <v>1006</v>
      </c>
      <c r="E58" s="64" t="s">
        <v>22</v>
      </c>
      <c r="F58" s="64" t="s">
        <v>225</v>
      </c>
      <c r="G58" s="64"/>
      <c r="H58" s="65">
        <v>0.5</v>
      </c>
      <c r="I58" s="65">
        <v>1.0</v>
      </c>
      <c r="J58" s="65">
        <v>0.65</v>
      </c>
      <c r="K58" s="66">
        <v>45067.0</v>
      </c>
      <c r="L58" s="67">
        <v>1.8</v>
      </c>
      <c r="M58" s="64" t="s">
        <v>33</v>
      </c>
      <c r="N58" s="68">
        <f t="shared" si="1"/>
        <v>0.52</v>
      </c>
      <c r="O58" s="68">
        <f t="shared" si="4"/>
        <v>-0.6043483333</v>
      </c>
    </row>
    <row r="59">
      <c r="A59" s="64">
        <f t="shared" si="3"/>
        <v>58</v>
      </c>
      <c r="B59" s="64" t="s">
        <v>19</v>
      </c>
      <c r="C59" s="64" t="s">
        <v>5816</v>
      </c>
      <c r="D59" s="64" t="s">
        <v>1006</v>
      </c>
      <c r="E59" s="64" t="s">
        <v>22</v>
      </c>
      <c r="F59" s="64" t="s">
        <v>941</v>
      </c>
      <c r="G59" s="64"/>
      <c r="H59" s="65">
        <v>0.0</v>
      </c>
      <c r="I59" s="65">
        <v>0.18</v>
      </c>
      <c r="J59" s="65">
        <v>0.18</v>
      </c>
      <c r="K59" s="66">
        <v>45067.0</v>
      </c>
      <c r="L59" s="67">
        <v>2.37</v>
      </c>
      <c r="M59" s="64" t="s">
        <v>33</v>
      </c>
      <c r="N59" s="68">
        <f t="shared" si="1"/>
        <v>0.2466</v>
      </c>
      <c r="O59" s="68">
        <f t="shared" si="4"/>
        <v>-0.3577483333</v>
      </c>
    </row>
    <row r="60">
      <c r="A60" s="64">
        <f t="shared" si="3"/>
        <v>59</v>
      </c>
      <c r="B60" s="64" t="s">
        <v>40</v>
      </c>
      <c r="C60" s="64" t="s">
        <v>5817</v>
      </c>
      <c r="D60" s="64" t="s">
        <v>513</v>
      </c>
      <c r="E60" s="64" t="s">
        <v>22</v>
      </c>
      <c r="F60" s="64" t="s">
        <v>225</v>
      </c>
      <c r="G60" s="64"/>
      <c r="H60" s="65">
        <v>0.5</v>
      </c>
      <c r="I60" s="65">
        <v>1.0</v>
      </c>
      <c r="J60" s="65">
        <v>0.47</v>
      </c>
      <c r="K60" s="66">
        <v>45067.0</v>
      </c>
      <c r="L60" s="67">
        <v>1.825</v>
      </c>
      <c r="M60" s="64" t="s">
        <v>33</v>
      </c>
      <c r="N60" s="68">
        <f t="shared" si="1"/>
        <v>0.38775</v>
      </c>
      <c r="O60" s="68">
        <f t="shared" si="4"/>
        <v>0.03000166667</v>
      </c>
    </row>
    <row r="61">
      <c r="A61" s="64">
        <f t="shared" si="3"/>
        <v>60</v>
      </c>
      <c r="B61" s="64" t="s">
        <v>19</v>
      </c>
      <c r="C61" s="64" t="s">
        <v>5818</v>
      </c>
      <c r="D61" s="64" t="s">
        <v>513</v>
      </c>
      <c r="E61" s="64" t="s">
        <v>22</v>
      </c>
      <c r="F61" s="64" t="s">
        <v>225</v>
      </c>
      <c r="G61" s="64"/>
      <c r="H61" s="65">
        <v>1.5</v>
      </c>
      <c r="I61" s="65">
        <v>1.0</v>
      </c>
      <c r="J61" s="65">
        <v>1.0</v>
      </c>
      <c r="K61" s="66">
        <v>45067.0</v>
      </c>
      <c r="L61" s="67">
        <v>1.825</v>
      </c>
      <c r="M61" s="64" t="s">
        <v>33</v>
      </c>
      <c r="N61" s="68">
        <f t="shared" si="1"/>
        <v>0.825</v>
      </c>
      <c r="O61" s="68">
        <f t="shared" si="4"/>
        <v>0.8550016667</v>
      </c>
    </row>
    <row r="62">
      <c r="A62" s="64">
        <f t="shared" si="3"/>
        <v>61</v>
      </c>
      <c r="B62" s="64" t="s">
        <v>40</v>
      </c>
      <c r="C62" s="64" t="s">
        <v>5819</v>
      </c>
      <c r="D62" s="64" t="s">
        <v>44</v>
      </c>
      <c r="E62" s="64" t="s">
        <v>22</v>
      </c>
      <c r="F62" s="64" t="s">
        <v>225</v>
      </c>
      <c r="G62" s="64"/>
      <c r="H62" s="65">
        <v>1.75</v>
      </c>
      <c r="I62" s="65">
        <v>1.0</v>
      </c>
      <c r="J62" s="65">
        <v>0.5</v>
      </c>
      <c r="K62" s="66">
        <v>45067.0</v>
      </c>
      <c r="L62" s="67">
        <v>1.7</v>
      </c>
      <c r="M62" s="64" t="s">
        <v>25</v>
      </c>
      <c r="N62" s="68">
        <f t="shared" si="1"/>
        <v>-0.5</v>
      </c>
      <c r="O62" s="68">
        <f t="shared" si="4"/>
        <v>0.3550016667</v>
      </c>
    </row>
    <row r="63">
      <c r="A63" s="64">
        <f t="shared" si="3"/>
        <v>62</v>
      </c>
      <c r="B63" s="64" t="s">
        <v>40</v>
      </c>
      <c r="C63" s="64" t="s">
        <v>5820</v>
      </c>
      <c r="D63" s="64" t="s">
        <v>44</v>
      </c>
      <c r="E63" s="64" t="s">
        <v>22</v>
      </c>
      <c r="F63" s="64" t="s">
        <v>225</v>
      </c>
      <c r="G63" s="64"/>
      <c r="H63" s="65">
        <v>1.5</v>
      </c>
      <c r="I63" s="65">
        <v>0.5</v>
      </c>
      <c r="J63" s="65">
        <v>0.25</v>
      </c>
      <c r="K63" s="66">
        <v>45067.0</v>
      </c>
      <c r="L63" s="67">
        <v>1.875</v>
      </c>
      <c r="M63" s="64" t="s">
        <v>25</v>
      </c>
      <c r="N63" s="68">
        <f t="shared" si="1"/>
        <v>-0.25</v>
      </c>
      <c r="O63" s="68">
        <f t="shared" si="4"/>
        <v>0.1050016667</v>
      </c>
    </row>
    <row r="64">
      <c r="A64" s="64">
        <f t="shared" si="3"/>
        <v>63</v>
      </c>
      <c r="B64" s="64" t="s">
        <v>40</v>
      </c>
      <c r="C64" s="64" t="s">
        <v>5821</v>
      </c>
      <c r="D64" s="64" t="s">
        <v>463</v>
      </c>
      <c r="E64" s="64" t="s">
        <v>22</v>
      </c>
      <c r="F64" s="64" t="s">
        <v>1847</v>
      </c>
      <c r="G64" s="64"/>
      <c r="H64" s="65">
        <v>-0.5</v>
      </c>
      <c r="I64" s="65">
        <v>1.0</v>
      </c>
      <c r="J64" s="65">
        <v>1.0</v>
      </c>
      <c r="K64" s="66">
        <v>45067.0</v>
      </c>
      <c r="L64" s="67">
        <v>1.9</v>
      </c>
      <c r="M64" s="64" t="s">
        <v>70</v>
      </c>
      <c r="N64" s="68">
        <f t="shared" si="1"/>
        <v>0</v>
      </c>
      <c r="O64" s="68">
        <f t="shared" si="4"/>
        <v>0.1050016667</v>
      </c>
    </row>
    <row r="65">
      <c r="A65" s="64">
        <f t="shared" si="3"/>
        <v>64</v>
      </c>
      <c r="B65" s="64" t="s">
        <v>40</v>
      </c>
      <c r="C65" s="64" t="s">
        <v>5822</v>
      </c>
      <c r="D65" s="64" t="s">
        <v>44</v>
      </c>
      <c r="E65" s="64" t="s">
        <v>22</v>
      </c>
      <c r="F65" s="64" t="s">
        <v>1847</v>
      </c>
      <c r="G65" s="64"/>
      <c r="H65" s="65">
        <v>-0.5</v>
      </c>
      <c r="I65" s="65">
        <v>1.0</v>
      </c>
      <c r="J65" s="65">
        <v>1.0</v>
      </c>
      <c r="K65" s="66">
        <v>45067.0</v>
      </c>
      <c r="L65" s="67">
        <v>1.72</v>
      </c>
      <c r="M65" s="64" t="s">
        <v>33</v>
      </c>
      <c r="N65" s="68">
        <f t="shared" si="1"/>
        <v>0.72</v>
      </c>
      <c r="O65" s="68">
        <f t="shared" si="4"/>
        <v>0.8250016667</v>
      </c>
    </row>
    <row r="66">
      <c r="A66" s="64">
        <f t="shared" si="3"/>
        <v>65</v>
      </c>
      <c r="B66" s="64" t="s">
        <v>40</v>
      </c>
      <c r="C66" s="64" t="s">
        <v>5823</v>
      </c>
      <c r="D66" s="64" t="s">
        <v>794</v>
      </c>
      <c r="E66" s="64" t="s">
        <v>22</v>
      </c>
      <c r="F66" s="64" t="s">
        <v>29</v>
      </c>
      <c r="G66" s="64"/>
      <c r="H66" s="65">
        <v>-4.0</v>
      </c>
      <c r="I66" s="65">
        <v>0.5</v>
      </c>
      <c r="J66" s="65">
        <v>0.5</v>
      </c>
      <c r="K66" s="66">
        <v>45067.0</v>
      </c>
      <c r="L66" s="67">
        <v>2.0</v>
      </c>
      <c r="M66" s="64" t="s">
        <v>70</v>
      </c>
      <c r="N66" s="68">
        <f t="shared" si="1"/>
        <v>0</v>
      </c>
      <c r="O66" s="68">
        <f t="shared" si="4"/>
        <v>0.8250016667</v>
      </c>
    </row>
    <row r="67">
      <c r="A67" s="64">
        <f t="shared" si="3"/>
        <v>66</v>
      </c>
      <c r="B67" s="64" t="s">
        <v>40</v>
      </c>
      <c r="C67" s="64" t="s">
        <v>5824</v>
      </c>
      <c r="D67" s="64" t="s">
        <v>794</v>
      </c>
      <c r="E67" s="64" t="s">
        <v>22</v>
      </c>
      <c r="F67" s="64" t="s">
        <v>29</v>
      </c>
      <c r="G67" s="64"/>
      <c r="H67" s="65">
        <v>-4.5</v>
      </c>
      <c r="I67" s="65">
        <v>0.5</v>
      </c>
      <c r="J67" s="65">
        <v>0.5</v>
      </c>
      <c r="K67" s="66">
        <v>45067.0</v>
      </c>
      <c r="L67" s="67">
        <v>1.53</v>
      </c>
      <c r="M67" s="64" t="s">
        <v>33</v>
      </c>
      <c r="N67" s="68">
        <f t="shared" si="1"/>
        <v>0.265</v>
      </c>
      <c r="O67" s="68">
        <f t="shared" si="4"/>
        <v>1.090001667</v>
      </c>
    </row>
    <row r="68">
      <c r="A68" s="64">
        <f t="shared" si="3"/>
        <v>67</v>
      </c>
      <c r="B68" s="64" t="s">
        <v>19</v>
      </c>
      <c r="C68" s="64" t="s">
        <v>5825</v>
      </c>
      <c r="D68" s="64" t="s">
        <v>44</v>
      </c>
      <c r="E68" s="64" t="s">
        <v>22</v>
      </c>
      <c r="F68" s="64" t="s">
        <v>225</v>
      </c>
      <c r="G68" s="64"/>
      <c r="H68" s="65">
        <v>0.25</v>
      </c>
      <c r="I68" s="65">
        <v>1.0</v>
      </c>
      <c r="J68" s="65">
        <v>1.0</v>
      </c>
      <c r="K68" s="66">
        <v>45067.0</v>
      </c>
      <c r="L68" s="67">
        <v>1.775</v>
      </c>
      <c r="M68" s="64" t="s">
        <v>33</v>
      </c>
      <c r="N68" s="68">
        <f t="shared" si="1"/>
        <v>0.775</v>
      </c>
      <c r="O68" s="68">
        <f t="shared" si="4"/>
        <v>1.865001667</v>
      </c>
    </row>
    <row r="69">
      <c r="A69" s="64">
        <f t="shared" si="3"/>
        <v>68</v>
      </c>
      <c r="B69" s="64" t="s">
        <v>40</v>
      </c>
      <c r="C69" s="64" t="s">
        <v>5826</v>
      </c>
      <c r="D69" s="64" t="s">
        <v>58</v>
      </c>
      <c r="E69" s="64" t="s">
        <v>22</v>
      </c>
      <c r="F69" s="64" t="s">
        <v>225</v>
      </c>
      <c r="G69" s="64"/>
      <c r="H69" s="65">
        <v>0.5</v>
      </c>
      <c r="I69" s="65">
        <v>1.0</v>
      </c>
      <c r="J69" s="65">
        <v>0.43</v>
      </c>
      <c r="K69" s="66">
        <v>45067.0</v>
      </c>
      <c r="L69" s="67">
        <v>1.75</v>
      </c>
      <c r="M69" s="64" t="s">
        <v>25</v>
      </c>
      <c r="N69" s="68">
        <f t="shared" si="1"/>
        <v>-0.43</v>
      </c>
      <c r="O69" s="68">
        <f t="shared" si="4"/>
        <v>1.435001667</v>
      </c>
    </row>
    <row r="70">
      <c r="A70" s="64">
        <f t="shared" si="3"/>
        <v>69</v>
      </c>
      <c r="B70" s="64" t="s">
        <v>19</v>
      </c>
      <c r="C70" s="64" t="s">
        <v>5827</v>
      </c>
      <c r="D70" s="64" t="s">
        <v>121</v>
      </c>
      <c r="E70" s="64" t="s">
        <v>22</v>
      </c>
      <c r="F70" s="64" t="s">
        <v>225</v>
      </c>
      <c r="G70" s="64"/>
      <c r="H70" s="65">
        <v>0.5</v>
      </c>
      <c r="I70" s="65">
        <v>1.0</v>
      </c>
      <c r="J70" s="65">
        <v>1.0</v>
      </c>
      <c r="K70" s="66">
        <v>45067.0</v>
      </c>
      <c r="L70" s="67">
        <f>904/800</f>
        <v>1.13</v>
      </c>
      <c r="M70" s="64" t="s">
        <v>33</v>
      </c>
      <c r="N70" s="68">
        <f t="shared" si="1"/>
        <v>0.13</v>
      </c>
      <c r="O70" s="68">
        <f t="shared" si="4"/>
        <v>1.565001667</v>
      </c>
    </row>
    <row r="71">
      <c r="A71" s="64">
        <f t="shared" si="3"/>
        <v>70</v>
      </c>
      <c r="B71" s="64" t="s">
        <v>19</v>
      </c>
      <c r="C71" s="64" t="s">
        <v>5828</v>
      </c>
      <c r="D71" s="64" t="s">
        <v>463</v>
      </c>
      <c r="E71" s="64" t="s">
        <v>22</v>
      </c>
      <c r="F71" s="64" t="s">
        <v>892</v>
      </c>
      <c r="G71" s="64"/>
      <c r="H71" s="65">
        <v>0.0</v>
      </c>
      <c r="I71" s="65">
        <v>0.5</v>
      </c>
      <c r="J71" s="65">
        <v>0.15</v>
      </c>
      <c r="K71" s="66">
        <v>45067.0</v>
      </c>
      <c r="L71" s="67">
        <v>1.9</v>
      </c>
      <c r="M71" s="64" t="s">
        <v>33</v>
      </c>
      <c r="N71" s="68">
        <f t="shared" si="1"/>
        <v>0.135</v>
      </c>
      <c r="O71" s="68">
        <f t="shared" si="4"/>
        <v>1.700001667</v>
      </c>
    </row>
    <row r="72">
      <c r="A72" s="64">
        <f t="shared" si="3"/>
        <v>71</v>
      </c>
      <c r="B72" s="64" t="s">
        <v>19</v>
      </c>
      <c r="C72" s="64" t="s">
        <v>5829</v>
      </c>
      <c r="D72" s="64" t="s">
        <v>233</v>
      </c>
      <c r="E72" s="64" t="s">
        <v>22</v>
      </c>
      <c r="F72" s="64" t="s">
        <v>1150</v>
      </c>
      <c r="G72" s="64"/>
      <c r="H72" s="65">
        <v>0.0</v>
      </c>
      <c r="I72" s="65">
        <v>0.5</v>
      </c>
      <c r="J72" s="65">
        <v>0.5</v>
      </c>
      <c r="K72" s="66">
        <v>45067.0</v>
      </c>
      <c r="L72" s="67">
        <v>1.8</v>
      </c>
      <c r="M72" s="64" t="s">
        <v>70</v>
      </c>
      <c r="N72" s="68">
        <f t="shared" si="1"/>
        <v>0</v>
      </c>
      <c r="O72" s="68">
        <f t="shared" si="4"/>
        <v>1.700001667</v>
      </c>
    </row>
    <row r="73">
      <c r="A73" s="64">
        <f t="shared" si="3"/>
        <v>72</v>
      </c>
      <c r="B73" s="64" t="s">
        <v>19</v>
      </c>
      <c r="C73" s="64" t="s">
        <v>5830</v>
      </c>
      <c r="D73" s="64" t="s">
        <v>99</v>
      </c>
      <c r="E73" s="64" t="s">
        <v>22</v>
      </c>
      <c r="F73" s="64" t="s">
        <v>1165</v>
      </c>
      <c r="G73" s="64"/>
      <c r="H73" s="65"/>
      <c r="I73" s="65">
        <v>0.1</v>
      </c>
      <c r="J73" s="65">
        <v>0.1</v>
      </c>
      <c r="K73" s="66">
        <v>45067.0</v>
      </c>
      <c r="L73" s="67">
        <v>6.5</v>
      </c>
      <c r="M73" s="64" t="s">
        <v>25</v>
      </c>
      <c r="N73" s="68">
        <f t="shared" si="1"/>
        <v>-0.1</v>
      </c>
      <c r="O73" s="68">
        <f t="shared" si="4"/>
        <v>1.600001667</v>
      </c>
    </row>
    <row r="74">
      <c r="A74" s="64">
        <f t="shared" si="3"/>
        <v>73</v>
      </c>
      <c r="B74" s="64" t="s">
        <v>19</v>
      </c>
      <c r="C74" s="64" t="s">
        <v>5831</v>
      </c>
      <c r="D74" s="64" t="s">
        <v>82</v>
      </c>
      <c r="E74" s="64" t="s">
        <v>598</v>
      </c>
      <c r="F74" s="64" t="s">
        <v>894</v>
      </c>
      <c r="G74" s="64"/>
      <c r="H74" s="65">
        <v>-1.0</v>
      </c>
      <c r="I74" s="65">
        <v>0.5</v>
      </c>
      <c r="J74" s="65">
        <v>0.5</v>
      </c>
      <c r="K74" s="66">
        <v>45067.0</v>
      </c>
      <c r="L74" s="67">
        <v>1.775</v>
      </c>
      <c r="M74" s="64" t="s">
        <v>70</v>
      </c>
      <c r="N74" s="68">
        <f t="shared" si="1"/>
        <v>0</v>
      </c>
      <c r="O74" s="68">
        <f t="shared" si="4"/>
        <v>1.600001667</v>
      </c>
    </row>
    <row r="75">
      <c r="A75" s="64">
        <f t="shared" si="3"/>
        <v>74</v>
      </c>
      <c r="B75" s="64" t="s">
        <v>19</v>
      </c>
      <c r="C75" s="64" t="s">
        <v>5832</v>
      </c>
      <c r="D75" s="64" t="s">
        <v>101</v>
      </c>
      <c r="E75" s="64" t="s">
        <v>22</v>
      </c>
      <c r="F75" s="64" t="s">
        <v>29</v>
      </c>
      <c r="G75" s="64"/>
      <c r="H75" s="65">
        <v>-3.0</v>
      </c>
      <c r="I75" s="65">
        <v>0.5</v>
      </c>
      <c r="J75" s="65">
        <v>0.43</v>
      </c>
      <c r="K75" s="66">
        <v>45067.0</v>
      </c>
      <c r="L75" s="67">
        <v>1.8</v>
      </c>
      <c r="M75" s="64" t="s">
        <v>33</v>
      </c>
      <c r="N75" s="68">
        <f t="shared" si="1"/>
        <v>0.344</v>
      </c>
      <c r="O75" s="68">
        <f t="shared" si="4"/>
        <v>1.944001667</v>
      </c>
    </row>
    <row r="76">
      <c r="A76" s="64">
        <f t="shared" si="3"/>
        <v>75</v>
      </c>
      <c r="B76" s="64" t="s">
        <v>19</v>
      </c>
      <c r="C76" s="64" t="s">
        <v>5833</v>
      </c>
      <c r="D76" s="64" t="s">
        <v>624</v>
      </c>
      <c r="E76" s="64" t="s">
        <v>22</v>
      </c>
      <c r="F76" s="64" t="s">
        <v>225</v>
      </c>
      <c r="G76" s="64"/>
      <c r="H76" s="65">
        <v>1.0</v>
      </c>
      <c r="I76" s="65">
        <v>0.5</v>
      </c>
      <c r="J76" s="65">
        <v>0.39</v>
      </c>
      <c r="K76" s="66">
        <v>45067.0</v>
      </c>
      <c r="L76" s="67">
        <v>1.75</v>
      </c>
      <c r="M76" s="64" t="s">
        <v>70</v>
      </c>
      <c r="N76" s="68">
        <f t="shared" si="1"/>
        <v>0</v>
      </c>
      <c r="O76" s="68">
        <f t="shared" si="4"/>
        <v>1.944001667</v>
      </c>
    </row>
    <row r="77">
      <c r="A77" s="64">
        <f t="shared" si="3"/>
        <v>76</v>
      </c>
      <c r="B77" s="64" t="s">
        <v>19</v>
      </c>
      <c r="C77" s="64" t="s">
        <v>5834</v>
      </c>
      <c r="D77" s="64" t="s">
        <v>1085</v>
      </c>
      <c r="E77" s="64" t="s">
        <v>22</v>
      </c>
      <c r="F77" s="64" t="s">
        <v>225</v>
      </c>
      <c r="G77" s="64"/>
      <c r="H77" s="65">
        <v>0.75</v>
      </c>
      <c r="I77" s="65">
        <v>0.5</v>
      </c>
      <c r="J77" s="65">
        <v>0.33</v>
      </c>
      <c r="K77" s="66">
        <v>45067.0</v>
      </c>
      <c r="L77" s="67">
        <v>1.775</v>
      </c>
      <c r="M77" s="64" t="s">
        <v>25</v>
      </c>
      <c r="N77" s="68">
        <f t="shared" si="1"/>
        <v>-0.33</v>
      </c>
      <c r="O77" s="68">
        <f t="shared" si="4"/>
        <v>1.614001667</v>
      </c>
    </row>
    <row r="78">
      <c r="A78" s="64">
        <f t="shared" si="3"/>
        <v>77</v>
      </c>
      <c r="B78" s="64" t="s">
        <v>19</v>
      </c>
      <c r="C78" s="64" t="s">
        <v>5835</v>
      </c>
      <c r="D78" s="64" t="s">
        <v>82</v>
      </c>
      <c r="E78" s="64" t="s">
        <v>22</v>
      </c>
      <c r="F78" s="64" t="s">
        <v>1847</v>
      </c>
      <c r="G78" s="64"/>
      <c r="H78" s="65">
        <v>-0.5</v>
      </c>
      <c r="I78" s="65">
        <v>1.0</v>
      </c>
      <c r="J78" s="65">
        <v>0.34</v>
      </c>
      <c r="K78" s="66">
        <v>45069.0</v>
      </c>
      <c r="L78" s="67">
        <v>1.8</v>
      </c>
      <c r="M78" s="64" t="s">
        <v>33</v>
      </c>
      <c r="N78" s="68">
        <f t="shared" si="1"/>
        <v>0.272</v>
      </c>
      <c r="O78" s="68">
        <f t="shared" si="4"/>
        <v>1.886001667</v>
      </c>
    </row>
    <row r="79">
      <c r="A79" s="64">
        <f t="shared" si="3"/>
        <v>78</v>
      </c>
      <c r="B79" s="64" t="s">
        <v>19</v>
      </c>
      <c r="C79" s="64" t="s">
        <v>5836</v>
      </c>
      <c r="D79" s="64" t="s">
        <v>191</v>
      </c>
      <c r="E79" s="64" t="s">
        <v>22</v>
      </c>
      <c r="F79" s="64" t="s">
        <v>225</v>
      </c>
      <c r="G79" s="64"/>
      <c r="H79" s="65">
        <v>0.25</v>
      </c>
      <c r="I79" s="65">
        <v>1.0</v>
      </c>
      <c r="J79" s="65">
        <v>0.37</v>
      </c>
      <c r="K79" s="66">
        <v>45069.0</v>
      </c>
      <c r="L79" s="67">
        <v>1.9</v>
      </c>
      <c r="M79" s="64" t="s">
        <v>30</v>
      </c>
      <c r="N79" s="68">
        <f t="shared" si="1"/>
        <v>0.1665</v>
      </c>
      <c r="O79" s="68">
        <f t="shared" si="4"/>
        <v>2.052501667</v>
      </c>
    </row>
    <row r="80">
      <c r="A80" s="64">
        <f t="shared" si="3"/>
        <v>79</v>
      </c>
      <c r="B80" s="64" t="s">
        <v>40</v>
      </c>
      <c r="C80" s="64" t="s">
        <v>5837</v>
      </c>
      <c r="D80" s="64" t="s">
        <v>42</v>
      </c>
      <c r="E80" s="64" t="s">
        <v>22</v>
      </c>
      <c r="F80" s="64" t="s">
        <v>225</v>
      </c>
      <c r="G80" s="64"/>
      <c r="H80" s="65">
        <v>1.0</v>
      </c>
      <c r="I80" s="65">
        <v>1.0</v>
      </c>
      <c r="J80" s="65">
        <v>0.66</v>
      </c>
      <c r="K80" s="66">
        <v>45069.0</v>
      </c>
      <c r="L80" s="67">
        <v>1.95</v>
      </c>
      <c r="M80" s="64" t="s">
        <v>70</v>
      </c>
      <c r="N80" s="68">
        <f t="shared" si="1"/>
        <v>0</v>
      </c>
      <c r="O80" s="68">
        <f t="shared" si="4"/>
        <v>2.052501667</v>
      </c>
    </row>
    <row r="81">
      <c r="A81" s="64">
        <f t="shared" si="3"/>
        <v>80</v>
      </c>
      <c r="B81" s="64" t="s">
        <v>19</v>
      </c>
      <c r="C81" s="64" t="s">
        <v>5838</v>
      </c>
      <c r="D81" s="64" t="s">
        <v>233</v>
      </c>
      <c r="E81" s="64" t="s">
        <v>22</v>
      </c>
      <c r="F81" s="64" t="s">
        <v>440</v>
      </c>
      <c r="G81" s="64"/>
      <c r="H81" s="65">
        <v>2.5</v>
      </c>
      <c r="I81" s="65">
        <v>0.5</v>
      </c>
      <c r="J81" s="65">
        <v>0.5</v>
      </c>
      <c r="K81" s="66">
        <v>45069.0</v>
      </c>
      <c r="L81" s="67">
        <v>1.8</v>
      </c>
      <c r="M81" s="64" t="s">
        <v>33</v>
      </c>
      <c r="N81" s="68">
        <f t="shared" si="1"/>
        <v>0.4</v>
      </c>
      <c r="O81" s="68">
        <f t="shared" si="4"/>
        <v>2.452501667</v>
      </c>
    </row>
    <row r="82">
      <c r="A82" s="64">
        <f t="shared" si="3"/>
        <v>81</v>
      </c>
      <c r="B82" s="64" t="s">
        <v>40</v>
      </c>
      <c r="C82" s="64" t="s">
        <v>5839</v>
      </c>
      <c r="D82" s="64" t="s">
        <v>121</v>
      </c>
      <c r="E82" s="64" t="s">
        <v>22</v>
      </c>
      <c r="F82" s="64" t="s">
        <v>225</v>
      </c>
      <c r="G82" s="64"/>
      <c r="H82" s="65">
        <v>0.25</v>
      </c>
      <c r="I82" s="65">
        <v>1.0</v>
      </c>
      <c r="J82" s="65">
        <v>0.29</v>
      </c>
      <c r="K82" s="66">
        <v>45069.0</v>
      </c>
      <c r="L82" s="67">
        <v>1.775</v>
      </c>
      <c r="M82" s="64" t="s">
        <v>30</v>
      </c>
      <c r="N82" s="68">
        <f t="shared" si="1"/>
        <v>0.112375</v>
      </c>
      <c r="O82" s="68">
        <f t="shared" si="4"/>
        <v>2.564876667</v>
      </c>
    </row>
    <row r="83">
      <c r="A83" s="64">
        <f t="shared" si="3"/>
        <v>82</v>
      </c>
      <c r="B83" s="64" t="s">
        <v>40</v>
      </c>
      <c r="C83" s="64" t="s">
        <v>5840</v>
      </c>
      <c r="D83" s="64" t="s">
        <v>121</v>
      </c>
      <c r="E83" s="64" t="s">
        <v>22</v>
      </c>
      <c r="F83" s="64" t="s">
        <v>225</v>
      </c>
      <c r="G83" s="64"/>
      <c r="H83" s="65">
        <v>0.25</v>
      </c>
      <c r="I83" s="65">
        <v>0.71</v>
      </c>
      <c r="J83" s="65">
        <v>0.71</v>
      </c>
      <c r="K83" s="66">
        <v>45069.0</v>
      </c>
      <c r="L83" s="67">
        <v>1.775</v>
      </c>
      <c r="M83" s="64" t="s">
        <v>25</v>
      </c>
      <c r="N83" s="68">
        <f t="shared" si="1"/>
        <v>-0.71</v>
      </c>
      <c r="O83" s="68">
        <f t="shared" si="4"/>
        <v>1.854876667</v>
      </c>
    </row>
    <row r="84">
      <c r="A84" s="64">
        <f t="shared" si="3"/>
        <v>83</v>
      </c>
      <c r="B84" s="64" t="s">
        <v>19</v>
      </c>
      <c r="C84" s="64" t="s">
        <v>5841</v>
      </c>
      <c r="D84" s="64" t="s">
        <v>616</v>
      </c>
      <c r="E84" s="64" t="s">
        <v>22</v>
      </c>
      <c r="F84" s="64" t="s">
        <v>941</v>
      </c>
      <c r="G84" s="64"/>
      <c r="H84" s="65">
        <v>0.0</v>
      </c>
      <c r="I84" s="65">
        <v>1.0</v>
      </c>
      <c r="J84" s="65">
        <v>1.0</v>
      </c>
      <c r="K84" s="66">
        <v>45069.0</v>
      </c>
      <c r="L84" s="67">
        <v>1.72</v>
      </c>
      <c r="M84" s="64" t="s">
        <v>33</v>
      </c>
      <c r="N84" s="68">
        <f t="shared" si="1"/>
        <v>0.72</v>
      </c>
      <c r="O84" s="68">
        <f t="shared" si="4"/>
        <v>2.574876667</v>
      </c>
    </row>
    <row r="85">
      <c r="A85" s="64">
        <f t="shared" si="3"/>
        <v>84</v>
      </c>
      <c r="B85" s="64" t="s">
        <v>19</v>
      </c>
      <c r="C85" s="64" t="s">
        <v>5842</v>
      </c>
      <c r="D85" s="64" t="s">
        <v>513</v>
      </c>
      <c r="E85" s="64" t="s">
        <v>22</v>
      </c>
      <c r="F85" s="64" t="s">
        <v>225</v>
      </c>
      <c r="G85" s="64"/>
      <c r="H85" s="65">
        <v>0.5</v>
      </c>
      <c r="I85" s="65">
        <v>1.0</v>
      </c>
      <c r="J85" s="65">
        <v>1.0</v>
      </c>
      <c r="K85" s="66">
        <v>45069.0</v>
      </c>
      <c r="L85" s="67">
        <f>990/800</f>
        <v>1.2375</v>
      </c>
      <c r="M85" s="64" t="s">
        <v>33</v>
      </c>
      <c r="N85" s="68">
        <f t="shared" si="1"/>
        <v>0.2375</v>
      </c>
      <c r="O85" s="68">
        <f t="shared" si="4"/>
        <v>2.812376667</v>
      </c>
    </row>
    <row r="86">
      <c r="A86" s="64">
        <f t="shared" si="3"/>
        <v>85</v>
      </c>
      <c r="B86" s="64" t="s">
        <v>19</v>
      </c>
      <c r="C86" s="64" t="s">
        <v>5843</v>
      </c>
      <c r="D86" s="64" t="s">
        <v>2386</v>
      </c>
      <c r="E86" s="64" t="s">
        <v>22</v>
      </c>
      <c r="F86" s="64" t="s">
        <v>2962</v>
      </c>
      <c r="G86" s="64"/>
      <c r="H86" s="65">
        <v>-0.5</v>
      </c>
      <c r="I86" s="65">
        <v>0.5</v>
      </c>
      <c r="J86" s="65">
        <v>0.23</v>
      </c>
      <c r="K86" s="66">
        <v>45069.0</v>
      </c>
      <c r="L86" s="67">
        <v>1.7</v>
      </c>
      <c r="M86" s="64" t="s">
        <v>33</v>
      </c>
      <c r="N86" s="68">
        <f t="shared" si="1"/>
        <v>0.161</v>
      </c>
      <c r="O86" s="68">
        <f t="shared" si="4"/>
        <v>2.973376667</v>
      </c>
    </row>
    <row r="87">
      <c r="A87" s="64">
        <f t="shared" si="3"/>
        <v>86</v>
      </c>
      <c r="B87" s="64" t="s">
        <v>19</v>
      </c>
      <c r="C87" s="64" t="s">
        <v>5844</v>
      </c>
      <c r="D87" s="64" t="s">
        <v>44</v>
      </c>
      <c r="E87" s="64" t="s">
        <v>22</v>
      </c>
      <c r="F87" s="64" t="s">
        <v>225</v>
      </c>
      <c r="G87" s="64"/>
      <c r="H87" s="65">
        <v>1.75</v>
      </c>
      <c r="I87" s="65">
        <v>1.0</v>
      </c>
      <c r="J87" s="65">
        <v>0.15</v>
      </c>
      <c r="K87" s="66">
        <v>45069.0</v>
      </c>
      <c r="L87" s="67">
        <f>1024/800</f>
        <v>1.28</v>
      </c>
      <c r="M87" s="64" t="s">
        <v>33</v>
      </c>
      <c r="N87" s="68">
        <f t="shared" si="1"/>
        <v>0.042</v>
      </c>
      <c r="O87" s="68">
        <f t="shared" si="4"/>
        <v>3.015376667</v>
      </c>
    </row>
    <row r="88">
      <c r="A88" s="64">
        <f t="shared" si="3"/>
        <v>87</v>
      </c>
      <c r="B88" s="64" t="s">
        <v>19</v>
      </c>
      <c r="C88" s="64" t="s">
        <v>5845</v>
      </c>
      <c r="D88" s="64" t="s">
        <v>44</v>
      </c>
      <c r="E88" s="64" t="s">
        <v>22</v>
      </c>
      <c r="F88" s="64" t="s">
        <v>225</v>
      </c>
      <c r="G88" s="64"/>
      <c r="H88" s="65">
        <v>1.5</v>
      </c>
      <c r="I88" s="65">
        <v>0.85</v>
      </c>
      <c r="J88" s="65">
        <v>0.81</v>
      </c>
      <c r="K88" s="66">
        <v>45069.0</v>
      </c>
      <c r="L88" s="67">
        <v>1.125</v>
      </c>
      <c r="M88" s="64" t="s">
        <v>33</v>
      </c>
      <c r="N88" s="68">
        <f t="shared" si="1"/>
        <v>0.10125</v>
      </c>
      <c r="O88" s="68">
        <f t="shared" si="4"/>
        <v>3.116626667</v>
      </c>
    </row>
    <row r="89">
      <c r="A89" s="64">
        <f t="shared" si="3"/>
        <v>88</v>
      </c>
      <c r="B89" s="64" t="s">
        <v>19</v>
      </c>
      <c r="C89" s="64" t="s">
        <v>5846</v>
      </c>
      <c r="D89" s="64" t="s">
        <v>115</v>
      </c>
      <c r="E89" s="64" t="s">
        <v>22</v>
      </c>
      <c r="F89" s="64" t="s">
        <v>225</v>
      </c>
      <c r="G89" s="64"/>
      <c r="H89" s="65">
        <v>0.25</v>
      </c>
      <c r="I89" s="65">
        <v>1.0</v>
      </c>
      <c r="J89" s="65">
        <v>1.0</v>
      </c>
      <c r="K89" s="66">
        <v>45070.0</v>
      </c>
      <c r="L89" s="67">
        <v>1.75</v>
      </c>
      <c r="M89" s="64" t="s">
        <v>25</v>
      </c>
      <c r="N89" s="68">
        <f t="shared" si="1"/>
        <v>-1</v>
      </c>
      <c r="O89" s="68">
        <f t="shared" si="4"/>
        <v>2.116626667</v>
      </c>
    </row>
    <row r="90">
      <c r="A90" s="64">
        <f t="shared" si="3"/>
        <v>89</v>
      </c>
      <c r="B90" s="64" t="s">
        <v>19</v>
      </c>
      <c r="C90" s="64" t="s">
        <v>5847</v>
      </c>
      <c r="D90" s="64" t="s">
        <v>229</v>
      </c>
      <c r="E90" s="64" t="s">
        <v>22</v>
      </c>
      <c r="F90" s="64" t="s">
        <v>225</v>
      </c>
      <c r="G90" s="64"/>
      <c r="H90" s="65">
        <v>0.5</v>
      </c>
      <c r="I90" s="65">
        <v>1.0</v>
      </c>
      <c r="J90" s="65">
        <v>0.4</v>
      </c>
      <c r="K90" s="66">
        <v>45070.0</v>
      </c>
      <c r="L90" s="67">
        <v>1.825</v>
      </c>
      <c r="M90" s="64" t="s">
        <v>70</v>
      </c>
      <c r="N90" s="68">
        <f t="shared" si="1"/>
        <v>0</v>
      </c>
      <c r="O90" s="68">
        <f t="shared" si="4"/>
        <v>2.116626667</v>
      </c>
    </row>
    <row r="91">
      <c r="A91" s="64">
        <f t="shared" si="3"/>
        <v>90</v>
      </c>
      <c r="B91" s="64" t="s">
        <v>19</v>
      </c>
      <c r="C91" s="64" t="s">
        <v>5848</v>
      </c>
      <c r="D91" s="64" t="s">
        <v>191</v>
      </c>
      <c r="E91" s="64" t="s">
        <v>22</v>
      </c>
      <c r="F91" s="64" t="s">
        <v>894</v>
      </c>
      <c r="G91" s="64"/>
      <c r="H91" s="65">
        <v>-0.25</v>
      </c>
      <c r="I91" s="65">
        <v>0.5</v>
      </c>
      <c r="J91" s="65">
        <v>0.5</v>
      </c>
      <c r="K91" s="66">
        <v>45070.0</v>
      </c>
      <c r="L91" s="67">
        <v>1.75</v>
      </c>
      <c r="M91" s="64" t="s">
        <v>33</v>
      </c>
      <c r="N91" s="68">
        <f t="shared" si="1"/>
        <v>0.375</v>
      </c>
      <c r="O91" s="68">
        <f t="shared" si="4"/>
        <v>2.491626667</v>
      </c>
    </row>
    <row r="92">
      <c r="A92" s="64">
        <f t="shared" si="3"/>
        <v>91</v>
      </c>
      <c r="B92" s="64" t="s">
        <v>19</v>
      </c>
      <c r="C92" s="64" t="s">
        <v>5849</v>
      </c>
      <c r="D92" s="64" t="s">
        <v>583</v>
      </c>
      <c r="E92" s="64" t="s">
        <v>22</v>
      </c>
      <c r="F92" s="64" t="s">
        <v>225</v>
      </c>
      <c r="G92" s="64"/>
      <c r="H92" s="65">
        <v>0.25</v>
      </c>
      <c r="I92" s="65">
        <v>1.0</v>
      </c>
      <c r="J92" s="65">
        <v>0.6</v>
      </c>
      <c r="K92" s="66">
        <v>45070.0</v>
      </c>
      <c r="L92" s="67">
        <v>1.7</v>
      </c>
      <c r="M92" s="64" t="s">
        <v>30</v>
      </c>
      <c r="N92" s="68">
        <f t="shared" si="1"/>
        <v>0.21</v>
      </c>
      <c r="O92" s="68">
        <f t="shared" si="4"/>
        <v>2.701626667</v>
      </c>
    </row>
    <row r="93">
      <c r="A93" s="64">
        <f t="shared" si="3"/>
        <v>92</v>
      </c>
      <c r="B93" s="64" t="s">
        <v>19</v>
      </c>
      <c r="C93" s="64" t="s">
        <v>5850</v>
      </c>
      <c r="D93" s="64" t="s">
        <v>44</v>
      </c>
      <c r="E93" s="64" t="s">
        <v>22</v>
      </c>
      <c r="F93" s="64" t="s">
        <v>225</v>
      </c>
      <c r="G93" s="64"/>
      <c r="H93" s="65">
        <v>0.5</v>
      </c>
      <c r="I93" s="65">
        <v>1.0</v>
      </c>
      <c r="J93" s="65">
        <v>1.0</v>
      </c>
      <c r="K93" s="66">
        <v>45070.0</v>
      </c>
      <c r="L93" s="67">
        <v>1.875</v>
      </c>
      <c r="M93" s="64" t="s">
        <v>33</v>
      </c>
      <c r="N93" s="68">
        <f t="shared" si="1"/>
        <v>0.875</v>
      </c>
      <c r="O93" s="68">
        <f t="shared" si="4"/>
        <v>3.576626667</v>
      </c>
    </row>
    <row r="94">
      <c r="A94" s="64">
        <f t="shared" si="3"/>
        <v>93</v>
      </c>
      <c r="B94" s="64" t="s">
        <v>19</v>
      </c>
      <c r="C94" s="64" t="s">
        <v>5851</v>
      </c>
      <c r="D94" s="64" t="s">
        <v>463</v>
      </c>
      <c r="E94" s="64" t="s">
        <v>22</v>
      </c>
      <c r="F94" s="64" t="s">
        <v>225</v>
      </c>
      <c r="G94" s="64"/>
      <c r="H94" s="65">
        <v>3.0</v>
      </c>
      <c r="I94" s="65">
        <v>0.5</v>
      </c>
      <c r="J94" s="65">
        <v>0.5</v>
      </c>
      <c r="K94" s="66">
        <v>45070.0</v>
      </c>
      <c r="L94" s="67">
        <v>2.0</v>
      </c>
      <c r="M94" s="64" t="s">
        <v>33</v>
      </c>
      <c r="N94" s="68">
        <f t="shared" si="1"/>
        <v>0.5</v>
      </c>
      <c r="O94" s="68">
        <f t="shared" si="4"/>
        <v>4.076626667</v>
      </c>
    </row>
    <row r="95">
      <c r="A95" s="64">
        <f t="shared" si="3"/>
        <v>94</v>
      </c>
      <c r="B95" s="64" t="s">
        <v>40</v>
      </c>
      <c r="C95" s="64" t="s">
        <v>5852</v>
      </c>
      <c r="D95" s="64" t="s">
        <v>82</v>
      </c>
      <c r="E95" s="64" t="s">
        <v>22</v>
      </c>
      <c r="F95" s="64" t="s">
        <v>225</v>
      </c>
      <c r="G95" s="64"/>
      <c r="H95" s="65">
        <v>0.5</v>
      </c>
      <c r="I95" s="65">
        <v>0.5</v>
      </c>
      <c r="J95" s="65">
        <v>0.5</v>
      </c>
      <c r="K95" s="66">
        <v>45070.0</v>
      </c>
      <c r="L95" s="67">
        <v>1.85</v>
      </c>
      <c r="M95" s="64" t="s">
        <v>25</v>
      </c>
      <c r="N95" s="68">
        <f t="shared" si="1"/>
        <v>-0.5</v>
      </c>
      <c r="O95" s="68">
        <f t="shared" si="4"/>
        <v>3.576626667</v>
      </c>
    </row>
    <row r="96">
      <c r="A96" s="64">
        <f t="shared" si="3"/>
        <v>95</v>
      </c>
      <c r="B96" s="64" t="s">
        <v>19</v>
      </c>
      <c r="C96" s="64" t="s">
        <v>5853</v>
      </c>
      <c r="D96" s="64" t="s">
        <v>82</v>
      </c>
      <c r="E96" s="64" t="s">
        <v>22</v>
      </c>
      <c r="F96" s="64" t="s">
        <v>225</v>
      </c>
      <c r="G96" s="64"/>
      <c r="H96" s="65">
        <v>1.25</v>
      </c>
      <c r="I96" s="65">
        <v>1.0</v>
      </c>
      <c r="J96" s="65">
        <v>0.4</v>
      </c>
      <c r="K96" s="66">
        <v>45070.0</v>
      </c>
      <c r="L96" s="67">
        <v>1.85</v>
      </c>
      <c r="M96" s="64" t="s">
        <v>33</v>
      </c>
      <c r="N96" s="68">
        <f t="shared" si="1"/>
        <v>0.34</v>
      </c>
      <c r="O96" s="68">
        <f t="shared" si="4"/>
        <v>3.916626667</v>
      </c>
    </row>
    <row r="97">
      <c r="A97" s="64">
        <f t="shared" si="3"/>
        <v>96</v>
      </c>
      <c r="B97" s="64" t="s">
        <v>19</v>
      </c>
      <c r="C97" s="64" t="s">
        <v>5854</v>
      </c>
      <c r="D97" s="64" t="s">
        <v>463</v>
      </c>
      <c r="E97" s="64" t="s">
        <v>22</v>
      </c>
      <c r="F97" s="64" t="s">
        <v>225</v>
      </c>
      <c r="G97" s="64"/>
      <c r="H97" s="65">
        <v>2.0</v>
      </c>
      <c r="I97" s="65">
        <v>0.5</v>
      </c>
      <c r="J97" s="65">
        <v>0.225</v>
      </c>
      <c r="K97" s="66">
        <v>45070.0</v>
      </c>
      <c r="L97" s="67">
        <v>1.925</v>
      </c>
      <c r="M97" s="64" t="s">
        <v>25</v>
      </c>
      <c r="N97" s="68">
        <f t="shared" si="1"/>
        <v>-0.225</v>
      </c>
      <c r="O97" s="68">
        <f t="shared" si="4"/>
        <v>3.691626667</v>
      </c>
    </row>
    <row r="98">
      <c r="A98" s="64">
        <f t="shared" si="3"/>
        <v>97</v>
      </c>
      <c r="B98" s="64" t="s">
        <v>19</v>
      </c>
      <c r="C98" s="64" t="s">
        <v>5855</v>
      </c>
      <c r="D98" s="64" t="s">
        <v>463</v>
      </c>
      <c r="E98" s="64" t="s">
        <v>22</v>
      </c>
      <c r="F98" s="64" t="s">
        <v>225</v>
      </c>
      <c r="G98" s="64"/>
      <c r="H98" s="65">
        <v>2.25</v>
      </c>
      <c r="I98" s="65">
        <v>0.5</v>
      </c>
      <c r="J98" s="65">
        <v>0.025</v>
      </c>
      <c r="K98" s="66">
        <v>45070.0</v>
      </c>
      <c r="L98" s="67">
        <v>1.8</v>
      </c>
      <c r="M98" s="64" t="s">
        <v>25</v>
      </c>
      <c r="N98" s="68">
        <f t="shared" si="1"/>
        <v>-0.025</v>
      </c>
      <c r="O98" s="68">
        <f t="shared" si="4"/>
        <v>3.666626667</v>
      </c>
    </row>
    <row r="99">
      <c r="A99" s="64">
        <f t="shared" si="3"/>
        <v>98</v>
      </c>
      <c r="B99" s="64" t="s">
        <v>19</v>
      </c>
      <c r="C99" s="64" t="s">
        <v>5856</v>
      </c>
      <c r="D99" s="64" t="s">
        <v>463</v>
      </c>
      <c r="E99" s="64" t="s">
        <v>22</v>
      </c>
      <c r="F99" s="64" t="s">
        <v>29</v>
      </c>
      <c r="G99" s="64"/>
      <c r="H99" s="65">
        <v>-2.25</v>
      </c>
      <c r="I99" s="65">
        <v>0.5</v>
      </c>
      <c r="J99" s="65">
        <v>0.1</v>
      </c>
      <c r="K99" s="66">
        <v>45070.0</v>
      </c>
      <c r="L99" s="67">
        <v>1.775</v>
      </c>
      <c r="M99" s="64" t="s">
        <v>25</v>
      </c>
      <c r="N99" s="68">
        <f t="shared" si="1"/>
        <v>-0.1</v>
      </c>
      <c r="O99" s="68">
        <f t="shared" si="4"/>
        <v>3.566626667</v>
      </c>
    </row>
    <row r="100">
      <c r="A100" s="64">
        <f t="shared" si="3"/>
        <v>99</v>
      </c>
      <c r="B100" s="64" t="s">
        <v>19</v>
      </c>
      <c r="C100" s="64" t="s">
        <v>5857</v>
      </c>
      <c r="D100" s="64" t="s">
        <v>38</v>
      </c>
      <c r="E100" s="64" t="s">
        <v>22</v>
      </c>
      <c r="F100" s="64" t="s">
        <v>225</v>
      </c>
      <c r="G100" s="64"/>
      <c r="H100" s="65">
        <v>0.5</v>
      </c>
      <c r="I100" s="65">
        <v>0.25</v>
      </c>
      <c r="J100" s="65">
        <v>0.25</v>
      </c>
      <c r="K100" s="66">
        <v>45070.0</v>
      </c>
      <c r="L100" s="67">
        <v>2.08</v>
      </c>
      <c r="M100" s="64" t="s">
        <v>33</v>
      </c>
      <c r="N100" s="68">
        <f t="shared" si="1"/>
        <v>0.27</v>
      </c>
      <c r="O100" s="68">
        <f t="shared" si="4"/>
        <v>3.836626667</v>
      </c>
    </row>
    <row r="101">
      <c r="A101" s="64">
        <f t="shared" si="3"/>
        <v>100</v>
      </c>
      <c r="B101" s="64" t="s">
        <v>19</v>
      </c>
      <c r="C101" s="64" t="s">
        <v>5858</v>
      </c>
      <c r="D101" s="64" t="s">
        <v>121</v>
      </c>
      <c r="E101" s="64" t="s">
        <v>22</v>
      </c>
      <c r="F101" s="64" t="s">
        <v>225</v>
      </c>
      <c r="G101" s="64"/>
      <c r="H101" s="65">
        <v>0.5</v>
      </c>
      <c r="I101" s="65">
        <v>0.5</v>
      </c>
      <c r="J101" s="65">
        <v>0.11</v>
      </c>
      <c r="K101" s="66">
        <v>45070.0</v>
      </c>
      <c r="L101" s="67">
        <v>2.0</v>
      </c>
      <c r="M101" s="64" t="s">
        <v>25</v>
      </c>
      <c r="N101" s="68">
        <f t="shared" si="1"/>
        <v>-0.11</v>
      </c>
      <c r="O101" s="68">
        <f t="shared" si="4"/>
        <v>3.726626667</v>
      </c>
    </row>
    <row r="102">
      <c r="A102" s="64">
        <f t="shared" si="3"/>
        <v>101</v>
      </c>
      <c r="B102" s="64" t="s">
        <v>19</v>
      </c>
      <c r="C102" s="64" t="s">
        <v>5859</v>
      </c>
      <c r="D102" s="64" t="s">
        <v>2380</v>
      </c>
      <c r="E102" s="64" t="s">
        <v>22</v>
      </c>
      <c r="F102" s="64" t="s">
        <v>225</v>
      </c>
      <c r="G102" s="64"/>
      <c r="H102" s="65">
        <v>0.5</v>
      </c>
      <c r="I102" s="65">
        <v>0.5</v>
      </c>
      <c r="J102" s="65">
        <v>0.5</v>
      </c>
      <c r="K102" s="66">
        <v>45071.0</v>
      </c>
      <c r="L102" s="67">
        <v>1.825</v>
      </c>
      <c r="M102" s="64" t="s">
        <v>33</v>
      </c>
      <c r="N102" s="68">
        <f t="shared" si="1"/>
        <v>0.4125</v>
      </c>
      <c r="O102" s="68">
        <f t="shared" si="4"/>
        <v>4.139126667</v>
      </c>
    </row>
    <row r="103">
      <c r="A103" s="64">
        <f t="shared" si="3"/>
        <v>102</v>
      </c>
      <c r="B103" s="64" t="s">
        <v>19</v>
      </c>
      <c r="C103" s="64" t="s">
        <v>5860</v>
      </c>
      <c r="D103" s="64" t="s">
        <v>2898</v>
      </c>
      <c r="E103" s="64" t="s">
        <v>22</v>
      </c>
      <c r="F103" s="64" t="s">
        <v>225</v>
      </c>
      <c r="G103" s="64"/>
      <c r="H103" s="65">
        <v>0.25</v>
      </c>
      <c r="I103" s="65">
        <v>0.5</v>
      </c>
      <c r="J103" s="65">
        <v>0.5</v>
      </c>
      <c r="K103" s="66">
        <v>45071.0</v>
      </c>
      <c r="L103" s="67">
        <v>1.875</v>
      </c>
      <c r="M103" s="64" t="s">
        <v>30</v>
      </c>
      <c r="N103" s="68">
        <f t="shared" si="1"/>
        <v>0.21875</v>
      </c>
      <c r="O103" s="68">
        <f t="shared" si="4"/>
        <v>4.357876667</v>
      </c>
    </row>
    <row r="104">
      <c r="A104" s="64">
        <f t="shared" si="3"/>
        <v>103</v>
      </c>
      <c r="B104" s="64" t="s">
        <v>19</v>
      </c>
      <c r="C104" s="64" t="s">
        <v>5861</v>
      </c>
      <c r="D104" s="64" t="s">
        <v>78</v>
      </c>
      <c r="E104" s="64" t="s">
        <v>22</v>
      </c>
      <c r="F104" s="64" t="s">
        <v>892</v>
      </c>
      <c r="G104" s="64"/>
      <c r="H104" s="65">
        <v>0.0</v>
      </c>
      <c r="I104" s="65">
        <v>0.5</v>
      </c>
      <c r="J104" s="65">
        <v>0.5</v>
      </c>
      <c r="K104" s="66">
        <v>45071.0</v>
      </c>
      <c r="L104" s="67">
        <v>1.8</v>
      </c>
      <c r="M104" s="64" t="s">
        <v>70</v>
      </c>
      <c r="N104" s="68">
        <f t="shared" si="1"/>
        <v>0</v>
      </c>
      <c r="O104" s="68">
        <f t="shared" si="4"/>
        <v>4.357876667</v>
      </c>
    </row>
    <row r="105">
      <c r="A105" s="64">
        <f t="shared" si="3"/>
        <v>104</v>
      </c>
      <c r="B105" s="64" t="s">
        <v>19</v>
      </c>
      <c r="C105" s="64" t="s">
        <v>5862</v>
      </c>
      <c r="D105" s="64" t="s">
        <v>624</v>
      </c>
      <c r="E105" s="64" t="s">
        <v>22</v>
      </c>
      <c r="F105" s="64" t="s">
        <v>225</v>
      </c>
      <c r="G105" s="64" t="s">
        <v>24</v>
      </c>
      <c r="H105" s="65">
        <v>0.5</v>
      </c>
      <c r="I105" s="65">
        <v>1.0</v>
      </c>
      <c r="J105" s="65">
        <v>1.0</v>
      </c>
      <c r="K105" s="66">
        <v>45071.0</v>
      </c>
      <c r="L105" s="67">
        <v>1.775</v>
      </c>
      <c r="M105" s="64" t="s">
        <v>33</v>
      </c>
      <c r="N105" s="68">
        <f t="shared" si="1"/>
        <v>0.775</v>
      </c>
      <c r="O105" s="68">
        <f t="shared" si="4"/>
        <v>5.132876667</v>
      </c>
    </row>
    <row r="106">
      <c r="A106" s="64">
        <f t="shared" si="3"/>
        <v>105</v>
      </c>
      <c r="B106" s="64" t="s">
        <v>19</v>
      </c>
      <c r="C106" s="64" t="s">
        <v>5863</v>
      </c>
      <c r="D106" s="64" t="s">
        <v>624</v>
      </c>
      <c r="E106" s="64" t="s">
        <v>22</v>
      </c>
      <c r="F106" s="64" t="s">
        <v>225</v>
      </c>
      <c r="G106" s="64" t="s">
        <v>24</v>
      </c>
      <c r="H106" s="65">
        <v>0.5</v>
      </c>
      <c r="I106" s="65">
        <v>1.0</v>
      </c>
      <c r="J106" s="65">
        <v>1.0</v>
      </c>
      <c r="K106" s="66">
        <v>45071.0</v>
      </c>
      <c r="L106" s="67">
        <v>1.43</v>
      </c>
      <c r="M106" s="64" t="s">
        <v>33</v>
      </c>
      <c r="N106" s="68">
        <f t="shared" si="1"/>
        <v>0.43</v>
      </c>
      <c r="O106" s="68">
        <f t="shared" si="4"/>
        <v>5.562876667</v>
      </c>
    </row>
    <row r="107">
      <c r="A107" s="64">
        <f t="shared" si="3"/>
        <v>106</v>
      </c>
      <c r="B107" s="64" t="s">
        <v>19</v>
      </c>
      <c r="C107" s="64" t="s">
        <v>5864</v>
      </c>
      <c r="D107" s="64" t="s">
        <v>624</v>
      </c>
      <c r="E107" s="64" t="s">
        <v>22</v>
      </c>
      <c r="F107" s="64" t="s">
        <v>29</v>
      </c>
      <c r="G107" s="64" t="s">
        <v>39</v>
      </c>
      <c r="H107" s="65">
        <v>-5.25</v>
      </c>
      <c r="I107" s="65">
        <v>0.5</v>
      </c>
      <c r="J107" s="65">
        <v>0.5</v>
      </c>
      <c r="K107" s="66">
        <v>45071.0</v>
      </c>
      <c r="L107" s="67">
        <v>1.9</v>
      </c>
      <c r="M107" s="64" t="s">
        <v>25</v>
      </c>
      <c r="N107" s="68">
        <f t="shared" si="1"/>
        <v>-0.5</v>
      </c>
      <c r="O107" s="68">
        <f t="shared" si="4"/>
        <v>5.062876667</v>
      </c>
    </row>
    <row r="108">
      <c r="A108" s="64">
        <f t="shared" si="3"/>
        <v>107</v>
      </c>
      <c r="B108" s="64" t="s">
        <v>19</v>
      </c>
      <c r="C108" s="64" t="s">
        <v>5865</v>
      </c>
      <c r="D108" s="64" t="s">
        <v>316</v>
      </c>
      <c r="E108" s="64" t="s">
        <v>22</v>
      </c>
      <c r="F108" s="64" t="s">
        <v>225</v>
      </c>
      <c r="G108" s="64" t="s">
        <v>24</v>
      </c>
      <c r="H108" s="65">
        <v>0.5</v>
      </c>
      <c r="I108" s="65">
        <v>0.5</v>
      </c>
      <c r="J108" s="65">
        <v>0.44</v>
      </c>
      <c r="K108" s="66">
        <v>45071.0</v>
      </c>
      <c r="L108" s="67">
        <v>1.875</v>
      </c>
      <c r="M108" s="64" t="s">
        <v>25</v>
      </c>
      <c r="N108" s="68">
        <f t="shared" si="1"/>
        <v>-0.44</v>
      </c>
      <c r="O108" s="68">
        <f t="shared" si="4"/>
        <v>4.622876667</v>
      </c>
    </row>
    <row r="109">
      <c r="A109" s="64">
        <f t="shared" si="3"/>
        <v>108</v>
      </c>
      <c r="B109" s="64" t="s">
        <v>19</v>
      </c>
      <c r="C109" s="64" t="s">
        <v>5866</v>
      </c>
      <c r="D109" s="64" t="s">
        <v>2453</v>
      </c>
      <c r="E109" s="64" t="s">
        <v>598</v>
      </c>
      <c r="F109" s="64" t="s">
        <v>1847</v>
      </c>
      <c r="G109" s="64" t="s">
        <v>39</v>
      </c>
      <c r="H109" s="65">
        <v>-0.5</v>
      </c>
      <c r="I109" s="65">
        <v>0.5</v>
      </c>
      <c r="J109" s="65">
        <v>0.44</v>
      </c>
      <c r="K109" s="66">
        <v>45071.0</v>
      </c>
      <c r="L109" s="67">
        <v>1.95</v>
      </c>
      <c r="M109" s="64" t="s">
        <v>33</v>
      </c>
      <c r="N109" s="68">
        <f t="shared" si="1"/>
        <v>0.418</v>
      </c>
      <c r="O109" s="68">
        <f t="shared" si="4"/>
        <v>5.040876667</v>
      </c>
    </row>
    <row r="110">
      <c r="A110" s="64">
        <f t="shared" si="3"/>
        <v>109</v>
      </c>
      <c r="B110" s="64" t="s">
        <v>19</v>
      </c>
      <c r="C110" s="64" t="s">
        <v>5867</v>
      </c>
      <c r="D110" s="64" t="s">
        <v>82</v>
      </c>
      <c r="E110" s="64" t="s">
        <v>22</v>
      </c>
      <c r="F110" s="64" t="s">
        <v>892</v>
      </c>
      <c r="G110" s="64" t="s">
        <v>5868</v>
      </c>
      <c r="H110" s="65">
        <v>0.0</v>
      </c>
      <c r="I110" s="65">
        <v>0.44</v>
      </c>
      <c r="J110" s="65">
        <v>0.44</v>
      </c>
      <c r="K110" s="66">
        <v>45071.0</v>
      </c>
      <c r="L110" s="67">
        <v>1.825</v>
      </c>
      <c r="M110" s="64" t="s">
        <v>25</v>
      </c>
      <c r="N110" s="68">
        <f t="shared" si="1"/>
        <v>-0.44</v>
      </c>
      <c r="O110" s="68">
        <f t="shared" si="4"/>
        <v>4.600876667</v>
      </c>
    </row>
    <row r="111">
      <c r="A111" s="64">
        <f t="shared" si="3"/>
        <v>110</v>
      </c>
      <c r="B111" s="64" t="s">
        <v>19</v>
      </c>
      <c r="C111" s="64" t="s">
        <v>5869</v>
      </c>
      <c r="D111" s="64" t="s">
        <v>38</v>
      </c>
      <c r="E111" s="64" t="s">
        <v>598</v>
      </c>
      <c r="F111" s="64" t="s">
        <v>894</v>
      </c>
      <c r="G111" s="64" t="s">
        <v>5868</v>
      </c>
      <c r="H111" s="65">
        <v>-1.0</v>
      </c>
      <c r="I111" s="65">
        <v>0.25</v>
      </c>
      <c r="J111" s="65">
        <v>0.22</v>
      </c>
      <c r="K111" s="66">
        <v>45071.0</v>
      </c>
      <c r="L111" s="67">
        <v>1.92</v>
      </c>
      <c r="M111" s="64" t="s">
        <v>33</v>
      </c>
      <c r="N111" s="68">
        <f t="shared" si="1"/>
        <v>0.2024</v>
      </c>
      <c r="O111" s="68">
        <f t="shared" si="4"/>
        <v>4.803276667</v>
      </c>
    </row>
    <row r="112">
      <c r="A112" s="64">
        <f t="shared" si="3"/>
        <v>111</v>
      </c>
      <c r="B112" s="64" t="s">
        <v>19</v>
      </c>
      <c r="C112" s="64" t="s">
        <v>5870</v>
      </c>
      <c r="D112" s="64" t="s">
        <v>82</v>
      </c>
      <c r="E112" s="64" t="s">
        <v>22</v>
      </c>
      <c r="F112" s="64" t="s">
        <v>1023</v>
      </c>
      <c r="G112" s="64" t="s">
        <v>5868</v>
      </c>
      <c r="H112" s="65">
        <f>0.5</f>
        <v>0.5</v>
      </c>
      <c r="I112" s="65">
        <v>1.0</v>
      </c>
      <c r="J112" s="65">
        <v>0.87</v>
      </c>
      <c r="K112" s="66">
        <v>45071.0</v>
      </c>
      <c r="L112" s="67">
        <v>1.72</v>
      </c>
      <c r="M112" s="64" t="s">
        <v>33</v>
      </c>
      <c r="N112" s="68">
        <f t="shared" si="1"/>
        <v>0.6264</v>
      </c>
      <c r="O112" s="68">
        <f t="shared" si="4"/>
        <v>5.429676667</v>
      </c>
    </row>
    <row r="113">
      <c r="A113" s="64">
        <f t="shared" si="3"/>
        <v>112</v>
      </c>
      <c r="B113" s="64" t="s">
        <v>19</v>
      </c>
      <c r="C113" s="64" t="s">
        <v>5871</v>
      </c>
      <c r="D113" s="64" t="s">
        <v>463</v>
      </c>
      <c r="E113" s="64" t="s">
        <v>22</v>
      </c>
      <c r="F113" s="64" t="s">
        <v>225</v>
      </c>
      <c r="G113" s="64" t="s">
        <v>39</v>
      </c>
      <c r="H113" s="65">
        <v>0.5</v>
      </c>
      <c r="I113" s="65">
        <v>0.5</v>
      </c>
      <c r="J113" s="65">
        <v>0.44</v>
      </c>
      <c r="K113" s="66">
        <v>45071.0</v>
      </c>
      <c r="L113" s="67">
        <v>1.85</v>
      </c>
      <c r="M113" s="64" t="s">
        <v>25</v>
      </c>
      <c r="N113" s="68">
        <f t="shared" si="1"/>
        <v>-0.44</v>
      </c>
      <c r="O113" s="68">
        <f t="shared" si="4"/>
        <v>4.989676667</v>
      </c>
    </row>
    <row r="114">
      <c r="A114" s="64">
        <f t="shared" si="3"/>
        <v>113</v>
      </c>
      <c r="B114" s="64" t="s">
        <v>19</v>
      </c>
      <c r="C114" s="64" t="s">
        <v>5872</v>
      </c>
      <c r="D114" s="64" t="s">
        <v>487</v>
      </c>
      <c r="E114" s="64" t="s">
        <v>22</v>
      </c>
      <c r="F114" s="64" t="s">
        <v>892</v>
      </c>
      <c r="G114" s="64" t="s">
        <v>39</v>
      </c>
      <c r="H114" s="65">
        <v>0.0</v>
      </c>
      <c r="I114" s="65">
        <v>0.5</v>
      </c>
      <c r="J114" s="65">
        <v>0.5</v>
      </c>
      <c r="K114" s="66">
        <v>45072.0</v>
      </c>
      <c r="L114" s="67">
        <v>1.875</v>
      </c>
      <c r="M114" s="64" t="s">
        <v>33</v>
      </c>
      <c r="N114" s="68">
        <f t="shared" si="1"/>
        <v>0.4375</v>
      </c>
      <c r="O114" s="68">
        <f t="shared" si="4"/>
        <v>5.427176667</v>
      </c>
    </row>
    <row r="115">
      <c r="A115" s="64">
        <f t="shared" si="3"/>
        <v>114</v>
      </c>
      <c r="B115" s="64" t="s">
        <v>19</v>
      </c>
      <c r="C115" s="64" t="s">
        <v>5873</v>
      </c>
      <c r="D115" s="64" t="s">
        <v>642</v>
      </c>
      <c r="E115" s="64" t="s">
        <v>22</v>
      </c>
      <c r="F115" s="64" t="s">
        <v>225</v>
      </c>
      <c r="G115" s="64" t="s">
        <v>24</v>
      </c>
      <c r="H115" s="65">
        <v>0.25</v>
      </c>
      <c r="I115" s="65">
        <v>0.5</v>
      </c>
      <c r="J115" s="65">
        <v>0.5</v>
      </c>
      <c r="K115" s="66">
        <v>45072.0</v>
      </c>
      <c r="L115" s="67">
        <v>1.75</v>
      </c>
      <c r="M115" s="64" t="s">
        <v>25</v>
      </c>
      <c r="N115" s="68">
        <f t="shared" si="1"/>
        <v>-0.5</v>
      </c>
      <c r="O115" s="68">
        <f t="shared" si="4"/>
        <v>4.927176667</v>
      </c>
    </row>
    <row r="116">
      <c r="A116" s="64">
        <f t="shared" si="3"/>
        <v>115</v>
      </c>
      <c r="B116" s="64" t="s">
        <v>19</v>
      </c>
      <c r="C116" s="64" t="s">
        <v>5874</v>
      </c>
      <c r="D116" s="64" t="s">
        <v>2380</v>
      </c>
      <c r="E116" s="64" t="s">
        <v>22</v>
      </c>
      <c r="F116" s="64" t="s">
        <v>29</v>
      </c>
      <c r="G116" s="64" t="s">
        <v>24</v>
      </c>
      <c r="H116" s="65">
        <v>-4.5</v>
      </c>
      <c r="I116" s="65">
        <v>0.4</v>
      </c>
      <c r="J116" s="65">
        <v>0.4</v>
      </c>
      <c r="K116" s="66">
        <v>45072.0</v>
      </c>
      <c r="L116" s="67">
        <v>1.8</v>
      </c>
      <c r="M116" s="64" t="s">
        <v>33</v>
      </c>
      <c r="N116" s="68">
        <f t="shared" si="1"/>
        <v>0.32</v>
      </c>
      <c r="O116" s="68">
        <f t="shared" si="4"/>
        <v>5.247176667</v>
      </c>
    </row>
    <row r="117">
      <c r="A117" s="64">
        <f t="shared" si="3"/>
        <v>116</v>
      </c>
      <c r="B117" s="64" t="s">
        <v>19</v>
      </c>
      <c r="C117" s="64" t="s">
        <v>5875</v>
      </c>
      <c r="D117" s="64" t="s">
        <v>2380</v>
      </c>
      <c r="E117" s="64" t="s">
        <v>22</v>
      </c>
      <c r="F117" s="64" t="s">
        <v>29</v>
      </c>
      <c r="G117" s="64" t="s">
        <v>24</v>
      </c>
      <c r="H117" s="65">
        <v>-4.25</v>
      </c>
      <c r="I117" s="65">
        <v>0.1</v>
      </c>
      <c r="J117" s="65">
        <v>0.1</v>
      </c>
      <c r="K117" s="66">
        <v>45072.0</v>
      </c>
      <c r="L117" s="67">
        <v>1.85</v>
      </c>
      <c r="M117" s="64" t="s">
        <v>33</v>
      </c>
      <c r="N117" s="68">
        <f t="shared" si="1"/>
        <v>0.085</v>
      </c>
      <c r="O117" s="68">
        <f t="shared" si="4"/>
        <v>5.332176667</v>
      </c>
    </row>
    <row r="118">
      <c r="A118" s="64">
        <f t="shared" si="3"/>
        <v>117</v>
      </c>
      <c r="B118" s="64" t="s">
        <v>19</v>
      </c>
      <c r="C118" s="64" t="s">
        <v>5876</v>
      </c>
      <c r="D118" s="64" t="s">
        <v>1031</v>
      </c>
      <c r="E118" s="64" t="s">
        <v>22</v>
      </c>
      <c r="F118" s="64" t="s">
        <v>225</v>
      </c>
      <c r="G118" s="64" t="s">
        <v>24</v>
      </c>
      <c r="H118" s="65">
        <v>0.5</v>
      </c>
      <c r="I118" s="65">
        <v>1.0</v>
      </c>
      <c r="J118" s="65">
        <v>1.0</v>
      </c>
      <c r="K118" s="66">
        <v>45072.0</v>
      </c>
      <c r="L118" s="67">
        <v>1.975</v>
      </c>
      <c r="M118" s="64" t="s">
        <v>33</v>
      </c>
      <c r="N118" s="68">
        <f t="shared" si="1"/>
        <v>0.975</v>
      </c>
      <c r="O118" s="68">
        <f t="shared" si="4"/>
        <v>6.307176667</v>
      </c>
    </row>
    <row r="119">
      <c r="A119" s="64">
        <f t="shared" si="3"/>
        <v>118</v>
      </c>
      <c r="B119" s="64" t="s">
        <v>19</v>
      </c>
      <c r="C119" s="64" t="s">
        <v>5877</v>
      </c>
      <c r="D119" s="64" t="s">
        <v>78</v>
      </c>
      <c r="E119" s="64" t="s">
        <v>22</v>
      </c>
      <c r="F119" s="64" t="s">
        <v>225</v>
      </c>
      <c r="G119" s="64" t="s">
        <v>39</v>
      </c>
      <c r="H119" s="65">
        <v>0.25</v>
      </c>
      <c r="I119" s="65">
        <v>0.5</v>
      </c>
      <c r="J119" s="65">
        <v>0.5</v>
      </c>
      <c r="K119" s="66">
        <v>45072.0</v>
      </c>
      <c r="L119" s="67">
        <v>1.75</v>
      </c>
      <c r="M119" s="64" t="s">
        <v>25</v>
      </c>
      <c r="N119" s="68">
        <f t="shared" si="1"/>
        <v>-0.5</v>
      </c>
      <c r="O119" s="68">
        <f t="shared" si="4"/>
        <v>5.807176667</v>
      </c>
    </row>
    <row r="120">
      <c r="A120" s="64">
        <f t="shared" si="3"/>
        <v>119</v>
      </c>
      <c r="B120" s="64" t="s">
        <v>19</v>
      </c>
      <c r="C120" s="64" t="s">
        <v>5878</v>
      </c>
      <c r="D120" s="64" t="s">
        <v>66</v>
      </c>
      <c r="E120" s="64" t="s">
        <v>22</v>
      </c>
      <c r="F120" s="64" t="s">
        <v>225</v>
      </c>
      <c r="G120" s="64" t="s">
        <v>39</v>
      </c>
      <c r="H120" s="65">
        <v>0.5</v>
      </c>
      <c r="I120" s="65">
        <v>1.0</v>
      </c>
      <c r="J120" s="65">
        <v>0.75</v>
      </c>
      <c r="K120" s="66">
        <v>45073.0</v>
      </c>
      <c r="L120" s="67">
        <v>1.75</v>
      </c>
      <c r="M120" s="64" t="s">
        <v>25</v>
      </c>
      <c r="N120" s="68">
        <f t="shared" si="1"/>
        <v>-0.75</v>
      </c>
      <c r="O120" s="68">
        <f t="shared" si="4"/>
        <v>5.057176667</v>
      </c>
    </row>
    <row r="121">
      <c r="A121" s="64">
        <f t="shared" si="3"/>
        <v>120</v>
      </c>
      <c r="B121" s="64" t="s">
        <v>19</v>
      </c>
      <c r="C121" s="64" t="s">
        <v>5879</v>
      </c>
      <c r="D121" s="64" t="s">
        <v>44</v>
      </c>
      <c r="E121" s="64" t="s">
        <v>598</v>
      </c>
      <c r="F121" s="64" t="s">
        <v>23</v>
      </c>
      <c r="G121" s="64" t="s">
        <v>39</v>
      </c>
      <c r="H121" s="65">
        <v>-3.5</v>
      </c>
      <c r="I121" s="65">
        <v>0.25</v>
      </c>
      <c r="J121" s="65">
        <v>0.25</v>
      </c>
      <c r="K121" s="69">
        <v>45073.0</v>
      </c>
      <c r="L121" s="67">
        <v>1.75</v>
      </c>
      <c r="M121" s="64" t="s">
        <v>25</v>
      </c>
      <c r="N121" s="68">
        <f t="shared" si="1"/>
        <v>-0.25</v>
      </c>
      <c r="O121" s="68">
        <f t="shared" si="4"/>
        <v>4.807176667</v>
      </c>
    </row>
    <row r="122">
      <c r="A122" s="64">
        <f t="shared" si="3"/>
        <v>121</v>
      </c>
      <c r="B122" s="64" t="s">
        <v>19</v>
      </c>
      <c r="C122" s="64" t="s">
        <v>5880</v>
      </c>
      <c r="D122" s="64" t="s">
        <v>487</v>
      </c>
      <c r="E122" s="64" t="s">
        <v>22</v>
      </c>
      <c r="F122" s="64" t="s">
        <v>225</v>
      </c>
      <c r="G122" s="64" t="s">
        <v>39</v>
      </c>
      <c r="H122" s="65">
        <v>0.5</v>
      </c>
      <c r="I122" s="65">
        <v>1.0</v>
      </c>
      <c r="J122" s="65">
        <v>0.875</v>
      </c>
      <c r="K122" s="66">
        <v>45073.0</v>
      </c>
      <c r="L122" s="67">
        <v>1.3</v>
      </c>
      <c r="M122" s="64" t="s">
        <v>33</v>
      </c>
      <c r="N122" s="68">
        <f t="shared" si="1"/>
        <v>0.2625</v>
      </c>
      <c r="O122" s="68">
        <f t="shared" si="4"/>
        <v>5.069676667</v>
      </c>
    </row>
    <row r="123">
      <c r="A123" s="64">
        <f t="shared" si="3"/>
        <v>122</v>
      </c>
      <c r="B123" s="64" t="s">
        <v>19</v>
      </c>
      <c r="C123" s="64" t="s">
        <v>5881</v>
      </c>
      <c r="D123" s="64" t="s">
        <v>88</v>
      </c>
      <c r="E123" s="64" t="s">
        <v>22</v>
      </c>
      <c r="F123" s="64" t="s">
        <v>225</v>
      </c>
      <c r="G123" s="64" t="s">
        <v>24</v>
      </c>
      <c r="H123" s="65">
        <v>0.5</v>
      </c>
      <c r="I123" s="65">
        <v>1.0</v>
      </c>
      <c r="J123" s="65">
        <v>1.0</v>
      </c>
      <c r="K123" s="66">
        <v>45073.0</v>
      </c>
      <c r="L123" s="67">
        <v>1.825</v>
      </c>
      <c r="M123" s="64" t="s">
        <v>33</v>
      </c>
      <c r="N123" s="68">
        <f t="shared" si="1"/>
        <v>0.825</v>
      </c>
      <c r="O123" s="68">
        <f t="shared" si="4"/>
        <v>5.894676667</v>
      </c>
    </row>
    <row r="124">
      <c r="A124" s="64">
        <f t="shared" si="3"/>
        <v>123</v>
      </c>
      <c r="B124" s="64" t="s">
        <v>40</v>
      </c>
      <c r="C124" s="64" t="s">
        <v>5882</v>
      </c>
      <c r="D124" s="64" t="s">
        <v>683</v>
      </c>
      <c r="E124" s="64" t="s">
        <v>22</v>
      </c>
      <c r="F124" s="64" t="s">
        <v>225</v>
      </c>
      <c r="G124" s="64" t="s">
        <v>24</v>
      </c>
      <c r="H124" s="65">
        <v>0.25</v>
      </c>
      <c r="I124" s="65">
        <v>1.0</v>
      </c>
      <c r="J124" s="65">
        <v>1.0</v>
      </c>
      <c r="K124" s="66">
        <v>45073.0</v>
      </c>
      <c r="L124" s="67">
        <v>1.975</v>
      </c>
      <c r="M124" s="64" t="s">
        <v>30</v>
      </c>
      <c r="N124" s="68">
        <f t="shared" si="1"/>
        <v>0.4875</v>
      </c>
      <c r="O124" s="68">
        <f t="shared" si="4"/>
        <v>6.382176667</v>
      </c>
    </row>
    <row r="125">
      <c r="A125" s="64">
        <f t="shared" si="3"/>
        <v>124</v>
      </c>
      <c r="B125" s="64" t="s">
        <v>19</v>
      </c>
      <c r="C125" s="64" t="s">
        <v>5883</v>
      </c>
      <c r="D125" s="64" t="s">
        <v>1006</v>
      </c>
      <c r="E125" s="64" t="s">
        <v>22</v>
      </c>
      <c r="F125" s="64" t="s">
        <v>225</v>
      </c>
      <c r="G125" s="64" t="s">
        <v>24</v>
      </c>
      <c r="H125" s="65">
        <v>0.5</v>
      </c>
      <c r="I125" s="65">
        <v>0.5</v>
      </c>
      <c r="J125" s="65">
        <v>0.5</v>
      </c>
      <c r="K125" s="66">
        <v>45073.0</v>
      </c>
      <c r="L125" s="67">
        <v>2.0</v>
      </c>
      <c r="M125" s="64" t="s">
        <v>33</v>
      </c>
      <c r="N125" s="68">
        <f t="shared" si="1"/>
        <v>0.5</v>
      </c>
      <c r="O125" s="68">
        <f t="shared" si="4"/>
        <v>6.882176667</v>
      </c>
    </row>
    <row r="126">
      <c r="A126" s="64">
        <f t="shared" si="3"/>
        <v>125</v>
      </c>
      <c r="B126" s="64" t="s">
        <v>19</v>
      </c>
      <c r="C126" s="64" t="s">
        <v>5884</v>
      </c>
      <c r="D126" s="64" t="s">
        <v>1470</v>
      </c>
      <c r="E126" s="64" t="s">
        <v>22</v>
      </c>
      <c r="F126" s="64" t="s">
        <v>225</v>
      </c>
      <c r="G126" s="64" t="s">
        <v>24</v>
      </c>
      <c r="H126" s="65">
        <v>0.75</v>
      </c>
      <c r="I126" s="65">
        <v>0.5</v>
      </c>
      <c r="J126" s="65">
        <v>0.2</v>
      </c>
      <c r="K126" s="66">
        <v>45073.0</v>
      </c>
      <c r="L126" s="67">
        <v>1.9</v>
      </c>
      <c r="M126" s="64" t="s">
        <v>33</v>
      </c>
      <c r="N126" s="68">
        <f t="shared" si="1"/>
        <v>0.18</v>
      </c>
      <c r="O126" s="68">
        <f t="shared" si="4"/>
        <v>7.062176667</v>
      </c>
    </row>
    <row r="127">
      <c r="A127" s="64">
        <f t="shared" si="3"/>
        <v>126</v>
      </c>
      <c r="B127" s="64" t="s">
        <v>40</v>
      </c>
      <c r="C127" s="64" t="s">
        <v>5885</v>
      </c>
      <c r="D127" s="64" t="s">
        <v>66</v>
      </c>
      <c r="E127" s="64" t="s">
        <v>22</v>
      </c>
      <c r="F127" s="64" t="s">
        <v>225</v>
      </c>
      <c r="G127" s="64" t="s">
        <v>39</v>
      </c>
      <c r="H127" s="65">
        <v>0.5</v>
      </c>
      <c r="I127" s="65">
        <v>0.5</v>
      </c>
      <c r="J127" s="65">
        <v>0.11</v>
      </c>
      <c r="K127" s="66">
        <v>45073.0</v>
      </c>
      <c r="L127" s="67">
        <v>1.85</v>
      </c>
      <c r="M127" s="64" t="s">
        <v>33</v>
      </c>
      <c r="N127" s="68">
        <f t="shared" si="1"/>
        <v>0.0935</v>
      </c>
      <c r="O127" s="68">
        <f t="shared" si="4"/>
        <v>7.155676667</v>
      </c>
    </row>
    <row r="128">
      <c r="A128" s="64">
        <f t="shared" si="3"/>
        <v>127</v>
      </c>
      <c r="B128" s="64" t="s">
        <v>19</v>
      </c>
      <c r="C128" s="64" t="s">
        <v>5886</v>
      </c>
      <c r="D128" s="64" t="s">
        <v>50</v>
      </c>
      <c r="E128" s="64" t="s">
        <v>22</v>
      </c>
      <c r="F128" s="64" t="s">
        <v>225</v>
      </c>
      <c r="G128" s="64" t="s">
        <v>39</v>
      </c>
      <c r="H128" s="65">
        <v>0.5</v>
      </c>
      <c r="I128" s="65">
        <v>0.01</v>
      </c>
      <c r="J128" s="65">
        <v>0.01</v>
      </c>
      <c r="K128" s="66">
        <v>45073.0</v>
      </c>
      <c r="L128" s="67">
        <v>1.9</v>
      </c>
      <c r="M128" s="64" t="s">
        <v>25</v>
      </c>
      <c r="N128" s="68">
        <f t="shared" si="1"/>
        <v>-0.01</v>
      </c>
      <c r="O128" s="68">
        <f t="shared" si="4"/>
        <v>7.145676667</v>
      </c>
    </row>
    <row r="129">
      <c r="A129" s="64">
        <f t="shared" si="3"/>
        <v>128</v>
      </c>
      <c r="B129" s="64" t="s">
        <v>40</v>
      </c>
      <c r="C129" s="64" t="s">
        <v>5887</v>
      </c>
      <c r="D129" s="64" t="s">
        <v>178</v>
      </c>
      <c r="E129" s="64" t="s">
        <v>22</v>
      </c>
      <c r="F129" s="64" t="s">
        <v>225</v>
      </c>
      <c r="G129" s="64" t="s">
        <v>24</v>
      </c>
      <c r="H129" s="65">
        <v>0.75</v>
      </c>
      <c r="I129" s="65">
        <v>1.0</v>
      </c>
      <c r="J129" s="65">
        <v>1.0</v>
      </c>
      <c r="K129" s="66">
        <v>45073.0</v>
      </c>
      <c r="L129" s="67">
        <v>1.95</v>
      </c>
      <c r="M129" s="64" t="s">
        <v>33</v>
      </c>
      <c r="N129" s="68">
        <f t="shared" si="1"/>
        <v>0.95</v>
      </c>
      <c r="O129" s="68">
        <f t="shared" si="4"/>
        <v>8.095676667</v>
      </c>
    </row>
    <row r="130">
      <c r="A130" s="64">
        <f t="shared" si="3"/>
        <v>129</v>
      </c>
      <c r="B130" s="64" t="s">
        <v>40</v>
      </c>
      <c r="C130" s="64" t="s">
        <v>5888</v>
      </c>
      <c r="D130" s="64" t="s">
        <v>1085</v>
      </c>
      <c r="E130" s="64" t="s">
        <v>22</v>
      </c>
      <c r="F130" s="64" t="s">
        <v>225</v>
      </c>
      <c r="G130" s="64" t="s">
        <v>24</v>
      </c>
      <c r="H130" s="65">
        <v>0.25</v>
      </c>
      <c r="I130" s="65">
        <v>0.5</v>
      </c>
      <c r="J130" s="65">
        <v>0.08</v>
      </c>
      <c r="K130" s="66">
        <v>45073.0</v>
      </c>
      <c r="L130" s="67">
        <v>2.025</v>
      </c>
      <c r="M130" s="64" t="s">
        <v>25</v>
      </c>
      <c r="N130" s="68">
        <f t="shared" si="1"/>
        <v>-0.08</v>
      </c>
      <c r="O130" s="68">
        <f t="shared" si="4"/>
        <v>8.015676667</v>
      </c>
    </row>
    <row r="131">
      <c r="A131" s="64">
        <f t="shared" si="3"/>
        <v>130</v>
      </c>
      <c r="B131" s="64" t="s">
        <v>19</v>
      </c>
      <c r="C131" s="64" t="s">
        <v>5889</v>
      </c>
      <c r="D131" s="64" t="s">
        <v>66</v>
      </c>
      <c r="E131" s="64" t="s">
        <v>22</v>
      </c>
      <c r="F131" s="64" t="s">
        <v>941</v>
      </c>
      <c r="G131" s="64" t="s">
        <v>24</v>
      </c>
      <c r="H131" s="65">
        <v>0.0</v>
      </c>
      <c r="I131" s="65">
        <v>0.1</v>
      </c>
      <c r="J131" s="65">
        <v>0.1</v>
      </c>
      <c r="K131" s="66">
        <v>45073.0</v>
      </c>
      <c r="L131" s="67">
        <v>4.0</v>
      </c>
      <c r="M131" s="64" t="s">
        <v>25</v>
      </c>
      <c r="N131" s="68">
        <f t="shared" si="1"/>
        <v>-0.1</v>
      </c>
      <c r="O131" s="68">
        <f t="shared" si="4"/>
        <v>7.915676667</v>
      </c>
    </row>
    <row r="132">
      <c r="A132" s="64">
        <f t="shared" si="3"/>
        <v>131</v>
      </c>
      <c r="B132" s="64" t="s">
        <v>19</v>
      </c>
      <c r="C132" s="64" t="s">
        <v>5890</v>
      </c>
      <c r="D132" s="64" t="s">
        <v>82</v>
      </c>
      <c r="E132" s="64" t="s">
        <v>22</v>
      </c>
      <c r="F132" s="64" t="s">
        <v>29</v>
      </c>
      <c r="G132" s="64" t="s">
        <v>24</v>
      </c>
      <c r="H132" s="65">
        <v>-5.5</v>
      </c>
      <c r="I132" s="65">
        <v>0.5</v>
      </c>
      <c r="J132" s="65">
        <v>0.5</v>
      </c>
      <c r="K132" s="66">
        <v>45073.0</v>
      </c>
      <c r="L132" s="67">
        <v>2.0</v>
      </c>
      <c r="M132" s="64" t="s">
        <v>25</v>
      </c>
      <c r="N132" s="68">
        <f t="shared" si="1"/>
        <v>-0.5</v>
      </c>
      <c r="O132" s="68">
        <f t="shared" si="4"/>
        <v>7.415676667</v>
      </c>
    </row>
    <row r="133">
      <c r="A133" s="64">
        <f t="shared" si="3"/>
        <v>132</v>
      </c>
      <c r="B133" s="64" t="s">
        <v>19</v>
      </c>
      <c r="C133" s="64" t="s">
        <v>5891</v>
      </c>
      <c r="D133" s="64" t="s">
        <v>82</v>
      </c>
      <c r="E133" s="64" t="s">
        <v>22</v>
      </c>
      <c r="F133" s="64" t="s">
        <v>225</v>
      </c>
      <c r="G133" s="64" t="s">
        <v>24</v>
      </c>
      <c r="H133" s="65">
        <v>1.25</v>
      </c>
      <c r="I133" s="65">
        <v>1.0</v>
      </c>
      <c r="J133" s="65">
        <v>0.21</v>
      </c>
      <c r="K133" s="66">
        <v>45073.0</v>
      </c>
      <c r="L133" s="67">
        <v>1.75</v>
      </c>
      <c r="M133" s="64" t="s">
        <v>33</v>
      </c>
      <c r="N133" s="68">
        <f t="shared" si="1"/>
        <v>0.1575</v>
      </c>
      <c r="O133" s="68">
        <f t="shared" si="4"/>
        <v>7.573176667</v>
      </c>
    </row>
    <row r="134">
      <c r="A134" s="64">
        <f t="shared" si="3"/>
        <v>133</v>
      </c>
      <c r="B134" s="64" t="s">
        <v>19</v>
      </c>
      <c r="C134" s="64" t="s">
        <v>5892</v>
      </c>
      <c r="D134" s="64" t="s">
        <v>82</v>
      </c>
      <c r="E134" s="64" t="s">
        <v>22</v>
      </c>
      <c r="F134" s="64" t="s">
        <v>225</v>
      </c>
      <c r="G134" s="64" t="s">
        <v>24</v>
      </c>
      <c r="H134" s="65">
        <v>1.0</v>
      </c>
      <c r="I134" s="65">
        <v>1.0</v>
      </c>
      <c r="J134" s="65">
        <v>0.46</v>
      </c>
      <c r="K134" s="66">
        <v>45073.0</v>
      </c>
      <c r="L134" s="67">
        <v>2.025</v>
      </c>
      <c r="M134" s="64" t="s">
        <v>33</v>
      </c>
      <c r="N134" s="68">
        <f t="shared" si="1"/>
        <v>0.4715</v>
      </c>
      <c r="O134" s="68">
        <f t="shared" si="4"/>
        <v>8.044676667</v>
      </c>
    </row>
    <row r="135">
      <c r="A135" s="64">
        <f t="shared" si="3"/>
        <v>134</v>
      </c>
      <c r="B135" s="64" t="s">
        <v>19</v>
      </c>
      <c r="C135" s="64" t="s">
        <v>5893</v>
      </c>
      <c r="D135" s="64" t="s">
        <v>82</v>
      </c>
      <c r="E135" s="64" t="s">
        <v>22</v>
      </c>
      <c r="F135" s="64" t="s">
        <v>225</v>
      </c>
      <c r="G135" s="64" t="s">
        <v>39</v>
      </c>
      <c r="H135" s="65">
        <v>0.5</v>
      </c>
      <c r="I135" s="65">
        <v>1.0</v>
      </c>
      <c r="J135" s="65">
        <v>1.0</v>
      </c>
      <c r="K135" s="66">
        <v>45073.0</v>
      </c>
      <c r="L135" s="67">
        <v>1.75</v>
      </c>
      <c r="M135" s="64" t="s">
        <v>33</v>
      </c>
      <c r="N135" s="68">
        <f t="shared" si="1"/>
        <v>0.75</v>
      </c>
      <c r="O135" s="68">
        <f t="shared" si="4"/>
        <v>8.794676667</v>
      </c>
    </row>
    <row r="136">
      <c r="A136" s="64">
        <f t="shared" si="3"/>
        <v>135</v>
      </c>
      <c r="B136" s="64" t="s">
        <v>40</v>
      </c>
      <c r="C136" s="64" t="s">
        <v>5894</v>
      </c>
      <c r="D136" s="64" t="s">
        <v>1085</v>
      </c>
      <c r="E136" s="64" t="s">
        <v>22</v>
      </c>
      <c r="F136" s="64" t="s">
        <v>225</v>
      </c>
      <c r="G136" s="64" t="s">
        <v>24</v>
      </c>
      <c r="H136" s="65">
        <v>2.25</v>
      </c>
      <c r="I136" s="65">
        <v>0.5</v>
      </c>
      <c r="J136" s="65">
        <v>0.5</v>
      </c>
      <c r="K136" s="66">
        <v>45073.0</v>
      </c>
      <c r="L136" s="67">
        <v>1.775</v>
      </c>
      <c r="M136" s="64" t="s">
        <v>33</v>
      </c>
      <c r="N136" s="68">
        <f t="shared" si="1"/>
        <v>0.3875</v>
      </c>
      <c r="O136" s="68">
        <f t="shared" si="4"/>
        <v>9.182176667</v>
      </c>
    </row>
    <row r="137">
      <c r="A137" s="64">
        <f t="shared" si="3"/>
        <v>136</v>
      </c>
      <c r="B137" s="64" t="s">
        <v>40</v>
      </c>
      <c r="C137" s="64" t="s">
        <v>5895</v>
      </c>
      <c r="D137" s="64" t="s">
        <v>101</v>
      </c>
      <c r="E137" s="64" t="s">
        <v>22</v>
      </c>
      <c r="F137" s="64" t="s">
        <v>894</v>
      </c>
      <c r="G137" s="64" t="s">
        <v>5868</v>
      </c>
      <c r="H137" s="65">
        <v>-0.75</v>
      </c>
      <c r="I137" s="65">
        <v>0.5</v>
      </c>
      <c r="J137" s="65">
        <v>0.5</v>
      </c>
      <c r="K137" s="66">
        <v>45074.0</v>
      </c>
      <c r="L137" s="67">
        <f>630/400</f>
        <v>1.575</v>
      </c>
      <c r="M137" s="64" t="s">
        <v>33</v>
      </c>
      <c r="N137" s="68">
        <f t="shared" si="1"/>
        <v>0.2875</v>
      </c>
      <c r="O137" s="68">
        <f t="shared" si="4"/>
        <v>9.469676667</v>
      </c>
    </row>
    <row r="138">
      <c r="A138" s="64">
        <f t="shared" si="3"/>
        <v>137</v>
      </c>
      <c r="B138" s="64" t="s">
        <v>40</v>
      </c>
      <c r="C138" s="64" t="s">
        <v>5896</v>
      </c>
      <c r="D138" s="64" t="s">
        <v>683</v>
      </c>
      <c r="E138" s="64" t="s">
        <v>22</v>
      </c>
      <c r="F138" s="64" t="s">
        <v>2939</v>
      </c>
      <c r="G138" s="64" t="s">
        <v>24</v>
      </c>
      <c r="H138" s="65">
        <v>-9.5</v>
      </c>
      <c r="I138" s="65">
        <v>0.5</v>
      </c>
      <c r="J138" s="65">
        <v>0.24</v>
      </c>
      <c r="K138" s="66">
        <v>45074.0</v>
      </c>
      <c r="L138" s="67">
        <v>1.7</v>
      </c>
      <c r="M138" s="64" t="s">
        <v>33</v>
      </c>
      <c r="N138" s="68">
        <f t="shared" si="1"/>
        <v>0.168</v>
      </c>
      <c r="O138" s="68">
        <f t="shared" si="4"/>
        <v>9.637676667</v>
      </c>
    </row>
    <row r="139">
      <c r="A139" s="64">
        <f t="shared" si="3"/>
        <v>138</v>
      </c>
      <c r="B139" s="64" t="s">
        <v>19</v>
      </c>
      <c r="C139" s="64" t="s">
        <v>5897</v>
      </c>
      <c r="D139" s="64" t="s">
        <v>82</v>
      </c>
      <c r="E139" s="64" t="s">
        <v>22</v>
      </c>
      <c r="F139" s="64" t="s">
        <v>225</v>
      </c>
      <c r="G139" s="64" t="s">
        <v>39</v>
      </c>
      <c r="H139" s="65">
        <v>0.25</v>
      </c>
      <c r="I139" s="65">
        <v>0.5</v>
      </c>
      <c r="J139" s="65">
        <v>0.5</v>
      </c>
      <c r="K139" s="66">
        <v>45074.0</v>
      </c>
      <c r="L139" s="67">
        <v>1.775</v>
      </c>
      <c r="M139" s="64" t="s">
        <v>25</v>
      </c>
      <c r="N139" s="68">
        <f t="shared" si="1"/>
        <v>-0.5</v>
      </c>
      <c r="O139" s="68">
        <f t="shared" si="4"/>
        <v>9.137676667</v>
      </c>
    </row>
    <row r="140">
      <c r="A140" s="64">
        <f t="shared" si="3"/>
        <v>139</v>
      </c>
      <c r="B140" s="64" t="s">
        <v>19</v>
      </c>
      <c r="C140" s="64" t="s">
        <v>5898</v>
      </c>
      <c r="D140" s="64" t="s">
        <v>5899</v>
      </c>
      <c r="E140" s="64" t="s">
        <v>22</v>
      </c>
      <c r="F140" s="64" t="s">
        <v>225</v>
      </c>
      <c r="G140" s="64" t="s">
        <v>24</v>
      </c>
      <c r="H140" s="65">
        <v>0.5</v>
      </c>
      <c r="I140" s="65">
        <v>0.5</v>
      </c>
      <c r="J140" s="65">
        <v>0.5</v>
      </c>
      <c r="K140" s="66">
        <v>45074.0</v>
      </c>
      <c r="L140" s="67">
        <v>1.72</v>
      </c>
      <c r="M140" s="64" t="s">
        <v>33</v>
      </c>
      <c r="N140" s="68">
        <f t="shared" si="1"/>
        <v>0.36</v>
      </c>
      <c r="O140" s="68">
        <f t="shared" si="4"/>
        <v>9.497676667</v>
      </c>
    </row>
    <row r="141">
      <c r="A141" s="64">
        <f t="shared" si="3"/>
        <v>140</v>
      </c>
      <c r="B141" s="64" t="s">
        <v>19</v>
      </c>
      <c r="C141" s="64" t="s">
        <v>5900</v>
      </c>
      <c r="D141" s="64" t="s">
        <v>2108</v>
      </c>
      <c r="E141" s="64" t="s">
        <v>22</v>
      </c>
      <c r="F141" s="64" t="s">
        <v>225</v>
      </c>
      <c r="G141" s="64" t="s">
        <v>24</v>
      </c>
      <c r="H141" s="65">
        <v>0.25</v>
      </c>
      <c r="I141" s="65">
        <v>1.0</v>
      </c>
      <c r="J141" s="65">
        <v>1.0</v>
      </c>
      <c r="K141" s="66">
        <v>45076.0</v>
      </c>
      <c r="L141" s="67">
        <v>1.825</v>
      </c>
      <c r="M141" s="64" t="s">
        <v>25</v>
      </c>
      <c r="N141" s="68">
        <f t="shared" si="1"/>
        <v>-1</v>
      </c>
      <c r="O141" s="68">
        <f t="shared" si="4"/>
        <v>8.497676667</v>
      </c>
    </row>
    <row r="142">
      <c r="A142" s="64">
        <f t="shared" si="3"/>
        <v>141</v>
      </c>
      <c r="B142" s="64" t="s">
        <v>19</v>
      </c>
      <c r="C142" s="64" t="s">
        <v>5901</v>
      </c>
      <c r="D142" s="64" t="s">
        <v>923</v>
      </c>
      <c r="E142" s="64" t="s">
        <v>22</v>
      </c>
      <c r="F142" s="64" t="s">
        <v>225</v>
      </c>
      <c r="G142" s="64" t="s">
        <v>24</v>
      </c>
      <c r="H142" s="65">
        <v>0.25</v>
      </c>
      <c r="I142" s="65">
        <v>1.0</v>
      </c>
      <c r="J142" s="65">
        <v>0.52</v>
      </c>
      <c r="K142" s="66">
        <v>45076.0</v>
      </c>
      <c r="L142" s="67">
        <v>1.725</v>
      </c>
      <c r="M142" s="64" t="s">
        <v>30</v>
      </c>
      <c r="N142" s="68">
        <f t="shared" si="1"/>
        <v>0.1885</v>
      </c>
      <c r="O142" s="68">
        <f t="shared" si="4"/>
        <v>8.686176667</v>
      </c>
    </row>
    <row r="143">
      <c r="A143" s="64">
        <f t="shared" si="3"/>
        <v>142</v>
      </c>
      <c r="B143" s="64" t="s">
        <v>19</v>
      </c>
      <c r="C143" s="64" t="s">
        <v>5902</v>
      </c>
      <c r="D143" s="64" t="s">
        <v>2378</v>
      </c>
      <c r="E143" s="64" t="s">
        <v>22</v>
      </c>
      <c r="F143" s="64" t="s">
        <v>225</v>
      </c>
      <c r="G143" s="64" t="s">
        <v>24</v>
      </c>
      <c r="H143" s="65">
        <v>0.5</v>
      </c>
      <c r="I143" s="65">
        <v>1.0</v>
      </c>
      <c r="J143" s="65">
        <v>0.18</v>
      </c>
      <c r="K143" s="66">
        <v>45076.0</v>
      </c>
      <c r="L143" s="67">
        <v>1.75</v>
      </c>
      <c r="M143" s="64" t="s">
        <v>25</v>
      </c>
      <c r="N143" s="68">
        <f t="shared" si="1"/>
        <v>-0.18</v>
      </c>
      <c r="O143" s="68">
        <f t="shared" si="4"/>
        <v>8.506176667</v>
      </c>
    </row>
    <row r="144">
      <c r="A144" s="64">
        <f t="shared" si="3"/>
        <v>143</v>
      </c>
      <c r="B144" s="64" t="s">
        <v>19</v>
      </c>
      <c r="C144" s="64" t="s">
        <v>5903</v>
      </c>
      <c r="D144" s="64" t="s">
        <v>463</v>
      </c>
      <c r="E144" s="64" t="s">
        <v>22</v>
      </c>
      <c r="F144" s="64" t="s">
        <v>225</v>
      </c>
      <c r="G144" s="64" t="s">
        <v>5868</v>
      </c>
      <c r="H144" s="65">
        <v>0.5</v>
      </c>
      <c r="I144" s="65">
        <v>1.0</v>
      </c>
      <c r="J144" s="65">
        <v>1.0</v>
      </c>
      <c r="K144" s="66">
        <v>45076.0</v>
      </c>
      <c r="L144" s="67">
        <v>1.775</v>
      </c>
      <c r="M144" s="64" t="s">
        <v>25</v>
      </c>
      <c r="N144" s="68">
        <f t="shared" si="1"/>
        <v>-1</v>
      </c>
      <c r="O144" s="68">
        <f t="shared" si="4"/>
        <v>7.506176667</v>
      </c>
    </row>
    <row r="145">
      <c r="A145" s="64">
        <f t="shared" si="3"/>
        <v>144</v>
      </c>
      <c r="B145" s="64" t="s">
        <v>19</v>
      </c>
      <c r="C145" s="64" t="s">
        <v>5904</v>
      </c>
      <c r="D145" s="64" t="s">
        <v>908</v>
      </c>
      <c r="E145" s="64" t="s">
        <v>22</v>
      </c>
      <c r="F145" s="64" t="s">
        <v>225</v>
      </c>
      <c r="G145" s="64" t="s">
        <v>24</v>
      </c>
      <c r="H145" s="65">
        <v>0.5</v>
      </c>
      <c r="I145" s="65">
        <v>1.0</v>
      </c>
      <c r="J145" s="65">
        <v>0.17</v>
      </c>
      <c r="K145" s="66">
        <v>45076.0</v>
      </c>
      <c r="L145" s="67">
        <v>1.85</v>
      </c>
      <c r="M145" s="64" t="s">
        <v>33</v>
      </c>
      <c r="N145" s="68">
        <f t="shared" si="1"/>
        <v>0.1445</v>
      </c>
      <c r="O145" s="68">
        <f t="shared" si="4"/>
        <v>7.650676667</v>
      </c>
    </row>
    <row r="146">
      <c r="A146" s="64">
        <f t="shared" si="3"/>
        <v>145</v>
      </c>
      <c r="B146" s="64" t="s">
        <v>19</v>
      </c>
      <c r="C146" s="64" t="s">
        <v>5905</v>
      </c>
      <c r="D146" s="64" t="s">
        <v>624</v>
      </c>
      <c r="E146" s="64" t="s">
        <v>22</v>
      </c>
      <c r="F146" s="64" t="s">
        <v>225</v>
      </c>
      <c r="G146" s="64" t="s">
        <v>24</v>
      </c>
      <c r="H146" s="65">
        <v>0.5</v>
      </c>
      <c r="I146" s="65">
        <v>1.0</v>
      </c>
      <c r="J146" s="65">
        <v>1.0</v>
      </c>
      <c r="K146" s="66">
        <v>45076.0</v>
      </c>
      <c r="L146" s="67">
        <v>1.95</v>
      </c>
      <c r="M146" s="64" t="s">
        <v>25</v>
      </c>
      <c r="N146" s="68">
        <f t="shared" si="1"/>
        <v>-1</v>
      </c>
      <c r="O146" s="68">
        <f t="shared" si="4"/>
        <v>6.650676667</v>
      </c>
    </row>
    <row r="147">
      <c r="A147" s="64">
        <f t="shared" si="3"/>
        <v>146</v>
      </c>
      <c r="B147" s="64" t="s">
        <v>19</v>
      </c>
      <c r="C147" s="64" t="s">
        <v>5906</v>
      </c>
      <c r="D147" s="64" t="s">
        <v>908</v>
      </c>
      <c r="E147" s="64" t="s">
        <v>22</v>
      </c>
      <c r="F147" s="64" t="s">
        <v>1847</v>
      </c>
      <c r="G147" s="64" t="s">
        <v>24</v>
      </c>
      <c r="H147" s="65">
        <v>-0.5</v>
      </c>
      <c r="I147" s="65">
        <v>1.0</v>
      </c>
      <c r="J147" s="65">
        <v>1.0</v>
      </c>
      <c r="K147" s="66">
        <v>45076.0</v>
      </c>
      <c r="L147" s="67">
        <f>1260/900</f>
        <v>1.4</v>
      </c>
      <c r="M147" s="64" t="s">
        <v>33</v>
      </c>
      <c r="N147" s="68">
        <f t="shared" si="1"/>
        <v>0.4</v>
      </c>
      <c r="O147" s="68">
        <f t="shared" si="4"/>
        <v>7.050676667</v>
      </c>
    </row>
    <row r="148">
      <c r="A148" s="64">
        <f t="shared" si="3"/>
        <v>147</v>
      </c>
      <c r="B148" s="64" t="s">
        <v>19</v>
      </c>
      <c r="C148" s="64" t="s">
        <v>5907</v>
      </c>
      <c r="D148" s="64" t="s">
        <v>624</v>
      </c>
      <c r="E148" s="64" t="s">
        <v>22</v>
      </c>
      <c r="F148" s="64" t="s">
        <v>2634</v>
      </c>
      <c r="G148" s="64" t="s">
        <v>24</v>
      </c>
      <c r="H148" s="65"/>
      <c r="I148" s="65">
        <v>0.25</v>
      </c>
      <c r="J148" s="65">
        <v>0.25</v>
      </c>
      <c r="K148" s="66">
        <v>45076.0</v>
      </c>
      <c r="L148" s="67">
        <v>3.25</v>
      </c>
      <c r="M148" s="64" t="s">
        <v>25</v>
      </c>
      <c r="N148" s="68">
        <f t="shared" si="1"/>
        <v>-0.25</v>
      </c>
      <c r="O148" s="68">
        <f t="shared" si="4"/>
        <v>6.800676667</v>
      </c>
    </row>
    <row r="149">
      <c r="A149" s="64">
        <f t="shared" si="3"/>
        <v>148</v>
      </c>
      <c r="B149" s="64" t="s">
        <v>19</v>
      </c>
      <c r="C149" s="64" t="s">
        <v>5908</v>
      </c>
      <c r="D149" s="64" t="s">
        <v>82</v>
      </c>
      <c r="E149" s="64" t="s">
        <v>22</v>
      </c>
      <c r="F149" s="64" t="s">
        <v>29</v>
      </c>
      <c r="G149" s="64" t="s">
        <v>24</v>
      </c>
      <c r="H149" s="65">
        <v>-1.75</v>
      </c>
      <c r="I149" s="65">
        <v>1.0</v>
      </c>
      <c r="J149" s="65">
        <v>0.66</v>
      </c>
      <c r="K149" s="66">
        <v>45076.0</v>
      </c>
      <c r="L149" s="67">
        <v>1.875</v>
      </c>
      <c r="M149" s="64" t="s">
        <v>33</v>
      </c>
      <c r="N149" s="68">
        <f t="shared" si="1"/>
        <v>0.5775</v>
      </c>
      <c r="O149" s="68">
        <f t="shared" si="4"/>
        <v>7.378176667</v>
      </c>
    </row>
    <row r="150">
      <c r="A150" s="64">
        <f t="shared" si="3"/>
        <v>149</v>
      </c>
      <c r="B150" s="64" t="s">
        <v>19</v>
      </c>
      <c r="C150" s="64" t="s">
        <v>5909</v>
      </c>
      <c r="D150" s="64" t="s">
        <v>1085</v>
      </c>
      <c r="E150" s="64" t="s">
        <v>22</v>
      </c>
      <c r="F150" s="64" t="s">
        <v>225</v>
      </c>
      <c r="G150" s="64" t="s">
        <v>39</v>
      </c>
      <c r="H150" s="65">
        <v>0.5</v>
      </c>
      <c r="I150" s="65">
        <v>1.0</v>
      </c>
      <c r="J150" s="65">
        <v>0.27</v>
      </c>
      <c r="K150" s="66">
        <v>45076.0</v>
      </c>
      <c r="L150" s="67">
        <v>1.725</v>
      </c>
      <c r="M150" s="64" t="s">
        <v>33</v>
      </c>
      <c r="N150" s="68">
        <f t="shared" si="1"/>
        <v>0.19575</v>
      </c>
      <c r="O150" s="68">
        <f t="shared" si="4"/>
        <v>7.573926667</v>
      </c>
    </row>
    <row r="151">
      <c r="A151" s="64">
        <f t="shared" si="3"/>
        <v>150</v>
      </c>
      <c r="B151" s="64" t="s">
        <v>19</v>
      </c>
      <c r="C151" s="64" t="s">
        <v>5910</v>
      </c>
      <c r="D151" s="64" t="s">
        <v>319</v>
      </c>
      <c r="E151" s="64" t="s">
        <v>22</v>
      </c>
      <c r="F151" s="64" t="s">
        <v>892</v>
      </c>
      <c r="G151" s="64" t="s">
        <v>5868</v>
      </c>
      <c r="H151" s="65">
        <v>0.0</v>
      </c>
      <c r="I151" s="65">
        <v>1.0</v>
      </c>
      <c r="J151" s="65">
        <v>1.0</v>
      </c>
      <c r="K151" s="66">
        <v>45076.0</v>
      </c>
      <c r="L151" s="67">
        <v>1.875</v>
      </c>
      <c r="M151" s="64" t="s">
        <v>33</v>
      </c>
      <c r="N151" s="68">
        <f t="shared" si="1"/>
        <v>0.875</v>
      </c>
      <c r="O151" s="68">
        <f t="shared" si="4"/>
        <v>8.448926667</v>
      </c>
    </row>
    <row r="152">
      <c r="A152" s="64">
        <f t="shared" si="3"/>
        <v>151</v>
      </c>
      <c r="B152" s="64" t="s">
        <v>19</v>
      </c>
      <c r="C152" s="64" t="s">
        <v>5911</v>
      </c>
      <c r="D152" s="64" t="s">
        <v>908</v>
      </c>
      <c r="E152" s="64" t="s">
        <v>22</v>
      </c>
      <c r="F152" s="64" t="s">
        <v>225</v>
      </c>
      <c r="G152" s="64" t="s">
        <v>39</v>
      </c>
      <c r="H152" s="65">
        <v>0.5</v>
      </c>
      <c r="I152" s="65">
        <v>1.0</v>
      </c>
      <c r="J152" s="65">
        <v>1.0</v>
      </c>
      <c r="K152" s="66">
        <v>45077.0</v>
      </c>
      <c r="L152" s="67">
        <v>1.1</v>
      </c>
      <c r="M152" s="64" t="s">
        <v>33</v>
      </c>
      <c r="N152" s="68">
        <f t="shared" si="1"/>
        <v>0.1</v>
      </c>
      <c r="O152" s="68">
        <f t="shared" si="4"/>
        <v>8.548926667</v>
      </c>
    </row>
    <row r="153">
      <c r="A153" s="64">
        <f t="shared" si="3"/>
        <v>152</v>
      </c>
      <c r="B153" s="64" t="s">
        <v>19</v>
      </c>
      <c r="C153" s="64" t="s">
        <v>5912</v>
      </c>
      <c r="D153" s="64" t="s">
        <v>923</v>
      </c>
      <c r="E153" s="64" t="s">
        <v>22</v>
      </c>
      <c r="F153" s="64" t="s">
        <v>225</v>
      </c>
      <c r="G153" s="64" t="s">
        <v>24</v>
      </c>
      <c r="H153" s="65">
        <v>1.25</v>
      </c>
      <c r="I153" s="65">
        <v>1.0</v>
      </c>
      <c r="J153" s="65">
        <v>0.27</v>
      </c>
      <c r="K153" s="66">
        <v>45077.0</v>
      </c>
      <c r="L153" s="67">
        <v>1.775</v>
      </c>
      <c r="M153" s="64" t="s">
        <v>33</v>
      </c>
      <c r="N153" s="68">
        <f t="shared" si="1"/>
        <v>0.20925</v>
      </c>
      <c r="O153" s="68">
        <f t="shared" si="4"/>
        <v>8.758176667</v>
      </c>
    </row>
    <row r="154">
      <c r="A154" s="64">
        <f t="shared" si="3"/>
        <v>153</v>
      </c>
      <c r="B154" s="64" t="s">
        <v>40</v>
      </c>
      <c r="C154" s="64" t="s">
        <v>5913</v>
      </c>
      <c r="D154" s="64" t="s">
        <v>463</v>
      </c>
      <c r="E154" s="64" t="s">
        <v>22</v>
      </c>
      <c r="F154" s="64" t="s">
        <v>2939</v>
      </c>
      <c r="G154" s="64" t="s">
        <v>24</v>
      </c>
      <c r="H154" s="65">
        <v>-10.5</v>
      </c>
      <c r="I154" s="65">
        <v>0.5</v>
      </c>
      <c r="J154" s="65">
        <f>0.5*0.59</f>
        <v>0.295</v>
      </c>
      <c r="K154" s="66">
        <v>45077.0</v>
      </c>
      <c r="L154" s="67">
        <v>1.75</v>
      </c>
      <c r="M154" s="64" t="s">
        <v>33</v>
      </c>
      <c r="N154" s="68">
        <f t="shared" si="1"/>
        <v>0.22125</v>
      </c>
      <c r="O154" s="68">
        <f t="shared" si="4"/>
        <v>8.979426667</v>
      </c>
    </row>
    <row r="155">
      <c r="A155" s="64">
        <f t="shared" si="3"/>
        <v>154</v>
      </c>
      <c r="B155" s="64" t="s">
        <v>19</v>
      </c>
      <c r="C155" s="64" t="s">
        <v>5914</v>
      </c>
      <c r="D155" s="64" t="s">
        <v>513</v>
      </c>
      <c r="E155" s="64" t="s">
        <v>22</v>
      </c>
      <c r="F155" s="64" t="s">
        <v>225</v>
      </c>
      <c r="G155" s="64" t="s">
        <v>5868</v>
      </c>
      <c r="H155" s="65">
        <v>0.5</v>
      </c>
      <c r="I155" s="65">
        <v>1.0</v>
      </c>
      <c r="J155" s="65">
        <v>1.0</v>
      </c>
      <c r="K155" s="66">
        <v>45077.0</v>
      </c>
      <c r="L155" s="67">
        <v>1.825</v>
      </c>
      <c r="M155" s="64" t="s">
        <v>25</v>
      </c>
      <c r="N155" s="68">
        <f t="shared" si="1"/>
        <v>-1</v>
      </c>
      <c r="O155" s="68">
        <f t="shared" si="4"/>
        <v>7.979426667</v>
      </c>
    </row>
    <row r="156">
      <c r="A156" s="64">
        <f t="shared" si="3"/>
        <v>155</v>
      </c>
      <c r="B156" s="64" t="s">
        <v>19</v>
      </c>
      <c r="C156" s="64" t="s">
        <v>5915</v>
      </c>
      <c r="D156" s="64" t="s">
        <v>513</v>
      </c>
      <c r="E156" s="64" t="s">
        <v>22</v>
      </c>
      <c r="F156" s="64" t="s">
        <v>2415</v>
      </c>
      <c r="G156" s="64" t="s">
        <v>24</v>
      </c>
      <c r="H156" s="65">
        <v>25.5</v>
      </c>
      <c r="I156" s="65">
        <v>0.5</v>
      </c>
      <c r="J156" s="65">
        <v>0.43</v>
      </c>
      <c r="K156" s="66">
        <v>45077.0</v>
      </c>
      <c r="L156" s="67">
        <v>1.975</v>
      </c>
      <c r="M156" s="64" t="s">
        <v>33</v>
      </c>
      <c r="N156" s="68">
        <f t="shared" si="1"/>
        <v>0.41925</v>
      </c>
      <c r="O156" s="68">
        <f t="shared" si="4"/>
        <v>8.398676667</v>
      </c>
    </row>
    <row r="157">
      <c r="A157" s="64">
        <f t="shared" si="3"/>
        <v>156</v>
      </c>
      <c r="B157" s="64" t="s">
        <v>19</v>
      </c>
      <c r="C157" s="64" t="s">
        <v>5916</v>
      </c>
      <c r="D157" s="64" t="s">
        <v>2386</v>
      </c>
      <c r="E157" s="64" t="s">
        <v>22</v>
      </c>
      <c r="F157" s="64" t="s">
        <v>225</v>
      </c>
      <c r="G157" s="64" t="s">
        <v>5917</v>
      </c>
      <c r="H157" s="65">
        <v>1.0</v>
      </c>
      <c r="I157" s="65">
        <v>0.25</v>
      </c>
      <c r="J157" s="65">
        <v>0.25</v>
      </c>
      <c r="K157" s="66">
        <v>45077.0</v>
      </c>
      <c r="L157" s="67">
        <v>1.9</v>
      </c>
      <c r="M157" s="64" t="s">
        <v>25</v>
      </c>
      <c r="N157" s="68">
        <f t="shared" si="1"/>
        <v>-0.25</v>
      </c>
      <c r="O157" s="68">
        <f t="shared" si="4"/>
        <v>8.148676667</v>
      </c>
    </row>
    <row r="158">
      <c r="A158" s="64">
        <f t="shared" si="3"/>
        <v>157</v>
      </c>
      <c r="B158" s="64" t="s">
        <v>19</v>
      </c>
      <c r="C158" s="64" t="s">
        <v>5918</v>
      </c>
      <c r="D158" s="64" t="s">
        <v>44</v>
      </c>
      <c r="E158" s="64" t="s">
        <v>22</v>
      </c>
      <c r="F158" s="64" t="s">
        <v>225</v>
      </c>
      <c r="G158" s="64" t="s">
        <v>1803</v>
      </c>
      <c r="H158" s="65">
        <v>1.5</v>
      </c>
      <c r="I158" s="65">
        <v>1.0</v>
      </c>
      <c r="J158" s="65">
        <v>1.0</v>
      </c>
      <c r="K158" s="66">
        <v>45077.0</v>
      </c>
      <c r="L158" s="67">
        <v>1.8</v>
      </c>
      <c r="M158" s="64" t="s">
        <v>33</v>
      </c>
      <c r="N158" s="68">
        <f t="shared" si="1"/>
        <v>0.8</v>
      </c>
      <c r="O158" s="68">
        <f t="shared" si="4"/>
        <v>8.948676667</v>
      </c>
    </row>
    <row r="159">
      <c r="A159" s="64">
        <f t="shared" si="3"/>
        <v>158</v>
      </c>
      <c r="B159" s="64" t="s">
        <v>40</v>
      </c>
      <c r="C159" s="64" t="s">
        <v>5919</v>
      </c>
      <c r="D159" s="64" t="s">
        <v>82</v>
      </c>
      <c r="E159" s="64" t="s">
        <v>22</v>
      </c>
      <c r="F159" s="64" t="s">
        <v>225</v>
      </c>
      <c r="G159" s="64" t="s">
        <v>5868</v>
      </c>
      <c r="H159" s="65">
        <v>3.5</v>
      </c>
      <c r="I159" s="65">
        <v>0.5</v>
      </c>
      <c r="J159" s="65">
        <v>0.47</v>
      </c>
      <c r="K159" s="66">
        <v>45077.0</v>
      </c>
      <c r="L159" s="67">
        <v>1.825</v>
      </c>
      <c r="M159" s="64" t="s">
        <v>25</v>
      </c>
      <c r="N159" s="68">
        <f t="shared" si="1"/>
        <v>-0.47</v>
      </c>
      <c r="O159" s="68">
        <f t="shared" si="4"/>
        <v>8.478676667</v>
      </c>
    </row>
    <row r="160">
      <c r="A160" s="64">
        <f t="shared" si="3"/>
        <v>159</v>
      </c>
      <c r="B160" s="64" t="s">
        <v>19</v>
      </c>
      <c r="C160" s="64" t="s">
        <v>5920</v>
      </c>
      <c r="D160" s="64" t="s">
        <v>82</v>
      </c>
      <c r="E160" s="64" t="s">
        <v>598</v>
      </c>
      <c r="F160" s="64" t="s">
        <v>1847</v>
      </c>
      <c r="G160" s="64" t="s">
        <v>24</v>
      </c>
      <c r="H160" s="65">
        <v>-0.5</v>
      </c>
      <c r="I160" s="65">
        <v>0.25</v>
      </c>
      <c r="J160" s="65">
        <v>0.25</v>
      </c>
      <c r="K160" s="66">
        <v>45077.0</v>
      </c>
      <c r="L160" s="67">
        <v>1.8</v>
      </c>
      <c r="M160" s="64" t="s">
        <v>33</v>
      </c>
      <c r="N160" s="68">
        <f t="shared" si="1"/>
        <v>0.2</v>
      </c>
      <c r="O160" s="68">
        <f t="shared" si="4"/>
        <v>8.678676667</v>
      </c>
    </row>
    <row r="161">
      <c r="A161" s="64">
        <f t="shared" si="3"/>
        <v>160</v>
      </c>
      <c r="B161" s="64"/>
      <c r="C161" s="64"/>
      <c r="D161" s="64"/>
      <c r="E161" s="64"/>
      <c r="F161" s="64"/>
      <c r="G161" s="64"/>
      <c r="H161" s="65"/>
      <c r="I161" s="65"/>
      <c r="J161" s="65"/>
      <c r="K161" s="66"/>
      <c r="L161" s="67"/>
      <c r="M161" s="64"/>
      <c r="N161" s="68" t="str">
        <f t="shared" si="1"/>
        <v/>
      </c>
      <c r="O161" s="68">
        <f t="shared" si="4"/>
        <v>8.678676667</v>
      </c>
    </row>
    <row r="162">
      <c r="A162" s="64">
        <f t="shared" si="3"/>
        <v>161</v>
      </c>
      <c r="B162" s="64"/>
      <c r="C162" s="64"/>
      <c r="D162" s="64"/>
      <c r="E162" s="64"/>
      <c r="F162" s="64"/>
      <c r="G162" s="64"/>
      <c r="H162" s="65"/>
      <c r="I162" s="65"/>
      <c r="J162" s="65"/>
      <c r="K162" s="66"/>
      <c r="L162" s="67"/>
      <c r="M162" s="64"/>
      <c r="N162" s="68" t="str">
        <f t="shared" si="1"/>
        <v/>
      </c>
      <c r="O162" s="68">
        <f t="shared" si="4"/>
        <v>8.678676667</v>
      </c>
    </row>
    <row r="163">
      <c r="A163" s="64">
        <f t="shared" si="3"/>
        <v>162</v>
      </c>
      <c r="B163" s="64"/>
      <c r="C163" s="64"/>
      <c r="D163" s="64"/>
      <c r="E163" s="64"/>
      <c r="F163" s="64"/>
      <c r="G163" s="64"/>
      <c r="H163" s="65"/>
      <c r="I163" s="65"/>
      <c r="J163" s="65"/>
      <c r="K163" s="66"/>
      <c r="L163" s="67"/>
      <c r="M163" s="64"/>
      <c r="N163" s="68" t="str">
        <f t="shared" si="1"/>
        <v/>
      </c>
      <c r="O163" s="68">
        <f t="shared" si="4"/>
        <v>8.678676667</v>
      </c>
    </row>
    <row r="164">
      <c r="A164" s="64">
        <f t="shared" si="3"/>
        <v>163</v>
      </c>
      <c r="B164" s="64"/>
      <c r="C164" s="64"/>
      <c r="D164" s="64"/>
      <c r="E164" s="64"/>
      <c r="F164" s="64"/>
      <c r="G164" s="64"/>
      <c r="H164" s="65"/>
      <c r="I164" s="65"/>
      <c r="J164" s="65"/>
      <c r="K164" s="66"/>
      <c r="L164" s="67"/>
      <c r="M164" s="64"/>
      <c r="N164" s="68" t="str">
        <f t="shared" si="1"/>
        <v/>
      </c>
      <c r="O164" s="68">
        <f t="shared" si="4"/>
        <v>8.678676667</v>
      </c>
    </row>
    <row r="165">
      <c r="A165" s="64">
        <f t="shared" si="3"/>
        <v>164</v>
      </c>
      <c r="B165" s="64"/>
      <c r="C165" s="64"/>
      <c r="D165" s="64"/>
      <c r="E165" s="64"/>
      <c r="F165" s="64"/>
      <c r="G165" s="64"/>
      <c r="H165" s="65"/>
      <c r="I165" s="65"/>
      <c r="J165" s="65"/>
      <c r="K165" s="66"/>
      <c r="L165" s="67"/>
      <c r="M165" s="64"/>
      <c r="N165" s="68" t="str">
        <f t="shared" si="1"/>
        <v/>
      </c>
      <c r="O165" s="68">
        <f t="shared" si="4"/>
        <v>8.678676667</v>
      </c>
    </row>
    <row r="166">
      <c r="A166" s="64">
        <f t="shared" si="3"/>
        <v>165</v>
      </c>
      <c r="B166" s="64"/>
      <c r="C166" s="64"/>
      <c r="D166" s="64"/>
      <c r="E166" s="64"/>
      <c r="F166" s="64"/>
      <c r="G166" s="64"/>
      <c r="H166" s="65"/>
      <c r="I166" s="65"/>
      <c r="J166" s="65"/>
      <c r="K166" s="66"/>
      <c r="L166" s="67"/>
      <c r="M166" s="64"/>
      <c r="N166" s="68" t="str">
        <f t="shared" si="1"/>
        <v/>
      </c>
      <c r="O166" s="68">
        <f t="shared" si="4"/>
        <v>8.678676667</v>
      </c>
    </row>
    <row r="167">
      <c r="A167" s="64">
        <f t="shared" si="3"/>
        <v>166</v>
      </c>
      <c r="B167" s="64"/>
      <c r="C167" s="64"/>
      <c r="D167" s="64"/>
      <c r="E167" s="64"/>
      <c r="F167" s="64"/>
      <c r="G167" s="64"/>
      <c r="H167" s="65"/>
      <c r="I167" s="65"/>
      <c r="J167" s="65"/>
      <c r="K167" s="66"/>
      <c r="L167" s="67"/>
      <c r="M167" s="64"/>
      <c r="N167" s="68" t="str">
        <f t="shared" si="1"/>
        <v/>
      </c>
      <c r="O167" s="68">
        <f t="shared" si="4"/>
        <v>8.678676667</v>
      </c>
    </row>
    <row r="168">
      <c r="A168" s="64">
        <f t="shared" si="3"/>
        <v>167</v>
      </c>
      <c r="B168" s="64"/>
      <c r="C168" s="64"/>
      <c r="D168" s="64"/>
      <c r="E168" s="64"/>
      <c r="F168" s="64"/>
      <c r="G168" s="64"/>
      <c r="H168" s="65"/>
      <c r="I168" s="65"/>
      <c r="J168" s="65"/>
      <c r="K168" s="66"/>
      <c r="L168" s="67"/>
      <c r="M168" s="64"/>
      <c r="N168" s="68" t="str">
        <f t="shared" si="1"/>
        <v/>
      </c>
      <c r="O168" s="68">
        <f t="shared" si="4"/>
        <v>8.678676667</v>
      </c>
    </row>
    <row r="169">
      <c r="A169" s="64">
        <f t="shared" si="3"/>
        <v>168</v>
      </c>
      <c r="B169" s="64"/>
      <c r="C169" s="64"/>
      <c r="D169" s="64"/>
      <c r="E169" s="64"/>
      <c r="F169" s="64"/>
      <c r="G169" s="64"/>
      <c r="H169" s="65"/>
      <c r="I169" s="65"/>
      <c r="J169" s="65"/>
      <c r="K169" s="66"/>
      <c r="L169" s="67"/>
      <c r="M169" s="64"/>
      <c r="N169" s="68" t="str">
        <f t="shared" si="1"/>
        <v/>
      </c>
      <c r="O169" s="68">
        <f t="shared" si="4"/>
        <v>8.678676667</v>
      </c>
    </row>
    <row r="170">
      <c r="A170" s="64">
        <f t="shared" si="3"/>
        <v>169</v>
      </c>
      <c r="B170" s="64"/>
      <c r="C170" s="64"/>
      <c r="D170" s="64"/>
      <c r="E170" s="64"/>
      <c r="F170" s="64"/>
      <c r="G170" s="64"/>
      <c r="H170" s="65"/>
      <c r="I170" s="65"/>
      <c r="J170" s="65"/>
      <c r="K170" s="66"/>
      <c r="L170" s="67"/>
      <c r="M170" s="64"/>
      <c r="N170" s="68" t="str">
        <f t="shared" si="1"/>
        <v/>
      </c>
      <c r="O170" s="68">
        <f t="shared" si="4"/>
        <v>8.678676667</v>
      </c>
    </row>
    <row r="171">
      <c r="A171" s="64">
        <f t="shared" si="3"/>
        <v>170</v>
      </c>
      <c r="B171" s="64"/>
      <c r="C171" s="64"/>
      <c r="D171" s="64"/>
      <c r="E171" s="64"/>
      <c r="F171" s="64"/>
      <c r="G171" s="64"/>
      <c r="H171" s="65"/>
      <c r="I171" s="65"/>
      <c r="J171" s="65"/>
      <c r="K171" s="66"/>
      <c r="L171" s="67"/>
      <c r="M171" s="64"/>
      <c r="N171" s="68" t="str">
        <f t="shared" si="1"/>
        <v/>
      </c>
      <c r="O171" s="68">
        <f t="shared" si="4"/>
        <v>8.678676667</v>
      </c>
    </row>
    <row r="172">
      <c r="A172" s="64">
        <f t="shared" si="3"/>
        <v>171</v>
      </c>
      <c r="B172" s="64"/>
      <c r="C172" s="64"/>
      <c r="D172" s="64"/>
      <c r="E172" s="64"/>
      <c r="F172" s="64"/>
      <c r="G172" s="64"/>
      <c r="H172" s="65"/>
      <c r="I172" s="65"/>
      <c r="J172" s="65"/>
      <c r="K172" s="66"/>
      <c r="L172" s="67"/>
      <c r="M172" s="64"/>
      <c r="N172" s="68" t="str">
        <f t="shared" si="1"/>
        <v/>
      </c>
      <c r="O172" s="68">
        <f t="shared" si="4"/>
        <v>8.678676667</v>
      </c>
    </row>
    <row r="173">
      <c r="A173" s="64">
        <f t="shared" si="3"/>
        <v>172</v>
      </c>
      <c r="B173" s="64"/>
      <c r="C173" s="64"/>
      <c r="D173" s="64"/>
      <c r="E173" s="64"/>
      <c r="F173" s="64"/>
      <c r="G173" s="64"/>
      <c r="H173" s="65"/>
      <c r="I173" s="65"/>
      <c r="J173" s="65"/>
      <c r="K173" s="66"/>
      <c r="L173" s="67"/>
      <c r="M173" s="64"/>
      <c r="N173" s="68" t="str">
        <f t="shared" si="1"/>
        <v/>
      </c>
      <c r="O173" s="68">
        <f t="shared" si="4"/>
        <v>8.678676667</v>
      </c>
    </row>
    <row r="174">
      <c r="A174" s="64">
        <f t="shared" si="3"/>
        <v>173</v>
      </c>
      <c r="B174" s="64"/>
      <c r="C174" s="64"/>
      <c r="D174" s="64"/>
      <c r="E174" s="64"/>
      <c r="F174" s="64"/>
      <c r="G174" s="64"/>
      <c r="H174" s="65"/>
      <c r="I174" s="65"/>
      <c r="J174" s="65"/>
      <c r="K174" s="66"/>
      <c r="L174" s="67"/>
      <c r="M174" s="64"/>
      <c r="N174" s="68" t="str">
        <f t="shared" si="1"/>
        <v/>
      </c>
      <c r="O174" s="68">
        <f t="shared" si="4"/>
        <v>8.678676667</v>
      </c>
    </row>
    <row r="175">
      <c r="A175" s="64">
        <f t="shared" si="3"/>
        <v>174</v>
      </c>
      <c r="B175" s="64"/>
      <c r="C175" s="64"/>
      <c r="D175" s="64"/>
      <c r="E175" s="64"/>
      <c r="F175" s="64"/>
      <c r="G175" s="64"/>
      <c r="H175" s="65"/>
      <c r="I175" s="65"/>
      <c r="J175" s="65"/>
      <c r="K175" s="66"/>
      <c r="L175" s="67"/>
      <c r="M175" s="64"/>
      <c r="N175" s="68" t="str">
        <f t="shared" si="1"/>
        <v/>
      </c>
      <c r="O175" s="68">
        <f t="shared" si="4"/>
        <v>8.678676667</v>
      </c>
    </row>
    <row r="176">
      <c r="A176" s="64">
        <f t="shared" si="3"/>
        <v>175</v>
      </c>
      <c r="B176" s="64"/>
      <c r="C176" s="64"/>
      <c r="D176" s="64"/>
      <c r="E176" s="64"/>
      <c r="F176" s="64"/>
      <c r="G176" s="64"/>
      <c r="H176" s="65"/>
      <c r="I176" s="65"/>
      <c r="J176" s="65"/>
      <c r="K176" s="66"/>
      <c r="L176" s="67"/>
      <c r="M176" s="64"/>
      <c r="N176" s="68" t="str">
        <f t="shared" si="1"/>
        <v/>
      </c>
      <c r="O176" s="68">
        <f t="shared" si="4"/>
        <v>8.678676667</v>
      </c>
    </row>
    <row r="177">
      <c r="A177" s="64">
        <f t="shared" si="3"/>
        <v>176</v>
      </c>
      <c r="B177" s="64"/>
      <c r="C177" s="64"/>
      <c r="D177" s="64"/>
      <c r="E177" s="64"/>
      <c r="F177" s="64"/>
      <c r="G177" s="64"/>
      <c r="H177" s="65"/>
      <c r="I177" s="65"/>
      <c r="J177" s="65"/>
      <c r="K177" s="66"/>
      <c r="L177" s="67"/>
      <c r="M177" s="64"/>
      <c r="N177" s="68" t="str">
        <f t="shared" si="1"/>
        <v/>
      </c>
      <c r="O177" s="68">
        <f t="shared" si="4"/>
        <v>8.678676667</v>
      </c>
    </row>
    <row r="178">
      <c r="A178" s="64">
        <f t="shared" si="3"/>
        <v>177</v>
      </c>
      <c r="B178" s="64"/>
      <c r="C178" s="64"/>
      <c r="D178" s="64"/>
      <c r="E178" s="64"/>
      <c r="F178" s="64"/>
      <c r="G178" s="64"/>
      <c r="H178" s="65"/>
      <c r="I178" s="65"/>
      <c r="J178" s="65"/>
      <c r="K178" s="66"/>
      <c r="L178" s="67"/>
      <c r="M178" s="64"/>
      <c r="N178" s="68" t="str">
        <f t="shared" si="1"/>
        <v/>
      </c>
      <c r="O178" s="68">
        <f t="shared" si="4"/>
        <v>8.678676667</v>
      </c>
    </row>
    <row r="179">
      <c r="A179" s="64">
        <f t="shared" si="3"/>
        <v>178</v>
      </c>
      <c r="B179" s="64"/>
      <c r="C179" s="64"/>
      <c r="D179" s="64"/>
      <c r="E179" s="64"/>
      <c r="F179" s="64"/>
      <c r="G179" s="64"/>
      <c r="H179" s="65"/>
      <c r="I179" s="65"/>
      <c r="J179" s="65"/>
      <c r="K179" s="66"/>
      <c r="L179" s="67"/>
      <c r="M179" s="64"/>
      <c r="N179" s="68" t="str">
        <f t="shared" si="1"/>
        <v/>
      </c>
      <c r="O179" s="68">
        <f t="shared" si="4"/>
        <v>8.678676667</v>
      </c>
    </row>
    <row r="180">
      <c r="A180" s="64">
        <f t="shared" si="3"/>
        <v>179</v>
      </c>
      <c r="B180" s="64"/>
      <c r="C180" s="64"/>
      <c r="D180" s="64"/>
      <c r="E180" s="64"/>
      <c r="F180" s="64"/>
      <c r="G180" s="64"/>
      <c r="H180" s="65"/>
      <c r="I180" s="65"/>
      <c r="J180" s="65"/>
      <c r="K180" s="66"/>
      <c r="L180" s="67"/>
      <c r="M180" s="64"/>
      <c r="N180" s="68" t="str">
        <f t="shared" si="1"/>
        <v/>
      </c>
      <c r="O180" s="68">
        <f t="shared" si="4"/>
        <v>8.678676667</v>
      </c>
    </row>
    <row r="181">
      <c r="A181" s="64">
        <f t="shared" si="3"/>
        <v>180</v>
      </c>
      <c r="B181" s="64"/>
      <c r="C181" s="64"/>
      <c r="D181" s="64"/>
      <c r="E181" s="64"/>
      <c r="F181" s="64"/>
      <c r="G181" s="64"/>
      <c r="H181" s="65"/>
      <c r="I181" s="65"/>
      <c r="J181" s="65"/>
      <c r="K181" s="66"/>
      <c r="L181" s="67"/>
      <c r="M181" s="64"/>
      <c r="N181" s="68" t="str">
        <f t="shared" si="1"/>
        <v/>
      </c>
      <c r="O181" s="68">
        <f t="shared" si="4"/>
        <v>8.678676667</v>
      </c>
    </row>
    <row r="182">
      <c r="A182" s="64">
        <f t="shared" si="3"/>
        <v>181</v>
      </c>
      <c r="B182" s="64"/>
      <c r="C182" s="64"/>
      <c r="D182" s="64"/>
      <c r="E182" s="64"/>
      <c r="F182" s="64"/>
      <c r="G182" s="64"/>
      <c r="H182" s="65"/>
      <c r="I182" s="65"/>
      <c r="J182" s="65"/>
      <c r="K182" s="66"/>
      <c r="L182" s="67"/>
      <c r="M182" s="64"/>
      <c r="N182" s="68" t="str">
        <f t="shared" si="1"/>
        <v/>
      </c>
      <c r="O182" s="68">
        <f t="shared" si="4"/>
        <v>8.678676667</v>
      </c>
    </row>
    <row r="183">
      <c r="A183" s="64">
        <f t="shared" si="3"/>
        <v>182</v>
      </c>
      <c r="B183" s="64"/>
      <c r="C183" s="64"/>
      <c r="D183" s="64"/>
      <c r="E183" s="64"/>
      <c r="F183" s="64"/>
      <c r="G183" s="64"/>
      <c r="H183" s="65"/>
      <c r="I183" s="65"/>
      <c r="J183" s="65"/>
      <c r="K183" s="66"/>
      <c r="L183" s="67"/>
      <c r="M183" s="64"/>
      <c r="N183" s="68" t="str">
        <f t="shared" si="1"/>
        <v/>
      </c>
      <c r="O183" s="68">
        <f t="shared" si="4"/>
        <v>8.678676667</v>
      </c>
    </row>
    <row r="184">
      <c r="A184" s="64">
        <f t="shared" si="3"/>
        <v>183</v>
      </c>
      <c r="B184" s="64"/>
      <c r="C184" s="64"/>
      <c r="D184" s="64"/>
      <c r="E184" s="64"/>
      <c r="F184" s="64"/>
      <c r="G184" s="64"/>
      <c r="H184" s="65"/>
      <c r="I184" s="65"/>
      <c r="J184" s="65"/>
      <c r="K184" s="66"/>
      <c r="L184" s="67"/>
      <c r="M184" s="64"/>
      <c r="N184" s="68" t="str">
        <f t="shared" si="1"/>
        <v/>
      </c>
      <c r="O184" s="68">
        <f t="shared" si="4"/>
        <v>8.678676667</v>
      </c>
    </row>
    <row r="185">
      <c r="A185" s="64">
        <f t="shared" si="3"/>
        <v>184</v>
      </c>
      <c r="B185" s="64"/>
      <c r="C185" s="64"/>
      <c r="D185" s="64"/>
      <c r="E185" s="64"/>
      <c r="F185" s="64"/>
      <c r="G185" s="64"/>
      <c r="H185" s="65"/>
      <c r="I185" s="65"/>
      <c r="J185" s="65"/>
      <c r="K185" s="66"/>
      <c r="L185" s="67"/>
      <c r="M185" s="64"/>
      <c r="N185" s="68" t="str">
        <f t="shared" si="1"/>
        <v/>
      </c>
      <c r="O185" s="68">
        <f t="shared" si="4"/>
        <v>8.678676667</v>
      </c>
    </row>
    <row r="186">
      <c r="A186" s="64">
        <f t="shared" si="3"/>
        <v>185</v>
      </c>
      <c r="B186" s="64"/>
      <c r="C186" s="64"/>
      <c r="D186" s="64"/>
      <c r="E186" s="64"/>
      <c r="F186" s="64"/>
      <c r="G186" s="64"/>
      <c r="H186" s="65"/>
      <c r="I186" s="65"/>
      <c r="J186" s="65"/>
      <c r="K186" s="66"/>
      <c r="L186" s="67"/>
      <c r="M186" s="64"/>
      <c r="N186" s="68" t="str">
        <f t="shared" si="1"/>
        <v/>
      </c>
      <c r="O186" s="68">
        <f t="shared" si="4"/>
        <v>8.678676667</v>
      </c>
    </row>
    <row r="187">
      <c r="A187" s="64">
        <f t="shared" si="3"/>
        <v>186</v>
      </c>
      <c r="B187" s="64"/>
      <c r="C187" s="64"/>
      <c r="D187" s="64"/>
      <c r="E187" s="64"/>
      <c r="F187" s="64"/>
      <c r="G187" s="64"/>
      <c r="H187" s="65"/>
      <c r="I187" s="65"/>
      <c r="J187" s="65"/>
      <c r="K187" s="66"/>
      <c r="L187" s="67"/>
      <c r="M187" s="64"/>
      <c r="N187" s="68" t="str">
        <f t="shared" si="1"/>
        <v/>
      </c>
      <c r="O187" s="68">
        <f t="shared" si="4"/>
        <v>8.678676667</v>
      </c>
    </row>
    <row r="188">
      <c r="A188" s="64">
        <f t="shared" si="3"/>
        <v>187</v>
      </c>
      <c r="B188" s="64"/>
      <c r="C188" s="64"/>
      <c r="D188" s="64"/>
      <c r="E188" s="64"/>
      <c r="F188" s="64"/>
      <c r="G188" s="64"/>
      <c r="H188" s="65"/>
      <c r="I188" s="65"/>
      <c r="J188" s="65"/>
      <c r="K188" s="66"/>
      <c r="L188" s="67"/>
      <c r="M188" s="64"/>
      <c r="N188" s="68" t="str">
        <f t="shared" si="1"/>
        <v/>
      </c>
      <c r="O188" s="68">
        <f t="shared" si="4"/>
        <v>8.678676667</v>
      </c>
    </row>
    <row r="189">
      <c r="A189" s="64">
        <f t="shared" si="3"/>
        <v>188</v>
      </c>
      <c r="B189" s="64"/>
      <c r="C189" s="64"/>
      <c r="D189" s="64"/>
      <c r="E189" s="64"/>
      <c r="F189" s="64"/>
      <c r="G189" s="64"/>
      <c r="H189" s="65"/>
      <c r="I189" s="65"/>
      <c r="J189" s="65"/>
      <c r="K189" s="66"/>
      <c r="L189" s="67"/>
      <c r="M189" s="64"/>
      <c r="N189" s="68" t="str">
        <f t="shared" si="1"/>
        <v/>
      </c>
      <c r="O189" s="68">
        <f t="shared" si="4"/>
        <v>8.678676667</v>
      </c>
    </row>
    <row r="190">
      <c r="A190" s="64">
        <f t="shared" si="3"/>
        <v>189</v>
      </c>
      <c r="B190" s="64"/>
      <c r="C190" s="64"/>
      <c r="D190" s="64"/>
      <c r="E190" s="64"/>
      <c r="F190" s="64"/>
      <c r="G190" s="64"/>
      <c r="H190" s="65"/>
      <c r="I190" s="65"/>
      <c r="J190" s="65"/>
      <c r="K190" s="66"/>
      <c r="L190" s="67"/>
      <c r="M190" s="64"/>
      <c r="N190" s="68" t="str">
        <f t="shared" si="1"/>
        <v/>
      </c>
      <c r="O190" s="68">
        <f t="shared" si="4"/>
        <v>8.678676667</v>
      </c>
    </row>
    <row r="191">
      <c r="A191" s="64">
        <f t="shared" si="3"/>
        <v>190</v>
      </c>
      <c r="B191" s="64"/>
      <c r="C191" s="64"/>
      <c r="D191" s="64"/>
      <c r="E191" s="64"/>
      <c r="F191" s="64"/>
      <c r="G191" s="64"/>
      <c r="H191" s="65"/>
      <c r="I191" s="65"/>
      <c r="J191" s="65"/>
      <c r="K191" s="66"/>
      <c r="L191" s="67"/>
      <c r="M191" s="64"/>
      <c r="N191" s="68" t="str">
        <f t="shared" si="1"/>
        <v/>
      </c>
      <c r="O191" s="68">
        <f t="shared" si="4"/>
        <v>8.678676667</v>
      </c>
    </row>
    <row r="192">
      <c r="A192" s="64">
        <f t="shared" si="3"/>
        <v>191</v>
      </c>
      <c r="B192" s="64"/>
      <c r="C192" s="64"/>
      <c r="D192" s="64"/>
      <c r="E192" s="64"/>
      <c r="F192" s="64"/>
      <c r="G192" s="64"/>
      <c r="H192" s="65"/>
      <c r="I192" s="65"/>
      <c r="J192" s="65"/>
      <c r="K192" s="66"/>
      <c r="L192" s="67"/>
      <c r="M192" s="64"/>
      <c r="N192" s="68" t="str">
        <f t="shared" si="1"/>
        <v/>
      </c>
      <c r="O192" s="68">
        <f t="shared" si="4"/>
        <v>8.678676667</v>
      </c>
    </row>
    <row r="193">
      <c r="A193" s="64">
        <f t="shared" si="3"/>
        <v>192</v>
      </c>
      <c r="B193" s="64"/>
      <c r="C193" s="64"/>
      <c r="D193" s="64"/>
      <c r="E193" s="64"/>
      <c r="F193" s="64"/>
      <c r="G193" s="64"/>
      <c r="H193" s="65"/>
      <c r="I193" s="65"/>
      <c r="J193" s="65"/>
      <c r="K193" s="66"/>
      <c r="L193" s="67"/>
      <c r="M193" s="64"/>
      <c r="N193" s="68" t="str">
        <f t="shared" si="1"/>
        <v/>
      </c>
      <c r="O193" s="68">
        <f t="shared" si="4"/>
        <v>8.678676667</v>
      </c>
    </row>
    <row r="194">
      <c r="A194" s="64">
        <f t="shared" si="3"/>
        <v>193</v>
      </c>
      <c r="B194" s="64"/>
      <c r="C194" s="64"/>
      <c r="D194" s="64"/>
      <c r="E194" s="64"/>
      <c r="F194" s="64"/>
      <c r="G194" s="64"/>
      <c r="H194" s="65"/>
      <c r="I194" s="65"/>
      <c r="J194" s="65"/>
      <c r="K194" s="66"/>
      <c r="L194" s="67"/>
      <c r="M194" s="64"/>
      <c r="N194" s="68" t="str">
        <f t="shared" si="1"/>
        <v/>
      </c>
      <c r="O194" s="68">
        <f t="shared" si="4"/>
        <v>8.678676667</v>
      </c>
    </row>
    <row r="195">
      <c r="A195" s="64">
        <f t="shared" si="3"/>
        <v>194</v>
      </c>
      <c r="B195" s="64"/>
      <c r="C195" s="64"/>
      <c r="D195" s="64"/>
      <c r="E195" s="64"/>
      <c r="F195" s="64"/>
      <c r="G195" s="64"/>
      <c r="H195" s="65"/>
      <c r="I195" s="65"/>
      <c r="J195" s="65"/>
      <c r="K195" s="66"/>
      <c r="L195" s="67"/>
      <c r="M195" s="64"/>
      <c r="N195" s="68" t="str">
        <f t="shared" si="1"/>
        <v/>
      </c>
      <c r="O195" s="68">
        <f t="shared" si="4"/>
        <v>8.678676667</v>
      </c>
    </row>
    <row r="196">
      <c r="A196" s="64">
        <f t="shared" si="3"/>
        <v>195</v>
      </c>
      <c r="B196" s="64"/>
      <c r="C196" s="64"/>
      <c r="D196" s="64"/>
      <c r="E196" s="64"/>
      <c r="F196" s="64"/>
      <c r="G196" s="64"/>
      <c r="H196" s="65"/>
      <c r="I196" s="65"/>
      <c r="J196" s="65"/>
      <c r="K196" s="66"/>
      <c r="L196" s="67"/>
      <c r="M196" s="64"/>
      <c r="N196" s="68" t="str">
        <f t="shared" si="1"/>
        <v/>
      </c>
      <c r="O196" s="68">
        <f t="shared" si="4"/>
        <v>8.678676667</v>
      </c>
    </row>
    <row r="197">
      <c r="A197" s="64">
        <f t="shared" si="3"/>
        <v>196</v>
      </c>
      <c r="B197" s="64"/>
      <c r="C197" s="64"/>
      <c r="D197" s="64"/>
      <c r="E197" s="64"/>
      <c r="F197" s="64"/>
      <c r="G197" s="64"/>
      <c r="H197" s="65"/>
      <c r="I197" s="65"/>
      <c r="J197" s="65"/>
      <c r="K197" s="66"/>
      <c r="L197" s="67"/>
      <c r="M197" s="64"/>
      <c r="N197" s="68" t="str">
        <f t="shared" si="1"/>
        <v/>
      </c>
      <c r="O197" s="68">
        <f t="shared" si="4"/>
        <v>8.678676667</v>
      </c>
    </row>
    <row r="198">
      <c r="A198" s="64">
        <f t="shared" si="3"/>
        <v>197</v>
      </c>
      <c r="B198" s="64"/>
      <c r="C198" s="64"/>
      <c r="D198" s="64"/>
      <c r="E198" s="64"/>
      <c r="F198" s="64"/>
      <c r="G198" s="64"/>
      <c r="H198" s="65"/>
      <c r="I198" s="65"/>
      <c r="J198" s="65"/>
      <c r="K198" s="66"/>
      <c r="L198" s="67"/>
      <c r="M198" s="64"/>
      <c r="N198" s="68" t="str">
        <f t="shared" si="1"/>
        <v/>
      </c>
      <c r="O198" s="68">
        <f t="shared" si="4"/>
        <v>8.678676667</v>
      </c>
    </row>
    <row r="199">
      <c r="A199" s="64">
        <f t="shared" si="3"/>
        <v>198</v>
      </c>
      <c r="B199" s="64"/>
      <c r="C199" s="64"/>
      <c r="D199" s="64"/>
      <c r="E199" s="64"/>
      <c r="F199" s="64"/>
      <c r="G199" s="64"/>
      <c r="H199" s="65"/>
      <c r="I199" s="65"/>
      <c r="J199" s="65"/>
      <c r="K199" s="66"/>
      <c r="L199" s="67"/>
      <c r="M199" s="64"/>
      <c r="N199" s="68" t="str">
        <f t="shared" si="1"/>
        <v/>
      </c>
      <c r="O199" s="68">
        <f t="shared" si="4"/>
        <v>8.678676667</v>
      </c>
    </row>
    <row r="200">
      <c r="A200" s="64">
        <f t="shared" si="3"/>
        <v>199</v>
      </c>
      <c r="B200" s="64"/>
      <c r="C200" s="64"/>
      <c r="D200" s="64"/>
      <c r="E200" s="64"/>
      <c r="F200" s="64"/>
      <c r="G200" s="64"/>
      <c r="H200" s="65"/>
      <c r="I200" s="65"/>
      <c r="J200" s="65"/>
      <c r="K200" s="66"/>
      <c r="L200" s="67"/>
      <c r="M200" s="64"/>
      <c r="N200" s="68" t="str">
        <f t="shared" si="1"/>
        <v/>
      </c>
      <c r="O200" s="68">
        <f t="shared" si="4"/>
        <v>8.678676667</v>
      </c>
    </row>
    <row r="201">
      <c r="A201" s="64">
        <f t="shared" si="3"/>
        <v>200</v>
      </c>
      <c r="B201" s="64"/>
      <c r="C201" s="64"/>
      <c r="D201" s="64"/>
      <c r="E201" s="64"/>
      <c r="F201" s="64"/>
      <c r="G201" s="64"/>
      <c r="H201" s="65"/>
      <c r="I201" s="65"/>
      <c r="J201" s="65"/>
      <c r="K201" s="66"/>
      <c r="L201" s="67"/>
      <c r="M201" s="64"/>
      <c r="N201" s="68" t="str">
        <f t="shared" si="1"/>
        <v/>
      </c>
      <c r="O201" s="68">
        <f t="shared" si="4"/>
        <v>8.678676667</v>
      </c>
    </row>
    <row r="202">
      <c r="A202" s="64">
        <f t="shared" si="3"/>
        <v>201</v>
      </c>
      <c r="B202" s="64"/>
      <c r="C202" s="64"/>
      <c r="D202" s="64"/>
      <c r="E202" s="64"/>
      <c r="F202" s="64"/>
      <c r="G202" s="64"/>
      <c r="H202" s="65"/>
      <c r="I202" s="65"/>
      <c r="J202" s="65"/>
      <c r="K202" s="66"/>
      <c r="L202" s="67"/>
      <c r="M202" s="64"/>
      <c r="N202" s="68" t="str">
        <f t="shared" si="1"/>
        <v/>
      </c>
      <c r="O202" s="68">
        <f t="shared" si="4"/>
        <v>8.678676667</v>
      </c>
    </row>
    <row r="203">
      <c r="A203" s="64">
        <f t="shared" si="3"/>
        <v>202</v>
      </c>
      <c r="B203" s="64"/>
      <c r="C203" s="64"/>
      <c r="D203" s="64"/>
      <c r="E203" s="64"/>
      <c r="F203" s="64"/>
      <c r="G203" s="64"/>
      <c r="H203" s="65"/>
      <c r="I203" s="65"/>
      <c r="J203" s="65"/>
      <c r="K203" s="66"/>
      <c r="L203" s="67"/>
      <c r="M203" s="64"/>
      <c r="N203" s="68" t="str">
        <f t="shared" si="1"/>
        <v/>
      </c>
      <c r="O203" s="68">
        <f t="shared" si="4"/>
        <v>8.678676667</v>
      </c>
    </row>
    <row r="204">
      <c r="A204" s="64">
        <f t="shared" si="3"/>
        <v>203</v>
      </c>
      <c r="B204" s="64"/>
      <c r="C204" s="64"/>
      <c r="D204" s="64"/>
      <c r="E204" s="64"/>
      <c r="F204" s="64"/>
      <c r="G204" s="64"/>
      <c r="H204" s="65"/>
      <c r="I204" s="65"/>
      <c r="J204" s="65"/>
      <c r="K204" s="66"/>
      <c r="L204" s="67"/>
      <c r="M204" s="64"/>
      <c r="N204" s="68" t="str">
        <f t="shared" si="1"/>
        <v/>
      </c>
      <c r="O204" s="68">
        <f t="shared" si="4"/>
        <v>8.678676667</v>
      </c>
    </row>
    <row r="205">
      <c r="A205" s="64">
        <f t="shared" si="3"/>
        <v>204</v>
      </c>
      <c r="B205" s="64"/>
      <c r="C205" s="64"/>
      <c r="D205" s="64"/>
      <c r="E205" s="64"/>
      <c r="F205" s="64"/>
      <c r="G205" s="64"/>
      <c r="H205" s="65"/>
      <c r="I205" s="65"/>
      <c r="J205" s="65"/>
      <c r="K205" s="66"/>
      <c r="L205" s="67"/>
      <c r="M205" s="64"/>
      <c r="N205" s="68" t="str">
        <f t="shared" si="1"/>
        <v/>
      </c>
      <c r="O205" s="68">
        <f t="shared" si="4"/>
        <v>8.678676667</v>
      </c>
    </row>
    <row r="206">
      <c r="A206" s="64">
        <f t="shared" si="3"/>
        <v>205</v>
      </c>
      <c r="B206" s="64"/>
      <c r="C206" s="64"/>
      <c r="D206" s="64"/>
      <c r="E206" s="64"/>
      <c r="F206" s="64"/>
      <c r="G206" s="64"/>
      <c r="H206" s="65"/>
      <c r="I206" s="65"/>
      <c r="J206" s="65"/>
      <c r="K206" s="66"/>
      <c r="L206" s="67"/>
      <c r="M206" s="64"/>
      <c r="N206" s="68" t="str">
        <f t="shared" si="1"/>
        <v/>
      </c>
      <c r="O206" s="68">
        <f t="shared" si="4"/>
        <v>8.678676667</v>
      </c>
    </row>
    <row r="207">
      <c r="A207" s="64">
        <f t="shared" si="3"/>
        <v>206</v>
      </c>
      <c r="B207" s="64"/>
      <c r="C207" s="64"/>
      <c r="D207" s="64"/>
      <c r="E207" s="64"/>
      <c r="F207" s="64"/>
      <c r="G207" s="64"/>
      <c r="H207" s="65"/>
      <c r="I207" s="65"/>
      <c r="J207" s="65"/>
      <c r="K207" s="66"/>
      <c r="L207" s="67"/>
      <c r="M207" s="64"/>
      <c r="N207" s="68" t="str">
        <f t="shared" si="1"/>
        <v/>
      </c>
      <c r="O207" s="68">
        <f t="shared" si="4"/>
        <v>8.678676667</v>
      </c>
    </row>
    <row r="208">
      <c r="A208" s="64">
        <f t="shared" si="3"/>
        <v>207</v>
      </c>
      <c r="B208" s="64"/>
      <c r="C208" s="64"/>
      <c r="D208" s="64"/>
      <c r="E208" s="64"/>
      <c r="F208" s="64"/>
      <c r="G208" s="64"/>
      <c r="H208" s="65"/>
      <c r="I208" s="65"/>
      <c r="J208" s="65"/>
      <c r="K208" s="66"/>
      <c r="L208" s="67"/>
      <c r="M208" s="64"/>
      <c r="N208" s="68" t="str">
        <f t="shared" si="1"/>
        <v/>
      </c>
      <c r="O208" s="68">
        <f t="shared" si="4"/>
        <v>8.678676667</v>
      </c>
    </row>
    <row r="209">
      <c r="A209" s="64">
        <f t="shared" si="3"/>
        <v>208</v>
      </c>
      <c r="B209" s="64"/>
      <c r="C209" s="64"/>
      <c r="D209" s="64"/>
      <c r="E209" s="64"/>
      <c r="F209" s="64"/>
      <c r="G209" s="64"/>
      <c r="H209" s="65"/>
      <c r="I209" s="65"/>
      <c r="J209" s="65"/>
      <c r="K209" s="66"/>
      <c r="L209" s="67"/>
      <c r="M209" s="64"/>
      <c r="N209" s="68" t="str">
        <f t="shared" si="1"/>
        <v/>
      </c>
      <c r="O209" s="68">
        <f t="shared" si="4"/>
        <v>8.678676667</v>
      </c>
    </row>
    <row r="210">
      <c r="A210" s="64">
        <f t="shared" si="3"/>
        <v>209</v>
      </c>
      <c r="B210" s="64"/>
      <c r="C210" s="64"/>
      <c r="D210" s="64"/>
      <c r="E210" s="64"/>
      <c r="F210" s="64"/>
      <c r="G210" s="64"/>
      <c r="H210" s="65"/>
      <c r="I210" s="65"/>
      <c r="J210" s="65"/>
      <c r="K210" s="66"/>
      <c r="L210" s="67"/>
      <c r="M210" s="64"/>
      <c r="N210" s="68" t="str">
        <f t="shared" si="1"/>
        <v/>
      </c>
      <c r="O210" s="68">
        <f t="shared" si="4"/>
        <v>8.678676667</v>
      </c>
    </row>
    <row r="211">
      <c r="A211" s="64">
        <f t="shared" si="3"/>
        <v>210</v>
      </c>
      <c r="B211" s="64"/>
      <c r="C211" s="64"/>
      <c r="D211" s="64"/>
      <c r="E211" s="64"/>
      <c r="F211" s="64"/>
      <c r="G211" s="64"/>
      <c r="H211" s="65"/>
      <c r="I211" s="65"/>
      <c r="J211" s="65"/>
      <c r="K211" s="66"/>
      <c r="L211" s="67"/>
      <c r="M211" s="64"/>
      <c r="N211" s="68" t="str">
        <f t="shared" si="1"/>
        <v/>
      </c>
      <c r="O211" s="68">
        <f t="shared" si="4"/>
        <v>8.678676667</v>
      </c>
    </row>
    <row r="212">
      <c r="A212" s="64">
        <f t="shared" si="3"/>
        <v>211</v>
      </c>
      <c r="B212" s="64"/>
      <c r="C212" s="64"/>
      <c r="D212" s="64"/>
      <c r="E212" s="64"/>
      <c r="F212" s="64"/>
      <c r="G212" s="64"/>
      <c r="H212" s="65"/>
      <c r="I212" s="65"/>
      <c r="J212" s="65"/>
      <c r="K212" s="66"/>
      <c r="L212" s="67"/>
      <c r="M212" s="64"/>
      <c r="N212" s="68" t="str">
        <f t="shared" si="1"/>
        <v/>
      </c>
      <c r="O212" s="68">
        <f t="shared" si="4"/>
        <v>8.678676667</v>
      </c>
    </row>
    <row r="213">
      <c r="A213" s="64">
        <f t="shared" si="3"/>
        <v>212</v>
      </c>
      <c r="B213" s="64"/>
      <c r="C213" s="64"/>
      <c r="D213" s="64"/>
      <c r="E213" s="64"/>
      <c r="F213" s="64"/>
      <c r="G213" s="64"/>
      <c r="H213" s="65"/>
      <c r="I213" s="65"/>
      <c r="J213" s="65"/>
      <c r="K213" s="66"/>
      <c r="L213" s="64"/>
      <c r="M213" s="64"/>
      <c r="N213" s="68" t="str">
        <f t="shared" si="1"/>
        <v/>
      </c>
      <c r="O213" s="68">
        <f t="shared" si="4"/>
        <v>8.678676667</v>
      </c>
    </row>
    <row r="214">
      <c r="A214" s="64">
        <f t="shared" si="3"/>
        <v>213</v>
      </c>
      <c r="B214" s="64"/>
      <c r="C214" s="64"/>
      <c r="D214" s="64"/>
      <c r="E214" s="64"/>
      <c r="F214" s="64"/>
      <c r="G214" s="64"/>
      <c r="H214" s="65"/>
      <c r="I214" s="65"/>
      <c r="J214" s="65"/>
      <c r="K214" s="66"/>
      <c r="L214" s="64"/>
      <c r="M214" s="64"/>
      <c r="N214" s="68" t="str">
        <f t="shared" si="1"/>
        <v/>
      </c>
      <c r="O214" s="68">
        <f t="shared" si="4"/>
        <v>8.678676667</v>
      </c>
    </row>
    <row r="215">
      <c r="A215" s="64">
        <f t="shared" si="3"/>
        <v>214</v>
      </c>
      <c r="B215" s="64"/>
      <c r="C215" s="64"/>
      <c r="D215" s="64"/>
      <c r="E215" s="64"/>
      <c r="F215" s="64"/>
      <c r="G215" s="64"/>
      <c r="H215" s="65"/>
      <c r="I215" s="65"/>
      <c r="J215" s="65"/>
      <c r="K215" s="66"/>
      <c r="L215" s="64"/>
      <c r="M215" s="64"/>
      <c r="N215" s="68" t="str">
        <f t="shared" si="1"/>
        <v/>
      </c>
      <c r="O215" s="68">
        <f t="shared" si="4"/>
        <v>8.678676667</v>
      </c>
    </row>
    <row r="216">
      <c r="A216" s="64">
        <f t="shared" si="3"/>
        <v>215</v>
      </c>
      <c r="B216" s="64"/>
      <c r="C216" s="64"/>
      <c r="D216" s="64"/>
      <c r="E216" s="64"/>
      <c r="F216" s="64"/>
      <c r="G216" s="64"/>
      <c r="H216" s="65"/>
      <c r="I216" s="65"/>
      <c r="J216" s="65"/>
      <c r="K216" s="66"/>
      <c r="L216" s="64"/>
      <c r="M216" s="64"/>
      <c r="N216" s="68" t="str">
        <f t="shared" si="1"/>
        <v/>
      </c>
      <c r="O216" s="68">
        <f t="shared" si="4"/>
        <v>8.678676667</v>
      </c>
    </row>
    <row r="217">
      <c r="A217" s="64">
        <f t="shared" si="3"/>
        <v>216</v>
      </c>
      <c r="B217" s="64"/>
      <c r="C217" s="64"/>
      <c r="D217" s="64"/>
      <c r="E217" s="64"/>
      <c r="F217" s="64"/>
      <c r="G217" s="64"/>
      <c r="H217" s="65"/>
      <c r="I217" s="65"/>
      <c r="J217" s="65"/>
      <c r="K217" s="66"/>
      <c r="L217" s="64"/>
      <c r="M217" s="64"/>
      <c r="N217" s="68" t="str">
        <f t="shared" si="1"/>
        <v/>
      </c>
      <c r="O217" s="68">
        <f t="shared" si="4"/>
        <v>8.678676667</v>
      </c>
    </row>
    <row r="218">
      <c r="A218" s="64">
        <f t="shared" si="3"/>
        <v>217</v>
      </c>
      <c r="B218" s="64"/>
      <c r="C218" s="64"/>
      <c r="D218" s="64"/>
      <c r="E218" s="64"/>
      <c r="F218" s="64"/>
      <c r="G218" s="64"/>
      <c r="H218" s="65"/>
      <c r="I218" s="65"/>
      <c r="J218" s="65"/>
      <c r="K218" s="66"/>
      <c r="L218" s="64"/>
      <c r="M218" s="64"/>
      <c r="N218" s="68" t="str">
        <f t="shared" si="1"/>
        <v/>
      </c>
      <c r="O218" s="68">
        <f t="shared" si="4"/>
        <v>8.678676667</v>
      </c>
    </row>
    <row r="219">
      <c r="A219" s="64">
        <f t="shared" si="3"/>
        <v>218</v>
      </c>
      <c r="B219" s="64"/>
      <c r="C219" s="64"/>
      <c r="D219" s="64"/>
      <c r="E219" s="64"/>
      <c r="F219" s="64"/>
      <c r="G219" s="64"/>
      <c r="H219" s="65"/>
      <c r="I219" s="65"/>
      <c r="J219" s="65"/>
      <c r="K219" s="66"/>
      <c r="L219" s="64"/>
      <c r="M219" s="64"/>
      <c r="N219" s="68" t="str">
        <f t="shared" si="1"/>
        <v/>
      </c>
      <c r="O219" s="68">
        <f t="shared" si="4"/>
        <v>8.678676667</v>
      </c>
    </row>
    <row r="220">
      <c r="A220" s="64">
        <f t="shared" si="3"/>
        <v>219</v>
      </c>
      <c r="B220" s="64"/>
      <c r="C220" s="64"/>
      <c r="D220" s="64"/>
      <c r="E220" s="64"/>
      <c r="F220" s="64"/>
      <c r="G220" s="64"/>
      <c r="H220" s="65"/>
      <c r="I220" s="65"/>
      <c r="J220" s="65"/>
      <c r="K220" s="66"/>
      <c r="L220" s="64"/>
      <c r="M220" s="64"/>
      <c r="N220" s="68" t="str">
        <f t="shared" si="1"/>
        <v/>
      </c>
      <c r="O220" s="68">
        <f t="shared" si="4"/>
        <v>8.678676667</v>
      </c>
    </row>
    <row r="221">
      <c r="A221" s="64">
        <f t="shared" si="3"/>
        <v>220</v>
      </c>
      <c r="B221" s="64"/>
      <c r="C221" s="64"/>
      <c r="D221" s="64"/>
      <c r="E221" s="64"/>
      <c r="F221" s="64"/>
      <c r="G221" s="64"/>
      <c r="H221" s="65"/>
      <c r="I221" s="65"/>
      <c r="J221" s="65"/>
      <c r="K221" s="66"/>
      <c r="L221" s="64"/>
      <c r="M221" s="64"/>
      <c r="N221" s="68" t="str">
        <f t="shared" si="1"/>
        <v/>
      </c>
      <c r="O221" s="68">
        <f t="shared" si="4"/>
        <v>8.678676667</v>
      </c>
    </row>
    <row r="222">
      <c r="A222" s="64">
        <f t="shared" si="3"/>
        <v>221</v>
      </c>
      <c r="B222" s="64"/>
      <c r="C222" s="64"/>
      <c r="D222" s="64"/>
      <c r="E222" s="64"/>
      <c r="F222" s="64"/>
      <c r="G222" s="64"/>
      <c r="H222" s="65"/>
      <c r="I222" s="65"/>
      <c r="J222" s="65"/>
      <c r="K222" s="66"/>
      <c r="L222" s="64"/>
      <c r="M222" s="64"/>
      <c r="N222" s="68" t="str">
        <f t="shared" si="1"/>
        <v/>
      </c>
      <c r="O222" s="68">
        <f t="shared" si="4"/>
        <v>8.678676667</v>
      </c>
    </row>
    <row r="223">
      <c r="A223" s="64">
        <f t="shared" si="3"/>
        <v>222</v>
      </c>
      <c r="B223" s="64"/>
      <c r="C223" s="64"/>
      <c r="D223" s="64"/>
      <c r="E223" s="64"/>
      <c r="F223" s="64"/>
      <c r="G223" s="64"/>
      <c r="H223" s="65"/>
      <c r="I223" s="65"/>
      <c r="J223" s="65"/>
      <c r="K223" s="66"/>
      <c r="L223" s="64"/>
      <c r="M223" s="64"/>
      <c r="N223" s="68" t="str">
        <f t="shared" si="1"/>
        <v/>
      </c>
      <c r="O223" s="68">
        <f t="shared" si="4"/>
        <v>8.678676667</v>
      </c>
    </row>
    <row r="224">
      <c r="A224" s="64">
        <f t="shared" si="3"/>
        <v>223</v>
      </c>
      <c r="B224" s="64"/>
      <c r="C224" s="64"/>
      <c r="D224" s="64"/>
      <c r="E224" s="64"/>
      <c r="F224" s="64"/>
      <c r="G224" s="64"/>
      <c r="H224" s="65"/>
      <c r="I224" s="65"/>
      <c r="J224" s="65"/>
      <c r="K224" s="66"/>
      <c r="L224" s="64"/>
      <c r="M224" s="64"/>
      <c r="N224" s="68" t="str">
        <f t="shared" si="1"/>
        <v/>
      </c>
      <c r="O224" s="68">
        <f t="shared" si="4"/>
        <v>8.678676667</v>
      </c>
    </row>
    <row r="225">
      <c r="A225" s="64">
        <f t="shared" si="3"/>
        <v>224</v>
      </c>
      <c r="B225" s="64"/>
      <c r="C225" s="64"/>
      <c r="D225" s="64"/>
      <c r="E225" s="64"/>
      <c r="F225" s="64"/>
      <c r="G225" s="64"/>
      <c r="H225" s="65"/>
      <c r="I225" s="65"/>
      <c r="J225" s="65"/>
      <c r="K225" s="66"/>
      <c r="L225" s="64"/>
      <c r="M225" s="64"/>
      <c r="N225" s="68" t="str">
        <f t="shared" si="1"/>
        <v/>
      </c>
      <c r="O225" s="68">
        <f t="shared" si="4"/>
        <v>8.678676667</v>
      </c>
    </row>
    <row r="226">
      <c r="A226" s="64">
        <f t="shared" si="3"/>
        <v>225</v>
      </c>
      <c r="B226" s="64"/>
      <c r="C226" s="64"/>
      <c r="D226" s="64"/>
      <c r="E226" s="64"/>
      <c r="F226" s="64"/>
      <c r="G226" s="64"/>
      <c r="H226" s="65"/>
      <c r="I226" s="65"/>
      <c r="J226" s="65"/>
      <c r="K226" s="66"/>
      <c r="L226" s="64"/>
      <c r="M226" s="64"/>
      <c r="N226" s="68" t="str">
        <f t="shared" si="1"/>
        <v/>
      </c>
      <c r="O226" s="68">
        <f t="shared" si="4"/>
        <v>8.678676667</v>
      </c>
    </row>
    <row r="227">
      <c r="A227" s="64">
        <f t="shared" si="3"/>
        <v>226</v>
      </c>
      <c r="B227" s="64"/>
      <c r="C227" s="64"/>
      <c r="D227" s="64"/>
      <c r="E227" s="64"/>
      <c r="F227" s="64"/>
      <c r="G227" s="64"/>
      <c r="H227" s="65"/>
      <c r="I227" s="65"/>
      <c r="J227" s="65"/>
      <c r="K227" s="66"/>
      <c r="L227" s="64"/>
      <c r="M227" s="64"/>
      <c r="N227" s="68" t="str">
        <f t="shared" si="1"/>
        <v/>
      </c>
      <c r="O227" s="68">
        <f t="shared" si="4"/>
        <v>8.678676667</v>
      </c>
    </row>
    <row r="228">
      <c r="A228" s="64">
        <f t="shared" si="3"/>
        <v>227</v>
      </c>
      <c r="B228" s="64"/>
      <c r="C228" s="64"/>
      <c r="D228" s="64"/>
      <c r="E228" s="64"/>
      <c r="F228" s="64"/>
      <c r="G228" s="64"/>
      <c r="H228" s="65"/>
      <c r="I228" s="65"/>
      <c r="J228" s="65"/>
      <c r="K228" s="66"/>
      <c r="L228" s="64"/>
      <c r="M228" s="64"/>
      <c r="N228" s="68" t="str">
        <f t="shared" si="1"/>
        <v/>
      </c>
      <c r="O228" s="68">
        <f t="shared" si="4"/>
        <v>8.678676667</v>
      </c>
    </row>
    <row r="229">
      <c r="A229" s="64">
        <f t="shared" si="3"/>
        <v>228</v>
      </c>
      <c r="B229" s="64"/>
      <c r="C229" s="64"/>
      <c r="D229" s="64"/>
      <c r="E229" s="64"/>
      <c r="F229" s="64"/>
      <c r="G229" s="64"/>
      <c r="H229" s="65"/>
      <c r="I229" s="65"/>
      <c r="J229" s="65"/>
      <c r="K229" s="66"/>
      <c r="L229" s="64"/>
      <c r="M229" s="64"/>
      <c r="N229" s="68" t="str">
        <f t="shared" si="1"/>
        <v/>
      </c>
      <c r="O229" s="68">
        <f t="shared" si="4"/>
        <v>8.678676667</v>
      </c>
    </row>
    <row r="230">
      <c r="A230" s="64">
        <f t="shared" si="3"/>
        <v>229</v>
      </c>
      <c r="B230" s="64"/>
      <c r="C230" s="64"/>
      <c r="D230" s="64"/>
      <c r="E230" s="64"/>
      <c r="F230" s="64"/>
      <c r="G230" s="64"/>
      <c r="H230" s="65"/>
      <c r="I230" s="65"/>
      <c r="J230" s="65"/>
      <c r="K230" s="66"/>
      <c r="L230" s="64"/>
      <c r="M230" s="64"/>
      <c r="N230" s="68" t="str">
        <f t="shared" si="1"/>
        <v/>
      </c>
      <c r="O230" s="68">
        <f t="shared" si="4"/>
        <v>8.678676667</v>
      </c>
    </row>
    <row r="231">
      <c r="A231" s="64">
        <f t="shared" si="3"/>
        <v>230</v>
      </c>
      <c r="B231" s="64"/>
      <c r="C231" s="64"/>
      <c r="D231" s="64"/>
      <c r="E231" s="64"/>
      <c r="F231" s="64"/>
      <c r="G231" s="64"/>
      <c r="H231" s="65"/>
      <c r="I231" s="65"/>
      <c r="J231" s="65"/>
      <c r="K231" s="66"/>
      <c r="L231" s="64"/>
      <c r="M231" s="64"/>
      <c r="N231" s="68" t="str">
        <f t="shared" si="1"/>
        <v/>
      </c>
      <c r="O231" s="68">
        <f t="shared" si="4"/>
        <v>8.678676667</v>
      </c>
    </row>
    <row r="232">
      <c r="A232" s="64">
        <f t="shared" si="3"/>
        <v>231</v>
      </c>
      <c r="B232" s="64"/>
      <c r="C232" s="64"/>
      <c r="D232" s="64"/>
      <c r="E232" s="64"/>
      <c r="F232" s="64"/>
      <c r="G232" s="64"/>
      <c r="H232" s="65"/>
      <c r="I232" s="65"/>
      <c r="J232" s="65"/>
      <c r="K232" s="66"/>
      <c r="L232" s="64"/>
      <c r="M232" s="64"/>
      <c r="N232" s="68" t="str">
        <f t="shared" si="1"/>
        <v/>
      </c>
      <c r="O232" s="68">
        <f t="shared" si="4"/>
        <v>8.678676667</v>
      </c>
    </row>
    <row r="233">
      <c r="A233" s="64">
        <f t="shared" si="3"/>
        <v>232</v>
      </c>
      <c r="B233" s="64"/>
      <c r="C233" s="64"/>
      <c r="D233" s="64"/>
      <c r="E233" s="64"/>
      <c r="F233" s="64"/>
      <c r="G233" s="64"/>
      <c r="H233" s="65"/>
      <c r="I233" s="65"/>
      <c r="J233" s="65"/>
      <c r="K233" s="66"/>
      <c r="L233" s="64"/>
      <c r="M233" s="64"/>
      <c r="N233" s="68" t="str">
        <f t="shared" si="1"/>
        <v/>
      </c>
      <c r="O233" s="68">
        <f t="shared" si="4"/>
        <v>8.678676667</v>
      </c>
    </row>
    <row r="234">
      <c r="A234" s="64">
        <f t="shared" si="3"/>
        <v>233</v>
      </c>
      <c r="B234" s="64"/>
      <c r="C234" s="64"/>
      <c r="D234" s="64"/>
      <c r="E234" s="64"/>
      <c r="F234" s="64"/>
      <c r="G234" s="64"/>
      <c r="H234" s="65"/>
      <c r="I234" s="65"/>
      <c r="J234" s="65"/>
      <c r="K234" s="66"/>
      <c r="L234" s="64"/>
      <c r="M234" s="64"/>
      <c r="N234" s="68" t="str">
        <f t="shared" si="1"/>
        <v/>
      </c>
      <c r="O234" s="68">
        <f t="shared" si="4"/>
        <v>8.678676667</v>
      </c>
    </row>
    <row r="235">
      <c r="A235" s="64">
        <f t="shared" si="3"/>
        <v>234</v>
      </c>
      <c r="B235" s="64"/>
      <c r="C235" s="64"/>
      <c r="D235" s="64"/>
      <c r="E235" s="64"/>
      <c r="F235" s="64"/>
      <c r="G235" s="64"/>
      <c r="H235" s="65"/>
      <c r="I235" s="65"/>
      <c r="J235" s="65"/>
      <c r="K235" s="66"/>
      <c r="L235" s="64"/>
      <c r="M235" s="64"/>
      <c r="N235" s="68" t="str">
        <f t="shared" si="1"/>
        <v/>
      </c>
      <c r="O235" s="68">
        <f t="shared" si="4"/>
        <v>8.678676667</v>
      </c>
    </row>
    <row r="236">
      <c r="A236" s="64">
        <f t="shared" si="3"/>
        <v>235</v>
      </c>
      <c r="B236" s="64"/>
      <c r="C236" s="64"/>
      <c r="D236" s="64"/>
      <c r="E236" s="64"/>
      <c r="F236" s="64"/>
      <c r="G236" s="64"/>
      <c r="H236" s="65"/>
      <c r="I236" s="65"/>
      <c r="J236" s="65"/>
      <c r="K236" s="66"/>
      <c r="L236" s="64"/>
      <c r="M236" s="64"/>
      <c r="N236" s="68" t="str">
        <f t="shared" si="1"/>
        <v/>
      </c>
      <c r="O236" s="68">
        <f t="shared" si="4"/>
        <v>8.678676667</v>
      </c>
    </row>
    <row r="237">
      <c r="A237" s="64">
        <f t="shared" si="3"/>
        <v>236</v>
      </c>
      <c r="B237" s="64"/>
      <c r="C237" s="64"/>
      <c r="D237" s="64"/>
      <c r="E237" s="64"/>
      <c r="F237" s="64"/>
      <c r="G237" s="64"/>
      <c r="H237" s="65"/>
      <c r="I237" s="65"/>
      <c r="J237" s="65"/>
      <c r="K237" s="66"/>
      <c r="L237" s="64"/>
      <c r="M237" s="64"/>
      <c r="N237" s="68" t="str">
        <f t="shared" si="1"/>
        <v/>
      </c>
      <c r="O237" s="68">
        <f t="shared" si="4"/>
        <v>8.678676667</v>
      </c>
    </row>
    <row r="238">
      <c r="A238" s="64">
        <f t="shared" si="3"/>
        <v>237</v>
      </c>
      <c r="B238" s="64"/>
      <c r="C238" s="64"/>
      <c r="D238" s="64"/>
      <c r="E238" s="64"/>
      <c r="F238" s="64"/>
      <c r="G238" s="64"/>
      <c r="H238" s="65"/>
      <c r="I238" s="65"/>
      <c r="J238" s="65"/>
      <c r="K238" s="66"/>
      <c r="L238" s="64"/>
      <c r="M238" s="64"/>
      <c r="N238" s="68" t="str">
        <f t="shared" si="1"/>
        <v/>
      </c>
      <c r="O238" s="68">
        <f t="shared" si="4"/>
        <v>8.678676667</v>
      </c>
    </row>
    <row r="239">
      <c r="A239" s="64">
        <f t="shared" si="3"/>
        <v>238</v>
      </c>
      <c r="B239" s="64"/>
      <c r="C239" s="64"/>
      <c r="D239" s="64"/>
      <c r="E239" s="64"/>
      <c r="F239" s="64"/>
      <c r="G239" s="64"/>
      <c r="H239" s="65"/>
      <c r="I239" s="65"/>
      <c r="J239" s="65"/>
      <c r="K239" s="66"/>
      <c r="L239" s="64"/>
      <c r="M239" s="64"/>
      <c r="N239" s="68" t="str">
        <f t="shared" si="1"/>
        <v/>
      </c>
      <c r="O239" s="68">
        <f t="shared" si="4"/>
        <v>8.678676667</v>
      </c>
    </row>
    <row r="240">
      <c r="A240" s="64">
        <f t="shared" si="3"/>
        <v>239</v>
      </c>
      <c r="B240" s="64"/>
      <c r="C240" s="64"/>
      <c r="D240" s="64"/>
      <c r="E240" s="64"/>
      <c r="F240" s="64"/>
      <c r="G240" s="64"/>
      <c r="H240" s="65"/>
      <c r="I240" s="65"/>
      <c r="J240" s="65"/>
      <c r="K240" s="66"/>
      <c r="L240" s="64"/>
      <c r="M240" s="64"/>
      <c r="N240" s="68" t="str">
        <f t="shared" si="1"/>
        <v/>
      </c>
      <c r="O240" s="68">
        <f t="shared" si="4"/>
        <v>8.678676667</v>
      </c>
    </row>
    <row r="241">
      <c r="A241" s="64">
        <f t="shared" si="3"/>
        <v>240</v>
      </c>
      <c r="B241" s="64"/>
      <c r="C241" s="64"/>
      <c r="D241" s="64"/>
      <c r="E241" s="64"/>
      <c r="F241" s="64"/>
      <c r="G241" s="64"/>
      <c r="H241" s="65"/>
      <c r="I241" s="65"/>
      <c r="J241" s="65"/>
      <c r="K241" s="66"/>
      <c r="L241" s="64"/>
      <c r="M241" s="64"/>
      <c r="N241" s="68" t="str">
        <f t="shared" si="1"/>
        <v/>
      </c>
      <c r="O241" s="68">
        <f t="shared" si="4"/>
        <v>8.678676667</v>
      </c>
    </row>
    <row r="242">
      <c r="A242" s="64">
        <f t="shared" si="3"/>
        <v>241</v>
      </c>
      <c r="B242" s="64"/>
      <c r="C242" s="64"/>
      <c r="D242" s="64"/>
      <c r="E242" s="64"/>
      <c r="F242" s="64"/>
      <c r="G242" s="64"/>
      <c r="H242" s="65"/>
      <c r="I242" s="65"/>
      <c r="J242" s="65"/>
      <c r="K242" s="66"/>
      <c r="L242" s="64"/>
      <c r="M242" s="64"/>
      <c r="N242" s="68" t="str">
        <f t="shared" si="1"/>
        <v/>
      </c>
      <c r="O242" s="68">
        <f t="shared" si="4"/>
        <v>8.678676667</v>
      </c>
    </row>
    <row r="243">
      <c r="A243" s="64">
        <f t="shared" si="3"/>
        <v>242</v>
      </c>
      <c r="B243" s="64"/>
      <c r="C243" s="64"/>
      <c r="D243" s="64"/>
      <c r="E243" s="64"/>
      <c r="F243" s="64"/>
      <c r="G243" s="64"/>
      <c r="H243" s="65"/>
      <c r="I243" s="65"/>
      <c r="J243" s="65"/>
      <c r="K243" s="66"/>
      <c r="L243" s="64"/>
      <c r="M243" s="64"/>
      <c r="N243" s="68" t="str">
        <f t="shared" si="1"/>
        <v/>
      </c>
      <c r="O243" s="68">
        <f t="shared" si="4"/>
        <v>8.678676667</v>
      </c>
    </row>
    <row r="244">
      <c r="A244" s="64">
        <f t="shared" si="3"/>
        <v>243</v>
      </c>
      <c r="B244" s="64"/>
      <c r="C244" s="64"/>
      <c r="D244" s="64"/>
      <c r="E244" s="64"/>
      <c r="F244" s="64"/>
      <c r="G244" s="64"/>
      <c r="H244" s="65"/>
      <c r="I244" s="65"/>
      <c r="J244" s="65"/>
      <c r="K244" s="66"/>
      <c r="L244" s="64"/>
      <c r="M244" s="64"/>
      <c r="N244" s="68" t="str">
        <f t="shared" si="1"/>
        <v/>
      </c>
      <c r="O244" s="68">
        <f t="shared" si="4"/>
        <v>8.678676667</v>
      </c>
    </row>
    <row r="245">
      <c r="A245" s="64">
        <f t="shared" si="3"/>
        <v>244</v>
      </c>
      <c r="B245" s="64"/>
      <c r="C245" s="64"/>
      <c r="D245" s="64"/>
      <c r="E245" s="64"/>
      <c r="F245" s="64"/>
      <c r="G245" s="64"/>
      <c r="H245" s="65"/>
      <c r="I245" s="65"/>
      <c r="J245" s="65"/>
      <c r="K245" s="66"/>
      <c r="L245" s="64"/>
      <c r="M245" s="64"/>
      <c r="N245" s="68" t="str">
        <f t="shared" si="1"/>
        <v/>
      </c>
      <c r="O245" s="68">
        <f t="shared" si="4"/>
        <v>8.678676667</v>
      </c>
    </row>
    <row r="246">
      <c r="A246" s="64">
        <f t="shared" si="3"/>
        <v>245</v>
      </c>
      <c r="B246" s="64"/>
      <c r="C246" s="64"/>
      <c r="D246" s="64"/>
      <c r="E246" s="64"/>
      <c r="F246" s="64"/>
      <c r="G246" s="64"/>
      <c r="H246" s="65"/>
      <c r="I246" s="65"/>
      <c r="J246" s="65"/>
      <c r="K246" s="66"/>
      <c r="L246" s="64"/>
      <c r="M246" s="64"/>
      <c r="N246" s="68" t="str">
        <f t="shared" si="1"/>
        <v/>
      </c>
      <c r="O246" s="68">
        <f t="shared" si="4"/>
        <v>8.678676667</v>
      </c>
    </row>
    <row r="247">
      <c r="A247" s="64">
        <f t="shared" si="3"/>
        <v>246</v>
      </c>
      <c r="B247" s="64"/>
      <c r="C247" s="64"/>
      <c r="D247" s="64"/>
      <c r="E247" s="64"/>
      <c r="F247" s="64"/>
      <c r="G247" s="64"/>
      <c r="H247" s="65"/>
      <c r="I247" s="65"/>
      <c r="J247" s="65"/>
      <c r="K247" s="66"/>
      <c r="L247" s="64"/>
      <c r="M247" s="64"/>
      <c r="N247" s="68" t="str">
        <f t="shared" si="1"/>
        <v/>
      </c>
      <c r="O247" s="68">
        <f t="shared" si="4"/>
        <v>8.678676667</v>
      </c>
    </row>
    <row r="248">
      <c r="A248" s="64">
        <f t="shared" si="3"/>
        <v>247</v>
      </c>
      <c r="B248" s="64"/>
      <c r="C248" s="64"/>
      <c r="D248" s="64"/>
      <c r="E248" s="64"/>
      <c r="F248" s="64"/>
      <c r="G248" s="64"/>
      <c r="H248" s="65"/>
      <c r="I248" s="65"/>
      <c r="J248" s="65"/>
      <c r="K248" s="66"/>
      <c r="L248" s="64"/>
      <c r="M248" s="64"/>
      <c r="N248" s="68" t="str">
        <f t="shared" si="1"/>
        <v/>
      </c>
      <c r="O248" s="68">
        <f t="shared" si="4"/>
        <v>8.678676667</v>
      </c>
    </row>
    <row r="249">
      <c r="A249" s="64">
        <f t="shared" si="3"/>
        <v>248</v>
      </c>
      <c r="B249" s="64"/>
      <c r="C249" s="64"/>
      <c r="D249" s="64"/>
      <c r="E249" s="64"/>
      <c r="F249" s="64"/>
      <c r="G249" s="64"/>
      <c r="H249" s="65"/>
      <c r="I249" s="65"/>
      <c r="J249" s="65"/>
      <c r="K249" s="66"/>
      <c r="L249" s="64"/>
      <c r="M249" s="64"/>
      <c r="N249" s="68" t="str">
        <f t="shared" si="1"/>
        <v/>
      </c>
      <c r="O249" s="68">
        <f t="shared" si="4"/>
        <v>8.678676667</v>
      </c>
    </row>
    <row r="250">
      <c r="A250" s="64">
        <f t="shared" si="3"/>
        <v>249</v>
      </c>
      <c r="B250" s="64"/>
      <c r="C250" s="64"/>
      <c r="D250" s="64"/>
      <c r="E250" s="64"/>
      <c r="F250" s="64"/>
      <c r="G250" s="64"/>
      <c r="H250" s="65"/>
      <c r="I250" s="65"/>
      <c r="J250" s="65"/>
      <c r="K250" s="66"/>
      <c r="L250" s="64"/>
      <c r="M250" s="64"/>
      <c r="N250" s="68" t="str">
        <f t="shared" si="1"/>
        <v/>
      </c>
      <c r="O250" s="68">
        <f t="shared" si="4"/>
        <v>8.678676667</v>
      </c>
    </row>
    <row r="251">
      <c r="A251" s="64">
        <f t="shared" si="3"/>
        <v>250</v>
      </c>
      <c r="B251" s="64"/>
      <c r="C251" s="64"/>
      <c r="D251" s="64"/>
      <c r="E251" s="64"/>
      <c r="F251" s="64"/>
      <c r="G251" s="64"/>
      <c r="H251" s="65"/>
      <c r="I251" s="65"/>
      <c r="J251" s="65"/>
      <c r="K251" s="66"/>
      <c r="L251" s="64"/>
      <c r="M251" s="64"/>
      <c r="N251" s="68" t="str">
        <f t="shared" si="1"/>
        <v/>
      </c>
      <c r="O251" s="68">
        <f t="shared" si="4"/>
        <v>8.678676667</v>
      </c>
    </row>
    <row r="252">
      <c r="A252" s="64">
        <f t="shared" si="3"/>
        <v>251</v>
      </c>
      <c r="B252" s="64"/>
      <c r="C252" s="64"/>
      <c r="D252" s="64"/>
      <c r="E252" s="64"/>
      <c r="F252" s="64"/>
      <c r="G252" s="64"/>
      <c r="H252" s="65"/>
      <c r="I252" s="65"/>
      <c r="J252" s="65"/>
      <c r="K252" s="66"/>
      <c r="L252" s="64"/>
      <c r="M252" s="64"/>
      <c r="N252" s="68" t="str">
        <f t="shared" si="1"/>
        <v/>
      </c>
      <c r="O252" s="68">
        <f t="shared" si="4"/>
        <v>8.678676667</v>
      </c>
    </row>
    <row r="253">
      <c r="A253" s="64">
        <f t="shared" si="3"/>
        <v>252</v>
      </c>
      <c r="B253" s="64"/>
      <c r="C253" s="64"/>
      <c r="D253" s="64"/>
      <c r="E253" s="64"/>
      <c r="F253" s="64"/>
      <c r="G253" s="64"/>
      <c r="H253" s="65"/>
      <c r="I253" s="65"/>
      <c r="J253" s="65"/>
      <c r="K253" s="66"/>
      <c r="L253" s="64"/>
      <c r="M253" s="64"/>
      <c r="N253" s="68" t="str">
        <f t="shared" si="1"/>
        <v/>
      </c>
      <c r="O253" s="68">
        <f t="shared" si="4"/>
        <v>8.678676667</v>
      </c>
    </row>
    <row r="254">
      <c r="A254" s="64">
        <f t="shared" si="3"/>
        <v>253</v>
      </c>
      <c r="B254" s="64"/>
      <c r="C254" s="64"/>
      <c r="D254" s="64"/>
      <c r="E254" s="64"/>
      <c r="F254" s="64"/>
      <c r="G254" s="64"/>
      <c r="H254" s="65"/>
      <c r="I254" s="65"/>
      <c r="J254" s="65"/>
      <c r="K254" s="66"/>
      <c r="L254" s="64"/>
      <c r="M254" s="64"/>
      <c r="N254" s="68" t="str">
        <f t="shared" si="1"/>
        <v/>
      </c>
      <c r="O254" s="68">
        <f t="shared" si="4"/>
        <v>8.678676667</v>
      </c>
    </row>
    <row r="255">
      <c r="A255" s="64">
        <f t="shared" si="3"/>
        <v>254</v>
      </c>
      <c r="B255" s="64"/>
      <c r="C255" s="64"/>
      <c r="D255" s="64"/>
      <c r="E255" s="64"/>
      <c r="F255" s="64"/>
      <c r="G255" s="64"/>
      <c r="H255" s="65"/>
      <c r="I255" s="65"/>
      <c r="J255" s="65"/>
      <c r="K255" s="66"/>
      <c r="L255" s="64"/>
      <c r="M255" s="64"/>
      <c r="N255" s="68" t="str">
        <f t="shared" si="1"/>
        <v/>
      </c>
      <c r="O255" s="68">
        <f t="shared" si="4"/>
        <v>8.678676667</v>
      </c>
    </row>
    <row r="256">
      <c r="A256" s="64">
        <f t="shared" si="3"/>
        <v>255</v>
      </c>
      <c r="B256" s="64"/>
      <c r="C256" s="64"/>
      <c r="D256" s="64"/>
      <c r="E256" s="64"/>
      <c r="F256" s="64"/>
      <c r="G256" s="64"/>
      <c r="H256" s="65"/>
      <c r="I256" s="65"/>
      <c r="J256" s="65"/>
      <c r="K256" s="66"/>
      <c r="L256" s="64"/>
      <c r="M256" s="64"/>
      <c r="N256" s="68" t="str">
        <f t="shared" si="1"/>
        <v/>
      </c>
      <c r="O256" s="68">
        <f t="shared" si="4"/>
        <v>8.678676667</v>
      </c>
    </row>
    <row r="257">
      <c r="A257" s="64">
        <f t="shared" si="3"/>
        <v>256</v>
      </c>
      <c r="B257" s="64"/>
      <c r="C257" s="64"/>
      <c r="D257" s="64"/>
      <c r="E257" s="64"/>
      <c r="F257" s="64"/>
      <c r="G257" s="64"/>
      <c r="H257" s="65"/>
      <c r="I257" s="65"/>
      <c r="J257" s="65"/>
      <c r="K257" s="66"/>
      <c r="L257" s="64"/>
      <c r="M257" s="64"/>
      <c r="N257" s="68" t="str">
        <f t="shared" si="1"/>
        <v/>
      </c>
      <c r="O257" s="68">
        <f t="shared" si="4"/>
        <v>8.678676667</v>
      </c>
    </row>
    <row r="258">
      <c r="A258" s="64">
        <f t="shared" si="3"/>
        <v>257</v>
      </c>
      <c r="B258" s="64"/>
      <c r="C258" s="64"/>
      <c r="D258" s="64"/>
      <c r="E258" s="64"/>
      <c r="F258" s="64"/>
      <c r="G258" s="64"/>
      <c r="H258" s="65"/>
      <c r="I258" s="65"/>
      <c r="J258" s="65"/>
      <c r="K258" s="66"/>
      <c r="L258" s="64"/>
      <c r="M258" s="64"/>
      <c r="N258" s="68" t="str">
        <f t="shared" si="1"/>
        <v/>
      </c>
      <c r="O258" s="68">
        <f t="shared" si="4"/>
        <v>8.678676667</v>
      </c>
    </row>
    <row r="259">
      <c r="A259" s="64">
        <f t="shared" si="3"/>
        <v>258</v>
      </c>
      <c r="B259" s="64"/>
      <c r="C259" s="64"/>
      <c r="D259" s="64"/>
      <c r="E259" s="64"/>
      <c r="F259" s="64"/>
      <c r="G259" s="64"/>
      <c r="H259" s="65"/>
      <c r="I259" s="65"/>
      <c r="J259" s="65"/>
      <c r="K259" s="66"/>
      <c r="L259" s="64"/>
      <c r="M259" s="64"/>
      <c r="N259" s="68" t="str">
        <f t="shared" si="1"/>
        <v/>
      </c>
      <c r="O259" s="68">
        <f t="shared" si="4"/>
        <v>8.678676667</v>
      </c>
    </row>
    <row r="260">
      <c r="A260" s="64">
        <f t="shared" si="3"/>
        <v>259</v>
      </c>
      <c r="B260" s="64"/>
      <c r="C260" s="64"/>
      <c r="D260" s="64"/>
      <c r="E260" s="64"/>
      <c r="F260" s="64"/>
      <c r="G260" s="64"/>
      <c r="H260" s="65"/>
      <c r="I260" s="65"/>
      <c r="J260" s="65"/>
      <c r="K260" s="66"/>
      <c r="L260" s="64"/>
      <c r="M260" s="64"/>
      <c r="N260" s="68" t="str">
        <f t="shared" si="1"/>
        <v/>
      </c>
      <c r="O260" s="68">
        <f t="shared" si="4"/>
        <v>8.678676667</v>
      </c>
    </row>
    <row r="261">
      <c r="A261" s="64">
        <f t="shared" si="3"/>
        <v>260</v>
      </c>
      <c r="B261" s="64"/>
      <c r="C261" s="64"/>
      <c r="D261" s="64"/>
      <c r="E261" s="64"/>
      <c r="F261" s="64"/>
      <c r="G261" s="64"/>
      <c r="H261" s="65"/>
      <c r="I261" s="65"/>
      <c r="J261" s="65"/>
      <c r="K261" s="66"/>
      <c r="L261" s="64"/>
      <c r="M261" s="64"/>
      <c r="N261" s="68" t="str">
        <f t="shared" si="1"/>
        <v/>
      </c>
      <c r="O261" s="68">
        <f t="shared" si="4"/>
        <v>8.678676667</v>
      </c>
    </row>
    <row r="262">
      <c r="A262" s="64">
        <f t="shared" si="3"/>
        <v>261</v>
      </c>
      <c r="B262" s="64"/>
      <c r="C262" s="64"/>
      <c r="D262" s="64"/>
      <c r="E262" s="64"/>
      <c r="F262" s="64"/>
      <c r="G262" s="64"/>
      <c r="H262" s="65"/>
      <c r="I262" s="65"/>
      <c r="J262" s="65"/>
      <c r="K262" s="66"/>
      <c r="L262" s="64"/>
      <c r="M262" s="64"/>
      <c r="N262" s="68" t="str">
        <f t="shared" si="1"/>
        <v/>
      </c>
      <c r="O262" s="68">
        <f t="shared" si="4"/>
        <v>8.678676667</v>
      </c>
    </row>
    <row r="263">
      <c r="A263" s="64">
        <f t="shared" si="3"/>
        <v>262</v>
      </c>
      <c r="B263" s="64"/>
      <c r="C263" s="64"/>
      <c r="D263" s="64"/>
      <c r="E263" s="64"/>
      <c r="F263" s="64"/>
      <c r="G263" s="64"/>
      <c r="H263" s="65"/>
      <c r="I263" s="65"/>
      <c r="J263" s="65"/>
      <c r="K263" s="66"/>
      <c r="L263" s="64"/>
      <c r="M263" s="64"/>
      <c r="N263" s="68" t="str">
        <f t="shared" si="1"/>
        <v/>
      </c>
      <c r="O263" s="68">
        <f t="shared" si="4"/>
        <v>8.678676667</v>
      </c>
    </row>
    <row r="264">
      <c r="A264" s="64">
        <f t="shared" si="3"/>
        <v>263</v>
      </c>
      <c r="B264" s="64"/>
      <c r="C264" s="64"/>
      <c r="D264" s="64"/>
      <c r="E264" s="64"/>
      <c r="F264" s="64"/>
      <c r="G264" s="64"/>
      <c r="H264" s="65"/>
      <c r="I264" s="65"/>
      <c r="J264" s="65"/>
      <c r="K264" s="66"/>
      <c r="L264" s="64"/>
      <c r="M264" s="64"/>
      <c r="N264" s="68" t="str">
        <f t="shared" si="1"/>
        <v/>
      </c>
      <c r="O264" s="68">
        <f t="shared" si="4"/>
        <v>8.678676667</v>
      </c>
    </row>
    <row r="265">
      <c r="A265" s="64">
        <f t="shared" si="3"/>
        <v>264</v>
      </c>
      <c r="B265" s="64"/>
      <c r="C265" s="64"/>
      <c r="D265" s="64"/>
      <c r="E265" s="64"/>
      <c r="F265" s="64"/>
      <c r="G265" s="64"/>
      <c r="H265" s="65"/>
      <c r="I265" s="65"/>
      <c r="J265" s="65"/>
      <c r="K265" s="66"/>
      <c r="L265" s="64"/>
      <c r="M265" s="64"/>
      <c r="N265" s="68" t="str">
        <f t="shared" si="1"/>
        <v/>
      </c>
      <c r="O265" s="68">
        <f t="shared" si="4"/>
        <v>8.678676667</v>
      </c>
    </row>
    <row r="266">
      <c r="A266" s="64">
        <f t="shared" si="3"/>
        <v>265</v>
      </c>
      <c r="B266" s="64"/>
      <c r="C266" s="64"/>
      <c r="D266" s="64"/>
      <c r="E266" s="64"/>
      <c r="F266" s="64"/>
      <c r="G266" s="64"/>
      <c r="H266" s="65"/>
      <c r="I266" s="65"/>
      <c r="J266" s="65"/>
      <c r="K266" s="66"/>
      <c r="L266" s="64"/>
      <c r="M266" s="64"/>
      <c r="N266" s="68" t="str">
        <f t="shared" si="1"/>
        <v/>
      </c>
      <c r="O266" s="68">
        <f t="shared" si="4"/>
        <v>8.678676667</v>
      </c>
    </row>
    <row r="267">
      <c r="A267" s="64">
        <f t="shared" si="3"/>
        <v>266</v>
      </c>
      <c r="B267" s="64"/>
      <c r="C267" s="64"/>
      <c r="D267" s="64"/>
      <c r="E267" s="64"/>
      <c r="F267" s="64"/>
      <c r="G267" s="64"/>
      <c r="H267" s="65"/>
      <c r="I267" s="65"/>
      <c r="J267" s="65"/>
      <c r="K267" s="66"/>
      <c r="L267" s="64"/>
      <c r="M267" s="64"/>
      <c r="N267" s="68" t="str">
        <f t="shared" si="1"/>
        <v/>
      </c>
      <c r="O267" s="68">
        <f t="shared" si="4"/>
        <v>8.678676667</v>
      </c>
    </row>
    <row r="268">
      <c r="A268" s="64">
        <f t="shared" si="3"/>
        <v>267</v>
      </c>
      <c r="B268" s="64"/>
      <c r="C268" s="64"/>
      <c r="D268" s="64"/>
      <c r="E268" s="64"/>
      <c r="F268" s="64"/>
      <c r="G268" s="64"/>
      <c r="H268" s="65"/>
      <c r="I268" s="65"/>
      <c r="J268" s="65"/>
      <c r="K268" s="66"/>
      <c r="L268" s="64"/>
      <c r="M268" s="64"/>
      <c r="N268" s="68" t="str">
        <f t="shared" si="1"/>
        <v/>
      </c>
      <c r="O268" s="68">
        <f t="shared" si="4"/>
        <v>8.678676667</v>
      </c>
    </row>
    <row r="269">
      <c r="A269" s="64">
        <f t="shared" si="3"/>
        <v>268</v>
      </c>
      <c r="B269" s="64"/>
      <c r="C269" s="64"/>
      <c r="D269" s="64"/>
      <c r="E269" s="64"/>
      <c r="F269" s="64"/>
      <c r="G269" s="64"/>
      <c r="H269" s="65"/>
      <c r="I269" s="65"/>
      <c r="J269" s="65"/>
      <c r="K269" s="66"/>
      <c r="L269" s="64"/>
      <c r="M269" s="64"/>
      <c r="N269" s="68" t="str">
        <f t="shared" si="1"/>
        <v/>
      </c>
      <c r="O269" s="68">
        <f t="shared" si="4"/>
        <v>8.678676667</v>
      </c>
    </row>
    <row r="270">
      <c r="A270" s="64">
        <f t="shared" si="3"/>
        <v>269</v>
      </c>
      <c r="B270" s="64"/>
      <c r="C270" s="64"/>
      <c r="D270" s="64"/>
      <c r="E270" s="64"/>
      <c r="F270" s="64"/>
      <c r="G270" s="64"/>
      <c r="H270" s="65"/>
      <c r="I270" s="65"/>
      <c r="J270" s="65"/>
      <c r="K270" s="66"/>
      <c r="L270" s="64"/>
      <c r="M270" s="64"/>
      <c r="N270" s="68" t="str">
        <f t="shared" si="1"/>
        <v/>
      </c>
      <c r="O270" s="68">
        <f t="shared" si="4"/>
        <v>8.678676667</v>
      </c>
    </row>
    <row r="271">
      <c r="A271" s="64">
        <f t="shared" si="3"/>
        <v>270</v>
      </c>
      <c r="B271" s="64"/>
      <c r="C271" s="64"/>
      <c r="D271" s="64"/>
      <c r="E271" s="64"/>
      <c r="F271" s="64"/>
      <c r="G271" s="64"/>
      <c r="H271" s="65"/>
      <c r="I271" s="65"/>
      <c r="J271" s="65"/>
      <c r="K271" s="66"/>
      <c r="L271" s="64"/>
      <c r="M271" s="64"/>
      <c r="N271" s="68" t="str">
        <f t="shared" si="1"/>
        <v/>
      </c>
      <c r="O271" s="68">
        <f t="shared" si="4"/>
        <v>8.678676667</v>
      </c>
    </row>
    <row r="272">
      <c r="A272" s="64">
        <f t="shared" si="3"/>
        <v>271</v>
      </c>
      <c r="B272" s="64"/>
      <c r="C272" s="64"/>
      <c r="D272" s="64"/>
      <c r="E272" s="64"/>
      <c r="F272" s="64"/>
      <c r="G272" s="64"/>
      <c r="H272" s="65"/>
      <c r="I272" s="65"/>
      <c r="J272" s="65"/>
      <c r="K272" s="66"/>
      <c r="L272" s="64"/>
      <c r="M272" s="64"/>
      <c r="N272" s="68" t="str">
        <f t="shared" si="1"/>
        <v/>
      </c>
      <c r="O272" s="68">
        <f t="shared" si="4"/>
        <v>8.678676667</v>
      </c>
    </row>
    <row r="273">
      <c r="A273" s="64">
        <f t="shared" si="3"/>
        <v>272</v>
      </c>
      <c r="B273" s="64"/>
      <c r="C273" s="64"/>
      <c r="D273" s="64"/>
      <c r="E273" s="64"/>
      <c r="F273" s="64"/>
      <c r="G273" s="64"/>
      <c r="H273" s="65"/>
      <c r="I273" s="65"/>
      <c r="J273" s="65"/>
      <c r="K273" s="66"/>
      <c r="L273" s="64"/>
      <c r="M273" s="64"/>
      <c r="N273" s="68" t="str">
        <f t="shared" si="1"/>
        <v/>
      </c>
      <c r="O273" s="68">
        <f t="shared" si="4"/>
        <v>8.678676667</v>
      </c>
    </row>
    <row r="274">
      <c r="A274" s="64">
        <f t="shared" si="3"/>
        <v>273</v>
      </c>
      <c r="B274" s="64"/>
      <c r="C274" s="64"/>
      <c r="D274" s="64"/>
      <c r="E274" s="64"/>
      <c r="F274" s="64"/>
      <c r="G274" s="64"/>
      <c r="H274" s="65"/>
      <c r="I274" s="65"/>
      <c r="J274" s="65"/>
      <c r="K274" s="66"/>
      <c r="L274" s="64"/>
      <c r="M274" s="64"/>
      <c r="N274" s="68" t="str">
        <f t="shared" si="1"/>
        <v/>
      </c>
      <c r="O274" s="68">
        <f t="shared" si="4"/>
        <v>8.678676667</v>
      </c>
    </row>
    <row r="275">
      <c r="A275" s="64">
        <f t="shared" si="3"/>
        <v>274</v>
      </c>
      <c r="B275" s="64"/>
      <c r="C275" s="64"/>
      <c r="D275" s="64"/>
      <c r="E275" s="64"/>
      <c r="F275" s="64"/>
      <c r="G275" s="64"/>
      <c r="H275" s="65"/>
      <c r="I275" s="65"/>
      <c r="J275" s="65"/>
      <c r="K275" s="66"/>
      <c r="L275" s="64"/>
      <c r="M275" s="64"/>
      <c r="N275" s="68" t="str">
        <f t="shared" si="1"/>
        <v/>
      </c>
      <c r="O275" s="68">
        <f t="shared" si="4"/>
        <v>8.678676667</v>
      </c>
    </row>
    <row r="276">
      <c r="A276" s="64">
        <f t="shared" si="3"/>
        <v>275</v>
      </c>
      <c r="B276" s="64"/>
      <c r="C276" s="64"/>
      <c r="D276" s="64"/>
      <c r="E276" s="64"/>
      <c r="F276" s="64"/>
      <c r="G276" s="64"/>
      <c r="H276" s="65"/>
      <c r="I276" s="65"/>
      <c r="J276" s="65"/>
      <c r="K276" s="66"/>
      <c r="L276" s="64"/>
      <c r="M276" s="64"/>
      <c r="N276" s="68" t="str">
        <f t="shared" si="1"/>
        <v/>
      </c>
      <c r="O276" s="68">
        <f t="shared" si="4"/>
        <v>8.678676667</v>
      </c>
    </row>
    <row r="277">
      <c r="A277" s="64">
        <f t="shared" si="3"/>
        <v>276</v>
      </c>
      <c r="B277" s="64"/>
      <c r="C277" s="64"/>
      <c r="D277" s="64"/>
      <c r="E277" s="64"/>
      <c r="F277" s="64"/>
      <c r="G277" s="64"/>
      <c r="H277" s="65"/>
      <c r="I277" s="65"/>
      <c r="J277" s="65"/>
      <c r="K277" s="66"/>
      <c r="L277" s="64"/>
      <c r="M277" s="64"/>
      <c r="N277" s="68" t="str">
        <f t="shared" si="1"/>
        <v/>
      </c>
      <c r="O277" s="68">
        <f t="shared" si="4"/>
        <v>8.678676667</v>
      </c>
    </row>
    <row r="278">
      <c r="A278" s="64">
        <f t="shared" si="3"/>
        <v>277</v>
      </c>
      <c r="B278" s="64"/>
      <c r="C278" s="64"/>
      <c r="D278" s="64"/>
      <c r="E278" s="64"/>
      <c r="F278" s="64"/>
      <c r="G278" s="64"/>
      <c r="H278" s="65"/>
      <c r="I278" s="65"/>
      <c r="J278" s="65"/>
      <c r="K278" s="66"/>
      <c r="L278" s="64"/>
      <c r="M278" s="64"/>
      <c r="N278" s="68" t="str">
        <f t="shared" si="1"/>
        <v/>
      </c>
      <c r="O278" s="68">
        <f t="shared" si="4"/>
        <v>8.678676667</v>
      </c>
    </row>
    <row r="279">
      <c r="A279" s="64">
        <f t="shared" si="3"/>
        <v>278</v>
      </c>
      <c r="B279" s="64"/>
      <c r="C279" s="64"/>
      <c r="D279" s="64"/>
      <c r="E279" s="64"/>
      <c r="F279" s="64"/>
      <c r="G279" s="64"/>
      <c r="H279" s="65"/>
      <c r="I279" s="65"/>
      <c r="J279" s="65"/>
      <c r="K279" s="66"/>
      <c r="L279" s="64"/>
      <c r="M279" s="64"/>
      <c r="N279" s="68" t="str">
        <f t="shared" si="1"/>
        <v/>
      </c>
      <c r="O279" s="68">
        <f t="shared" si="4"/>
        <v>8.678676667</v>
      </c>
    </row>
    <row r="280">
      <c r="A280" s="64">
        <f t="shared" si="3"/>
        <v>279</v>
      </c>
      <c r="B280" s="64"/>
      <c r="C280" s="64"/>
      <c r="D280" s="64"/>
      <c r="E280" s="64"/>
      <c r="F280" s="64"/>
      <c r="G280" s="64"/>
      <c r="H280" s="65"/>
      <c r="I280" s="65"/>
      <c r="J280" s="65"/>
      <c r="K280" s="66"/>
      <c r="L280" s="64"/>
      <c r="M280" s="64"/>
      <c r="N280" s="68" t="str">
        <f t="shared" si="1"/>
        <v/>
      </c>
      <c r="O280" s="68">
        <f t="shared" si="4"/>
        <v>8.678676667</v>
      </c>
    </row>
    <row r="281">
      <c r="A281" s="64">
        <f t="shared" si="3"/>
        <v>280</v>
      </c>
      <c r="B281" s="64"/>
      <c r="C281" s="64"/>
      <c r="D281" s="64"/>
      <c r="E281" s="64"/>
      <c r="F281" s="64"/>
      <c r="G281" s="64"/>
      <c r="H281" s="65"/>
      <c r="I281" s="65"/>
      <c r="J281" s="65"/>
      <c r="K281" s="66"/>
      <c r="L281" s="64"/>
      <c r="M281" s="64"/>
      <c r="N281" s="68" t="str">
        <f t="shared" si="1"/>
        <v/>
      </c>
      <c r="O281" s="68">
        <f t="shared" si="4"/>
        <v>8.678676667</v>
      </c>
    </row>
    <row r="282">
      <c r="A282" s="64">
        <f t="shared" si="3"/>
        <v>281</v>
      </c>
      <c r="B282" s="64"/>
      <c r="C282" s="64"/>
      <c r="D282" s="64"/>
      <c r="E282" s="64"/>
      <c r="F282" s="64"/>
      <c r="G282" s="64"/>
      <c r="H282" s="65"/>
      <c r="I282" s="65"/>
      <c r="J282" s="65"/>
      <c r="K282" s="66"/>
      <c r="L282" s="64"/>
      <c r="M282" s="64"/>
      <c r="N282" s="68" t="str">
        <f t="shared" si="1"/>
        <v/>
      </c>
      <c r="O282" s="68">
        <f t="shared" si="4"/>
        <v>8.678676667</v>
      </c>
    </row>
    <row r="283">
      <c r="A283" s="64">
        <f t="shared" si="3"/>
        <v>282</v>
      </c>
      <c r="B283" s="64"/>
      <c r="C283" s="64"/>
      <c r="D283" s="64"/>
      <c r="E283" s="64"/>
      <c r="F283" s="64"/>
      <c r="G283" s="64"/>
      <c r="H283" s="65"/>
      <c r="I283" s="65"/>
      <c r="J283" s="65"/>
      <c r="K283" s="66"/>
      <c r="L283" s="64"/>
      <c r="M283" s="64"/>
      <c r="N283" s="68" t="str">
        <f t="shared" si="1"/>
        <v/>
      </c>
      <c r="O283" s="68">
        <f t="shared" si="4"/>
        <v>8.678676667</v>
      </c>
    </row>
    <row r="284">
      <c r="A284" s="64">
        <f t="shared" si="3"/>
        <v>283</v>
      </c>
      <c r="B284" s="64"/>
      <c r="C284" s="64"/>
      <c r="D284" s="64"/>
      <c r="E284" s="64"/>
      <c r="F284" s="64"/>
      <c r="G284" s="64"/>
      <c r="H284" s="65"/>
      <c r="I284" s="65"/>
      <c r="J284" s="65"/>
      <c r="K284" s="66"/>
      <c r="L284" s="64"/>
      <c r="M284" s="64"/>
      <c r="N284" s="68" t="str">
        <f t="shared" si="1"/>
        <v/>
      </c>
      <c r="O284" s="68">
        <f t="shared" si="4"/>
        <v>8.678676667</v>
      </c>
    </row>
    <row r="285">
      <c r="A285" s="64">
        <f t="shared" si="3"/>
        <v>284</v>
      </c>
      <c r="B285" s="64"/>
      <c r="C285" s="64"/>
      <c r="D285" s="64"/>
      <c r="E285" s="64"/>
      <c r="F285" s="64"/>
      <c r="G285" s="64"/>
      <c r="H285" s="65"/>
      <c r="I285" s="65"/>
      <c r="J285" s="65"/>
      <c r="K285" s="66"/>
      <c r="L285" s="64"/>
      <c r="M285" s="64"/>
      <c r="N285" s="68" t="str">
        <f t="shared" si="1"/>
        <v/>
      </c>
      <c r="O285" s="68">
        <f t="shared" si="4"/>
        <v>8.678676667</v>
      </c>
    </row>
    <row r="286">
      <c r="A286" s="64">
        <f t="shared" si="3"/>
        <v>285</v>
      </c>
      <c r="B286" s="64"/>
      <c r="C286" s="64"/>
      <c r="D286" s="64"/>
      <c r="E286" s="64"/>
      <c r="F286" s="64"/>
      <c r="G286" s="64"/>
      <c r="H286" s="65"/>
      <c r="I286" s="65"/>
      <c r="J286" s="65"/>
      <c r="K286" s="66"/>
      <c r="L286" s="64"/>
      <c r="M286" s="64"/>
      <c r="N286" s="68" t="str">
        <f t="shared" si="1"/>
        <v/>
      </c>
      <c r="O286" s="68">
        <f t="shared" si="4"/>
        <v>8.678676667</v>
      </c>
    </row>
    <row r="287">
      <c r="A287" s="64">
        <f t="shared" si="3"/>
        <v>286</v>
      </c>
      <c r="B287" s="64"/>
      <c r="C287" s="64"/>
      <c r="D287" s="64"/>
      <c r="E287" s="64"/>
      <c r="F287" s="64"/>
      <c r="G287" s="64"/>
      <c r="H287" s="65"/>
      <c r="I287" s="65"/>
      <c r="J287" s="65"/>
      <c r="K287" s="66"/>
      <c r="L287" s="64"/>
      <c r="M287" s="64"/>
      <c r="N287" s="68" t="str">
        <f t="shared" si="1"/>
        <v/>
      </c>
      <c r="O287" s="68">
        <f t="shared" si="4"/>
        <v>8.678676667</v>
      </c>
    </row>
    <row r="288">
      <c r="A288" s="64">
        <f t="shared" si="3"/>
        <v>287</v>
      </c>
      <c r="B288" s="64"/>
      <c r="C288" s="64"/>
      <c r="D288" s="64"/>
      <c r="E288" s="64"/>
      <c r="F288" s="64"/>
      <c r="G288" s="64"/>
      <c r="H288" s="65"/>
      <c r="I288" s="65"/>
      <c r="J288" s="65"/>
      <c r="K288" s="66"/>
      <c r="L288" s="64"/>
      <c r="M288" s="64"/>
      <c r="N288" s="68" t="str">
        <f t="shared" si="1"/>
        <v/>
      </c>
      <c r="O288" s="68">
        <f t="shared" si="4"/>
        <v>8.678676667</v>
      </c>
    </row>
    <row r="289">
      <c r="A289" s="64">
        <f t="shared" si="3"/>
        <v>288</v>
      </c>
      <c r="B289" s="64"/>
      <c r="C289" s="64"/>
      <c r="D289" s="64"/>
      <c r="E289" s="64"/>
      <c r="F289" s="64"/>
      <c r="G289" s="64"/>
      <c r="H289" s="65"/>
      <c r="I289" s="65"/>
      <c r="J289" s="65"/>
      <c r="K289" s="66"/>
      <c r="L289" s="64"/>
      <c r="M289" s="64"/>
      <c r="N289" s="68" t="str">
        <f t="shared" si="1"/>
        <v/>
      </c>
      <c r="O289" s="68">
        <f t="shared" si="4"/>
        <v>8.678676667</v>
      </c>
    </row>
    <row r="290">
      <c r="A290" s="64">
        <f t="shared" si="3"/>
        <v>289</v>
      </c>
      <c r="B290" s="64"/>
      <c r="C290" s="64"/>
      <c r="D290" s="64"/>
      <c r="E290" s="64"/>
      <c r="F290" s="64"/>
      <c r="G290" s="64"/>
      <c r="H290" s="65"/>
      <c r="I290" s="65"/>
      <c r="J290" s="65"/>
      <c r="K290" s="66"/>
      <c r="L290" s="64"/>
      <c r="M290" s="64"/>
      <c r="N290" s="68" t="str">
        <f t="shared" si="1"/>
        <v/>
      </c>
      <c r="O290" s="68">
        <f t="shared" si="4"/>
        <v>8.678676667</v>
      </c>
    </row>
    <row r="291">
      <c r="A291" s="64">
        <f t="shared" si="3"/>
        <v>290</v>
      </c>
      <c r="B291" s="64"/>
      <c r="C291" s="64"/>
      <c r="D291" s="64"/>
      <c r="E291" s="64"/>
      <c r="F291" s="64"/>
      <c r="G291" s="64"/>
      <c r="H291" s="65"/>
      <c r="I291" s="65"/>
      <c r="J291" s="65"/>
      <c r="K291" s="66"/>
      <c r="L291" s="64"/>
      <c r="M291" s="64"/>
      <c r="N291" s="68" t="str">
        <f t="shared" si="1"/>
        <v/>
      </c>
      <c r="O291" s="68">
        <f t="shared" si="4"/>
        <v>8.678676667</v>
      </c>
    </row>
    <row r="292">
      <c r="A292" s="64">
        <f t="shared" si="3"/>
        <v>291</v>
      </c>
      <c r="B292" s="64"/>
      <c r="C292" s="64"/>
      <c r="D292" s="64"/>
      <c r="E292" s="64"/>
      <c r="F292" s="64"/>
      <c r="G292" s="64"/>
      <c r="H292" s="65"/>
      <c r="I292" s="65"/>
      <c r="J292" s="65"/>
      <c r="K292" s="66"/>
      <c r="L292" s="64"/>
      <c r="M292" s="64"/>
      <c r="N292" s="68" t="str">
        <f t="shared" si="1"/>
        <v/>
      </c>
      <c r="O292" s="68">
        <f t="shared" si="4"/>
        <v>8.678676667</v>
      </c>
    </row>
    <row r="293">
      <c r="A293" s="64">
        <f t="shared" si="3"/>
        <v>292</v>
      </c>
      <c r="B293" s="64"/>
      <c r="C293" s="64"/>
      <c r="D293" s="64"/>
      <c r="E293" s="64"/>
      <c r="F293" s="64"/>
      <c r="G293" s="64"/>
      <c r="H293" s="65"/>
      <c r="I293" s="65"/>
      <c r="J293" s="65"/>
      <c r="K293" s="66"/>
      <c r="L293" s="64"/>
      <c r="M293" s="64"/>
      <c r="N293" s="68" t="str">
        <f t="shared" si="1"/>
        <v/>
      </c>
      <c r="O293" s="68">
        <f t="shared" si="4"/>
        <v>8.678676667</v>
      </c>
    </row>
    <row r="294">
      <c r="A294" s="64">
        <f t="shared" si="3"/>
        <v>293</v>
      </c>
      <c r="B294" s="64"/>
      <c r="C294" s="64"/>
      <c r="D294" s="64"/>
      <c r="E294" s="64"/>
      <c r="F294" s="64"/>
      <c r="G294" s="64"/>
      <c r="H294" s="65"/>
      <c r="I294" s="65"/>
      <c r="J294" s="65"/>
      <c r="K294" s="66"/>
      <c r="L294" s="64"/>
      <c r="M294" s="64"/>
      <c r="N294" s="68" t="str">
        <f t="shared" si="1"/>
        <v/>
      </c>
      <c r="O294" s="68">
        <f t="shared" si="4"/>
        <v>8.678676667</v>
      </c>
    </row>
    <row r="295">
      <c r="A295" s="64">
        <f t="shared" si="3"/>
        <v>294</v>
      </c>
      <c r="B295" s="64"/>
      <c r="C295" s="64"/>
      <c r="D295" s="64"/>
      <c r="E295" s="64"/>
      <c r="F295" s="64"/>
      <c r="G295" s="64"/>
      <c r="H295" s="65"/>
      <c r="I295" s="65"/>
      <c r="J295" s="65"/>
      <c r="K295" s="66"/>
      <c r="L295" s="64"/>
      <c r="M295" s="64"/>
      <c r="N295" s="68" t="str">
        <f t="shared" si="1"/>
        <v/>
      </c>
      <c r="O295" s="68">
        <f t="shared" si="4"/>
        <v>8.678676667</v>
      </c>
    </row>
    <row r="296">
      <c r="A296" s="64">
        <f t="shared" si="3"/>
        <v>295</v>
      </c>
      <c r="B296" s="64"/>
      <c r="C296" s="64"/>
      <c r="D296" s="64"/>
      <c r="E296" s="64"/>
      <c r="F296" s="64"/>
      <c r="G296" s="64"/>
      <c r="H296" s="65"/>
      <c r="I296" s="65"/>
      <c r="J296" s="65"/>
      <c r="K296" s="66"/>
      <c r="L296" s="64"/>
      <c r="M296" s="64"/>
      <c r="N296" s="68" t="str">
        <f t="shared" si="1"/>
        <v/>
      </c>
      <c r="O296" s="68">
        <f t="shared" si="4"/>
        <v>8.678676667</v>
      </c>
    </row>
    <row r="297">
      <c r="A297" s="64">
        <f t="shared" si="3"/>
        <v>296</v>
      </c>
      <c r="B297" s="64"/>
      <c r="C297" s="64"/>
      <c r="D297" s="64"/>
      <c r="E297" s="64"/>
      <c r="F297" s="64"/>
      <c r="G297" s="64"/>
      <c r="H297" s="65"/>
      <c r="I297" s="65"/>
      <c r="J297" s="65"/>
      <c r="K297" s="66"/>
      <c r="L297" s="64"/>
      <c r="M297" s="64"/>
      <c r="N297" s="68" t="str">
        <f t="shared" si="1"/>
        <v/>
      </c>
      <c r="O297" s="68">
        <f t="shared" si="4"/>
        <v>8.678676667</v>
      </c>
    </row>
    <row r="298">
      <c r="A298" s="64">
        <f t="shared" si="3"/>
        <v>297</v>
      </c>
      <c r="B298" s="64"/>
      <c r="C298" s="64"/>
      <c r="D298" s="64"/>
      <c r="E298" s="64"/>
      <c r="F298" s="64"/>
      <c r="G298" s="64"/>
      <c r="H298" s="65"/>
      <c r="I298" s="65"/>
      <c r="J298" s="65"/>
      <c r="K298" s="66"/>
      <c r="L298" s="64"/>
      <c r="M298" s="64"/>
      <c r="N298" s="68" t="str">
        <f t="shared" si="1"/>
        <v/>
      </c>
      <c r="O298" s="68">
        <f t="shared" si="4"/>
        <v>8.678676667</v>
      </c>
    </row>
    <row r="299">
      <c r="A299" s="64">
        <f t="shared" si="3"/>
        <v>298</v>
      </c>
      <c r="B299" s="64"/>
      <c r="C299" s="64"/>
      <c r="D299" s="64"/>
      <c r="E299" s="64"/>
      <c r="F299" s="64"/>
      <c r="G299" s="64"/>
      <c r="H299" s="65"/>
      <c r="I299" s="65"/>
      <c r="J299" s="65"/>
      <c r="K299" s="66"/>
      <c r="L299" s="64"/>
      <c r="M299" s="64"/>
      <c r="N299" s="68" t="str">
        <f t="shared" si="1"/>
        <v/>
      </c>
      <c r="O299" s="68">
        <f t="shared" si="4"/>
        <v>8.678676667</v>
      </c>
    </row>
    <row r="300">
      <c r="A300" s="64">
        <f t="shared" si="3"/>
        <v>299</v>
      </c>
      <c r="B300" s="64"/>
      <c r="C300" s="64"/>
      <c r="D300" s="64"/>
      <c r="E300" s="64"/>
      <c r="F300" s="64"/>
      <c r="G300" s="64"/>
      <c r="H300" s="65"/>
      <c r="I300" s="65"/>
      <c r="J300" s="65"/>
      <c r="K300" s="66"/>
      <c r="L300" s="64"/>
      <c r="M300" s="64"/>
      <c r="N300" s="68" t="str">
        <f t="shared" si="1"/>
        <v/>
      </c>
      <c r="O300" s="68">
        <f t="shared" si="4"/>
        <v>8.678676667</v>
      </c>
    </row>
    <row r="301">
      <c r="A301" s="64">
        <f t="shared" si="3"/>
        <v>300</v>
      </c>
      <c r="B301" s="64"/>
      <c r="C301" s="64"/>
      <c r="D301" s="64"/>
      <c r="E301" s="64"/>
      <c r="F301" s="64"/>
      <c r="G301" s="64"/>
      <c r="H301" s="65"/>
      <c r="I301" s="65"/>
      <c r="J301" s="65"/>
      <c r="K301" s="66"/>
      <c r="L301" s="64"/>
      <c r="M301" s="64"/>
      <c r="N301" s="68" t="str">
        <f t="shared" si="1"/>
        <v/>
      </c>
      <c r="O301" s="68">
        <f t="shared" si="4"/>
        <v>8.678676667</v>
      </c>
    </row>
    <row r="302">
      <c r="A302" s="64">
        <f t="shared" si="3"/>
        <v>301</v>
      </c>
      <c r="B302" s="64"/>
      <c r="C302" s="64"/>
      <c r="D302" s="64"/>
      <c r="E302" s="64"/>
      <c r="F302" s="64"/>
      <c r="G302" s="64"/>
      <c r="H302" s="65"/>
      <c r="I302" s="65"/>
      <c r="J302" s="65"/>
      <c r="K302" s="66"/>
      <c r="L302" s="64"/>
      <c r="M302" s="64"/>
      <c r="N302" s="68" t="str">
        <f t="shared" si="1"/>
        <v/>
      </c>
      <c r="O302" s="68">
        <f t="shared" si="4"/>
        <v>8.678676667</v>
      </c>
    </row>
    <row r="303">
      <c r="A303" s="64">
        <f t="shared" si="3"/>
        <v>302</v>
      </c>
      <c r="B303" s="64"/>
      <c r="C303" s="64"/>
      <c r="D303" s="64"/>
      <c r="E303" s="64"/>
      <c r="F303" s="64"/>
      <c r="G303" s="64"/>
      <c r="H303" s="65"/>
      <c r="I303" s="65"/>
      <c r="J303" s="65"/>
      <c r="K303" s="66"/>
      <c r="L303" s="64"/>
      <c r="M303" s="64"/>
      <c r="N303" s="68" t="str">
        <f t="shared" si="1"/>
        <v/>
      </c>
      <c r="O303" s="68">
        <f t="shared" si="4"/>
        <v>8.678676667</v>
      </c>
    </row>
    <row r="304">
      <c r="A304" s="64">
        <f t="shared" si="3"/>
        <v>303</v>
      </c>
      <c r="B304" s="64"/>
      <c r="C304" s="64"/>
      <c r="D304" s="64"/>
      <c r="E304" s="64"/>
      <c r="F304" s="64"/>
      <c r="G304" s="64"/>
      <c r="H304" s="65"/>
      <c r="I304" s="65"/>
      <c r="J304" s="65"/>
      <c r="K304" s="66"/>
      <c r="L304" s="64"/>
      <c r="M304" s="64"/>
      <c r="N304" s="68" t="str">
        <f t="shared" si="1"/>
        <v/>
      </c>
      <c r="O304" s="68">
        <f t="shared" si="4"/>
        <v>8.678676667</v>
      </c>
    </row>
    <row r="305">
      <c r="A305" s="64">
        <f t="shared" si="3"/>
        <v>304</v>
      </c>
      <c r="B305" s="64"/>
      <c r="C305" s="64"/>
      <c r="D305" s="64"/>
      <c r="E305" s="64"/>
      <c r="F305" s="64"/>
      <c r="G305" s="64"/>
      <c r="H305" s="65"/>
      <c r="I305" s="65"/>
      <c r="J305" s="65"/>
      <c r="K305" s="66"/>
      <c r="L305" s="64"/>
      <c r="M305" s="64"/>
      <c r="N305" s="68" t="str">
        <f t="shared" si="1"/>
        <v/>
      </c>
      <c r="O305" s="68">
        <f t="shared" si="4"/>
        <v>8.678676667</v>
      </c>
    </row>
    <row r="306">
      <c r="A306" s="64">
        <f t="shared" si="3"/>
        <v>305</v>
      </c>
      <c r="B306" s="64"/>
      <c r="C306" s="64"/>
      <c r="D306" s="64"/>
      <c r="E306" s="64"/>
      <c r="F306" s="64"/>
      <c r="G306" s="64"/>
      <c r="H306" s="65"/>
      <c r="I306" s="65"/>
      <c r="J306" s="65"/>
      <c r="K306" s="66"/>
      <c r="L306" s="64"/>
      <c r="M306" s="64"/>
      <c r="N306" s="68" t="str">
        <f t="shared" si="1"/>
        <v/>
      </c>
      <c r="O306" s="68">
        <f t="shared" si="4"/>
        <v>8.678676667</v>
      </c>
    </row>
    <row r="307">
      <c r="A307" s="64">
        <f t="shared" si="3"/>
        <v>306</v>
      </c>
      <c r="B307" s="64"/>
      <c r="C307" s="64"/>
      <c r="D307" s="64"/>
      <c r="E307" s="64"/>
      <c r="F307" s="64"/>
      <c r="G307" s="64"/>
      <c r="H307" s="65"/>
      <c r="I307" s="65"/>
      <c r="J307" s="65"/>
      <c r="K307" s="66"/>
      <c r="L307" s="64"/>
      <c r="M307" s="64"/>
      <c r="N307" s="68" t="str">
        <f t="shared" si="1"/>
        <v/>
      </c>
      <c r="O307" s="68">
        <f t="shared" si="4"/>
        <v>8.678676667</v>
      </c>
    </row>
    <row r="308">
      <c r="A308" s="64">
        <f t="shared" si="3"/>
        <v>307</v>
      </c>
      <c r="B308" s="64"/>
      <c r="C308" s="64"/>
      <c r="D308" s="64"/>
      <c r="E308" s="64"/>
      <c r="F308" s="64"/>
      <c r="G308" s="64"/>
      <c r="H308" s="65"/>
      <c r="I308" s="65"/>
      <c r="J308" s="65"/>
      <c r="K308" s="66"/>
      <c r="L308" s="64"/>
      <c r="M308" s="64"/>
      <c r="N308" s="68" t="str">
        <f t="shared" si="1"/>
        <v/>
      </c>
      <c r="O308" s="68">
        <f t="shared" si="4"/>
        <v>8.678676667</v>
      </c>
    </row>
    <row r="309">
      <c r="A309" s="64">
        <f t="shared" si="3"/>
        <v>308</v>
      </c>
      <c r="B309" s="64"/>
      <c r="C309" s="64"/>
      <c r="D309" s="64"/>
      <c r="E309" s="64"/>
      <c r="F309" s="64"/>
      <c r="G309" s="64"/>
      <c r="H309" s="65"/>
      <c r="I309" s="65"/>
      <c r="J309" s="65"/>
      <c r="K309" s="66"/>
      <c r="L309" s="64"/>
      <c r="M309" s="64"/>
      <c r="N309" s="68" t="str">
        <f t="shared" si="1"/>
        <v/>
      </c>
      <c r="O309" s="68">
        <f t="shared" si="4"/>
        <v>8.678676667</v>
      </c>
    </row>
    <row r="310">
      <c r="A310" s="64">
        <f t="shared" si="3"/>
        <v>309</v>
      </c>
      <c r="B310" s="64"/>
      <c r="C310" s="64"/>
      <c r="D310" s="64"/>
      <c r="E310" s="64"/>
      <c r="F310" s="64"/>
      <c r="G310" s="64"/>
      <c r="H310" s="65"/>
      <c r="I310" s="65"/>
      <c r="J310" s="65"/>
      <c r="K310" s="66"/>
      <c r="L310" s="64"/>
      <c r="M310" s="64"/>
      <c r="N310" s="68" t="str">
        <f t="shared" si="1"/>
        <v/>
      </c>
      <c r="O310" s="68">
        <f t="shared" si="4"/>
        <v>8.678676667</v>
      </c>
    </row>
    <row r="311">
      <c r="A311" s="64">
        <f t="shared" si="3"/>
        <v>310</v>
      </c>
      <c r="B311" s="64"/>
      <c r="C311" s="64"/>
      <c r="D311" s="64"/>
      <c r="E311" s="64"/>
      <c r="F311" s="64"/>
      <c r="G311" s="64"/>
      <c r="H311" s="65"/>
      <c r="I311" s="65"/>
      <c r="J311" s="65"/>
      <c r="K311" s="66"/>
      <c r="L311" s="64"/>
      <c r="M311" s="64"/>
      <c r="N311" s="68" t="str">
        <f t="shared" si="1"/>
        <v/>
      </c>
      <c r="O311" s="68">
        <f t="shared" si="4"/>
        <v>8.678676667</v>
      </c>
    </row>
    <row r="312">
      <c r="A312" s="64">
        <f t="shared" si="3"/>
        <v>311</v>
      </c>
      <c r="B312" s="64"/>
      <c r="C312" s="64"/>
      <c r="D312" s="64"/>
      <c r="E312" s="64"/>
      <c r="F312" s="64"/>
      <c r="G312" s="64"/>
      <c r="H312" s="65"/>
      <c r="I312" s="65"/>
      <c r="J312" s="65"/>
      <c r="K312" s="66"/>
      <c r="L312" s="64"/>
      <c r="M312" s="64"/>
      <c r="N312" s="68" t="str">
        <f t="shared" si="1"/>
        <v/>
      </c>
      <c r="O312" s="68">
        <f t="shared" si="4"/>
        <v>8.678676667</v>
      </c>
    </row>
    <row r="313">
      <c r="A313" s="64">
        <f t="shared" si="3"/>
        <v>312</v>
      </c>
      <c r="B313" s="64"/>
      <c r="C313" s="64"/>
      <c r="D313" s="64"/>
      <c r="E313" s="64"/>
      <c r="F313" s="64"/>
      <c r="G313" s="64"/>
      <c r="H313" s="65"/>
      <c r="I313" s="65"/>
      <c r="J313" s="65"/>
      <c r="K313" s="66"/>
      <c r="L313" s="64"/>
      <c r="M313" s="64"/>
      <c r="N313" s="68" t="str">
        <f t="shared" si="1"/>
        <v/>
      </c>
      <c r="O313" s="68">
        <f t="shared" si="4"/>
        <v>8.678676667</v>
      </c>
    </row>
    <row r="314">
      <c r="A314" s="64">
        <f t="shared" si="3"/>
        <v>313</v>
      </c>
      <c r="B314" s="64"/>
      <c r="C314" s="64"/>
      <c r="D314" s="64"/>
      <c r="E314" s="64"/>
      <c r="F314" s="64"/>
      <c r="G314" s="64"/>
      <c r="H314" s="65"/>
      <c r="I314" s="65"/>
      <c r="J314" s="65"/>
      <c r="K314" s="66"/>
      <c r="L314" s="64"/>
      <c r="M314" s="64"/>
      <c r="N314" s="68" t="str">
        <f t="shared" si="1"/>
        <v/>
      </c>
      <c r="O314" s="68">
        <f t="shared" si="4"/>
        <v>8.678676667</v>
      </c>
    </row>
    <row r="315">
      <c r="A315" s="64">
        <f t="shared" si="3"/>
        <v>314</v>
      </c>
      <c r="B315" s="64"/>
      <c r="C315" s="64"/>
      <c r="D315" s="64"/>
      <c r="E315" s="64"/>
      <c r="F315" s="64"/>
      <c r="G315" s="64"/>
      <c r="H315" s="65"/>
      <c r="I315" s="65"/>
      <c r="J315" s="65"/>
      <c r="K315" s="66"/>
      <c r="L315" s="64"/>
      <c r="M315" s="64"/>
      <c r="N315" s="68" t="str">
        <f t="shared" si="1"/>
        <v/>
      </c>
      <c r="O315" s="68">
        <f t="shared" si="4"/>
        <v>8.678676667</v>
      </c>
    </row>
    <row r="316">
      <c r="A316" s="64">
        <f t="shared" si="3"/>
        <v>315</v>
      </c>
      <c r="B316" s="64"/>
      <c r="C316" s="64"/>
      <c r="D316" s="64"/>
      <c r="E316" s="64"/>
      <c r="F316" s="64"/>
      <c r="G316" s="64"/>
      <c r="H316" s="65"/>
      <c r="I316" s="65"/>
      <c r="J316" s="65"/>
      <c r="K316" s="66"/>
      <c r="L316" s="64"/>
      <c r="M316" s="64"/>
      <c r="N316" s="68"/>
      <c r="O316" s="188"/>
    </row>
    <row r="317">
      <c r="A317" s="64">
        <f t="shared" si="3"/>
        <v>316</v>
      </c>
      <c r="B317" s="64"/>
      <c r="C317" s="64"/>
      <c r="D317" s="64"/>
      <c r="E317" s="64"/>
      <c r="F317" s="64"/>
      <c r="G317" s="64"/>
      <c r="H317" s="65"/>
      <c r="I317" s="65"/>
      <c r="J317" s="65"/>
      <c r="K317" s="66"/>
      <c r="L317" s="64"/>
      <c r="M317" s="64"/>
      <c r="N317" s="68"/>
      <c r="O317" s="188"/>
    </row>
    <row r="318">
      <c r="A318" s="64">
        <f t="shared" si="3"/>
        <v>317</v>
      </c>
      <c r="B318" s="64"/>
      <c r="C318" s="64"/>
      <c r="D318" s="64"/>
      <c r="E318" s="64"/>
      <c r="F318" s="64"/>
      <c r="G318" s="64"/>
      <c r="H318" s="188"/>
      <c r="I318" s="65"/>
      <c r="J318" s="65"/>
      <c r="K318" s="66"/>
      <c r="L318" s="64"/>
      <c r="M318" s="64"/>
      <c r="N318" s="68"/>
      <c r="O318" s="188"/>
    </row>
    <row r="319">
      <c r="A319" s="64">
        <f t="shared" si="3"/>
        <v>318</v>
      </c>
      <c r="B319" s="64"/>
      <c r="C319" s="64"/>
      <c r="D319" s="64"/>
      <c r="E319" s="64"/>
      <c r="F319" s="64"/>
      <c r="G319" s="64"/>
      <c r="H319" s="188"/>
      <c r="I319" s="65"/>
      <c r="J319" s="65"/>
      <c r="K319" s="66"/>
      <c r="L319" s="64"/>
      <c r="M319" s="64"/>
      <c r="N319" s="68"/>
      <c r="O319" s="188"/>
    </row>
    <row r="320">
      <c r="A320" s="64">
        <f t="shared" si="3"/>
        <v>319</v>
      </c>
      <c r="B320" s="64"/>
      <c r="C320" s="64"/>
      <c r="D320" s="64"/>
      <c r="E320" s="64"/>
      <c r="F320" s="64"/>
      <c r="G320" s="64"/>
      <c r="H320" s="188"/>
      <c r="I320" s="65"/>
      <c r="J320" s="65"/>
      <c r="K320" s="66"/>
      <c r="L320" s="64"/>
      <c r="M320" s="64"/>
      <c r="N320" s="68"/>
      <c r="O320" s="188"/>
    </row>
    <row r="321">
      <c r="A321" s="64">
        <f t="shared" si="3"/>
        <v>320</v>
      </c>
      <c r="B321" s="64"/>
      <c r="C321" s="64"/>
      <c r="D321" s="64"/>
      <c r="E321" s="64"/>
      <c r="F321" s="64"/>
      <c r="G321" s="64"/>
      <c r="H321" s="188"/>
      <c r="I321" s="65"/>
      <c r="J321" s="65"/>
      <c r="K321" s="66"/>
      <c r="L321" s="64"/>
      <c r="M321" s="64"/>
      <c r="N321" s="68"/>
      <c r="O321" s="188"/>
    </row>
    <row r="322">
      <c r="A322" s="64">
        <f t="shared" si="3"/>
        <v>321</v>
      </c>
      <c r="B322" s="64"/>
      <c r="C322" s="64"/>
      <c r="D322" s="64"/>
      <c r="E322" s="64"/>
      <c r="F322" s="64"/>
      <c r="G322" s="64"/>
      <c r="H322" s="188"/>
      <c r="I322" s="65"/>
      <c r="J322" s="65"/>
      <c r="K322" s="66"/>
      <c r="L322" s="64"/>
      <c r="M322" s="64"/>
      <c r="N322" s="68"/>
      <c r="O322" s="188"/>
    </row>
    <row r="323">
      <c r="A323" s="64">
        <f t="shared" si="3"/>
        <v>322</v>
      </c>
      <c r="B323" s="64"/>
      <c r="C323" s="64"/>
      <c r="D323" s="64"/>
      <c r="E323" s="64"/>
      <c r="F323" s="64"/>
      <c r="G323" s="64"/>
      <c r="H323" s="188"/>
      <c r="I323" s="65"/>
      <c r="J323" s="65"/>
      <c r="K323" s="66"/>
      <c r="L323" s="64"/>
      <c r="M323" s="64"/>
      <c r="N323" s="68"/>
      <c r="O323" s="188"/>
    </row>
    <row r="324">
      <c r="A324" s="64">
        <f t="shared" si="3"/>
        <v>323</v>
      </c>
      <c r="B324" s="64"/>
      <c r="C324" s="64"/>
      <c r="D324" s="64"/>
      <c r="E324" s="64"/>
      <c r="F324" s="64"/>
      <c r="G324" s="64"/>
      <c r="H324" s="188"/>
      <c r="I324" s="65"/>
      <c r="J324" s="65"/>
      <c r="K324" s="66"/>
      <c r="L324" s="64"/>
      <c r="M324" s="64"/>
      <c r="N324" s="68"/>
      <c r="O324" s="188"/>
    </row>
    <row r="325">
      <c r="A325" s="64">
        <f t="shared" si="3"/>
        <v>324</v>
      </c>
      <c r="B325" s="64"/>
      <c r="C325" s="64"/>
      <c r="D325" s="64"/>
      <c r="E325" s="64"/>
      <c r="F325" s="64"/>
      <c r="G325" s="64"/>
      <c r="H325" s="188"/>
      <c r="I325" s="65"/>
      <c r="J325" s="65"/>
      <c r="K325" s="66"/>
      <c r="L325" s="64"/>
      <c r="M325" s="64"/>
      <c r="N325" s="68"/>
      <c r="O325" s="188"/>
    </row>
    <row r="326">
      <c r="A326" s="64">
        <f t="shared" si="3"/>
        <v>325</v>
      </c>
      <c r="B326" s="64"/>
      <c r="C326" s="64"/>
      <c r="D326" s="64"/>
      <c r="E326" s="64"/>
      <c r="F326" s="64"/>
      <c r="G326" s="64"/>
      <c r="H326" s="188"/>
      <c r="I326" s="65"/>
      <c r="J326" s="65"/>
      <c r="K326" s="66"/>
      <c r="L326" s="64"/>
      <c r="M326" s="64"/>
      <c r="N326" s="68"/>
      <c r="O326" s="188"/>
    </row>
    <row r="327">
      <c r="A327" s="64">
        <f t="shared" si="3"/>
        <v>326</v>
      </c>
      <c r="B327" s="64"/>
      <c r="C327" s="64"/>
      <c r="D327" s="64"/>
      <c r="E327" s="64"/>
      <c r="F327" s="64"/>
      <c r="G327" s="64"/>
      <c r="H327" s="188"/>
      <c r="I327" s="65"/>
      <c r="J327" s="65"/>
      <c r="K327" s="66"/>
      <c r="L327" s="64"/>
      <c r="M327" s="64"/>
      <c r="N327" s="68"/>
      <c r="O327" s="188"/>
    </row>
    <row r="328">
      <c r="A328" s="64">
        <f t="shared" si="3"/>
        <v>327</v>
      </c>
      <c r="B328" s="64"/>
      <c r="C328" s="64"/>
      <c r="D328" s="64"/>
      <c r="E328" s="64"/>
      <c r="F328" s="64"/>
      <c r="G328" s="64"/>
      <c r="H328" s="188"/>
      <c r="I328" s="65"/>
      <c r="J328" s="65"/>
      <c r="K328" s="66"/>
      <c r="L328" s="64"/>
      <c r="M328" s="64"/>
      <c r="N328" s="68"/>
      <c r="O328" s="188"/>
    </row>
    <row r="329">
      <c r="A329" s="64">
        <f t="shared" si="3"/>
        <v>328</v>
      </c>
      <c r="B329" s="64"/>
      <c r="C329" s="64"/>
      <c r="D329" s="64"/>
      <c r="E329" s="64"/>
      <c r="F329" s="64"/>
      <c r="G329" s="64"/>
      <c r="H329" s="188"/>
      <c r="I329" s="65"/>
      <c r="J329" s="65"/>
      <c r="K329" s="66"/>
      <c r="L329" s="64"/>
      <c r="M329" s="64"/>
      <c r="N329" s="68"/>
      <c r="O329" s="188"/>
    </row>
    <row r="330">
      <c r="A330" s="64">
        <f t="shared" si="3"/>
        <v>329</v>
      </c>
      <c r="B330" s="64"/>
      <c r="C330" s="64"/>
      <c r="D330" s="64"/>
      <c r="E330" s="64"/>
      <c r="F330" s="64"/>
      <c r="G330" s="64"/>
      <c r="H330" s="188"/>
      <c r="I330" s="65"/>
      <c r="J330" s="65"/>
      <c r="K330" s="66"/>
      <c r="L330" s="64"/>
      <c r="M330" s="64"/>
      <c r="N330" s="68"/>
      <c r="O330" s="188"/>
    </row>
    <row r="331">
      <c r="A331" s="64">
        <f t="shared" si="3"/>
        <v>330</v>
      </c>
      <c r="B331" s="64"/>
      <c r="C331" s="64"/>
      <c r="D331" s="64"/>
      <c r="E331" s="64"/>
      <c r="F331" s="64"/>
      <c r="G331" s="64"/>
      <c r="H331" s="188"/>
      <c r="I331" s="65"/>
      <c r="J331" s="65"/>
      <c r="K331" s="66"/>
      <c r="L331" s="64"/>
      <c r="M331" s="64"/>
      <c r="N331" s="68"/>
      <c r="O331" s="188"/>
    </row>
    <row r="332">
      <c r="A332" s="64">
        <f t="shared" si="3"/>
        <v>331</v>
      </c>
      <c r="B332" s="64"/>
      <c r="C332" s="64"/>
      <c r="D332" s="64"/>
      <c r="E332" s="64"/>
      <c r="F332" s="64"/>
      <c r="G332" s="64"/>
      <c r="H332" s="188"/>
      <c r="I332" s="65"/>
      <c r="J332" s="65"/>
      <c r="K332" s="66"/>
      <c r="L332" s="64"/>
      <c r="M332" s="64"/>
      <c r="N332" s="68"/>
      <c r="O332" s="188"/>
    </row>
    <row r="333">
      <c r="A333" s="64">
        <f t="shared" si="3"/>
        <v>332</v>
      </c>
      <c r="B333" s="64"/>
      <c r="C333" s="64"/>
      <c r="D333" s="64"/>
      <c r="E333" s="64"/>
      <c r="F333" s="64"/>
      <c r="G333" s="64"/>
      <c r="H333" s="188"/>
      <c r="I333" s="65"/>
      <c r="J333" s="65"/>
      <c r="K333" s="66"/>
      <c r="L333" s="64"/>
      <c r="M333" s="64"/>
      <c r="N333" s="68"/>
      <c r="O333" s="188"/>
    </row>
    <row r="334">
      <c r="A334" s="64">
        <f t="shared" si="3"/>
        <v>333</v>
      </c>
      <c r="B334" s="64"/>
      <c r="C334" s="64"/>
      <c r="D334" s="64"/>
      <c r="E334" s="64"/>
      <c r="F334" s="64"/>
      <c r="G334" s="64"/>
      <c r="H334" s="188"/>
      <c r="I334" s="65"/>
      <c r="J334" s="65"/>
      <c r="K334" s="66"/>
      <c r="L334" s="64"/>
      <c r="M334" s="64"/>
      <c r="N334" s="68"/>
      <c r="O334" s="188"/>
    </row>
    <row r="335">
      <c r="A335" s="64">
        <f t="shared" si="3"/>
        <v>334</v>
      </c>
      <c r="B335" s="64"/>
      <c r="C335" s="64"/>
      <c r="D335" s="64"/>
      <c r="E335" s="64"/>
      <c r="F335" s="64"/>
      <c r="G335" s="64"/>
      <c r="H335" s="188"/>
      <c r="I335" s="65"/>
      <c r="J335" s="65"/>
      <c r="K335" s="66"/>
      <c r="L335" s="64"/>
      <c r="M335" s="64"/>
      <c r="N335" s="68"/>
      <c r="O335" s="188"/>
    </row>
    <row r="336">
      <c r="A336" s="64">
        <f t="shared" si="3"/>
        <v>335</v>
      </c>
      <c r="B336" s="64"/>
      <c r="C336" s="64"/>
      <c r="D336" s="64"/>
      <c r="E336" s="64"/>
      <c r="F336" s="64"/>
      <c r="G336" s="64"/>
      <c r="H336" s="188"/>
      <c r="I336" s="65"/>
      <c r="J336" s="65"/>
      <c r="K336" s="66"/>
      <c r="L336" s="64"/>
      <c r="M336" s="64"/>
      <c r="N336" s="68"/>
      <c r="O336" s="188"/>
    </row>
    <row r="337">
      <c r="A337" s="64">
        <f t="shared" si="3"/>
        <v>336</v>
      </c>
      <c r="B337" s="64"/>
      <c r="C337" s="64"/>
      <c r="D337" s="64"/>
      <c r="E337" s="64"/>
      <c r="F337" s="64"/>
      <c r="G337" s="64"/>
      <c r="H337" s="188"/>
      <c r="I337" s="65"/>
      <c r="J337" s="65"/>
      <c r="K337" s="66"/>
      <c r="L337" s="64"/>
      <c r="M337" s="64"/>
      <c r="N337" s="68"/>
      <c r="O337" s="188"/>
    </row>
    <row r="338">
      <c r="A338" s="64">
        <f t="shared" si="3"/>
        <v>337</v>
      </c>
      <c r="B338" s="64"/>
      <c r="C338" s="64"/>
      <c r="D338" s="64"/>
      <c r="E338" s="64"/>
      <c r="F338" s="64"/>
      <c r="G338" s="64"/>
      <c r="H338" s="188"/>
      <c r="I338" s="65"/>
      <c r="J338" s="65"/>
      <c r="K338" s="66"/>
      <c r="L338" s="64"/>
      <c r="M338" s="64"/>
      <c r="N338" s="68"/>
      <c r="O338" s="188"/>
    </row>
    <row r="339">
      <c r="A339" s="64">
        <f t="shared" si="3"/>
        <v>338</v>
      </c>
      <c r="B339" s="64"/>
      <c r="C339" s="64"/>
      <c r="D339" s="64"/>
      <c r="E339" s="64"/>
      <c r="F339" s="64"/>
      <c r="G339" s="64"/>
      <c r="H339" s="188"/>
      <c r="I339" s="65"/>
      <c r="J339" s="65"/>
      <c r="K339" s="66"/>
      <c r="L339" s="64"/>
      <c r="M339" s="64"/>
      <c r="N339" s="68"/>
      <c r="O339" s="188"/>
    </row>
    <row r="340">
      <c r="A340" s="64">
        <f t="shared" si="3"/>
        <v>339</v>
      </c>
      <c r="B340" s="64"/>
      <c r="C340" s="64"/>
      <c r="D340" s="64"/>
      <c r="E340" s="64"/>
      <c r="F340" s="64"/>
      <c r="G340" s="64"/>
      <c r="H340" s="188"/>
      <c r="I340" s="65"/>
      <c r="J340" s="65"/>
      <c r="K340" s="66"/>
      <c r="L340" s="64"/>
      <c r="M340" s="64"/>
      <c r="N340" s="68"/>
      <c r="O340" s="188"/>
    </row>
    <row r="341">
      <c r="A341" s="64">
        <f t="shared" si="3"/>
        <v>340</v>
      </c>
      <c r="B341" s="64"/>
      <c r="C341" s="64"/>
      <c r="D341" s="64"/>
      <c r="E341" s="64"/>
      <c r="F341" s="64"/>
      <c r="G341" s="64"/>
      <c r="H341" s="188"/>
      <c r="I341" s="65"/>
      <c r="J341" s="65"/>
      <c r="K341" s="66"/>
      <c r="L341" s="64"/>
      <c r="M341" s="64"/>
      <c r="N341" s="68"/>
      <c r="O341" s="188"/>
    </row>
    <row r="342">
      <c r="A342" s="64">
        <f t="shared" si="3"/>
        <v>341</v>
      </c>
      <c r="B342" s="64"/>
      <c r="C342" s="64"/>
      <c r="D342" s="64"/>
      <c r="E342" s="64"/>
      <c r="F342" s="64"/>
      <c r="G342" s="64"/>
      <c r="H342" s="188"/>
      <c r="I342" s="65"/>
      <c r="J342" s="65"/>
      <c r="K342" s="66"/>
      <c r="L342" s="64"/>
      <c r="M342" s="64"/>
      <c r="N342" s="68"/>
      <c r="O342" s="188"/>
    </row>
    <row r="343">
      <c r="A343" s="64">
        <f t="shared" si="3"/>
        <v>342</v>
      </c>
      <c r="B343" s="64"/>
      <c r="C343" s="64"/>
      <c r="D343" s="64"/>
      <c r="E343" s="64"/>
      <c r="F343" s="64"/>
      <c r="G343" s="64"/>
      <c r="H343" s="188"/>
      <c r="I343" s="65"/>
      <c r="J343" s="65"/>
      <c r="K343" s="66"/>
      <c r="L343" s="64"/>
      <c r="M343" s="64"/>
      <c r="N343" s="68"/>
      <c r="O343" s="188"/>
    </row>
    <row r="344">
      <c r="A344" s="64">
        <f t="shared" si="3"/>
        <v>343</v>
      </c>
      <c r="B344" s="64"/>
      <c r="C344" s="64"/>
      <c r="D344" s="64"/>
      <c r="E344" s="64"/>
      <c r="F344" s="64"/>
      <c r="G344" s="64"/>
      <c r="H344" s="188"/>
      <c r="I344" s="65"/>
      <c r="J344" s="65"/>
      <c r="K344" s="66"/>
      <c r="L344" s="64"/>
      <c r="M344" s="64"/>
      <c r="N344" s="188"/>
      <c r="O344" s="188"/>
    </row>
    <row r="345">
      <c r="A345" s="64">
        <f t="shared" si="3"/>
        <v>344</v>
      </c>
      <c r="B345" s="64"/>
      <c r="C345" s="64"/>
      <c r="D345" s="64"/>
      <c r="E345" s="64"/>
      <c r="F345" s="64"/>
      <c r="G345" s="64"/>
      <c r="H345" s="188"/>
      <c r="I345" s="65"/>
      <c r="J345" s="65"/>
      <c r="K345" s="66"/>
      <c r="L345" s="64"/>
      <c r="M345" s="64"/>
      <c r="N345" s="188"/>
      <c r="O345" s="188"/>
    </row>
    <row r="346">
      <c r="A346" s="64">
        <f t="shared" si="3"/>
        <v>345</v>
      </c>
      <c r="B346" s="64"/>
      <c r="C346" s="64"/>
      <c r="D346" s="64"/>
      <c r="E346" s="64"/>
      <c r="F346" s="64"/>
      <c r="G346" s="64"/>
      <c r="H346" s="188"/>
      <c r="I346" s="65"/>
      <c r="J346" s="65"/>
      <c r="K346" s="66"/>
      <c r="L346" s="64"/>
      <c r="M346" s="64"/>
      <c r="N346" s="188"/>
      <c r="O346" s="188"/>
    </row>
    <row r="347">
      <c r="A347" s="64">
        <f t="shared" si="3"/>
        <v>346</v>
      </c>
      <c r="B347" s="64"/>
      <c r="C347" s="64"/>
      <c r="D347" s="64"/>
      <c r="E347" s="64"/>
      <c r="F347" s="64"/>
      <c r="G347" s="64"/>
      <c r="H347" s="188"/>
      <c r="I347" s="65"/>
      <c r="J347" s="65"/>
      <c r="K347" s="66"/>
      <c r="L347" s="64"/>
      <c r="M347" s="64"/>
      <c r="N347" s="188"/>
      <c r="O347" s="188"/>
    </row>
    <row r="348">
      <c r="A348" s="64">
        <f t="shared" si="3"/>
        <v>347</v>
      </c>
      <c r="B348" s="64"/>
      <c r="C348" s="64"/>
      <c r="D348" s="64"/>
      <c r="E348" s="64"/>
      <c r="F348" s="64"/>
      <c r="G348" s="64"/>
      <c r="H348" s="188"/>
      <c r="I348" s="65"/>
      <c r="J348" s="65"/>
      <c r="K348" s="66"/>
      <c r="L348" s="64"/>
      <c r="M348" s="64"/>
      <c r="N348" s="188"/>
      <c r="O348" s="188"/>
    </row>
    <row r="349">
      <c r="A349" s="64">
        <f t="shared" si="3"/>
        <v>348</v>
      </c>
      <c r="B349" s="64"/>
      <c r="C349" s="64"/>
      <c r="D349" s="64"/>
      <c r="E349" s="64"/>
      <c r="F349" s="64"/>
      <c r="G349" s="64"/>
      <c r="H349" s="188"/>
      <c r="I349" s="65"/>
      <c r="J349" s="65"/>
      <c r="K349" s="66"/>
      <c r="L349" s="64"/>
      <c r="M349" s="64"/>
      <c r="N349" s="188"/>
      <c r="O349" s="188"/>
    </row>
    <row r="350">
      <c r="A350" s="64">
        <f t="shared" si="3"/>
        <v>349</v>
      </c>
      <c r="B350" s="64"/>
      <c r="C350" s="64"/>
      <c r="D350" s="64"/>
      <c r="E350" s="64"/>
      <c r="F350" s="64"/>
      <c r="G350" s="64"/>
      <c r="H350" s="188"/>
      <c r="I350" s="65"/>
      <c r="J350" s="65"/>
      <c r="K350" s="66"/>
      <c r="L350" s="64"/>
      <c r="M350" s="64"/>
      <c r="N350" s="188"/>
      <c r="O350" s="188"/>
    </row>
    <row r="351">
      <c r="A351" s="64">
        <f t="shared" si="3"/>
        <v>350</v>
      </c>
      <c r="B351" s="64"/>
      <c r="C351" s="64"/>
      <c r="D351" s="64"/>
      <c r="E351" s="64"/>
      <c r="F351" s="64"/>
      <c r="G351" s="64"/>
      <c r="H351" s="188"/>
      <c r="I351" s="65"/>
      <c r="J351" s="65"/>
      <c r="K351" s="66"/>
      <c r="L351" s="64"/>
      <c r="M351" s="64"/>
      <c r="N351" s="188"/>
      <c r="O351" s="188"/>
    </row>
    <row r="352">
      <c r="A352" s="64">
        <f t="shared" si="3"/>
        <v>351</v>
      </c>
      <c r="B352" s="64"/>
      <c r="C352" s="64"/>
      <c r="D352" s="64"/>
      <c r="E352" s="64"/>
      <c r="F352" s="64"/>
      <c r="G352" s="64"/>
      <c r="H352" s="188"/>
      <c r="I352" s="65"/>
      <c r="J352" s="65"/>
      <c r="K352" s="66"/>
      <c r="L352" s="64"/>
      <c r="M352" s="64"/>
      <c r="N352" s="188"/>
      <c r="O352" s="188"/>
    </row>
    <row r="353">
      <c r="A353" s="64">
        <f t="shared" si="3"/>
        <v>352</v>
      </c>
      <c r="B353" s="64"/>
      <c r="C353" s="64"/>
      <c r="D353" s="64"/>
      <c r="E353" s="64"/>
      <c r="F353" s="64"/>
      <c r="G353" s="64"/>
      <c r="H353" s="188"/>
      <c r="I353" s="65"/>
      <c r="J353" s="65"/>
      <c r="K353" s="66"/>
      <c r="L353" s="64"/>
      <c r="M353" s="64"/>
      <c r="N353" s="188"/>
      <c r="O353" s="188"/>
    </row>
    <row r="354">
      <c r="A354" s="64">
        <f t="shared" si="3"/>
        <v>353</v>
      </c>
      <c r="B354" s="64"/>
      <c r="C354" s="64"/>
      <c r="D354" s="64"/>
      <c r="E354" s="64"/>
      <c r="F354" s="64"/>
      <c r="G354" s="64"/>
      <c r="H354" s="188"/>
      <c r="I354" s="65"/>
      <c r="J354" s="65"/>
      <c r="K354" s="66"/>
      <c r="L354" s="64"/>
      <c r="M354" s="64"/>
      <c r="N354" s="188"/>
      <c r="O354" s="188"/>
    </row>
    <row r="355">
      <c r="A355" s="64">
        <f t="shared" si="3"/>
        <v>354</v>
      </c>
      <c r="B355" s="64"/>
      <c r="C355" s="64"/>
      <c r="D355" s="64"/>
      <c r="E355" s="64"/>
      <c r="F355" s="64"/>
      <c r="G355" s="64"/>
      <c r="H355" s="188"/>
      <c r="I355" s="65"/>
      <c r="J355" s="65"/>
      <c r="K355" s="66"/>
      <c r="L355" s="64"/>
      <c r="M355" s="64"/>
      <c r="N355" s="188"/>
      <c r="O355" s="188"/>
    </row>
    <row r="356">
      <c r="A356" s="64">
        <f t="shared" si="3"/>
        <v>355</v>
      </c>
      <c r="B356" s="64"/>
      <c r="C356" s="64"/>
      <c r="D356" s="64"/>
      <c r="E356" s="64"/>
      <c r="F356" s="64"/>
      <c r="G356" s="64"/>
      <c r="H356" s="188"/>
      <c r="I356" s="65"/>
      <c r="J356" s="65"/>
      <c r="K356" s="66"/>
      <c r="L356" s="64"/>
      <c r="M356" s="64"/>
      <c r="N356" s="188"/>
      <c r="O356" s="188"/>
    </row>
    <row r="357">
      <c r="A357" s="64">
        <f t="shared" si="3"/>
        <v>356</v>
      </c>
      <c r="B357" s="64"/>
      <c r="C357" s="64"/>
      <c r="D357" s="64"/>
      <c r="E357" s="64"/>
      <c r="F357" s="64"/>
      <c r="G357" s="64"/>
      <c r="H357" s="188"/>
      <c r="I357" s="65"/>
      <c r="J357" s="65"/>
      <c r="K357" s="66"/>
      <c r="L357" s="64"/>
      <c r="M357" s="64"/>
      <c r="N357" s="188"/>
      <c r="O357" s="188"/>
    </row>
    <row r="358">
      <c r="A358" s="64">
        <f t="shared" si="3"/>
        <v>357</v>
      </c>
      <c r="B358" s="64"/>
      <c r="C358" s="64"/>
      <c r="D358" s="64"/>
      <c r="E358" s="64"/>
      <c r="F358" s="64"/>
      <c r="G358" s="64"/>
      <c r="H358" s="188"/>
      <c r="I358" s="65"/>
      <c r="J358" s="65"/>
      <c r="K358" s="66"/>
      <c r="L358" s="64"/>
      <c r="M358" s="64"/>
      <c r="N358" s="188"/>
      <c r="O358" s="188"/>
    </row>
    <row r="359">
      <c r="A359" s="64">
        <f t="shared" si="3"/>
        <v>358</v>
      </c>
      <c r="B359" s="64"/>
      <c r="C359" s="64"/>
      <c r="D359" s="64"/>
      <c r="E359" s="64"/>
      <c r="F359" s="64"/>
      <c r="G359" s="64"/>
      <c r="H359" s="188"/>
      <c r="I359" s="65"/>
      <c r="J359" s="65"/>
      <c r="K359" s="66"/>
      <c r="L359" s="64"/>
      <c r="M359" s="64"/>
      <c r="N359" s="188"/>
      <c r="O359" s="188"/>
    </row>
    <row r="360">
      <c r="A360" s="64">
        <f t="shared" si="3"/>
        <v>359</v>
      </c>
      <c r="B360" s="64"/>
      <c r="C360" s="64"/>
      <c r="D360" s="64"/>
      <c r="E360" s="64"/>
      <c r="F360" s="64"/>
      <c r="G360" s="64"/>
      <c r="H360" s="188"/>
      <c r="I360" s="65"/>
      <c r="J360" s="65"/>
      <c r="K360" s="66"/>
      <c r="L360" s="64"/>
      <c r="M360" s="64"/>
      <c r="N360" s="188"/>
      <c r="O360" s="188"/>
    </row>
    <row r="361">
      <c r="A361" s="64">
        <f t="shared" si="3"/>
        <v>360</v>
      </c>
      <c r="B361" s="64"/>
      <c r="C361" s="64"/>
      <c r="D361" s="64"/>
      <c r="E361" s="64"/>
      <c r="F361" s="64"/>
      <c r="G361" s="64"/>
      <c r="H361" s="188"/>
      <c r="I361" s="65"/>
      <c r="J361" s="65"/>
      <c r="K361" s="66"/>
      <c r="L361" s="64"/>
      <c r="M361" s="64"/>
      <c r="N361" s="188"/>
      <c r="O361" s="188"/>
    </row>
    <row r="362">
      <c r="A362" s="64">
        <f t="shared" si="3"/>
        <v>361</v>
      </c>
      <c r="B362" s="64"/>
      <c r="C362" s="64"/>
      <c r="D362" s="64"/>
      <c r="E362" s="64"/>
      <c r="F362" s="64"/>
      <c r="G362" s="64"/>
      <c r="H362" s="188"/>
      <c r="I362" s="65"/>
      <c r="J362" s="65"/>
      <c r="K362" s="66"/>
      <c r="L362" s="64"/>
      <c r="M362" s="64"/>
      <c r="N362" s="188"/>
      <c r="O362" s="188"/>
    </row>
    <row r="363">
      <c r="A363" s="64">
        <f t="shared" si="3"/>
        <v>362</v>
      </c>
      <c r="B363" s="64"/>
      <c r="C363" s="64"/>
      <c r="D363" s="64"/>
      <c r="E363" s="64"/>
      <c r="F363" s="64"/>
      <c r="G363" s="64"/>
      <c r="H363" s="188"/>
      <c r="I363" s="65"/>
      <c r="J363" s="65"/>
      <c r="K363" s="66"/>
      <c r="L363" s="64"/>
      <c r="M363" s="64"/>
      <c r="N363" s="188"/>
      <c r="O363" s="188"/>
    </row>
    <row r="364">
      <c r="A364" s="64">
        <f t="shared" si="3"/>
        <v>363</v>
      </c>
      <c r="B364" s="64"/>
      <c r="C364" s="64"/>
      <c r="D364" s="64"/>
      <c r="E364" s="64"/>
      <c r="F364" s="64"/>
      <c r="G364" s="64"/>
      <c r="H364" s="188"/>
      <c r="I364" s="65"/>
      <c r="J364" s="65"/>
      <c r="K364" s="66"/>
      <c r="L364" s="64"/>
      <c r="M364" s="64"/>
      <c r="N364" s="188"/>
      <c r="O364" s="188"/>
    </row>
    <row r="365">
      <c r="A365" s="64">
        <f t="shared" si="3"/>
        <v>364</v>
      </c>
      <c r="B365" s="64"/>
      <c r="C365" s="64"/>
      <c r="D365" s="64"/>
      <c r="E365" s="64"/>
      <c r="F365" s="64"/>
      <c r="G365" s="64"/>
      <c r="H365" s="188"/>
      <c r="I365" s="65"/>
      <c r="J365" s="65"/>
      <c r="K365" s="66"/>
      <c r="L365" s="64"/>
      <c r="M365" s="64"/>
      <c r="N365" s="188"/>
      <c r="O365" s="188"/>
    </row>
    <row r="366">
      <c r="A366" s="64">
        <f t="shared" si="3"/>
        <v>365</v>
      </c>
      <c r="B366" s="64"/>
      <c r="C366" s="64"/>
      <c r="D366" s="64"/>
      <c r="E366" s="64"/>
      <c r="F366" s="64"/>
      <c r="G366" s="64"/>
      <c r="H366" s="188"/>
      <c r="I366" s="65"/>
      <c r="J366" s="65"/>
      <c r="K366" s="66"/>
      <c r="L366" s="64"/>
      <c r="M366" s="64"/>
      <c r="N366" s="188"/>
      <c r="O366" s="188"/>
    </row>
    <row r="367">
      <c r="A367" s="64">
        <f t="shared" si="3"/>
        <v>366</v>
      </c>
      <c r="B367" s="64"/>
      <c r="C367" s="64"/>
      <c r="D367" s="64"/>
      <c r="E367" s="64"/>
      <c r="F367" s="64"/>
      <c r="G367" s="64"/>
      <c r="H367" s="188"/>
      <c r="I367" s="65"/>
      <c r="J367" s="65"/>
      <c r="K367" s="66"/>
      <c r="L367" s="64"/>
      <c r="M367" s="64"/>
      <c r="N367" s="188"/>
      <c r="O367" s="188"/>
    </row>
    <row r="368">
      <c r="A368" s="64">
        <f t="shared" si="3"/>
        <v>367</v>
      </c>
      <c r="B368" s="64"/>
      <c r="C368" s="64"/>
      <c r="D368" s="64"/>
      <c r="E368" s="64"/>
      <c r="F368" s="64"/>
      <c r="G368" s="64"/>
      <c r="H368" s="188"/>
      <c r="I368" s="65"/>
      <c r="J368" s="65"/>
      <c r="K368" s="66"/>
      <c r="L368" s="64"/>
      <c r="M368" s="64"/>
      <c r="N368" s="188"/>
      <c r="O368" s="188"/>
    </row>
    <row r="369">
      <c r="A369" s="64">
        <f t="shared" si="3"/>
        <v>368</v>
      </c>
      <c r="B369" s="64"/>
      <c r="C369" s="64"/>
      <c r="D369" s="64"/>
      <c r="E369" s="64"/>
      <c r="F369" s="64"/>
      <c r="G369" s="64"/>
      <c r="H369" s="188"/>
      <c r="I369" s="65"/>
      <c r="J369" s="65"/>
      <c r="K369" s="66"/>
      <c r="L369" s="64"/>
      <c r="M369" s="64"/>
      <c r="N369" s="188"/>
      <c r="O369" s="188"/>
    </row>
    <row r="370">
      <c r="A370" s="64">
        <f t="shared" si="3"/>
        <v>369</v>
      </c>
      <c r="B370" s="64"/>
      <c r="C370" s="64"/>
      <c r="D370" s="64"/>
      <c r="E370" s="64"/>
      <c r="F370" s="64"/>
      <c r="G370" s="64"/>
      <c r="H370" s="188"/>
      <c r="I370" s="65"/>
      <c r="J370" s="65"/>
      <c r="K370" s="66"/>
      <c r="L370" s="64"/>
      <c r="M370" s="64"/>
      <c r="N370" s="188"/>
      <c r="O370" s="188"/>
    </row>
    <row r="371">
      <c r="A371" s="64">
        <f t="shared" si="3"/>
        <v>370</v>
      </c>
      <c r="B371" s="64"/>
      <c r="C371" s="64"/>
      <c r="D371" s="64"/>
      <c r="E371" s="64"/>
      <c r="F371" s="64"/>
      <c r="G371" s="64"/>
      <c r="H371" s="188"/>
      <c r="I371" s="65"/>
      <c r="J371" s="65"/>
      <c r="K371" s="66"/>
      <c r="L371" s="64"/>
      <c r="M371" s="64"/>
      <c r="N371" s="188"/>
      <c r="O371" s="188"/>
    </row>
    <row r="372">
      <c r="A372" s="64">
        <f t="shared" si="3"/>
        <v>371</v>
      </c>
      <c r="B372" s="64"/>
      <c r="C372" s="64"/>
      <c r="D372" s="64"/>
      <c r="E372" s="64"/>
      <c r="F372" s="64"/>
      <c r="G372" s="64"/>
      <c r="H372" s="188"/>
      <c r="I372" s="65"/>
      <c r="J372" s="65"/>
      <c r="K372" s="66"/>
      <c r="L372" s="64"/>
      <c r="M372" s="64"/>
      <c r="N372" s="188"/>
      <c r="O372" s="188"/>
    </row>
    <row r="373">
      <c r="A373" s="64">
        <f t="shared" si="3"/>
        <v>372</v>
      </c>
      <c r="B373" s="64"/>
      <c r="C373" s="64"/>
      <c r="D373" s="64"/>
      <c r="E373" s="64"/>
      <c r="F373" s="64"/>
      <c r="G373" s="64"/>
      <c r="H373" s="188"/>
      <c r="I373" s="65"/>
      <c r="J373" s="65"/>
      <c r="K373" s="66"/>
      <c r="L373" s="64"/>
      <c r="M373" s="64"/>
      <c r="N373" s="188"/>
      <c r="O373" s="188"/>
    </row>
    <row r="374">
      <c r="A374" s="64">
        <f t="shared" si="3"/>
        <v>373</v>
      </c>
      <c r="B374" s="64"/>
      <c r="C374" s="64"/>
      <c r="D374" s="64"/>
      <c r="E374" s="64"/>
      <c r="F374" s="64"/>
      <c r="G374" s="64"/>
      <c r="H374" s="188"/>
      <c r="I374" s="65"/>
      <c r="J374" s="65"/>
      <c r="K374" s="66"/>
      <c r="L374" s="64"/>
      <c r="M374" s="64"/>
      <c r="N374" s="188"/>
      <c r="O374" s="188"/>
    </row>
    <row r="375">
      <c r="A375" s="64">
        <f t="shared" si="3"/>
        <v>374</v>
      </c>
      <c r="B375" s="64"/>
      <c r="C375" s="64"/>
      <c r="D375" s="64"/>
      <c r="E375" s="64"/>
      <c r="F375" s="64"/>
      <c r="G375" s="64"/>
      <c r="H375" s="188"/>
      <c r="I375" s="65"/>
      <c r="J375" s="65"/>
      <c r="K375" s="66"/>
      <c r="L375" s="64"/>
      <c r="M375" s="64"/>
      <c r="N375" s="188"/>
      <c r="O375" s="188"/>
    </row>
    <row r="376">
      <c r="A376" s="64">
        <f t="shared" si="3"/>
        <v>375</v>
      </c>
      <c r="B376" s="64"/>
      <c r="C376" s="64"/>
      <c r="D376" s="64"/>
      <c r="E376" s="64"/>
      <c r="F376" s="64"/>
      <c r="G376" s="64"/>
      <c r="H376" s="188"/>
      <c r="I376" s="65"/>
      <c r="J376" s="65"/>
      <c r="K376" s="66"/>
      <c r="L376" s="64"/>
      <c r="M376" s="64"/>
      <c r="N376" s="188"/>
      <c r="O376" s="188"/>
    </row>
    <row r="377">
      <c r="A377" s="64">
        <f t="shared" si="3"/>
        <v>376</v>
      </c>
      <c r="B377" s="64"/>
      <c r="C377" s="64"/>
      <c r="D377" s="64"/>
      <c r="E377" s="64"/>
      <c r="F377" s="64"/>
      <c r="G377" s="64"/>
      <c r="H377" s="188"/>
      <c r="I377" s="65"/>
      <c r="J377" s="65"/>
      <c r="K377" s="66"/>
      <c r="L377" s="64"/>
      <c r="M377" s="64"/>
      <c r="N377" s="188"/>
      <c r="O377" s="188"/>
    </row>
    <row r="378">
      <c r="A378" s="64">
        <f t="shared" si="3"/>
        <v>377</v>
      </c>
      <c r="B378" s="64"/>
      <c r="C378" s="64"/>
      <c r="D378" s="64"/>
      <c r="E378" s="64"/>
      <c r="F378" s="64"/>
      <c r="G378" s="64"/>
      <c r="H378" s="188"/>
      <c r="I378" s="65"/>
      <c r="J378" s="65"/>
      <c r="K378" s="66"/>
      <c r="L378" s="64"/>
      <c r="M378" s="64"/>
      <c r="N378" s="188"/>
      <c r="O378" s="188"/>
    </row>
    <row r="379">
      <c r="A379" s="64">
        <f t="shared" si="3"/>
        <v>378</v>
      </c>
      <c r="B379" s="64"/>
      <c r="C379" s="64"/>
      <c r="D379" s="64"/>
      <c r="E379" s="64"/>
      <c r="F379" s="64"/>
      <c r="G379" s="64"/>
      <c r="H379" s="188"/>
      <c r="I379" s="65"/>
      <c r="J379" s="65"/>
      <c r="K379" s="66"/>
      <c r="L379" s="64"/>
      <c r="M379" s="64"/>
      <c r="N379" s="188"/>
      <c r="O379" s="188"/>
    </row>
    <row r="380">
      <c r="A380" s="64">
        <f t="shared" si="3"/>
        <v>379</v>
      </c>
      <c r="B380" s="64"/>
      <c r="C380" s="64"/>
      <c r="D380" s="64"/>
      <c r="E380" s="64"/>
      <c r="F380" s="64"/>
      <c r="G380" s="64"/>
      <c r="H380" s="188"/>
      <c r="I380" s="65"/>
      <c r="J380" s="65"/>
      <c r="K380" s="66"/>
      <c r="L380" s="64"/>
      <c r="M380" s="64"/>
      <c r="N380" s="188"/>
      <c r="O380" s="188"/>
    </row>
    <row r="381">
      <c r="A381" s="64">
        <f t="shared" si="3"/>
        <v>380</v>
      </c>
      <c r="B381" s="64"/>
      <c r="C381" s="64"/>
      <c r="D381" s="64"/>
      <c r="E381" s="64"/>
      <c r="F381" s="64"/>
      <c r="G381" s="64"/>
      <c r="H381" s="188"/>
      <c r="I381" s="65"/>
      <c r="J381" s="65"/>
      <c r="K381" s="66"/>
      <c r="L381" s="64"/>
      <c r="M381" s="64"/>
      <c r="N381" s="188"/>
      <c r="O381" s="188"/>
    </row>
    <row r="382">
      <c r="A382" s="64">
        <f t="shared" si="3"/>
        <v>381</v>
      </c>
      <c r="B382" s="64"/>
      <c r="C382" s="64"/>
      <c r="D382" s="64"/>
      <c r="E382" s="64"/>
      <c r="F382" s="64"/>
      <c r="G382" s="64"/>
      <c r="H382" s="188"/>
      <c r="I382" s="65"/>
      <c r="J382" s="65"/>
      <c r="K382" s="66"/>
      <c r="L382" s="64"/>
      <c r="M382" s="64"/>
      <c r="N382" s="188"/>
      <c r="O382" s="188"/>
    </row>
    <row r="383">
      <c r="A383" s="64">
        <f t="shared" si="3"/>
        <v>382</v>
      </c>
      <c r="B383" s="64"/>
      <c r="C383" s="64"/>
      <c r="D383" s="64"/>
      <c r="E383" s="64"/>
      <c r="F383" s="64"/>
      <c r="G383" s="64"/>
      <c r="H383" s="188"/>
      <c r="I383" s="65"/>
      <c r="J383" s="65"/>
      <c r="K383" s="66"/>
      <c r="L383" s="64"/>
      <c r="M383" s="64"/>
      <c r="N383" s="188"/>
      <c r="O383" s="188"/>
    </row>
    <row r="384">
      <c r="A384" s="64">
        <f t="shared" si="3"/>
        <v>383</v>
      </c>
      <c r="B384" s="64"/>
      <c r="C384" s="64"/>
      <c r="D384" s="64"/>
      <c r="E384" s="64"/>
      <c r="F384" s="64"/>
      <c r="G384" s="64"/>
      <c r="H384" s="188"/>
      <c r="I384" s="65"/>
      <c r="J384" s="65"/>
      <c r="K384" s="66"/>
      <c r="L384" s="64"/>
      <c r="M384" s="64"/>
      <c r="N384" s="188"/>
      <c r="O384" s="188"/>
    </row>
    <row r="385">
      <c r="A385" s="64">
        <f t="shared" si="3"/>
        <v>384</v>
      </c>
      <c r="B385" s="64"/>
      <c r="C385" s="64"/>
      <c r="D385" s="64"/>
      <c r="E385" s="64"/>
      <c r="F385" s="64"/>
      <c r="G385" s="64"/>
      <c r="H385" s="188"/>
      <c r="I385" s="65"/>
      <c r="J385" s="65"/>
      <c r="K385" s="66"/>
      <c r="L385" s="64"/>
      <c r="M385" s="64"/>
      <c r="N385" s="188"/>
      <c r="O385" s="188"/>
    </row>
    <row r="386">
      <c r="A386" s="64">
        <f t="shared" si="3"/>
        <v>385</v>
      </c>
      <c r="B386" s="64"/>
      <c r="C386" s="64"/>
      <c r="D386" s="64"/>
      <c r="E386" s="64"/>
      <c r="F386" s="64"/>
      <c r="G386" s="64"/>
      <c r="H386" s="188"/>
      <c r="I386" s="65"/>
      <c r="J386" s="65"/>
      <c r="K386" s="66"/>
      <c r="L386" s="64"/>
      <c r="M386" s="64"/>
      <c r="N386" s="188"/>
      <c r="O386" s="188"/>
    </row>
    <row r="387">
      <c r="A387" s="64">
        <f t="shared" si="3"/>
        <v>386</v>
      </c>
      <c r="B387" s="64"/>
      <c r="C387" s="64"/>
      <c r="D387" s="64"/>
      <c r="E387" s="64"/>
      <c r="F387" s="64"/>
      <c r="G387" s="64"/>
      <c r="H387" s="188"/>
      <c r="I387" s="65"/>
      <c r="J387" s="65"/>
      <c r="K387" s="66"/>
      <c r="L387" s="64"/>
      <c r="M387" s="64"/>
      <c r="N387" s="188"/>
      <c r="O387" s="188"/>
    </row>
    <row r="388">
      <c r="A388" s="64">
        <f t="shared" si="3"/>
        <v>387</v>
      </c>
      <c r="B388" s="64"/>
      <c r="C388" s="64"/>
      <c r="D388" s="64"/>
      <c r="E388" s="64"/>
      <c r="F388" s="64"/>
      <c r="G388" s="64"/>
      <c r="H388" s="188"/>
      <c r="I388" s="65"/>
      <c r="J388" s="65"/>
      <c r="K388" s="66"/>
      <c r="L388" s="64"/>
      <c r="M388" s="64"/>
      <c r="N388" s="188"/>
      <c r="O388" s="188"/>
    </row>
    <row r="389">
      <c r="A389" s="64">
        <f t="shared" si="3"/>
        <v>388</v>
      </c>
      <c r="B389" s="64"/>
      <c r="C389" s="64"/>
      <c r="D389" s="64"/>
      <c r="E389" s="64"/>
      <c r="F389" s="64"/>
      <c r="G389" s="64"/>
      <c r="H389" s="188"/>
      <c r="I389" s="65"/>
      <c r="J389" s="65"/>
      <c r="K389" s="66"/>
      <c r="L389" s="64"/>
      <c r="M389" s="64"/>
      <c r="N389" s="188"/>
      <c r="O389" s="188"/>
    </row>
    <row r="390">
      <c r="A390" s="64">
        <f t="shared" si="3"/>
        <v>389</v>
      </c>
      <c r="B390" s="64"/>
      <c r="C390" s="64"/>
      <c r="D390" s="64"/>
      <c r="E390" s="64"/>
      <c r="F390" s="64"/>
      <c r="G390" s="64"/>
      <c r="H390" s="188"/>
      <c r="I390" s="65"/>
      <c r="J390" s="65"/>
      <c r="K390" s="66"/>
      <c r="L390" s="64"/>
      <c r="M390" s="64"/>
      <c r="N390" s="188"/>
      <c r="O390" s="188"/>
    </row>
    <row r="391">
      <c r="A391" s="64">
        <f t="shared" si="3"/>
        <v>390</v>
      </c>
      <c r="B391" s="64"/>
      <c r="C391" s="64"/>
      <c r="D391" s="64"/>
      <c r="E391" s="64"/>
      <c r="F391" s="64"/>
      <c r="G391" s="64"/>
      <c r="H391" s="188"/>
      <c r="I391" s="65"/>
      <c r="J391" s="65"/>
      <c r="K391" s="66"/>
      <c r="L391" s="64"/>
      <c r="M391" s="64"/>
      <c r="N391" s="188"/>
      <c r="O391" s="188"/>
    </row>
    <row r="392">
      <c r="A392" s="64">
        <f t="shared" si="3"/>
        <v>391</v>
      </c>
      <c r="B392" s="64"/>
      <c r="C392" s="64"/>
      <c r="D392" s="64"/>
      <c r="E392" s="64"/>
      <c r="F392" s="64"/>
      <c r="G392" s="64"/>
      <c r="H392" s="188"/>
      <c r="I392" s="65"/>
      <c r="J392" s="65"/>
      <c r="K392" s="66"/>
      <c r="L392" s="64"/>
      <c r="M392" s="64"/>
      <c r="N392" s="188"/>
      <c r="O392" s="188"/>
    </row>
    <row r="393">
      <c r="A393" s="64">
        <f t="shared" si="3"/>
        <v>392</v>
      </c>
      <c r="B393" s="64"/>
      <c r="C393" s="64"/>
      <c r="D393" s="64"/>
      <c r="E393" s="64"/>
      <c r="F393" s="64"/>
      <c r="G393" s="64"/>
      <c r="H393" s="188"/>
      <c r="I393" s="65"/>
      <c r="J393" s="65"/>
      <c r="K393" s="66"/>
      <c r="L393" s="64"/>
      <c r="M393" s="64"/>
      <c r="N393" s="188"/>
      <c r="O393" s="188"/>
    </row>
    <row r="394">
      <c r="A394" s="64">
        <f t="shared" si="3"/>
        <v>393</v>
      </c>
      <c r="B394" s="64"/>
      <c r="C394" s="64"/>
      <c r="D394" s="64"/>
      <c r="E394" s="64"/>
      <c r="F394" s="64"/>
      <c r="G394" s="64"/>
      <c r="H394" s="188"/>
      <c r="I394" s="65"/>
      <c r="J394" s="65"/>
      <c r="K394" s="66"/>
      <c r="L394" s="64"/>
      <c r="M394" s="64"/>
      <c r="N394" s="188"/>
      <c r="O394" s="188"/>
    </row>
    <row r="395">
      <c r="A395" s="64">
        <f t="shared" si="3"/>
        <v>394</v>
      </c>
      <c r="B395" s="64"/>
      <c r="C395" s="64"/>
      <c r="D395" s="64"/>
      <c r="E395" s="64"/>
      <c r="F395" s="64"/>
      <c r="G395" s="64"/>
      <c r="H395" s="188"/>
      <c r="I395" s="65"/>
      <c r="J395" s="65"/>
      <c r="K395" s="66"/>
      <c r="L395" s="64"/>
      <c r="M395" s="64"/>
      <c r="N395" s="188"/>
      <c r="O395" s="188"/>
    </row>
    <row r="396">
      <c r="A396" s="64">
        <f t="shared" si="3"/>
        <v>395</v>
      </c>
      <c r="B396" s="64"/>
      <c r="C396" s="64"/>
      <c r="D396" s="64"/>
      <c r="E396" s="64"/>
      <c r="F396" s="64"/>
      <c r="G396" s="64"/>
      <c r="H396" s="188"/>
      <c r="I396" s="65"/>
      <c r="J396" s="65"/>
      <c r="K396" s="66"/>
      <c r="L396" s="64"/>
      <c r="M396" s="64"/>
      <c r="N396" s="188"/>
      <c r="O396" s="188"/>
    </row>
    <row r="397">
      <c r="A397" s="64">
        <f t="shared" si="3"/>
        <v>396</v>
      </c>
      <c r="B397" s="64"/>
      <c r="C397" s="64"/>
      <c r="D397" s="64"/>
      <c r="E397" s="64"/>
      <c r="F397" s="64"/>
      <c r="G397" s="64"/>
      <c r="H397" s="188"/>
      <c r="I397" s="65"/>
      <c r="J397" s="65"/>
      <c r="K397" s="66"/>
      <c r="L397" s="64"/>
      <c r="M397" s="64"/>
      <c r="N397" s="188"/>
      <c r="O397" s="188"/>
    </row>
    <row r="398">
      <c r="A398" s="64">
        <f t="shared" si="3"/>
        <v>397</v>
      </c>
      <c r="B398" s="64"/>
      <c r="C398" s="64"/>
      <c r="D398" s="64"/>
      <c r="E398" s="64"/>
      <c r="F398" s="64"/>
      <c r="G398" s="64"/>
      <c r="H398" s="188"/>
      <c r="I398" s="65"/>
      <c r="J398" s="65"/>
      <c r="K398" s="66"/>
      <c r="L398" s="64"/>
      <c r="M398" s="64"/>
      <c r="N398" s="188"/>
      <c r="O398" s="188"/>
    </row>
    <row r="399">
      <c r="A399" s="64">
        <f t="shared" si="3"/>
        <v>398</v>
      </c>
      <c r="B399" s="64"/>
      <c r="C399" s="64"/>
      <c r="D399" s="64"/>
      <c r="E399" s="64"/>
      <c r="F399" s="64"/>
      <c r="G399" s="64"/>
      <c r="H399" s="188"/>
      <c r="I399" s="65"/>
      <c r="J399" s="65"/>
      <c r="K399" s="66"/>
      <c r="L399" s="64"/>
      <c r="M399" s="64"/>
      <c r="N399" s="188"/>
      <c r="O399" s="188"/>
    </row>
    <row r="400">
      <c r="A400" s="64">
        <f t="shared" si="3"/>
        <v>399</v>
      </c>
      <c r="B400" s="64"/>
      <c r="C400" s="64"/>
      <c r="D400" s="64"/>
      <c r="E400" s="64"/>
      <c r="F400" s="64"/>
      <c r="G400" s="64"/>
      <c r="H400" s="188"/>
      <c r="I400" s="65"/>
      <c r="J400" s="65"/>
      <c r="K400" s="66"/>
      <c r="L400" s="64"/>
      <c r="M400" s="64"/>
      <c r="N400" s="188"/>
      <c r="O400" s="188"/>
    </row>
    <row r="401">
      <c r="A401" s="64">
        <f t="shared" si="3"/>
        <v>400</v>
      </c>
      <c r="B401" s="64"/>
      <c r="C401" s="64"/>
      <c r="D401" s="64"/>
      <c r="E401" s="64"/>
      <c r="F401" s="64"/>
      <c r="G401" s="64"/>
      <c r="H401" s="188"/>
      <c r="I401" s="65"/>
      <c r="J401" s="65"/>
      <c r="K401" s="66"/>
      <c r="L401" s="64"/>
      <c r="M401" s="64"/>
      <c r="N401" s="188"/>
      <c r="O401" s="188"/>
    </row>
    <row r="402">
      <c r="A402" s="64">
        <f t="shared" si="3"/>
        <v>401</v>
      </c>
      <c r="B402" s="64"/>
      <c r="C402" s="64"/>
      <c r="D402" s="64"/>
      <c r="E402" s="64"/>
      <c r="F402" s="64"/>
      <c r="G402" s="64"/>
      <c r="H402" s="188"/>
      <c r="I402" s="65"/>
      <c r="J402" s="65"/>
      <c r="K402" s="66"/>
      <c r="L402" s="64"/>
      <c r="M402" s="64"/>
      <c r="N402" s="188"/>
      <c r="O402" s="188"/>
    </row>
    <row r="403">
      <c r="A403" s="64">
        <f t="shared" si="3"/>
        <v>402</v>
      </c>
      <c r="B403" s="64"/>
      <c r="C403" s="64"/>
      <c r="D403" s="64"/>
      <c r="E403" s="64"/>
      <c r="F403" s="64"/>
      <c r="G403" s="64"/>
      <c r="H403" s="188"/>
      <c r="I403" s="65"/>
      <c r="J403" s="65"/>
      <c r="K403" s="66"/>
      <c r="L403" s="64"/>
      <c r="M403" s="64"/>
      <c r="N403" s="188"/>
      <c r="O403" s="188"/>
    </row>
    <row r="404">
      <c r="A404" s="64">
        <f t="shared" si="3"/>
        <v>403</v>
      </c>
      <c r="B404" s="64"/>
      <c r="C404" s="64"/>
      <c r="D404" s="64"/>
      <c r="E404" s="64"/>
      <c r="F404" s="64"/>
      <c r="G404" s="64"/>
      <c r="H404" s="188"/>
      <c r="I404" s="65"/>
      <c r="J404" s="65"/>
      <c r="K404" s="66"/>
      <c r="L404" s="64"/>
      <c r="M404" s="64"/>
      <c r="N404" s="188"/>
      <c r="O404" s="188"/>
    </row>
    <row r="405">
      <c r="A405" s="64">
        <f t="shared" si="3"/>
        <v>404</v>
      </c>
      <c r="B405" s="64"/>
      <c r="C405" s="64"/>
      <c r="D405" s="64"/>
      <c r="E405" s="64"/>
      <c r="F405" s="64"/>
      <c r="G405" s="64"/>
      <c r="H405" s="188"/>
      <c r="I405" s="65"/>
      <c r="J405" s="65"/>
      <c r="K405" s="66"/>
      <c r="L405" s="64"/>
      <c r="M405" s="64"/>
      <c r="N405" s="188"/>
      <c r="O405" s="188"/>
    </row>
    <row r="406">
      <c r="A406" s="64">
        <f t="shared" si="3"/>
        <v>405</v>
      </c>
      <c r="B406" s="64"/>
      <c r="C406" s="64"/>
      <c r="D406" s="64"/>
      <c r="E406" s="64"/>
      <c r="F406" s="64"/>
      <c r="G406" s="64"/>
      <c r="H406" s="188"/>
      <c r="I406" s="65"/>
      <c r="J406" s="65"/>
      <c r="K406" s="66"/>
      <c r="L406" s="64"/>
      <c r="M406" s="64"/>
      <c r="N406" s="188"/>
      <c r="O406" s="188"/>
    </row>
    <row r="407">
      <c r="A407" s="189"/>
      <c r="B407" s="189"/>
      <c r="C407" s="189"/>
      <c r="D407" s="189"/>
      <c r="E407" s="189"/>
      <c r="F407" s="189"/>
      <c r="G407" s="189"/>
      <c r="H407" s="190"/>
      <c r="I407" s="191"/>
      <c r="J407" s="191"/>
      <c r="K407" s="192"/>
      <c r="L407" s="189"/>
      <c r="M407" s="189"/>
      <c r="N407" s="190"/>
      <c r="O407" s="190"/>
    </row>
    <row r="408">
      <c r="A408" s="189"/>
      <c r="B408" s="189"/>
      <c r="C408" s="189"/>
      <c r="D408" s="189"/>
      <c r="E408" s="189"/>
      <c r="F408" s="189"/>
      <c r="G408" s="189"/>
      <c r="H408" s="190"/>
      <c r="I408" s="191"/>
      <c r="J408" s="191"/>
      <c r="K408" s="192"/>
      <c r="L408" s="189"/>
      <c r="M408" s="189"/>
      <c r="N408" s="190"/>
      <c r="O408" s="190"/>
    </row>
    <row r="409">
      <c r="A409" s="189"/>
      <c r="B409" s="189"/>
      <c r="C409" s="189"/>
      <c r="D409" s="189"/>
      <c r="E409" s="189"/>
      <c r="F409" s="189"/>
      <c r="G409" s="189"/>
      <c r="H409" s="190"/>
      <c r="I409" s="191"/>
      <c r="J409" s="191"/>
      <c r="K409" s="192"/>
      <c r="L409" s="189"/>
      <c r="M409" s="189"/>
      <c r="N409" s="190"/>
      <c r="O409" s="190"/>
    </row>
    <row r="410">
      <c r="A410" s="189"/>
      <c r="B410" s="189"/>
      <c r="C410" s="189"/>
      <c r="D410" s="189"/>
      <c r="E410" s="189"/>
      <c r="F410" s="189"/>
      <c r="G410" s="189"/>
      <c r="H410" s="190"/>
      <c r="I410" s="191"/>
      <c r="J410" s="191"/>
      <c r="K410" s="192"/>
      <c r="L410" s="189"/>
      <c r="M410" s="189"/>
      <c r="N410" s="190"/>
      <c r="O410" s="190"/>
    </row>
    <row r="411">
      <c r="A411" s="189"/>
      <c r="B411" s="189"/>
      <c r="C411" s="189"/>
      <c r="D411" s="189"/>
      <c r="E411" s="189"/>
      <c r="F411" s="189"/>
      <c r="G411" s="189"/>
      <c r="H411" s="190"/>
      <c r="I411" s="191"/>
      <c r="J411" s="191"/>
      <c r="K411" s="192"/>
      <c r="L411" s="189"/>
      <c r="M411" s="189"/>
      <c r="N411" s="190"/>
      <c r="O411" s="190"/>
    </row>
    <row r="412">
      <c r="A412" s="189"/>
      <c r="B412" s="189"/>
      <c r="C412" s="189"/>
      <c r="D412" s="189"/>
      <c r="E412" s="189"/>
      <c r="F412" s="189"/>
      <c r="G412" s="189"/>
      <c r="H412" s="190"/>
      <c r="I412" s="191"/>
      <c r="J412" s="191"/>
      <c r="K412" s="192"/>
      <c r="L412" s="189"/>
      <c r="M412" s="189"/>
      <c r="N412" s="190"/>
      <c r="O412" s="190"/>
    </row>
    <row r="413">
      <c r="A413" s="189"/>
      <c r="B413" s="189"/>
      <c r="C413" s="189"/>
      <c r="D413" s="189"/>
      <c r="E413" s="189"/>
      <c r="F413" s="189"/>
      <c r="G413" s="189"/>
      <c r="H413" s="190"/>
      <c r="I413" s="191"/>
      <c r="J413" s="191"/>
      <c r="K413" s="192"/>
      <c r="L413" s="189"/>
      <c r="M413" s="189"/>
      <c r="N413" s="190"/>
      <c r="O413" s="190"/>
    </row>
    <row r="414">
      <c r="A414" s="189"/>
      <c r="B414" s="189"/>
      <c r="C414" s="189"/>
      <c r="D414" s="189"/>
      <c r="E414" s="189"/>
      <c r="F414" s="189"/>
      <c r="G414" s="189"/>
      <c r="H414" s="190"/>
      <c r="I414" s="191"/>
      <c r="J414" s="191"/>
      <c r="K414" s="192"/>
      <c r="L414" s="189"/>
      <c r="M414" s="189"/>
      <c r="N414" s="190"/>
      <c r="O414" s="190"/>
    </row>
    <row r="415">
      <c r="A415" s="189"/>
      <c r="B415" s="189"/>
      <c r="C415" s="189"/>
      <c r="D415" s="189"/>
      <c r="E415" s="189"/>
      <c r="F415" s="189"/>
      <c r="G415" s="189"/>
      <c r="H415" s="190"/>
      <c r="I415" s="191"/>
      <c r="J415" s="191"/>
      <c r="K415" s="192"/>
      <c r="L415" s="189"/>
      <c r="M415" s="189"/>
      <c r="N415" s="190"/>
      <c r="O415" s="190"/>
    </row>
    <row r="416">
      <c r="A416" s="189"/>
      <c r="B416" s="189"/>
      <c r="C416" s="189"/>
      <c r="D416" s="189"/>
      <c r="E416" s="189"/>
      <c r="F416" s="189"/>
      <c r="G416" s="189"/>
      <c r="H416" s="190"/>
      <c r="I416" s="191"/>
      <c r="J416" s="191"/>
      <c r="K416" s="192"/>
      <c r="L416" s="189"/>
      <c r="M416" s="189"/>
      <c r="N416" s="190"/>
      <c r="O416" s="190"/>
    </row>
    <row r="417">
      <c r="A417" s="189"/>
      <c r="B417" s="189"/>
      <c r="C417" s="189"/>
      <c r="D417" s="189"/>
      <c r="E417" s="189"/>
      <c r="F417" s="189"/>
      <c r="G417" s="189"/>
      <c r="H417" s="190"/>
      <c r="I417" s="191"/>
      <c r="J417" s="191"/>
      <c r="K417" s="192"/>
      <c r="L417" s="189"/>
      <c r="M417" s="189"/>
      <c r="N417" s="190"/>
      <c r="O417" s="190"/>
    </row>
    <row r="418">
      <c r="A418" s="189"/>
      <c r="B418" s="189"/>
      <c r="C418" s="189"/>
      <c r="D418" s="189"/>
      <c r="E418" s="189"/>
      <c r="F418" s="189"/>
      <c r="G418" s="189"/>
      <c r="H418" s="190"/>
      <c r="I418" s="191"/>
      <c r="J418" s="191"/>
      <c r="K418" s="192"/>
      <c r="L418" s="189"/>
      <c r="M418" s="189"/>
      <c r="N418" s="190"/>
      <c r="O418" s="190"/>
    </row>
    <row r="419">
      <c r="A419" s="189"/>
      <c r="B419" s="189"/>
      <c r="C419" s="189"/>
      <c r="D419" s="189"/>
      <c r="E419" s="189"/>
      <c r="F419" s="189"/>
      <c r="G419" s="189"/>
      <c r="H419" s="190"/>
      <c r="I419" s="191"/>
      <c r="J419" s="191"/>
      <c r="K419" s="192"/>
      <c r="L419" s="189"/>
      <c r="M419" s="189"/>
      <c r="N419" s="190"/>
      <c r="O419" s="190"/>
    </row>
    <row r="420">
      <c r="A420" s="189"/>
      <c r="B420" s="189"/>
      <c r="C420" s="189"/>
      <c r="D420" s="189"/>
      <c r="E420" s="189"/>
      <c r="F420" s="189"/>
      <c r="G420" s="189"/>
      <c r="H420" s="190"/>
      <c r="I420" s="191"/>
      <c r="J420" s="191"/>
      <c r="K420" s="192"/>
      <c r="L420" s="189"/>
      <c r="M420" s="189"/>
      <c r="N420" s="190"/>
      <c r="O420" s="190"/>
    </row>
    <row r="421">
      <c r="A421" s="189"/>
      <c r="B421" s="189"/>
      <c r="C421" s="189"/>
      <c r="D421" s="189"/>
      <c r="E421" s="189"/>
      <c r="F421" s="189"/>
      <c r="G421" s="189"/>
      <c r="H421" s="190"/>
      <c r="I421" s="191"/>
      <c r="J421" s="191"/>
      <c r="K421" s="192"/>
      <c r="L421" s="189"/>
      <c r="M421" s="189"/>
      <c r="N421" s="190"/>
      <c r="O421" s="190"/>
    </row>
    <row r="422">
      <c r="A422" s="189"/>
      <c r="B422" s="189"/>
      <c r="C422" s="189"/>
      <c r="D422" s="189"/>
      <c r="E422" s="189"/>
      <c r="F422" s="189"/>
      <c r="G422" s="189"/>
      <c r="H422" s="190"/>
      <c r="I422" s="191"/>
      <c r="J422" s="191"/>
      <c r="K422" s="192"/>
      <c r="L422" s="189"/>
      <c r="M422" s="189"/>
      <c r="N422" s="190"/>
      <c r="O422" s="190"/>
    </row>
    <row r="423">
      <c r="A423" s="189"/>
      <c r="B423" s="189"/>
      <c r="C423" s="189"/>
      <c r="D423" s="189"/>
      <c r="E423" s="189"/>
      <c r="F423" s="189"/>
      <c r="G423" s="189"/>
      <c r="H423" s="190"/>
      <c r="I423" s="191"/>
      <c r="J423" s="191"/>
      <c r="K423" s="192"/>
      <c r="L423" s="189"/>
      <c r="M423" s="189"/>
      <c r="N423" s="190"/>
      <c r="O423" s="190"/>
    </row>
    <row r="424">
      <c r="A424" s="189"/>
      <c r="B424" s="189"/>
      <c r="C424" s="189"/>
      <c r="D424" s="189"/>
      <c r="E424" s="189"/>
      <c r="F424" s="189"/>
      <c r="G424" s="189"/>
      <c r="H424" s="190"/>
      <c r="I424" s="191"/>
      <c r="J424" s="191"/>
      <c r="K424" s="192"/>
      <c r="L424" s="189"/>
      <c r="M424" s="189"/>
      <c r="N424" s="190"/>
      <c r="O424" s="190"/>
    </row>
    <row r="425">
      <c r="A425" s="189"/>
      <c r="B425" s="189"/>
      <c r="C425" s="189"/>
      <c r="D425" s="189"/>
      <c r="E425" s="189"/>
      <c r="F425" s="189"/>
      <c r="G425" s="189"/>
      <c r="H425" s="190"/>
      <c r="I425" s="191"/>
      <c r="J425" s="191"/>
      <c r="K425" s="192"/>
      <c r="L425" s="189"/>
      <c r="M425" s="189"/>
      <c r="N425" s="190"/>
      <c r="O425" s="190"/>
    </row>
    <row r="426">
      <c r="A426" s="189"/>
      <c r="B426" s="189"/>
      <c r="C426" s="189"/>
      <c r="D426" s="189"/>
      <c r="E426" s="189"/>
      <c r="F426" s="189"/>
      <c r="G426" s="189"/>
      <c r="H426" s="190"/>
      <c r="I426" s="191"/>
      <c r="J426" s="191"/>
      <c r="K426" s="192"/>
      <c r="L426" s="189"/>
      <c r="M426" s="189"/>
      <c r="N426" s="190"/>
      <c r="O426" s="190"/>
    </row>
    <row r="427">
      <c r="A427" s="189"/>
      <c r="B427" s="189"/>
      <c r="C427" s="189"/>
      <c r="D427" s="189"/>
      <c r="E427" s="189"/>
      <c r="F427" s="189"/>
      <c r="G427" s="189"/>
      <c r="H427" s="190"/>
      <c r="I427" s="191"/>
      <c r="J427" s="191"/>
      <c r="K427" s="192"/>
      <c r="L427" s="189"/>
      <c r="M427" s="189"/>
      <c r="N427" s="190"/>
      <c r="O427" s="190"/>
    </row>
    <row r="428">
      <c r="A428" s="189"/>
      <c r="B428" s="189"/>
      <c r="C428" s="189"/>
      <c r="D428" s="189"/>
      <c r="E428" s="189"/>
      <c r="F428" s="189"/>
      <c r="G428" s="189"/>
      <c r="H428" s="190"/>
      <c r="I428" s="191"/>
      <c r="J428" s="191"/>
      <c r="K428" s="192"/>
      <c r="L428" s="189"/>
      <c r="M428" s="189"/>
      <c r="N428" s="190"/>
      <c r="O428" s="190"/>
    </row>
    <row r="429">
      <c r="A429" s="189"/>
      <c r="B429" s="189"/>
      <c r="C429" s="189"/>
      <c r="D429" s="189"/>
      <c r="E429" s="189"/>
      <c r="F429" s="189"/>
      <c r="G429" s="189"/>
      <c r="H429" s="190"/>
      <c r="I429" s="191"/>
      <c r="J429" s="191"/>
      <c r="K429" s="192"/>
      <c r="L429" s="189"/>
      <c r="M429" s="189"/>
      <c r="N429" s="190"/>
      <c r="O429" s="190"/>
    </row>
    <row r="430">
      <c r="A430" s="189"/>
      <c r="B430" s="189"/>
      <c r="C430" s="189"/>
      <c r="D430" s="189"/>
      <c r="E430" s="189"/>
      <c r="F430" s="189"/>
      <c r="G430" s="189"/>
      <c r="H430" s="190"/>
      <c r="I430" s="191"/>
      <c r="J430" s="191"/>
      <c r="K430" s="192"/>
      <c r="L430" s="189"/>
      <c r="M430" s="189"/>
      <c r="N430" s="190"/>
      <c r="O430" s="190"/>
    </row>
    <row r="431">
      <c r="A431" s="189"/>
      <c r="B431" s="189"/>
      <c r="C431" s="189"/>
      <c r="D431" s="189"/>
      <c r="E431" s="189"/>
      <c r="F431" s="189"/>
      <c r="G431" s="189"/>
      <c r="H431" s="190"/>
      <c r="I431" s="191"/>
      <c r="J431" s="191"/>
      <c r="K431" s="192"/>
      <c r="L431" s="189"/>
      <c r="M431" s="189"/>
      <c r="N431" s="190"/>
      <c r="O431" s="190"/>
    </row>
    <row r="432">
      <c r="A432" s="189"/>
      <c r="B432" s="189"/>
      <c r="C432" s="189"/>
      <c r="D432" s="189"/>
      <c r="E432" s="189"/>
      <c r="F432" s="189"/>
      <c r="G432" s="189"/>
      <c r="H432" s="190"/>
      <c r="I432" s="191"/>
      <c r="J432" s="191"/>
      <c r="K432" s="192"/>
      <c r="L432" s="189"/>
      <c r="M432" s="189"/>
      <c r="N432" s="190"/>
      <c r="O432" s="190"/>
    </row>
    <row r="433">
      <c r="A433" s="189"/>
      <c r="B433" s="189"/>
      <c r="C433" s="189"/>
      <c r="D433" s="189"/>
      <c r="E433" s="189"/>
      <c r="F433" s="189"/>
      <c r="G433" s="189"/>
      <c r="H433" s="190"/>
      <c r="I433" s="191"/>
      <c r="J433" s="191"/>
      <c r="K433" s="192"/>
      <c r="L433" s="189"/>
      <c r="M433" s="189"/>
      <c r="N433" s="190"/>
      <c r="O433" s="190"/>
    </row>
    <row r="434">
      <c r="A434" s="189"/>
      <c r="B434" s="189"/>
      <c r="C434" s="189"/>
      <c r="D434" s="189"/>
      <c r="E434" s="189"/>
      <c r="F434" s="189"/>
      <c r="G434" s="189"/>
      <c r="H434" s="190"/>
      <c r="I434" s="191"/>
      <c r="J434" s="191"/>
      <c r="K434" s="192"/>
      <c r="L434" s="189"/>
      <c r="M434" s="189"/>
      <c r="N434" s="190"/>
      <c r="O434" s="190"/>
    </row>
    <row r="435">
      <c r="A435" s="189"/>
      <c r="B435" s="189"/>
      <c r="C435" s="189"/>
      <c r="D435" s="189"/>
      <c r="E435" s="189"/>
      <c r="F435" s="189"/>
      <c r="G435" s="189"/>
      <c r="H435" s="190"/>
      <c r="I435" s="191"/>
      <c r="J435" s="191"/>
      <c r="K435" s="192"/>
      <c r="L435" s="189"/>
      <c r="M435" s="189"/>
      <c r="N435" s="190"/>
      <c r="O435" s="190"/>
    </row>
    <row r="436">
      <c r="A436" s="189"/>
      <c r="B436" s="189"/>
      <c r="C436" s="189"/>
      <c r="D436" s="189"/>
      <c r="E436" s="189"/>
      <c r="F436" s="189"/>
      <c r="G436" s="189"/>
      <c r="H436" s="190"/>
      <c r="I436" s="191"/>
      <c r="J436" s="191"/>
      <c r="K436" s="192"/>
      <c r="L436" s="189"/>
      <c r="M436" s="189"/>
      <c r="N436" s="190"/>
      <c r="O436" s="190"/>
    </row>
    <row r="437">
      <c r="A437" s="189"/>
      <c r="B437" s="189"/>
      <c r="C437" s="189"/>
      <c r="D437" s="189"/>
      <c r="E437" s="189"/>
      <c r="F437" s="189"/>
      <c r="G437" s="189"/>
      <c r="H437" s="190"/>
      <c r="I437" s="191"/>
      <c r="J437" s="191"/>
      <c r="K437" s="192"/>
      <c r="L437" s="189"/>
      <c r="M437" s="189"/>
      <c r="N437" s="190"/>
      <c r="O437" s="190"/>
    </row>
    <row r="438">
      <c r="A438" s="189"/>
      <c r="B438" s="189"/>
      <c r="C438" s="189"/>
      <c r="D438" s="189"/>
      <c r="E438" s="189"/>
      <c r="F438" s="189"/>
      <c r="G438" s="189"/>
      <c r="H438" s="190"/>
      <c r="I438" s="191"/>
      <c r="J438" s="191"/>
      <c r="K438" s="192"/>
      <c r="L438" s="189"/>
      <c r="M438" s="189"/>
      <c r="N438" s="190"/>
      <c r="O438" s="190"/>
    </row>
    <row r="439">
      <c r="A439" s="189"/>
      <c r="B439" s="189"/>
      <c r="C439" s="189"/>
      <c r="D439" s="189"/>
      <c r="E439" s="189"/>
      <c r="F439" s="189"/>
      <c r="G439" s="189"/>
      <c r="H439" s="190"/>
      <c r="I439" s="191"/>
      <c r="J439" s="191"/>
      <c r="K439" s="192"/>
      <c r="L439" s="189"/>
      <c r="M439" s="189"/>
      <c r="N439" s="190"/>
      <c r="O439" s="190"/>
    </row>
    <row r="440">
      <c r="A440" s="189"/>
      <c r="B440" s="189"/>
      <c r="C440" s="189"/>
      <c r="D440" s="189"/>
      <c r="E440" s="189"/>
      <c r="F440" s="189"/>
      <c r="G440" s="189"/>
      <c r="H440" s="190"/>
      <c r="I440" s="191"/>
      <c r="J440" s="191"/>
      <c r="K440" s="192"/>
      <c r="L440" s="189"/>
      <c r="M440" s="189"/>
      <c r="N440" s="190"/>
      <c r="O440" s="190"/>
    </row>
    <row r="441">
      <c r="A441" s="189"/>
      <c r="B441" s="189"/>
      <c r="C441" s="189"/>
      <c r="D441" s="189"/>
      <c r="E441" s="189"/>
      <c r="F441" s="189"/>
      <c r="G441" s="189"/>
      <c r="H441" s="190"/>
      <c r="I441" s="191"/>
      <c r="J441" s="191"/>
      <c r="K441" s="192"/>
      <c r="L441" s="189"/>
      <c r="M441" s="189"/>
      <c r="N441" s="190"/>
      <c r="O441" s="190"/>
    </row>
    <row r="442">
      <c r="A442" s="189"/>
      <c r="B442" s="189"/>
      <c r="C442" s="189"/>
      <c r="D442" s="189"/>
      <c r="E442" s="189"/>
      <c r="F442" s="189"/>
      <c r="G442" s="189"/>
      <c r="H442" s="190"/>
      <c r="I442" s="191"/>
      <c r="J442" s="191"/>
      <c r="K442" s="192"/>
      <c r="L442" s="189"/>
      <c r="M442" s="189"/>
      <c r="N442" s="190"/>
      <c r="O442" s="190"/>
    </row>
    <row r="443">
      <c r="A443" s="189"/>
      <c r="B443" s="189"/>
      <c r="C443" s="189"/>
      <c r="D443" s="189"/>
      <c r="E443" s="189"/>
      <c r="F443" s="189"/>
      <c r="G443" s="189"/>
      <c r="H443" s="190"/>
      <c r="I443" s="191"/>
      <c r="J443" s="191"/>
      <c r="K443" s="192"/>
      <c r="L443" s="189"/>
      <c r="M443" s="189"/>
      <c r="N443" s="190"/>
      <c r="O443" s="190"/>
    </row>
    <row r="444">
      <c r="A444" s="189"/>
      <c r="B444" s="189"/>
      <c r="C444" s="189"/>
      <c r="D444" s="189"/>
      <c r="E444" s="189"/>
      <c r="F444" s="189"/>
      <c r="G444" s="189"/>
      <c r="H444" s="190"/>
      <c r="I444" s="191"/>
      <c r="J444" s="191"/>
      <c r="K444" s="192"/>
      <c r="L444" s="189"/>
      <c r="M444" s="189"/>
      <c r="N444" s="190"/>
      <c r="O444" s="190"/>
    </row>
    <row r="445">
      <c r="A445" s="189"/>
      <c r="B445" s="189"/>
      <c r="C445" s="189"/>
      <c r="D445" s="189"/>
      <c r="E445" s="189"/>
      <c r="F445" s="189"/>
      <c r="G445" s="189"/>
      <c r="H445" s="190"/>
      <c r="I445" s="191"/>
      <c r="J445" s="191"/>
      <c r="K445" s="192"/>
      <c r="L445" s="189"/>
      <c r="M445" s="189"/>
      <c r="N445" s="190"/>
      <c r="O445" s="190"/>
    </row>
    <row r="446">
      <c r="A446" s="189"/>
      <c r="B446" s="189"/>
      <c r="C446" s="189"/>
      <c r="D446" s="189"/>
      <c r="E446" s="189"/>
      <c r="F446" s="189"/>
      <c r="G446" s="189"/>
      <c r="H446" s="190"/>
      <c r="I446" s="191"/>
      <c r="J446" s="191"/>
      <c r="K446" s="192"/>
      <c r="L446" s="189"/>
      <c r="M446" s="189"/>
      <c r="N446" s="190"/>
      <c r="O446" s="190"/>
    </row>
    <row r="447">
      <c r="A447" s="189"/>
      <c r="B447" s="189"/>
      <c r="C447" s="189"/>
      <c r="D447" s="189"/>
      <c r="E447" s="189"/>
      <c r="F447" s="189"/>
      <c r="G447" s="189"/>
      <c r="H447" s="190"/>
      <c r="I447" s="191"/>
      <c r="J447" s="191"/>
      <c r="K447" s="192"/>
      <c r="L447" s="189"/>
      <c r="M447" s="189"/>
      <c r="N447" s="190"/>
      <c r="O447" s="190"/>
    </row>
    <row r="448">
      <c r="A448" s="189"/>
      <c r="B448" s="189"/>
      <c r="C448" s="189"/>
      <c r="D448" s="189"/>
      <c r="E448" s="189"/>
      <c r="F448" s="189"/>
      <c r="G448" s="189"/>
      <c r="H448" s="190"/>
      <c r="I448" s="191"/>
      <c r="J448" s="191"/>
      <c r="K448" s="192"/>
      <c r="L448" s="189"/>
      <c r="M448" s="189"/>
      <c r="N448" s="190"/>
      <c r="O448" s="190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190"/>
      <c r="O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190"/>
      <c r="O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190"/>
      <c r="O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190"/>
      <c r="O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190"/>
      <c r="O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190"/>
      <c r="O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190"/>
      <c r="O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190"/>
      <c r="O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190"/>
      <c r="O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</row>
  </sheetData>
  <conditionalFormatting sqref="M2:M499">
    <cfRule type="cellIs" dxfId="0" priority="1" operator="equal">
      <formula>"Ganha"</formula>
    </cfRule>
  </conditionalFormatting>
  <conditionalFormatting sqref="M2:M499">
    <cfRule type="cellIs" dxfId="1" priority="2" operator="equal">
      <formula>"Ganha/devolvida"</formula>
    </cfRule>
  </conditionalFormatting>
  <conditionalFormatting sqref="M2:M499">
    <cfRule type="cellIs" dxfId="2" priority="3" operator="equal">
      <formula>"Devolvida"</formula>
    </cfRule>
  </conditionalFormatting>
  <conditionalFormatting sqref="M2:M499">
    <cfRule type="cellIs" dxfId="3" priority="4" operator="equal">
      <formula>"Perdida/devolvida"</formula>
    </cfRule>
  </conditionalFormatting>
  <conditionalFormatting sqref="M2:M499">
    <cfRule type="cellIs" dxfId="4" priority="5" operator="equal">
      <formula>"Perdida"</formula>
    </cfRule>
  </conditionalFormatting>
  <conditionalFormatting sqref="N2:N457 O2:O998 R2:R33">
    <cfRule type="cellIs" dxfId="0" priority="6" operator="greaterThan">
      <formula>0</formula>
    </cfRule>
  </conditionalFormatting>
  <conditionalFormatting sqref="N2:N457 O2:O998 R2:R33">
    <cfRule type="cellIs" dxfId="4" priority="7" operator="lessThan">
      <formula>0</formula>
    </cfRule>
  </conditionalFormatting>
  <conditionalFormatting sqref="N2:N998 R2:R33">
    <cfRule type="cellIs" dxfId="2" priority="8" operator="equal">
      <formula>0</formula>
    </cfRule>
  </conditionalFormatting>
  <drawing r:id="rId1"/>
  <tableParts count="3">
    <tablePart r:id="rId5"/>
    <tablePart r:id="rId6"/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19" width="6.38"/>
    <col customWidth="1" min="20" max="20" width="5.88"/>
    <col customWidth="1" min="21" max="21" width="5.63"/>
    <col customWidth="1" min="22" max="22" width="6.63"/>
    <col customWidth="1" min="23" max="23" width="6.75"/>
    <col customWidth="1" min="24" max="24" width="5.63"/>
    <col customWidth="1" min="25" max="25" width="5.88"/>
    <col customWidth="1" min="26" max="26" width="6.75"/>
    <col customWidth="1" min="27" max="27" width="5.63"/>
    <col customWidth="1" min="28" max="37" width="6.63"/>
  </cols>
  <sheetData>
    <row r="1">
      <c r="A1" s="142"/>
      <c r="B1" s="193" t="s">
        <v>5921</v>
      </c>
      <c r="C1" s="194"/>
      <c r="D1" s="195"/>
      <c r="E1" s="193" t="s">
        <v>5922</v>
      </c>
      <c r="F1" s="194"/>
      <c r="G1" s="195"/>
      <c r="H1" s="193" t="s">
        <v>5923</v>
      </c>
      <c r="I1" s="194"/>
      <c r="J1" s="195"/>
      <c r="K1" s="193" t="s">
        <v>5924</v>
      </c>
      <c r="L1" s="194"/>
      <c r="M1" s="195"/>
      <c r="N1" s="193" t="s">
        <v>5925</v>
      </c>
      <c r="O1" s="194"/>
      <c r="P1" s="195"/>
      <c r="Q1" s="193" t="s">
        <v>5926</v>
      </c>
      <c r="R1" s="194"/>
      <c r="S1" s="195"/>
      <c r="T1" s="193" t="s">
        <v>5927</v>
      </c>
      <c r="U1" s="194"/>
      <c r="V1" s="195"/>
      <c r="W1" s="193" t="s">
        <v>5928</v>
      </c>
      <c r="X1" s="194"/>
      <c r="Y1" s="195"/>
      <c r="Z1" s="193" t="s">
        <v>5929</v>
      </c>
      <c r="AA1" s="194"/>
      <c r="AB1" s="195"/>
      <c r="AC1" s="196" t="s">
        <v>5930</v>
      </c>
      <c r="AD1" s="102"/>
      <c r="AE1" s="103"/>
      <c r="AF1" s="196" t="s">
        <v>5931</v>
      </c>
      <c r="AG1" s="102"/>
      <c r="AH1" s="103"/>
      <c r="AI1" s="196" t="s">
        <v>5932</v>
      </c>
      <c r="AJ1" s="102"/>
      <c r="AK1" s="103"/>
    </row>
    <row r="2">
      <c r="B2" s="100" t="s">
        <v>126</v>
      </c>
      <c r="C2" s="100" t="s">
        <v>125</v>
      </c>
      <c r="D2" s="100" t="s">
        <v>45</v>
      </c>
      <c r="E2" s="100" t="s">
        <v>126</v>
      </c>
      <c r="F2" s="100" t="s">
        <v>125</v>
      </c>
      <c r="G2" s="100" t="s">
        <v>45</v>
      </c>
      <c r="H2" s="100" t="s">
        <v>126</v>
      </c>
      <c r="I2" s="100" t="s">
        <v>125</v>
      </c>
      <c r="J2" s="100" t="s">
        <v>45</v>
      </c>
      <c r="K2" s="100" t="s">
        <v>126</v>
      </c>
      <c r="L2" s="100" t="s">
        <v>125</v>
      </c>
      <c r="M2" s="100" t="s">
        <v>45</v>
      </c>
      <c r="N2" s="100" t="s">
        <v>126</v>
      </c>
      <c r="O2" s="100" t="s">
        <v>125</v>
      </c>
      <c r="P2" s="100" t="s">
        <v>45</v>
      </c>
      <c r="Q2" s="100" t="s">
        <v>126</v>
      </c>
      <c r="R2" s="100" t="s">
        <v>125</v>
      </c>
      <c r="S2" s="100" t="s">
        <v>45</v>
      </c>
      <c r="T2" s="100" t="s">
        <v>126</v>
      </c>
      <c r="U2" s="100" t="s">
        <v>125</v>
      </c>
      <c r="V2" s="100" t="s">
        <v>45</v>
      </c>
      <c r="W2" s="100" t="s">
        <v>126</v>
      </c>
      <c r="X2" s="100" t="s">
        <v>125</v>
      </c>
      <c r="Y2" s="100" t="s">
        <v>45</v>
      </c>
      <c r="Z2" s="100" t="s">
        <v>126</v>
      </c>
      <c r="AA2" s="100" t="s">
        <v>125</v>
      </c>
      <c r="AB2" s="100" t="s">
        <v>45</v>
      </c>
      <c r="AC2" s="100" t="s">
        <v>126</v>
      </c>
      <c r="AD2" s="100" t="s">
        <v>125</v>
      </c>
      <c r="AE2" s="100" t="s">
        <v>45</v>
      </c>
      <c r="AF2" s="100" t="s">
        <v>126</v>
      </c>
      <c r="AG2" s="100" t="s">
        <v>125</v>
      </c>
      <c r="AH2" s="100" t="s">
        <v>45</v>
      </c>
      <c r="AI2" s="100" t="s">
        <v>126</v>
      </c>
      <c r="AJ2" s="100" t="s">
        <v>125</v>
      </c>
      <c r="AK2" s="100" t="s">
        <v>45</v>
      </c>
    </row>
    <row r="3">
      <c r="A3" s="101" t="s">
        <v>5933</v>
      </c>
      <c r="B3" s="45">
        <f>Janeiro24!W55</f>
        <v>3.58</v>
      </c>
      <c r="C3" s="45">
        <f>Janeiro24!V55</f>
        <v>-0.0865</v>
      </c>
      <c r="D3" s="46">
        <f t="shared" ref="D3:D8" si="1">C3/B3</f>
        <v>-0.02416201117</v>
      </c>
      <c r="E3" s="45">
        <f>Fevereiro24!W55</f>
        <v>11.486</v>
      </c>
      <c r="F3" s="45">
        <f>Fevereiro24!V55</f>
        <v>2.740775</v>
      </c>
      <c r="G3" s="46">
        <f t="shared" ref="G3:G8" si="2">F3/E3</f>
        <v>0.2386187533</v>
      </c>
      <c r="H3" s="45">
        <f>'Março24'!X56</f>
        <v>20.41901606</v>
      </c>
      <c r="I3" s="45">
        <f>'Março24'!W56</f>
        <v>1.32780501</v>
      </c>
      <c r="J3" s="46">
        <f t="shared" ref="J3:J8" si="3">I3/H3</f>
        <v>0.06502786452</v>
      </c>
      <c r="K3" s="45">
        <f>Abril24!X56</f>
        <v>17.31157547</v>
      </c>
      <c r="L3" s="45">
        <f>Abril24!W56</f>
        <v>1.875276415</v>
      </c>
      <c r="M3" s="46">
        <f t="shared" ref="M3:M8" si="4">L3/K3</f>
        <v>0.1083250001</v>
      </c>
      <c r="N3" s="45">
        <f>Maio24!AA56</f>
        <v>12.80064516</v>
      </c>
      <c r="O3" s="45">
        <f>Maio24!Z56</f>
        <v>1.620099022</v>
      </c>
      <c r="P3" s="46">
        <f t="shared" ref="P3:P8" si="5">O3/N3</f>
        <v>0.1265638568</v>
      </c>
      <c r="Q3" s="45">
        <f>Junho24!AA56</f>
        <v>8.7</v>
      </c>
      <c r="R3" s="45">
        <f>Junho24!Z56</f>
        <v>1.0315</v>
      </c>
      <c r="S3" s="46">
        <f t="shared" ref="S3:S8" si="6">R3/Q3</f>
        <v>0.1185632184</v>
      </c>
      <c r="T3" s="45">
        <f>Julho24!AA56</f>
        <v>7.065</v>
      </c>
      <c r="U3" s="45">
        <f>Julho24!Z56</f>
        <v>0.80375</v>
      </c>
      <c r="V3" s="46">
        <f t="shared" ref="V3:V8" si="7">U3/T3</f>
        <v>0.1137650389</v>
      </c>
      <c r="W3" s="45">
        <f>Agosto24!AA52</f>
        <v>18.62190723</v>
      </c>
      <c r="X3" s="45">
        <f>Agosto24!Z52</f>
        <v>2.39014918</v>
      </c>
      <c r="Y3" s="46">
        <f>X3/W3</f>
        <v>0.1283514707</v>
      </c>
      <c r="Z3" s="45">
        <f>Setembro24!Z52</f>
        <v>16.9688</v>
      </c>
      <c r="AA3" s="45">
        <f>Setembro24!Y52</f>
        <v>-0.981265</v>
      </c>
      <c r="AB3" s="46">
        <f>AA3/Z3</f>
        <v>-0.05782760124</v>
      </c>
      <c r="AC3" s="45">
        <f>Outubro24!Z52</f>
        <v>13.8306</v>
      </c>
      <c r="AD3" s="45">
        <f>Outubro24!Y52</f>
        <v>0.17869974</v>
      </c>
      <c r="AE3" s="46">
        <f>AD3/AC3</f>
        <v>0.01292060648</v>
      </c>
      <c r="AF3" s="45">
        <f>Novembro24!S52</f>
        <v>2.9247</v>
      </c>
      <c r="AG3" s="45">
        <f>Novembro24!R52</f>
        <v>1.158</v>
      </c>
      <c r="AH3" s="46">
        <f>AG3/AF3</f>
        <v>0.3959380449</v>
      </c>
      <c r="AI3" s="45" t="str">
        <f>Dezembro24!S52</f>
        <v>Invest</v>
      </c>
      <c r="AJ3" s="45"/>
      <c r="AK3" s="46"/>
    </row>
    <row r="4">
      <c r="A4" s="101" t="s">
        <v>5934</v>
      </c>
      <c r="B4" s="45">
        <f>Janeiro24!W53</f>
        <v>6.005</v>
      </c>
      <c r="C4" s="45">
        <f>Janeiro24!V53</f>
        <v>0.875235</v>
      </c>
      <c r="D4" s="46">
        <f t="shared" si="1"/>
        <v>0.1457510408</v>
      </c>
      <c r="E4" s="45">
        <f>Fevereiro24!W53</f>
        <v>13.365</v>
      </c>
      <c r="F4" s="45">
        <f>Fevereiro24!V53</f>
        <v>-0.07705</v>
      </c>
      <c r="G4" s="46">
        <f t="shared" si="2"/>
        <v>-0.005765057987</v>
      </c>
      <c r="H4" s="45">
        <f>'Março24'!X54</f>
        <v>17.00623</v>
      </c>
      <c r="I4" s="45">
        <f>'Março24'!W54</f>
        <v>0.84582125</v>
      </c>
      <c r="J4" s="46">
        <f t="shared" si="3"/>
        <v>0.04973596441</v>
      </c>
      <c r="K4" s="45">
        <f>Abril24!X54</f>
        <v>23.57</v>
      </c>
      <c r="L4" s="45">
        <f>Abril24!W54</f>
        <v>-7.02</v>
      </c>
      <c r="M4" s="46">
        <f t="shared" si="4"/>
        <v>-0.2978362325</v>
      </c>
      <c r="N4" s="45">
        <f>Maio24!AA54</f>
        <v>4.69</v>
      </c>
      <c r="O4" s="45">
        <f>Maio24!Z54</f>
        <v>1.02101</v>
      </c>
      <c r="P4" s="46">
        <f t="shared" si="5"/>
        <v>0.2176993603</v>
      </c>
      <c r="Q4" s="45">
        <f>Junho24!AA54</f>
        <v>8.076666667</v>
      </c>
      <c r="R4" s="45">
        <f>Junho24!Z54</f>
        <v>1.120933333</v>
      </c>
      <c r="S4" s="46">
        <f t="shared" si="6"/>
        <v>0.1387866281</v>
      </c>
      <c r="T4" s="45">
        <f>Julho24!AA54</f>
        <v>9.75</v>
      </c>
      <c r="U4" s="45">
        <f>Julho24!Z54</f>
        <v>0.5085</v>
      </c>
      <c r="V4" s="46">
        <f t="shared" si="7"/>
        <v>0.05215384615</v>
      </c>
      <c r="W4" s="197">
        <v>0.0</v>
      </c>
      <c r="X4" s="197">
        <v>0.0</v>
      </c>
      <c r="Y4" s="198">
        <v>0.0</v>
      </c>
      <c r="Z4" s="197">
        <v>0.0</v>
      </c>
      <c r="AA4" s="197">
        <v>0.0</v>
      </c>
      <c r="AB4" s="198">
        <v>0.0</v>
      </c>
      <c r="AC4" s="197">
        <v>0.0</v>
      </c>
      <c r="AD4" s="197">
        <v>0.0</v>
      </c>
      <c r="AE4" s="198">
        <v>0.0</v>
      </c>
      <c r="AF4" s="197">
        <v>0.0</v>
      </c>
      <c r="AG4" s="197">
        <v>0.0</v>
      </c>
      <c r="AH4" s="198">
        <v>0.0</v>
      </c>
      <c r="AI4" s="197"/>
      <c r="AJ4" s="197"/>
      <c r="AK4" s="198"/>
    </row>
    <row r="5">
      <c r="A5" s="101" t="s">
        <v>5935</v>
      </c>
      <c r="B5" s="45">
        <f>Janeiro24!W51</f>
        <v>13.35</v>
      </c>
      <c r="C5" s="45">
        <f>Janeiro24!V51</f>
        <v>1.3703</v>
      </c>
      <c r="D5" s="46">
        <f t="shared" si="1"/>
        <v>0.1026441948</v>
      </c>
      <c r="E5" s="45">
        <f>Fevereiro24!W51</f>
        <v>36.867</v>
      </c>
      <c r="F5" s="45">
        <f>Fevereiro24!V51</f>
        <v>7.95501</v>
      </c>
      <c r="G5" s="46">
        <f t="shared" si="2"/>
        <v>0.2157758971</v>
      </c>
      <c r="H5" s="45">
        <f>'Março24'!X52</f>
        <v>19.90294</v>
      </c>
      <c r="I5" s="45">
        <f>'Março24'!W52</f>
        <v>0.87399</v>
      </c>
      <c r="J5" s="46">
        <f t="shared" si="3"/>
        <v>0.04391260789</v>
      </c>
      <c r="K5" s="45">
        <f>Abril24!X52</f>
        <v>14.3051</v>
      </c>
      <c r="L5" s="45">
        <f>Abril24!W52</f>
        <v>4.31252</v>
      </c>
      <c r="M5" s="46">
        <f t="shared" si="4"/>
        <v>0.3014673089</v>
      </c>
      <c r="N5" s="45">
        <f>Maio24!AA52</f>
        <v>8.44</v>
      </c>
      <c r="O5" s="45">
        <f>Maio24!Z52</f>
        <v>0.576875</v>
      </c>
      <c r="P5" s="46">
        <f t="shared" si="5"/>
        <v>0.06835011848</v>
      </c>
      <c r="Q5" s="45">
        <f>Junho24!AA52</f>
        <v>7.03</v>
      </c>
      <c r="R5" s="45">
        <f>Junho24!Z52</f>
        <v>0.2809571429</v>
      </c>
      <c r="S5" s="46">
        <f t="shared" si="6"/>
        <v>0.03996545418</v>
      </c>
      <c r="T5" s="45">
        <f>Julho24!AA52</f>
        <v>7.944567308</v>
      </c>
      <c r="U5" s="45">
        <f>Julho24!Z52</f>
        <v>2.113156971</v>
      </c>
      <c r="V5" s="46">
        <f t="shared" si="7"/>
        <v>0.265987673</v>
      </c>
      <c r="W5" s="45">
        <f>Agosto24!AA53</f>
        <v>17.15406585</v>
      </c>
      <c r="X5" s="45">
        <f>Agosto24!Z53</f>
        <v>1.709554147</v>
      </c>
      <c r="Y5" s="46">
        <f t="shared" ref="Y5:Y8" si="8">X5/W5</f>
        <v>0.09965883085</v>
      </c>
      <c r="Z5" s="45">
        <f>Setembro24!Z53</f>
        <v>9.775485106</v>
      </c>
      <c r="AA5" s="45">
        <f>Setembro24!Y53</f>
        <v>-2.206679787</v>
      </c>
      <c r="AB5" s="46">
        <f>AA5/Z5</f>
        <v>-0.2257360901</v>
      </c>
      <c r="AC5" s="45">
        <f>Outubro24!Z53</f>
        <v>15.7151</v>
      </c>
      <c r="AD5" s="45">
        <f>Outubro24!Y53</f>
        <v>1.6411059</v>
      </c>
      <c r="AE5" s="46">
        <f t="shared" ref="AE5:AE9" si="9">AD5/AC5</f>
        <v>0.1044286005</v>
      </c>
      <c r="AF5" s="45">
        <f>Novembro24!S53</f>
        <v>7.6035</v>
      </c>
      <c r="AG5" s="45">
        <f>Novembro24!R53</f>
        <v>0.35399</v>
      </c>
      <c r="AH5" s="46">
        <f t="shared" ref="AH5:AH9" si="10">AG5/AF5</f>
        <v>0.04655619123</v>
      </c>
      <c r="AI5" s="45"/>
      <c r="AJ5" s="45"/>
      <c r="AK5" s="46"/>
    </row>
    <row r="6">
      <c r="A6" s="101" t="s">
        <v>5936</v>
      </c>
      <c r="B6" s="45">
        <f>Janeiro24!W56</f>
        <v>1.99</v>
      </c>
      <c r="C6" s="45">
        <f>Janeiro24!V56</f>
        <v>1.34153</v>
      </c>
      <c r="D6" s="46">
        <f t="shared" si="1"/>
        <v>0.6741356784</v>
      </c>
      <c r="E6" s="45">
        <f>Fevereiro24!W56</f>
        <v>1.1</v>
      </c>
      <c r="F6" s="45">
        <f>Fevereiro24!V56</f>
        <v>-0.2825</v>
      </c>
      <c r="G6" s="46">
        <f t="shared" si="2"/>
        <v>-0.2568181818</v>
      </c>
      <c r="H6" s="45">
        <f>'Março24'!X57</f>
        <v>2.984</v>
      </c>
      <c r="I6" s="45">
        <f>'Março24'!W57</f>
        <v>0.3315</v>
      </c>
      <c r="J6" s="46">
        <f t="shared" si="3"/>
        <v>0.1110924933</v>
      </c>
      <c r="K6" s="45">
        <f>Abril24!X57</f>
        <v>4.05</v>
      </c>
      <c r="L6" s="45">
        <f>Abril24!W57</f>
        <v>-0.23125</v>
      </c>
      <c r="M6" s="46">
        <f t="shared" si="4"/>
        <v>-0.05709876543</v>
      </c>
      <c r="N6" s="45">
        <f>Maio24!AA57</f>
        <v>1.23</v>
      </c>
      <c r="O6" s="45">
        <f>Maio24!Z57</f>
        <v>0.91055</v>
      </c>
      <c r="P6" s="46">
        <f t="shared" si="5"/>
        <v>0.7402845528</v>
      </c>
      <c r="Q6" s="45">
        <f>Junho24!AA57</f>
        <v>3.85</v>
      </c>
      <c r="R6" s="45">
        <f>Junho24!Z57</f>
        <v>0.8802314286</v>
      </c>
      <c r="S6" s="46">
        <f t="shared" si="6"/>
        <v>0.2286315399</v>
      </c>
      <c r="T6" s="45">
        <f>Julho24!AA57</f>
        <v>1</v>
      </c>
      <c r="U6" s="45">
        <f>Julho24!Z57</f>
        <v>0.4</v>
      </c>
      <c r="V6" s="46">
        <f t="shared" si="7"/>
        <v>0.4</v>
      </c>
      <c r="W6" s="45">
        <f>Agosto24!AA54</f>
        <v>2.23</v>
      </c>
      <c r="X6" s="45">
        <f>Agosto24!Z54</f>
        <v>0.564</v>
      </c>
      <c r="Y6" s="46">
        <f t="shared" si="8"/>
        <v>0.2529147982</v>
      </c>
      <c r="Z6" s="45">
        <f>Setembro24!Z54</f>
        <v>3.0839</v>
      </c>
      <c r="AA6" s="45">
        <f>Setembro24!Y54</f>
        <v>0.163075</v>
      </c>
      <c r="AB6" s="46">
        <v>0.0</v>
      </c>
      <c r="AC6" s="45">
        <f>Outubro24!Z54</f>
        <v>3.057</v>
      </c>
      <c r="AD6" s="45">
        <f>Outubro24!Y54</f>
        <v>-0.78346</v>
      </c>
      <c r="AE6" s="46">
        <f t="shared" si="9"/>
        <v>-0.2562839385</v>
      </c>
      <c r="AF6" s="45">
        <f>Novembro24!S54</f>
        <v>1.437</v>
      </c>
      <c r="AG6" s="45">
        <f>Novembro24!R54</f>
        <v>0.214</v>
      </c>
      <c r="AH6" s="46">
        <f t="shared" si="10"/>
        <v>0.148921364</v>
      </c>
      <c r="AI6" s="45"/>
      <c r="AJ6" s="45"/>
      <c r="AK6" s="46"/>
    </row>
    <row r="7">
      <c r="A7" s="101" t="s">
        <v>5937</v>
      </c>
      <c r="B7" s="45">
        <f>Janeiro24!W52</f>
        <v>21.7544</v>
      </c>
      <c r="C7" s="45">
        <f>Janeiro24!V52</f>
        <v>0.069898</v>
      </c>
      <c r="D7" s="46">
        <f t="shared" si="1"/>
        <v>0.003213051153</v>
      </c>
      <c r="E7" s="45">
        <f>Fevereiro24!W52</f>
        <v>44.77742857</v>
      </c>
      <c r="F7" s="45">
        <f>Fevereiro24!V52</f>
        <v>-0.1845621429</v>
      </c>
      <c r="G7" s="46">
        <f t="shared" si="2"/>
        <v>-0.004121767345</v>
      </c>
      <c r="H7" s="45">
        <f>'Março24'!X53</f>
        <v>58.91677441</v>
      </c>
      <c r="I7" s="45">
        <f>'Março24'!W53</f>
        <v>1.001935046</v>
      </c>
      <c r="J7" s="46">
        <f t="shared" si="3"/>
        <v>0.01700593856</v>
      </c>
      <c r="K7" s="45">
        <f>Abril24!X53</f>
        <v>31.69011628</v>
      </c>
      <c r="L7" s="45">
        <f>Abril24!W53</f>
        <v>-0.8132690698</v>
      </c>
      <c r="M7" s="46">
        <f t="shared" si="4"/>
        <v>-0.02566317721</v>
      </c>
      <c r="N7" s="45">
        <f>Maio24!AA53</f>
        <v>24.408</v>
      </c>
      <c r="O7" s="45">
        <f>Maio24!Z53</f>
        <v>-1.615112619</v>
      </c>
      <c r="P7" s="46">
        <f t="shared" si="5"/>
        <v>-0.06617144457</v>
      </c>
      <c r="Q7" s="45">
        <f>Junho24!AA53</f>
        <v>13.54032258</v>
      </c>
      <c r="R7" s="45">
        <f>Junho24!Z53</f>
        <v>2.546108065</v>
      </c>
      <c r="S7" s="46">
        <f t="shared" si="6"/>
        <v>0.1880389518</v>
      </c>
      <c r="T7" s="45">
        <f>Julho24!AA53</f>
        <v>7.591105769</v>
      </c>
      <c r="U7" s="45">
        <f>Julho24!Z53</f>
        <v>1.855534856</v>
      </c>
      <c r="V7" s="46">
        <f t="shared" si="7"/>
        <v>0.2444353843</v>
      </c>
      <c r="W7" s="45">
        <f>Agosto24!AA55</f>
        <v>24.71792884</v>
      </c>
      <c r="X7" s="45">
        <f>Agosto24!Z55</f>
        <v>2.542945248</v>
      </c>
      <c r="Y7" s="46">
        <f t="shared" si="8"/>
        <v>0.1028785731</v>
      </c>
      <c r="Z7" s="45">
        <f>Setembro24!Z55</f>
        <v>46.91274823</v>
      </c>
      <c r="AA7" s="45">
        <f>Setembro24!Y55</f>
        <v>1.287526616</v>
      </c>
      <c r="AB7" s="46">
        <f t="shared" ref="AB7:AB9" si="11">AA7/Z7</f>
        <v>0.02744513302</v>
      </c>
      <c r="AC7" s="45">
        <f>Outubro24!Z55</f>
        <v>45.28925</v>
      </c>
      <c r="AD7" s="45">
        <f>Outubro24!Y55</f>
        <v>-0.1226002667</v>
      </c>
      <c r="AE7" s="46">
        <f t="shared" si="9"/>
        <v>-0.002707050054</v>
      </c>
      <c r="AF7" s="45">
        <f>Novembro24!S55</f>
        <v>51.62654951</v>
      </c>
      <c r="AG7" s="45">
        <f>Novembro24!R55</f>
        <v>1.896044544</v>
      </c>
      <c r="AH7" s="46">
        <f t="shared" si="10"/>
        <v>0.03672615276</v>
      </c>
      <c r="AI7" s="45"/>
      <c r="AJ7" s="45"/>
      <c r="AK7" s="46"/>
    </row>
    <row r="8">
      <c r="A8" s="101" t="s">
        <v>5938</v>
      </c>
      <c r="B8" s="45">
        <f>Janeiro24!W54</f>
        <v>7.38</v>
      </c>
      <c r="C8" s="45">
        <f>Janeiro24!V54</f>
        <v>-1.61614</v>
      </c>
      <c r="D8" s="46">
        <f t="shared" si="1"/>
        <v>-0.2189891599</v>
      </c>
      <c r="E8" s="45">
        <f>Fevereiro24!W54</f>
        <v>15.5652</v>
      </c>
      <c r="F8" s="45">
        <f>Fevereiro24!V54</f>
        <v>3.95555</v>
      </c>
      <c r="G8" s="46">
        <f t="shared" si="2"/>
        <v>0.2541277979</v>
      </c>
      <c r="H8" s="45">
        <f>'Março24'!X55</f>
        <v>8.460862152</v>
      </c>
      <c r="I8" s="45">
        <f>'Março24'!W55</f>
        <v>2.965394211</v>
      </c>
      <c r="J8" s="46">
        <f t="shared" si="3"/>
        <v>0.3504836928</v>
      </c>
      <c r="K8" s="45">
        <f>Abril24!X55</f>
        <v>11.52</v>
      </c>
      <c r="L8" s="45">
        <f>Abril24!W55</f>
        <v>0.71315</v>
      </c>
      <c r="M8" s="46">
        <f t="shared" si="4"/>
        <v>0.06190538194</v>
      </c>
      <c r="N8" s="45">
        <f>Maio24!AA55</f>
        <v>4.31</v>
      </c>
      <c r="O8" s="45">
        <f>Maio24!Z55</f>
        <v>-0.62</v>
      </c>
      <c r="P8" s="46">
        <f t="shared" si="5"/>
        <v>-0.1438515081</v>
      </c>
      <c r="Q8" s="45">
        <f>Junho24!AA55</f>
        <v>2.1</v>
      </c>
      <c r="R8" s="45">
        <f>Junho24!Z55</f>
        <v>-0.4</v>
      </c>
      <c r="S8" s="46">
        <f t="shared" si="6"/>
        <v>-0.1904761905</v>
      </c>
      <c r="T8" s="45">
        <f>Julho24!AA55</f>
        <v>3.48</v>
      </c>
      <c r="U8" s="45">
        <f>Julho24!Z55</f>
        <v>0.0625</v>
      </c>
      <c r="V8" s="46">
        <f t="shared" si="7"/>
        <v>0.01795977011</v>
      </c>
      <c r="W8" s="45">
        <f>Agosto24!AA56</f>
        <v>9.396792453</v>
      </c>
      <c r="X8" s="45">
        <f>Agosto24!Z56</f>
        <v>1.145924528</v>
      </c>
      <c r="Y8" s="46">
        <f t="shared" si="8"/>
        <v>0.121948477</v>
      </c>
      <c r="Z8" s="45">
        <f>Setembro24!Z58</f>
        <v>10.6377</v>
      </c>
      <c r="AA8" s="45">
        <f>Setembro24!Y58</f>
        <v>1.2065535</v>
      </c>
      <c r="AB8" s="46">
        <f t="shared" si="11"/>
        <v>0.1134224033</v>
      </c>
      <c r="AC8" s="45">
        <f>Outubro24!Z58</f>
        <v>6.5089</v>
      </c>
      <c r="AD8" s="45">
        <f>Outubro24!Y58</f>
        <v>0.453863</v>
      </c>
      <c r="AE8" s="46">
        <f t="shared" si="9"/>
        <v>0.06972960101</v>
      </c>
      <c r="AF8" s="45">
        <f>Novembro24!S58</f>
        <v>3.3538</v>
      </c>
      <c r="AG8" s="45">
        <f>Novembro24!R58</f>
        <v>0.00942</v>
      </c>
      <c r="AH8" s="46">
        <f t="shared" si="10"/>
        <v>0.002808754249</v>
      </c>
      <c r="AI8" s="45"/>
      <c r="AJ8" s="45"/>
      <c r="AK8" s="46"/>
    </row>
    <row r="9">
      <c r="A9" s="101" t="s">
        <v>5939</v>
      </c>
      <c r="B9" s="197">
        <v>0.0</v>
      </c>
      <c r="C9" s="197">
        <v>0.0</v>
      </c>
      <c r="D9" s="198">
        <v>0.0</v>
      </c>
      <c r="E9" s="197">
        <v>0.0</v>
      </c>
      <c r="F9" s="197">
        <v>0.0</v>
      </c>
      <c r="G9" s="198">
        <v>0.0</v>
      </c>
      <c r="H9" s="197">
        <v>0.0</v>
      </c>
      <c r="I9" s="197">
        <v>0.0</v>
      </c>
      <c r="J9" s="198">
        <v>0.0</v>
      </c>
      <c r="K9" s="197">
        <v>0.0</v>
      </c>
      <c r="L9" s="197">
        <v>0.0</v>
      </c>
      <c r="M9" s="198">
        <v>0.0</v>
      </c>
      <c r="N9" s="197">
        <v>0.0</v>
      </c>
      <c r="O9" s="197">
        <v>0.0</v>
      </c>
      <c r="P9" s="198">
        <v>0.0</v>
      </c>
      <c r="Q9" s="197">
        <v>0.0</v>
      </c>
      <c r="R9" s="197">
        <v>0.0</v>
      </c>
      <c r="S9" s="198">
        <v>0.0</v>
      </c>
      <c r="T9" s="197">
        <v>0.0</v>
      </c>
      <c r="U9" s="197">
        <v>0.0</v>
      </c>
      <c r="V9" s="198">
        <v>0.0</v>
      </c>
      <c r="W9" s="197">
        <v>0.0</v>
      </c>
      <c r="X9" s="197">
        <v>0.0</v>
      </c>
      <c r="Y9" s="198">
        <v>0.0</v>
      </c>
      <c r="Z9" s="197">
        <f>Setembro24!Z56</f>
        <v>18.43594161</v>
      </c>
      <c r="AA9" s="197">
        <f>Setembro24!Y56</f>
        <v>-1.360796068</v>
      </c>
      <c r="AB9" s="198">
        <f t="shared" si="11"/>
        <v>-0.07381212724</v>
      </c>
      <c r="AC9" s="45">
        <f>Outubro24!Z56</f>
        <v>1.2427</v>
      </c>
      <c r="AD9" s="45">
        <f>Outubro24!Y56</f>
        <v>-0.197535</v>
      </c>
      <c r="AE9" s="46">
        <f t="shared" si="9"/>
        <v>-0.1589563048</v>
      </c>
      <c r="AF9" s="45">
        <f>Novembro24!S56</f>
        <v>32.94511232</v>
      </c>
      <c r="AG9" s="45">
        <f>Novembro24!R56</f>
        <v>2.727612978</v>
      </c>
      <c r="AH9" s="46">
        <f t="shared" si="10"/>
        <v>0.08279264468</v>
      </c>
      <c r="AI9" s="45"/>
      <c r="AJ9" s="45"/>
      <c r="AK9" s="46"/>
    </row>
    <row r="18">
      <c r="B18" s="101" t="s">
        <v>89</v>
      </c>
      <c r="C18" s="102"/>
      <c r="D18" s="103"/>
    </row>
    <row r="19">
      <c r="B19" s="41" t="s">
        <v>126</v>
      </c>
      <c r="C19" s="41" t="s">
        <v>125</v>
      </c>
      <c r="D19" s="41" t="s">
        <v>45</v>
      </c>
    </row>
    <row r="20">
      <c r="A20" s="41" t="s">
        <v>5933</v>
      </c>
      <c r="B20" s="45">
        <f t="shared" ref="B20:C20" si="12">B3+E3+H3+K3+N3+Q3+T3+W3+Z3+AC3+AF3</f>
        <v>133.7082439</v>
      </c>
      <c r="C20" s="45">
        <f t="shared" si="12"/>
        <v>12.05828937</v>
      </c>
      <c r="D20" s="46">
        <f t="shared" ref="D20:D26" si="14">C20/B20</f>
        <v>0.09018358938</v>
      </c>
    </row>
    <row r="21">
      <c r="A21" s="41" t="s">
        <v>5934</v>
      </c>
      <c r="B21" s="45">
        <f t="shared" ref="B21:C21" si="13">B4+E4+H4+K4+N4+Q4+T4+W4+Z4+AC4+AF4</f>
        <v>82.46289667</v>
      </c>
      <c r="C21" s="45">
        <f t="shared" si="13"/>
        <v>-2.725550417</v>
      </c>
      <c r="D21" s="46">
        <f t="shared" si="14"/>
        <v>-0.03305183939</v>
      </c>
    </row>
    <row r="22">
      <c r="A22" s="41" t="s">
        <v>5935</v>
      </c>
      <c r="B22" s="45">
        <f t="shared" ref="B22:C22" si="15">B5+E5+H5+K5+N5+Q5+T5+W5+Z5+AC5+AF5</f>
        <v>158.0877583</v>
      </c>
      <c r="C22" s="45">
        <f t="shared" si="15"/>
        <v>18.98077937</v>
      </c>
      <c r="D22" s="46">
        <f t="shared" si="14"/>
        <v>0.1200648272</v>
      </c>
    </row>
    <row r="23">
      <c r="A23" s="41" t="s">
        <v>5936</v>
      </c>
      <c r="B23" s="45">
        <f t="shared" ref="B23:C23" si="16">B6+E6+H6+K6+N6+Q6+T6+W6+Z6+AC6+AF6</f>
        <v>26.0119</v>
      </c>
      <c r="C23" s="45">
        <f t="shared" si="16"/>
        <v>3.507676429</v>
      </c>
      <c r="D23" s="46">
        <f t="shared" si="14"/>
        <v>0.1348489126</v>
      </c>
    </row>
    <row r="24">
      <c r="A24" s="41" t="s">
        <v>5937</v>
      </c>
      <c r="B24" s="45">
        <f t="shared" ref="B24:C24" si="17">B7+E7+H7+K7+N7+Q7+T7+W7+Z7+AC7+AF7</f>
        <v>371.2246242</v>
      </c>
      <c r="C24" s="45">
        <f t="shared" si="17"/>
        <v>8.464448275</v>
      </c>
      <c r="D24" s="46">
        <f t="shared" si="14"/>
        <v>0.02280141921</v>
      </c>
    </row>
    <row r="25">
      <c r="A25" s="41" t="s">
        <v>5938</v>
      </c>
      <c r="B25" s="45">
        <f t="shared" ref="B25:C25" si="18">B8+E8+H8+K8+N8+Q8+T8+W8+Z8+AC8+AF8</f>
        <v>82.7132546</v>
      </c>
      <c r="C25" s="45">
        <f t="shared" si="18"/>
        <v>7.87621524</v>
      </c>
      <c r="D25" s="46">
        <f t="shared" si="14"/>
        <v>0.09522313295</v>
      </c>
    </row>
    <row r="26">
      <c r="A26" s="41" t="s">
        <v>5939</v>
      </c>
      <c r="B26" s="45">
        <f t="shared" ref="B26:C26" si="19">B9+E9+H9+K9+N9+Q9+T9+W9+Z9+AC9+AF9</f>
        <v>52.62375393</v>
      </c>
      <c r="C26" s="45">
        <f t="shared" si="19"/>
        <v>1.16928191</v>
      </c>
      <c r="D26" s="46">
        <f t="shared" si="14"/>
        <v>0.0222196598</v>
      </c>
    </row>
    <row r="28">
      <c r="B28" s="101" t="s">
        <v>5940</v>
      </c>
      <c r="C28" s="102"/>
      <c r="D28" s="103"/>
      <c r="I28" s="101" t="s">
        <v>5940</v>
      </c>
      <c r="J28" s="102"/>
      <c r="K28" s="103"/>
    </row>
    <row r="29">
      <c r="B29" s="100" t="s">
        <v>5941</v>
      </c>
      <c r="C29" s="100" t="s">
        <v>5942</v>
      </c>
      <c r="D29" s="100" t="s">
        <v>5943</v>
      </c>
      <c r="I29" s="100" t="s">
        <v>5941</v>
      </c>
      <c r="J29" s="100" t="s">
        <v>5942</v>
      </c>
      <c r="K29" s="100" t="s">
        <v>5943</v>
      </c>
    </row>
    <row r="30">
      <c r="B30" s="41">
        <v>0.0</v>
      </c>
      <c r="C30" s="40">
        <f>B30</f>
        <v>0</v>
      </c>
      <c r="D30" s="199">
        <f>0.01</f>
        <v>0.01</v>
      </c>
      <c r="I30" s="41">
        <v>0.0</v>
      </c>
      <c r="J30" s="40">
        <f>I30</f>
        <v>0</v>
      </c>
      <c r="K30" s="199">
        <f>0.01</f>
        <v>0.01</v>
      </c>
    </row>
    <row r="31">
      <c r="B31" s="40">
        <f t="shared" ref="B31:B42" si="20">B30+0.5</f>
        <v>0.5</v>
      </c>
      <c r="C31" s="199">
        <f t="shared" ref="C31:C42" si="21">B31*1.25/100</f>
        <v>0.00625</v>
      </c>
      <c r="D31" s="199">
        <f t="shared" ref="D31:D39" si="22">C31+0.01</f>
        <v>0.01625</v>
      </c>
      <c r="I31" s="40">
        <f t="shared" ref="I31:I36" si="23">I30+0.5</f>
        <v>0.5</v>
      </c>
      <c r="J31" s="199">
        <f t="shared" ref="J31:J36" si="24">I31*1.25/100</f>
        <v>0.00625</v>
      </c>
      <c r="K31" s="199">
        <f t="shared" ref="K31:K36" si="25">J31+0.01</f>
        <v>0.01625</v>
      </c>
    </row>
    <row r="32">
      <c r="B32" s="40">
        <f t="shared" si="20"/>
        <v>1</v>
      </c>
      <c r="C32" s="199">
        <f t="shared" si="21"/>
        <v>0.0125</v>
      </c>
      <c r="D32" s="199">
        <f t="shared" si="22"/>
        <v>0.0225</v>
      </c>
      <c r="I32" s="40">
        <f t="shared" si="23"/>
        <v>1</v>
      </c>
      <c r="J32" s="199">
        <f t="shared" si="24"/>
        <v>0.0125</v>
      </c>
      <c r="K32" s="199">
        <f t="shared" si="25"/>
        <v>0.0225</v>
      </c>
    </row>
    <row r="33">
      <c r="B33" s="40">
        <f t="shared" si="20"/>
        <v>1.5</v>
      </c>
      <c r="C33" s="199">
        <f t="shared" si="21"/>
        <v>0.01875</v>
      </c>
      <c r="D33" s="199">
        <f t="shared" si="22"/>
        <v>0.02875</v>
      </c>
      <c r="I33" s="40">
        <f t="shared" si="23"/>
        <v>1.5</v>
      </c>
      <c r="J33" s="199">
        <f t="shared" si="24"/>
        <v>0.01875</v>
      </c>
      <c r="K33" s="199">
        <f t="shared" si="25"/>
        <v>0.02875</v>
      </c>
    </row>
    <row r="34">
      <c r="B34" s="40">
        <f t="shared" si="20"/>
        <v>2</v>
      </c>
      <c r="C34" s="199">
        <f t="shared" si="21"/>
        <v>0.025</v>
      </c>
      <c r="D34" s="199">
        <f t="shared" si="22"/>
        <v>0.035</v>
      </c>
      <c r="I34" s="40">
        <f t="shared" si="23"/>
        <v>2</v>
      </c>
      <c r="J34" s="199">
        <f t="shared" si="24"/>
        <v>0.025</v>
      </c>
      <c r="K34" s="199">
        <f t="shared" si="25"/>
        <v>0.035</v>
      </c>
    </row>
    <row r="35">
      <c r="B35" s="40">
        <f t="shared" si="20"/>
        <v>2.5</v>
      </c>
      <c r="C35" s="199">
        <f t="shared" si="21"/>
        <v>0.03125</v>
      </c>
      <c r="D35" s="199">
        <f t="shared" si="22"/>
        <v>0.04125</v>
      </c>
      <c r="I35" s="40">
        <f t="shared" si="23"/>
        <v>2.5</v>
      </c>
      <c r="J35" s="199">
        <f t="shared" si="24"/>
        <v>0.03125</v>
      </c>
      <c r="K35" s="199">
        <f t="shared" si="25"/>
        <v>0.04125</v>
      </c>
    </row>
    <row r="36">
      <c r="B36" s="40">
        <f t="shared" si="20"/>
        <v>3</v>
      </c>
      <c r="C36" s="199">
        <f t="shared" si="21"/>
        <v>0.0375</v>
      </c>
      <c r="D36" s="199">
        <f t="shared" si="22"/>
        <v>0.0475</v>
      </c>
      <c r="I36" s="40">
        <f t="shared" si="23"/>
        <v>3</v>
      </c>
      <c r="J36" s="199">
        <f t="shared" si="24"/>
        <v>0.0375</v>
      </c>
      <c r="K36" s="199">
        <f t="shared" si="25"/>
        <v>0.0475</v>
      </c>
    </row>
    <row r="37">
      <c r="B37" s="40">
        <f t="shared" si="20"/>
        <v>3.5</v>
      </c>
      <c r="C37" s="199">
        <f t="shared" si="21"/>
        <v>0.04375</v>
      </c>
      <c r="D37" s="199">
        <f t="shared" si="22"/>
        <v>0.05375</v>
      </c>
    </row>
    <row r="38">
      <c r="B38" s="40">
        <f t="shared" si="20"/>
        <v>4</v>
      </c>
      <c r="C38" s="199">
        <f t="shared" si="21"/>
        <v>0.05</v>
      </c>
      <c r="D38" s="199">
        <f t="shared" si="22"/>
        <v>0.06</v>
      </c>
    </row>
    <row r="39">
      <c r="B39" s="40">
        <f t="shared" si="20"/>
        <v>4.5</v>
      </c>
      <c r="C39" s="199">
        <f t="shared" si="21"/>
        <v>0.05625</v>
      </c>
      <c r="D39" s="199">
        <f t="shared" si="22"/>
        <v>0.06625</v>
      </c>
    </row>
    <row r="40">
      <c r="B40" s="40">
        <f t="shared" si="20"/>
        <v>5</v>
      </c>
      <c r="C40" s="199">
        <f t="shared" si="21"/>
        <v>0.0625</v>
      </c>
      <c r="D40" s="200">
        <v>0.07</v>
      </c>
    </row>
    <row r="41">
      <c r="B41" s="40">
        <f t="shared" si="20"/>
        <v>5.5</v>
      </c>
      <c r="C41" s="199">
        <f t="shared" si="21"/>
        <v>0.06875</v>
      </c>
      <c r="D41" s="200">
        <v>0.07</v>
      </c>
    </row>
    <row r="42">
      <c r="B42" s="40">
        <f t="shared" si="20"/>
        <v>6</v>
      </c>
      <c r="C42" s="199">
        <f t="shared" si="21"/>
        <v>0.075</v>
      </c>
      <c r="D42" s="200">
        <v>0.07</v>
      </c>
    </row>
  </sheetData>
  <mergeCells count="16">
    <mergeCell ref="T1:V1"/>
    <mergeCell ref="W1:Y1"/>
    <mergeCell ref="Z1:AB1"/>
    <mergeCell ref="AC1:AE1"/>
    <mergeCell ref="AF1:AH1"/>
    <mergeCell ref="AI1:AK1"/>
    <mergeCell ref="B18:D18"/>
    <mergeCell ref="B28:D28"/>
    <mergeCell ref="I28:K28"/>
    <mergeCell ref="A1:A2"/>
    <mergeCell ref="B1:D1"/>
    <mergeCell ref="E1:G1"/>
    <mergeCell ref="H1:J1"/>
    <mergeCell ref="K1:M1"/>
    <mergeCell ref="N1:P1"/>
    <mergeCell ref="Q1:S1"/>
  </mergeCells>
  <conditionalFormatting sqref="C3:C9 F3:F9 I3:I9 L3:L9 O3:O9 R3:R9 U3:U9 X3:X9 AA3:AA9 AD3:AD9 AG3:AG9 AJ3:AJ9">
    <cfRule type="colorScale" priority="1">
      <colorScale>
        <cfvo type="formula" val="-4"/>
        <cfvo type="formula" val="0"/>
        <cfvo type="formula" val="4"/>
        <color rgb="FFE67C73"/>
        <color rgb="FFFFFFFF"/>
        <color rgb="FF57BB8A"/>
      </colorScale>
    </cfRule>
  </conditionalFormatting>
  <conditionalFormatting sqref="D3:D9 G3:G9 J3:J9 M3:M9 P3:P9 S3:S9 V3:V9 Y3:Y9 AB3:AB9 AE3:AK9">
    <cfRule type="colorScale" priority="2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D3:D9 G3:G9 J3:J9 M3:M9 P3:P9 S3:S9 V3:V9 Y3:Y9 AB3:AB9 AE3:AK9">
    <cfRule type="colorScale" priority="3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B3:B9 E3:E9 H3:H9 K3:K9 N3:N9 Q3:Q9 T3:T9 W3:W9 Z3:Z9 AC3:AC9 AF3:AF9 AI3:AI9">
    <cfRule type="colorScale" priority="4">
      <colorScale>
        <cfvo type="formula" val="5"/>
        <cfvo type="formula" val="25"/>
        <color rgb="FFFFFFFF"/>
        <color rgb="FF57BB8A"/>
      </colorScale>
    </cfRule>
  </conditionalFormatting>
  <conditionalFormatting sqref="B20:B26">
    <cfRule type="colorScale" priority="5">
      <colorScale>
        <cfvo type="min"/>
        <cfvo type="max"/>
        <color rgb="FFFFFFFF"/>
        <color rgb="FF57BB8A"/>
      </colorScale>
    </cfRule>
  </conditionalFormatting>
  <conditionalFormatting sqref="C20:C26">
    <cfRule type="colorScale" priority="6">
      <colorScale>
        <cfvo type="min"/>
        <cfvo type="formula" val="0"/>
        <cfvo type="max"/>
        <color rgb="FFE67C73"/>
        <color rgb="FFFFFFFF"/>
        <color rgb="FF57BB8A"/>
      </colorScale>
    </cfRule>
  </conditionalFormatting>
  <conditionalFormatting sqref="D20:D26">
    <cfRule type="colorScale" priority="7">
      <colorScale>
        <cfvo type="min"/>
        <cfvo type="formula" val="0"/>
        <cfvo type="max"/>
        <color rgb="FFE67C73"/>
        <color rgb="FFFFFFFF"/>
        <color rgb="FF57BB8A"/>
      </colorScale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19.38"/>
  </cols>
  <sheetData>
    <row r="1">
      <c r="A1" s="201" t="s">
        <v>5944</v>
      </c>
      <c r="G1" s="50"/>
    </row>
    <row r="2">
      <c r="A2" s="3" t="s">
        <v>6</v>
      </c>
      <c r="B2" s="3" t="s">
        <v>34</v>
      </c>
      <c r="C2" s="3" t="s">
        <v>125</v>
      </c>
      <c r="D2" s="3" t="s">
        <v>45</v>
      </c>
      <c r="G2" s="50"/>
      <c r="H2" s="50"/>
      <c r="I2" s="50"/>
      <c r="J2" s="50"/>
    </row>
    <row r="3">
      <c r="A3" s="64" t="s">
        <v>440</v>
      </c>
      <c r="B3" s="65">
        <f>sumif(Geral!$K$2:$K$11434,A3,Geral!$O$2:$O$11434)</f>
        <v>30.59642857</v>
      </c>
      <c r="C3" s="65">
        <f>sumif(Geral!$K$2:$K$11434,A3,Geral!$S$2:$S$11434)</f>
        <v>-0.05039214286</v>
      </c>
      <c r="D3" s="109">
        <f t="shared" ref="D3:D30" si="1">C3/B3</f>
        <v>-0.00164699428</v>
      </c>
      <c r="E3" s="202"/>
      <c r="F3" s="202"/>
      <c r="G3" s="114"/>
      <c r="H3" s="65"/>
      <c r="I3" s="203"/>
    </row>
    <row r="4">
      <c r="A4" s="64" t="s">
        <v>29</v>
      </c>
      <c r="B4" s="65">
        <f>sumif(Geral!$K$2:$K$11434,A4,Geral!$O$2:$O$11434)</f>
        <v>66.27247193</v>
      </c>
      <c r="C4" s="65">
        <f>sumif(Geral!$K$2:$K$11434,A4,Geral!$S$2:$S$11434)</f>
        <v>5.093605279</v>
      </c>
      <c r="D4" s="112">
        <f t="shared" si="1"/>
        <v>0.07685853764</v>
      </c>
      <c r="E4" s="204"/>
      <c r="F4" s="204"/>
      <c r="G4" s="139"/>
      <c r="H4" s="65"/>
    </row>
    <row r="5">
      <c r="A5" s="64" t="s">
        <v>2939</v>
      </c>
      <c r="B5" s="65">
        <f>sumif(Geral!$K$2:$K$11434,A5,Geral!$O$2:$O$11434)</f>
        <v>4.67</v>
      </c>
      <c r="C5" s="65">
        <f>sumif(Geral!$K$2:$K$11434,A5,Geral!$S$2:$S$11434)</f>
        <v>-0.6636</v>
      </c>
      <c r="D5" s="109">
        <f t="shared" si="1"/>
        <v>-0.1420985011</v>
      </c>
      <c r="E5" s="202"/>
      <c r="F5" s="202"/>
      <c r="G5" s="114"/>
      <c r="H5" s="65"/>
    </row>
    <row r="6">
      <c r="A6" s="64" t="s">
        <v>2962</v>
      </c>
      <c r="B6" s="65">
        <f>sumif(Geral!$K$2:$K$11434,A6,Geral!$O$2:$O$11434)</f>
        <v>2.25</v>
      </c>
      <c r="C6" s="65">
        <f>sumif(Geral!$K$2:$K$11434,A6,Geral!$S$2:$S$11434)</f>
        <v>0.145</v>
      </c>
      <c r="D6" s="112">
        <f t="shared" si="1"/>
        <v>0.06444444444</v>
      </c>
      <c r="E6" s="204"/>
      <c r="F6" s="204"/>
      <c r="G6" s="139"/>
      <c r="H6" s="65"/>
    </row>
    <row r="7">
      <c r="A7" s="64" t="s">
        <v>225</v>
      </c>
      <c r="B7" s="65">
        <f>sumif(Geral!$K$2:$K$11434,A7,Geral!$O$2:$O$11434)</f>
        <v>534.7561492</v>
      </c>
      <c r="C7" s="65">
        <f>sumif(Geral!$K$2:$K$11434,A7,Geral!$S$2:$S$11434)</f>
        <v>33.38135946</v>
      </c>
      <c r="D7" s="109">
        <f t="shared" si="1"/>
        <v>0.0624235168</v>
      </c>
      <c r="E7" s="202"/>
      <c r="F7" s="202"/>
      <c r="G7" s="114"/>
      <c r="H7" s="65"/>
    </row>
    <row r="8">
      <c r="A8" s="64" t="s">
        <v>2725</v>
      </c>
      <c r="B8" s="65">
        <f>sumif(Geral!$K$2:$K$11434,A8,Geral!$O$2:$O$11434)</f>
        <v>5.38805</v>
      </c>
      <c r="C8" s="65">
        <f>sumif(Geral!$K$2:$K$11434,A8,Geral!$S$2:$S$11434)</f>
        <v>2.39824636</v>
      </c>
      <c r="D8" s="112">
        <f t="shared" si="1"/>
        <v>0.4451046965</v>
      </c>
      <c r="E8" s="204"/>
      <c r="F8" s="204"/>
      <c r="G8" s="139"/>
      <c r="H8" s="65"/>
    </row>
    <row r="9">
      <c r="A9" s="64" t="s">
        <v>1023</v>
      </c>
      <c r="B9" s="65">
        <f>sumif(Geral!$K$2:$K$11434,A9,Geral!$O$2:$O$11434)</f>
        <v>3.485800629</v>
      </c>
      <c r="C9" s="65">
        <f>sumif(Geral!$K$2:$K$11434,A9,Geral!$S$2:$S$11434)</f>
        <v>0.9114415035</v>
      </c>
      <c r="D9" s="109">
        <f t="shared" si="1"/>
        <v>0.261472643</v>
      </c>
      <c r="E9" s="202"/>
      <c r="F9" s="202"/>
      <c r="G9" s="114"/>
      <c r="H9" s="65"/>
    </row>
    <row r="10">
      <c r="A10" s="64" t="s">
        <v>892</v>
      </c>
      <c r="B10" s="65">
        <f>sumif(Geral!$K$2:$K$11434,A10,Geral!$O$2:$O$11434)</f>
        <v>624.8586702</v>
      </c>
      <c r="C10" s="65">
        <f>sumif(Geral!$K$2:$K$11434,A10,Geral!$S$2:$S$11434)</f>
        <v>52.9137552</v>
      </c>
      <c r="D10" s="112">
        <f t="shared" si="1"/>
        <v>0.08468115707</v>
      </c>
      <c r="E10" s="204"/>
      <c r="F10" s="204"/>
      <c r="G10" s="204"/>
    </row>
    <row r="11">
      <c r="A11" s="64" t="s">
        <v>1150</v>
      </c>
      <c r="B11" s="65">
        <f>sumif(Geral!$K$2:$K$11434,A11,Geral!$O$2:$O$11434)</f>
        <v>90.0255</v>
      </c>
      <c r="C11" s="65">
        <f>sumif(Geral!$K$2:$K$11434,A11,Geral!$S$2:$S$11434)</f>
        <v>1.1814104</v>
      </c>
      <c r="D11" s="109">
        <f t="shared" si="1"/>
        <v>0.01312306402</v>
      </c>
      <c r="E11" s="202"/>
      <c r="F11" s="202"/>
      <c r="G11" s="202"/>
    </row>
    <row r="12">
      <c r="A12" s="64" t="s">
        <v>941</v>
      </c>
      <c r="B12" s="65">
        <f>sumif(Geral!$K$2:$K$11434,A12,Geral!$O$2:$O$11434)</f>
        <v>58.34634878</v>
      </c>
      <c r="C12" s="65">
        <f>sumif(Geral!$K$2:$K$11434,A12,Geral!$S$2:$S$11434)</f>
        <v>7.595825005</v>
      </c>
      <c r="D12" s="112">
        <f t="shared" si="1"/>
        <v>0.1301850958</v>
      </c>
      <c r="E12" s="204"/>
      <c r="F12" s="204"/>
      <c r="G12" s="204"/>
    </row>
    <row r="13">
      <c r="A13" s="64" t="s">
        <v>894</v>
      </c>
      <c r="B13" s="65">
        <f>sumif(Geral!$K$2:$K$11434,A13,Geral!$O$2:$O$11434)</f>
        <v>49.1498448</v>
      </c>
      <c r="C13" s="65">
        <f>sumif(Geral!$K$2:$K$11434,A13,Geral!$S$2:$S$11434)</f>
        <v>0.9252510407</v>
      </c>
      <c r="D13" s="109">
        <f t="shared" si="1"/>
        <v>0.01882510605</v>
      </c>
      <c r="E13" s="202"/>
      <c r="F13" s="202"/>
      <c r="G13" s="202"/>
      <c r="I13" s="51"/>
    </row>
    <row r="14">
      <c r="A14" s="64" t="s">
        <v>1847</v>
      </c>
      <c r="B14" s="65">
        <f>sumif(Geral!$K$2:$K$11434,A14,Geral!$O$2:$O$11434)</f>
        <v>22.79120909</v>
      </c>
      <c r="C14" s="65">
        <f>sumif(Geral!$K$2:$K$11434,A14,Geral!$S$2:$S$11434)</f>
        <v>3.082467709</v>
      </c>
      <c r="D14" s="112">
        <f t="shared" si="1"/>
        <v>0.1352480992</v>
      </c>
      <c r="E14" s="204"/>
      <c r="F14" s="204"/>
      <c r="G14" s="204"/>
      <c r="I14" s="51"/>
    </row>
    <row r="15">
      <c r="A15" s="64" t="s">
        <v>2634</v>
      </c>
      <c r="B15" s="65">
        <f>sumif(Geral!$K$2:$K$11434,A15,Geral!$O$2:$O$11434)</f>
        <v>2.5</v>
      </c>
      <c r="C15" s="65">
        <f>sumif(Geral!$K$2:$K$11434,A15,Geral!$S$2:$S$11434)</f>
        <v>-1.185</v>
      </c>
      <c r="D15" s="109">
        <f t="shared" si="1"/>
        <v>-0.474</v>
      </c>
      <c r="E15" s="202"/>
      <c r="F15" s="202"/>
      <c r="G15" s="202"/>
      <c r="I15" s="51"/>
    </row>
    <row r="16">
      <c r="A16" s="64" t="s">
        <v>1165</v>
      </c>
      <c r="B16" s="65">
        <f>sumif(Geral!$K$2:$K$11434,A16,Geral!$O$2:$O$11434)</f>
        <v>8.658307692</v>
      </c>
      <c r="C16" s="65">
        <f>sumif(Geral!$K$2:$K$11434,A16,Geral!$S$2:$S$11434)</f>
        <v>4.458763077</v>
      </c>
      <c r="D16" s="112">
        <f t="shared" si="1"/>
        <v>0.5149693491</v>
      </c>
      <c r="E16" s="204"/>
      <c r="F16" s="204"/>
      <c r="G16" s="204"/>
      <c r="I16" s="51"/>
    </row>
    <row r="17">
      <c r="A17" s="64" t="s">
        <v>23</v>
      </c>
      <c r="B17" s="65">
        <f>sumif(Geral!$K$2:$K$11434,A17,Geral!$O$2:$O$11434)</f>
        <v>12.74505238</v>
      </c>
      <c r="C17" s="65">
        <f>sumif(Geral!$K$2:$K$11434,A17,Geral!$S$2:$S$11434)</f>
        <v>2.157652619</v>
      </c>
      <c r="D17" s="109">
        <f t="shared" si="1"/>
        <v>0.1692933504</v>
      </c>
      <c r="E17" s="202"/>
      <c r="F17" s="202"/>
      <c r="G17" s="202"/>
      <c r="I17" s="51"/>
    </row>
    <row r="18">
      <c r="A18" s="64" t="s">
        <v>2415</v>
      </c>
      <c r="B18" s="65">
        <f>sumif(Geral!$K$2:$K$11434,A18,Geral!$O$2:$O$11434)</f>
        <v>15.8768</v>
      </c>
      <c r="C18" s="65">
        <f>sumif(Geral!$K$2:$K$11434,A18,Geral!$S$2:$S$11434)</f>
        <v>0.77695</v>
      </c>
      <c r="D18" s="112">
        <f t="shared" si="1"/>
        <v>0.04893618361</v>
      </c>
      <c r="E18" s="204"/>
      <c r="F18" s="204"/>
      <c r="G18" s="204"/>
      <c r="I18" s="51"/>
    </row>
    <row r="19">
      <c r="A19" s="187" t="s">
        <v>5945</v>
      </c>
      <c r="B19" s="205">
        <f>sumifs(Geral!$O$2:$O$11434,Geral!$F$2:$F$11434,"M",Geral!$G$2:$G$11434,"Equilibrado")</f>
        <v>241.3443987</v>
      </c>
      <c r="C19" s="205">
        <f>sumifs(Geral!$S$2:$S$11434,Geral!$F$2:$F$11434,"M",Geral!$G$2:$G$11434,"Equilibrado")</f>
        <v>20.83749509</v>
      </c>
      <c r="D19" s="109">
        <f t="shared" si="1"/>
        <v>0.08633925294</v>
      </c>
      <c r="E19" s="202"/>
      <c r="F19" s="202"/>
      <c r="G19" s="202"/>
    </row>
    <row r="20">
      <c r="A20" s="187" t="s">
        <v>5946</v>
      </c>
      <c r="B20" s="205">
        <f>sumifs(Geral!$O$2:$O$11434,Geral!$F$2:$F$11434,"V",Geral!$G$2:$G$11434,"Equilibrado")</f>
        <v>276.8046447</v>
      </c>
      <c r="C20" s="205">
        <f>sumifs(Geral!$S$2:$S$11434,Geral!$F$2:$F$11434,"V",Geral!$G$2:$G$11434,"Equilibrado")</f>
        <v>23.23869858</v>
      </c>
      <c r="D20" s="112">
        <f t="shared" si="1"/>
        <v>0.08395342718</v>
      </c>
      <c r="E20" s="204"/>
      <c r="F20" s="204"/>
      <c r="G20" s="204"/>
    </row>
    <row r="21">
      <c r="A21" s="187" t="s">
        <v>5947</v>
      </c>
      <c r="B21" s="205">
        <f>sumifs(Geral!$O$2:$O$11434,Geral!$F$2:$F$11434,"M",Geral!$G$2:$G$11434,"Favorito")</f>
        <v>12.10455556</v>
      </c>
      <c r="C21" s="205">
        <f>sumifs(Geral!$S$2:$S$11434,Geral!$F$2:$F$11434,"M",Geral!$G$2:$G$11434,"Favorito")</f>
        <v>-1.3398</v>
      </c>
      <c r="D21" s="109">
        <f t="shared" si="1"/>
        <v>-0.1106856005</v>
      </c>
      <c r="E21" s="202"/>
      <c r="F21" s="202"/>
      <c r="G21" s="202"/>
    </row>
    <row r="22">
      <c r="A22" s="187" t="s">
        <v>5948</v>
      </c>
      <c r="B22" s="205">
        <f>sumifs(Geral!$O$2:$O$11434,Geral!$F$2:$F$11434,"V",Geral!$G$2:$G$11434,"Favorito")</f>
        <v>9.874453061</v>
      </c>
      <c r="C22" s="205">
        <f>sumifs(Geral!$S$2:$S$11434,Geral!$F$2:$F$11434,"V",Geral!$G$2:$G$11434,"Favorito")</f>
        <v>-1.618933061</v>
      </c>
      <c r="D22" s="112">
        <f t="shared" si="1"/>
        <v>-0.1639516691</v>
      </c>
      <c r="E22" s="204"/>
      <c r="F22" s="204"/>
      <c r="G22" s="204"/>
    </row>
    <row r="23">
      <c r="A23" s="187" t="s">
        <v>5949</v>
      </c>
      <c r="B23" s="205">
        <f>sumifs(Geral!$O$2:$O$11434,Geral!$F$2:$F$11434,"M",Geral!$G$2:$G$11434,"Zebra")</f>
        <v>166.1195028</v>
      </c>
      <c r="C23" s="205">
        <f>sumifs(Geral!$S$2:$S$11434,Geral!$F$2:$F$11434,"M",Geral!$G$2:$G$11434,"Zebra")</f>
        <v>12.95752822</v>
      </c>
      <c r="D23" s="109">
        <f t="shared" si="1"/>
        <v>0.07800124613</v>
      </c>
      <c r="E23" s="114" t="s">
        <v>5950</v>
      </c>
      <c r="G23" s="114"/>
      <c r="H23" s="114" t="s">
        <v>5951</v>
      </c>
      <c r="J23" s="202"/>
      <c r="K23" s="204"/>
    </row>
    <row r="24">
      <c r="A24" s="187" t="s">
        <v>5952</v>
      </c>
      <c r="B24" s="205">
        <f>sumifs(Geral!$O$2:$O$11434,Geral!$F$2:$F$11434,"V",Geral!$G$2:$G$11434,"Zebra")</f>
        <v>307.1623717</v>
      </c>
      <c r="C24" s="205">
        <f>sumifs(Geral!$S$2:$S$11434,Geral!$F$2:$F$11434,"V",Geral!$G$2:$G$11434,"Zebra")</f>
        <v>22.62449984</v>
      </c>
      <c r="D24" s="112">
        <f t="shared" si="1"/>
        <v>0.07365648246</v>
      </c>
      <c r="E24" s="139" t="s">
        <v>34</v>
      </c>
      <c r="F24" s="139" t="s">
        <v>125</v>
      </c>
      <c r="G24" s="139" t="s">
        <v>45</v>
      </c>
      <c r="H24" s="139" t="s">
        <v>34</v>
      </c>
      <c r="I24" s="139" t="s">
        <v>125</v>
      </c>
      <c r="J24" s="139" t="s">
        <v>45</v>
      </c>
      <c r="K24" s="204"/>
    </row>
    <row r="25">
      <c r="A25" s="187" t="s">
        <v>5953</v>
      </c>
      <c r="B25" s="205">
        <f>sumifs(Geral!$O$2:$O$11434,Geral!$D$2:$D$11434,"&lt;16",Geral!$D$2:$D$11434,"&gt;=0")</f>
        <v>68.23731824</v>
      </c>
      <c r="C25" s="205">
        <f>sumifs(Geral!$S$2:$S$11434,Geral!$D$2:$D$11434,"&lt;16",Geral!$D$2:$D$11434,"&gt;=0")</f>
        <v>4.027894511</v>
      </c>
      <c r="D25" s="109">
        <f t="shared" si="1"/>
        <v>0.05902773753</v>
      </c>
      <c r="E25" s="202">
        <f>sumifs(Geral!$O$2:$O$11434,Geral!$D$2:$D$11434,"&lt;16",Geral!$D$2:$D$11434,"&gt;=0",Geral!$K$2:$K$11434,"AH HT")+sumifs(Geral!$O$2:$O$11434,Geral!$D$2:$D$11434,"&lt;16",Geral!$D$2:$D$11434,"&gt;=0",Geral!$K$2:$K$11434,"AH+ HT")</f>
        <v>6.3818</v>
      </c>
      <c r="F25" s="202">
        <f>sumifs(Geral!$S$2:$S$11434,Geral!$D$2:$D$11434,"&lt;16",Geral!$D$2:$D$11434,"&gt;=0",Geral!$K$2:$K$11434,"AH HT")+sumifs(Geral!$S$2:$S$11434,Geral!$D$2:$D$11434,"&lt;16",Geral!$D$2:$D$11434,"&gt;=0",Geral!$K$2:$K$11434,"AH+ HT")</f>
        <v>0.1494504</v>
      </c>
      <c r="G25" s="109">
        <f t="shared" ref="G25:G27" si="2">F25/E25</f>
        <v>0.02341822056</v>
      </c>
      <c r="H25" s="206">
        <f>sumifs(Geral!$O$2:$O$11434,Geral!$D$2:$D$11434,"&lt;16",Geral!$D$2:$D$11434,"&gt;=0",Geral!$K$2:$K$11434,"&lt;&gt;AH HT")+sumifs(Geral!$O$2:$O$11434,Geral!$D$2:$D$11434,"&lt;16",Geral!$D$2:$D$11434,"&gt;=0",Geral!$K$2:$K$11434,"&lt;&gt;AH+ HT")</f>
        <v>130.0928365</v>
      </c>
      <c r="I25" s="206">
        <f>sumifs(Geral!$S$2:$S$11434,Geral!$D$2:$D$11434,"&lt;16",Geral!$D$2:$D$11434,"&gt;=0",Geral!$K$2:$K$11434,"&lt;&gt;AH HT")+sumifs(Geral!$S$2:$S$11434,Geral!$D$2:$D$11434,"&lt;16",Geral!$D$2:$D$11434,"&gt;=0",Geral!$K$2:$K$11434,"&lt;&gt;AH+ HT")</f>
        <v>7.906338621</v>
      </c>
      <c r="J25" s="109">
        <f t="shared" ref="J25:J30" si="3">I25/H25</f>
        <v>0.06077458864</v>
      </c>
      <c r="K25" s="114" t="s">
        <v>5953</v>
      </c>
    </row>
    <row r="26">
      <c r="A26" s="187" t="s">
        <v>5954</v>
      </c>
      <c r="B26" s="205">
        <f>sumifs(Geral!$O$2:$O$11434,Geral!$D$2:$D$11434,"&lt;31",Geral!$D$2:$D$11434,"&gt;15")</f>
        <v>187.5583747</v>
      </c>
      <c r="C26" s="205">
        <f>sumifs(Geral!$S$2:$S$11434,Geral!$D$2:$D$11434,"&lt;31",Geral!$D$2:$D$11434,"&gt;15")</f>
        <v>15.05668002</v>
      </c>
      <c r="D26" s="112">
        <f t="shared" si="1"/>
        <v>0.08027730055</v>
      </c>
      <c r="E26" s="204">
        <f>sumifs(Geral!$O$2:$O$11434,Geral!$D$2:$D$11434,"&lt;31",Geral!$D$2:$D$11434,"&gt;=15",Geral!$K$2:$K$11434,"AH HT")+sumifs(Geral!$O$2:$O$11434,Geral!$D$2:$D$11434,"&lt;31",Geral!$D$2:$D$11434,"&gt;=15",Geral!$K$2:$K$11434,"AH+ HT")</f>
        <v>46.9025</v>
      </c>
      <c r="F26" s="204">
        <f>sumifs(Geral!$S$2:$S$11434,Geral!$D$2:$D$11434,"&lt;31",Geral!$D$2:$D$11434,"&gt;=15",Geral!$K$2:$K$11434,"AH HT")+sumifs(Geral!$S$2:$S$11434,Geral!$D$2:$D$11434,"&lt;31",Geral!$D$2:$D$11434,"&gt;=15",Geral!$K$2:$K$11434,"AH+ HT")</f>
        <v>-2.2540496</v>
      </c>
      <c r="G26" s="112">
        <f t="shared" si="2"/>
        <v>-0.04805819732</v>
      </c>
      <c r="H26" s="207">
        <f>sumifs(Geral!$O$2:$O$11434,Geral!$D$2:$D$11434,"&lt;31",Geral!$D$2:$D$11434,"&gt;=15",Geral!$K$2:$K$11434,"&lt;&gt;AH HT")+sumifs(Geral!$O$2:$O$11434,Geral!$D$2:$D$11434,"&lt;31",Geral!$D$2:$D$11434,"&gt;=15",Geral!$K$2:$K$11434,"&lt;&gt;AH+ HT")</f>
        <v>342.4099094</v>
      </c>
      <c r="I26" s="207">
        <f>sumifs(Geral!$S$2:$S$11434,Geral!$D$2:$D$11434,"&lt;31",Geral!$D$2:$D$11434,"&gt;=15",Geral!$K$2:$K$11434,"&lt;&gt;AH HT")+sumifs(Geral!$S$2:$S$11434,Geral!$D$2:$D$11434,"&lt;31",Geral!$D$2:$D$11434,"&gt;=15",Geral!$K$2:$K$11434,"&lt;&gt;AH+ HT")</f>
        <v>30.66840544</v>
      </c>
      <c r="J26" s="112">
        <f t="shared" si="3"/>
        <v>0.08956634896</v>
      </c>
      <c r="K26" s="139" t="s">
        <v>5954</v>
      </c>
    </row>
    <row r="27">
      <c r="A27" s="187" t="s">
        <v>5955</v>
      </c>
      <c r="B27" s="205">
        <f>sumifs(Geral!$O$2:$O$11434,Geral!$D$2:$D$11434,"&lt;46",Geral!$D$2:$D$11434,"&gt;30")</f>
        <v>147.6032147</v>
      </c>
      <c r="C27" s="205">
        <f>sumifs(Geral!$S$2:$S$11434,Geral!$D$2:$D$11434,"&lt;46",Geral!$D$2:$D$11434,"&gt;30")</f>
        <v>18.80688204</v>
      </c>
      <c r="D27" s="109">
        <f t="shared" si="1"/>
        <v>0.1274151249</v>
      </c>
      <c r="E27" s="202">
        <f>sumifs(Geral!$O$2:$O$11434,Geral!$D$2:$D$11434,"&lt;45",Geral!$D$2:$D$11434,"&gt;=30",Geral!$K$2:$K$11434,"AH HT")+sumifs(Geral!$O$2:$O$11434,Geral!$D$2:$D$11434,"&lt;45",Geral!$D$2:$D$11434,"&gt;=30",Geral!$K$2:$K$11434,"AH+ HT")</f>
        <v>22.144</v>
      </c>
      <c r="F27" s="202">
        <f>sumifs(Geral!$S$2:$S$11434,Geral!$D$2:$D$11434,"&lt;45",Geral!$D$2:$D$11434,"&gt;=30",Geral!$K$2:$K$11434,"AH HT")+sumifs(Geral!$S$2:$S$11434,Geral!$D$2:$D$11434,"&lt;45",Geral!$D$2:$D$11434,"&gt;=30",Geral!$K$2:$K$11434,"AH+ HT")</f>
        <v>1.11005</v>
      </c>
      <c r="G27" s="109">
        <f t="shared" si="2"/>
        <v>0.05012870303</v>
      </c>
      <c r="H27" s="206">
        <f>sumifs(Geral!$O$2:$O$11434,Geral!$D$2:$D$11434,"&lt;45",Geral!$D$2:$D$11434,"&gt;=30",Geral!$K$2:$K$11434,"&lt;&gt;AH HT")+sumifs(Geral!$O$2:$O$11434,Geral!$D$2:$D$11434,"&lt;45",Geral!$D$2:$D$11434,"&gt;=30",Geral!$K$2:$K$11434,"&lt;&gt;AH+ HT")</f>
        <v>274.1197587</v>
      </c>
      <c r="I27" s="206">
        <f>sumifs(Geral!$S$2:$S$11434,Geral!$D$2:$D$11434,"&lt;45",Geral!$D$2:$D$11434,"&gt;=30",Geral!$K$2:$K$11434,"&lt;&gt;AH HT")+sumifs(Geral!$S$2:$S$11434,Geral!$D$2:$D$11434,"&lt;45",Geral!$D$2:$D$11434,"&gt;=30",Geral!$K$2:$K$11434,"&lt;&gt;AH+ HT")</f>
        <v>33.56337472</v>
      </c>
      <c r="J27" s="109">
        <f t="shared" si="3"/>
        <v>0.1224405525</v>
      </c>
      <c r="K27" s="114" t="s">
        <v>5955</v>
      </c>
    </row>
    <row r="28">
      <c r="A28" s="187" t="s">
        <v>5956</v>
      </c>
      <c r="B28" s="205">
        <f>sumifs(Geral!$O$2:$O$11434,Geral!$D$2:$D$11434,"&lt;61",Geral!$D$2:$D$11434,"&gt;=45")</f>
        <v>150.3275139</v>
      </c>
      <c r="C28" s="205">
        <f>sumifs(Geral!$S$2:$S$11434,Geral!$D$2:$D$11434,"&lt;61",Geral!$D$2:$D$11434,"&gt;=45")</f>
        <v>7.89014836</v>
      </c>
      <c r="D28" s="112">
        <f t="shared" si="1"/>
        <v>0.05248638893</v>
      </c>
      <c r="E28" s="204"/>
      <c r="F28" s="204"/>
      <c r="G28" s="204"/>
      <c r="H28" s="207">
        <f>sumifs(Geral!$O$2:$O$11434,Geral!$D$2:$D$11434,"&lt;60",Geral!$D$2:$D$11434,"&gt;=46",Geral!$K$2:$K$11434,"&lt;&gt;AH HT")+sumifs(Geral!$O$2:$O$11434,Geral!$D$2:$D$11434,"&lt;60",Geral!$D$2:$D$11434,"&gt;=46",Geral!$K$2:$K$11434,"&lt;&gt;AH+ HT")</f>
        <v>172.5960179</v>
      </c>
      <c r="I28" s="207">
        <f>sumifs(Geral!$S$2:$S$11434,Geral!$D$2:$D$11434,"&lt;60",Geral!$D$2:$D$11434,"&gt;=46",Geral!$K$2:$K$11434,"&lt;&gt;AH HT")+sumifs(Geral!$S$2:$S$11434,Geral!$D$2:$D$11434,"&lt;60",Geral!$D$2:$D$11434,"&gt;=46",Geral!$K$2:$K$11434,"&lt;&gt;AH+ HT")</f>
        <v>3.987594485</v>
      </c>
      <c r="J28" s="112">
        <f t="shared" si="3"/>
        <v>0.0231036297</v>
      </c>
      <c r="K28" s="139" t="s">
        <v>5956</v>
      </c>
    </row>
    <row r="29">
      <c r="A29" s="187" t="s">
        <v>5957</v>
      </c>
      <c r="B29" s="205">
        <f>sumifs(Geral!$O$2:$O$11434,Geral!$D$2:$D$11434,"&lt;76",Geral!$D$2:$D$11434,"&gt;=60")</f>
        <v>308.6917298</v>
      </c>
      <c r="C29" s="205">
        <f>sumifs(Geral!$S$2:$S$11434,Geral!$D$2:$D$11434,"&lt;76",Geral!$D$2:$D$11434,"&gt;=60")</f>
        <v>21.73667759</v>
      </c>
      <c r="D29" s="109">
        <f t="shared" si="1"/>
        <v>0.07041548408</v>
      </c>
      <c r="E29" s="202"/>
      <c r="F29" s="202"/>
      <c r="G29" s="202"/>
      <c r="H29" s="206">
        <f>sumifs(Geral!$O$2:$O$11434,Geral!$D$2:$D$11434,"&lt;75",Geral!$D$2:$D$11434,"&gt;=61",Geral!$K$2:$K$11434,"&lt;&gt;AH HT")+sumifs(Geral!$O$2:$O$11434,Geral!$D$2:$D$11434,"&lt;75",Geral!$D$2:$D$11434,"&gt;=61",Geral!$K$2:$K$11434,"&lt;&gt;AH+ HT")</f>
        <v>484.8396498</v>
      </c>
      <c r="I29" s="206">
        <f>sumifs(Geral!$S$2:$S$11434,Geral!$D$2:$D$11434,"&lt;75",Geral!$D$2:$D$11434,"&gt;=61",Geral!$K$2:$K$11434,"&lt;&gt;AH HT")+sumifs(Geral!$S$2:$S$11434,Geral!$D$2:$D$11434,"&lt;75",Geral!$D$2:$D$11434,"&gt;=61",Geral!$K$2:$K$11434,"&lt;&gt;AH+ HT")</f>
        <v>30.48110294</v>
      </c>
      <c r="J29" s="109">
        <f t="shared" si="3"/>
        <v>0.06286842041</v>
      </c>
      <c r="K29" s="114" t="s">
        <v>5957</v>
      </c>
    </row>
    <row r="30">
      <c r="A30" s="187" t="s">
        <v>5958</v>
      </c>
      <c r="B30" s="205">
        <f>sumifs(Geral!$O$2:$O$11434,Geral!$D$2:$D$11434,"&lt;91",Geral!$D$2:$D$11434,"&gt;=75")</f>
        <v>128.4640094</v>
      </c>
      <c r="C30" s="205">
        <f>sumifs(Geral!$S$2:$S$11434,Geral!$D$2:$D$11434,"&lt;91",Geral!$D$2:$D$11434,"&gt;=75")</f>
        <v>15.94440537</v>
      </c>
      <c r="D30" s="112">
        <f t="shared" si="1"/>
        <v>0.1241157383</v>
      </c>
      <c r="E30" s="204"/>
      <c r="F30" s="204"/>
      <c r="G30" s="204"/>
      <c r="H30" s="207">
        <f>sumifs(Geral!$O$2:$O$11434,Geral!$D$2:$D$11434,"&lt;90",Geral!$D$2:$D$11434,"&gt;=76",Geral!$K$2:$K$11434,"&lt;&gt;AH HT")+sumifs(Geral!$O$2:$O$11434,Geral!$D$2:$D$11434,"&lt;90",Geral!$D$2:$D$11434,"&gt;=76",Geral!$K$2:$K$11434,"&lt;&gt;AH+ HT")</f>
        <v>204.3614187</v>
      </c>
      <c r="I30" s="207">
        <f>sumifs(Geral!$S$2:$S$11434,Geral!$D$2:$D$11434,"&lt;90",Geral!$D$2:$D$11434,"&gt;=76",Geral!$K$2:$K$11434,"&lt;&gt;AH HT")+sumifs(Geral!$S$2:$S$11434,Geral!$D$2:$D$11434,"&lt;90",Geral!$D$2:$D$11434,"&gt;=76",Geral!$K$2:$K$11434,"&lt;&gt;AH+ HT")</f>
        <v>21.93311074</v>
      </c>
      <c r="J30" s="112">
        <f t="shared" si="3"/>
        <v>0.1073251051</v>
      </c>
      <c r="K30" s="139" t="s">
        <v>5958</v>
      </c>
    </row>
    <row r="32">
      <c r="A32" s="201" t="s">
        <v>7</v>
      </c>
    </row>
    <row r="33">
      <c r="A33" s="2" t="s">
        <v>7</v>
      </c>
      <c r="B33" s="3" t="s">
        <v>34</v>
      </c>
      <c r="C33" s="3" t="s">
        <v>125</v>
      </c>
      <c r="D33" s="3" t="s">
        <v>45</v>
      </c>
    </row>
    <row r="34">
      <c r="A34" s="64" t="s">
        <v>39</v>
      </c>
      <c r="B34" s="65">
        <f>sumif(Geral!$L$2:$L$11434,A34,Geral!$O$2:$O$11434)</f>
        <v>177.4365603</v>
      </c>
      <c r="C34" s="65">
        <f>sumif(Geral!$L$2:$L$11434,A34,Geral!$S$2:$S$11434)</f>
        <v>-0.2895150904</v>
      </c>
      <c r="D34" s="21">
        <f t="shared" ref="D34:D38" si="4">C34/B34</f>
        <v>-0.001631654096</v>
      </c>
    </row>
    <row r="35">
      <c r="A35" s="64" t="s">
        <v>24</v>
      </c>
      <c r="B35" s="65">
        <f>sumif(Geral!$L$2:$L$11434,A35,Geral!$O$2:$O$11434)</f>
        <v>1139.971191</v>
      </c>
      <c r="C35" s="65">
        <f>sumif(Geral!$L$2:$L$11434,A35,Geral!$S$2:$S$11434)</f>
        <v>99.573817</v>
      </c>
      <c r="D35" s="21">
        <f t="shared" si="4"/>
        <v>0.08734766088</v>
      </c>
    </row>
    <row r="36">
      <c r="A36" s="64" t="s">
        <v>1522</v>
      </c>
      <c r="B36" s="65">
        <f>sumif(Geral!$L$2:$L$11434,A36,Geral!$O$2:$O$11434)</f>
        <v>120.9155547</v>
      </c>
      <c r="C36" s="65">
        <f>sumif(Geral!$L$2:$L$11434,A36,Geral!$S$2:$S$11434)</f>
        <v>11.48140036</v>
      </c>
      <c r="D36" s="21">
        <f t="shared" si="4"/>
        <v>0.09495387418</v>
      </c>
    </row>
    <row r="37">
      <c r="A37" s="187" t="s">
        <v>1803</v>
      </c>
      <c r="B37" s="205">
        <f>sumif(Geral!$L$2:$L$11434,A37,Geral!$O$2:$O$11434)</f>
        <v>30.4335</v>
      </c>
      <c r="C37" s="205">
        <f>sumif(Geral!$L$2:$L$11434,A37,Geral!$S$2:$S$11434)</f>
        <v>-3.81794125</v>
      </c>
      <c r="D37" s="21">
        <f t="shared" si="4"/>
        <v>-0.125451928</v>
      </c>
    </row>
    <row r="38">
      <c r="A38" s="64" t="s">
        <v>1851</v>
      </c>
      <c r="B38" s="65">
        <f>sumif(Geral!$L$2:$L$11434,A38,Geral!$O$2:$O$11434)</f>
        <v>73.546071</v>
      </c>
      <c r="C38" s="65">
        <f>sumif(Geral!$L$2:$L$11434,A38,Geral!$S$2:$S$11434)</f>
        <v>4.161509757</v>
      </c>
      <c r="D38" s="21">
        <f t="shared" si="4"/>
        <v>0.05658371278</v>
      </c>
    </row>
    <row r="40">
      <c r="A40" s="201" t="s">
        <v>5959</v>
      </c>
    </row>
    <row r="41">
      <c r="A41" s="3" t="s">
        <v>6</v>
      </c>
      <c r="B41" s="3" t="s">
        <v>34</v>
      </c>
      <c r="C41" s="3" t="s">
        <v>125</v>
      </c>
      <c r="D41" s="3" t="s">
        <v>45</v>
      </c>
    </row>
    <row r="42">
      <c r="A42" s="64" t="s">
        <v>440</v>
      </c>
      <c r="B42" s="65">
        <f>sumif(Junho23!$J$2:$J$1000,A42,Junho23!$N$2:$N$2000)</f>
        <v>9</v>
      </c>
      <c r="C42" s="65">
        <f>sumif(Junho23!$J$2:$J$1000,A42,Junho23!$R$2:$R$2000)</f>
        <v>1.2325</v>
      </c>
      <c r="D42" s="21">
        <f t="shared" ref="D42:D57" si="5">C42/B42</f>
        <v>0.1369444444</v>
      </c>
    </row>
    <row r="43">
      <c r="A43" s="64" t="s">
        <v>29</v>
      </c>
      <c r="B43" s="65">
        <f>sumif(Junho23!$J$2:$J$1000,A43,Junho23!$N$2:$N$2000)</f>
        <v>7.8671</v>
      </c>
      <c r="C43" s="65">
        <f>sumif(Junho23!$J$2:$J$1000,A43,Junho23!$R$2:$R$2000)</f>
        <v>1.05253416</v>
      </c>
      <c r="D43" s="21">
        <f t="shared" si="5"/>
        <v>0.1337893455</v>
      </c>
    </row>
    <row r="44">
      <c r="A44" s="64" t="s">
        <v>2939</v>
      </c>
      <c r="B44" s="65">
        <f>sumif(Junho23!$J$2:$J$1000,A44,Junho23!$N$2:$N$2000)</f>
        <v>0</v>
      </c>
      <c r="C44" s="65">
        <f>sumif(Junho23!$J$2:$J$1000,A44,Junho23!$R$2:$R$2000)</f>
        <v>0</v>
      </c>
      <c r="D44" s="21" t="str">
        <f t="shared" si="5"/>
        <v>#DIV/0!</v>
      </c>
    </row>
    <row r="45">
      <c r="A45" s="64" t="s">
        <v>2962</v>
      </c>
      <c r="B45" s="65">
        <f>sumif(Junho23!$J$2:$J$1000,A45,Junho23!$N$2:$N$2000)</f>
        <v>0</v>
      </c>
      <c r="C45" s="65">
        <f>sumif(Junho23!$J$2:$J$1000,A45,Junho23!$R$2:$R$2000)</f>
        <v>0</v>
      </c>
      <c r="D45" s="21" t="str">
        <f t="shared" si="5"/>
        <v>#DIV/0!</v>
      </c>
    </row>
    <row r="46">
      <c r="A46" s="64" t="s">
        <v>225</v>
      </c>
      <c r="B46" s="65">
        <f>sumif(Junho23!$J$2:$J$1000,A46,Junho23!$N$2:$N$2000)</f>
        <v>93.2787</v>
      </c>
      <c r="C46" s="65">
        <f>sumif(Junho23!$J$2:$J$1000,A46,Junho23!$R$2:$R$2000)</f>
        <v>-9.157920547</v>
      </c>
      <c r="D46" s="21">
        <f t="shared" si="5"/>
        <v>-0.09817804651</v>
      </c>
    </row>
    <row r="47">
      <c r="A47" s="64" t="s">
        <v>2725</v>
      </c>
      <c r="B47" s="65">
        <f>sumif(Junho23!$J$2:$J$1000,A47,Junho23!$N$2:$N$2000)</f>
        <v>0</v>
      </c>
      <c r="C47" s="65">
        <f>sumif(Junho23!$J$2:$J$1000,A47,Junho23!$R$2:$R$2000)</f>
        <v>0</v>
      </c>
      <c r="D47" s="21" t="str">
        <f t="shared" si="5"/>
        <v>#DIV/0!</v>
      </c>
    </row>
    <row r="48">
      <c r="A48" s="64" t="s">
        <v>1023</v>
      </c>
      <c r="B48" s="65">
        <f>sumif(Junho23!$J$2:$J$1000,A48,Junho23!$N$2:$N$2000)</f>
        <v>0</v>
      </c>
      <c r="C48" s="65">
        <f>sumif(Junho23!$J$2:$J$1000,A48,Junho23!$R$2:$R$2000)</f>
        <v>0</v>
      </c>
      <c r="D48" s="21" t="str">
        <f t="shared" si="5"/>
        <v>#DIV/0!</v>
      </c>
    </row>
    <row r="49">
      <c r="A49" s="64" t="s">
        <v>892</v>
      </c>
      <c r="B49" s="65">
        <f>sumif(Junho23!$J$2:$J$1000,A49,Junho23!$N$2:$N$2000)</f>
        <v>22.7186</v>
      </c>
      <c r="C49" s="65">
        <f>sumif(Junho23!$J$2:$J$1000,A49,Junho23!$R$2:$R$2000)</f>
        <v>2.87108</v>
      </c>
      <c r="D49" s="21">
        <f t="shared" si="5"/>
        <v>0.126375745</v>
      </c>
    </row>
    <row r="50">
      <c r="A50" s="64" t="s">
        <v>1150</v>
      </c>
      <c r="B50" s="65">
        <f>sumif(Junho23!$J$2:$J$1000,A50,Junho23!$N$2:$N$2000)</f>
        <v>1.0265</v>
      </c>
      <c r="C50" s="65">
        <f>sumif(Junho23!$J$2:$J$1000,A50,Junho23!$R$2:$R$2000)</f>
        <v>0</v>
      </c>
      <c r="D50" s="21">
        <f t="shared" si="5"/>
        <v>0</v>
      </c>
    </row>
    <row r="51">
      <c r="A51" s="64" t="s">
        <v>941</v>
      </c>
      <c r="B51" s="65">
        <f>sumif(Junho23!$J$2:$J$1000,A51,Junho23!$N$2:$N$2000)</f>
        <v>1</v>
      </c>
      <c r="C51" s="65">
        <f>sumif(Junho23!$J$2:$J$1000,A51,Junho23!$R$2:$R$2000)</f>
        <v>0.1</v>
      </c>
      <c r="D51" s="21">
        <f t="shared" si="5"/>
        <v>0.1</v>
      </c>
    </row>
    <row r="52">
      <c r="A52" s="64" t="s">
        <v>894</v>
      </c>
      <c r="B52" s="65">
        <f>sumif(Junho23!$J$2:$J$1000,A52,Junho23!$N$2:$N$2000)</f>
        <v>10.55</v>
      </c>
      <c r="C52" s="65">
        <f>sumif(Junho23!$J$2:$J$1000,A52,Junho23!$R$2:$R$2000)</f>
        <v>-0.984</v>
      </c>
      <c r="D52" s="21">
        <f t="shared" si="5"/>
        <v>-0.09327014218</v>
      </c>
    </row>
    <row r="53">
      <c r="A53" s="64" t="s">
        <v>1847</v>
      </c>
      <c r="B53" s="65">
        <f>sumif(Junho23!$J$2:$J$1000,A53,Junho23!$N$2:$N$2000)</f>
        <v>4.7</v>
      </c>
      <c r="C53" s="65">
        <f>sumif(Junho23!$J$2:$J$1000,A53,Junho23!$R$2:$R$2000)</f>
        <v>1.21913</v>
      </c>
      <c r="D53" s="21">
        <f t="shared" si="5"/>
        <v>0.2593893617</v>
      </c>
    </row>
    <row r="54">
      <c r="A54" s="64" t="s">
        <v>2634</v>
      </c>
      <c r="B54" s="65">
        <f>sumif(Junho23!$J$2:$J$1000,A54,Junho23!$N$2:$N$2000)</f>
        <v>0.5</v>
      </c>
      <c r="C54" s="65">
        <f>sumif(Junho23!$J$2:$J$1000,A54,Junho23!$R$2:$R$2000)</f>
        <v>-0.5</v>
      </c>
      <c r="D54" s="21">
        <f t="shared" si="5"/>
        <v>-1</v>
      </c>
    </row>
    <row r="55">
      <c r="A55" s="64" t="s">
        <v>1165</v>
      </c>
      <c r="B55" s="65">
        <f>sumif(Junho23!$J$2:$J$1000,A55,Junho23!$N$2:$N$2000)</f>
        <v>0.1</v>
      </c>
      <c r="C55" s="65">
        <f>sumif(Junho23!$J$2:$J$1000,A55,Junho23!$R$2:$R$2000)</f>
        <v>-0.1</v>
      </c>
      <c r="D55" s="21">
        <f t="shared" si="5"/>
        <v>-1</v>
      </c>
    </row>
    <row r="56">
      <c r="A56" s="64" t="s">
        <v>23</v>
      </c>
      <c r="B56" s="65">
        <f>sumif(Junho23!$J$2:$J$1000,A56,Junho23!$N$2:$N$2000)</f>
        <v>1.79</v>
      </c>
      <c r="C56" s="65">
        <f>sumif(Junho23!$J$2:$J$1000,A56,Junho23!$R$2:$R$2000)</f>
        <v>0.7282</v>
      </c>
      <c r="D56" s="21">
        <f t="shared" si="5"/>
        <v>0.4068156425</v>
      </c>
    </row>
    <row r="57">
      <c r="A57" s="64" t="s">
        <v>2415</v>
      </c>
      <c r="B57" s="65">
        <f>sumif(Junho23!$J$2:$J$1000,A57,Junho23!$N$2:$N$2000)</f>
        <v>3.1</v>
      </c>
      <c r="C57" s="65">
        <f>sumif(Junho23!$J$2:$J$1000,A57,Junho23!$R$2:$R$2000)</f>
        <v>1.29125</v>
      </c>
      <c r="D57" s="21">
        <f t="shared" si="5"/>
        <v>0.4165322581</v>
      </c>
    </row>
    <row r="60">
      <c r="A60" s="3" t="s">
        <v>6</v>
      </c>
      <c r="B60" s="3" t="s">
        <v>5960</v>
      </c>
      <c r="C60" s="3" t="s">
        <v>34</v>
      </c>
      <c r="D60" s="3" t="s">
        <v>125</v>
      </c>
      <c r="E60" s="3" t="s">
        <v>45</v>
      </c>
      <c r="F60" s="3" t="s">
        <v>5961</v>
      </c>
      <c r="G60" s="3" t="s">
        <v>34</v>
      </c>
      <c r="H60" s="3" t="s">
        <v>125</v>
      </c>
      <c r="I60" s="3" t="s">
        <v>45</v>
      </c>
    </row>
    <row r="61">
      <c r="A61" s="208" t="s">
        <v>225</v>
      </c>
      <c r="B61" s="65">
        <v>5.0</v>
      </c>
      <c r="C61" s="65">
        <f>sumifs(Geral!$O$2:$O$11434,Geral!$K$2:$K$11434,$A$61,Geral!$H$2:$H$11434,B61)</f>
        <v>0.5</v>
      </c>
      <c r="D61" s="9">
        <f>sumifs(Geral!$S$2:$S$11434,Geral!$K$2:$K$11434,$A$61,Geral!$H$2:$H$11434,B61)</f>
        <v>0.02</v>
      </c>
      <c r="E61" s="115">
        <f t="shared" ref="E61:E82" si="7">D61/C61</f>
        <v>0.04</v>
      </c>
      <c r="F61" s="209" t="s">
        <v>2594</v>
      </c>
      <c r="G61" s="210">
        <f t="shared" ref="G61:H61" si="6">sum(C61:C65)</f>
        <v>91.00691667</v>
      </c>
      <c r="H61" s="210">
        <f t="shared" si="6"/>
        <v>3.339141066</v>
      </c>
      <c r="I61" s="211">
        <f>H61/G61</f>
        <v>0.03669106908</v>
      </c>
    </row>
    <row r="62">
      <c r="B62" s="65">
        <v>4.0</v>
      </c>
      <c r="C62" s="65">
        <f>sumifs(Geral!$O$2:$O$11434,Geral!$K$2:$K$11434,$A$61,Geral!$H$2:$H$11434,B62)</f>
        <v>1</v>
      </c>
      <c r="D62" s="16">
        <f>sumifs(Geral!$S$2:$S$11434,Geral!$K$2:$K$11434,$A$61,Geral!$H$2:$H$11434,B62)</f>
        <v>0.75</v>
      </c>
      <c r="E62" s="212">
        <f t="shared" si="7"/>
        <v>0.75</v>
      </c>
    </row>
    <row r="63">
      <c r="B63" s="65">
        <v>3.0</v>
      </c>
      <c r="C63" s="65">
        <f>sumifs(Geral!$O$2:$O$11434,Geral!$K$2:$K$11434,$A$61,Geral!$H$2:$H$11434,B63)</f>
        <v>3.913</v>
      </c>
      <c r="D63" s="9">
        <f>sumifs(Geral!$S$2:$S$11434,Geral!$K$2:$K$11434,$A$61,Geral!$H$2:$H$11434,B63)</f>
        <v>-0.37984</v>
      </c>
      <c r="E63" s="115">
        <f t="shared" si="7"/>
        <v>-0.09707130079</v>
      </c>
    </row>
    <row r="64">
      <c r="B64" s="65">
        <v>2.0</v>
      </c>
      <c r="C64" s="65">
        <f>sumifs(Geral!$O$2:$O$11434,Geral!$K$2:$K$11434,$A$61,Geral!$H$2:$H$11434,B64)</f>
        <v>21.7733</v>
      </c>
      <c r="D64" s="16">
        <f>sumifs(Geral!$S$2:$S$11434,Geral!$K$2:$K$11434,$A$61,Geral!$H$2:$H$11434,B64)</f>
        <v>-0.4497875</v>
      </c>
      <c r="E64" s="212">
        <f t="shared" si="7"/>
        <v>-0.02065775514</v>
      </c>
    </row>
    <row r="65">
      <c r="B65" s="65">
        <v>1.0</v>
      </c>
      <c r="C65" s="65">
        <f>sumifs(Geral!$O$2:$O$11434,Geral!$K$2:$K$11434,$A$61,Geral!$H$2:$H$11434,B65)</f>
        <v>63.82061667</v>
      </c>
      <c r="D65" s="9">
        <f>sumifs(Geral!$S$2:$S$11434,Geral!$K$2:$K$11434,$A$61,Geral!$H$2:$H$11434,B65)</f>
        <v>3.398768566</v>
      </c>
      <c r="E65" s="115">
        <f t="shared" si="7"/>
        <v>0.05325502547</v>
      </c>
    </row>
    <row r="66">
      <c r="B66" s="65">
        <v>0.0</v>
      </c>
      <c r="C66" s="65">
        <f>sumifs(Geral!$O$2:$O$11434,Geral!$K$2:$K$11434,$A$61,Geral!$H$2:$H$11434,B66)</f>
        <v>236.8384065</v>
      </c>
      <c r="D66" s="16">
        <f>sumifs(Geral!$S$2:$S$11434,Geral!$K$2:$K$11434,$A$61,Geral!$H$2:$H$11434,B66)</f>
        <v>21.60604167</v>
      </c>
      <c r="E66" s="212">
        <f t="shared" si="7"/>
        <v>0.09122693398</v>
      </c>
      <c r="F66" s="139" t="s">
        <v>5962</v>
      </c>
      <c r="G66" s="207">
        <f t="shared" ref="G66:H66" si="8">C66</f>
        <v>236.8384065</v>
      </c>
      <c r="H66" s="207">
        <f t="shared" si="8"/>
        <v>21.60604167</v>
      </c>
      <c r="I66" s="212">
        <f t="shared" ref="I66:I67" si="10">H66/G66</f>
        <v>0.09122693398</v>
      </c>
    </row>
    <row r="67">
      <c r="B67" s="65">
        <v>-1.0</v>
      </c>
      <c r="C67" s="65">
        <f>sumifs(Geral!$O$2:$O$11434,Geral!$K$2:$K$11434,$A$61,Geral!$H$2:$H$11434,B67)</f>
        <v>99.73282755</v>
      </c>
      <c r="D67" s="9">
        <f>sumifs(Geral!$S$2:$S$11434,Geral!$K$2:$K$11434,$A$61,Geral!$H$2:$H$11434,B67)</f>
        <v>1.96727532</v>
      </c>
      <c r="E67" s="115">
        <f t="shared" si="7"/>
        <v>0.01972545418</v>
      </c>
      <c r="F67" s="209" t="s">
        <v>2714</v>
      </c>
      <c r="G67" s="210">
        <f t="shared" ref="G67:H67" si="9">sum(C67:C71)</f>
        <v>137.425826</v>
      </c>
      <c r="H67" s="210">
        <f t="shared" si="9"/>
        <v>6.161753389</v>
      </c>
      <c r="I67" s="211">
        <f t="shared" si="10"/>
        <v>0.04483693907</v>
      </c>
    </row>
    <row r="68">
      <c r="B68" s="65">
        <v>-2.0</v>
      </c>
      <c r="C68" s="65">
        <f>sumifs(Geral!$O$2:$O$11434,Geral!$K$2:$K$11434,$A$61,Geral!$H$2:$H$11434,B68)</f>
        <v>28.49474847</v>
      </c>
      <c r="D68" s="16">
        <f>sumifs(Geral!$S$2:$S$11434,Geral!$K$2:$K$11434,$A$61,Geral!$H$2:$H$11434,B68)</f>
        <v>3.432778069</v>
      </c>
      <c r="E68" s="212">
        <f t="shared" si="7"/>
        <v>0.1204705517</v>
      </c>
    </row>
    <row r="69">
      <c r="B69" s="65">
        <v>-3.0</v>
      </c>
      <c r="C69" s="65">
        <f>sumifs(Geral!$O$2:$O$11434,Geral!$K$2:$K$11434,$A$61,Geral!$H$2:$H$11434,B69)</f>
        <v>7.3635</v>
      </c>
      <c r="D69" s="9">
        <f>sumifs(Geral!$S$2:$S$11434,Geral!$K$2:$K$11434,$A$61,Geral!$H$2:$H$11434,B69)</f>
        <v>0.44275</v>
      </c>
      <c r="E69" s="115">
        <f t="shared" si="7"/>
        <v>0.06012765669</v>
      </c>
    </row>
    <row r="70">
      <c r="B70" s="65">
        <v>-4.0</v>
      </c>
      <c r="C70" s="65">
        <f>sumifs(Geral!$O$2:$O$11434,Geral!$K$2:$K$11434,$A$61,Geral!$H$2:$H$11434,B70)</f>
        <v>1.7515</v>
      </c>
      <c r="D70" s="65">
        <f>sumifs(Geral!$S$2:$S$11434,Geral!$K$2:$K$11434,$A$61,Geral!$H$2:$H$11434,B70)</f>
        <v>0.26567</v>
      </c>
      <c r="E70" s="213">
        <f t="shared" si="7"/>
        <v>0.1516814159</v>
      </c>
    </row>
    <row r="71">
      <c r="B71" s="65">
        <v>-5.0</v>
      </c>
      <c r="C71" s="65">
        <f>sumifs(Geral!$O$2:$O$11434,Geral!$K$2:$K$11434,$A$61,Geral!$H$2:$H$11434,B71)</f>
        <v>0.08325</v>
      </c>
      <c r="D71" s="65">
        <f>sumifs(Geral!$S$2:$S$11434,Geral!$K$2:$K$11434,$A$61,Geral!$H$2:$H$11434,B71)</f>
        <v>0.05328</v>
      </c>
      <c r="E71" s="109">
        <f t="shared" si="7"/>
        <v>0.64</v>
      </c>
    </row>
    <row r="72">
      <c r="A72" s="208" t="s">
        <v>892</v>
      </c>
      <c r="B72" s="65">
        <v>5.0</v>
      </c>
      <c r="C72" s="65">
        <f>sumifs(Geral!$O$2:$O$11434,Geral!$K$2:$K$11434,$A$72,Geral!$H$2:$H$11434,B72)</f>
        <v>0.5</v>
      </c>
      <c r="D72" s="65">
        <f>sumifs(Geral!$S$2:$S$11434,Geral!$K$2:$K$11434,$A$72,Geral!$H$2:$H$11434,B72)</f>
        <v>0.15625</v>
      </c>
      <c r="E72" s="112">
        <f t="shared" si="7"/>
        <v>0.3125</v>
      </c>
      <c r="F72" s="209" t="s">
        <v>2594</v>
      </c>
      <c r="G72" s="210">
        <f t="shared" ref="G72:H72" si="11">sum(C72:C76)</f>
        <v>81.73389574</v>
      </c>
      <c r="H72" s="210">
        <f t="shared" si="11"/>
        <v>11.14641564</v>
      </c>
      <c r="I72" s="211">
        <f>H72/G72</f>
        <v>0.1363744569</v>
      </c>
    </row>
    <row r="73">
      <c r="B73" s="65">
        <v>4.0</v>
      </c>
      <c r="C73" s="65">
        <f>sumifs(Geral!$O$2:$O$11434,Geral!$K$2:$K$11434,$A$72,Geral!$H$2:$H$11434,B73)</f>
        <v>1.8964</v>
      </c>
      <c r="D73" s="65">
        <f>sumifs(Geral!$S$2:$S$11434,Geral!$K$2:$K$11434,$A$72,Geral!$H$2:$H$11434,B73)</f>
        <v>0.18</v>
      </c>
      <c r="E73" s="109">
        <f t="shared" si="7"/>
        <v>0.09491668424</v>
      </c>
    </row>
    <row r="74">
      <c r="B74" s="65">
        <v>3.0</v>
      </c>
      <c r="C74" s="65">
        <f>sumifs(Geral!$O$2:$O$11434,Geral!$K$2:$K$11434,$A$72,Geral!$H$2:$H$11434,B74)</f>
        <v>4.01</v>
      </c>
      <c r="D74" s="65">
        <f>sumifs(Geral!$S$2:$S$11434,Geral!$K$2:$K$11434,$A$72,Geral!$H$2:$H$11434,B74)</f>
        <v>0.275</v>
      </c>
      <c r="E74" s="112">
        <f t="shared" si="7"/>
        <v>0.06857855362</v>
      </c>
    </row>
    <row r="75">
      <c r="B75" s="65">
        <v>2.0</v>
      </c>
      <c r="C75" s="65">
        <f>sumifs(Geral!$O$2:$O$11434,Geral!$K$2:$K$11434,$A$72,Geral!$H$2:$H$11434,B75)</f>
        <v>13.30363478</v>
      </c>
      <c r="D75" s="65">
        <f>sumifs(Geral!$S$2:$S$11434,Geral!$K$2:$K$11434,$A$72,Geral!$H$2:$H$11434,B75)</f>
        <v>1.26943487</v>
      </c>
      <c r="E75" s="109">
        <f t="shared" si="7"/>
        <v>0.09542015324</v>
      </c>
    </row>
    <row r="76">
      <c r="B76" s="65">
        <v>1.0</v>
      </c>
      <c r="C76" s="65">
        <f>sumifs(Geral!$O$2:$O$11434,Geral!$K$2:$K$11434,$A$72,Geral!$H$2:$H$11434,B76)</f>
        <v>62.02386096</v>
      </c>
      <c r="D76" s="65">
        <f>sumifs(Geral!$S$2:$S$11434,Geral!$K$2:$K$11434,$A$72,Geral!$H$2:$H$11434,B76)</f>
        <v>9.265730772</v>
      </c>
      <c r="E76" s="112">
        <f t="shared" si="7"/>
        <v>0.1493897772</v>
      </c>
    </row>
    <row r="77">
      <c r="B77" s="65">
        <v>0.0</v>
      </c>
      <c r="C77" s="65">
        <f>sumifs(Geral!$O$2:$O$11434,Geral!$K$2:$K$11434,$A$72,Geral!$H$2:$H$11434,B77)</f>
        <v>285.5483354</v>
      </c>
      <c r="D77" s="65">
        <f>sumifs(Geral!$S$2:$S$11434,Geral!$K$2:$K$11434,$A$72,Geral!$H$2:$H$11434,B77)</f>
        <v>17.7686659</v>
      </c>
      <c r="E77" s="109">
        <f t="shared" si="7"/>
        <v>0.0622264734</v>
      </c>
      <c r="F77" s="139" t="s">
        <v>5962</v>
      </c>
      <c r="G77" s="207">
        <f t="shared" ref="G77:H77" si="12">C77</f>
        <v>285.5483354</v>
      </c>
      <c r="H77" s="207">
        <f t="shared" si="12"/>
        <v>17.7686659</v>
      </c>
      <c r="I77" s="212">
        <f t="shared" ref="I77:I78" si="14">H77/G77</f>
        <v>0.0622264734</v>
      </c>
    </row>
    <row r="78">
      <c r="B78" s="65">
        <v>-1.0</v>
      </c>
      <c r="C78" s="65">
        <f>sumifs(Geral!$O$2:$O$11434,Geral!$K$2:$K$11434,$A$72,Geral!$H$2:$H$11434,B78)</f>
        <v>184.1091291</v>
      </c>
      <c r="D78" s="65">
        <f>sumifs(Geral!$S$2:$S$11434,Geral!$K$2:$K$11434,$A$72,Geral!$H$2:$H$11434,B78)</f>
        <v>17.93602591</v>
      </c>
      <c r="E78" s="112">
        <f t="shared" si="7"/>
        <v>0.09742062221</v>
      </c>
      <c r="F78" s="209" t="s">
        <v>2714</v>
      </c>
      <c r="G78" s="210">
        <f t="shared" ref="G78:H78" si="13">sum(C78:C82)</f>
        <v>240.8392391</v>
      </c>
      <c r="H78" s="210">
        <f t="shared" si="13"/>
        <v>22.22901366</v>
      </c>
      <c r="I78" s="211">
        <f t="shared" si="14"/>
        <v>0.09229813939</v>
      </c>
    </row>
    <row r="79">
      <c r="B79" s="65">
        <v>-2.0</v>
      </c>
      <c r="C79" s="65">
        <f>sumifs(Geral!$O$2:$O$11434,Geral!$K$2:$K$11434,$A$72,Geral!$H$2:$H$11434,B79)</f>
        <v>48.71511</v>
      </c>
      <c r="D79" s="65">
        <f>sumifs(Geral!$S$2:$S$11434,Geral!$K$2:$K$11434,$A$72,Geral!$H$2:$H$11434,B79)</f>
        <v>3.28298775</v>
      </c>
      <c r="E79" s="109">
        <f t="shared" si="7"/>
        <v>0.06739157009</v>
      </c>
    </row>
    <row r="80">
      <c r="B80" s="65">
        <v>-3.0</v>
      </c>
      <c r="C80" s="65">
        <f>sumifs(Geral!$O$2:$O$11434,Geral!$K$2:$K$11434,$A$72,Geral!$H$2:$H$11434,B80)</f>
        <v>7.215</v>
      </c>
      <c r="D80" s="65">
        <f>sumifs(Geral!$S$2:$S$11434,Geral!$K$2:$K$11434,$A$72,Geral!$H$2:$H$11434,B80)</f>
        <v>1.81</v>
      </c>
      <c r="E80" s="112">
        <f t="shared" si="7"/>
        <v>0.2508662509</v>
      </c>
    </row>
    <row r="81">
      <c r="B81" s="65">
        <v>-4.0</v>
      </c>
      <c r="C81" s="65">
        <f>sumifs(Geral!$O$2:$O$11434,Geral!$K$2:$K$11434,$A$72,Geral!$H$2:$H$11434,B81)</f>
        <v>0.8</v>
      </c>
      <c r="D81" s="65">
        <f>sumifs(Geral!$S$2:$S$11434,Geral!$K$2:$K$11434,$A$72,Geral!$H$2:$H$11434,B81)</f>
        <v>-0.8</v>
      </c>
      <c r="E81" s="109">
        <f t="shared" si="7"/>
        <v>-1</v>
      </c>
    </row>
    <row r="82">
      <c r="B82" s="65">
        <v>-5.0</v>
      </c>
      <c r="C82" s="65">
        <f>sumifs(Geral!$O$2:$O$11434,Geral!$K$2:$K$11434,$A$72,Geral!$H$2:$H$11434,B82)</f>
        <v>0</v>
      </c>
      <c r="D82" s="65">
        <f>sumifs(Geral!$S$2:$S$11434,Geral!$K$2:$K$11434,$A$72,Geral!$H$2:$H$11434,B82)</f>
        <v>0</v>
      </c>
      <c r="E82" s="112" t="str">
        <f t="shared" si="7"/>
        <v>#DIV/0!</v>
      </c>
    </row>
  </sheetData>
  <mergeCells count="24">
    <mergeCell ref="F61:F65"/>
    <mergeCell ref="G61:G65"/>
    <mergeCell ref="H61:H65"/>
    <mergeCell ref="I61:I65"/>
    <mergeCell ref="F67:F71"/>
    <mergeCell ref="G67:G71"/>
    <mergeCell ref="G72:G76"/>
    <mergeCell ref="H67:H71"/>
    <mergeCell ref="I67:I71"/>
    <mergeCell ref="H72:H76"/>
    <mergeCell ref="I72:I76"/>
    <mergeCell ref="A72:A82"/>
    <mergeCell ref="F72:F76"/>
    <mergeCell ref="F78:F82"/>
    <mergeCell ref="G78:G82"/>
    <mergeCell ref="H78:H82"/>
    <mergeCell ref="I78:I82"/>
    <mergeCell ref="A1:D1"/>
    <mergeCell ref="G1:I1"/>
    <mergeCell ref="E23:F23"/>
    <mergeCell ref="H23:I23"/>
    <mergeCell ref="A32:D32"/>
    <mergeCell ref="A40:D40"/>
    <mergeCell ref="A61:A71"/>
  </mergeCells>
  <drawing r:id="rId1"/>
  <tableParts count="26"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</tableParts>
</worksheet>
</file>